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ivate" sheetId="1" r:id="rId4"/>
    <sheet state="visible" name="Private_Funders_Raw_Data" sheetId="2" r:id="rId5"/>
    <sheet state="visible" name="Seed" sheetId="3" r:id="rId6"/>
    <sheet state="visible" name="Seed_Funders_Raw_Data" sheetId="4" r:id="rId7"/>
    <sheet state="visible" name="Pre-Seed-Funders_Raw_Data" sheetId="5" r:id="rId8"/>
    <sheet state="visible" name="Pre-Seed" sheetId="6" r:id="rId9"/>
    <sheet state="visible" name="Merkle data" sheetId="7" r:id="rId10"/>
  </sheets>
  <definedNames/>
  <calcPr/>
  <extLst>
    <ext uri="GoogleSheetsCustomDataVersion2">
      <go:sheetsCustomData xmlns:go="http://customooxmlschemas.google.com/" r:id="rId11" roundtripDataChecksum="s2FMfEzHstlgleecrJRsG2kvHT77h0bKke1yjtFL1js="/>
    </ext>
  </extLst>
</workbook>
</file>

<file path=xl/sharedStrings.xml><?xml version="1.0" encoding="utf-8"?>
<sst xmlns="http://schemas.openxmlformats.org/spreadsheetml/2006/main" count="38089" uniqueCount="9046">
  <si>
    <t>pid</t>
  </si>
  <si>
    <t>user</t>
  </si>
  <si>
    <t>amount</t>
  </si>
  <si>
    <t>amount_fixed</t>
  </si>
  <si>
    <t>64</t>
  </si>
  <si>
    <t>0xf3a3dc2f49381deae54537caf448af85a0ebdc68</t>
  </si>
  <si>
    <t>12181711393026334372</t>
  </si>
  <si>
    <t>0x14474536ea9d8fe761edf527f35a30f43c39a097</t>
  </si>
  <si>
    <t>20498770821438998286</t>
  </si>
  <si>
    <t>0x337262fae811132807c349ce6d31832f012ff112</t>
  </si>
  <si>
    <t>8252126459265613347</t>
  </si>
  <si>
    <t>0x8e05b7ed600e8e29f7e1faa67381efb8925bdad8</t>
  </si>
  <si>
    <t>27323039302575138</t>
  </si>
  <si>
    <t>0x8f4714060188f4b878739f72228f5d7451f18589</t>
  </si>
  <si>
    <t>629804417191349295</t>
  </si>
  <si>
    <t>0xa96ba069b95e767b588cce0090bc5936fd867e57</t>
  </si>
  <si>
    <t>6131646424584795361</t>
  </si>
  <si>
    <t>0x7657e4cdb6d8b00a14040e6c1af23203aac8876b</t>
  </si>
  <si>
    <t>7068552284745469185</t>
  </si>
  <si>
    <t>0x238a4a5429333d71c6c8ed7362d6efe80f84ed50</t>
  </si>
  <si>
    <t>283543683430930775796</t>
  </si>
  <si>
    <t>0xd6bdae6dc6daf48fe5f65cffd81a80087fdf1fe1</t>
  </si>
  <si>
    <t>5608599420816956981</t>
  </si>
  <si>
    <t>0x94ba53f75771f15c28900dc89f01452eecbd8c4f</t>
  </si>
  <si>
    <t>18970101374720323778</t>
  </si>
  <si>
    <t>0xcedb60fe5584462c5a1b2ff5abeea42071702fc8</t>
  </si>
  <si>
    <t>13292907043895427494</t>
  </si>
  <si>
    <t>0x21fec8fab25613d3d1d1294346c04177e565b1c2</t>
  </si>
  <si>
    <t>9895958327591240552</t>
  </si>
  <si>
    <t>0x6f32b1793f7a1a7b169dc599e94a8d05306bfa85</t>
  </si>
  <si>
    <t>7068541662565171822</t>
  </si>
  <si>
    <t>0x740320f15bf19a2ece2eb13576e69fd6700bb8d4</t>
  </si>
  <si>
    <t>391344262039165622053</t>
  </si>
  <si>
    <t>0xb84466d33a34fbc2f46c56df0c5eedacd262a2cf</t>
  </si>
  <si>
    <t>6397527223081593199</t>
  </si>
  <si>
    <t>0xbd261bda33b5812bbc5e330974d4a6b6f587ce66</t>
  </si>
  <si>
    <t>531837074691403527955</t>
  </si>
  <si>
    <t>0xfebb129c028c2335ecda3268cb3187a7a5650e02</t>
  </si>
  <si>
    <t>28274166650260687291</t>
  </si>
  <si>
    <t>0xf2d667f27492e21fc52c9a921368e8b82fe4cba1</t>
  </si>
  <si>
    <t>6487928164586144469</t>
  </si>
  <si>
    <t>0x9d06433feefa692baac1213f46c366f03c86a095</t>
  </si>
  <si>
    <t>14142922263575975702</t>
  </si>
  <si>
    <t>0xe35da6b78074adc8550b04b17b6cf35747706c72</t>
  </si>
  <si>
    <t>20806516817480067254</t>
  </si>
  <si>
    <t>0x6f7499ae339f3b03dcf9582debe12b2856829561</t>
  </si>
  <si>
    <t>268604583177476529270</t>
  </si>
  <si>
    <t>0xd09d54e254765cc874963a1a7faee0f24b1491ba</t>
  </si>
  <si>
    <t>8257973781001657427</t>
  </si>
  <si>
    <t>0xb6d24cb0a663b79c62ebb2d6d0c745d18a4a6b61</t>
  </si>
  <si>
    <t>0x40e202d737d55c8ccd76fa7d48ff2bbb071b2bc1</t>
  </si>
  <si>
    <t>3981515905121509168</t>
  </si>
  <si>
    <t>0x02e20a1cdaa83b3ba759f7f71fab45af37e3c4e6</t>
  </si>
  <si>
    <t>5406914242932865014</t>
  </si>
  <si>
    <t>0x3c9c961f562ec7bcfe1b1ca8264c7c6aa086cbb0</t>
  </si>
  <si>
    <t>1442524349763562941</t>
  </si>
  <si>
    <t>0xfadb56a7b0cf6d498dbc8b2eee826e2f43f8a39c</t>
  </si>
  <si>
    <t>1097993960102944022056</t>
  </si>
  <si>
    <t>0x05910495121d2a226906d19d815640fbe1e2cb47</t>
  </si>
  <si>
    <t>5516446861572936895</t>
  </si>
  <si>
    <t>0x4205d5cea5431c8bf9371b82acd9bd3c97cafa18</t>
  </si>
  <si>
    <t>7080040048967595443</t>
  </si>
  <si>
    <t>0x7dc442b4e2ffe6467bef67700f655974b6867cea</t>
  </si>
  <si>
    <t>13204796434352674523</t>
  </si>
  <si>
    <t>0x3795ecbd018fa3c4a0c1cc17e123f97b727de3c5</t>
  </si>
  <si>
    <t>7317525430631061861</t>
  </si>
  <si>
    <t>0xaee9cfe0aa8c57ff28a300f820f56d064a288054</t>
  </si>
  <si>
    <t>17052290642671088465</t>
  </si>
  <si>
    <t>0x710ad656c7375e8a42afdc7484e87f2f50bb389b</t>
  </si>
  <si>
    <t>12414421454849887659</t>
  </si>
  <si>
    <t>0xadb001e1078b17654872ca7fdfb5f1f9b576dffd</t>
  </si>
  <si>
    <t>7267433180111402774</t>
  </si>
  <si>
    <t>0xf2e2c98164ac3f4931ce56e2721d44a00455e55f</t>
  </si>
  <si>
    <t>706854166256517182</t>
  </si>
  <si>
    <t>0x4aa4fe7fa07cc200d131eae7a0becc2a56e9db83</t>
  </si>
  <si>
    <t>0x498ff98e55ef5e6f2fc4f26ec6a4b4d909a055cd</t>
  </si>
  <si>
    <t>1307802785547489790</t>
  </si>
  <si>
    <t>0x4e2a06abd4403f61c36dc7f9a1661c9a4ba994b5</t>
  </si>
  <si>
    <t>0x4aa21e8335d20d6aa47e8819fd32bd9b49b2213f</t>
  </si>
  <si>
    <t>18195812270334901150</t>
  </si>
  <si>
    <t>0xf3a95cfd15f14560858373fcbfa7077709f0d5a2</t>
  </si>
  <si>
    <t>31511316925524322788</t>
  </si>
  <si>
    <t>0xaa2352e64f1e51fb73a4349257a58022c20231db</t>
  </si>
  <si>
    <t>351869869687023642</t>
  </si>
  <si>
    <t>0xe1b1d29a14faa0d43bfcc6a6a8b3856011af2746</t>
  </si>
  <si>
    <t>316749817750523061</t>
  </si>
  <si>
    <t>0xebf911299a4350165f8045bd773a8872010565ad</t>
  </si>
  <si>
    <t>24739895818978101380</t>
  </si>
  <si>
    <t>0xd967282b7ecb3b982396f22646d94912b153a58a</t>
  </si>
  <si>
    <t>6913782768925639569</t>
  </si>
  <si>
    <t>0x28d59cdc5cb8bad8f348c05448e2fc090d8d9601</t>
  </si>
  <si>
    <t>1979191665518248110</t>
  </si>
  <si>
    <t>0x47de8c24b17737df7d6dd3c6eee276e7296f1754</t>
  </si>
  <si>
    <t>7105864627065889127</t>
  </si>
  <si>
    <t>0x1167d99c406f3be606cd8db020709c5f40856d94</t>
  </si>
  <si>
    <t>0xe7e31d814c777d16c19eeb320d354d90c718d821</t>
  </si>
  <si>
    <t>14005015878170353793</t>
  </si>
  <si>
    <t>0xe926ec993150b7513efbb9ba8103665805912877</t>
  </si>
  <si>
    <t>167665808236045875639</t>
  </si>
  <si>
    <t>0x710751fde40475ae92c8b267a1e5738de609156a</t>
  </si>
  <si>
    <t>566013801161104139286</t>
  </si>
  <si>
    <t>0xab61914d7ceef1090a5538d5c0098c64cbec37b9</t>
  </si>
  <si>
    <t>44843565079789146470</t>
  </si>
  <si>
    <t>0x722d2fc3be44dcf33bfb67c27c308a9f58893293</t>
  </si>
  <si>
    <t>49479791637956202760</t>
  </si>
  <si>
    <t>0x5eb0c03b73f7e910ccca99fa9a161c267c966dfd</t>
  </si>
  <si>
    <t>13847439144519648457</t>
  </si>
  <si>
    <t>0x092cda2230d41979999fdd210af1b73a7da46ce4</t>
  </si>
  <si>
    <t>1053369629347119547814</t>
  </si>
  <si>
    <t>0x9f4aad857799731c44cce345ee39a5639472904c</t>
  </si>
  <si>
    <t>185748226062759631621</t>
  </si>
  <si>
    <t>0xa18ad530c4f1d77517e06bb609ed06a351e0be95</t>
  </si>
  <si>
    <t>3324247796673769681</t>
  </si>
  <si>
    <t>0x55ccdd0c0a0ed989a83d0948f85234dfb893ec6c</t>
  </si>
  <si>
    <t>18499041881413539031</t>
  </si>
  <si>
    <t>0xb8d2b6bb061ec3271f68bff7e917ff523f95e485</t>
  </si>
  <si>
    <t>7572324771241630559</t>
  </si>
  <si>
    <t>0x3b6ba58ca6cfc4191694aeabd415bb579bcf95c9</t>
  </si>
  <si>
    <t>99335913101156336427</t>
  </si>
  <si>
    <t>0xf9ce98fd4a9c80ab572a063bbc992029fb91f89b</t>
  </si>
  <si>
    <t>1968068851161161522</t>
  </si>
  <si>
    <t>0xb84ca0100c87d8bb55b16e2cafd2c81cdf7e98c1</t>
  </si>
  <si>
    <t>4928370578957559685</t>
  </si>
  <si>
    <t>0x9026c69e1a6092249fa21f5a00b5dcb8c1e88318</t>
  </si>
  <si>
    <t>1286497464869931201</t>
  </si>
  <si>
    <t>0xf7d284e6612f9b486819c85236f699c1fa1faf76</t>
  </si>
  <si>
    <t>11650161056139283276</t>
  </si>
  <si>
    <t>0x98cccd2975b00ae49fa7b861e5613948f0ce7a97</t>
  </si>
  <si>
    <t>1713730488971718092</t>
  </si>
  <si>
    <t>0x83acb695210c0ef1d3338a8e0a0b0ca75eedacae</t>
  </si>
  <si>
    <t>7031161549459435694</t>
  </si>
  <si>
    <t>0x36cc35145dbea5a020ddde8c37818996c0f3480c</t>
  </si>
  <si>
    <t>106727005206442661930</t>
  </si>
  <si>
    <t>0x5dc1af17c2a8d677654683d152fe6bb8b40a2fa2</t>
  </si>
  <si>
    <t>536643683021947844794</t>
  </si>
  <si>
    <t>0x39bbb8c321fdf88804c4f82487cb91115f1ec780</t>
  </si>
  <si>
    <t>2069542506839730931227</t>
  </si>
  <si>
    <t>0xe12a20eaf5b10ebce026e67ce48610eebd0f2ac2</t>
  </si>
  <si>
    <t>6619802467507545790</t>
  </si>
  <si>
    <t>0xeaf88464b5628f666dc88577d20de97c79f10428</t>
  </si>
  <si>
    <t>17671354156412929557</t>
  </si>
  <si>
    <t>0x439c2c8fe01335025c8b024ac9a2bf92444f5775</t>
  </si>
  <si>
    <t>283483918919373295443</t>
  </si>
  <si>
    <t>0x28e68b92dd41d3aa2a469cb385a7bc04e85647e4</t>
  </si>
  <si>
    <t>297275398913804570013</t>
  </si>
  <si>
    <t>0xe3fdc35660f39d20eea4abfa64782ea024beeb9b</t>
  </si>
  <si>
    <t>720143024582139705317</t>
  </si>
  <si>
    <t>0xf1d1d20db01d283b3baf524c69695d161e2b5f1e</t>
  </si>
  <si>
    <t>7316118363052069992</t>
  </si>
  <si>
    <t>0xb4ca68c882c7642413f626f09ecda3f714f04943</t>
  </si>
  <si>
    <t>7219512599767296326</t>
  </si>
  <si>
    <t>0x10a0af198f0a9e05e534a8b9db91287099c5ad50</t>
  </si>
  <si>
    <t>21346995820946818905</t>
  </si>
  <si>
    <t>0x077018a17317d8d5d761acbc2d33e32d15ebb916</t>
  </si>
  <si>
    <t>73375310350403600770</t>
  </si>
  <si>
    <t>0xc44393552aa131d854c8e18ccb35fc176b6727f1</t>
  </si>
  <si>
    <t>8222751967565313901</t>
  </si>
  <si>
    <t>0x66df9ea6a031fbfcd65f8cc873abfb9f921d09dc</t>
  </si>
  <si>
    <t>272796896710816858</t>
  </si>
  <si>
    <t>0xad0f5c9690efeebebd8f0bd484712a52a8a739f2</t>
  </si>
  <si>
    <t>14137083325130343645</t>
  </si>
  <si>
    <t>0xafe22541e09835423aee69e14a416b5c9449b6dc</t>
  </si>
  <si>
    <t>7049331684190976328</t>
  </si>
  <si>
    <t>0x78a191fe5158b1f64d6e9d7f3167b495fc1b5d50</t>
  </si>
  <si>
    <t>835076855630669794</t>
  </si>
  <si>
    <t>0x63f92e2e9836ad93e2328da65a9433965be552fe</t>
  </si>
  <si>
    <t>6408220138105889272</t>
  </si>
  <si>
    <t>0xd8f5b8348c450f8f3b61984867e4ad40230c7760</t>
  </si>
  <si>
    <t>353332840652686331</t>
  </si>
  <si>
    <t>0xe06c1a71230126b56b63ea73e40d4eb7fe86e711</t>
  </si>
  <si>
    <t>7143684369805619798</t>
  </si>
  <si>
    <t>0xc335a14dbc3b6b35d93b96da16546dd1229a1fa6</t>
  </si>
  <si>
    <t>2134237201499962485</t>
  </si>
  <si>
    <t>0x54d051034a0a5fec7aa2562a8fff76937ec41596</t>
  </si>
  <si>
    <t>0x8ce340b670e1ff1f639a55e8857476961edafc3d</t>
  </si>
  <si>
    <t>3638649213154406285</t>
  </si>
  <si>
    <t>0xd811d4d4abddb93cd29a7d8b374b69223509a6a6</t>
  </si>
  <si>
    <t>539812176924384483</t>
  </si>
  <si>
    <t>0x83219c959e973e326f12baefe1ba745647a9cd50</t>
  </si>
  <si>
    <t>635177367194795992426</t>
  </si>
  <si>
    <t>0x85c6153b1a5b59b9ebb928cc5a54356146354d6d</t>
  </si>
  <si>
    <t>572154746265908092</t>
  </si>
  <si>
    <t>0xe0220db7734973e825bd893e314822e640f6dacf</t>
  </si>
  <si>
    <t>2827416665026068729</t>
  </si>
  <si>
    <t>0x05edb5c69984b5b48a7cd342dcc523ef6a5f0975</t>
  </si>
  <si>
    <t>0xcda52838ef354ac7166bec9a7f631bcea34d1001</t>
  </si>
  <si>
    <t>570342180342820774329</t>
  </si>
  <si>
    <t>0xb76af3b2d258c35ccbc2384f26259618b5a4eb73</t>
  </si>
  <si>
    <t>148986421827555481993</t>
  </si>
  <si>
    <t>0xec2d46ffc49555ef561c8b30ce49b33b8a39122f</t>
  </si>
  <si>
    <t>250708176926558780</t>
  </si>
  <si>
    <t>0x2137dcced98c0f43956d8233f901b06a6c5b721b</t>
  </si>
  <si>
    <t>1373140747000349470387</t>
  </si>
  <si>
    <t>0xf10ef0771751b103ac02f1ae67c91bf2b5431970</t>
  </si>
  <si>
    <t>7645533841576649218</t>
  </si>
  <si>
    <t>0xa50c55f952e38be453fdca01d4c0feeaaaa2a6a1</t>
  </si>
  <si>
    <t>27852586069190902611</t>
  </si>
  <si>
    <t>0xb5e8fa24965a96cc88d39a1d5ff39776a7c4bb6a</t>
  </si>
  <si>
    <t>112791101973075022197</t>
  </si>
  <si>
    <t>0xe1c56fd123d81dfecb57c0c6153e8f35f6fe7e13</t>
  </si>
  <si>
    <t>0x6b866df76052226adfda4cfca91bc6e0b7c9d927</t>
  </si>
  <si>
    <t>1301260280180151799</t>
  </si>
  <si>
    <t>0x14a2dabc6f6405e4b6ae14f11eec4b89b2a65592</t>
  </si>
  <si>
    <t>0x75d71dd3a10e4a46d4eefe4f5762a5370d2805c7</t>
  </si>
  <si>
    <t>0x25c8196dbdf8eeb6fb7e0ceddd891f709bb26c3b</t>
  </si>
  <si>
    <t>132281437462201840619</t>
  </si>
  <si>
    <t>0x33a2115ff0315cb2716a3e6ac8cce0d2178d684f</t>
  </si>
  <si>
    <t>6740910100131921502</t>
  </si>
  <si>
    <t>0x0b753550642bda332fc089fab91ab356095a1f3c</t>
  </si>
  <si>
    <t>35342708312825859114</t>
  </si>
  <si>
    <t>0xe280eade00567ee89465f9302fb4620bac7905ed</t>
  </si>
  <si>
    <t>5001387668560983149</t>
  </si>
  <si>
    <t>0x946548d9cb0b25517d311478d85b4e93bb1a16de</t>
  </si>
  <si>
    <t>28959778296145334056</t>
  </si>
  <si>
    <t>0xec4a3857e62acb88e42c9b2c363e41c3b478da41</t>
  </si>
  <si>
    <t>0x33d4e093798894fe14dc8ed7aaa46eb5fc82dd99</t>
  </si>
  <si>
    <t>1825799015519546280</t>
  </si>
  <si>
    <t>0x7d41e5ce410175f0289a9238fdaa4611ea17bc1f</t>
  </si>
  <si>
    <t>8969048097913408882</t>
  </si>
  <si>
    <t>0xca49e9cf70555164f85d8f727b95947b8c77b7cd</t>
  </si>
  <si>
    <t>18750426022591563</t>
  </si>
  <si>
    <t>0x73b6ed061568270f95849bdf61a1ac8fc1a382f8</t>
  </si>
  <si>
    <t>75633395789447338505</t>
  </si>
  <si>
    <t>0x152902d1d80c9478b1d246714d256ef15c6276fe</t>
  </si>
  <si>
    <t>11175363509687724249</t>
  </si>
  <si>
    <t>0xbbb460c0e0bbaa1d9b50dd746c9c22eb269ba99d</t>
  </si>
  <si>
    <t>0xa9f76a1e4f5ff511083e59dfadaf689fb14b2b43</t>
  </si>
  <si>
    <t>35673231352802665386</t>
  </si>
  <si>
    <t>0xeec9ee07061729a6af1c291da12fd0008b266f2a</t>
  </si>
  <si>
    <t>0x4b064c63ab29a91f907a9c1ffe47398c1f15d971</t>
  </si>
  <si>
    <t>1322807914362877721</t>
  </si>
  <si>
    <t>0x5f9aed0f00492f402c31c4cc4104624a238323f5</t>
  </si>
  <si>
    <t>0x8d2c9a924d7dcc0a70da97e9606348774eb3e815</t>
  </si>
  <si>
    <t>1094426482728340339</t>
  </si>
  <si>
    <t>0x8a4e77a0d0e510a104105fb614a0ca685eea3fce</t>
  </si>
  <si>
    <t>0x714816133d78372a8759a9e9cb6b75d2596f045e</t>
  </si>
  <si>
    <t>7274648598152949283</t>
  </si>
  <si>
    <t>0xd2ed4e17076882df4d796ab34b415dbd7a21a9ea</t>
  </si>
  <si>
    <t>7137273968182106170</t>
  </si>
  <si>
    <t>0xd598e2906913ac80ffde233772f56cf26ed90d55</t>
  </si>
  <si>
    <t>521890809840661055727</t>
  </si>
  <si>
    <t>0x19b006398fb28893fca7f4dda9d44327bff7026f</t>
  </si>
  <si>
    <t>0xffab30adf9b3b654ee408f3cf6eb8f2491207124</t>
  </si>
  <si>
    <t>204800033010927200</t>
  </si>
  <si>
    <t>0x4d9d26d1192b1e96194abc3bc678493e1921ae22</t>
  </si>
  <si>
    <t>6113366623739242424</t>
  </si>
  <si>
    <t>0x0eabd12d4e91d16d6f047b980ec4856a07ffe856</t>
  </si>
  <si>
    <t>7075046762006821711</t>
  </si>
  <si>
    <t>0x4142bd71bd7ce555b45883a11aa3f8461f8236b4</t>
  </si>
  <si>
    <t>1236683312358940879</t>
  </si>
  <si>
    <t>0x89450dad63f537dfd26b660c1c4ef478b25e9c8f</t>
  </si>
  <si>
    <t>16585629033091150479</t>
  </si>
  <si>
    <t>0x3d82bd8155005dd721dfdc311534cfde980cd11c</t>
  </si>
  <si>
    <t>2159534499471004053</t>
  </si>
  <si>
    <t>0x345fa4f148bfdca72ad3590f7986c537e8067ea3</t>
  </si>
  <si>
    <t>183314820696316781090</t>
  </si>
  <si>
    <t>0x9c2aa05fe6f85847973e5bb81384cd0561940ed0</t>
  </si>
  <si>
    <t>8764991661580813060</t>
  </si>
  <si>
    <t>0x5ad45d0e46299118e887eca909bd727aa5c31e7e</t>
  </si>
  <si>
    <t>7209912495816475259</t>
  </si>
  <si>
    <t>0xae0ba28d9d07587debe1c0c87ff0b341789655a7</t>
  </si>
  <si>
    <t>570784823367782991</t>
  </si>
  <si>
    <t>0x0e06aa2814a2fb67912c7c4a1684e4d42af8fa02</t>
  </si>
  <si>
    <t>3662556352625061363</t>
  </si>
  <si>
    <t>0xa0f55c60fa596469f4f16ddbb194a6c1618714ea</t>
  </si>
  <si>
    <t>7675701873970940180</t>
  </si>
  <si>
    <t>0x9eb8b2a40367dc283408a59d0ba8b859b5ddb524</t>
  </si>
  <si>
    <t>4241124997539103093</t>
  </si>
  <si>
    <t>0xcdf16a03a01071de6584cd104884c753715abe7f</t>
  </si>
  <si>
    <t>16247053784287652731</t>
  </si>
  <si>
    <t>0x0ed1144e93568aa6932fe4df2a5a49dac64238fe</t>
  </si>
  <si>
    <t>1139770951894541036</t>
  </si>
  <si>
    <t>0x8ab10d39a7958ef31ead4ef48bc06cbff4fa59e4</t>
  </si>
  <si>
    <t>3466517274179646255</t>
  </si>
  <si>
    <t>0xf6cfddd5643fa03c8c490e577aeabfeacb069b24</t>
  </si>
  <si>
    <t>38705470587187773</t>
  </si>
  <si>
    <t>0x1484505f65da8da59b91ee4e861e86c90f9ddfe1</t>
  </si>
  <si>
    <t>4047624475198758967</t>
  </si>
  <si>
    <t>0x9ceb07c0fb10ea0183a5ce7f5d55288141a54337</t>
  </si>
  <si>
    <t>4983551228237504765</t>
  </si>
  <si>
    <t>0xb0e218c5be3ae27507f2c9e35460bfbbb1f5db35</t>
  </si>
  <si>
    <t>713352287508956098790</t>
  </si>
  <si>
    <t>0xc63b90655e832cc4206f562756f3a78f69afe1d0</t>
  </si>
  <si>
    <t>7954446546252734728</t>
  </si>
  <si>
    <t>0x395f78fa07383c32fe183bb0ffa8a7e49cffc282</t>
  </si>
  <si>
    <t>9844016802091661712</t>
  </si>
  <si>
    <t>0x8f4f21f0ee2f53aad8af4f0a919a57ce7cf8e46d</t>
  </si>
  <si>
    <t>0x78737d9f978ac75eb34b656701f4f4900de7f24b</t>
  </si>
  <si>
    <t>7202203192265906058</t>
  </si>
  <si>
    <t>0xca19509388d5a40e42398f2fbe28c35a3147ca07</t>
  </si>
  <si>
    <t>78110996307178805</t>
  </si>
  <si>
    <t>0x0a4d01d364136395254ac6a55890c2723f866a8b</t>
  </si>
  <si>
    <t>530281995525639190154</t>
  </si>
  <si>
    <t>0xf247e25f9921c25491573283b2a436f8e666ae76</t>
  </si>
  <si>
    <t>3841345566803897</t>
  </si>
  <si>
    <t>0xa1835a2ac686899896c471ae7578544b67185026</t>
  </si>
  <si>
    <t>0x85aea15c8f7621f5d69bac3274d26e8ce21fd034</t>
  </si>
  <si>
    <t>6647149118963363660</t>
  </si>
  <si>
    <t>0xf4ab5b7b68b50cbef88745cc9a631cbf5e000ea4</t>
  </si>
  <si>
    <t>1353937353360592661</t>
  </si>
  <si>
    <t>0x3021a64d45f722f3a8e58ee6bc001055c39f4fe3</t>
  </si>
  <si>
    <t>86914956676345266797</t>
  </si>
  <si>
    <t>0x1c73e48eaad8019f2aa5ee05d16162594c69bf73</t>
  </si>
  <si>
    <t>19927420142505249738</t>
  </si>
  <si>
    <t>0xa32d651feee95a9cc57f12aea7c6e3544bd31b30</t>
  </si>
  <si>
    <t>14716735201136323021</t>
  </si>
  <si>
    <t>0x00f9d3006853d08d6a161bfac109a02493aae8d6</t>
  </si>
  <si>
    <t>311309483767776101080</t>
  </si>
  <si>
    <t>0xf5bbab0216b69477de1b7b7ae0519f3b527fff77</t>
  </si>
  <si>
    <t>247399023653807283315</t>
  </si>
  <si>
    <t>0x8871d16cb578c4de063dd7b7b5915e6efb552e34</t>
  </si>
  <si>
    <t>1346900966963526644</t>
  </si>
  <si>
    <t>0xf7a6b890dd759d6a943d879729f23b18d9020a9c</t>
  </si>
  <si>
    <t>8830943151751511760</t>
  </si>
  <si>
    <t>0x8d93d89028393e94b69bf090ae5fe9a532714562</t>
  </si>
  <si>
    <t>3383526786842971365</t>
  </si>
  <si>
    <t>0x848458bbb846eba1bdaae2c326ff7596006694d4</t>
  </si>
  <si>
    <t>2545347205681066371</t>
  </si>
  <si>
    <t>0xbfa722f3ed00488231dbc431b47ef78f4d7590d7</t>
  </si>
  <si>
    <t>126997694215295910</t>
  </si>
  <si>
    <t>0x31f6ca96e16729d66bbcda233947f0dbce4ef10f</t>
  </si>
  <si>
    <t>0x14dd38e5524926e802ea4f7dfd81490e958ab901</t>
  </si>
  <si>
    <t>445823901822911015730</t>
  </si>
  <si>
    <t>0x20db1d0cb15ae6d626c43740ee51a413ea5ed1a9</t>
  </si>
  <si>
    <t>35444130862858428693</t>
  </si>
  <si>
    <t>0x979f489733dd28793a2540e2e24f96962717d7a4</t>
  </si>
  <si>
    <t>1681903109436425233</t>
  </si>
  <si>
    <t>0x8079f545072bfed6f1f5904b43b0f7ec81e9fbfc</t>
  </si>
  <si>
    <t>7142910990200876338</t>
  </si>
  <si>
    <t>0xc98c36adbca3e14dc12ac08e194b1b844188f0cd</t>
  </si>
  <si>
    <t>0x3ab6e6c6dfa5d05fe081a5c13c1c7b132fffe906</t>
  </si>
  <si>
    <t>0xc6030be7970d0546f9023c4eb08c88fa587fde94</t>
  </si>
  <si>
    <t>2056784530765922824</t>
  </si>
  <si>
    <t>0xb2256022797be8f92c3d946097769bfa9e572316</t>
  </si>
  <si>
    <t>2788200245620768884</t>
  </si>
  <si>
    <t>0xe20f65e7e0d3138c31570a6cfd7c5fb23aae0231</t>
  </si>
  <si>
    <t>0x14785a131446afe308c9a8e841af5c06fe1fd77a</t>
  </si>
  <si>
    <t>1306160033192511940</t>
  </si>
  <si>
    <t>0xbad19e37e23ebb8e91ad0b7bfdbc193f4010ba2e</t>
  </si>
  <si>
    <t>35484079146077162550</t>
  </si>
  <si>
    <t>0x2c0bbdffb1db56ed9142527a3bedec8dda37afc3</t>
  </si>
  <si>
    <t>77925315516233426617</t>
  </si>
  <si>
    <t>0x1b2e3c88048c699c1ff3a7691ac4596e6b5b6a9e</t>
  </si>
  <si>
    <t>3760362974211627664</t>
  </si>
  <si>
    <t>0xe517bb5fff04a8741dceae778990be639359fd19</t>
  </si>
  <si>
    <t>529537777105344228</t>
  </si>
  <si>
    <t>0x7eec1992852d626b843a256ee692015af346fd6d</t>
  </si>
  <si>
    <t>6218061249680833001</t>
  </si>
  <si>
    <t>0xeddc9823a9683c7cdf207d6fac6d4fa7ba3808f5</t>
  </si>
  <si>
    <t>6423816991125332163</t>
  </si>
  <si>
    <t>0x965a67ee271c0ef4c856063acc594cc3e53a38d6</t>
  </si>
  <si>
    <t>13591233857178333226</t>
  </si>
  <si>
    <t>0x9a0fa9da9d86d6d15eaf4c6bdf4e9fe3662edbb0</t>
  </si>
  <si>
    <t>3183166517689048374</t>
  </si>
  <si>
    <t>0x128ad93ac317c10adef92ee2c9b1f862928d2afc</t>
  </si>
  <si>
    <t>7096526249175471447</t>
  </si>
  <si>
    <t>0x5897be671a01048cb6d599e20e929a50667d62d3</t>
  </si>
  <si>
    <t>6698451528043934075</t>
  </si>
  <si>
    <t>0xde6aa1bb2074309a2c0821c06c55a89d1e326436</t>
  </si>
  <si>
    <t>7675671346070465429</t>
  </si>
  <si>
    <t>0x061ee3889997744731aa791d64cdff41f512892f</t>
  </si>
  <si>
    <t>7277310591433896604</t>
  </si>
  <si>
    <t>0xeb06301d471b0f8c8c5cc965b09ce0b85021d398</t>
  </si>
  <si>
    <t>0x36a82d43b635b1e8600093d6701b70ced92b3938</t>
  </si>
  <si>
    <t>4016636271150369749</t>
  </si>
  <si>
    <t>0x889e89d0c121c50199fe7554ddc99001e31ca770</t>
  </si>
  <si>
    <t>3863865482142225630</t>
  </si>
  <si>
    <t>0x7b60440260b91a98f7b760c17795c5ff2dba094d</t>
  </si>
  <si>
    <t>353427083128258591145</t>
  </si>
  <si>
    <t>0xd2ba24f1d33a506d3e023c1ac2f958a1e8409707</t>
  </si>
  <si>
    <t>89544060810970107500</t>
  </si>
  <si>
    <t>0xd495d1fba5d37d704e922d5f776441165b411a97</t>
  </si>
  <si>
    <t>66075702192169033514</t>
  </si>
  <si>
    <t>0x18d8032f7c11663068d36ca79954b9e28d653ca3</t>
  </si>
  <si>
    <t>168210266056007578231</t>
  </si>
  <si>
    <t>0x61412be4424150e9bcd38f0b61d9a748c4af21b1</t>
  </si>
  <si>
    <t>7351283329067778695</t>
  </si>
  <si>
    <t>0x559433efec8b0183a2f33f3fa0d1144825162561</t>
  </si>
  <si>
    <t>7187531711074811045</t>
  </si>
  <si>
    <t>0x0fea7ebb6166a348df9b6654ca203d3c07eb013b</t>
  </si>
  <si>
    <t>7140188788919868852</t>
  </si>
  <si>
    <t>0xe8bf24926e6469c1c734715a643e040a63ea4958</t>
  </si>
  <si>
    <t>7023196093994983122</t>
  </si>
  <si>
    <t>0x87acb05e1be80928de0ab00445cb7796335bbced</t>
  </si>
  <si>
    <t>38350164571467862952</t>
  </si>
  <si>
    <t>0x37378245d4c1167e05c9e3755864350a07005a43</t>
  </si>
  <si>
    <t>0x3e130bf009279c13fab3faff734632f889633ad3</t>
  </si>
  <si>
    <t>0x8b199aeb0dfcd555061f00f001dfa2b54ff50245</t>
  </si>
  <si>
    <t>0x4c1dd08ba316f336d353fee93781ee45cf2cda83</t>
  </si>
  <si>
    <t>17871869431499387640</t>
  </si>
  <si>
    <t>0x61e5776b24e2e2db07d2ac729a39ed70f96a9b7c</t>
  </si>
  <si>
    <t>25443807822964379804</t>
  </si>
  <si>
    <t>0x049e8b23dd0bdc20a39d7a847d4fbaeeb0f2811b</t>
  </si>
  <si>
    <t>7751768536203610696</t>
  </si>
  <si>
    <t>0x4ac4ab29f4a87150d89d3fdd5cbc46112606e5e8</t>
  </si>
  <si>
    <t>179602579260171683092</t>
  </si>
  <si>
    <t>0x06b752707c80b599550b08179324b0607dbb74f5</t>
  </si>
  <si>
    <t>506233506847450808</t>
  </si>
  <si>
    <t>0xb105608d0fb6fec617afdd7d5147aa7ab7a86612</t>
  </si>
  <si>
    <t>0xee88ce5df03c0fc35a9e8d94913568b77aa92374</t>
  </si>
  <si>
    <t>0x331f06a19c7b3b5f620180664ef4a0d7fa2c8f92</t>
  </si>
  <si>
    <t>0x505180b5570ef6e607aa42db4b67b5e7a8253c5c</t>
  </si>
  <si>
    <t>106028124938477577343</t>
  </si>
  <si>
    <t>0xd66cd02b8ce99ab0e12c08b29f14d6a0a3c6d847</t>
  </si>
  <si>
    <t>0x99c7a92799ebcdb83e869c696fadf4e236967fba</t>
  </si>
  <si>
    <t>11055637492819685669</t>
  </si>
  <si>
    <t>0xed8f08714553e15ac21007da5235099e41900705</t>
  </si>
  <si>
    <t>8395307683048136429</t>
  </si>
  <si>
    <t>0x1ffd84bf9ffc34122402f2e90f56a2d9b45686f0</t>
  </si>
  <si>
    <t>8690551160092252349</t>
  </si>
  <si>
    <t>0x2552932df8f6cc397b7356dda2c2a15b865ae8ff</t>
  </si>
  <si>
    <t>1413708332513034364</t>
  </si>
  <si>
    <t>0xab0a79fd7c97b9c1115f9793a359a3529636e325</t>
  </si>
  <si>
    <t>69923346268310309202</t>
  </si>
  <si>
    <t>0x79bf225fbfd40f78b1878a6d1eec1bb03df92aeb</t>
  </si>
  <si>
    <t>8299632570618609322</t>
  </si>
  <si>
    <t>0x8a79dc213b42cb086f26bfe677514106b8d1bf51</t>
  </si>
  <si>
    <t>0xdb71a18336e01ac76fd93b15ed89a720cb8c0734</t>
  </si>
  <si>
    <t>662456795783820556188</t>
  </si>
  <si>
    <t>0x5f2a60bad3292ebcb990f4d16dd2b2fc64f7f8b6</t>
  </si>
  <si>
    <t>7333959520119605722</t>
  </si>
  <si>
    <t>0x71d9403181fa26bc39c1a7ae625ddb987492f92d</t>
  </si>
  <si>
    <t>712548739776020842</t>
  </si>
  <si>
    <t>0x42710eeee077098d6042e2eb7d8d08da3dae5845</t>
  </si>
  <si>
    <t>14256468116066386620</t>
  </si>
  <si>
    <t>0xb71667b32a69fb3712a7e0824bdea7cc146ccfcd</t>
  </si>
  <si>
    <t>13485686755547725638</t>
  </si>
  <si>
    <t>0x95a169165462bf7ffffbecd980de8b49caaef79a</t>
  </si>
  <si>
    <t>37679592225168418878</t>
  </si>
  <si>
    <t>0xd87a09cb4f1ac56b465e805380d74935b2691d7a</t>
  </si>
  <si>
    <t>6904126415383986347</t>
  </si>
  <si>
    <t>0xa4c34a0dbefbe1b224cc093f466a0bc7375a96fa</t>
  </si>
  <si>
    <t>8610540653977898986</t>
  </si>
  <si>
    <t>0x048054f6e13bb29c6453a12337999faaf8ebd72f</t>
  </si>
  <si>
    <t>4949888739500612194</t>
  </si>
  <si>
    <t>0x06ca0cf7824371fbf0f3e06a5893e9a6c4b14292</t>
  </si>
  <si>
    <t>6474279025497870933</t>
  </si>
  <si>
    <t>0xf728fd7a58d5c69a2344bf7fb7acfe95f1ecac1c</t>
  </si>
  <si>
    <t>81631048018041818</t>
  </si>
  <si>
    <t>0xab801519668c3139d266edfa2372d566bb600b06</t>
  </si>
  <si>
    <t>0xd1569e77f03fdd98bb5e448e5f27fac29837bc00</t>
  </si>
  <si>
    <t>181079331886295301</t>
  </si>
  <si>
    <t>0xe9c27f19789c9fa189f5d3174ed468fbc610e914</t>
  </si>
  <si>
    <t>53618286079427450</t>
  </si>
  <si>
    <t>0x0ea7fb17503a88787c3eec0022f2a698300e8929</t>
  </si>
  <si>
    <t>7364679389465174201</t>
  </si>
  <si>
    <t>0x64088495a1dbefbb96fe9aa5e4ddd889ddf2adae</t>
  </si>
  <si>
    <t>46577550278389488263</t>
  </si>
  <si>
    <t>0xf558cc64dd8459bc7899bb04a348f1cabcfbc7a0</t>
  </si>
  <si>
    <t>45380037473668403103</t>
  </si>
  <si>
    <t>0x9bb4b08a82ef647babe5ccd73339374315018156</t>
  </si>
  <si>
    <t>24705800578064940951</t>
  </si>
  <si>
    <t>0xdcae611be1470b5c23cfdf2502cb9cbd9a925720</t>
  </si>
  <si>
    <t>0x48d716e6801cd09c7cd696e56c8b904fb7589f1d</t>
  </si>
  <si>
    <t>677454402450619571606</t>
  </si>
  <si>
    <t>0xa3c7e0c3a3c8182f5f5d2e6ae7a275ded53eb8fc</t>
  </si>
  <si>
    <t>49484341569019399272</t>
  </si>
  <si>
    <t>0xbcb169ad3962fbf4536d842942c81e9b4d25a75e</t>
  </si>
  <si>
    <t>7187210967938734163</t>
  </si>
  <si>
    <t>0xc2548133d78d48d898fba72a152c2bd45b512e82</t>
  </si>
  <si>
    <t>15133049108935091885</t>
  </si>
  <si>
    <t>0xa3321a9b550f30deb5612b250252bfef39987b11</t>
  </si>
  <si>
    <t>47924712472191864959</t>
  </si>
  <si>
    <t>0xdd722d79ba5e1e8e360c0c41dd9f20463a411589</t>
  </si>
  <si>
    <t>23542065286843554012</t>
  </si>
  <si>
    <t>0x7184303b1b9e46ac83fa9d585f34660141897281</t>
  </si>
  <si>
    <t>6552811258619420230</t>
  </si>
  <si>
    <t>0x0473a13cb3088ebd0092ea137170508da3f7fb8c</t>
  </si>
  <si>
    <t>46649854183511799099</t>
  </si>
  <si>
    <t>0x631a148bc74ad8a7d9b57355391df1d38725986d</t>
  </si>
  <si>
    <t>7641093749006458341</t>
  </si>
  <si>
    <t>0x18333621593b886e9a2d43b52d8de527c76e1206</t>
  </si>
  <si>
    <t>6326898747707065638</t>
  </si>
  <si>
    <t>0x26dbcf1172884be361ce0dc20181cdaba02ea39f</t>
  </si>
  <si>
    <t>7194618689614594534</t>
  </si>
  <si>
    <t>0x13fefdd563a930f07b1ac8a2227acc27c3c12946</t>
  </si>
  <si>
    <t>4004688288875606092794</t>
  </si>
  <si>
    <t>0xef070bdade2ed75b87862010bc1c5394e88df2d8</t>
  </si>
  <si>
    <t>0x576cfc154de79c58dcafd17d87c3bc0de2e26513</t>
  </si>
  <si>
    <t>2909983766370225122</t>
  </si>
  <si>
    <t>0xa20039e396d4fd251b53b947e2862fd2262f780d</t>
  </si>
  <si>
    <t>0xe430d0a7c6140447ca64c16ce09466c808bd077b</t>
  </si>
  <si>
    <t>9452095466066230595</t>
  </si>
  <si>
    <t>0xb840270ca2e24ef6a332a462aaa1993e3dd659a9</t>
  </si>
  <si>
    <t>7823591685886818877</t>
  </si>
  <si>
    <t>0x266d8e3b85dd66758854e4e2ae27c4a161236828</t>
  </si>
  <si>
    <t>44309294782623030560</t>
  </si>
  <si>
    <t>0x9a0b1794b3648a94c4fbf5ad610f97c0a7a19afa</t>
  </si>
  <si>
    <t>8482249995078206187</t>
  </si>
  <si>
    <t>0x01ec202abb571e073c144691b848f947b017fd16</t>
  </si>
  <si>
    <t>40834822753524495762</t>
  </si>
  <si>
    <t>0xaef368c69b23ee997b75aeeadf35a9360a452941</t>
  </si>
  <si>
    <t>3318264207218325226</t>
  </si>
  <si>
    <t>0x9c61592baf26d931079acb91b1e546bf14f80db2</t>
  </si>
  <si>
    <t>201103506918102691977</t>
  </si>
  <si>
    <t>0xba5b0827556dc36fefe521b9a89f7c007dcbb7cf</t>
  </si>
  <si>
    <t>49925910914602742921</t>
  </si>
  <si>
    <t>0xe8502c7f6b17fb5d539c92c30334a60c3bcb23a0</t>
  </si>
  <si>
    <t>485308878917961266</t>
  </si>
  <si>
    <t>0xe042fd38c9e99abc078e0084e289c149f8fe4571</t>
  </si>
  <si>
    <t>2239141076701986971</t>
  </si>
  <si>
    <t>0x2f866300cdbe379df062cf499b3d6ba6644d7d25</t>
  </si>
  <si>
    <t>166709035200748449846</t>
  </si>
  <si>
    <t>0xd4c0cf88ef87872a0fcfe7eaa2ecac1a10ca3d7c</t>
  </si>
  <si>
    <t>76432958259700923968</t>
  </si>
  <si>
    <t>0xfcee9fff52093a2059bc53fed9e37c2c7b17cfc2</t>
  </si>
  <si>
    <t>174954601565549274487</t>
  </si>
  <si>
    <t>0x4f262395cdead58c12f97daaf1b44b1d0215d1c5</t>
  </si>
  <si>
    <t>831724548699463530508</t>
  </si>
  <si>
    <t>0x0954065a1cf2379da0e1115240b7063df01d3e9d</t>
  </si>
  <si>
    <t>12111482367678017243</t>
  </si>
  <si>
    <t>0x69dc6cfda136f759f3b935aa3354495a70a604bd</t>
  </si>
  <si>
    <t>7180224620833700284</t>
  </si>
  <si>
    <t>0xbf245ad0755b29b418485d03f5dac70202f9f379</t>
  </si>
  <si>
    <t>1723832975433089874</t>
  </si>
  <si>
    <t>0xd4053424be3e5ef26da0fd05da41b5d903fc9394</t>
  </si>
  <si>
    <t>9165783480801005904</t>
  </si>
  <si>
    <t>0xefcf8f842962e2700e3b6405e80ffc6300838e91</t>
  </si>
  <si>
    <t>0x4795872535de6da285430df754d1cca07186d4e1</t>
  </si>
  <si>
    <t>5351187344220661098</t>
  </si>
  <si>
    <t>0x1aef683d8852e1a9ce71c4756cc567e33798f1b5</t>
  </si>
  <si>
    <t>7213520873945401182</t>
  </si>
  <si>
    <t>0x61c8327824f125753a370a8d730fc6f67e00eb75</t>
  </si>
  <si>
    <t>95589850368136454755</t>
  </si>
  <si>
    <t>0x187a0f79ea756f53bb659544c75ec36fd1e889fe</t>
  </si>
  <si>
    <t>7153223371585859364</t>
  </si>
  <si>
    <t>0xf0e5fbedbf83edc03b321860973ac48cc533c188</t>
  </si>
  <si>
    <t>124627733244829015599</t>
  </si>
  <si>
    <t>0x3598a53d18b801a048d099818ba55890b6885ec5</t>
  </si>
  <si>
    <t>600878787342115852665</t>
  </si>
  <si>
    <t>0x12bc1b3d8fdc9fc527af3ba867ea8bfe4e12a56a</t>
  </si>
  <si>
    <t>10086507822002861896</t>
  </si>
  <si>
    <t>0x31292dd471bac1e10c71b36a53bc3619fe6f27e2</t>
  </si>
  <si>
    <t>138682087535188770407</t>
  </si>
  <si>
    <t>0x357401e7b6cce28b01d3ecd900bdf5ef168aca19</t>
  </si>
  <si>
    <t>5750400013330018581369</t>
  </si>
  <si>
    <t>0x7ab78ba9c285d6c40f9078d38d8ed46aba51e7e0</t>
  </si>
  <si>
    <t>10534605936463724832</t>
  </si>
  <si>
    <t>0xae151eeb1e090673f0bf077254c5c3fe9911e167</t>
  </si>
  <si>
    <t>723598847524948022164</t>
  </si>
  <si>
    <t>0x4208a3d37db93fc1965a4ba6b3f419abc9340731</t>
  </si>
  <si>
    <t>2327379758513733627</t>
  </si>
  <si>
    <t>0x1d900608c195f76f746e793cea49394913400168</t>
  </si>
  <si>
    <t>938485117331556648739</t>
  </si>
  <si>
    <t>0x2cc7da5ef8fd01f4a7cd03e785a01941f28fe8da</t>
  </si>
  <si>
    <t>4059490799415604933</t>
  </si>
  <si>
    <t>0x316d8e3697c4f588960ba4c2deeda31ecc7d9ccb</t>
  </si>
  <si>
    <t>0xd251261d5ffe5e0c660f88eda704dbcb76918da2</t>
  </si>
  <si>
    <t>6897997103775502825</t>
  </si>
  <si>
    <t>0x119e8861d32caea83279220a5b7e0b6bd07122b2</t>
  </si>
  <si>
    <t>0x187c6e4cdf93ef74080e151ca31d042f80cad8d8</t>
  </si>
  <si>
    <t>560586604862852279</t>
  </si>
  <si>
    <t>0x941030d19a19ff10c1686f1d1c00b4b37bc48156</t>
  </si>
  <si>
    <t>35622124262284666175</t>
  </si>
  <si>
    <t>0xf7e1874e96535dcf8e8e915aacaeaf40f8b038f6</t>
  </si>
  <si>
    <t>103701535282226125888</t>
  </si>
  <si>
    <t>0x35bc5733ff0056a5d26dd10bb2f5cdf18926b5b1</t>
  </si>
  <si>
    <t>8886646583378014278</t>
  </si>
  <si>
    <t>0x2e771628e765c04a06252801177332d078a19a21</t>
  </si>
  <si>
    <t>716462757833949032584</t>
  </si>
  <si>
    <t>0xb52c1fc731089aa81e9b63df97815fc59a430c06</t>
  </si>
  <si>
    <t>148190865989072120881</t>
  </si>
  <si>
    <t>0x72fbfe8c6c09491190103ba1325a13c75065a245</t>
  </si>
  <si>
    <t>52542665293668314996</t>
  </si>
  <si>
    <t>0x83ca3a6ebb3d20da15eac6a209743a5e756afa30</t>
  </si>
  <si>
    <t>5798755624148505244</t>
  </si>
  <si>
    <t>0x23366b3ef129f6b83be06b67228ab9e7c0d53cca</t>
  </si>
  <si>
    <t>3534270831282585911</t>
  </si>
  <si>
    <t>0x070c8eba534900e54d74b215d1dc54d8b05514be</t>
  </si>
  <si>
    <t>604360312149322190858</t>
  </si>
  <si>
    <t>0x511652f5f25f613331cd95e580c1a357146f4af1</t>
  </si>
  <si>
    <t>179276715273066344300</t>
  </si>
  <si>
    <t>0x094e50b0f5793fd9798416b3561923ffbbd657d7</t>
  </si>
  <si>
    <t>30500188847354875519</t>
  </si>
  <si>
    <t>0x8d32635559038f61911b8fd64e77203a4d399526</t>
  </si>
  <si>
    <t>69969720059803715396</t>
  </si>
  <si>
    <t>0x995e218d989d5869f72785097097b1bc93217eea</t>
  </si>
  <si>
    <t>42573577571200973338</t>
  </si>
  <si>
    <t>0x6585ba4bff5a3188045ce7a00571507367be3475</t>
  </si>
  <si>
    <t>0xb121c379752da402003132d612dc758b9494a717</t>
  </si>
  <si>
    <t>0x2d7b356cc7ae278c50918ee0cb95abe3ec56452e</t>
  </si>
  <si>
    <t>137129708253764333364</t>
  </si>
  <si>
    <t>0x944fc25484f9ed0b90464c7da0c5d1be463a669a</t>
  </si>
  <si>
    <t>2454459276040516429</t>
  </si>
  <si>
    <t>0x241dce9d184630f2f59388637af1d57b0e4e0360</t>
  </si>
  <si>
    <t>6286085619056953402</t>
  </si>
  <si>
    <t>0xa5c12a760b680fcb0f898fd94bbe94d34f8fd435</t>
  </si>
  <si>
    <t>0xfc4755e96e7a935d72f7181adb0ae8b683d5d467</t>
  </si>
  <si>
    <t>28855697214493353167</t>
  </si>
  <si>
    <t>0x8ee8bec88c2e2b6d1c464f856f90ea9ea5dba947</t>
  </si>
  <si>
    <t>530474471254894079462</t>
  </si>
  <si>
    <t>0xbbda8c587de8dc04abb35de738c04e4413355007</t>
  </si>
  <si>
    <t>0xf17382c751b850fb8f0985f878340df25a1759ac</t>
  </si>
  <si>
    <t>494116073757212152</t>
  </si>
  <si>
    <t>0xdd6299067d18d84f82cc179e7bfd12dd77c22d12</t>
  </si>
  <si>
    <t>7191896760613811049</t>
  </si>
  <si>
    <t>0x38084b751e6a1a7d2adc3af11df5f285d26877b9</t>
  </si>
  <si>
    <t>36293451711951797658</t>
  </si>
  <si>
    <t>0x7258fe1885c4bcefe5e16c3722c9429aaa5bff51</t>
  </si>
  <si>
    <t>815779706122019608858</t>
  </si>
  <si>
    <t>0x7f8b661ce6bde4d83587e0d47b2c19c382f00807</t>
  </si>
  <si>
    <t>2087699890510147841</t>
  </si>
  <si>
    <t>0x9614eeed1edf87877678dcf6951ad2ecb35a7ea4</t>
  </si>
  <si>
    <t>5700914173798957513</t>
  </si>
  <si>
    <t>0x79e821c178a47479b5ca6075a209b7c4d82a72eb</t>
  </si>
  <si>
    <t>363793767827240639528</t>
  </si>
  <si>
    <t>0x6455471cbb3e09d355cecc2206d8a8319a6c5581</t>
  </si>
  <si>
    <t>7404382933157762053</t>
  </si>
  <si>
    <t>0x1ec66cee24533add54055c0c496f40f8626d24bb</t>
  </si>
  <si>
    <t>6961886022598411853</t>
  </si>
  <si>
    <t>0x0b70497633a9d7f73615c9b5021f4acc2f82a754</t>
  </si>
  <si>
    <t>169064975267851388681</t>
  </si>
  <si>
    <t>0x425075e222b01fb5fe68471900f587d754b964aa</t>
  </si>
  <si>
    <t>0x0eb8745407a211a718d6921691ceb99fb5ac9f48</t>
  </si>
  <si>
    <t>531612719179033708311</t>
  </si>
  <si>
    <t>0x34f585e9e99695a1e48b127e4a5055348def9d29</t>
  </si>
  <si>
    <t>0x82c81b7f10987be36257e897168bcfe2c300ac56</t>
  </si>
  <si>
    <t>583524325270736691</t>
  </si>
  <si>
    <t>0x90019003e9d559d61bbb90daa1e79dea5d6ab368</t>
  </si>
  <si>
    <t>3840110640364160304</t>
  </si>
  <si>
    <t>0x4ffdd791745ca1b939c69c6edb78de488e1dafdb</t>
  </si>
  <si>
    <t>301394828249144835</t>
  </si>
  <si>
    <t>0x52ab9078e7cf1f6b940e5d331a6544f2f209ca04</t>
  </si>
  <si>
    <t>35469942062752031674</t>
  </si>
  <si>
    <t>0x370f4d2c3672eed2e5c93dfba76eab9195e01dd8</t>
  </si>
  <si>
    <t>3901975890873170433</t>
  </si>
  <si>
    <t>0x41868a8e43bfd46f2db34bd38df81cf87e318cff</t>
  </si>
  <si>
    <t>42411249975391030937</t>
  </si>
  <si>
    <t>0x3391be5c8112100f3ff79f3e8f27d3b70ead243d</t>
  </si>
  <si>
    <t>19328966542155554657</t>
  </si>
  <si>
    <t>0xc5091c6b9d62fd9cecb3402c4e926f8aca25f696</t>
  </si>
  <si>
    <t>42831121350147401583</t>
  </si>
  <si>
    <t>0x022a625e05621b3acf63f298681cce74e6ee3243</t>
  </si>
  <si>
    <t>61637683297568298295</t>
  </si>
  <si>
    <t>0x0eae04591c492c60d15c5aeb371a658ec13feb52</t>
  </si>
  <si>
    <t>2131179099269148742</t>
  </si>
  <si>
    <t>0x9dd561747b6f8b6b12217ed4e680d598f0ff9302</t>
  </si>
  <si>
    <t>62013595684288142721</t>
  </si>
  <si>
    <t>0x079601a1a437c2a36a092f2d5477d64fc3ccdbb2</t>
  </si>
  <si>
    <t>0xe5aa64c6aef762ad352f9aaab17d2242a0777939</t>
  </si>
  <si>
    <t>14566356852721174814</t>
  </si>
  <si>
    <t>0x816d7b421e3f7f0bdd7c3d900b91f8adc142cedd</t>
  </si>
  <si>
    <t>6196173026229787475</t>
  </si>
  <si>
    <t>0x38ebb35382281a3b434680c6f62b2702a978cd44</t>
  </si>
  <si>
    <t>9661332944540965998</t>
  </si>
  <si>
    <t>0xbf6ad28484f234a9e358aefc4cd610f6ad92f523</t>
  </si>
  <si>
    <t>1315319068583590460</t>
  </si>
  <si>
    <t>0x6e04809e10f70eb65befc210da1674dab5bfbc75</t>
  </si>
  <si>
    <t>2522524912379294276</t>
  </si>
  <si>
    <t>0xf5fd30be8bb640df8556c60b54a30cd5f5cc071d</t>
  </si>
  <si>
    <t>149853083246381642645</t>
  </si>
  <si>
    <t>0xe0cf619f6ae22e7aaccfca92886dd46c5dcca065</t>
  </si>
  <si>
    <t>14232612502726162351</t>
  </si>
  <si>
    <t>0x92cc5409e23b577cbf3c60601cd4341ba331e54d</t>
  </si>
  <si>
    <t>7086833312212686124</t>
  </si>
  <si>
    <t>0x783f5c16094b30d610cb5d2f2eb12a91a452eff0</t>
  </si>
  <si>
    <t>68160550290346774846</t>
  </si>
  <si>
    <t>0x5f5246468af4a589623a1232951bbefb222a4a1b</t>
  </si>
  <si>
    <t>1225460757271922017</t>
  </si>
  <si>
    <t>0x3324b75e74992e876a23b66e3265e5a79d5784cf</t>
  </si>
  <si>
    <t>1330006884435750852</t>
  </si>
  <si>
    <t>0xaa8e03b1ed158bea87a5f774de0b2816ae292520</t>
  </si>
  <si>
    <t>0xb6d6af966c83997e2d985c024ec6ac665cc52277</t>
  </si>
  <si>
    <t>30812418087794734149</t>
  </si>
  <si>
    <t>0x8e0fd6ab040360dd674dff0f0c24308b3b056499</t>
  </si>
  <si>
    <t>24877786010948413911</t>
  </si>
  <si>
    <t>0xcbd156366e974840f7938266473c423a1737af27</t>
  </si>
  <si>
    <t>5479505098382935305</t>
  </si>
  <si>
    <t>0xd1b85b544df78fb9b00d22c976ef5afafcec8d4d</t>
  </si>
  <si>
    <t>99721026930456899</t>
  </si>
  <si>
    <t>0x90e2bb9c5030e38ea1d4e3c46c81a9f1bf66e7f6</t>
  </si>
  <si>
    <t>0x42a0e6df1b0f302c29dd7ee19692640e1f93e7c3</t>
  </si>
  <si>
    <t>7498144046846941229</t>
  </si>
  <si>
    <t>0x1a1d8a4da8d4c67e13c7ab22ea403ba747943cd4</t>
  </si>
  <si>
    <t>82868957298120498965</t>
  </si>
  <si>
    <t>0x64b384e47d67b62d981aee727018e765a8540072</t>
  </si>
  <si>
    <t>228680579568591538260</t>
  </si>
  <si>
    <t>0xfc6002cbc251cd082ab0ed1316ed1dad29776ebe</t>
  </si>
  <si>
    <t>1296546872029445503</t>
  </si>
  <si>
    <t>0xe027eac99d78a793a04aa6aeb94ae7cf333ba147</t>
  </si>
  <si>
    <t>49926802784595488040</t>
  </si>
  <si>
    <t>0x0f30c0a9175ca55b84c8d0c60e8e610df9385c7d</t>
  </si>
  <si>
    <t>6280165656693814455</t>
  </si>
  <si>
    <t>0x14d316262d575e7074491a5e95e69c1fee3e65c2</t>
  </si>
  <si>
    <t>2650703123461939433589</t>
  </si>
  <si>
    <t>0xfea567b1989c3221d37434e273b0d85cbf8bacf8</t>
  </si>
  <si>
    <t>619617114768975651065</t>
  </si>
  <si>
    <t>0x711352636f56f52c6d92eeac7392dd8463d27320</t>
  </si>
  <si>
    <t>6605467092789165034</t>
  </si>
  <si>
    <t>0xc048b9190bcca91d3e740cc1aa682b4a50e7af52</t>
  </si>
  <si>
    <t>14158938370545466413</t>
  </si>
  <si>
    <t>0x8a4d328a29fa61d23aef27e968981e2f8f7f18d3</t>
  </si>
  <si>
    <t>26935115615758738234</t>
  </si>
  <si>
    <t>0xa96c4007bdc9048726b1da6df8b319db00ccb05d</t>
  </si>
  <si>
    <t>6307541898842879073</t>
  </si>
  <si>
    <t>0x216b1e8dadad6bbdcf14ff837cdfa9227110cc50</t>
  </si>
  <si>
    <t>45736475102786460639</t>
  </si>
  <si>
    <t>0x309f978587672484df6c6d4ff514ac7b4bf1be50</t>
  </si>
  <si>
    <t>7198572765800454741</t>
  </si>
  <si>
    <t>0x95fcdfb381d13e1663ec0efa5b64cca851d34550</t>
  </si>
  <si>
    <t>389904482650893585327</t>
  </si>
  <si>
    <t>0x6487a63db2be75c0c8a8a3c23ac6dfb532a7f765</t>
  </si>
  <si>
    <t>43213064098264269259</t>
  </si>
  <si>
    <t>0xc888d999c8351dba892463b5901d94442a84bf57</t>
  </si>
  <si>
    <t>0x49e835a2d7517e6715fd7253b11e5d323e125ff5</t>
  </si>
  <si>
    <t>8198770291255055951</t>
  </si>
  <si>
    <t>0x1a55d6683388a9e74db6c86b4744e3a6a2b23602</t>
  </si>
  <si>
    <t>1885958524038519719</t>
  </si>
  <si>
    <t>0xc51a3f5d9f1d902db05699ee587903129e79d05c</t>
  </si>
  <si>
    <t>0xc18aa93025216cb20351bb8c4980e400cfed462b</t>
  </si>
  <si>
    <t>0x976cf729c0d4521eed03309d67df6672249c9824</t>
  </si>
  <si>
    <t>6505894196081561875</t>
  </si>
  <si>
    <t>0x2fd6d6c8a66ae756192e0f13a8c984375ea725db</t>
  </si>
  <si>
    <t>6220868999172707389</t>
  </si>
  <si>
    <t>0xbf3ff025e545cba73ad99498803800d53b2db6af</t>
  </si>
  <si>
    <t>12016520826360792098</t>
  </si>
  <si>
    <t>0x09d50ad5afd484c8bb425ecec16b0458e1d92eac</t>
  </si>
  <si>
    <t>6939870149898164642</t>
  </si>
  <si>
    <t>0x3d72398e8ef210894db7208a46ec55fd92c350f4</t>
  </si>
  <si>
    <t>14456430891007049851</t>
  </si>
  <si>
    <t>0xb5a16fbe2341691a808995948055b0450811f35a</t>
  </si>
  <si>
    <t>3863177804940557072</t>
  </si>
  <si>
    <t>0xd4d00a14d2d3181dbebeaf062933d150e9bafb27</t>
  </si>
  <si>
    <t>107740231749641774970</t>
  </si>
  <si>
    <t>0xb918d6fab29ffcdbaa5d75e893c78bcdd1f08844</t>
  </si>
  <si>
    <t>297508891385903482</t>
  </si>
  <si>
    <t>0xd7f0ad1c4a8509c82c9b7a2853eba11ce5a5872a</t>
  </si>
  <si>
    <t>0xc86fca1cec172c35135cf61973aeddeff59d6220</t>
  </si>
  <si>
    <t>7095650389413103705</t>
  </si>
  <si>
    <t>0x1a4579432838ddb609e3959850586a4310123e80</t>
  </si>
  <si>
    <t>8236673753095384186</t>
  </si>
  <si>
    <t>0x2b1e747fd93a52af8f9498bbfda7c288f539fe0d</t>
  </si>
  <si>
    <t>7184835169165520963</t>
  </si>
  <si>
    <t>0x10389227c4bc20d1ea1c634b4b2e55a6a0ae1c2b</t>
  </si>
  <si>
    <t>0xe1a2da58329027591d43885457ed048d3092b515</t>
  </si>
  <si>
    <t>36163468283909465537</t>
  </si>
  <si>
    <t>0xe953e98b21f112d70ddd1569ceaff63f6b666969</t>
  </si>
  <si>
    <t>8076533257663329133</t>
  </si>
  <si>
    <t>0xe35202f344f3c0ad113c52f3317e8f72b4dc0d59</t>
  </si>
  <si>
    <t>79689343045796593693</t>
  </si>
  <si>
    <t>0x40e130041dd70193a536e930092023f0025b44d0</t>
  </si>
  <si>
    <t>7443770655043054369</t>
  </si>
  <si>
    <t>0x5b191f5a2b4a867c4ed71858daccc51fc59c69c0</t>
  </si>
  <si>
    <t>204294250518574139855</t>
  </si>
  <si>
    <t>0x6cf9380f5e1a38e3b4c5101c1aa0211603fec13f</t>
  </si>
  <si>
    <t>0xcde87c9eb0e1f69c9afced3bd2154a4b92fe22c3</t>
  </si>
  <si>
    <t>13138889825586158613</t>
  </si>
  <si>
    <t>0xc48c6cc2ccff9fc3c4a95910cf5c722ba01e0a48</t>
  </si>
  <si>
    <t>35605386848101781480</t>
  </si>
  <si>
    <t>0xf7dcd7cdb4c883d9aa05495c6ccb03abd2dd1b7c</t>
  </si>
  <si>
    <t>141370833251303436458</t>
  </si>
  <si>
    <t>0xe89546063d995dfc96d719e4ff533e82a02dbb88</t>
  </si>
  <si>
    <t>112802892300992293287</t>
  </si>
  <si>
    <t>0xa118531dc5071f8449261a684dec12b1a875e67e</t>
  </si>
  <si>
    <t>20521117206698547738</t>
  </si>
  <si>
    <t>0x6c4ee7dc42a65e8f8dd3b9be9b8c85ffbe36c4e5</t>
  </si>
  <si>
    <t>2869363715763716083</t>
  </si>
  <si>
    <t>0xbc08ac3116fbf90541f9658ac794830695060935</t>
  </si>
  <si>
    <t>3081097161306229017</t>
  </si>
  <si>
    <t>0x32326398d8fbea240345abd13a6fd65153fce56b</t>
  </si>
  <si>
    <t>36049562479082376296</t>
  </si>
  <si>
    <t>0x1533e20c4a9acd54ba03f027f2ab7b28ceba7b97</t>
  </si>
  <si>
    <t>376268533154788738466</t>
  </si>
  <si>
    <t>0x386f823853c3500acfc4ed6e3c72123f222e88c7</t>
  </si>
  <si>
    <t>0xce93fc7b9cd514eb57a85512be7c41a7c13beb6c</t>
  </si>
  <si>
    <t>7245741866436968456</t>
  </si>
  <si>
    <t>0x1fc13d70932d2276f575e46d808211f666dd5f00</t>
  </si>
  <si>
    <t>28720617915452876365</t>
  </si>
  <si>
    <t>0x2d8b113d44d9a55d0c6a0f90a46b3bdb1ee373e6</t>
  </si>
  <si>
    <t>0xbbf5e7a89740a7022017fa8d5541cb89d144406c</t>
  </si>
  <si>
    <t>6594368185053369179</t>
  </si>
  <si>
    <t>0x06fad7af167cb26285e40516817c32ffb27e66de</t>
  </si>
  <si>
    <t>2824141937897147723</t>
  </si>
  <si>
    <t>0x71d6c03cf9a9cbe383daa9d921c66698d81fc505</t>
  </si>
  <si>
    <t>7290667331227037335</t>
  </si>
  <si>
    <t>0x62c41b57c293e440714574cfab2202a5bcd33868</t>
  </si>
  <si>
    <t>1328759268715974087</t>
  </si>
  <si>
    <t>0x3803431f81fde7239c6947b09bdc02a8beac6ebc</t>
  </si>
  <si>
    <t>0x9d5531a034c125ac14f0780e6e99310739ad0b14</t>
  </si>
  <si>
    <t>1536898272488568242249</t>
  </si>
  <si>
    <t>0x9ac82028a1acd989ef3c1dd3008346b66203689f</t>
  </si>
  <si>
    <t>1293759048364944504</t>
  </si>
  <si>
    <t>0xa1f230b74076dcfe2c5a1ad367f760ac9c937180</t>
  </si>
  <si>
    <t>2656280422241235437</t>
  </si>
  <si>
    <t>0x196a37946c3d93e9a5309f539ae28b774a32411f</t>
  </si>
  <si>
    <t>803695750674404064647</t>
  </si>
  <si>
    <t>0xde3ccc4c5128fae5fa340566f6be2747fb00d533</t>
  </si>
  <si>
    <t>7134496233751751864</t>
  </si>
  <si>
    <t>0xd52ed4e2a4f158fbc5fbc3804979be12ed3ad784</t>
  </si>
  <si>
    <t>0x456462bc7c90c700f78c448452cc5466df67e3b0</t>
  </si>
  <si>
    <t>0x149a2d6844f0b69491ecbbbc951ee40d98f60404</t>
  </si>
  <si>
    <t>2261933332020854983</t>
  </si>
  <si>
    <t>0x47779c5f876054bea1e755414b49f611b0aed649</t>
  </si>
  <si>
    <t>5004325881675749896</t>
  </si>
  <si>
    <t>0x03928d8fd935f842e8ff2039530ddda41207a4d7</t>
  </si>
  <si>
    <t>71378624036212365882</t>
  </si>
  <si>
    <t>0x86ec85869c0c24ccb08fa1ea022072d485ea175a</t>
  </si>
  <si>
    <t>447190596440763107</t>
  </si>
  <si>
    <t>0xa121eadc0a1f881ef849bea083acbc68bb523bf7</t>
  </si>
  <si>
    <t>7142060426503675332</t>
  </si>
  <si>
    <t>0x76481046d698c43a99457d00ba8243e83a913151</t>
  </si>
  <si>
    <t>14147621640857161959</t>
  </si>
  <si>
    <t>0x24188b8f4431a982c3e192c609d77bdb398a8c3d</t>
  </si>
  <si>
    <t>567716668572746554</t>
  </si>
  <si>
    <t>0x3cfad5d67249de057bc1c9b47eb8a0cf7b4f6cf5</t>
  </si>
  <si>
    <t>1288601261817819765469</t>
  </si>
  <si>
    <t>0x9f05a8ac79c0ceabf71fa44cc5c58cd4a2f5e67b</t>
  </si>
  <si>
    <t>329503949101231469</t>
  </si>
  <si>
    <t>0x64f0d8f2804990ff5a8f085b111384b328b9230d</t>
  </si>
  <si>
    <t>58257985701539966794</t>
  </si>
  <si>
    <t>0x4a3ecf83f6b0bc5f352c5581598bdba601d3d09f</t>
  </si>
  <si>
    <t>46661317090974985288</t>
  </si>
  <si>
    <t>0x0edca1042a26022e95899ce1eeb1d362039b4e4a</t>
  </si>
  <si>
    <t>0xa95878ae16923a232445bf7d3290b4a075b8e6a8</t>
  </si>
  <si>
    <t>453020011649365481032</t>
  </si>
  <si>
    <t>0x24ab6c94b27c0931fdf79c2fd505de16e2a87315</t>
  </si>
  <si>
    <t>3712663468073749824</t>
  </si>
  <si>
    <t>0xf0ea58b65c82c48ce69f0abd68d178e7764c4ba2</t>
  </si>
  <si>
    <t>176801631787980660487</t>
  </si>
  <si>
    <t>0x5903f52c69c3c93c2340d8e9abb40f1b3d34fdb2</t>
  </si>
  <si>
    <t>7212201175091618886</t>
  </si>
  <si>
    <t>0x98b9390d334a7880933f59ed24e9f13e7702757e</t>
  </si>
  <si>
    <t>0x821ebc8d481c2440c6581534acc6cc0d0bff7c73</t>
  </si>
  <si>
    <t>0x6f671145d14a48d4a283a20c8081866bbaa264a6</t>
  </si>
  <si>
    <t>0xff1fb850ab1b4a9cb31ab3a43d145d90383bb072</t>
  </si>
  <si>
    <t>21097837574270865719</t>
  </si>
  <si>
    <t>0xbd4b52233aefa2f809373f82bb0bae6889b45420</t>
  </si>
  <si>
    <t>0xe98810c045b720d0e6b56c378e51235de41f36e1</t>
  </si>
  <si>
    <t>0x3d91f4270f1a7dc9b9ee3d8ac88e582040412df3</t>
  </si>
  <si>
    <t>28397233835156373726</t>
  </si>
  <si>
    <t>0xeab91e91ebb3bf7c53bafc6dbaf8c234d7a11faf</t>
  </si>
  <si>
    <t>5096226396240081289</t>
  </si>
  <si>
    <t>0x7c669729c3e6b0c8a2324905b73605d0d26f6819</t>
  </si>
  <si>
    <t>10960025297312140069</t>
  </si>
  <si>
    <t>0xa12d205d2b2aef73089ec2b8bd700789489742c4</t>
  </si>
  <si>
    <t>459455208066736168488</t>
  </si>
  <si>
    <t>0x0ebf9c68dcba4bf09799231ab432d6f3e621637c</t>
  </si>
  <si>
    <t>5627920413955463447</t>
  </si>
  <si>
    <t>0x88c8edb299bd990674a4783e9de640c3678a2df3</t>
  </si>
  <si>
    <t>5121430611204545267</t>
  </si>
  <si>
    <t>0xe6e56a43f38c11600fcb02d0c790baede5e34bc7</t>
  </si>
  <si>
    <t>7141979817702779111</t>
  </si>
  <si>
    <t>0xb02fe8ce7ed1edb018611fd0f7dc983028a5e41f</t>
  </si>
  <si>
    <t>141370833251303436</t>
  </si>
  <si>
    <t>0xfd2051261eec0136791e2964d1ecf6a1cb26a266</t>
  </si>
  <si>
    <t>157116327588136069</t>
  </si>
  <si>
    <t>0xf1f022d9fbe8675e7076e9aa940bf072fbb18ac0</t>
  </si>
  <si>
    <t>221191314085566178780</t>
  </si>
  <si>
    <t>0xafa337a18def1d59c66db2baf52624a33d9370cf</t>
  </si>
  <si>
    <t>1824646158325104443</t>
  </si>
  <si>
    <t>0x653c290b1b80bee0466e7e433d980b38a825cc29</t>
  </si>
  <si>
    <t>578316135447638369</t>
  </si>
  <si>
    <t>0x16c915232ac95a978e2dacca07124608c5c4d1f3</t>
  </si>
  <si>
    <t>9006118121474900158</t>
  </si>
  <si>
    <t>0x0d018c40229202ccb746ef41d94d64f86ef6bac1</t>
  </si>
  <si>
    <t>143395817134389925163</t>
  </si>
  <si>
    <t>0x12fbe87ca2674036a9d5d6cf2593043efbee1a6c</t>
  </si>
  <si>
    <t>0x9bd6eb3c76e147b1141fcfc03c9867fcd6f7269a</t>
  </si>
  <si>
    <t>341578848861692675</t>
  </si>
  <si>
    <t>0xf8ba71c6ab2a5e7fd01db3ea52db8c0b540a8972</t>
  </si>
  <si>
    <t>1282114288762691147</t>
  </si>
  <si>
    <t>0xed420f5f00186fa868aff815f9f5725be1cadc6d</t>
  </si>
  <si>
    <t>106150094818092246094</t>
  </si>
  <si>
    <t>0x15a740b85d7c28f9c495ec5dc7b7450aa7e465e6</t>
  </si>
  <si>
    <t>38164796720792953190</t>
  </si>
  <si>
    <t>0x15ce509963e564c12b530454a41fbf3e537b26ca</t>
  </si>
  <si>
    <t>0xd45774113c03bdd689dbfcdb1ab79b8af676ca99</t>
  </si>
  <si>
    <t>35625449979328465987</t>
  </si>
  <si>
    <t>0x5e0b1f370c47cffa0e7a87137e9b8036e79caa2a</t>
  </si>
  <si>
    <t>176713541564129295572</t>
  </si>
  <si>
    <t>0x0c56825b60add68d79c3b40bbd306c308516708d</t>
  </si>
  <si>
    <t>216721516617511880170</t>
  </si>
  <si>
    <t>0x47e9e678452882dd94d2e01b372f2e119dc68fc1</t>
  </si>
  <si>
    <t>538460833528190749958</t>
  </si>
  <si>
    <t>0xb628bf6ea09cefe2e83aa8e10dd13b45f0af85fc</t>
  </si>
  <si>
    <t>0xb35a6b12eb6df76967fc4eb21c9bff63a706f6d3</t>
  </si>
  <si>
    <t>7356443151718346218</t>
  </si>
  <si>
    <t>0x37eb51c26efaab36233fd3869a0184ee696550d2</t>
  </si>
  <si>
    <t>0x829f958d612ef37d521f97bc280cccb5d84b852a</t>
  </si>
  <si>
    <t>67234819236145630419</t>
  </si>
  <si>
    <t>0x8fe0314641d49e24c05983ff6f0cd94bddbbfdd5</t>
  </si>
  <si>
    <t>0x8bf58b60592eda781cda22c3aa59eb4fde6ba01f</t>
  </si>
  <si>
    <t>0x7acc1cfa105b1f47249030310d715fa117e30d60</t>
  </si>
  <si>
    <t>8345359891219611073</t>
  </si>
  <si>
    <t>0xe9d289dce390906ed2e982278f9653f7b03c3df7</t>
  </si>
  <si>
    <t>63616874963086546406</t>
  </si>
  <si>
    <t>0x4054d802d79f9cd7ec364a0ffb89c1dd4c0ac358</t>
  </si>
  <si>
    <t>0xbf57635fed733c568eec316830e0b39a8b7449e2</t>
  </si>
  <si>
    <t>14360302829832978832</t>
  </si>
  <si>
    <t>0x28a3e659d116d4378479505544fcc1de8ec9abee</t>
  </si>
  <si>
    <t>10921979990362951444</t>
  </si>
  <si>
    <t>0x67afd790133ea65c16a1ac0734345c5151a2a042</t>
  </si>
  <si>
    <t>0xe413fbd1ae22e49b797c96127c32bcc6dacb15f8</t>
  </si>
  <si>
    <t>0x32e6d32202f942d97be57514e3479148cfb3154c</t>
  </si>
  <si>
    <t>44759058355203360743</t>
  </si>
  <si>
    <t>0x4d788b80e36959444e29f939668979082ed5048c</t>
  </si>
  <si>
    <t>25956370479451713352</t>
  </si>
  <si>
    <t>0x0988cc3e99af9efbe1d6c5feeb73d1f7fbcb202e</t>
  </si>
  <si>
    <t>91208060930693859500</t>
  </si>
  <si>
    <t>0x63f01222cdd9bdefbac853d421a8ad46d8397231</t>
  </si>
  <si>
    <t>2973984745141831791</t>
  </si>
  <si>
    <t>0x43b0b24c050a7348c09c76c916b7f37dc21e94bc</t>
  </si>
  <si>
    <t>5812536384214717808</t>
  </si>
  <si>
    <t>0x33070e04e63dcc92f00f2136e6b81f935615f3c3</t>
  </si>
  <si>
    <t>250601862076362488</t>
  </si>
  <si>
    <t>0x91919b27174dcb4eb742e82c86695b24cba73aa1</t>
  </si>
  <si>
    <t>34688698256339656586</t>
  </si>
  <si>
    <t>0xdda676f2a6481d3042ca65efd1899d55ad3d4671</t>
  </si>
  <si>
    <t>1570243538290067503</t>
  </si>
  <si>
    <t>0x5739928bbcf4cf6932369f1d590ede8a8cd53cda</t>
  </si>
  <si>
    <t>75353594353533889</t>
  </si>
  <si>
    <t>0x87a542ba7990e616c41883e9b6912e20470fda79</t>
  </si>
  <si>
    <t>7659270998265548328</t>
  </si>
  <si>
    <t>0xa7b9636ac66b76e629bb3c8915409d8a15419403</t>
  </si>
  <si>
    <t>10020028728633021745</t>
  </si>
  <si>
    <t>0x540dcd16e6ed2ff52a9b97992aa8bd5edaaeed0d</t>
  </si>
  <si>
    <t>0x5d02c857e98465f5b3a957b1f43569c4dae58ca0</t>
  </si>
  <si>
    <t>0x1832ece1239338264f70f6d6204e66c2145a2db2</t>
  </si>
  <si>
    <t>909728752062435087</t>
  </si>
  <si>
    <t>0xce589abecfb98d1eaeba43e6d9e041e87e5ad13d</t>
  </si>
  <si>
    <t>15798025993456220571</t>
  </si>
  <si>
    <t>0xb942293e251be086aa7b5a835ae5a204c80658ba</t>
  </si>
  <si>
    <t>4306657767154143308</t>
  </si>
  <si>
    <t>0xa656316cd0613c47a5b1c49125af331189a8e551</t>
  </si>
  <si>
    <t>388769791441084450259</t>
  </si>
  <si>
    <t>0x9a06ded5a7fdbb1cf08f8414b18f73d078038fe2</t>
  </si>
  <si>
    <t>6209407550138142537</t>
  </si>
  <si>
    <t>0x6d79add48cf4bab813773235ca20f5942f5e39d0</t>
  </si>
  <si>
    <t>14034798425146059695</t>
  </si>
  <si>
    <t>0x81389bf2b1fcda287b090119ea3cc706a16b6c36</t>
  </si>
  <si>
    <t>16050064879947129678</t>
  </si>
  <si>
    <t>0x76692308e29ac2ee3378cbd50c6c02c8094e7f67</t>
  </si>
  <si>
    <t>0xc321e5dbe8a3e3bf9c91ddea64ba0ad4df9729d6</t>
  </si>
  <si>
    <t>24881266652229404816</t>
  </si>
  <si>
    <t>0x7b4a10ff99be31956f29eb2b65e1eb4f55f35a43</t>
  </si>
  <si>
    <t>4437313671129077279</t>
  </si>
  <si>
    <t>0xb5968113f977c93a47479f1762d57be73df4ba1a</t>
  </si>
  <si>
    <t>15550791657643378010</t>
  </si>
  <si>
    <t>0x88394bff9ea27cc25232da12044366786814f7d0</t>
  </si>
  <si>
    <t>8664269914901464075</t>
  </si>
  <si>
    <t>0xe31ae6611c21d3f4114d610208d0848fda574df0</t>
  </si>
  <si>
    <t>55014490238589525848</t>
  </si>
  <si>
    <t>0x213adb059e4b51876107eb198a758a53933e91b6</t>
  </si>
  <si>
    <t>9356737588722783028</t>
  </si>
  <si>
    <t>0xa942533ecf3b410e773f9c6692893f338e39aa1d</t>
  </si>
  <si>
    <t>3326505275680681222</t>
  </si>
  <si>
    <t>0x6f57aec9cec64a9e0e0318808a221fe473891a45</t>
  </si>
  <si>
    <t>87793557643203556283</t>
  </si>
  <si>
    <t>0xc8a876139589a3081ca1d1fb5579eea5bcb950a4</t>
  </si>
  <si>
    <t>1784065754970152847</t>
  </si>
  <si>
    <t>0x9e38518fbd86ac0a5e5cf8a630fbbcadad4a9281</t>
  </si>
  <si>
    <t>14204186635841348179</t>
  </si>
  <si>
    <t>0x88370ae069b0fc8e0bca44305bf3a0d6ab56919f</t>
  </si>
  <si>
    <t>1499411292901530046388</t>
  </si>
  <si>
    <t>0x22801922544fefc518e1c80fba92f633fe58161b</t>
  </si>
  <si>
    <t>533632117951895509657</t>
  </si>
  <si>
    <t>0xd26e05151afa27cfe681ac6127460f0ada1aca96</t>
  </si>
  <si>
    <t>7347471804161626880</t>
  </si>
  <si>
    <t>0x52fcd4a0a2658991207e054c01a1f4b3eab6532e</t>
  </si>
  <si>
    <t>6536447015073308562</t>
  </si>
  <si>
    <t>0x43b14ff42ffe23e703c0d18a98a3826d5d9c6a52</t>
  </si>
  <si>
    <t>32952828555344401611</t>
  </si>
  <si>
    <t>0xa93e04348f977b4a5eff28ebde96b138cedf4172</t>
  </si>
  <si>
    <t>6192691412322896568</t>
  </si>
  <si>
    <t>0xd0ef22e0e5ecbef1ea60aae676313455b39c7f89</t>
  </si>
  <si>
    <t>6064677161603944528</t>
  </si>
  <si>
    <t>0x3796b96c3807d0469db00638e405f8d469d0b76d</t>
  </si>
  <si>
    <t>480840139998966834384</t>
  </si>
  <si>
    <t>0x29022acb1c0e306b7a18fc3572b40244671ed9a6</t>
  </si>
  <si>
    <t>136372109152833564633</t>
  </si>
  <si>
    <t>0x4e1f8384f992978182901c98c89c7cd3bc0d1fb9</t>
  </si>
  <si>
    <t>0x24aff69f9427282043d2fe90cab4924458037c53</t>
  </si>
  <si>
    <t>85076202866416055557</t>
  </si>
  <si>
    <t>0xabeb022302eeb0caa87cbad2b23fbceecf35ea20</t>
  </si>
  <si>
    <t>17229478384459163732</t>
  </si>
  <si>
    <t>0xc3d59997f1c99149a45b626fdc3318ec17491b14</t>
  </si>
  <si>
    <t>5294257966703541876</t>
  </si>
  <si>
    <t>0xe47a14edd56510a77f8fc753cdf1353302d75211</t>
  </si>
  <si>
    <t>530305546962525802920</t>
  </si>
  <si>
    <t>0x38bc9689d691cfa463bd740a298c5296f3ab9bee</t>
  </si>
  <si>
    <t>7410035785490961598</t>
  </si>
  <si>
    <t>0xaf20fe1a475e242235e462207797081945e084a3</t>
  </si>
  <si>
    <t>1951263931487768642</t>
  </si>
  <si>
    <t>0xce669464d9fe7b35edc5116906dbbf9eaf2a8216</t>
  </si>
  <si>
    <t>0x852663a31ea8a8df75df08810cdabb56a866e883</t>
  </si>
  <si>
    <t>54400764007026935434</t>
  </si>
  <si>
    <t>0x9eff29b77a100cc1eb334875ff01a979ef540578</t>
  </si>
  <si>
    <t>14642767560627834277</t>
  </si>
  <si>
    <t>0xc3caf7f38f0bb0b59577ac4f1d9f5ee6ccf5fa4a</t>
  </si>
  <si>
    <t>9459237980621803571</t>
  </si>
  <si>
    <t>0xdd33500e65fb4a67d9dd195c14d2d032374abab2</t>
  </si>
  <si>
    <t>0x4e31155b4ce355ad8a53b154fbe2a524040c0c3c</t>
  </si>
  <si>
    <t>7082678745890301366</t>
  </si>
  <si>
    <t>0x523c25bd3a2b177be4d167b9f5652a71f12b6510</t>
  </si>
  <si>
    <t>3559030483653322000</t>
  </si>
  <si>
    <t>0xd2506596f4cc2c4ddfcd9293fd0da82decc17bec</t>
  </si>
  <si>
    <t>17194239427757017491</t>
  </si>
  <si>
    <t>0xd6a5244fa183216a3ceed88fe6780e7d12dd6c1f</t>
  </si>
  <si>
    <t>0xbf29eda8743ba4227822767824d89da4af5d6fb0</t>
  </si>
  <si>
    <t>49621162471207506196</t>
  </si>
  <si>
    <t>0x2b77bf044bcbcf5d22bc394c46a520e7e9729138</t>
  </si>
  <si>
    <t>7284045400949596458</t>
  </si>
  <si>
    <t>0x5392fb59abce62b963cb82ba2ab3bb92be6e0f5e</t>
  </si>
  <si>
    <t>0x56515027b29b94f16f3b8603955b691cf337f004</t>
  </si>
  <si>
    <t>4073584990607069025</t>
  </si>
  <si>
    <t>0xfc51c9d4cbd789b6a4ebd8b3937288c24b005463</t>
  </si>
  <si>
    <t>1262436116393895699</t>
  </si>
  <si>
    <t>0x8fc2cc81d0d82cd1ae706663f8a2a14acbdc2b88</t>
  </si>
  <si>
    <t>1900195238739770870</t>
  </si>
  <si>
    <t>0xf0e106f3e156faba55222a60bce5fce50f6277fb</t>
  </si>
  <si>
    <t>532647509650264780</t>
  </si>
  <si>
    <t>0xf100339eba39ce4eb65f52a339ef7b8059441f1e</t>
  </si>
  <si>
    <t>1302836607310889467</t>
  </si>
  <si>
    <t>0xab063f52b380237579d357f82adcf9f69e3563a6</t>
  </si>
  <si>
    <t>22619333320208549833</t>
  </si>
  <si>
    <t>0xc06f87b3bc613d2c26fad7f09e4a852cc8738ec7</t>
  </si>
  <si>
    <t>70685416625651718229</t>
  </si>
  <si>
    <t>0x85458e17fd79da42aebac58603ba4999f8bbccc3</t>
  </si>
  <si>
    <t>608905730631994490</t>
  </si>
  <si>
    <t>0x66d45a4ea62d3f1335632c0c254004d05e9701f6</t>
  </si>
  <si>
    <t>106110120021763332163</t>
  </si>
  <si>
    <t>0x154fe8e2b1e309c5c7cff33d192f3e75612d0560</t>
  </si>
  <si>
    <t>38150764703248447936</t>
  </si>
  <si>
    <t>0x7a646f170186e7258aa3e9464dfb603a99ae0238</t>
  </si>
  <si>
    <t>3251529164779979038</t>
  </si>
  <si>
    <t>0xe42933cc7c241b434f94600da11355de6bb5f464</t>
  </si>
  <si>
    <t>704166696200551125</t>
  </si>
  <si>
    <t>0x5cc5e6dccaf171e6a4053d5aa176ea3d13c3e72b</t>
  </si>
  <si>
    <t>77753958288216890051</t>
  </si>
  <si>
    <t>0x7f203d64812121aa9c9229f5150a9557752ae9d9</t>
  </si>
  <si>
    <t>6647083688674251480</t>
  </si>
  <si>
    <t>0xea8ca3bd97b19e5a6326f431098cf076614fa3e3</t>
  </si>
  <si>
    <t>1510450729435807072</t>
  </si>
  <si>
    <t>0x26e4f84f1aa11b477329a92e23c121c81c2837a6</t>
  </si>
  <si>
    <t>14137083325271714312</t>
  </si>
  <si>
    <t>0x9d60daee2283bf5a8bf1fd7604ea679fcca3929f</t>
  </si>
  <si>
    <t>0x8c1360289a684eaebfe5e8d2856f1d063e024e82</t>
  </si>
  <si>
    <t>6332346246110996618</t>
  </si>
  <si>
    <t>0xece5bd69d37f900afe31951327ea1547652bf56f</t>
  </si>
  <si>
    <t>0x0afa7de06601d58373802c1e53f074d4a83ad89a</t>
  </si>
  <si>
    <t>103037731501225113761</t>
  </si>
  <si>
    <t>0x852df9d3caa6f14477b30971d84a079606d36285</t>
  </si>
  <si>
    <t>0xe628b99feaaa6b8d98825dd5bb8f4d0780ab25a8</t>
  </si>
  <si>
    <t>284158404111522090277</t>
  </si>
  <si>
    <t>0x233f41708abefadba184322ba9c4b4bfe8e801e2</t>
  </si>
  <si>
    <t>91996419774146058154</t>
  </si>
  <si>
    <t>0x526ea96dac5bd8e643d030b8ab5bd0307ef6a60d</t>
  </si>
  <si>
    <t>13905751232259506149</t>
  </si>
  <si>
    <t>0x2a2110ddbe179f931ae52d716a93b949c0a56938</t>
  </si>
  <si>
    <t>68131416148885770727</t>
  </si>
  <si>
    <t>0x0d27c91c0abeb875eefe0401fa7f6afe6aeb43e5</t>
  </si>
  <si>
    <t>1362787273706800998336</t>
  </si>
  <si>
    <t>0xddfd2627fae4d379332f0e96f802fc6901a2b920</t>
  </si>
  <si>
    <t>177434635156245145246</t>
  </si>
  <si>
    <t>0xce29fb10bd715175c9df8e29db49738b38f8fca3</t>
  </si>
  <si>
    <t>16553114836360454399</t>
  </si>
  <si>
    <t>0xfb9d54f6c4b2bf82f466c3610145e561c41a8dbc</t>
  </si>
  <si>
    <t>169616336469886444</t>
  </si>
  <si>
    <t>0xfda84d8d24cb0c22e02c43b6a8a4326604badf33</t>
  </si>
  <si>
    <t>7081568341753358312</t>
  </si>
  <si>
    <t>0xbfa96257e1d9069ecfc4d405f7f5a9122acbff8a</t>
  </si>
  <si>
    <t>593212708807811334</t>
  </si>
  <si>
    <t>0x45211dbcf0a155d1f3b40d68f42986e290398ab8</t>
  </si>
  <si>
    <t>12087481308401076573</t>
  </si>
  <si>
    <t>0xbbba7ee68a5934934a25e960a9822e5ac5b9a4d5</t>
  </si>
  <si>
    <t>33928999980312824749</t>
  </si>
  <si>
    <t>0xebb8be69ac9e0fc0c9e3c6841d0dc0d1a5927c18</t>
  </si>
  <si>
    <t>0x2e16a06a8cdc8ef53a7825f6d23563d87fbdddf6</t>
  </si>
  <si>
    <t>1247749315031111310</t>
  </si>
  <si>
    <t>0xd03270f2b2f6eec2cc2d94b59d8b560f8990220e</t>
  </si>
  <si>
    <t>76838707694210339779</t>
  </si>
  <si>
    <t>0x061e3d6cb9ea3335d79ff77e7e79c0dfb7ec25ee</t>
  </si>
  <si>
    <t>12325681433815650290</t>
  </si>
  <si>
    <t>0xd46e22b8c879d6f8baf86dc48d3f7aeb010b6c5e</t>
  </si>
  <si>
    <t>109853256322077479121</t>
  </si>
  <si>
    <t>0x4bfb863cffc03bf0971f1b95fd8aa62f3f91dbbd</t>
  </si>
  <si>
    <t>1325067219375667934</t>
  </si>
  <si>
    <t>0x51d07f93f177396dcefe957b04df5d7d655c2d4e</t>
  </si>
  <si>
    <t>7402894501466147293</t>
  </si>
  <si>
    <t>0xf9ca8893d0346f49d1e41ae964fb58d34ea3b72a</t>
  </si>
  <si>
    <t>7038646112622889610</t>
  </si>
  <si>
    <t>0x80583df055ee5cc6e79cd12ed7f3d77dad2dce3a</t>
  </si>
  <si>
    <t>7678450250587299738</t>
  </si>
  <si>
    <t>0x718f5ac06fe3bedc42388b014fc1231107ea3650</t>
  </si>
  <si>
    <t>7775395828821689005</t>
  </si>
  <si>
    <t>0xcdb2e1fe2f4613b00395cc23f1819b912569fa1b</t>
  </si>
  <si>
    <t>525053025395266271819</t>
  </si>
  <si>
    <t>0xc29111084a8439839bcc321618fb34c04934191d</t>
  </si>
  <si>
    <t>389043654938883203</t>
  </si>
  <si>
    <t>0xfeb687cde255a7ad76135eac969a157b17737059</t>
  </si>
  <si>
    <t>8837801110031503953</t>
  </si>
  <si>
    <t>0xeda39af25b25f179bed410ecc6d33060952b7db3</t>
  </si>
  <si>
    <t>1191592625482467738386</t>
  </si>
  <si>
    <t>0x6c771c127181a94d1838c1c13e8483b49ce186e4</t>
  </si>
  <si>
    <t>5157686068805507636</t>
  </si>
  <si>
    <t>0xf6aa2459ad91536e7c36cf12370128de538ef38f</t>
  </si>
  <si>
    <t>121334216150832619761</t>
  </si>
  <si>
    <t>0x0212422e73c60a1cc1fa64883fb93f86783db862</t>
  </si>
  <si>
    <t>478537826691827979</t>
  </si>
  <si>
    <t>0x5be58fd5e19a5074618cfe2b8ade34f35b2f2918</t>
  </si>
  <si>
    <t>8352324584175050225</t>
  </si>
  <si>
    <t>0x3238934316238ebbda1ffb229ec9a37bf66c5564</t>
  </si>
  <si>
    <t>33430074396125174037</t>
  </si>
  <si>
    <t>0xf557ba79bf2bb3e2723e572f2d7278d8ec16486f</t>
  </si>
  <si>
    <t>22638521477660365267</t>
  </si>
  <si>
    <t>0xad63dde7ca39ea3446fb6d29bb91e0cbf7a9a582</t>
  </si>
  <si>
    <t>3249487949546944091</t>
  </si>
  <si>
    <t>0xb33cf303ab04cb603141e2214d9463d94c5203b5</t>
  </si>
  <si>
    <t>1320119773167190329</t>
  </si>
  <si>
    <t>0xc4088db8fc94d2bca92481d0b5aed8e68ccb0aeb</t>
  </si>
  <si>
    <t>14277591078417722042</t>
  </si>
  <si>
    <t>0x4e00ca2cccf98319eb48f923b3124fee53ad4a29</t>
  </si>
  <si>
    <t>167193870575394073810</t>
  </si>
  <si>
    <t>0xdb28477969799910b622dd19c49548020bef31e8</t>
  </si>
  <si>
    <t>15793449174650134651</t>
  </si>
  <si>
    <t>0x68bf9390c726264e6e885475e404c3ce4fff6868</t>
  </si>
  <si>
    <t>912732187369176680</t>
  </si>
  <si>
    <t>0x68ce3db9130e27220a728a1ceb78912b22d982cc</t>
  </si>
  <si>
    <t>798631479583364236</t>
  </si>
  <si>
    <t>0x8df9838c123a49901963c2dc3488ffb210dc4414</t>
  </si>
  <si>
    <t>38477852305775188760</t>
  </si>
  <si>
    <t>0x337b9a57187d7c80a7ba8f773512403a0edcc14b</t>
  </si>
  <si>
    <t>810626860921303463867</t>
  </si>
  <si>
    <t>0x259ddfa9f95e4c6ad778a3342177aaf85e40ea42</t>
  </si>
  <si>
    <t>1171876982894202632369</t>
  </si>
  <si>
    <t>0xbbb7b32a5e384829fa67e200041d64e4dd8a6105</t>
  </si>
  <si>
    <t>573461297417981457234</t>
  </si>
  <si>
    <t>0x40335d2a5f33698d8905a4ca834a598672e53b97</t>
  </si>
  <si>
    <t>5194009530123216859</t>
  </si>
  <si>
    <t>0x56e92a7cafc83791089191b5136dc26168cb575a</t>
  </si>
  <si>
    <t>50045274970961416506</t>
  </si>
  <si>
    <t>0x3673348670de83fb61f65bf4eda6270e92c41c60</t>
  </si>
  <si>
    <t>0x114d77fcf7d7da26c4c843047de48fddbd0f826b</t>
  </si>
  <si>
    <t>7042636424913852583</t>
  </si>
  <si>
    <t>0x3b86a74636b4c3ab324d4eb50068f1dcae3ef96d</t>
  </si>
  <si>
    <t>9239050927412624723</t>
  </si>
  <si>
    <t>0x2e4b5cba85eff65fcaaffdf2c830c4b914006457</t>
  </si>
  <si>
    <t>15823907294309226411</t>
  </si>
  <si>
    <t>0x7b76a1aa842c5c162a48a9e29549a22c8699b9ed</t>
  </si>
  <si>
    <t>8302573892976890744</t>
  </si>
  <si>
    <t>0x7e586c5f0968900b57e294a122fa471d05d9f903</t>
  </si>
  <si>
    <t>6858610282901394511</t>
  </si>
  <si>
    <t>0x3703751d80737a5a0afa4f0f624329dcb51fc9d2</t>
  </si>
  <si>
    <t>35449451681017208658</t>
  </si>
  <si>
    <t>0xc19406fa9b52ca709550e0f491c2b8f9633524bd</t>
  </si>
  <si>
    <t>25445161134555980859</t>
  </si>
  <si>
    <t>0xf43257df6b2066c866ceee61218ee1ee50d3be6f</t>
  </si>
  <si>
    <t>482256909761838898501</t>
  </si>
  <si>
    <t>0xa247fb79d70d6029806eb2e95dbfdcdb0b9d3d23</t>
  </si>
  <si>
    <t>9989391470669229493</t>
  </si>
  <si>
    <t>0xad8043992abf4ce855ff34806dbc7942d9c4ad0a</t>
  </si>
  <si>
    <t>0x4406666766c07209a4978b06dc94d3f27fbf1c60</t>
  </si>
  <si>
    <t>833937842522658662</t>
  </si>
  <si>
    <t>0xf9c52dcfbcb85a1f2f003acfbdff591ff088d4e4</t>
  </si>
  <si>
    <t>0x389b8bd4fac72ff9aa5fd888a4b3283ac4c14b28</t>
  </si>
  <si>
    <t>263221317163470098622</t>
  </si>
  <si>
    <t>0x04635f1e32e945ef1c681445bccb85fae210b6bb</t>
  </si>
  <si>
    <t>0x58adf4b4ab2a3242e220c16880d73f74d0f9a180</t>
  </si>
  <si>
    <t>6632182085806413167</t>
  </si>
  <si>
    <t>0xcdce61608526bb0f28a1a8594684522d76b7c3ca</t>
  </si>
  <si>
    <t>7065379883397235128</t>
  </si>
  <si>
    <t>0x78f20d23019f9643485686eac69b2237c212cf41</t>
  </si>
  <si>
    <t>19920450859224286573</t>
  </si>
  <si>
    <t>0xd74a850a59d4415b7759bc8459573797654b165d</t>
  </si>
  <si>
    <t>21647677586599531</t>
  </si>
  <si>
    <t>0x304e763a9d6502c2aa3e57f890f6af1fb84edb5a</t>
  </si>
  <si>
    <t>7212304135898407169</t>
  </si>
  <si>
    <t>0x38b41dd55280b70a517e5a0c62645631252014b1</t>
  </si>
  <si>
    <t>131636827002064667</t>
  </si>
  <si>
    <t>0x1a4062defc4cbdd4022ea97d48bc72fc65608272</t>
  </si>
  <si>
    <t>2334460030045665098</t>
  </si>
  <si>
    <t>0x79a485651497c30cd31fb7f6dd1f9b1ae1d34a94</t>
  </si>
  <si>
    <t>17141896195640778881</t>
  </si>
  <si>
    <t>0xba9f1008e448a3fd7d3296c5d1df606ba51ff93b</t>
  </si>
  <si>
    <t>1298058163122556326</t>
  </si>
  <si>
    <t>0x15d414da5a9e8fd6542839f927e0f3d075e8abbb</t>
  </si>
  <si>
    <t>322811927530444236800</t>
  </si>
  <si>
    <t>0x222f8a7788e1b28d285a315f1bff32ccc58142d9</t>
  </si>
  <si>
    <t>6772558671774568536</t>
  </si>
  <si>
    <t>0x33b8dbfcd046cef86806a83007a5b2f810ea4473</t>
  </si>
  <si>
    <t>127229163442862948199</t>
  </si>
  <si>
    <t>0x5939a91147bdcdd0ff0270914ae37450b88593dc</t>
  </si>
  <si>
    <t>17858199435319568715</t>
  </si>
  <si>
    <t>0x9bd99c41c4dcc607b03fee4db6a4c4114d605680</t>
  </si>
  <si>
    <t>0xc5e3cbc3413f56a6b215e8300c3b0ba0b28d5b0f</t>
  </si>
  <si>
    <t>0x7a4a51911a71c5e20135694f07e4085ec2d7f58f</t>
  </si>
  <si>
    <t>6286512874585054577</t>
  </si>
  <si>
    <t>0x2124712f391ae1b1de5fb63e149c25b316c3114c</t>
  </si>
  <si>
    <t>68190947558882911772</t>
  </si>
  <si>
    <t>0xa3763dfde8c5f5f46cb53c179a394341588425e6</t>
  </si>
  <si>
    <t>213894070709222099361</t>
  </si>
  <si>
    <t>0x7706b2025012afe6fee2042299a7aa066a62ae8f</t>
  </si>
  <si>
    <t>706750056392223562</t>
  </si>
  <si>
    <t>0xf867e0ce29f054eeaacbb4148744aab2d8880152</t>
  </si>
  <si>
    <t>0xa68f18bb6c71bdd5a405b6f2869c8b4a2feeaf4d</t>
  </si>
  <si>
    <t>20955496744721528949</t>
  </si>
  <si>
    <t>0x23cc1dabdd2da926eff010db94c86c382ac63cb7</t>
  </si>
  <si>
    <t>14136713019076578627</t>
  </si>
  <si>
    <t>0x0da21d42f3b219e2d07669184e7d7d1af1302076</t>
  </si>
  <si>
    <t>5365041244077973863</t>
  </si>
  <si>
    <t>0x4dc335dc05639a8afd5d1ea812c410e148d2db85</t>
  </si>
  <si>
    <t>0x8ab0ef577aea343687c6e6c8a26de39b63b2c944</t>
  </si>
  <si>
    <t>13009943417855229344</t>
  </si>
  <si>
    <t>0x2dcd14526487019d5059bd7e1ee0c548a901d6e1</t>
  </si>
  <si>
    <t>1528806298925166883</t>
  </si>
  <si>
    <t>0xae08f4625513893dc553e3ba9bfffb54de7d5267</t>
  </si>
  <si>
    <t>7068665686490328163</t>
  </si>
  <si>
    <t>0xe5aa26877172443d9a08bbe3fc907351697237d7</t>
  </si>
  <si>
    <t>0x120a1fe32abd406d085b2c54c14ba84574fe87bc</t>
  </si>
  <si>
    <t>739772957945581042</t>
  </si>
  <si>
    <t>0xad85615d8a42203c043ed0a3aba5793ec8c6d029</t>
  </si>
  <si>
    <t>35000491468412858018</t>
  </si>
  <si>
    <t>0x5d4130a18e79f26c0ec56e3fe57d981ace96bd93</t>
  </si>
  <si>
    <t>6796247367714489680</t>
  </si>
  <si>
    <t>0xcd047a95ec0ea962500181cab5d6d4dae2692bbe</t>
  </si>
  <si>
    <t>45074844856121206490</t>
  </si>
  <si>
    <t>0xbd4b4bc20cfe5826e1c5559dc5be5ddbd4447ea8</t>
  </si>
  <si>
    <t>6830148452866982908</t>
  </si>
  <si>
    <t>0xa919538ceab5c64608945865835dbc10540feb1d</t>
  </si>
  <si>
    <t>1274524972335830646340</t>
  </si>
  <si>
    <t>0x45745c9b881860de8e25b5ba7f055d007f252ca3</t>
  </si>
  <si>
    <t>162973819496714244670</t>
  </si>
  <si>
    <t>0x0b1491e136e9a1e17d969ea46c90c04eb939d604</t>
  </si>
  <si>
    <t>3461725357887774411</t>
  </si>
  <si>
    <t>0xcfa8e189dd7dce85360f7914b7a461813d438a40</t>
  </si>
  <si>
    <t>142405004819323644429</t>
  </si>
  <si>
    <t>0x0a00e0215a29d7ab14f58fdee00e202545fc52dd</t>
  </si>
  <si>
    <t>1325263639077777808</t>
  </si>
  <si>
    <t>0x0fe48e61b3bf9eaa26eb365bce5be2e7dd104af1</t>
  </si>
  <si>
    <t>6266990696871634224</t>
  </si>
  <si>
    <t>0x3d8db6020921163302d2fe52ad0a44ba1bb7f54a</t>
  </si>
  <si>
    <t>6477989014017671803</t>
  </si>
  <si>
    <t>0x466246dcb6f31cdc77d3f73df3bcb95d9a6adfe7</t>
  </si>
  <si>
    <t>548322231130743886</t>
  </si>
  <si>
    <t>0x95bb07553abc3c279e610d994847eaef96df6bb5</t>
  </si>
  <si>
    <t>11883230380960257550</t>
  </si>
  <si>
    <t>0x1f3d7724be40e80ee3b55129dfeb3e7706ab0313</t>
  </si>
  <si>
    <t>44757731039440777093</t>
  </si>
  <si>
    <t>0x4a1213e1ddb3c30b7c71c4ac6cd50f985a989e2d</t>
  </si>
  <si>
    <t>7347704679670004854</t>
  </si>
  <si>
    <t>0x814ab4c6e7d8afee9873855141995d00a4588e2a</t>
  </si>
  <si>
    <t>0x5be798bf258ac5319e74428a66e635df491de2b2</t>
  </si>
  <si>
    <t>615580048591024901133</t>
  </si>
  <si>
    <t>0xde74d617b9361de1aaa87013f5dfbdfda6e05ee8</t>
  </si>
  <si>
    <t>717348504420439375</t>
  </si>
  <si>
    <t>0x303308d5f4fef62ce6c246f00b886a2420a5bc0f</t>
  </si>
  <si>
    <t>997061222424597918</t>
  </si>
  <si>
    <t>0x76512dedab71e3fb3b85a57184da97d4e1f69d81</t>
  </si>
  <si>
    <t>14240978547734129357</t>
  </si>
  <si>
    <t>0xbf8def80978e19ed06fb35de4956e11f310fdba8</t>
  </si>
  <si>
    <t>2166898574174434971</t>
  </si>
  <si>
    <t>0xd75d46ad0c3945a97e9abc9b9f603e7dfc61c6b3</t>
  </si>
  <si>
    <t>4989089631544289329</t>
  </si>
  <si>
    <t>0x80b3fe1e26d2a2f9dd76a42560d1df3852117cb3</t>
  </si>
  <si>
    <t>0x3024ed33d6be2cc4f5173e3f8384e17de279336f</t>
  </si>
  <si>
    <t>812882291194994759634</t>
  </si>
  <si>
    <t>0x589b2ce3d7979306d3d12b0d7b10398e3066515a</t>
  </si>
  <si>
    <t>0x1941b7dd675364772f027fda4e85073ddbeee076</t>
  </si>
  <si>
    <t>6852772800404419791</t>
  </si>
  <si>
    <t>0x89593d976db25e6581b48839cbffa1d1dbf9ff8b</t>
  </si>
  <si>
    <t>5399686369613195804</t>
  </si>
  <si>
    <t>0x579f7fd859d074ea33d5616d0470b82bfeaacfa2</t>
  </si>
  <si>
    <t>2249947838194159356</t>
  </si>
  <si>
    <t>0x14248d78b8dc8b8f4b4bbb592cd774d0767a5442</t>
  </si>
  <si>
    <t>3110158331528675602</t>
  </si>
  <si>
    <t>0x9a43f99afba8c5573931faf687295e3b1ad2eacf</t>
  </si>
  <si>
    <t>8336444090183225221</t>
  </si>
  <si>
    <t>0x0a887b54bfc18847fdb2d79566bf917d1b61e780</t>
  </si>
  <si>
    <t>0x688cc55644659ff83de30070e6b0f15d4aad4dd7</t>
  </si>
  <si>
    <t>5125207105305694319</t>
  </si>
  <si>
    <t>0xaf449da8797353a0875418adc6f066d88eee217f</t>
  </si>
  <si>
    <t>12448417916074355815</t>
  </si>
  <si>
    <t>0x020891d1e23ab9a8a5cdc6def299761c5aee0b22</t>
  </si>
  <si>
    <t>530470818937594180085</t>
  </si>
  <si>
    <t>0x5e923b1ab19d170ba6f325a799d1f6a4850d881f</t>
  </si>
  <si>
    <t>3436108484991933298</t>
  </si>
  <si>
    <t>0x6c8b71d16247123f0f89959f4858d9307baa5100</t>
  </si>
  <si>
    <t>14278454158381647082</t>
  </si>
  <si>
    <t>0x230040f6e08f0eb11292e89c7a425bd69c0284a1</t>
  </si>
  <si>
    <t>5112466002342659281</t>
  </si>
  <si>
    <t>0x7fbc6c388a6951c757ab6a235841f81a8dd4551b</t>
  </si>
  <si>
    <t>141452011201382326</t>
  </si>
  <si>
    <t>0xb9270c481226d7eb33059426da6ea5f81f8be857</t>
  </si>
  <si>
    <t>0x9cb0e2afa1d32a4f077bc94e412d595dba6ebb71</t>
  </si>
  <si>
    <t>167199430813843131768</t>
  </si>
  <si>
    <t>0x7b0b9d62e5307341224522e3240e93f8d48c8448</t>
  </si>
  <si>
    <t>35461942671199611009</t>
  </si>
  <si>
    <t>0x64d7408c9805cf71b4fc8fe0bee9c753ec130340</t>
  </si>
  <si>
    <t>7832107507213668962</t>
  </si>
  <si>
    <t>0x12ae9f4e83da42a84de1bb14d23cfc22269d16da</t>
  </si>
  <si>
    <t>143057429746520573265</t>
  </si>
  <si>
    <t>0xb304d0469ef609a6e114897d9c4308922476809a</t>
  </si>
  <si>
    <t>0x46a00161f9b0acf36704bbccc5b34d00f40ff65a</t>
  </si>
  <si>
    <t>7280535551081533472</t>
  </si>
  <si>
    <t>0xb7ab2a76cc3e75366b63fd7af5643a609a67a086</t>
  </si>
  <si>
    <t>129563728485280822920</t>
  </si>
  <si>
    <t>0x8a0f32ab89f428a5016ddb7bea41f47415d94cdc</t>
  </si>
  <si>
    <t>6007790555415854757</t>
  </si>
  <si>
    <t>0x8dc931138260b087291b863fc36e922b92996672</t>
  </si>
  <si>
    <t>15437747250184553804</t>
  </si>
  <si>
    <t>0xf56942696f81c1f59f8a304d4452ed8d940d2643</t>
  </si>
  <si>
    <t>1080569725255876900</t>
  </si>
  <si>
    <t>0x381af677e83d5fe33f4a9add86ef13b6fdea1bec</t>
  </si>
  <si>
    <t>35569475655294532058</t>
  </si>
  <si>
    <t>0x8127633653a3a0edd11f7337ff5dda17aaf48ca5</t>
  </si>
  <si>
    <t>6528810960299487563</t>
  </si>
  <si>
    <t>0x585c9e89b1319f5831fe685d1a175f4f3690cf42</t>
  </si>
  <si>
    <t>7069957211121821048</t>
  </si>
  <si>
    <t>0x45788cd5c7e4bda725892af90dcae3ceba086146</t>
  </si>
  <si>
    <t>0x9cf44354ceaf7eea51329a90faecb7e834f4ec92</t>
  </si>
  <si>
    <t>15123416147575206727</t>
  </si>
  <si>
    <t>0x84abed2425a62da3ec826b1e510e05e4b6a4195b</t>
  </si>
  <si>
    <t>879159710979200358538</t>
  </si>
  <si>
    <t>0x3b91d0b98f2f4b3f6f81e06ca514a14e4dae4cd1</t>
  </si>
  <si>
    <t>0x25e80ae1d49bf6a42e87d36d8889926b37bd5830</t>
  </si>
  <si>
    <t>1179324449133755142</t>
  </si>
  <si>
    <t>0x54da0652d1045070ab731784932d8505fa01a859</t>
  </si>
  <si>
    <t>0x10816653f52a2a8fb60e219edb61995e98194732</t>
  </si>
  <si>
    <t>35582597124333268142</t>
  </si>
  <si>
    <t>0x4dd6720d2bb8721a46bdf9a528704164578e03b9</t>
  </si>
  <si>
    <t>41233586829676485697</t>
  </si>
  <si>
    <t>0x1cf5de1d39efc6b03f0b6186fff6d0e4c1dff97e</t>
  </si>
  <si>
    <t>26186752787258669570</t>
  </si>
  <si>
    <t>0x92496d3fc90ea9bc01c317eb9f8ce25cf832e49c</t>
  </si>
  <si>
    <t>1327147854816382989</t>
  </si>
  <si>
    <t>0x03d18e007892a70b439680bb93631d70f8c86c26</t>
  </si>
  <si>
    <t>1936289969444836797</t>
  </si>
  <si>
    <t>0xdad97843775c55c39fdd84a8958fa8fae6ac96de</t>
  </si>
  <si>
    <t>0x288bd08ea5eeaab2b9400eb9de3b6ad20008621b</t>
  </si>
  <si>
    <t>18814591121142645458</t>
  </si>
  <si>
    <t>0x5461c9e051ab2ce67ffa34b28c0186172a4a4bdd</t>
  </si>
  <si>
    <t>0x0bb50ed8033e7a09666bed9b99b48fc70ffc1f5c</t>
  </si>
  <si>
    <t>0x03f7924ca4aee66e0e8d808f58da51e4abafc8ba</t>
  </si>
  <si>
    <t>7138104020243741786</t>
  </si>
  <si>
    <t>0x3a7d9c281bae8b67c951a28fb443c04d99cd03ef</t>
  </si>
  <si>
    <t>146938249654617146853</t>
  </si>
  <si>
    <t>0xd60627699b79d9481d32e934c7f740c2ab9f2fd7</t>
  </si>
  <si>
    <t>28742441123863041713</t>
  </si>
  <si>
    <t>0xb1851e1e40ceea321d6e722764669979693a697b</t>
  </si>
  <si>
    <t>499353762822534556</t>
  </si>
  <si>
    <t>0xb503aa768e0488ab5c3a87ad18efc148eeb8d8e7</t>
  </si>
  <si>
    <t>91494171366204942</t>
  </si>
  <si>
    <t>0x89343733c5f3742e73b0c69b8bfd5c2ff6350e85</t>
  </si>
  <si>
    <t>47279210955521093830</t>
  </si>
  <si>
    <t>0x42b3d65094a75cb7daeff8d92737e8a31814c2e4</t>
  </si>
  <si>
    <t>2292822216142388127761</t>
  </si>
  <si>
    <t>0x126d267951e8aec343a8d8388df328be0483a966</t>
  </si>
  <si>
    <t>27010147221638284571</t>
  </si>
  <si>
    <t>0x862913627332799c632593382fde83f30a055b58</t>
  </si>
  <si>
    <t>43307893307102898039</t>
  </si>
  <si>
    <t>0x08d99689590b7dc01e4e5fa402ef69743cd9b3a5</t>
  </si>
  <si>
    <t>5518441903262517048</t>
  </si>
  <si>
    <t>0x1eea540ba85e7a55453e32de38712e95f9fa2edd</t>
  </si>
  <si>
    <t>8034435146204152029</t>
  </si>
  <si>
    <t>0x418176bf9c4c7b644061ab17d89171a2987d421f</t>
  </si>
  <si>
    <t>7380728569430813003</t>
  </si>
  <si>
    <t>0x7b62d6585f0666f5cfcbea5e09baa99133478a96</t>
  </si>
  <si>
    <t>28401981336482905448</t>
  </si>
  <si>
    <t>0x28082ab46d897fd953201387a296467ca0a3e242</t>
  </si>
  <si>
    <t>339289999803128247499</t>
  </si>
  <si>
    <t>0x0dc57be5c1da9fd74ed4da7dc0407cb624623bd9</t>
  </si>
  <si>
    <t>217696530237871998</t>
  </si>
  <si>
    <t>0x929834985e6d5c0657d251540d427b8a0ae111db</t>
  </si>
  <si>
    <t>0xbc979e5afd9d2e4f8ec00ed0e0fa2240ceb1819a</t>
  </si>
  <si>
    <t>5301406246923878867</t>
  </si>
  <si>
    <t>0xc76734dbb69b0b3dc70084a4597d9d98c67fe235</t>
  </si>
  <si>
    <t>5340679299249194868</t>
  </si>
  <si>
    <t>0x1ddc617f9cb0965862c9b08b45cd59bcbcc55b97</t>
  </si>
  <si>
    <t>0x3406d661e8c57b392c9948c0cb84c58e778c45ef</t>
  </si>
  <si>
    <t>7472745591824391383</t>
  </si>
  <si>
    <t>0x24367230cbf6eda8fa35773f07dbbc2b3214b851</t>
  </si>
  <si>
    <t>188123011342427652947</t>
  </si>
  <si>
    <t>0x3607d9c44ecace1f2fbfd7360cc1112bed30f4e2</t>
  </si>
  <si>
    <t>329228212357165377</t>
  </si>
  <si>
    <t>0x1f355cd1ecb10fedd43da9f086c6f9b01ce0a201</t>
  </si>
  <si>
    <t>0x32899696c49bd46bbf5d3f585eeeb801eb63db47</t>
  </si>
  <si>
    <t>0xe3be60e286afc3e9655939d2c37a2f377db89da5</t>
  </si>
  <si>
    <t>0xf5a31bb913255f288d3e2a185c45e203bcd86d4e</t>
  </si>
  <si>
    <t>7092865204881208045</t>
  </si>
  <si>
    <t>0xe4765356396d280de0690cd763a4612a44778bba</t>
  </si>
  <si>
    <t>126905510713978323487</t>
  </si>
  <si>
    <t>0xbf732026eb6b408860a7a8ae7c46c835631c1328</t>
  </si>
  <si>
    <t>1838940713257990420</t>
  </si>
  <si>
    <t>0xdb431b724e0effe13ce83705ce9893943719a169</t>
  </si>
  <si>
    <t>0x082e7ba53d71ae254211fb1ecde2ecdf12517494</t>
  </si>
  <si>
    <t>0x4500f092ef9d4831042a3a912091d2017df407ba</t>
  </si>
  <si>
    <t>1634054100747109648</t>
  </si>
  <si>
    <t>0x9cb5932b08b36ccf100fd3d048a896f3efe449bd</t>
  </si>
  <si>
    <t>23350436588131033700</t>
  </si>
  <si>
    <t>0x4e8457382c98d10a3331008c8ed2b992455a47f9</t>
  </si>
  <si>
    <t>23689494723898238110</t>
  </si>
  <si>
    <t>0xd37ebdc145a5b0987cf5e1ee22c1989a7353a3e0</t>
  </si>
  <si>
    <t>5506029721103162915</t>
  </si>
  <si>
    <t>0xfdb87c1ddd7d705716c1ce1f3527373a11ae4e2d</t>
  </si>
  <si>
    <t>32027179761179148077</t>
  </si>
  <si>
    <t>0x59b42a128d7306f8e687f989fd05286fe01db62d</t>
  </si>
  <si>
    <t>0x87544168767272a37445b683a2e1aa192428b332</t>
  </si>
  <si>
    <t>7136615085946180358</t>
  </si>
  <si>
    <t>0x658e39693d461babdffb3d06d719379aede52c60</t>
  </si>
  <si>
    <t>805426078742914921</t>
  </si>
  <si>
    <t>0xa17232fe4e7f2a4f918d9a4b2071ed7f794cbff0</t>
  </si>
  <si>
    <t>7499769814398119033</t>
  </si>
  <si>
    <t>0x5da16ecaca2b587e9bde1e0cefd73cee7c2303f7</t>
  </si>
  <si>
    <t>6346838230367761805</t>
  </si>
  <si>
    <t>0xf07b6c62acfbc7f65e04719f8c8c85aa278b62b4</t>
  </si>
  <si>
    <t>21776204529727863229</t>
  </si>
  <si>
    <t>0xef0c3b671f2fcb690a7948fbfa59640ab713eb7d</t>
  </si>
  <si>
    <t>0x5e8b528c8638b17e97be072088a63426cd1a29f8</t>
  </si>
  <si>
    <t>0xfdee0dd74083a6c140a72f3482a56dd29ab30c7f</t>
  </si>
  <si>
    <t>18925417560018283564</t>
  </si>
  <si>
    <t>0xdebdbd57a7f6745ce760ef1c01c4a72c93730576</t>
  </si>
  <si>
    <t>9949398880017408846</t>
  </si>
  <si>
    <t>0x5b24e36e499c500df9ed0eb0f84b992800c9e118</t>
  </si>
  <si>
    <t>148464273135124868751</t>
  </si>
  <si>
    <t>0x96623d684e0d42914ba0d467cecd135268285ac9</t>
  </si>
  <si>
    <t>115252119521549271328</t>
  </si>
  <si>
    <t>0xa87a0af040acf05f99001962002f94bef83d1180</t>
  </si>
  <si>
    <t>9616044077612288121</t>
  </si>
  <si>
    <t>0x6122960fdd3ef59df1019d76cd9bf656f0c3f9d1</t>
  </si>
  <si>
    <t>7455769371626675365</t>
  </si>
  <si>
    <t>0x0b0c1a5b0a424039c4ec57cd248dbb05ee19612d</t>
  </si>
  <si>
    <t>35745630959911827151</t>
  </si>
  <si>
    <t>0xf3a0fe4a61c23e712146dfd529aa0f97849c166b</t>
  </si>
  <si>
    <t>435743983377438295</t>
  </si>
  <si>
    <t>0xbec7242525ccaac7848a02bc8f1d95f81d434a66</t>
  </si>
  <si>
    <t>46800744317583568713</t>
  </si>
  <si>
    <t>0xdf145e07ebd067d97cdd4ecd646b2d6e6c1827a8</t>
  </si>
  <si>
    <t>7096809289824797558</t>
  </si>
  <si>
    <t>0xfffaf54a65eb198d704ea8c0b48eee29679120f6</t>
  </si>
  <si>
    <t>625951998376955845328</t>
  </si>
  <si>
    <t>0xa404a5d7fc74f58b396b5bed2050f78892d1e1ef</t>
  </si>
  <si>
    <t>7465864139332955126</t>
  </si>
  <si>
    <t>0xdd7ad4b0fbf59f08924320b9f7acb4b532db542e</t>
  </si>
  <si>
    <t>7107765323565841021</t>
  </si>
  <si>
    <t>0x831881c6c0dbf403eeae8a07a71b5c9d40b8a876</t>
  </si>
  <si>
    <t>6647541726129696739</t>
  </si>
  <si>
    <t>0xf700154686781daad8a97815c748540179b92dec</t>
  </si>
  <si>
    <t>7418060975948114334</t>
  </si>
  <si>
    <t>0xbd8c656bbf9056e86224cdbb48b6d7038e06f77b</t>
  </si>
  <si>
    <t>4701022687548261145</t>
  </si>
  <si>
    <t>0xdb527a9f967d22b9a2801f21dcdaf819fcd9509e</t>
  </si>
  <si>
    <t>506927661271677663068</t>
  </si>
  <si>
    <t>0x4ecb6e1dc6a5a97401beb16b7974d108c6dc1534</t>
  </si>
  <si>
    <t>6650355593104556477</t>
  </si>
  <si>
    <t>0xbd0fbeb5d04a96e84fed4bd485cae7df09ac7835</t>
  </si>
  <si>
    <t>92788746404493010385</t>
  </si>
  <si>
    <t>0xef16cd91b14361ec32e49b882adaf5bf2aefb290</t>
  </si>
  <si>
    <t>6173359162541632737</t>
  </si>
  <si>
    <t>0xb147838894d46a75deda045c5dcbf5ab9a006459</t>
  </si>
  <si>
    <t>2061743959837588462</t>
  </si>
  <si>
    <t>0x8ba2c419e63f57e4cc3c9f92625824af8356803a</t>
  </si>
  <si>
    <t>0x83484257af94d2740edcb2f9b034d5b5fa61d2ba</t>
  </si>
  <si>
    <t>293260657699164758808</t>
  </si>
  <si>
    <t>0x5783c74cb75d986977c6dfb086cea184f192ccee</t>
  </si>
  <si>
    <t>3038262067360275220</t>
  </si>
  <si>
    <t>0x8af0e15dcc5e28ab7b722908a40dd67d764fec2b</t>
  </si>
  <si>
    <t>4665237497293013403</t>
  </si>
  <si>
    <t>0xbbefabe882559a4da574fbdc5ea77300eccbe41c</t>
  </si>
  <si>
    <t>97138352674589571803</t>
  </si>
  <si>
    <t>0x4fcbe6c1113311a932bd2f1607eb56ca9a523fbd</t>
  </si>
  <si>
    <t>106532764830590682436</t>
  </si>
  <si>
    <t>0x63c75967729a0a56480be00a08ba1fdb707f0450</t>
  </si>
  <si>
    <t>14403133770369831284</t>
  </si>
  <si>
    <t>0x1ed69e50432a780b757b90cc7274fa5ea393f09d</t>
  </si>
  <si>
    <t>5691063063725117090</t>
  </si>
  <si>
    <t>0xc7884b062cc66509c4c208d86e6b7ae04d9f73d5</t>
  </si>
  <si>
    <t>67105071156328920279</t>
  </si>
  <si>
    <t>0x4dc8bce9a0d2d074cc7c961edcd2dd1c268bb5c6</t>
  </si>
  <si>
    <t>419145617873141983</t>
  </si>
  <si>
    <t>0x37d44a1765ec4b01b18bf4944fcc32ce749e88bc</t>
  </si>
  <si>
    <t>0xa874aeb34ef89881f72dd2d2e4c9fd8514f25261</t>
  </si>
  <si>
    <t>106084034885768319095</t>
  </si>
  <si>
    <t>0xeabd4f4f10524944dd8a410681dd970cf7ae6e86</t>
  </si>
  <si>
    <t>513084723796435173657</t>
  </si>
  <si>
    <t>0xfeb6be08e6c8d930cafd1f098aad9a7ae9309d78</t>
  </si>
  <si>
    <t>6933977082081801770</t>
  </si>
  <si>
    <t>0xad3b696cf4ec30bb57fba90e887f7cb15d033d8f</t>
  </si>
  <si>
    <t>43172914090260156180</t>
  </si>
  <si>
    <t>0xa8476519dea06079f1bf3afea98df6e66f46aeae</t>
  </si>
  <si>
    <t>3812423984446612165</t>
  </si>
  <si>
    <t>0x642fdcfdf317003f57e3e2d5d79e44530faa84c7</t>
  </si>
  <si>
    <t>42427648824241002700</t>
  </si>
  <si>
    <t>0x971cdd31accfcff7f1dcdef7b6c813279e364378</t>
  </si>
  <si>
    <t>0x675a6a82e087c11346e00371d289431d3213fcd1</t>
  </si>
  <si>
    <t>5101639395387362841</t>
  </si>
  <si>
    <t>0x0e2abb40d5be88ecab9ab44facc09df0976a70fa</t>
  </si>
  <si>
    <t>8679589548140823537</t>
  </si>
  <si>
    <t>0x96a1b9461e9d2e627ac25f39aca4baafb1deb923</t>
  </si>
  <si>
    <t>3410998736120001579</t>
  </si>
  <si>
    <t>0x30c8c66d77a259d3b53473dbdd38b57a7e772c4d</t>
  </si>
  <si>
    <t>103442201042162352719</t>
  </si>
  <si>
    <t>0x07180eabee865ffd9d231305c270656864b6cd10</t>
  </si>
  <si>
    <t>3684967278654266993</t>
  </si>
  <si>
    <t>0xb3ac5474ac95e004c02c92d300d1c3f98d3b5983</t>
  </si>
  <si>
    <t>303947291490302388384</t>
  </si>
  <si>
    <t>0xba3608c9903d92d24d3d7aa856a5744f3cabafed</t>
  </si>
  <si>
    <t>102773721665921990401</t>
  </si>
  <si>
    <t>0x2526ce6014e8c17aedea915fa7470d4b780ade98</t>
  </si>
  <si>
    <t>11711059461556538746</t>
  </si>
  <si>
    <t>0xed9d067599f6daae95c66ea7ea698c9e77c95bfc</t>
  </si>
  <si>
    <t>119236786859211901163</t>
  </si>
  <si>
    <t>0x2f64152969e64747eca65f2b27e00b4a8f76339d</t>
  </si>
  <si>
    <t>38577555719282184278</t>
  </si>
  <si>
    <t>0xf07f21fad7c2661d137467bd733be542e9529d82</t>
  </si>
  <si>
    <t>8623620828329509623</t>
  </si>
  <si>
    <t>0x51ced22cba3f9344380e3af2c04621c888d6a656</t>
  </si>
  <si>
    <t>7520349005235938293</t>
  </si>
  <si>
    <t>0xc825c4ed0ce2607939a201f12b591f015d634090</t>
  </si>
  <si>
    <t>148439374913868608281</t>
  </si>
  <si>
    <t>0x69bfb6db7b3d6e65f0394389eda3ddffcd54dec0</t>
  </si>
  <si>
    <t>0x5336d8092881fd3afa286ff9c7baabe91d71986f</t>
  </si>
  <si>
    <t>6444326947123768565</t>
  </si>
  <si>
    <t>0x8900612485de7ccfa8ba99cc88701617acb7f3b2</t>
  </si>
  <si>
    <t>21205624987695515468</t>
  </si>
  <si>
    <t>0x31c919723c29f5efe10cee0c28789f85946ac6b9</t>
  </si>
  <si>
    <t>279492197501050864876</t>
  </si>
  <si>
    <t>0x19e74710863a4a4031aec6466108ae501777556e</t>
  </si>
  <si>
    <t>0x4e1cf0b8e675d8aa54f3fcc24b750111cc01069e</t>
  </si>
  <si>
    <t>0x831abcb05c00533c61cefc0e1812504c7b604dd2</t>
  </si>
  <si>
    <t>110207736946992404609</t>
  </si>
  <si>
    <t>0xd735fa50e1a259d8f85b5389dc1bd48e5d0ebe70</t>
  </si>
  <si>
    <t>105220073204353029867</t>
  </si>
  <si>
    <t>0x9a9010c2abc5b5ab3ab9644297b9fc20e09076dc</t>
  </si>
  <si>
    <t>22752834280137986294</t>
  </si>
  <si>
    <t>0x6458f999e595d3bda5692db9df011ccd4ab13a96</t>
  </si>
  <si>
    <t>0xfa3bdf93d377691008d248f989634db9b6d4319e</t>
  </si>
  <si>
    <t>24758058478122060660</t>
  </si>
  <si>
    <t>0xbe0630e6dcc23f642cc87c5f744b3d28a5d1f5cd</t>
  </si>
  <si>
    <t>7322184596109696007</t>
  </si>
  <si>
    <t>0x39bf18c73ffcaeee81df24f491a0ba2a9e39b04c</t>
  </si>
  <si>
    <t>26075145835656605317</t>
  </si>
  <si>
    <t>0x9f6a5783cdb187fcc379dcec78cc6720235ba568</t>
  </si>
  <si>
    <t>774503674614463218</t>
  </si>
  <si>
    <t>0xc3a9423a95135d04f8177c67972ce885fa65072f</t>
  </si>
  <si>
    <t>49926532318299807297</t>
  </si>
  <si>
    <t>0xb831dd3e7ae21ad9650354fd465b083858a97121</t>
  </si>
  <si>
    <t>5200183808563207172</t>
  </si>
  <si>
    <t>0x458700e135182311106b5c1b74d561bf994fc2a4</t>
  </si>
  <si>
    <t>0x03812c2aa86deb12463e5f601a30015098bad3a1</t>
  </si>
  <si>
    <t>0x8ba417d05256e8277accc018215a9585d8a57972</t>
  </si>
  <si>
    <t>14151220408314102522</t>
  </si>
  <si>
    <t>0x593cb13b5bbcb2ba8456aa15cda4c96418373faa</t>
  </si>
  <si>
    <t>156462439251988739707</t>
  </si>
  <si>
    <t>0xd9b22a3006f5247f7fd3a5d78d79b62a1ce2c13b</t>
  </si>
  <si>
    <t>7568964769481494653</t>
  </si>
  <si>
    <t>0x02692deba5e6310b82cf8169058dda036cec8299</t>
  </si>
  <si>
    <t>0xc6d8223b76f76d73a7a6d418799311f973608026</t>
  </si>
  <si>
    <t>4366677669063208363</t>
  </si>
  <si>
    <t>0xcc88297004f8c1f65edb05e88ca09ecade646dd0</t>
  </si>
  <si>
    <t>9296040584126932111</t>
  </si>
  <si>
    <t>0xcd734d4ae564b3837c2123f07af9aed0e4b848cd</t>
  </si>
  <si>
    <t>7131834786586332545</t>
  </si>
  <si>
    <t>0xca61a844085f35a42a0d8b7ad04e125cd47fcc97</t>
  </si>
  <si>
    <t>0x00558dac340e2b88e855f60071488b3dc93f0345</t>
  </si>
  <si>
    <t>0xd31e9a3e1321c89bb6b400eae70a507e49c1f4be</t>
  </si>
  <si>
    <t>91891041613347233697</t>
  </si>
  <si>
    <t>0x0f8dfda2cc073a6160c03ca856bec0f376e54440</t>
  </si>
  <si>
    <t>76198879122452552250</t>
  </si>
  <si>
    <t>0xdfc7eea5a18f4fd6503a8a4ef591524f78681cf1</t>
  </si>
  <si>
    <t>70599900264786592392</t>
  </si>
  <si>
    <t>0x0a0033eb496cdcba7b023df5887cfd4010209f08</t>
  </si>
  <si>
    <t>40258900856900630644</t>
  </si>
  <si>
    <t>0x5dd546c29cb6e43623bf3b6ddbbf466fb135b580</t>
  </si>
  <si>
    <t>42453226551758569039</t>
  </si>
  <si>
    <t>0x8062ca7de972a1241a8385997f173aa893a27efd</t>
  </si>
  <si>
    <t>16377239693534008075</t>
  </si>
  <si>
    <t>0x920a25ab35b733285efc067a5eb72639c1a3cd42</t>
  </si>
  <si>
    <t>13778522675089176270</t>
  </si>
  <si>
    <t>0x14ff0bc9417b6796f79768729002a793b51205b8</t>
  </si>
  <si>
    <t>62678830288827884116</t>
  </si>
  <si>
    <t>0x788c99efa8e6922ce25b6d419a0dd252c3475482</t>
  </si>
  <si>
    <t>61920424964070905168</t>
  </si>
  <si>
    <t>0xa70e503c3cf28645a2fb289dce52984cd3dca808</t>
  </si>
  <si>
    <t>0x6aa33d1f92f2b64db7be6d8190390091dc69c8ff</t>
  </si>
  <si>
    <t>312610072931068353700</t>
  </si>
  <si>
    <t>0x2da8a8957b0c59646f553328d57d851de26d0b50</t>
  </si>
  <si>
    <t>0xe356fe28b7b6b015a3b2bb4419dbdf2777d7420b</t>
  </si>
  <si>
    <t>702170528581632968953</t>
  </si>
  <si>
    <t>0x760f434ca5a1413fe66c03487acceda8c4d57743</t>
  </si>
  <si>
    <t>488192695558875863</t>
  </si>
  <si>
    <t>0xa24211300477220b0bdf0d883c5b708e00b5c1cf</t>
  </si>
  <si>
    <t>239745360845261805075</t>
  </si>
  <si>
    <t>0x400d34aa2620c116e3501910d7b23603aa2b54f7</t>
  </si>
  <si>
    <t>7914409274871617958</t>
  </si>
  <si>
    <t>0xc81914be253b8a11fafd01c9d4783af48516f569</t>
  </si>
  <si>
    <t>7770206126214061400</t>
  </si>
  <si>
    <t>0x15257ed47782b947066c57207e5c212c1c980197</t>
  </si>
  <si>
    <t>7930062030384114337</t>
  </si>
  <si>
    <t>0x299566e3049d9bad9492e24035bd636965ae9be0</t>
  </si>
  <si>
    <t>0xb33c78647dd266127b6d03425cd2393c07a28cca</t>
  </si>
  <si>
    <t>17432497335031272701</t>
  </si>
  <si>
    <t>0x1b8d8284f116a0e17ac5f39c0f856bbde0a50a3a</t>
  </si>
  <si>
    <t>7185315989323504952</t>
  </si>
  <si>
    <t>0xbed2e8849d745f9692e1bddd0d3152519d795f10</t>
  </si>
  <si>
    <t>0x482fbe17e90dac066b9434e12b1387d5002999e5</t>
  </si>
  <si>
    <t>28321171464134620554</t>
  </si>
  <si>
    <t>0xada4389661b5aa5756636ca7d3c051c3d04edabb</t>
  </si>
  <si>
    <t>297585603993993733744</t>
  </si>
  <si>
    <t>0x2af6da21df6fa813befd019ceda13beb0a7fb816</t>
  </si>
  <si>
    <t>7521187328959479265</t>
  </si>
  <si>
    <t>0x3b104a3bddc56b6763257b380dc37ef4645c7810</t>
  </si>
  <si>
    <t>0x9bdcdae56c521d2a5f30249faf2d65610b0c48b2</t>
  </si>
  <si>
    <t>103246826528065262</t>
  </si>
  <si>
    <t>0x76954ce2d8ff7a7d4566b34dea0e42512bdd4f84</t>
  </si>
  <si>
    <t>0xc846b7d5ad79060758f9ed2fe6ba5dd68d00c00f</t>
  </si>
  <si>
    <t>0x4ab8cdcefa6e889a9cd75069d3254af05417789e</t>
  </si>
  <si>
    <t>2683821899156016510</t>
  </si>
  <si>
    <t>0xb8eda2e02cbfa5c5494da502e066237228267001</t>
  </si>
  <si>
    <t>1377924052061793291</t>
  </si>
  <si>
    <t>0x093f9f4e399b4de8044292528f09c1fc2d6c0347</t>
  </si>
  <si>
    <t>1309026734443142490</t>
  </si>
  <si>
    <t>0x4fc1ac6b0d42e649ebca1021758f52cd71032f75</t>
  </si>
  <si>
    <t>409148885828622751436</t>
  </si>
  <si>
    <t>0xca927f005b5b8d333351c481ab3246689c9533be</t>
  </si>
  <si>
    <t>0x6b00136cc313edef40c04414eed10490f56f708f</t>
  </si>
  <si>
    <t>15601554468336642941</t>
  </si>
  <si>
    <t>0xe3ab19fa3f46bf4338f21c7f1d187e1c7eba739f</t>
  </si>
  <si>
    <t>44357764090463502517</t>
  </si>
  <si>
    <t>0x4799328a31a08a0c951cccf03d961f08a530d1f3</t>
  </si>
  <si>
    <t>0x6adde6a02ee734679a3c846644d2e379a974d8c9</t>
  </si>
  <si>
    <t>877141185623042804</t>
  </si>
  <si>
    <t>0x1d8217cb1779a0cefe820d4087fbaa5d44a7c355</t>
  </si>
  <si>
    <t>166974334792214179420</t>
  </si>
  <si>
    <t>0xf8224b980801cd03a32ba156f22ec0e8beba5ecf</t>
  </si>
  <si>
    <t>7262035823229999931</t>
  </si>
  <si>
    <t>0x5e90f18d0221f838095486fbbc81ed6da4afc249</t>
  </si>
  <si>
    <t>0xe4246510cab8097a8db8c688d998805ac39b5274</t>
  </si>
  <si>
    <t>7313347064246157037</t>
  </si>
  <si>
    <t>0xf91c06e10e9aae72432c6ccfc0c3752340d0b386</t>
  </si>
  <si>
    <t>53164770266425261784</t>
  </si>
  <si>
    <t>0xeb5e8cc334ac1569dead605b579017e951983bbf</t>
  </si>
  <si>
    <t>0x3288338837dc90afbb81a93e5a9c3c5688436e10</t>
  </si>
  <si>
    <t>121408340729788408937</t>
  </si>
  <si>
    <t>0x92b66bf74295bcc68625139c7c650f9be6df0a37</t>
  </si>
  <si>
    <t>1155375638496629283</t>
  </si>
  <si>
    <t>0x2c39d37e2d1bf3536754f2d04db4cbdeab2007a2</t>
  </si>
  <si>
    <t>1304273595931066752</t>
  </si>
  <si>
    <t>0x9a52b3d9e391e50a97beeda17c050bb249883e0e</t>
  </si>
  <si>
    <t>4929621217748396458</t>
  </si>
  <si>
    <t>0xc634f7bf06a10b28e3854d7b61b10adbe894a399</t>
  </si>
  <si>
    <t>504507888079091608692</t>
  </si>
  <si>
    <t>0x8cdd627696685510077da7e376a5a4d3a80e0923</t>
  </si>
  <si>
    <t>0x0c15523eb36aa15cb97f689b1e03fa77f66951f9</t>
  </si>
  <si>
    <t>0x0a56be2fa7be546a910399e4723925d12a87f2cd</t>
  </si>
  <si>
    <t>8431202243271013806</t>
  </si>
  <si>
    <t>0x632215ff0690084212cbb3d59ca0a6a6713d9e02</t>
  </si>
  <si>
    <t>176904392189018555078</t>
  </si>
  <si>
    <t>0xafd9a1fd432b45323c136b2c7ccfc1a9d54cb8e5</t>
  </si>
  <si>
    <t>9052694526375430909</t>
  </si>
  <si>
    <t>0xf86d4bef4aba7371172fe6dce310a1163d7cfd6f</t>
  </si>
  <si>
    <t>2451825777853009187</t>
  </si>
  <si>
    <t>0x32523ff903c98aa510a3c14a89d118995a7e9596</t>
  </si>
  <si>
    <t>0x8027d8e2592856fd15f605ab9d1d7a8c81cd47e1</t>
  </si>
  <si>
    <t>150234270300044897576</t>
  </si>
  <si>
    <t>0xd40fb8ddb18dac742626a2ead286bd0e14d1b4ba</t>
  </si>
  <si>
    <t>258687576531798057</t>
  </si>
  <si>
    <t>0x0267940d1897b150ac9601ef00d0e38a5fda3011</t>
  </si>
  <si>
    <t>2120562498769551546871</t>
  </si>
  <si>
    <t>0xdc5c8eef4e36ad3d1f74e9d2d040ae191bd15ca1</t>
  </si>
  <si>
    <t>141562984751797952874</t>
  </si>
  <si>
    <t>0xa9d77fbf08af34f69126ed64ec81df12de2203d9</t>
  </si>
  <si>
    <t>0x620462ab7a62eac171eb3e56c88d35a2a2e86958</t>
  </si>
  <si>
    <t>282741666502606872916</t>
  </si>
  <si>
    <t>0x56288706345165023e8b55e3f9cec875e84c7dba</t>
  </si>
  <si>
    <t>61306029436508446247</t>
  </si>
  <si>
    <t>0xd5333942b405101a3b789d86440a41b7d3c9e71b</t>
  </si>
  <si>
    <t>42563159755169918022</t>
  </si>
  <si>
    <t>0x461e76a4fe9f27605d4097a646837c32f1ccc31c</t>
  </si>
  <si>
    <t>4731688012639526530034</t>
  </si>
  <si>
    <t>0x0500c258e8ad3709fbf0b25de8c9b9ed2de8bb7d</t>
  </si>
  <si>
    <t>65195570505455054485</t>
  </si>
  <si>
    <t>0xea6abf8e4799593e6ab89e431a0b457087c51c27</t>
  </si>
  <si>
    <t>4945393884416293166</t>
  </si>
  <si>
    <t>0x87a5b9740a423d41a3c2bfd040b170cc2178e71c</t>
  </si>
  <si>
    <t>9751565858808852806</t>
  </si>
  <si>
    <t>0x461462fc0a8c05ffb5b5fe2e82b3a3ab292db23a</t>
  </si>
  <si>
    <t>148439571547267431488</t>
  </si>
  <si>
    <t>0x382983f6044bd2db1791a00a910df98aa2b7eada</t>
  </si>
  <si>
    <t>81474374373096054</t>
  </si>
  <si>
    <t>0x30d9a01d382c45fa940555dc1e6c5b6e52b6f7cb</t>
  </si>
  <si>
    <t>41530641181365202596</t>
  </si>
  <si>
    <t>0x5fb16c0e266bb7d867a5a2181133ce171dae3835</t>
  </si>
  <si>
    <t>0x7c7f378bce04252caa1366fad7159cf6bd99a499</t>
  </si>
  <si>
    <t>7194558806060595703</t>
  </si>
  <si>
    <t>0x7944cd34270f80f5229cc6117d0066c832d60ac6</t>
  </si>
  <si>
    <t>2329288429884644209</t>
  </si>
  <si>
    <t>0xc05d30e89f3a9d4def94908b5bd08c8532e86644</t>
  </si>
  <si>
    <t>7079812006362522816</t>
  </si>
  <si>
    <t>0x903226fd1c543fa5a2a2aafc222f1411e9a6f82f</t>
  </si>
  <si>
    <t>5130292885245708305</t>
  </si>
  <si>
    <t>0x32527ca6ec2b85abaca0fb2dd3878e5b7bb5b370</t>
  </si>
  <si>
    <t>29149094344032550676</t>
  </si>
  <si>
    <t>0x02e937feb1abcbc845cad339a26a4b1a2279e600</t>
  </si>
  <si>
    <t>1003967935431044911</t>
  </si>
  <si>
    <t>0x05dc39f764b43ecfa99d6ed1cbff0e9f7de4f6f2</t>
  </si>
  <si>
    <t>44126134829174000204</t>
  </si>
  <si>
    <t>0x66be2c0290003c992b7c4716d8eb0cf8833be65e</t>
  </si>
  <si>
    <t>7062009484569353859</t>
  </si>
  <si>
    <t>0xafea1a68fa20aa8e6bf38d25bfe23c9be835088f</t>
  </si>
  <si>
    <t>0xdc3b467a245da33f44ca834756304db56226a891</t>
  </si>
  <si>
    <t>14152612641851561018</t>
  </si>
  <si>
    <t>0x52e3cd08b00c3c61eaf3d1c68b1580494b9266ab</t>
  </si>
  <si>
    <t>57137716097271870052</t>
  </si>
  <si>
    <t>0x64ffb3f90c34cff7573133d9c2f1e0615b837656</t>
  </si>
  <si>
    <t>5996354506710763308</t>
  </si>
  <si>
    <t>0xea8765488eeb718f44234cce744d277a98a96dc5</t>
  </si>
  <si>
    <t>23179599235673450564</t>
  </si>
  <si>
    <t>0x805568f589c7acd93d362029e49946bb080bfcf3</t>
  </si>
  <si>
    <t>14908961889001650311</t>
  </si>
  <si>
    <t>0x4bcb0151ecd6f0c3587d631d39d417f2dc587043</t>
  </si>
  <si>
    <t>6573858341743611443</t>
  </si>
  <si>
    <t>0x7223447b0c92c4a88b4ef8572d51bb0d2e67f2b1</t>
  </si>
  <si>
    <t>4993851722911705092</t>
  </si>
  <si>
    <t>0x690524a31ce96bea837f32e43c7492f3031450a8</t>
  </si>
  <si>
    <t>1041337557729101112950</t>
  </si>
  <si>
    <t>0xd28e91a125e9b7cc9e6a21384f10a313abf11ca7</t>
  </si>
  <si>
    <t>0x2728d380dbdcfdb76dbf9d0b2b4a5c3234f567d1</t>
  </si>
  <si>
    <t>0x3b4ae029585e02363e81b2214b1237de35323928</t>
  </si>
  <si>
    <t>12832787882690018166</t>
  </si>
  <si>
    <t>0xda3140d6698805aec58384f99897d9781bd1ac6e</t>
  </si>
  <si>
    <t>180205437812082655620</t>
  </si>
  <si>
    <t>0x7ed7380023e63b1f59d546fd9b8e982f2a31ca73</t>
  </si>
  <si>
    <t>14678829971453725449</t>
  </si>
  <si>
    <t>0x82d764cc1f7ea24969b1b13ba07eba40f34472a1</t>
  </si>
  <si>
    <t>2418823217480694430</t>
  </si>
  <si>
    <t>0xac548b826fd5e3ceca9837da255734cbc0c4947a</t>
  </si>
  <si>
    <t>0x23db88c11988a0e69ec7f94b043d27b748d53ee3</t>
  </si>
  <si>
    <t>6243775650392690383</t>
  </si>
  <si>
    <t>0x09643e0435e76b68a8856b4c498244f716ba3468</t>
  </si>
  <si>
    <t>5035324224105479141</t>
  </si>
  <si>
    <t>0xbdae805b6d149b76a19916d1b5fc16b7ac81d335</t>
  </si>
  <si>
    <t>6081025698946656154</t>
  </si>
  <si>
    <t>0x5c03f2357ed59605faf2935728a4665b2ab60535</t>
  </si>
  <si>
    <t>6174703226417313767</t>
  </si>
  <si>
    <t>0xd868ea7cf6e655491cafa944e6703f081468b162</t>
  </si>
  <si>
    <t>0x67ee257e82d2835a278981653b971798f396bf96</t>
  </si>
  <si>
    <t>1543061915236587648266</t>
  </si>
  <si>
    <t>0x20893e47263f9c08c8f4d18b347a1021a3bd09f9</t>
  </si>
  <si>
    <t>4756682161734947542</t>
  </si>
  <si>
    <t>0x9e83a125daa1638f2c618208c797cc1728580f99</t>
  </si>
  <si>
    <t>534072863838452448375</t>
  </si>
  <si>
    <t>0x5dbb63f8f9e646e0e55883268d87702bb91b6e23</t>
  </si>
  <si>
    <t>7548287830927424458</t>
  </si>
  <si>
    <t>0x8a5aec86f98fc2df7a4906fb9619b72a2e430afb</t>
  </si>
  <si>
    <t>4840693983702599908</t>
  </si>
  <si>
    <t>0xd2b5ed1cd446729625ac599f762d2ef757bb8e19</t>
  </si>
  <si>
    <t>7241014079131760788</t>
  </si>
  <si>
    <t>0x7b7c55d61c804635f2f6685d08f9414d587e6d2e</t>
  </si>
  <si>
    <t>1355975778577728933</t>
  </si>
  <si>
    <t>0xda9760828175a7684371321b17e11e823aa5f4c0</t>
  </si>
  <si>
    <t>97141219014351062352</t>
  </si>
  <si>
    <t>0xf244b3050ec606ccdc1edbce534a2343fe3e929a</t>
  </si>
  <si>
    <t>94139334955680297837</t>
  </si>
  <si>
    <t>0x6c9987f108a7db67889d31ce57bdde3d3c4f9a83</t>
  </si>
  <si>
    <t>10643929063394737471</t>
  </si>
  <si>
    <t>0x7efd80c5f75c76b5fc9349bcb6d980e469765662</t>
  </si>
  <si>
    <t>67072235482322531314</t>
  </si>
  <si>
    <t>0x9e9c3f9c81a952d427d721091fc63ee80298c8f2</t>
  </si>
  <si>
    <t>36059190164058652106</t>
  </si>
  <si>
    <t>0x498cf8eb742a81dbffefe444523f207397dbebe5</t>
  </si>
  <si>
    <t>1100622786748421379</t>
  </si>
  <si>
    <t>0x7aae20d602fa88c2b2e78e46b7543af24ffe5f75</t>
  </si>
  <si>
    <t>6564434974168685529</t>
  </si>
  <si>
    <t>0x6d8e305f1ecab1eb6d038268e77834a501465886</t>
  </si>
  <si>
    <t>83098478189507783481</t>
  </si>
  <si>
    <t>0x08a3733adf47921e65b2f1ed380daac53f1f3a10</t>
  </si>
  <si>
    <t>0xa41570104e8820aee104fba71d3e8a9db1235205</t>
  </si>
  <si>
    <t>31742900178005692975</t>
  </si>
  <si>
    <t>0x193730f824027cff189f8275bd6c2332eb0508e1</t>
  </si>
  <si>
    <t>0x5759e485d9e04904b1b101e26555b9770ede97f8</t>
  </si>
  <si>
    <t>7882779575483018977</t>
  </si>
  <si>
    <t>0x97b686decbb380e551ac836c73ba6aae585eeb2b</t>
  </si>
  <si>
    <t>271826213040082188</t>
  </si>
  <si>
    <t>0x6dc420bfa0beb345dd78bd9f45881ec9ff7a9580</t>
  </si>
  <si>
    <t>0x6165fd87c1bc73a4c44b23934e9136fd92df5b01</t>
  </si>
  <si>
    <t>10513457089543862209662</t>
  </si>
  <si>
    <t>0x53f7803c0e54e3752a956727d30ffe9a99a803d7</t>
  </si>
  <si>
    <t>3944326374968350897</t>
  </si>
  <si>
    <t>0xd4944eb8ef06cf082bca9821a3a2f46af0b3108b</t>
  </si>
  <si>
    <t>0x77b4dddb904e245389010010e799715614779c61</t>
  </si>
  <si>
    <t>6731286702439471038</t>
  </si>
  <si>
    <t>0x698835056262ab667873a5e40cc763ba4689bbbb</t>
  </si>
  <si>
    <t>0xbc02151e2bebdbf77a2c3c3be8e83ebfc8fb2802</t>
  </si>
  <si>
    <t>10231671824712697097</t>
  </si>
  <si>
    <t>0xd99d7b0cbd4cc224d09a27c2beefc09a4843a80c</t>
  </si>
  <si>
    <t>13291225431487770869</t>
  </si>
  <si>
    <t>0xd77d5472113f36b49a3c7a91f02ac6eb728b8bc4</t>
  </si>
  <si>
    <t>142793961676468299394</t>
  </si>
  <si>
    <t>0x45833162e5a4352c89e3c16ca1ed125e42d60fd7</t>
  </si>
  <si>
    <t>0x63fb72ff2ed658d053399b6e15d044cd8ff2838d</t>
  </si>
  <si>
    <t>24696923594268317873</t>
  </si>
  <si>
    <t>0xc2f7fee16f7c8a807dd4a1ceb71ee1e203efe602</t>
  </si>
  <si>
    <t>30020528048008223118</t>
  </si>
  <si>
    <t>0x48f7a2ab6bb9fe8022911ebc87b048279b3bbfc0</t>
  </si>
  <si>
    <t>0xd65f12d3ecc457c44d18fb675d7ed987300424a8</t>
  </si>
  <si>
    <t>38216375513865365699</t>
  </si>
  <si>
    <t>0xb13182901c3b8f471f4b96293f47fb51b36c7506</t>
  </si>
  <si>
    <t>16642180608307619330</t>
  </si>
  <si>
    <t>0x8871d350a6bfc52ecfea74c797748f1483fd6d4c</t>
  </si>
  <si>
    <t>8718206787218529735</t>
  </si>
  <si>
    <t>0x4fb6125dec51fe7a69e984393e598441bc031cb3</t>
  </si>
  <si>
    <t>8938401499132220604</t>
  </si>
  <si>
    <t>62</t>
  </si>
  <si>
    <t>0x95d43d5d3f0dea065476433bbc841d7f6eeb4a72</t>
  </si>
  <si>
    <t>32183853283402172263</t>
  </si>
  <si>
    <t>0x79fd2c581896edce45d8c2408effd2e0758bf330</t>
  </si>
  <si>
    <t>19951553706664140106</t>
  </si>
  <si>
    <t>0x72dc3e5922d036000bce9ce27a78e7bb6d50d34c</t>
  </si>
  <si>
    <t>9737410231688639211</t>
  </si>
  <si>
    <t>0x169b8c7075027b6a6190e9375c7d7b86fdc48019</t>
  </si>
  <si>
    <t>19344996644947593407</t>
  </si>
  <si>
    <t>0x1a65e5b71f2ba3eeeee75779859f82c255cefe6b</t>
  </si>
  <si>
    <t>48364127599596668017</t>
  </si>
  <si>
    <t>0x788d24a6839cdef858bc1ccb292dbdb190d5c2c9</t>
  </si>
  <si>
    <t>19325766373498577857</t>
  </si>
  <si>
    <t>0x1269aab267af4497647c0024816403ae3ca9100b</t>
  </si>
  <si>
    <t>9799755298597801327</t>
  </si>
  <si>
    <t>0x29e433a7da5ed6cdb2678bb0b4bda234ea2703fa</t>
  </si>
  <si>
    <t>0x8d7a4a20896bde71c16ec3e5c54a34435341fba4</t>
  </si>
  <si>
    <t>6698240820305993495</t>
  </si>
  <si>
    <t>0x01c3994ea51b99272505d98b1a0076211a2d37f6</t>
  </si>
  <si>
    <t>19345651039838667207</t>
  </si>
  <si>
    <t>0x6b6ab5d415aa5cd647249886c7ab18b484004a4d</t>
  </si>
  <si>
    <t>0x7de1039eb971a1e7386ca318422c8e5014476e3a</t>
  </si>
  <si>
    <t>28847061041327680084</t>
  </si>
  <si>
    <t>0xbe6828bd01869e08a0f2f60e0ce0e8a86fdd0524</t>
  </si>
  <si>
    <t>0xbf209b92fb17f7ba8d63b47526e7ca23e0dfeebb</t>
  </si>
  <si>
    <t>8885158706106567519</t>
  </si>
  <si>
    <t>34934599038583070147</t>
  </si>
  <si>
    <t>0xb577dfca930c6639d0a18bff708d2f65ed24ff0e</t>
  </si>
  <si>
    <t>0x8770986a1694bcc45033b0deaeebed636bfe1124</t>
  </si>
  <si>
    <t>0x5636b704c6fd4b3a49ae9418da4cfca84ed04040</t>
  </si>
  <si>
    <t>0xa81366d43ca9d191dd6dd3e7fa29c3932505ceb6</t>
  </si>
  <si>
    <t>0x6ea414615ed5fa4718afa9e5a2ad844363053f3f</t>
  </si>
  <si>
    <t>0x84e456c64c8d5eff7ec9827f1b4a4689061fe7b0</t>
  </si>
  <si>
    <t>44105596932343623724</t>
  </si>
  <si>
    <t>0x17de2aa8b32607c21a9ba274054021149c3d7028</t>
  </si>
  <si>
    <t>9672825519919333603</t>
  </si>
  <si>
    <t>0xdd1c4a458599bc61ec86edbe17093db7000861c3</t>
  </si>
  <si>
    <t>0x482f69fa922ae0e8b4a2eac4d04bfd694a43b709</t>
  </si>
  <si>
    <t>0x18cfedbda9bb96fb7d5251c64f8c433db8da9fcd</t>
  </si>
  <si>
    <t>0xa5be6f5cb61ee591c556b57b685d9e36707470f4</t>
  </si>
  <si>
    <t>17977311045768629605</t>
  </si>
  <si>
    <t>0x1257b6871bfca1da593ff5586e73eb1731b494fc</t>
  </si>
  <si>
    <t>0xe7ccfb2a2771b2ecc628fb066ed73f0b53d65201</t>
  </si>
  <si>
    <t>0x1ef9f4deb45c470244d53ca6f1135816fa7a5f52</t>
  </si>
  <si>
    <t>0x96e6dfd023504c6add0225518e38357d00444610</t>
  </si>
  <si>
    <t>331806264895845800</t>
  </si>
  <si>
    <t>0x9dda346797c5b946c2c384553373539e7d370178</t>
  </si>
  <si>
    <t>0xba37c2842de849581df4ff89961d818095581af9</t>
  </si>
  <si>
    <t>0x80918bfe88cbd976570ab2136598745eafc3d802</t>
  </si>
  <si>
    <t>0x6b6e26c7aa020bab1e5b2eaafa0ebacc806b8a61</t>
  </si>
  <si>
    <t>9559736904014355943</t>
  </si>
  <si>
    <t>0x65454a3887c8290060dfc5d76826eb648eb5f2c1</t>
  </si>
  <si>
    <t>0x0484fe17519f1e0a9f6421a38a760ad031c16c86</t>
  </si>
  <si>
    <t>25328907284192987828</t>
  </si>
  <si>
    <t>0x6f46ee35c7ccc4c27a31b3d9caeaa7516895ac40</t>
  </si>
  <si>
    <t>30617935321510199322</t>
  </si>
  <si>
    <t>0xff636e2f69a527fb916589caef9461c422e101fa</t>
  </si>
  <si>
    <t>0x348bad1e69fbacdff523b234ac102cb6e6d74370</t>
  </si>
  <si>
    <t>0x2d86a1a4e7a5e05b6427e4b0a5f73aa7d5895bde</t>
  </si>
  <si>
    <t>0x8cef2ef9f101ecca7f8d9dd88171884dc824e431</t>
  </si>
  <si>
    <t>0x14e7d1f19557ac84e7eda6ec333f5669ea24c026</t>
  </si>
  <si>
    <t>0xfd2a40323f79a4832c32833de1597174d75874b9</t>
  </si>
  <si>
    <t>0xc157577f9c4767f71d0b17dca8eb1b5215585820</t>
  </si>
  <si>
    <t>9866704791797176104</t>
  </si>
  <si>
    <t>0x1ce80c2430de7ced840c2ad77db17b837eab8d4f</t>
  </si>
  <si>
    <t>0x491dd4a1b070c22c0b287d675e9f5fd75b55ff56</t>
  </si>
  <si>
    <t>0xc20fc018d2a1b89e4235a1460fd571ba34270be2</t>
  </si>
  <si>
    <t>5138206330676370067</t>
  </si>
  <si>
    <t>0xf5cec94baeb387bdb3558bee567f6a270d919914</t>
  </si>
  <si>
    <t>0xbcf5561f95581fa09b417cd06a0fbe74394cd77c</t>
  </si>
  <si>
    <t>19133842493428618066</t>
  </si>
  <si>
    <t>0x499c88fcc2c771e949a35b9e547b621489a40c5b</t>
  </si>
  <si>
    <t>0x46bd21a1f5921e33c490530392099ee61cc4c888</t>
  </si>
  <si>
    <t>4867013374263208286</t>
  </si>
  <si>
    <t>0x6e533259a5219b2314965a346e5a8b3864e572cd</t>
  </si>
  <si>
    <t>0x9932a2892cd36731c8ba9b3b076497a1e610ad8f</t>
  </si>
  <si>
    <t>7288775845488392133</t>
  </si>
  <si>
    <t>0xac0f1092756435a39224d7ed1cb004f5f214eb60</t>
  </si>
  <si>
    <t>0x6826bb2d6aadb36b22684bd9eeb652f931d5d1af</t>
  </si>
  <si>
    <t>0x64d2fcfac493729d1c50cae847580a59ae831555</t>
  </si>
  <si>
    <t>0xc8c7b03516c27a075ff5f7e58727fec7edf8bca5</t>
  </si>
  <si>
    <t>9279112320525317558</t>
  </si>
  <si>
    <t>0x193fe7b03fe9d9b6ce2d77fa11f0c63e9af7daa5</t>
  </si>
  <si>
    <t>0x487f88d4921db7db0fac95a86fffd9cfdfc7c404</t>
  </si>
  <si>
    <t>19306436297914426033</t>
  </si>
  <si>
    <t>0x62623e1387e50b3c721db991db7456608c6536e3</t>
  </si>
  <si>
    <t>41872941524042150589</t>
  </si>
  <si>
    <t>0x77814fccdace1df19400d46b3de6492a20c190bb</t>
  </si>
  <si>
    <t>4720665541360581830</t>
  </si>
  <si>
    <t>0x3ec5400a8d69852312bd08be1f87a2953b6e44f6</t>
  </si>
  <si>
    <t>15651742038159672957</t>
  </si>
  <si>
    <t>0xcc97024e22c352ae41fa48127e96cbd40741a196</t>
  </si>
  <si>
    <t>9919830187650942199</t>
  </si>
  <si>
    <t>0xab931bfb096d0e929fa0ed2ce630d7450c6508e1</t>
  </si>
  <si>
    <t>0xdfe0388d35f2a772327c7b989d2c9b0dc4fa53bc</t>
  </si>
  <si>
    <t>291662327002168738</t>
  </si>
  <si>
    <t>0xe7c56e0dbe76510037f9f645e3bcbebc675b3fb0</t>
  </si>
  <si>
    <t>37530563017287014381</t>
  </si>
  <si>
    <t>0x09798de45fa77467387df7b5047f572aaf1dc5aa</t>
  </si>
  <si>
    <t>0x2b5f098abfbeda8e21b3da5de5f83c81f1a5c679</t>
  </si>
  <si>
    <t>38692606529456126001</t>
  </si>
  <si>
    <t>0xc09b241469ce4c001a03f2a5cb6af2a6e6c66630</t>
  </si>
  <si>
    <t>0x8ae0e9bb68c7b8813686d12285c4cf2237487a56</t>
  </si>
  <si>
    <t>10059738540716106947</t>
  </si>
  <si>
    <t>0xfe826327a0cc88acf15703fb39ecbe78bf42d903</t>
  </si>
  <si>
    <t>45161540649643194236</t>
  </si>
  <si>
    <t>0x8d8091711803bd60f7592d763548a3b72ef7f11b</t>
  </si>
  <si>
    <t>11607390623903200324</t>
  </si>
  <si>
    <t>0x59939c5f1de90d86121863e8ea960b787bacdd5a</t>
  </si>
  <si>
    <t>19323606607218491918</t>
  </si>
  <si>
    <t>0xa20d39edc78ffae5cb24a63551783b24b6eca00a</t>
  </si>
  <si>
    <t>9934194036205365700</t>
  </si>
  <si>
    <t>34948348413535963958</t>
  </si>
  <si>
    <t>0xfcca6fea1a7d0d15dae7b3c55767960db4530b0d</t>
  </si>
  <si>
    <t>20127994052278847983</t>
  </si>
  <si>
    <t>0x55ca87d5c42b1ef1460a6782e80991d0cb8cfc40</t>
  </si>
  <si>
    <t>0xfcc00aae5d38e246b151537680671a820c9b96dd</t>
  </si>
  <si>
    <t>12246985410190041876</t>
  </si>
  <si>
    <t>0xcc2bb809c16faec1503359d6c5bfb5f0a53f5507</t>
  </si>
  <si>
    <t>0x52ee34e4f18abb6829ff8c665f06f223c005b64e</t>
  </si>
  <si>
    <t>0xe57aad5ef6e5bf2a3db0aadfd41d5280d6fba2c0</t>
  </si>
  <si>
    <t>19543653071147870379</t>
  </si>
  <si>
    <t>0xd3d1f6cf4d8e27292a0f0cbea25d8f93fb361d22</t>
  </si>
  <si>
    <t>0xf82fbf6c8cbe77d180f9a7194bb0a8f84d49bc3e</t>
  </si>
  <si>
    <t>42925794934343833936</t>
  </si>
  <si>
    <t>0x08f8eae99dfeb553d48c9c6b160b73bde0ec4140</t>
  </si>
  <si>
    <t>11220031983054075087</t>
  </si>
  <si>
    <t>0xdabcfda7182ac4e9d718a2c162548355bd10f1b5</t>
  </si>
  <si>
    <t>8150987508434815215</t>
  </si>
  <si>
    <t>0xf8de9d44b0e260d41deacc4f235a99949735bb89</t>
  </si>
  <si>
    <t>0x1a14f58d39dbce8a7f928fd236da5ce939f1d204</t>
  </si>
  <si>
    <t>0x52604af3b9ea7e4acd63cd25f2f9c769d1c4865d</t>
  </si>
  <si>
    <t>47992977478912314021</t>
  </si>
  <si>
    <t>0x6b135b0df179c60df036346410c2059989bab7f3</t>
  </si>
  <si>
    <t>22614759930085526589</t>
  </si>
  <si>
    <t>0x4d10e12e34d71bc738e35e62d02c6ef09c537580</t>
  </si>
  <si>
    <t>46682026788121375573</t>
  </si>
  <si>
    <t>0x06d8ce051bab380875406f7aba1bcf1e37d068f5</t>
  </si>
  <si>
    <t>0x2c4e4162bd6d8682aae388a1b58c2317312fffd8</t>
  </si>
  <si>
    <t>6448345606167466283</t>
  </si>
  <si>
    <t>0x2b80c79b962cfbcf04643b0e25c3968105a9cb91</t>
  </si>
  <si>
    <t>11547636994394756001</t>
  </si>
  <si>
    <t>0x090f57707d22b45c6ba601431ca5e84108a29130</t>
  </si>
  <si>
    <t>2039431254293435102</t>
  </si>
  <si>
    <t>0xad77f9e323be605de1dabd545960e3adfe0dca0d</t>
  </si>
  <si>
    <t>21220925437861784211</t>
  </si>
  <si>
    <t>0xfab4d4d4b996e7294e7781b4b8398255d0c422e3</t>
  </si>
  <si>
    <t>29593968969212719414</t>
  </si>
  <si>
    <t>0x2dd3de1c1c57ba08ff5dafc06b1c92ebc58bce7f</t>
  </si>
  <si>
    <t>38691302079677334414</t>
  </si>
  <si>
    <t>0xb97b37a2960988697f4a9163c763c9a78896b5ae</t>
  </si>
  <si>
    <t>34949801336917778620</t>
  </si>
  <si>
    <t>0x541ea8013eba7de4ed4989b8801c5bc83e00d4e7</t>
  </si>
  <si>
    <t>0xe12adfa424ed93b9366ff8c14aab3800d801b9d9</t>
  </si>
  <si>
    <t>36243899496273004056</t>
  </si>
  <si>
    <t>0xbffec784165eb421ea17a424d2979853b1041d99</t>
  </si>
  <si>
    <t>0x6dbb09796eaaef18f68df6dd1cf91ee0b0e7d987</t>
  </si>
  <si>
    <t>579758023325394334</t>
  </si>
  <si>
    <t>0x2fee25d5b6f24e1a3ee3bc3f56f1d6a136289714</t>
  </si>
  <si>
    <t>0xbe9e0c20ee408a3b4cb95bcd672e1de7cefb5cbb</t>
  </si>
  <si>
    <t>4836412759959666801</t>
  </si>
  <si>
    <t>0x6c6c8d4d984a7bd9bd02cd85c2e083a93045efba</t>
  </si>
  <si>
    <t>0x2ccb808b97a6bf2e9e5ff577873a4e988c1096b9</t>
  </si>
  <si>
    <t>2153901140199649894</t>
  </si>
  <si>
    <t>0xe5848f5dd7db342a109b065beb4e901a1b277197</t>
  </si>
  <si>
    <t>0x209df7577e0f5fe669d4426ebfb1847ebc45d3ee</t>
  </si>
  <si>
    <t>44936035315357907430</t>
  </si>
  <si>
    <t>0x662deccbc86b30d846e251ccde1a72c1f80483cd</t>
  </si>
  <si>
    <t>0xc161c45019bd4bd7dfed68de40ad71b3d8b4dbb0</t>
  </si>
  <si>
    <t>41592467664861045952</t>
  </si>
  <si>
    <t>0x95274f50d6e214b3359c9cad15f001667fb275f8</t>
  </si>
  <si>
    <t>0x94549093367348632c82e04e596aa2ee5892a1f8</t>
  </si>
  <si>
    <t>8518745277418359882</t>
  </si>
  <si>
    <t>0x9cf472673a94ca77632d68ae66ecb20900ad2bf7</t>
  </si>
  <si>
    <t>40238954162864427790</t>
  </si>
  <si>
    <t>0xb0fecff8ab2b45778cc022f7f0f98d0a2b0133a0</t>
  </si>
  <si>
    <t>0xdcd7fb7bbcf699fe149436aa8355dac0c130ab16</t>
  </si>
  <si>
    <t>0xb8696db49206307513fabceac859ed8c69d80a3f</t>
  </si>
  <si>
    <t>0xf4b870b27ea1641235aed1d49ec77f79b03c52e0</t>
  </si>
  <si>
    <t>9714775199170086298</t>
  </si>
  <si>
    <t>0x65489775cf22c8767a103aeee24698f6308857c3</t>
  </si>
  <si>
    <t>0x4b4354e2d456fd17e719a1210ec7082c80ba1f5f</t>
  </si>
  <si>
    <t>19539107550237053879</t>
  </si>
  <si>
    <t>0x21b9589ac8e42f948609d54b466cfaa0e8adf0ed</t>
  </si>
  <si>
    <t>0x0add53c2e5f4e988de2a2845ea61e01fa969b54b</t>
  </si>
  <si>
    <t>9704184894542211841</t>
  </si>
  <si>
    <t>0x65b09bb083a2393a88eeda288724cc8fd9ea74b5</t>
  </si>
  <si>
    <t>6770977863943533522</t>
  </si>
  <si>
    <t>0xdb40a01625743eb3f1c2c50fc3ac6e089a8f4d42</t>
  </si>
  <si>
    <t>19364927185049622883</t>
  </si>
  <si>
    <t>0x9e3d1ce1d2df1750bfed921c803d5e6a0de3a603</t>
  </si>
  <si>
    <t>1044550426969117847</t>
  </si>
  <si>
    <t>0x7a755b5e9ebe7b22772d9bc9d5b0fa975005a794</t>
  </si>
  <si>
    <t>8883271072377895662</t>
  </si>
  <si>
    <t>0x6bfa14a589a4213677cca49205537f3aa091a1b4</t>
  </si>
  <si>
    <t>0xcaf4e8d54a44419ffcffb9cf9f058e7ea41e39d5</t>
  </si>
  <si>
    <t>9767653156795705046</t>
  </si>
  <si>
    <t>0x70ffb1f081dd6184bf706094f27db048e1836ae2</t>
  </si>
  <si>
    <t>37871126972384478932</t>
  </si>
  <si>
    <t>0xf6ecc212b8c8af4283955c673a9ebb57e645fcfc</t>
  </si>
  <si>
    <t>0x158e47ad7eb2f4fb6afb769bac6c7c741bef60bc</t>
  </si>
  <si>
    <t>0xb11b8fbc2ef1a009e333f2eda19f0f3a3aab6091</t>
  </si>
  <si>
    <t>35006852892357602178</t>
  </si>
  <si>
    <t>0x2cfe001ab3a17ddf4bb8572836e37d3ca71024b9</t>
  </si>
  <si>
    <t>137099416648434356</t>
  </si>
  <si>
    <t>0x0afa7ce7680f7383b8bdd23844740f6d89381c2a</t>
  </si>
  <si>
    <t>5107043518371044369</t>
  </si>
  <si>
    <t>0xdc3c097664f3913982d22b24599601900df58aae</t>
  </si>
  <si>
    <t>31154954214972009457</t>
  </si>
  <si>
    <t>0x55ee617c98986440c8dc43094ea0a0e745226f89</t>
  </si>
  <si>
    <t>0x5ea6de0f6893ecb3dcd7c11d3024ab2c1772eadc</t>
  </si>
  <si>
    <t>30967042650949606033</t>
  </si>
  <si>
    <t>0xacc33e6bd41d6003334149151d20931c4d449178</t>
  </si>
  <si>
    <t>43804398641770128762</t>
  </si>
  <si>
    <t>40633332121102074996</t>
  </si>
  <si>
    <t>0xc9459554e96e2c8068c0cf008b91b4276204f534</t>
  </si>
  <si>
    <t>0x7d057162c80edd7b81ceffc50170b394401d4728</t>
  </si>
  <si>
    <t>2250676050287733359</t>
  </si>
  <si>
    <t>0x80026fd66d0cd4ae23fdaab33926e5e94ecbc240</t>
  </si>
  <si>
    <t>0x045b1ba26ede7b5581319fda46e179886401f505</t>
  </si>
  <si>
    <t>41338030987660346251</t>
  </si>
  <si>
    <t>0xbc99cbcb14403960f39493df3d2d7144c2297435</t>
  </si>
  <si>
    <t>0x6de5646d7c9e77da69b81b887e0c508e483c2b90</t>
  </si>
  <si>
    <t>23292799478480015198</t>
  </si>
  <si>
    <t>0x69d40ace11f93d1d65d4534e3e7e7ab03f21ec66</t>
  </si>
  <si>
    <t>19203121582973608584</t>
  </si>
  <si>
    <t>0x5799dd2b9f02c52c28c0cb78929a7a624f2bdd0e</t>
  </si>
  <si>
    <t>0x95637a13f002edfb654eb888256aa49e03698921</t>
  </si>
  <si>
    <t>9121784680677104907</t>
  </si>
  <si>
    <t>0x12898e671d1083e916123ec3ad0aff13511bce40</t>
  </si>
  <si>
    <t>48215350274985808213</t>
  </si>
  <si>
    <t>0x57bd4e3a184420c5e7435ff31037b81f1b63f7af</t>
  </si>
  <si>
    <t>0xb83befca7df09a66049187c4c8d88dc075e8625d</t>
  </si>
  <si>
    <t>18258923609630825373</t>
  </si>
  <si>
    <t>0xa9a1848aeb76edddeac27a307f9e59e55c0dd4cc</t>
  </si>
  <si>
    <t>0x6452a3505b6b54fe1675001eba09719c3a3066c0</t>
  </si>
  <si>
    <t>0x88ae55994cd37da85cd9ec55dee6807083ea21c0</t>
  </si>
  <si>
    <t>0x5df2abee60f8759e30965612b3972d91f1dd12a8</t>
  </si>
  <si>
    <t>0x2164a0fb032bccefdbbae6b2f83c3b597bce933a</t>
  </si>
  <si>
    <t>0x871859825948e4583e6355c54cdd10ee46b17996</t>
  </si>
  <si>
    <t>29018480463710379487</t>
  </si>
  <si>
    <t>0x427a225099366d3e917c2aa9d3c77db4653f584a</t>
  </si>
  <si>
    <t>9713743758507528795</t>
  </si>
  <si>
    <t>0x78fcaeeefc30d87b27908ea46e674b589b0ab830</t>
  </si>
  <si>
    <t>15763583804591689855</t>
  </si>
  <si>
    <t>9015558058444592784</t>
  </si>
  <si>
    <t>0xaa089eae69704d383794139318e76b28fdfd8b41</t>
  </si>
  <si>
    <t>30688386714242059730</t>
  </si>
  <si>
    <t>0x0eff31a151fc33d9dd1127aeb966c01dc761c989</t>
  </si>
  <si>
    <t>10052616127046982027</t>
  </si>
  <si>
    <t>0xac75717dad88ff4115448ccb26667ecbaf5497d7</t>
  </si>
  <si>
    <t>159529579134298706</t>
  </si>
  <si>
    <t>0x7f616ba5e869edc1e5dd4c5360abaaf35d276c6c</t>
  </si>
  <si>
    <t>0x018aea5ef09ebb015076b0d8a439e852df76e2f0</t>
  </si>
  <si>
    <t>40067463435212185524</t>
  </si>
  <si>
    <t>0xa9a1ef749cdf2830debde9f0f342d4b20a97dd4c</t>
  </si>
  <si>
    <t>9479369009520946931</t>
  </si>
  <si>
    <t>0xbcc4f9315eba7936e68578308776b9cc54d71911</t>
  </si>
  <si>
    <t>3440162299562793779</t>
  </si>
  <si>
    <t>0x1ebc404122c27b801d7678aa863646e2a68c04c8</t>
  </si>
  <si>
    <t>9866282030317720275</t>
  </si>
  <si>
    <t>0x790ac1cc57ddc9cc49a7a3ccbe230889efee9034</t>
  </si>
  <si>
    <t>16851330975062114493</t>
  </si>
  <si>
    <t>0x0ac27f57c89d9340ab77e1d30d6e90ac3506af6e</t>
  </si>
  <si>
    <t>0xbe18df53cf2923f5279f45fa1f0abb708710b0d7</t>
  </si>
  <si>
    <t>0xf1f45f26cbac3cde9e5e69e6a92190a954428044</t>
  </si>
  <si>
    <t>0x7042d513579031dc1e5f8d671564f593111f3698</t>
  </si>
  <si>
    <t>10294795485068132020</t>
  </si>
  <si>
    <t>0x785b01b63dd1f6aad2c9d86ccf8852b6f18014ea</t>
  </si>
  <si>
    <t>0xb8f3a96a5b61ea648b67d5e258c8cd5080a80365</t>
  </si>
  <si>
    <t>0x118fd9751d1af0ac1baca8ae7e2eab4ac83a3302</t>
  </si>
  <si>
    <t>0x3466d70e6fb1c8cab31de6b4c5d09723d0c30c39</t>
  </si>
  <si>
    <t>18033459443352573346</t>
  </si>
  <si>
    <t>0x67797bb4e79e261df12b8955c971f1f98ae9e5a1</t>
  </si>
  <si>
    <t>0xeed9d65241ca42689b5b7f39fc63d30b61d3f191</t>
  </si>
  <si>
    <t>41439556891952958781</t>
  </si>
  <si>
    <t>0x1c61cc926334dd106733d4b02b7b3a9571529404</t>
  </si>
  <si>
    <t>38828042436325059783</t>
  </si>
  <si>
    <t>0x35e9f63348d4b3877217b937d2efd5e1f34cce26</t>
  </si>
  <si>
    <t>0x2ecfaf5d732147ef70d035edc942d82351355edb</t>
  </si>
  <si>
    <t>9720063815168906175</t>
  </si>
  <si>
    <t>0x9d17d361836d1129d165b0dab4afcaf9df738d17</t>
  </si>
  <si>
    <t>0x4a729d93ef8e77c4174721937529ac551b73c6b3</t>
  </si>
  <si>
    <t>47658075948602094375</t>
  </si>
  <si>
    <t>0x03207642567238310ba8ef2cb7eba0ae8d2abe84</t>
  </si>
  <si>
    <t>40737552983389281604</t>
  </si>
  <si>
    <t>47010760888472412925</t>
  </si>
  <si>
    <t>0x192da9e6710418fdff62065c913f19d78a0d7982</t>
  </si>
  <si>
    <t>46253094606659196010</t>
  </si>
  <si>
    <t>0xeef2c48947f9f6807cdd83455299481b3a76c967</t>
  </si>
  <si>
    <t>0xef1e4e0ae25d77553fdc0c144dc6ed622cf46263</t>
  </si>
  <si>
    <t>12574673175895133684</t>
  </si>
  <si>
    <t>0xcfc0a74dfb6348faa9e37ccd99d670fe62a5d431</t>
  </si>
  <si>
    <t>20880582349365190934</t>
  </si>
  <si>
    <t>0x1b5ae2efd03efd0e79a4feedaf427d3ad14b8927</t>
  </si>
  <si>
    <t>4198874773499077572</t>
  </si>
  <si>
    <t>0xd4f91d6d99865e8d5cb59a85093df08f2331957b</t>
  </si>
  <si>
    <t>10705261040512738134</t>
  </si>
  <si>
    <t>0x06db309b06352c9f62d0d80ea7f7d22c9aa4eeaa</t>
  </si>
  <si>
    <t>43690497031711815533</t>
  </si>
  <si>
    <t>0xf8bc9b87609fa26749014d216fdbc9353f29b6d0</t>
  </si>
  <si>
    <t>0xdd7c159fbc5c7e98c8821f3c088714979f232373</t>
  </si>
  <si>
    <t>0xbea511a57130f9a2396582b888b2f676591ecc2e</t>
  </si>
  <si>
    <t>29018476559758000810</t>
  </si>
  <si>
    <t>0x0eef4f910913b3d8bae7029eea7a126dcb0245dc</t>
  </si>
  <si>
    <t>6665020656194115473</t>
  </si>
  <si>
    <t>0x9d93e732945777ff59f7bc7112afeb48e04ab7d2</t>
  </si>
  <si>
    <t>7963443805396192803</t>
  </si>
  <si>
    <t>0x89743a7c66acb96b81a599a124517f089abb5c3d</t>
  </si>
  <si>
    <t>0xbf110bec0ad59ce25faad8aea4e2671422996e31</t>
  </si>
  <si>
    <t>0x01368f7aa6f1ad5d0ce99b0f37e994e874f630b4</t>
  </si>
  <si>
    <t>0x7537739d4be0ddf39239a37c13d11fcea420ba46</t>
  </si>
  <si>
    <t>47347624964418539301</t>
  </si>
  <si>
    <t>0xe8e0da50396c59972248e3d335618ae6d3677e0d</t>
  </si>
  <si>
    <t>10833564582309653635</t>
  </si>
  <si>
    <t>0x2432f6888dcc24a5e8b5461574c4e61e68e805e2</t>
  </si>
  <si>
    <t>3041508245699285481</t>
  </si>
  <si>
    <t>0xf2cd7f86d8e1c6731eaaaafcd74a288aa86e9a09</t>
  </si>
  <si>
    <t>29181599696779362732</t>
  </si>
  <si>
    <t>0x0cfc65d74f81d9ad6ac6fa19ede22f53f7c9ee25</t>
  </si>
  <si>
    <t>22458854158708347182</t>
  </si>
  <si>
    <t>0xf26947425b309dcc7cca44c5af4dec0e9c94ef7b</t>
  </si>
  <si>
    <t>0x42a006929c3c7a22c3664d6938403b902e4e0723</t>
  </si>
  <si>
    <t>7027244680640248922</t>
  </si>
  <si>
    <t>0x026c0b40c1ba22c082bae5cef6e06e1357ad3ba5</t>
  </si>
  <si>
    <t>0xc5ef2512f25ca019fe540cb81b330cdaf5643bbe</t>
  </si>
  <si>
    <t>47668019374890753719</t>
  </si>
  <si>
    <t>0x79aab68ea04b5e0886d8e33748938ed4a8915e5d</t>
  </si>
  <si>
    <t>4094372439040526190</t>
  </si>
  <si>
    <t>0x8d6bd8782094279515bf559e574a868b992388b6</t>
  </si>
  <si>
    <t>29771970337198283585</t>
  </si>
  <si>
    <t>0x4d05fd4499be580adec107f548b115d5ec915350</t>
  </si>
  <si>
    <t>33711716001888440552</t>
  </si>
  <si>
    <t>0x41f8cbe579a822cfda5362bf20bca86622480044</t>
  </si>
  <si>
    <t>17662242074700836499</t>
  </si>
  <si>
    <t>0x4046c52ba210e4901a1859f951bca9da709e5d69</t>
  </si>
  <si>
    <t>47312340609018108936</t>
  </si>
  <si>
    <t>0x65cbf9a496e5bc9caed929b2007633aca8b2ef2f</t>
  </si>
  <si>
    <t>0xde7acbe56597bb6ef5aec1d6d3862b8d2d86ad8a</t>
  </si>
  <si>
    <t>0x6089b9df631996ef82bfd4f272b0c81137b6ea83</t>
  </si>
  <si>
    <t>0x7c33fa47ce00e7d950b05558634400f9cbb9b52f</t>
  </si>
  <si>
    <t>8740710321986103620</t>
  </si>
  <si>
    <t>0xe1c7c334518f3581379e5b53790e8aebdc7f64eb</t>
  </si>
  <si>
    <t>7662946842393765103</t>
  </si>
  <si>
    <t>0x7522682a93738e7da3ab42959d61cd809fe62440</t>
  </si>
  <si>
    <t>0xe24c19e19368292c5e713cc6138ca0fa2abf073f</t>
  </si>
  <si>
    <t>10490341079315227104</t>
  </si>
  <si>
    <t>0x686c9c3f0f351f52baa8513f57601d645437493d</t>
  </si>
  <si>
    <t>42522442808830270051</t>
  </si>
  <si>
    <t>0xa885a01f09890b7b85c701edbd40810a52b30f04</t>
  </si>
  <si>
    <t>0x235fa7cffd0e8798965580874c6eb540b3c63e50</t>
  </si>
  <si>
    <t>45506906985140581327</t>
  </si>
  <si>
    <t>0x84287bdefa1fd19f9c81b00c5293ba5d828eb296</t>
  </si>
  <si>
    <t>46571985598505739627</t>
  </si>
  <si>
    <t>0xa0e1eee5ce9881c716ed5d09377f693dfbb65a9a</t>
  </si>
  <si>
    <t>46219310908391436438</t>
  </si>
  <si>
    <t>0x1276ea5add5fb80b9d773e3e44e6d2ed8101583b</t>
  </si>
  <si>
    <t>4430892287964918287</t>
  </si>
  <si>
    <t>0x96845e0c0ce9c987266d520d6e93b205c4fc55bd</t>
  </si>
  <si>
    <t>4635394107632214000</t>
  </si>
  <si>
    <t>0x8eec6ae7e1874bd68a9842502de41be3f2c130e6</t>
  </si>
  <si>
    <t>41220209808703688910</t>
  </si>
  <si>
    <t>0x242f49733a683a29bbae5dc915fb8cf93619abcd</t>
  </si>
  <si>
    <t>22675037122068295018</t>
  </si>
  <si>
    <t>0x81025ad7ef745169186889effcdf7be125b74655</t>
  </si>
  <si>
    <t>9387073927047347786</t>
  </si>
  <si>
    <t>0xa37f1b5a20ae18a329e286b9f4a3fa93cfd60168</t>
  </si>
  <si>
    <t>7436001536455182337</t>
  </si>
  <si>
    <t>0x0dc962e88719284aad46584f59f808c05f5ffcd1</t>
  </si>
  <si>
    <t>36639224245362091200</t>
  </si>
  <si>
    <t>0x532ce4af4d99cf95d2f29c744b24f4773d9fce9e</t>
  </si>
  <si>
    <t>0xb41caf3fccfa36ff7ae70ca9467f6a3505188ea2</t>
  </si>
  <si>
    <t>15596843720536891320</t>
  </si>
  <si>
    <t>36082079134716559050</t>
  </si>
  <si>
    <t>0xdda0a55eace85281e248dabf3a8e5454304de367</t>
  </si>
  <si>
    <t>43790024512595422567</t>
  </si>
  <si>
    <t>0xc450fb36b509f76657b14b5bef504ab69f9ac25f</t>
  </si>
  <si>
    <t>9857368383473165096</t>
  </si>
  <si>
    <t>0x8454c889f5f14a6ca2e5cd8d2bebc34bc1cdecab</t>
  </si>
  <si>
    <t>7738260415935466882</t>
  </si>
  <si>
    <t>0xf616d96d999ab9014adca6dde147652330e86d7b</t>
  </si>
  <si>
    <t>6034300551310260993</t>
  </si>
  <si>
    <t>0x0c8e18851459d75cbe05ba187b33d60995cd42ac</t>
  </si>
  <si>
    <t>10888476553679904643</t>
  </si>
  <si>
    <t>0xbf58ad73b212ebe75a5aa36a3f62b184674bb7b7</t>
  </si>
  <si>
    <t>34882798958159570363</t>
  </si>
  <si>
    <t>0x7e03088e4eeda42f5390805c843edf88c65805fd</t>
  </si>
  <si>
    <t>0x20988cd2959fc0d00ea178a1ac648e00b50168fc</t>
  </si>
  <si>
    <t>0x5d5f634aa4228ea171c22e15637f1e5af788976e</t>
  </si>
  <si>
    <t>0x3c0ada4b9771049d85d187cc77d7d04c06a9030e</t>
  </si>
  <si>
    <t>43815821098115493508</t>
  </si>
  <si>
    <t>0x8cbe077015b0eeb29f89746e2dd43eb38faf070a</t>
  </si>
  <si>
    <t>0xb5122a34ed16a7080b60ce9b3c5c7e4c918ae121</t>
  </si>
  <si>
    <t>10023262274280797304</t>
  </si>
  <si>
    <t>0xeac9fc952bde181ce32437ed621a3a078f5453f5</t>
  </si>
  <si>
    <t>0x1f7e13eb0809b432f1dd68793560ab44cf081c57</t>
  </si>
  <si>
    <t>0xdc57a6a58bc4935ab137e538501a3e006a1aa719</t>
  </si>
  <si>
    <t>24734372247084352857</t>
  </si>
  <si>
    <t>0x03df831a616be8421144b15d34f324453f251541</t>
  </si>
  <si>
    <t>42875228444491240211</t>
  </si>
  <si>
    <t>0x2077d9058b270f2d9c2703edfd4394e46346f4ac</t>
  </si>
  <si>
    <t>0x86cca562b19e12737872695ad0be2d7c9173130c</t>
  </si>
  <si>
    <t>22596961423677034977</t>
  </si>
  <si>
    <t>0xe2ff53678e73c5da1f21238bb0d41bf45b03b644</t>
  </si>
  <si>
    <t>19387285749256079035</t>
  </si>
  <si>
    <t>0xaf96991a4333f5503523c2fb3ebb52f69a031201</t>
  </si>
  <si>
    <t>19843544578286945747</t>
  </si>
  <si>
    <t>0x3b4979f93bc513c64c85877b62262c2a4bb91847</t>
  </si>
  <si>
    <t>0xce268018522599fe07257c0e94cd17e9a24991cc</t>
  </si>
  <si>
    <t>45729863063258757123</t>
  </si>
  <si>
    <t>0x02c271d368215d492e3bd4682f12b1d473f0f016</t>
  </si>
  <si>
    <t>7994617684888811865</t>
  </si>
  <si>
    <t>0x67239a67f6e9eec6e8aa06f566a0881082940aeb</t>
  </si>
  <si>
    <t>45827561480230692460</t>
  </si>
  <si>
    <t>0x69e547f898634dfe65721b6f1c2a62f4157955b7</t>
  </si>
  <si>
    <t>6126857953358515526</t>
  </si>
  <si>
    <t>0x8d705f2a987f59fde46fb6d4054b25927624720c</t>
  </si>
  <si>
    <t>6328579253826536926</t>
  </si>
  <si>
    <t>0x100b4a6a63a2ccd32b87f1f7019814b19875c842</t>
  </si>
  <si>
    <t>9695793699058030099</t>
  </si>
  <si>
    <t>0x5299c7d2b73b6a96231081dabfd54dfcc84fedeb</t>
  </si>
  <si>
    <t>28390551140068740682</t>
  </si>
  <si>
    <t>0x224f536ebe100f67c59376c620242c18847636df</t>
  </si>
  <si>
    <t>0xfa62840318b63b751fc2ffaf5055c6aa94c7a96d</t>
  </si>
  <si>
    <t>0x359afe14202a131cfa9c59244606a2b0c26d7773</t>
  </si>
  <si>
    <t>0x2da1d743fc154d7745d8f9bce425676206facfb8</t>
  </si>
  <si>
    <t>0x9a23499b6056837e2407e384cb50871e38494e81</t>
  </si>
  <si>
    <t>19250111499641288473</t>
  </si>
  <si>
    <t>0xf008c3d89f8c905462fb350e4e0f2414f071b569</t>
  </si>
  <si>
    <t>8146724709498574159</t>
  </si>
  <si>
    <t>0xa2fd2b6b9114d1a83ac077381241bf0f8963c320</t>
  </si>
  <si>
    <t>0x9824880a3f901d08ae0add54e21dd35afc0de16d</t>
  </si>
  <si>
    <t>6568097099397928933</t>
  </si>
  <si>
    <t>0x1a19c0475ec0c7adcf67036a887864dfe6067e7d</t>
  </si>
  <si>
    <t>47694675895476493692</t>
  </si>
  <si>
    <t>0x53f1946ac31a43a3d23d8374504fe3fafadf7404</t>
  </si>
  <si>
    <t>0xfbcd1ee7e6a3fc6f1c2f85f3299748005b3c7bee</t>
  </si>
  <si>
    <t>9822473394957854468</t>
  </si>
  <si>
    <t>0x460e143507c33e4294fe278d59ecbc91c1acb738</t>
  </si>
  <si>
    <t>9566427194255863674</t>
  </si>
  <si>
    <t>0x623ea009d54ca740277605ebe4c5764e6e003aae</t>
  </si>
  <si>
    <t>15135983852056418622</t>
  </si>
  <si>
    <t>0x44006fc3e3cbc54ef6093e4160820461e04c4566</t>
  </si>
  <si>
    <t>0x5c8680ba499e1b4fde9fb52e31df8154e9f33045</t>
  </si>
  <si>
    <t>0x82708938f0f412c42c5eb3241499d49d2cca37bb</t>
  </si>
  <si>
    <t>10132201973354918222</t>
  </si>
  <si>
    <t>0x86a4ccab666f7b26ef473fc67ee7dc5dc3c76800</t>
  </si>
  <si>
    <t>0x3ced6582ae75971cefb74393a863036008f69772</t>
  </si>
  <si>
    <t>31559771769598573372</t>
  </si>
  <si>
    <t>0xc16b118817e39a69a960ea75c810389cacf67062</t>
  </si>
  <si>
    <t>0x0c2f581afb91eda61c72cc0c0a141157a618b3f4</t>
  </si>
  <si>
    <t>12055214099260278505</t>
  </si>
  <si>
    <t>0x567665cc55e356b72072e9b2ee197923c47d039d</t>
  </si>
  <si>
    <t>16289067798185398936</t>
  </si>
  <si>
    <t>0xc157c1a70e9f6b4a823f329b792f043125199760</t>
  </si>
  <si>
    <t>0xbd74f769092949f8664cc9fc11889c6f58728de8</t>
  </si>
  <si>
    <t>0x9668f8af3ba0e5b370b6280b5ad81b01642fdaae</t>
  </si>
  <si>
    <t>1577184312868871923</t>
  </si>
  <si>
    <t>0xdd9322813b36b76a6f25f89f56732068974b2c02</t>
  </si>
  <si>
    <t>18953270291081340159</t>
  </si>
  <si>
    <t>0x9e0643f1998f897ebb18d0bccdd3c160621433eb</t>
  </si>
  <si>
    <t>0xc2457d6635b4ab02ab3207664b3402654aa23c50</t>
  </si>
  <si>
    <t>9746424387315518667</t>
  </si>
  <si>
    <t>0x20cae38e58f3e04be77a9f2b8d403920a2092903</t>
  </si>
  <si>
    <t>37278765424843649938</t>
  </si>
  <si>
    <t>43778195828599723371</t>
  </si>
  <si>
    <t>0xf29389f3d83f0bed2b3210141987b45e5ff8ff94</t>
  </si>
  <si>
    <t>1454384071887159556</t>
  </si>
  <si>
    <t>0xedf68f3d05ee9f1148eaf319f5cdc6f58a8a5128</t>
  </si>
  <si>
    <t>0x36bc7aee9f15f94d2cef8f72c7870ce5e080ce2a</t>
  </si>
  <si>
    <t>46909946884351002353</t>
  </si>
  <si>
    <t>0xdfdd75fffcc8354bb05378d2e9c367226cdc258d</t>
  </si>
  <si>
    <t>801696089682663330</t>
  </si>
  <si>
    <t>36207260527271436633</t>
  </si>
  <si>
    <t>0xf03f74ebb463d9360dc093591628c76bf97eca6a</t>
  </si>
  <si>
    <t>0x321c77393da3b7583a1344a91340f51ff3dfc758</t>
  </si>
  <si>
    <t>0x863ca69b1a4ad41d3a7afe173e128c65ac90883d</t>
  </si>
  <si>
    <t>0xaee34628feaaaeb4ac7d0f2e03a88804df72b96b</t>
  </si>
  <si>
    <t>2606457569682887758</t>
  </si>
  <si>
    <t>0x939968ee0bcce6920bf48af2890a349026ce6ada</t>
  </si>
  <si>
    <t>17987276776826509011</t>
  </si>
  <si>
    <t>0xe3b831ddced30efeaf9feca600947906a4398a2f</t>
  </si>
  <si>
    <t>0x6925c234f83fcb0d4469c6a5116d27e1df33b28b</t>
  </si>
  <si>
    <t>0x10c2f2a7d81842dd1f39cacd504710893ae57913</t>
  </si>
  <si>
    <t>0xc4a5aaf98d0aa0497f18fddfa01c20c1d06701d9</t>
  </si>
  <si>
    <t>0x7ec74b41341ab7e30adc1a2827e3bbb15eaa4cc9</t>
  </si>
  <si>
    <t>0xa9a1b089187a3f79ed3eec6973a1f9dca6ef80ec</t>
  </si>
  <si>
    <t>14903946465750097852</t>
  </si>
  <si>
    <t>0xd5ec777f8c7bd9c46a0097a78227a5216c7f43ac</t>
  </si>
  <si>
    <t>0x18a85f3c71cf0afc5974f6f3e45ede2c4ee48586</t>
  </si>
  <si>
    <t>0x99329a9d73f7136ee28e344bd85132eeafae3fdc</t>
  </si>
  <si>
    <t>0x44dc3320ead2bd42a0f8c4abd980c568f1e40417</t>
  </si>
  <si>
    <t>0xa8dc2a066524ea17b7574bf664a4b9635cb54ae1</t>
  </si>
  <si>
    <t>81617402178383114</t>
  </si>
  <si>
    <t>0xd8e9aca964088bbfbd494f06051bfe3a4e6bdfd9</t>
  </si>
  <si>
    <t>36343229074136277213</t>
  </si>
  <si>
    <t>0x97e8798cb2952c0fba7b80ed20b7beb18624d7ff</t>
  </si>
  <si>
    <t>6345346892022983037</t>
  </si>
  <si>
    <t>0xf387c0bb7380364337ab510ee89c39026fc9c4ee</t>
  </si>
  <si>
    <t>43965493809600571774</t>
  </si>
  <si>
    <t>0xe4a17c5cf1c8b5e9b24a53c48788ffdc93b3a370</t>
  </si>
  <si>
    <t>43884457188443682257</t>
  </si>
  <si>
    <t>0xfc45e7058806b0c8c2a9b02210a57f075ef93d33</t>
  </si>
  <si>
    <t>0xc90943e4ab3cba873d7405fc9ed6ed5fa80c88d0</t>
  </si>
  <si>
    <t>23707358789894195236</t>
  </si>
  <si>
    <t>0x85c24c91252aa6f51bc95a9a80c6ddecc60bc2f4</t>
  </si>
  <si>
    <t>38515225541089250203</t>
  </si>
  <si>
    <t>0x0d1750d7bece509e467722d72d459f8ac5f44081</t>
  </si>
  <si>
    <t>19864093669464346257</t>
  </si>
  <si>
    <t>0xf703edb701b918adefc9895f7cf6e74e2b51298c</t>
  </si>
  <si>
    <t>0xaaf78732fcc857f47a4a07fb0ad436eff128f11d</t>
  </si>
  <si>
    <t>9673750068315090812</t>
  </si>
  <si>
    <t>0x0f623a464daf9d0ca8902a769ecf5703c6054867</t>
  </si>
  <si>
    <t>32670996149206845239</t>
  </si>
  <si>
    <t>0xa10fd1626bd9b37dffaa82b3543de85b8df2f494</t>
  </si>
  <si>
    <t>0xfc25ba2ed8616a040500ec942c37e74eafc38a0f</t>
  </si>
  <si>
    <t>0x07e878070d8337e9d22416db14c398da993d6dd9</t>
  </si>
  <si>
    <t>33762501439652513545</t>
  </si>
  <si>
    <t>0x5dacf57d40979a7f4debe9ef04a3a6357f54895f</t>
  </si>
  <si>
    <t>4104752561159962736</t>
  </si>
  <si>
    <t>0xbf12af303e58ecb6684d55b951e7c7800ba9e0ab</t>
  </si>
  <si>
    <t>18568222848737731946</t>
  </si>
  <si>
    <t>0x4ba99a28f76c572607a7e455625b9dd594b05efa</t>
  </si>
  <si>
    <t>7330773225115679626</t>
  </si>
  <si>
    <t>0x30efefb5f7e35bf623d772bfba927b11f6a731af</t>
  </si>
  <si>
    <t>0xb5a22886f22bdcb44b804a00005200a7fff2d346</t>
  </si>
  <si>
    <t>238803811729428710</t>
  </si>
  <si>
    <t>0x4978d237b4c6e33ff8c6a3e24710fef0cee45f87</t>
  </si>
  <si>
    <t>0xa218d9d6169524848a3eb97e2c88d89d1a2f84a2</t>
  </si>
  <si>
    <t>4768197792471193877</t>
  </si>
  <si>
    <t>45683346644551295869</t>
  </si>
  <si>
    <t>0x6acd60819ac9510a4828ab183382fc3e86b47a91</t>
  </si>
  <si>
    <t>0xdfb3aaf857ab9c061f66fd197c0e271fe83277fc</t>
  </si>
  <si>
    <t>0xb381a30653fb825e336687becbdbf784a1470c3c</t>
  </si>
  <si>
    <t>0xa22800d34b90a3bbb9399845d256029181f54519</t>
  </si>
  <si>
    <t>0xadb978774cd1d78a4845e4d8c5b43a5d1ff2f2ff</t>
  </si>
  <si>
    <t>10349899623561139557</t>
  </si>
  <si>
    <t>0x4d34192f6188d74e7930ba0ed8798f2a1beddbb1</t>
  </si>
  <si>
    <t>0x36a787783cfe2579319a3e2823d2a77384ff0b6f</t>
  </si>
  <si>
    <t>0x89a3ee25815ef7601a2ee1ec0e0e02749f119c30</t>
  </si>
  <si>
    <t>0xb6a2e160f47a0909a0f0464093de3da183cf2310</t>
  </si>
  <si>
    <t>0x6f553a3598d8ea867491d39bdbe272cee3406ffe</t>
  </si>
  <si>
    <t>0x8b95145fc81e14d162d99255d478d6b33fbf83bc</t>
  </si>
  <si>
    <t>1519704406766520520</t>
  </si>
  <si>
    <t>0xee459c9e50f5e2cb58d4d76f0b68f75c66a86650</t>
  </si>
  <si>
    <t>18210228390803944794</t>
  </si>
  <si>
    <t>36485517839387001840</t>
  </si>
  <si>
    <t>0x940fd84b9fc595c376ac2e6fdb625710177942cc</t>
  </si>
  <si>
    <t>0xabf99ecd0cd5743f820a537118f31325921783f1</t>
  </si>
  <si>
    <t>0x3a8a0f7ec0b3c71e193b1849abf1aabb4fb23c79</t>
  </si>
  <si>
    <t>0x341ad20d1fc781f451b2345698db2467a892e54d</t>
  </si>
  <si>
    <t>0x0de670f5473e988181209928085eb7058cf2e445</t>
  </si>
  <si>
    <t>20910186809162836347</t>
  </si>
  <si>
    <t>0x2460a69dee865bf0222d3d31ec9acce3f529e2c1</t>
  </si>
  <si>
    <t>47977214578799894673</t>
  </si>
  <si>
    <t>0xf60e66d6d7727ea1854307d8a305ce66863494d4</t>
  </si>
  <si>
    <t>877189930414998938</t>
  </si>
  <si>
    <t>0x1422715d048e5b1650ad38c6b8901347919edfad</t>
  </si>
  <si>
    <t>2901847655975800081</t>
  </si>
  <si>
    <t>0x9f3a795eb49c83aa21f8997c010a393443ab4ef1</t>
  </si>
  <si>
    <t>35471395411945879670</t>
  </si>
  <si>
    <t>0x9ad316e01dfb0da4d16db25b108cdffa66978c15</t>
  </si>
  <si>
    <t>23216295635429536812</t>
  </si>
  <si>
    <t>0xfa1fd704de3f5493090b354a6628c11a95891fce</t>
  </si>
  <si>
    <t>0xa95717ebe2d6edf6d4be580c147518a113d3c021</t>
  </si>
  <si>
    <t>22885403255898268192</t>
  </si>
  <si>
    <t>0xbefbbb230a7de4eff48749971ae62ec9d4ce9782</t>
  </si>
  <si>
    <t>0xc606be3b697175632b2c00713f897d16b2ae9624</t>
  </si>
  <si>
    <t>0xb19eb81d3efe0564ca1024f693cb6e1f4a947d7a</t>
  </si>
  <si>
    <t>7146993068032430230</t>
  </si>
  <si>
    <t>0x501e3c82fae2062b76ee98a0f8c16329fc58af4a</t>
  </si>
  <si>
    <t>0x417f07daabcb952b982261670e1a401800ee3c4b</t>
  </si>
  <si>
    <t>31862742475515289208</t>
  </si>
  <si>
    <t>0xbe1a5ac95ff4496637e1919c59bd6640a6e29dc1</t>
  </si>
  <si>
    <t>0x7f23057df9f88f1837052594f014aba16b007147</t>
  </si>
  <si>
    <t>45191878569493269666</t>
  </si>
  <si>
    <t>0x12398851149137dc6cb8d4960a6d41961b0cf660</t>
  </si>
  <si>
    <t>0x5e15687f1a48193a073f078eebfad23b333bb7f1</t>
  </si>
  <si>
    <t>0x67b036a5832a87ebd5ea2e3fcf3965ed52cfef2a</t>
  </si>
  <si>
    <t>0xbdb7cb434b2feb6904feb35884b5e745d7e7c6d0</t>
  </si>
  <si>
    <t>2226400756009921268</t>
  </si>
  <si>
    <t>0x09ca24b9cb37bd629b65dd1dae77b76bf883bd5c</t>
  </si>
  <si>
    <t>0x7d07da14b87b6370fb987f022367db438ad38c03</t>
  </si>
  <si>
    <t>0xc9fc80756f9e468de14306d96eaaeabb41478e5a</t>
  </si>
  <si>
    <t>0x36464193bece32a343491856671c2f2ed1d8250f</t>
  </si>
  <si>
    <t>17201409400857703875</t>
  </si>
  <si>
    <t>0x325b17051b9e75121e6c9a3d14c6d17933f6dc5f</t>
  </si>
  <si>
    <t>1468139330250037383</t>
  </si>
  <si>
    <t>0x2b21aa30ec2007955f6790c3e3c7d1c8c9ca72c6</t>
  </si>
  <si>
    <t>0xdfb09d2590d1873a788c638eba300c8d730cb8fc</t>
  </si>
  <si>
    <t>0xa1d0f5741408043d363997b78ef288354d431dc6</t>
  </si>
  <si>
    <t>8929379967473022461</t>
  </si>
  <si>
    <t>0x25e4e84f313e7fd944d2c78a8892b7e5618ee9ee</t>
  </si>
  <si>
    <t>44751444682974399806</t>
  </si>
  <si>
    <t>0x121a8e64e073c81c82ee97710d5aa1d68ed847b6</t>
  </si>
  <si>
    <t>4081997100352006825</t>
  </si>
  <si>
    <t>0xe05d0c0964c33a6dd3093ff961e766ce578af1df</t>
  </si>
  <si>
    <t>29692966216938594323</t>
  </si>
  <si>
    <t>47324561839035809211</t>
  </si>
  <si>
    <t>0x9770bcc84f339b6ce2ba42ded6b4c73d2a806764</t>
  </si>
  <si>
    <t>0x3dea052171bf8903042afcb10d819753092f4c93</t>
  </si>
  <si>
    <t>20615067037063294101</t>
  </si>
  <si>
    <t>0xc13966d84ab9c2a93df1c3f8d5eef57d25ed1263</t>
  </si>
  <si>
    <t>32038719011515282477</t>
  </si>
  <si>
    <t>0x968cb18450b33214c031913b85c90aa84854aa38</t>
  </si>
  <si>
    <t>1136674499525488521</t>
  </si>
  <si>
    <t>33625866760733137800</t>
  </si>
  <si>
    <t>0x8c6c7fc4b89e11c5a4291ec792e7258bc3842ccc</t>
  </si>
  <si>
    <t>0x2ddbb66671da3b27fcc022ed48fbc8348f00508b</t>
  </si>
  <si>
    <t>0xf61a1b21611ede154a38c7f5e89b1f940d7c6fbe</t>
  </si>
  <si>
    <t>28438107028562840794</t>
  </si>
  <si>
    <t>0xd6ef2918cd9a910868774f93631332a8f410a9a0</t>
  </si>
  <si>
    <t>47274304342167337670</t>
  </si>
  <si>
    <t>0x55a18d6c8b6b6aa2ed239b40bad6081d9173c210</t>
  </si>
  <si>
    <t>11748628170836206060</t>
  </si>
  <si>
    <t>0xd2cc14b0628beaee4c8cd680d507252afcbb418e</t>
  </si>
  <si>
    <t>26198868837166713555</t>
  </si>
  <si>
    <t>0x9fd2726cca5a5c3bf083bb6b29499436d9d9d199</t>
  </si>
  <si>
    <t>0x91f5bede8abda2e07fbe3e7cd777073dae798a26</t>
  </si>
  <si>
    <t>0xaebb3fc0db102569c985741eb82f597b94f284ca</t>
  </si>
  <si>
    <t>47098910369050188670</t>
  </si>
  <si>
    <t>0x22df9c564e3cfa7cffb36dcc90b8df30185b7b26</t>
  </si>
  <si>
    <t>13033672211542365265</t>
  </si>
  <si>
    <t>0xc07dfc51468868f54250bb998990b7ff48b22e5e</t>
  </si>
  <si>
    <t>0x0e93cf5ed2965b31d62533aea091252832eb3727</t>
  </si>
  <si>
    <t>0x3541306371fb642aa845aa232c6781f5f1785f05</t>
  </si>
  <si>
    <t>0x9efe066ea7c0b7f64834e9d7807717cb4a75f13c</t>
  </si>
  <si>
    <t>0x74e141bb8b9e09675e2f8fb4915fa84d355f6bd6</t>
  </si>
  <si>
    <t>23100955222885163626</t>
  </si>
  <si>
    <t>0x2365a03837e58ffd6b570cf214ae52f61188f1ba</t>
  </si>
  <si>
    <t>42512209052945241908</t>
  </si>
  <si>
    <t>0x1ea8b82e6b7b372e4feebe428509b24022f22e89</t>
  </si>
  <si>
    <t>37108289925949258463</t>
  </si>
  <si>
    <t>0xff480456a8faab489a2085585c5016b14fb15130</t>
  </si>
  <si>
    <t>9304393611008883082</t>
  </si>
  <si>
    <t>0x681a14d7b08f1de027b84e9f1591a33bdc89f3e5</t>
  </si>
  <si>
    <t>0x8b8a7e3f14c2c74f9c85abdd48ca41653fadb029</t>
  </si>
  <si>
    <t>0x68ae12d2b917f6517d4f6c3bd1726c3bd6baa057</t>
  </si>
  <si>
    <t>5252124862818110010</t>
  </si>
  <si>
    <t>43312936204843443907</t>
  </si>
  <si>
    <t>0x626b1c114da59df2a1e0a212ed3100aa4616bf0c</t>
  </si>
  <si>
    <t>45358082467782401393</t>
  </si>
  <si>
    <t>0xdb00d23051169f7a85f1a9656d375f5f7a45bb0a</t>
  </si>
  <si>
    <t>32463660590389275066</t>
  </si>
  <si>
    <t>0xd958c34a9b9b4fbd6493ddec9c1e7b0dc417a5d4</t>
  </si>
  <si>
    <t>9273129435249834439</t>
  </si>
  <si>
    <t>0x686543f5ff6a44fb6d4712409a641d2fad43f34a</t>
  </si>
  <si>
    <t>0x2e19ae3dfa17ba79a22258b88c4c5c13993aa3c0</t>
  </si>
  <si>
    <t>0x840420f36bba33d7ff152e181de5f0f1577b78a1</t>
  </si>
  <si>
    <t>15954929686921764056</t>
  </si>
  <si>
    <t>0x6f9670a1526b767d12bfd1cc5421c6bbee00bd74</t>
  </si>
  <si>
    <t>0xcf072e200fd1e1709c59ade16354cf939f5ee0eb</t>
  </si>
  <si>
    <t>0xda22d6c354b31bda5a1f956f08f4110ef1f8f5d0</t>
  </si>
  <si>
    <t>0xca0bd935638a9151a5687b316df77ef1ca97230d</t>
  </si>
  <si>
    <t>29385188703357830602</t>
  </si>
  <si>
    <t>0x4ea58af76c7addb5fc0648914fa8a99578a08ffe</t>
  </si>
  <si>
    <t>3198178033649349656</t>
  </si>
  <si>
    <t>0x7c608b36f8a0aa5dcd610fbf188c189fd27a1fdc</t>
  </si>
  <si>
    <t>2295233245116503891</t>
  </si>
  <si>
    <t>0x43f107b4bff625a7c1685dfb2c09f12a39bbc371</t>
  </si>
  <si>
    <t>9435239280248892241</t>
  </si>
  <si>
    <t>0x73c5bfe9ba5c0c15cf6c5d34a40f2660f9b80de6</t>
  </si>
  <si>
    <t>10391774324872157379</t>
  </si>
  <si>
    <t>0x84cb1c920b2c9141297ad0a9ff64567c56c7ac78</t>
  </si>
  <si>
    <t>0xfc536fdffbc7cfa7bfb64fa18945d0552588f2f2</t>
  </si>
  <si>
    <t>17603718972586676893</t>
  </si>
  <si>
    <t>0x26634a1412f839f21a6ba75ce42cfa60092b6efa</t>
  </si>
  <si>
    <t>37418599524444234482</t>
  </si>
  <si>
    <t>0x3619ea2043392a33586c8f231d06be6a056ef4aa</t>
  </si>
  <si>
    <t>0x19775e1817bc7a1e41060f80e0d00eabae2959a7</t>
  </si>
  <si>
    <t>0x35706dfbe28425dc831af3517b41b176e009cd0d</t>
  </si>
  <si>
    <t>0x9316ae6261d4fa383fdb3b012debae5fc35f9042</t>
  </si>
  <si>
    <t>0x104628acbca0a9ce952159b7c7842d759727dd49</t>
  </si>
  <si>
    <t>32781229112374481713</t>
  </si>
  <si>
    <t>0x18a5991c6c1c300c7b6c23db983f367203b68f4b</t>
  </si>
  <si>
    <t>35025893680725987874</t>
  </si>
  <si>
    <t>0x185df3839a57dbdd02f66dd10b54dbdd66c4ce84</t>
  </si>
  <si>
    <t>0xc20087af4f1ec8f575472bd61fb0094dc1f9595c</t>
  </si>
  <si>
    <t>45452044129425326454</t>
  </si>
  <si>
    <t>0x24bb4de554cc1a3fde5f10f1fcdaf4a66ecab35e</t>
  </si>
  <si>
    <t>34850466907530105450</t>
  </si>
  <si>
    <t>0x283eb606d1d6dbb753d57206fcce12d41b1222be</t>
  </si>
  <si>
    <t>9823200331397371134</t>
  </si>
  <si>
    <t>0x5fbd4a3670df68a42f3f87c217125c2637e947f4</t>
  </si>
  <si>
    <t>0x5046c5effa4a52bc6190df3ad5ba17358a43dc19</t>
  </si>
  <si>
    <t>0xf6ffb43ef94332b871153cb7a1d03a202716b6af</t>
  </si>
  <si>
    <t>7792429991061585182</t>
  </si>
  <si>
    <t>0xefda0444b06a4d11756df9c9b7f18e2ebc15ee89</t>
  </si>
  <si>
    <t>0xefbd5783c4153d843dd2c6a3f941e6f623d3b480</t>
  </si>
  <si>
    <t>23214781247806400648</t>
  </si>
  <si>
    <t>0xa590f5a855a6236140b344f62cf857ffc33ad8e4</t>
  </si>
  <si>
    <t>0xe26f4c2273ce0175c6ea69704f92adbff6cd7a86</t>
  </si>
  <si>
    <t>12215552642616618103</t>
  </si>
  <si>
    <t>0xafa88e8aaec51a3ba3760018c61d3e5596ad1e70</t>
  </si>
  <si>
    <t>5275627130633595974</t>
  </si>
  <si>
    <t>0xd08b88e684c422b1921d24531bc5db6b994ba1ca</t>
  </si>
  <si>
    <t>41272455319648832585</t>
  </si>
  <si>
    <t>0xd2d6b3eb64088b5b96df628201ae77c08d06a534</t>
  </si>
  <si>
    <t>12874697925625376085</t>
  </si>
  <si>
    <t>0x1963c8d8eec61cf1b571fad046a2cfd9f26d1438</t>
  </si>
  <si>
    <t>43666934416572084069</t>
  </si>
  <si>
    <t>0x1eaecb9f66ec02db1e808c346474e1ea6956f195</t>
  </si>
  <si>
    <t>0x82316533a1b182c8c4c37caa459ad2fbeafee8e2</t>
  </si>
  <si>
    <t>13650661459344139319</t>
  </si>
  <si>
    <t>0xfd7d1b7d8644f32b57c2736c9557240dd5e05475</t>
  </si>
  <si>
    <t>0x1410e6af00dc1912eb568e7431a4bb80fb71ec2a</t>
  </si>
  <si>
    <t>17952700762128401927</t>
  </si>
  <si>
    <t>0xd1434c0049fd66dd640db2f59ee839c0979750dd</t>
  </si>
  <si>
    <t>0x95b49e38b2a3140f5242d57f6ec34920601ae193</t>
  </si>
  <si>
    <t>0x7a3d23518161891d3ed3b10a530993067cbca9a1</t>
  </si>
  <si>
    <t>4440712778004094626</t>
  </si>
  <si>
    <t>0xed6d77aa137bcd11b00a30a2d625871d2ffaeb59</t>
  </si>
  <si>
    <t>0xa7b1c37b41b9575ba632e02cae87eea449b8f7f4</t>
  </si>
  <si>
    <t>9769901064763776561</t>
  </si>
  <si>
    <t>0xdd1fcdd7232bd9547b02ada8de664896f20f8fe1</t>
  </si>
  <si>
    <t>0x9116b20c8143827c2c52dcfa135ff5a2d2f0bb64</t>
  </si>
  <si>
    <t>29405389580554774154</t>
  </si>
  <si>
    <t>0xaa0ebc761542527770af86079eccd9729e39776a</t>
  </si>
  <si>
    <t>0xac59e74c91c64216fc243f8c87ef304097e92931</t>
  </si>
  <si>
    <t>0x0980c0e2294542c6b33c7888f0707e8d2485a40b</t>
  </si>
  <si>
    <t>0x39bda5095ed65f1ad5b9d6ece617ca0ec09f6c33</t>
  </si>
  <si>
    <t>0x5868d2d76689681f771bfca6e42f213e9657d1ea</t>
  </si>
  <si>
    <t>18341647329216556863</t>
  </si>
  <si>
    <t>0x42dccbc8e722e9e475d6ebae857f67fdb33673d4</t>
  </si>
  <si>
    <t>27607361250655253576</t>
  </si>
  <si>
    <t>47162637421203363919</t>
  </si>
  <si>
    <t>0x65d736c629e8cd47ec7af6eb7181e192c1d97505</t>
  </si>
  <si>
    <t>0x4a5dfd75cf95c3c7fad72d35b75ad889b86402ca</t>
  </si>
  <si>
    <t>0xa500741e8214f64a69dde989e9a44c5a654235f5</t>
  </si>
  <si>
    <t>4410021320899903558</t>
  </si>
  <si>
    <t>0xe44887452c613dcc3ddee1fef97668442c42d35e</t>
  </si>
  <si>
    <t>0x212046be13c4a13e08dd5ac77b3fe97fbac0c0e0</t>
  </si>
  <si>
    <t>9926724977681539827</t>
  </si>
  <si>
    <t>0xcbc21f73c3d8c4442d8de4083c2d0662be77a7e2</t>
  </si>
  <si>
    <t>9555983643886140288</t>
  </si>
  <si>
    <t>0x0347dbc08f3cf84a0977842cbf5b771a9c3bebb1</t>
  </si>
  <si>
    <t>0x733db7050c16a76eee3d56de7445d293ec6bceea</t>
  </si>
  <si>
    <t>0x11a8a0335bdd466efc827301abf20f9869f55253</t>
  </si>
  <si>
    <t>0xe2ff54e5a14f134cf7185c888ce7c7a98df3e921</t>
  </si>
  <si>
    <t>45792290376434452798</t>
  </si>
  <si>
    <t>0x2a72a3164d1a8947f2eaed02ae3a4b1868580d0b</t>
  </si>
  <si>
    <t>47023375888477684950</t>
  </si>
  <si>
    <t>0x9db9a311d97191c1e1d674d6a4d9a9531d1ecc7c</t>
  </si>
  <si>
    <t>3253256301601633121</t>
  </si>
  <si>
    <t>0x19e6bedb806c30202c06454c11e568ba084aebee</t>
  </si>
  <si>
    <t>6574876338113546243</t>
  </si>
  <si>
    <t>0xe29432a36b4cfb52c05538a00352d4964f65520b</t>
  </si>
  <si>
    <t>19450504468474591553</t>
  </si>
  <si>
    <t>0xd968331cfe0643a044ec54c423fd04961b87ac08</t>
  </si>
  <si>
    <t>0x77bdd5d6854d3497b926b205684182b3cb7589c0</t>
  </si>
  <si>
    <t>0xf03c44e95d62c030bd31224d6ec90fb18149ddda</t>
  </si>
  <si>
    <t>0x695cabcf448ab75176a8c78bcad9fb815ee86b6c</t>
  </si>
  <si>
    <t>3334643042130263601</t>
  </si>
  <si>
    <t>0x187595e18b621ba826997ccc28c1fb287dc65a43</t>
  </si>
  <si>
    <t>0xd6b6fcb3eca1b9840cb237b0ae7ed39d74d181e6</t>
  </si>
  <si>
    <t>0xd653ee953948a758f44ce6803bf10192b8fad6f0</t>
  </si>
  <si>
    <t>501825951997033354</t>
  </si>
  <si>
    <t>0xe648521c9eec4c03784521c8f00cf35ec5b1be04</t>
  </si>
  <si>
    <t>13875434881611360112</t>
  </si>
  <si>
    <t>0xa3eea6a957de8a21122c85dfb34c9817fff749b5</t>
  </si>
  <si>
    <t>11667645179646811357</t>
  </si>
  <si>
    <t>2587590822793355874</t>
  </si>
  <si>
    <t>0xd4ab109863feaedeefc38a4b307e6a25a7701320</t>
  </si>
  <si>
    <t>0x3b9ec77ead8b4a10879a12d84eefc01b4f90e324</t>
  </si>
  <si>
    <t>0x9f64f9fc3d0ed2020d185552b5ba61abca6106fd</t>
  </si>
  <si>
    <t>0x8d25bd44f505c08f1160a740528ce33dddc1cd65</t>
  </si>
  <si>
    <t>0xfbbe5c379301664b3c6cc2eafeb6ac4c84fa01ad</t>
  </si>
  <si>
    <t>0x07bac041bfd0ad05f7ba52366693534545f434f8</t>
  </si>
  <si>
    <t>0xf92d523a6b606655d943f89aaf5103ab834f8fb1</t>
  </si>
  <si>
    <t>37900247042144892346</t>
  </si>
  <si>
    <t>0x5a19c1ca7388760fafc370133d1d5d309bdb51f6</t>
  </si>
  <si>
    <t>47251351602482941216</t>
  </si>
  <si>
    <t>0xeaf88a50309b9bc91a2ee1acb78863b5350b6dcd</t>
  </si>
  <si>
    <t>0x5b085ee6daa844e4e5394723f056f7e733f2d06e</t>
  </si>
  <si>
    <t>22409018897916563468</t>
  </si>
  <si>
    <t>0x750eb46c7daf8c50b68f9c47b3e8511f3cef7efb</t>
  </si>
  <si>
    <t>19972564607900724552</t>
  </si>
  <si>
    <t>0x0043b4e228387b397b3bd28b47d8be2e3c28a32e</t>
  </si>
  <si>
    <t>32872915986053067185</t>
  </si>
  <si>
    <t>0x61ad4efe68fb596c25f4df4207a046c1422418f1</t>
  </si>
  <si>
    <t>7931716926333853554</t>
  </si>
  <si>
    <t>45760919917032509196</t>
  </si>
  <si>
    <t>0x4de3dff17244e1488e08880780663d6e3db768ec</t>
  </si>
  <si>
    <t>0x58cc531dc57f693eb8abd0fa0bc07f4cbe3b9ef3</t>
  </si>
  <si>
    <t>0x54782acddf7a615e13fe82b7804ba461a3823289</t>
  </si>
  <si>
    <t>29988666050239135498</t>
  </si>
  <si>
    <t>0x7c8e1918fa3aca78d4662f647d4650be8e2748e5</t>
  </si>
  <si>
    <t>0x36dd7555f34c963eb9f28ba72fe27e958121a78e</t>
  </si>
  <si>
    <t>0xf7451522544e56b896d614cadb8508d4b9e75fd6</t>
  </si>
  <si>
    <t>9820939755703542250</t>
  </si>
  <si>
    <t>0x49b71b8e040301ab9da862916e90eea69fc717d7</t>
  </si>
  <si>
    <t>0x877f2c7b9421cabea381eab06d64e081bbd5a8ec</t>
  </si>
  <si>
    <t>41029913826441498929</t>
  </si>
  <si>
    <t>0x472a3b2b7fdfe833bb4893f7c967a5dd7032675f</t>
  </si>
  <si>
    <t>40304039159407169441</t>
  </si>
  <si>
    <t>0x18e2cf09616c69e5f546109d0c7948fd5a481265</t>
  </si>
  <si>
    <t>16813738168186432446</t>
  </si>
  <si>
    <t>0x37b7116cf75cdd38a8673e6e8db02920fe7faa1c</t>
  </si>
  <si>
    <t>3751711945938415874</t>
  </si>
  <si>
    <t>0x005b62b5dbe862dc625bad7dabb23f7b45b91494</t>
  </si>
  <si>
    <t>5051574523277803829</t>
  </si>
  <si>
    <t>0xc22bb52a2272c7039f5268189d4a9fcd05af7943</t>
  </si>
  <si>
    <t>0x088043144c87eac10068b77bdec89113e874f9aa</t>
  </si>
  <si>
    <t>28511802958122240791</t>
  </si>
  <si>
    <t>0xd8c8552e36e5cff51e13a3e5024a70074c336e25</t>
  </si>
  <si>
    <t>0x5dfa24c5e60e58a9097d9e082836fe7336c5d3f9</t>
  </si>
  <si>
    <t>0xd5ec78c2d4cb7d81ac002a67e2a918f4df9b01c5</t>
  </si>
  <si>
    <t>0x58ed61f8282cf5e1c340c75b001a74ad88fc757a</t>
  </si>
  <si>
    <t>14572892220723890120</t>
  </si>
  <si>
    <t>0x9eb86e4977b0db3a4967dffc565c51a43b76f58b</t>
  </si>
  <si>
    <t>46386036533887894933</t>
  </si>
  <si>
    <t>0x665bd4b75602618e58ba78ca7125fad4362fb316</t>
  </si>
  <si>
    <t>13689110461202178387</t>
  </si>
  <si>
    <t>0xfc12c7122021de462ed006be9168a9f6d992afa3</t>
  </si>
  <si>
    <t>38333843689075084736</t>
  </si>
  <si>
    <t>0xdfb93af3cf6dbd9d10bc5509cf55f7355c7496ba</t>
  </si>
  <si>
    <t>0xb886718ddc1510f8fd339e2915f04a5533c1c8bb</t>
  </si>
  <si>
    <t>25472660970591349817</t>
  </si>
  <si>
    <t>0xced9450c4671b64b27c0614bea50676115f5b6e7</t>
  </si>
  <si>
    <t>0xb18a64a2d272aae0a318c1c7fdf8312a3e2e7fd3</t>
  </si>
  <si>
    <t>9672909193535753833</t>
  </si>
  <si>
    <t>0x999b9933c02150482807bec9b4a54375eb6c9cb5</t>
  </si>
  <si>
    <t>10715079431610081135</t>
  </si>
  <si>
    <t>0xebf2de846225fb36d2d7e66ea575233d17c980ba</t>
  </si>
  <si>
    <t>22227729021421382254</t>
  </si>
  <si>
    <t>0xbe3c90d34b757587c62852dcd57f7c8e1bc5547c</t>
  </si>
  <si>
    <t>13098227640380061459</t>
  </si>
  <si>
    <t>0xbe8668fa86cf6ebf37d6eea6ba473bb3aa3a7ea2</t>
  </si>
  <si>
    <t>0x2311bb3fd5423ab1e24970ba3daa034387c2faa6</t>
  </si>
  <si>
    <t>22599243037579814585</t>
  </si>
  <si>
    <t>0x786c09ac653faa5839b2fb8adfbd97afa27e1e2b</t>
  </si>
  <si>
    <t>0x6cc28d3e74b8b0913a561cddb41364ec8594b0fb</t>
  </si>
  <si>
    <t>0xd53570ddbb35c2d8336681a1dbe1b753ea711f3a</t>
  </si>
  <si>
    <t>17560465612460131280</t>
  </si>
  <si>
    <t>0x08412a55b4dd8ae3931f91d94a9b5fae99d4cbf4</t>
  </si>
  <si>
    <t>42841022914494479479</t>
  </si>
  <si>
    <t>0xcf5ade5a7d9585e40afbfa6f0db0d638d2f8ca61</t>
  </si>
  <si>
    <t>6735383089654188970</t>
  </si>
  <si>
    <t>0x2710d691a472f8fcd95497cc8271be6ce089416f</t>
  </si>
  <si>
    <t>0xcd0a463d42b4d9934cd27783c6620761f58de698</t>
  </si>
  <si>
    <t>0x768a819e5e92bfa14f24d4882aea4ab8e906e037</t>
  </si>
  <si>
    <t>0x77aa5a2d41793ed468da93832724159cfaa1f0a9</t>
  </si>
  <si>
    <t>0x67484feedb5034f234b4282daad95d51c6041974</t>
  </si>
  <si>
    <t>0xac5af824b4784389d03ed0b22f1ef40c0a9cc52f</t>
  </si>
  <si>
    <t>0x84be3502400b60f1b53678b69b56bae200d17abd</t>
  </si>
  <si>
    <t>48250430524259355350</t>
  </si>
  <si>
    <t>0x2532b981a2ff9903ffcf01cce4d0963977162872</t>
  </si>
  <si>
    <t>41655520380801219347</t>
  </si>
  <si>
    <t>0xa4ff1fa8b5560270c0de30c120d7a5008d78c6ad</t>
  </si>
  <si>
    <t>0x8e5d46cfc3c8e215ad4680a645f6db40c797c2f8</t>
  </si>
  <si>
    <t>0x467d3e98cf04c636fc5222fa80d701d0a1a7158e</t>
  </si>
  <si>
    <t>24831761694480218011</t>
  </si>
  <si>
    <t>0x4cf4bcb75608a09635315645853a69cb345ec170</t>
  </si>
  <si>
    <t>48262196820059387707</t>
  </si>
  <si>
    <t>0xf75157b11791ad307cac5bb60fa18b0ca95e7448</t>
  </si>
  <si>
    <t>9838348603734484791</t>
  </si>
  <si>
    <t>0x41e2ec54bd1df5bc50645d85e7564e56a3e74d35</t>
  </si>
  <si>
    <t>43506946862781644103</t>
  </si>
  <si>
    <t>0x5fda01c8976a0ae70602749804ef24066ca11624</t>
  </si>
  <si>
    <t>0xee08f563a923c07e99c82e058ac4155ce1486c9b</t>
  </si>
  <si>
    <t>0x4669dfc7e5ad6da49d52b666c3c3a1bc43ea3050</t>
  </si>
  <si>
    <t>0x50414b85e1f59bee5639b2d0ff9ead3695079fde</t>
  </si>
  <si>
    <t>0xe79b95b688bdc4b71b867b75010ab6ca48dc78fd</t>
  </si>
  <si>
    <t>19486580420576260096</t>
  </si>
  <si>
    <t>0x86cc888252ce7fb22de4ed65edec68763df2e066</t>
  </si>
  <si>
    <t>0xe98b5e19049a7a0672cba377d1940cede2fecc25</t>
  </si>
  <si>
    <t>48128849866795687670</t>
  </si>
  <si>
    <t>0xac34457d13cd6bd41be54ef3644e5be9ffe683e4</t>
  </si>
  <si>
    <t>0x6de9667144e3bb3912cb51fb294f49b3006dca45</t>
  </si>
  <si>
    <t>0xded772005318e4d1d49a4651c481d8bf1c59efcd</t>
  </si>
  <si>
    <t>2087119732125091579</t>
  </si>
  <si>
    <t>0x302d400df13b1c6e40f6bd9790cab3b54aa59362</t>
  </si>
  <si>
    <t>46312716777027026637</t>
  </si>
  <si>
    <t>0x5c0d0605569f48a8e63e4c86d9e0520d3a708df4</t>
  </si>
  <si>
    <t>0xbb402e420eca3160b6d102aa8e693e652cc5c4b6</t>
  </si>
  <si>
    <t>14028014801083243707</t>
  </si>
  <si>
    <t>0xc65fbc100a60c22519f2cf7fc7b6b44543c1d69f</t>
  </si>
  <si>
    <t>17392229876852060632</t>
  </si>
  <si>
    <t>0xbae4956e1b3d98e1a9418346b4782525a2f824f1</t>
  </si>
  <si>
    <t>14951112229909448891</t>
  </si>
  <si>
    <t>0x4409079b3c76d2eddaf7a29a771ea2c2d64fa007</t>
  </si>
  <si>
    <t>1934565103983866720</t>
  </si>
  <si>
    <t>0x71f77988f7b990bd1d4ea914a21f43684360b7e0</t>
  </si>
  <si>
    <t>6194108583512965798</t>
  </si>
  <si>
    <t>0xd5a842845eae69021bb0d2bfedb078c3cadc01e4</t>
  </si>
  <si>
    <t>28441617632924451781</t>
  </si>
  <si>
    <t>0xc0f65175331165c27823d5fc0afa522f6d832702</t>
  </si>
  <si>
    <t>5225663807636607908</t>
  </si>
  <si>
    <t>0x392b37ee6ad343132c817feca267cfd49c5da7ed</t>
  </si>
  <si>
    <t>9651164348000340701</t>
  </si>
  <si>
    <t>0xe6319efb6655edbb0c9437c8f77e90c8ebc3a0c0</t>
  </si>
  <si>
    <t>0xc25032f12a8774347d84ec5d40270f73aef4e0b0</t>
  </si>
  <si>
    <t>0x496a239bdc7fd17260f254130162d4b9f8b41cdd</t>
  </si>
  <si>
    <t>0x6787978f06d6efebc5ef7bd2bf90b28ee5a1cf49</t>
  </si>
  <si>
    <t>8354448176184574732</t>
  </si>
  <si>
    <t>0xa0af5d02faff1b61a9bdd27919506b4259e3e746</t>
  </si>
  <si>
    <t>43635425451356664086</t>
  </si>
  <si>
    <t>0x531dbe62658b4240e0fe602b2006bcbed10b256b</t>
  </si>
  <si>
    <t>0x4b2f6d3a23badb60c8405d50289ef3dab9109936</t>
  </si>
  <si>
    <t>0x0bd617316a8878ed69c2323982dbb7b9cb76702e</t>
  </si>
  <si>
    <t>17952901422437637145</t>
  </si>
  <si>
    <t>0x1c1e2432a546debd7a8b860099bc984b93902a31</t>
  </si>
  <si>
    <t>10919457993821028509</t>
  </si>
  <si>
    <t>0xc2988b57f0cd2ed1e1c87fd6abfabbc651ab7a1b</t>
  </si>
  <si>
    <t>47883077857242678464</t>
  </si>
  <si>
    <t>0x8166e6476afe22d9b316a48b1a4d39dd51d08643</t>
  </si>
  <si>
    <t>37695545401209996083</t>
  </si>
  <si>
    <t>0x36551725a6899b5dcdaa3d71d0536f54b330e728</t>
  </si>
  <si>
    <t>0x0ad610169ee1410c37e055b91bdc6127e7656a45</t>
  </si>
  <si>
    <t>0xda753dbef318b6b0b17f289f8194274aa53b46dd</t>
  </si>
  <si>
    <t>47920160406613787107</t>
  </si>
  <si>
    <t>46796496130966023697</t>
  </si>
  <si>
    <t>0xb35e4d04c0e521a6696e5d6a0a7146de0874fece</t>
  </si>
  <si>
    <t>633028146624974160</t>
  </si>
  <si>
    <t>13361900544943901226</t>
  </si>
  <si>
    <t>0x5a427223d38c1bf40262b8ab7d25c4506e7bf1b3</t>
  </si>
  <si>
    <t>0x3dd64531bc2a5f8f452003794b129f84b977718a</t>
  </si>
  <si>
    <t>0x3adbab7cd849abad03e3d27feb514adcab6cd5e3</t>
  </si>
  <si>
    <t>45429193723344930282</t>
  </si>
  <si>
    <t>0x450762ccc88e437631b0438ada5d0500ad5d9d09</t>
  </si>
  <si>
    <t>0x54b7f3583f834f58f6ac268dc93910748f65b355</t>
  </si>
  <si>
    <t>24627013773714622954</t>
  </si>
  <si>
    <t>0x70fdb2bf81abe1f3198d0025c93abd26232b86a3</t>
  </si>
  <si>
    <t>0xecc23ecc7364c3883f3d3539882031e281226685</t>
  </si>
  <si>
    <t>21958209082728385074</t>
  </si>
  <si>
    <t>0xfa4d29122bb4409a7a9a5b25e809f9fefcb3248f</t>
  </si>
  <si>
    <t>0x903435bb40a3955aba055488321d0016525f1c2b</t>
  </si>
  <si>
    <t>0xd049a090c3e1a8030b9ee9a326d54d67843e4870</t>
  </si>
  <si>
    <t>43563790695664800424</t>
  </si>
  <si>
    <t>0xe68734e04786a1a89d0349f3a84b8fd24cda1445</t>
  </si>
  <si>
    <t>9687776407805061385</t>
  </si>
  <si>
    <t>0x6bdf72fe7e389e89dc1b53a8352a90c8244b1d6a</t>
  </si>
  <si>
    <t>43179802020123077788</t>
  </si>
  <si>
    <t>0x9d0c447abff42b09e757ca1798fdc0eaab7eb6e9</t>
  </si>
  <si>
    <t>46683857632111380608</t>
  </si>
  <si>
    <t>0x4399b049f7ed58f5e2ca188286387ff788253067</t>
  </si>
  <si>
    <t>0x4558d2321f770289f77ab12b8a7f6e7c562a8979</t>
  </si>
  <si>
    <t>0x97d0b0b03e982cac64652e757003d75e18a81833</t>
  </si>
  <si>
    <t>9480077028232404878</t>
  </si>
  <si>
    <t>0x0fa0fa78e57550ddae03af153dd731788a3f3041</t>
  </si>
  <si>
    <t>24819858733752254611</t>
  </si>
  <si>
    <t>0x3e1e0b07741eb0d9ee9b725e526173a75fcf25b7</t>
  </si>
  <si>
    <t>0x1c33870fac8983c6b9bf7fc681a11d2b85c68ebb</t>
  </si>
  <si>
    <t>27141539651811385900</t>
  </si>
  <si>
    <t>0x8717e9f1f7002a3e0477dc24197e60ce0a47e9d3</t>
  </si>
  <si>
    <t>0x59b42d0fc02589e69132a25f3f9a9d8569453a69</t>
  </si>
  <si>
    <t>9719427643107287092</t>
  </si>
  <si>
    <t>0x014270c7bebb71861bc90da6a12e302c7348fe75</t>
  </si>
  <si>
    <t>0xfaa9dd71625979ae12ca8cb8b88b36e7a162a500</t>
  </si>
  <si>
    <t>6632860197152243032</t>
  </si>
  <si>
    <t>0xaf05c4793a6bab413bc2435dc8a157ef83a52736</t>
  </si>
  <si>
    <t>15396330359136073241</t>
  </si>
  <si>
    <t>0xb438e7c6d35e928dd6330f1c726fc362286c47d7</t>
  </si>
  <si>
    <t>0x2a20ea6d712035e0fa22d98f302ef4df0b38db4f</t>
  </si>
  <si>
    <t>0x6e3463139760de9250f2eecd9f8ab9509ca1cdf0</t>
  </si>
  <si>
    <t>0xbe1f97ade85384a04b6dd344c476c3f6248c5a14</t>
  </si>
  <si>
    <t>44566774749042891963</t>
  </si>
  <si>
    <t>0x676d89688905f1b22e24818a738d8b81ff205160</t>
  </si>
  <si>
    <t>0x75bfaaf19646fe6708744e74444ae90675a072fa</t>
  </si>
  <si>
    <t>48363789319994932420</t>
  </si>
  <si>
    <t>0xad4489f64a8be791294116d3e99d2721c7f0a72a</t>
  </si>
  <si>
    <t>26656383720882638388</t>
  </si>
  <si>
    <t>0x3136bf1ebc4f6225d2b7aa2965a7498948596bb5</t>
  </si>
  <si>
    <t>0x2d902b5e872c629a83e42aa41afbb68105e815f0</t>
  </si>
  <si>
    <t>0x820809b80a92855f74f49b2127717f0dfc67acd8</t>
  </si>
  <si>
    <t>17424886165309981103</t>
  </si>
  <si>
    <t>0x0de836940795ef09cfc6f1a1313923e212aeb354</t>
  </si>
  <si>
    <t>9708349177865876626</t>
  </si>
  <si>
    <t>0x024686df01da3c9b3519dfec19fd547539a434b1</t>
  </si>
  <si>
    <t>34687603794882880243</t>
  </si>
  <si>
    <t>0x55b7abfca760de66b59c4708f48514aa98ea1d1a</t>
  </si>
  <si>
    <t>20626867703438903886</t>
  </si>
  <si>
    <t>0xde8c2d149dd24b64d0c6296337ea24515b958f56</t>
  </si>
  <si>
    <t>13917476752538614394</t>
  </si>
  <si>
    <t>41705305460029689590</t>
  </si>
  <si>
    <t>0xa611a44cf08cddfd2c888c892334b548a60ed886</t>
  </si>
  <si>
    <t>0x6d377b14ca14f59945b17c18fbc32f2018ee9917</t>
  </si>
  <si>
    <t>35724496386985575698</t>
  </si>
  <si>
    <t>0xb8f1a055699b85160629feda4e4e789cfcfe2209</t>
  </si>
  <si>
    <t>0xe5a064d0d07da39a6200e3f070ef6f7d6615e2f9</t>
  </si>
  <si>
    <t>14122325259082227061</t>
  </si>
  <si>
    <t>0x6523a8b507c189a6640095afe5a72c743acc587f</t>
  </si>
  <si>
    <t>0xe3d099bfdf784802292be0dc560d7ffd962f3a55</t>
  </si>
  <si>
    <t>0xffeb2bf0f49c1a8853d6ea7f2952c032b2d2b3b9</t>
  </si>
  <si>
    <t>16447187518986179099</t>
  </si>
  <si>
    <t>0xf6875152c90e9d4ef7b1de459eb04629ecae43ad</t>
  </si>
  <si>
    <t>217213500717213337</t>
  </si>
  <si>
    <t>0xf6cc674930985edefcd56a30da522c327039d037</t>
  </si>
  <si>
    <t>0x56ae5ee6e737d257174b0d69acabf2ae96b8a239</t>
  </si>
  <si>
    <t>16866795786938693021</t>
  </si>
  <si>
    <t>0x4938cab14a719bcc2ad668a96f68961ea08ff4b0</t>
  </si>
  <si>
    <t>8618992959587702230</t>
  </si>
  <si>
    <t>47205556095203815279</t>
  </si>
  <si>
    <t>0xa00cce8a7ef7cd4b8b5446075d65d5c686ba05d4</t>
  </si>
  <si>
    <t>6106288789691054960</t>
  </si>
  <si>
    <t>0xa4f89aa46a70431a6b16e797fa34f8e862a9c07b</t>
  </si>
  <si>
    <t>0xf12e3eaf5271e79e5c0143cd2b4f350bad9e91ef</t>
  </si>
  <si>
    <t>9782875145736105573</t>
  </si>
  <si>
    <t>0x4be6d67c3d5cfec677323a06a75ef5a998b88815</t>
  </si>
  <si>
    <t>6384064843146760178</t>
  </si>
  <si>
    <t>0x72cff70d01722bf0f33e92626c4e21b06ac7aa17</t>
  </si>
  <si>
    <t>43406056003544387987</t>
  </si>
  <si>
    <t>0x82656931c38f2b0b7f6f23a479bcdf5e94eb860b</t>
  </si>
  <si>
    <t>0x35570f310697a5c687eb37b63b4ae696ce0d14c0</t>
  </si>
  <si>
    <t>0xddd99beca9f7daa4bda89117259c9d3584f31e0a</t>
  </si>
  <si>
    <t>0x923c0bc1a01f64a8917164560815d0b48ba0f1d7</t>
  </si>
  <si>
    <t>0x21bf8881f509b48f762a65c4fc8068fcc46ac929</t>
  </si>
  <si>
    <t>522494944212999527</t>
  </si>
  <si>
    <t>0x1df4946de400bc92ebbbc60e06defbd279308550</t>
  </si>
  <si>
    <t>9893200494283583634</t>
  </si>
  <si>
    <t>0x31f756166113cff5c49f0055e6acb76e7cb072f0</t>
  </si>
  <si>
    <t>0x8192589b8079b8dc2a9269720b923972e3eeb0b5</t>
  </si>
  <si>
    <t>9686879629511001585</t>
  </si>
  <si>
    <t>0x8ef517e81f2b5816b39dbee32336d7c17d27677e</t>
  </si>
  <si>
    <t>20129949180916518693</t>
  </si>
  <si>
    <t>0x7c614c9da4a195f209ef9e63e5c6f5801db86fab</t>
  </si>
  <si>
    <t>0x48117526e7dccfb48a0651f4cc7d92e7e8b517d4</t>
  </si>
  <si>
    <t>16532155069276978093</t>
  </si>
  <si>
    <t>0xeb8cfb283c51b37e415dea27a5fecfdc06303efa</t>
  </si>
  <si>
    <t>9692821575422804592</t>
  </si>
  <si>
    <t>0x4158c7c3e80be7c9ae2cbd81a67e5a560bb9cae4</t>
  </si>
  <si>
    <t>5203297084328790400</t>
  </si>
  <si>
    <t>0xf6204ec8cd77f21a170762150301c73782573e47</t>
  </si>
  <si>
    <t>16480798828567848863</t>
  </si>
  <si>
    <t>0xeb4e674151af340b658ab301563def0029a96d6f</t>
  </si>
  <si>
    <t>47379659144015960729</t>
  </si>
  <si>
    <t>0x8f25098cdd6e815d2fc138516fd3da75f161893b</t>
  </si>
  <si>
    <t>44509122461927400086</t>
  </si>
  <si>
    <t>0xa2172f9440b0c3f709202b176824b542d71f8488</t>
  </si>
  <si>
    <t>0x00e72dc37378a8aac65786e8f9f1fe6023d5182d</t>
  </si>
  <si>
    <t>2479825521011486186</t>
  </si>
  <si>
    <t>0x2ce263ae03152b68f1229984e8a620161b11205e</t>
  </si>
  <si>
    <t>193456510398386672</t>
  </si>
  <si>
    <t>0x5d049bc0947673b6617a7f7e122b4e3deecc88ff</t>
  </si>
  <si>
    <t>24046150042385188245</t>
  </si>
  <si>
    <t>0x431c6b6c901131e124910a4c35f59dfdc3ca578a</t>
  </si>
  <si>
    <t>0x915ec8d3cb6df56845c974a82373f2a1f353fa83</t>
  </si>
  <si>
    <t>0x2d8774e99e2ed6cbc1536c8fc463f02deee14334</t>
  </si>
  <si>
    <t>0x608f79bd12483ae2f50be1a9d876f4cc6734bca4</t>
  </si>
  <si>
    <t>0x930ce864fec1fffad82340ed3a41763fb24cdb2d</t>
  </si>
  <si>
    <t>7490043448774530952</t>
  </si>
  <si>
    <t>0x177656e09a959afe4ccc48d127b639c00c198c5b</t>
  </si>
  <si>
    <t>5164892409652039454</t>
  </si>
  <si>
    <t>0x91088421122510c56f31901c7059401d692e0ef8</t>
  </si>
  <si>
    <t>23540944044966337596</t>
  </si>
  <si>
    <t>0x893a15e3f1b68c4418316f644128968a7a2b069f</t>
  </si>
  <si>
    <t>0xdf2f10b9a7b8f8788f5aeb594145d630a5a95dd0</t>
  </si>
  <si>
    <t>0x6a6a00f7ef6e076fdf126c15e12a9babb78c7a65</t>
  </si>
  <si>
    <t>0xc818e913984193e4c11b5c61339551f32cf26711</t>
  </si>
  <si>
    <t>0x22180730a5dc9f4ec8fd7d4a210e10b8d004a465</t>
  </si>
  <si>
    <t>0x61fcb864d0ee3892e7dea89107fb5fdaa8dd6605</t>
  </si>
  <si>
    <t>46539628738635317312</t>
  </si>
  <si>
    <t>0xf4032da66ca3e2fc30dadc7d51fe8080e24aa9b3</t>
  </si>
  <si>
    <t>9781725266161469077</t>
  </si>
  <si>
    <t>0x04e19eed5fd3f2402f0f7e95425c498f4c62d02e</t>
  </si>
  <si>
    <t>36406447335774451063</t>
  </si>
  <si>
    <t>0x1c4093a2153ad497e8a85174488083a49b4bbf93</t>
  </si>
  <si>
    <t>13703097083256460850</t>
  </si>
  <si>
    <t>0xdc34ebbd33d8a9641808503a18a9181fd8e9f997</t>
  </si>
  <si>
    <t>13157940979534744337</t>
  </si>
  <si>
    <t>0x9e7ee7d242c53ca8e36258e462333beb9649d1c6</t>
  </si>
  <si>
    <t>0x2c265355448e01fa2f0ffe5ba3b1c4621c4e285a</t>
  </si>
  <si>
    <t>5803695311951600162</t>
  </si>
  <si>
    <t>0x17f6a95ee23fec9b84685971dd30f1d6c4d4e6ec</t>
  </si>
  <si>
    <t>1235052915850543062</t>
  </si>
  <si>
    <t>0xbc777978adeb3408cad8eb9baf004fb160cc017c</t>
  </si>
  <si>
    <t>20734083378521096062</t>
  </si>
  <si>
    <t>0xd84d7bdc4b79171917c81ddbb22a01139eb4cd84</t>
  </si>
  <si>
    <t>0xc7e0175990c3382f9662e700ad60432c18082208</t>
  </si>
  <si>
    <t>0xd0312be053a21fdcb87b5a198bcb0bbca57a74f3</t>
  </si>
  <si>
    <t>0x2f3b28ba96abdaaaeea73cf23807f1db3e4d1e5f</t>
  </si>
  <si>
    <t>46707237453228595569</t>
  </si>
  <si>
    <t>0xa220664e9d0bce7e063a8ca5daf963c48df85fa5</t>
  </si>
  <si>
    <t>0x72ad643bd2ca84fa7c9cf2807441edb0fb47bf48</t>
  </si>
  <si>
    <t>0x214f6d4e82aa9abe0b46ced21cdd3f2be9202ec8</t>
  </si>
  <si>
    <t>0x978c3e5fc2713e5dc6fc193e703e1591d104635c</t>
  </si>
  <si>
    <t>3662819604038531420</t>
  </si>
  <si>
    <t>0x3aefb57450683d2567eeed2d5fcee20d3bc31cae</t>
  </si>
  <si>
    <t>0x767f704427ecdc7690c57df8fb5f9c986f978a22</t>
  </si>
  <si>
    <t>0xa377661466838b70a218e7879a599e80d309f9b5</t>
  </si>
  <si>
    <t>9055638635187344339</t>
  </si>
  <si>
    <t>0x0980a4faf2d6083749ffe112efe687f3c85d28ee</t>
  </si>
  <si>
    <t>24894465899858979781</t>
  </si>
  <si>
    <t>0x312f4a11c3484dc47e418ff86acbf5aee67cd8f4</t>
  </si>
  <si>
    <t>0xe049481c4f1cdc8a4a3f204c6a751316db1bf8a6</t>
  </si>
  <si>
    <t>7654295364349982645</t>
  </si>
  <si>
    <t>0xf0c0de07ad331d7fe46ab15c7a6f2859152a780d</t>
  </si>
  <si>
    <t>0x09e43773e05d2c7f74999616bd701a6a0afafa98</t>
  </si>
  <si>
    <t>15629800230736047283</t>
  </si>
  <si>
    <t>0x9276691791d25e5bd2451bc99044c72b19ad3b6e</t>
  </si>
  <si>
    <t>0xaf9b12f501a2fedbb5474d0bcb5cbfa080a62e30</t>
  </si>
  <si>
    <t>3594551173949509015</t>
  </si>
  <si>
    <t>0x79a2035d3121a2e4287927dd7c310817ef9607fc</t>
  </si>
  <si>
    <t>36606011871698279865</t>
  </si>
  <si>
    <t>0x53f6292deef1df28ea72cc1c50c05b94042f68a5</t>
  </si>
  <si>
    <t>9712566418168154890</t>
  </si>
  <si>
    <t>0xdf5b35e2471ebea613924320ecdfb3d7f75d0353</t>
  </si>
  <si>
    <t>9323703529023306851</t>
  </si>
  <si>
    <t>0x79001ae85607f2b1efc0b769a35af01b9c7026fb</t>
  </si>
  <si>
    <t>0x944da032609dc316105cffee18ac2955120ead01</t>
  </si>
  <si>
    <t>19742492990267889189</t>
  </si>
  <si>
    <t>0x2024d0f2f1b822674a502229543b4152c58c2566</t>
  </si>
  <si>
    <t>18087436921786819118</t>
  </si>
  <si>
    <t>0xc815d475a4d681bd1b43edb219ab0a5660ade596</t>
  </si>
  <si>
    <t>14571725595958192245</t>
  </si>
  <si>
    <t>0x4724144c79bddd2e35a3cc42f2b679a85b88e377</t>
  </si>
  <si>
    <t>0xd69c04bfb2707ef5af12de0551832b8ad0b9ae18</t>
  </si>
  <si>
    <t>43285856805350369439</t>
  </si>
  <si>
    <t>0xed2a1cac99999f4c1fd804afd09a07eb38c4518c</t>
  </si>
  <si>
    <t>9717747587647274472</t>
  </si>
  <si>
    <t>0x8cc295c9706c25f68a5bd0ccd0001066f1c1bf86</t>
  </si>
  <si>
    <t>9691424864493095418</t>
  </si>
  <si>
    <t>0x3049cfdadc637212740b7061b2169e6e0311422e</t>
  </si>
  <si>
    <t>0x802650d1c7f5fdb5413cefcdabe1395c9ff8da20</t>
  </si>
  <si>
    <t>0xa3d9bca28d9747837ca6a3499c451f095455054f</t>
  </si>
  <si>
    <t>25040678745235435199</t>
  </si>
  <si>
    <t>0x7ab3b4cf82b9d4b9173abc1f93eb2280fc4a6c6e</t>
  </si>
  <si>
    <t>9810269517747418241</t>
  </si>
  <si>
    <t>0x7506b47d375be79bd679be2e334fc06bd845efbd</t>
  </si>
  <si>
    <t>11379186482455310096</t>
  </si>
  <si>
    <t>0xc994f9d7ee0c8a41744ca858ed5c77c9f68cabd5</t>
  </si>
  <si>
    <t>30083233749352534226</t>
  </si>
  <si>
    <t>0x33c7191ad8122808429bae43a0ecc8f39d206c1a</t>
  </si>
  <si>
    <t>0x0ef87ef8ddd5c6495e9663ed0c02503bbc7125ec</t>
  </si>
  <si>
    <t>0x90761abae14e9f28f9299dc6a6288b4a82040359</t>
  </si>
  <si>
    <t>0x2dd328673350551bda3119dd014e743aeea79d42</t>
  </si>
  <si>
    <t>4341668786152472922</t>
  </si>
  <si>
    <t>0x57a36e40a540fb1744cc30d47d2c7e5888110c5d</t>
  </si>
  <si>
    <t>47973167174674926209</t>
  </si>
  <si>
    <t>0x005be4a7352818232a89542626a18a729d908c88</t>
  </si>
  <si>
    <t>0x160701f13a274f9c3780264445c9a5f1867e314b</t>
  </si>
  <si>
    <t>0x2837944bdc622fc4634ea5ecfebba01d7335c0f0</t>
  </si>
  <si>
    <t>10693266079330473148</t>
  </si>
  <si>
    <t>0x967b53d39d24d3f047e18511edcd7dca4aaf8273</t>
  </si>
  <si>
    <t>0xd5996e7e369d704d074e2bcfd7c339ebd1cdf8c6</t>
  </si>
  <si>
    <t>0x3d36f9f140222504dd31e566a161803faddf32bb</t>
  </si>
  <si>
    <t>0xadd3ae6b9ba14fea02e2e00d34771f286d97b303</t>
  </si>
  <si>
    <t>3170608094464857838</t>
  </si>
  <si>
    <t>0x465c2551ae05ec31baa38137de82f591368e0544</t>
  </si>
  <si>
    <t>42110476964297286478</t>
  </si>
  <si>
    <t>0x9e4786715a63fb037eb3fc11836ae648441eb739</t>
  </si>
  <si>
    <t>47795813779592438487</t>
  </si>
  <si>
    <t>0xc75f1ad2eaef79b729c8dd8bcbaeddd893f5a761</t>
  </si>
  <si>
    <t>0x2d03174e82a6029c8b053abdbbb664d0342d5581</t>
  </si>
  <si>
    <t>7529207466639946653</t>
  </si>
  <si>
    <t>0xb772565dfd2115a43b05779cba608cbb2d559508</t>
  </si>
  <si>
    <t>0xb1d6ae6274747c0552c9e6bbf52d53dbeeb4f261</t>
  </si>
  <si>
    <t>32477005680357557098</t>
  </si>
  <si>
    <t>0x180fa79e1598dd7cc58bff03d03bfb01b8a76cff</t>
  </si>
  <si>
    <t>3153206712383004651</t>
  </si>
  <si>
    <t>0xa2728622b70dc891edc42973d410132c233c3c9a</t>
  </si>
  <si>
    <t>444220942233989607</t>
  </si>
  <si>
    <t>0x969b7f788df56bc0cba120a4c07ca11c644b4503</t>
  </si>
  <si>
    <t>9827590728238041874</t>
  </si>
  <si>
    <t>0x82d2258c2dcc6383169e99d4f48cb91d2bd1a098</t>
  </si>
  <si>
    <t>0xf99162f8b136f40b1dfc9d6d3374e9634d849167</t>
  </si>
  <si>
    <t>0x8fb8e7884f0763e30e00bb9ba00f0a8a22eab994</t>
  </si>
  <si>
    <t>0xfee9b0e5e83643e55d7d4e398a3c65714f91decd</t>
  </si>
  <si>
    <t>0x3abfb638d0e33e053034e32701c7f8576f53119f</t>
  </si>
  <si>
    <t>0x0a04907422c1c70d26df8770bff1b17743d65cf1</t>
  </si>
  <si>
    <t>31420801922816392538</t>
  </si>
  <si>
    <t>0xdb64a7142d223e7ed153587d23f0e2e0dc0f8c73</t>
  </si>
  <si>
    <t>26683173497560378727</t>
  </si>
  <si>
    <t>0xbac20b46a1f123989427c8918034439f91a544aa</t>
  </si>
  <si>
    <t>7879381017406566964</t>
  </si>
  <si>
    <t>0x09d9b00900540d310e1d9ecb2ba664d9b052af6e</t>
  </si>
  <si>
    <t>0x5938079ae5093f0edeaf33f038c550c0513e6eb9</t>
  </si>
  <si>
    <t>0x098b01363941aebb349e0cdbb7437fffaaf951d8</t>
  </si>
  <si>
    <t>0xe627620e52e11d043f5a1dfaf8eb4308219e6d6a</t>
  </si>
  <si>
    <t>0x1aceb5721d301e4af99b3c35d78ba62788f096e2</t>
  </si>
  <si>
    <t>0x607c6ff5e222be9e9601c45923f4e82f8b547a34</t>
  </si>
  <si>
    <t>8190857312707524857</t>
  </si>
  <si>
    <t>0x8feda4370bddf83bb61be4a7808f362db563c117</t>
  </si>
  <si>
    <t>43198913933063797013</t>
  </si>
  <si>
    <t>0xeb80077d98a5f4407afe29cda0293d3f8a55805c</t>
  </si>
  <si>
    <t>0x4777cef6fdc524e80606207c04bde48dc11edf19</t>
  </si>
  <si>
    <t>21969882102286749175</t>
  </si>
  <si>
    <t>0x3311cfa961f1b7ac453e21e61cb334b0a3c46f67</t>
  </si>
  <si>
    <t>10593485052905254750</t>
  </si>
  <si>
    <t>0x5bef45489a03462d199612c5cd992f114f398ea8</t>
  </si>
  <si>
    <t>36718851941097310176</t>
  </si>
  <si>
    <t>0x47be2d5a6342006ad489e29e71e1cb30abd1a941</t>
  </si>
  <si>
    <t>0xd6bd310e0aefc2395e6e5e43feaada65ca714ee0</t>
  </si>
  <si>
    <t>6315021773845048976</t>
  </si>
  <si>
    <t>0x2cb7c53f4a7c986f333b1a3d9ae2d7f2bb3c63c6</t>
  </si>
  <si>
    <t>0xbcccc84786cf33a93c0d57415e2c0faa9a89e1fa</t>
  </si>
  <si>
    <t>19468132048302473363</t>
  </si>
  <si>
    <t>0xdb679c6899375c6a0bac43dcb9f8bef62d0c583b</t>
  </si>
  <si>
    <t>6190608332748373506</t>
  </si>
  <si>
    <t>0x86fb0ca9ef443e1f99640bdfb02b32c70ac4db0c</t>
  </si>
  <si>
    <t>0x13ccde9d129ab208e01f2a6fd81e2b95249764fd</t>
  </si>
  <si>
    <t>0xbe09910e2b19fb207c6304309f8be2781125ad2b</t>
  </si>
  <si>
    <t>8324392468730425412</t>
  </si>
  <si>
    <t>0x1468cc61152942986759a007d10205a1f869e78b</t>
  </si>
  <si>
    <t>0x117bff81e7dde0d03f93e980b424f1c18b185b4f</t>
  </si>
  <si>
    <t>39958803404624220042</t>
  </si>
  <si>
    <t>0x20b82f504e51b216dc0f6ab355025ac35ac4c942</t>
  </si>
  <si>
    <t>0x75afa0148a5330c0d54a63a2388fb4aefb36b540</t>
  </si>
  <si>
    <t>47829334592968530670</t>
  </si>
  <si>
    <t>0x71c01fc13b71a839cd0e3dc6cff14f5c50759572</t>
  </si>
  <si>
    <t>0xd27dc34d2d351dde18e894ac9f17ea2a67010924</t>
  </si>
  <si>
    <t>9802935733688490073</t>
  </si>
  <si>
    <t>0x0c5eaa7fcf1ea92808c2475e2d2128e2114e8b6e</t>
  </si>
  <si>
    <t>0x654ecf30ede43400d342da2dcbc000d756882f64</t>
  </si>
  <si>
    <t>0x2fc9044e7d7cf4862ef17c55c4404b98d2458184</t>
  </si>
  <si>
    <t>9687506047882279308</t>
  </si>
  <si>
    <t>0x9dd9e69acbc603ef581d07e2b43777eec5eb091e</t>
  </si>
  <si>
    <t>1427293408716262390</t>
  </si>
  <si>
    <t>0xec9d9be7d8b1a1e1a8c6df1a44b981bc5b839854</t>
  </si>
  <si>
    <t>37729390363861878490</t>
  </si>
  <si>
    <t>1354195572788706704</t>
  </si>
  <si>
    <t>0xa5cebac830948a359c14811b8acb1bdb70cb536a</t>
  </si>
  <si>
    <t>0x5f866c2befcd50aced442a969cd93df9e2bae80b</t>
  </si>
  <si>
    <t>35821845251636510074</t>
  </si>
  <si>
    <t>0xb1136675bb381608e1b3b1cfbd09e9112b95c3fd</t>
  </si>
  <si>
    <t>0x985a493fcd876061f4915fe8ab3ec59ec3330f81</t>
  </si>
  <si>
    <t>0x01a762639ed27cf925f3f9b08afd7c537b1d4d81</t>
  </si>
  <si>
    <t>0x282bb01bda10456f022af337a6e00195a41c2782</t>
  </si>
  <si>
    <t>17056348733019571625</t>
  </si>
  <si>
    <t>0x6e02082bb084d93b4c471d2171c48ffafdc0938b</t>
  </si>
  <si>
    <t>0x424cd658a2ee5679f3e3f315916a9f70c42fea70</t>
  </si>
  <si>
    <t>1587154550168698008</t>
  </si>
  <si>
    <t>0x53a15a8c187820720b94463f31c57c641a564f13</t>
  </si>
  <si>
    <t>0xe4db900b96513dc038e7fa66f25a0e0f28c9760c</t>
  </si>
  <si>
    <t>19364207894398311571</t>
  </si>
  <si>
    <t>0xcca1ad5b7ae6bbe9330d85fc8cdebbe5bc45f48a</t>
  </si>
  <si>
    <t>0x9ffd9ff0483a16fade04d30236dd45d6d5499a5d</t>
  </si>
  <si>
    <t>40992680123036729870</t>
  </si>
  <si>
    <t>0x9471942ced0bafc1fc9d5a278b98dfdbab4a18a8</t>
  </si>
  <si>
    <t>0xa07c565326376055dcfa206ef5b84ae471fb735b</t>
  </si>
  <si>
    <t>23324784369511643157</t>
  </si>
  <si>
    <t>0x4bac210f7a760e7187b7e5f0191cc1109e896a02</t>
  </si>
  <si>
    <t>0x3aecff8d5b4970b2c6dc044112e028607e271f92</t>
  </si>
  <si>
    <t>0xbe69afddc6a36b96bd0c092149f7aafddce15eb6</t>
  </si>
  <si>
    <t>43436367515396450010</t>
  </si>
  <si>
    <t>0x8f3f46a0d77eeb2ab09141395bdaff88c73adbee</t>
  </si>
  <si>
    <t>23999474817647621222</t>
  </si>
  <si>
    <t>0xdd4536f67079e52337e3b780105e2a8c18f8121e</t>
  </si>
  <si>
    <t>0xf719c9c72aa33c5680eca3de449d7a10c312e05c</t>
  </si>
  <si>
    <t>9676161549566400110</t>
  </si>
  <si>
    <t>0x6ea22df8955f54db697fd0feb8221140a46766b7</t>
  </si>
  <si>
    <t>0xb85065e079a5541edbe425f54d9f982be1c5fb7f</t>
  </si>
  <si>
    <t>0x753717520bd78304c5c372080e398f77ea5808b8</t>
  </si>
  <si>
    <t>0x37d73f1ea8166d069ceacd2e21c319935bfcc712</t>
  </si>
  <si>
    <t>8452985311892112376</t>
  </si>
  <si>
    <t>0xf7046ed4acadf1f6e94074aeda8d0914f6dd1921</t>
  </si>
  <si>
    <t>6878013381429201203</t>
  </si>
  <si>
    <t>0x1ade544f1aa8777a814c1b2f6118503ef8e54293</t>
  </si>
  <si>
    <t>10640108071911266963</t>
  </si>
  <si>
    <t>0x977e371dca3a46078504a8caee1b8d1c347c912f</t>
  </si>
  <si>
    <t>0xbf3c7db385b2f6528b9c1b223d8bce5eeddc888e</t>
  </si>
  <si>
    <t>45130972176016110173</t>
  </si>
  <si>
    <t>0xeaeecea3535052d3fe965542c05256ec78fdc465</t>
  </si>
  <si>
    <t>40600075855599659541</t>
  </si>
  <si>
    <t>0x1811cce680a6391c48b519701808afc7db36a323</t>
  </si>
  <si>
    <t>0xdf1fe52e27c653e5f867ad909d16d717c953614a</t>
  </si>
  <si>
    <t>0x03bb69cf296c834b97b6d64153fc2c0d3cece0b9</t>
  </si>
  <si>
    <t>4932196239835230206</t>
  </si>
  <si>
    <t>0x912bbe47436edcb255334a4dd92ec2de875b2f1b</t>
  </si>
  <si>
    <t>0xb6108c865cf1ad19a2a26b90805eab70e31c16d0</t>
  </si>
  <si>
    <t>43087802621830158123</t>
  </si>
  <si>
    <t>0x10bb8ab9aed0a46b788fc50a6066d28c39f214fe</t>
  </si>
  <si>
    <t>0x54d76a93561e61d1e9a64b9f78de4a02ae64a332</t>
  </si>
  <si>
    <t>13653828118832385360</t>
  </si>
  <si>
    <t>0x514948d3ba30a7fedcdac029f56b629785d23d32</t>
  </si>
  <si>
    <t>9344941891793753256</t>
  </si>
  <si>
    <t>0xb5f98526f9be330b9d4fb2ece099c9b5f88094f9</t>
  </si>
  <si>
    <t>0x01bc8fe04a6d045445d402d72360b0ee4a1d34c0</t>
  </si>
  <si>
    <t>10897877407429969162</t>
  </si>
  <si>
    <t>0x4802de6e932f46be3d2b0d5e3ca6448cafc4e538</t>
  </si>
  <si>
    <t>0xccf0a530c20cb7a74c0ed6e3676a0ca1524628e4</t>
  </si>
  <si>
    <t>27397543851518391245</t>
  </si>
  <si>
    <t>0x3e6ffae65a4169015d90b0e8c1e73d1cec8f8863</t>
  </si>
  <si>
    <t>0xed874854f206d3a74ca0dbceee70acc3e3fbc8cd</t>
  </si>
  <si>
    <t>9428073015403387200</t>
  </si>
  <si>
    <t>0x3a49cf2e2f8440c45107ec97dbbf21dd9d40c645</t>
  </si>
  <si>
    <t>20319213720615883171</t>
  </si>
  <si>
    <t>0xd5102725cc00421854dd616a2d8769ce36017315</t>
  </si>
  <si>
    <t>37237252411530735777</t>
  </si>
  <si>
    <t>0xed796f9e412dd231bba84b077c109e354b0fb555</t>
  </si>
  <si>
    <t>0x348896ae1123389ebf17a0847111246f6555ddc4</t>
  </si>
  <si>
    <t>0xd46303d304a35f75739a7e0a059eba617274e6b3</t>
  </si>
  <si>
    <t>28931326576141561148</t>
  </si>
  <si>
    <t>0x52135dcd45daa4bd0fdd10526ffd0c25aabd6d56</t>
  </si>
  <si>
    <t>0x035df91bfb4db748b50e29c86ceefb97e2b8fd63</t>
  </si>
  <si>
    <t>0x7a6ba988528ae0837d00afec6cc159b70d87bbd5</t>
  </si>
  <si>
    <t>9943898442920237720</t>
  </si>
  <si>
    <t>0x5b301ec659748232b74d725de5151a5ead0ed7c3</t>
  </si>
  <si>
    <t>0xa906ec465ea4f1092746c485a7709a099f3703b0</t>
  </si>
  <si>
    <t>11154779743285659644</t>
  </si>
  <si>
    <t>0xb9f0afa8161f4f100d9f34df8146f51469df2552</t>
  </si>
  <si>
    <t>0xa58013629f6485faf99143759a01dbff61be1173</t>
  </si>
  <si>
    <t>0x63105a6781fb61bb39c4dcb42e7692796a44122b</t>
  </si>
  <si>
    <t>29778454253845446749</t>
  </si>
  <si>
    <t>0x223d06585ed18dcdaf3f3dd9a57beea2119a512d</t>
  </si>
  <si>
    <t>0x72be0aee75afeb770ae7565838fdda70222713a6</t>
  </si>
  <si>
    <t>43244146863001989403</t>
  </si>
  <si>
    <t>0xddc93f58cc9f119d86f1a93468ad48a79099b21a</t>
  </si>
  <si>
    <t>12858273274898026918</t>
  </si>
  <si>
    <t>0x8dd2e9caf14a81e0093e52031a9a50f9c9050d00</t>
  </si>
  <si>
    <t>29176668806050333172</t>
  </si>
  <si>
    <t>0x600d807b14532e4d6619b502dafd920c8d7f911a</t>
  </si>
  <si>
    <t>2560841605622042314</t>
  </si>
  <si>
    <t>0x875b9932eeab29b5848f873b2044e1801773ce8e</t>
  </si>
  <si>
    <t>0x35393930c0aa0cf0001f00737ccb706e8603b60b</t>
  </si>
  <si>
    <t>4582089062608040744</t>
  </si>
  <si>
    <t>0xf120179dbecbf5efb4096172cef094d88bd916ee</t>
  </si>
  <si>
    <t>34976417977381518482</t>
  </si>
  <si>
    <t>0xfc3a7cb91c071f6303f809a42e50fac35d31ccbb</t>
  </si>
  <si>
    <t>0x69ccba053ef42e77de0058e1bdfbab089c78a471</t>
  </si>
  <si>
    <t>0x0097bc49e4c33eae61d5b3b661da92f1f9e2af21</t>
  </si>
  <si>
    <t>0xf09030ecbf19ab84a3650514a453bf777e0450f8</t>
  </si>
  <si>
    <t>10251332021778555163</t>
  </si>
  <si>
    <t>0x5d40a792a3fce5d02b9cd9ecbdc7e0536867d638</t>
  </si>
  <si>
    <t>47286031950653036587</t>
  </si>
  <si>
    <t>0x5c72192e0ad21c44c7da51d6d76a551d6ba77214</t>
  </si>
  <si>
    <t>30898472349633970798</t>
  </si>
  <si>
    <t>0x69c8af34b5a1ad59614916d1deb80f99c50c69d5</t>
  </si>
  <si>
    <t>10026610112319802511</t>
  </si>
  <si>
    <t>0xacf2c254a3c48b43efe34bfa6416f533ae017129</t>
  </si>
  <si>
    <t>0x3ae46f5c14a3177f0f806cc4760520ca9672a7bb</t>
  </si>
  <si>
    <t>2061240333940148410</t>
  </si>
  <si>
    <t>0xbe4efcb0d0074e04a3a050cd0e8f01dfc38867ad</t>
  </si>
  <si>
    <t>31613728316025604419</t>
  </si>
  <si>
    <t>0x0a859a2cae021f8ecd3ce4b13121d451af83101e</t>
  </si>
  <si>
    <t>0x2ff00ee3d2458ec95e89c7e907607f49cb4a4a98</t>
  </si>
  <si>
    <t>39912065569671758180</t>
  </si>
  <si>
    <t>0x2961a607c4839c66a3ce7b4285a21823c71449b5</t>
  </si>
  <si>
    <t>1268675464722351524</t>
  </si>
  <si>
    <t>0x8dd710090d1869dd4e133155f5a8846e142afdda</t>
  </si>
  <si>
    <t>0x7989454ede611d88bacf4632e1c046ee92a10ea1</t>
  </si>
  <si>
    <t>6892370249471899351</t>
  </si>
  <si>
    <t>0x05f58caa43596c19c8ab955eb9cd3a65704adb09</t>
  </si>
  <si>
    <t>9828984447362819040</t>
  </si>
  <si>
    <t>0x409013faa477e7d6afb3a17673c8dd6b89c515ef</t>
  </si>
  <si>
    <t>0x7362bcb5a29a84bc8400bbf23e22183e1695f794</t>
  </si>
  <si>
    <t>0x1d4c739ef11d25f2ac76ff8c5a99c42197cc864c</t>
  </si>
  <si>
    <t>17971772745952506375</t>
  </si>
  <si>
    <t>0x6cec252ef55c66a2ec0f9a29fb7986651859ecfc</t>
  </si>
  <si>
    <t>0xc94327cbb9eef801a4bbe3459766bb712c5ad979</t>
  </si>
  <si>
    <t>10470584183648908773</t>
  </si>
  <si>
    <t>0x020e7df5adf2f9bd94f987fd75a907083d67246f</t>
  </si>
  <si>
    <t>0x29b7c019a367059b258170d8e448542e794ed2a5</t>
  </si>
  <si>
    <t>8686438944158621040</t>
  </si>
  <si>
    <t>0xc62e2f0ded9c7c0617c10cb35852d91d963fa405</t>
  </si>
  <si>
    <t>0xbca2280c072846912dc23ddb71d19b89c3684c32</t>
  </si>
  <si>
    <t>0x4bff2a3bd8a489d3daa54b8a0be3f238b83caeca</t>
  </si>
  <si>
    <t>19518592755029817463</t>
  </si>
  <si>
    <t>0x3e9b4e75518543e36c502bba74aa15b22b139d37</t>
  </si>
  <si>
    <t>0xe4058a875eec832d09cecaf7eba8ce19b491faa9</t>
  </si>
  <si>
    <t>23795150779001560664</t>
  </si>
  <si>
    <t>0xb25bdc63f02291be7b5caece16ecd5d84422f7df</t>
  </si>
  <si>
    <t>13723043621829391703</t>
  </si>
  <si>
    <t>0xd11edb0d9c91f658d6d77b929b1ed20086abe309</t>
  </si>
  <si>
    <t>32881492885688090772</t>
  </si>
  <si>
    <t>0x1ac448763ebafcddce5297fee9feef57fe242256</t>
  </si>
  <si>
    <t>0x49a0b3e7a8dbb827d6a49bfac3a3a36b7c278eae</t>
  </si>
  <si>
    <t>45957383209864716137</t>
  </si>
  <si>
    <t>0xa0e9dab471e6166afdcba35ab576077068c7af18</t>
  </si>
  <si>
    <t>0xc9873302b9793447c00e02ed7495f3c302ae36b6</t>
  </si>
  <si>
    <t>19535237508462008569</t>
  </si>
  <si>
    <t>0xbb17b689aba22a3be6792655ff4ca363c89771df</t>
  </si>
  <si>
    <t>44789524681864504526</t>
  </si>
  <si>
    <t>0x54975fc3f7ec8e9655bc203aebc42686d11542bd</t>
  </si>
  <si>
    <t>40007538273554347396</t>
  </si>
  <si>
    <t>0x2967ca89c96792e938d8475d81fc66c8180490e0</t>
  </si>
  <si>
    <t>0x7127d2bf9dc393fb15bd5cdb04fd8f00e04bb7f0</t>
  </si>
  <si>
    <t>5029305545975897256</t>
  </si>
  <si>
    <t>0xd6e37480a61a8dabfcfd5524a7f9744ac69be7dd</t>
  </si>
  <si>
    <t>532850813388398673</t>
  </si>
  <si>
    <t>0xddd21391a99287558d1277da21822beb28919d32</t>
  </si>
  <si>
    <t>0x42fdf6292fdf4a553d6c5438589c8305b4c4e9f9</t>
  </si>
  <si>
    <t>24004626392270012722</t>
  </si>
  <si>
    <t>0x70987d3350497d8750710ab58be5ae6481924c60</t>
  </si>
  <si>
    <t>48316256271189536371</t>
  </si>
  <si>
    <t>0xfd0412cfb36af618692b6d5f24dacb60187e62b3</t>
  </si>
  <si>
    <t>12187760155098360340</t>
  </si>
  <si>
    <t>0xaf1314d0369706cc5ff3db8e1dd2eeab7c17e985</t>
  </si>
  <si>
    <t>19486643630363010936</t>
  </si>
  <si>
    <t>0xd5f6c8ef57a5abb6539e57ee50093efa3717e76c</t>
  </si>
  <si>
    <t>0x3d60840fa020ab7c62eac5de2f57fae9efafa617</t>
  </si>
  <si>
    <t>0x74f34ce983378b4bcb77403da156d06f5fd8cc6f</t>
  </si>
  <si>
    <t>0x088e936e23961e3b7a364999b61b5e9b7e78e1b2</t>
  </si>
  <si>
    <t>0x0d1390c5333b7d45c68a25496071744004d1c5f0</t>
  </si>
  <si>
    <t>15796236591882772983</t>
  </si>
  <si>
    <t>0x0433bd38991e1dd3a07641532e9c66bc19babe2d</t>
  </si>
  <si>
    <t>0x46ff9ca21f26750e6e80633aa9d390ed12aabc28</t>
  </si>
  <si>
    <t>0x079e117238de1f75b00ad2be5f181635a5206210</t>
  </si>
  <si>
    <t>0x5b1053748e5ffb0930634a614657745cc445c41c</t>
  </si>
  <si>
    <t>0x6983d69cf247eb8ac049a85bafb2e55842a184a5</t>
  </si>
  <si>
    <t>9679017303887294630</t>
  </si>
  <si>
    <t>0x61d97456f25697bd53db1422199ac54e7a4c8abc</t>
  </si>
  <si>
    <t>9517459236080439679</t>
  </si>
  <si>
    <t>0xd9ed0db444776d9731922a7dae5bd8058821692b</t>
  </si>
  <si>
    <t>0xb9d3d15205a785fe492ee63e26e2acb9131bd05b</t>
  </si>
  <si>
    <t>42791236709771350567</t>
  </si>
  <si>
    <t>0xf9723c16e1236165f51bcb1704609f8eaba45fac</t>
  </si>
  <si>
    <t>0xb8e18294bdb03bd3f19695243163c42a541bc4d9</t>
  </si>
  <si>
    <t>0xf3f76be4cd04a7efefcbc4b1254f19f245673a20</t>
  </si>
  <si>
    <t>0x82751365a402c022ea381dac7e89cba5ed31629b</t>
  </si>
  <si>
    <t>8506808464206569723</t>
  </si>
  <si>
    <t>0x5ad81b52622a0653d8d65c95609113bb72491a14</t>
  </si>
  <si>
    <t>0x52d73946bc7adb43b9524b21584533b58930ee19</t>
  </si>
  <si>
    <t>17411085935854800486</t>
  </si>
  <si>
    <t>0xc0ac304e025514b92ab9c0b27535da8e4084b76c</t>
  </si>
  <si>
    <t>2164532706148619131</t>
  </si>
  <si>
    <t>0x9234a405b420a746eaa6631f80c8df3c86629505</t>
  </si>
  <si>
    <t>0x6eaca93e231578c6e89d0b8e1673147aa852de5b</t>
  </si>
  <si>
    <t>33642789923468517672</t>
  </si>
  <si>
    <t>0x22aa420bc0b508335030c3fe6fb2de8c1af211c1</t>
  </si>
  <si>
    <t>0xf6168297046ca6fa514834c30168e63a47256af4</t>
  </si>
  <si>
    <t>0xe9baf2accf6f74b9b575584dc31617726d1c2134</t>
  </si>
  <si>
    <t>0xc4970aa1aa25dcb8f226119a7b8cd12adcb7381c</t>
  </si>
  <si>
    <t>1852811799344767232</t>
  </si>
  <si>
    <t>0xaeee7df269a78d4d9a3a6361de31ee8a5f0475b5</t>
  </si>
  <si>
    <t>18042211934044701416</t>
  </si>
  <si>
    <t>0x51b71266880434d15c9cb0aa5005e10e7d4d83e7</t>
  </si>
  <si>
    <t>16867018905998584301</t>
  </si>
  <si>
    <t>0x37c6215fcb1b39f3bc29cba6ae7586f37c4b58de</t>
  </si>
  <si>
    <t>12638712697619289793</t>
  </si>
  <si>
    <t>0x5bcf7a4331055cd982be021c26089c6cea5992e6</t>
  </si>
  <si>
    <t>802136357896805874</t>
  </si>
  <si>
    <t>0xdc0d36d8661760761c969d9148569542f4f5a1c0</t>
  </si>
  <si>
    <t>9609930931742160643</t>
  </si>
  <si>
    <t>0xf59f98018a00bb31cdd16e23ea1da73682b362aa</t>
  </si>
  <si>
    <t>7045639224500527507</t>
  </si>
  <si>
    <t>0x478f43c6654757cff41c716b25c6c05b3a2379b3</t>
  </si>
  <si>
    <t>0xd7abd379248ccd18c98b358f7e79ff8916b4adc6</t>
  </si>
  <si>
    <t>0x9767d18e0f7596e14788ce97c04288eab692b13c</t>
  </si>
  <si>
    <t>0xe59f4a315aa1d99bdd32d999bd265aee215c6cf6</t>
  </si>
  <si>
    <t>13826558872958845703</t>
  </si>
  <si>
    <t>0xda69f90ada1e13339c65d0bc67ba265d680fa553</t>
  </si>
  <si>
    <t>0x0e50fca3c0d081d5e527dc291633e786ba7bebb9</t>
  </si>
  <si>
    <t>15256336836032638926</t>
  </si>
  <si>
    <t>0x801bcab6c126b4cc2fd6605d138dfc34260143e8</t>
  </si>
  <si>
    <t>48006033662466683259</t>
  </si>
  <si>
    <t>0xfecc700e4eb525a52c2e39f231bd0d4a3d6db9fb</t>
  </si>
  <si>
    <t>0xe540c45c504b348ad4d6eb9344e6cfa07c959be6</t>
  </si>
  <si>
    <t>0x770fbbbcaeafe785f87c49c8eb87eee727f650f9</t>
  </si>
  <si>
    <t>5830808232791477389</t>
  </si>
  <si>
    <t>0x3fd67d2cae60279852775df278c5cda44280670b</t>
  </si>
  <si>
    <t>5321089834999912997</t>
  </si>
  <si>
    <t>0x8b5597eb3cceebf8d3b2c6e810f45cba53af538f</t>
  </si>
  <si>
    <t>0x17635ab9e748084dd56151aef2c0bfb59d6ba03b</t>
  </si>
  <si>
    <t>9203106233495441875</t>
  </si>
  <si>
    <t>0x72872adaea835f855d6303c130c7531208a76642</t>
  </si>
  <si>
    <t>0x3ebfa640a596310880d0cd2c7993163987637c36</t>
  </si>
  <si>
    <t>0x7072d68676778f421f05cd36dfbe63b402f40baf</t>
  </si>
  <si>
    <t>0xd91672a7e9ea8bf163f52a8de90b2a98afbee032</t>
  </si>
  <si>
    <t>43640884632302679099</t>
  </si>
  <si>
    <t>0x99492af57325ba3971542b9ea4036186be50fa07</t>
  </si>
  <si>
    <t>6463039638143640025</t>
  </si>
  <si>
    <t>0x1769155d575a1f918e3a45b32f9f8858329b3315</t>
  </si>
  <si>
    <t>0xfa5a5b695fa83c2a0e268cee936a3a939eda5ac7</t>
  </si>
  <si>
    <t>21686193750425970366</t>
  </si>
  <si>
    <t>0x5614db5b29abe38e74c11d3c198c87688e8e3bde</t>
  </si>
  <si>
    <t>0x314cda6a0fcd1a8b555c59eb5a4b476eb3791e66</t>
  </si>
  <si>
    <t>0x5ef5b5e3254ffb56bd44af3f428a2196f56c9517</t>
  </si>
  <si>
    <t>48751040620392732</t>
  </si>
  <si>
    <t>0x0b2677f1db50a327a72e8dc7c748886ecd90870f</t>
  </si>
  <si>
    <t>0xcdc5fccc3e1eb03a627b9265c0e7920f8cbc75ac</t>
  </si>
  <si>
    <t>7436360874133081992</t>
  </si>
  <si>
    <t>0xb83adf2d4da16c4a9a5bc366cdc396dbd16a33e6</t>
  </si>
  <si>
    <t>15491514733270880332</t>
  </si>
  <si>
    <t>0x1c634804ba4f83a66134cd92961066f7adc6b928</t>
  </si>
  <si>
    <t>0x0fd109e40a0b7a3692d7d282b794c6204b7fe665</t>
  </si>
  <si>
    <t>6773364023672196084</t>
  </si>
  <si>
    <t>0x86d82373806e90e7d572b9dfeeb20a786609341f</t>
  </si>
  <si>
    <t>10548495285845325695</t>
  </si>
  <si>
    <t>0x88920273afadc7bb1051ca5e8089969129d31bd5</t>
  </si>
  <si>
    <t>16424573752865719577</t>
  </si>
  <si>
    <t>0x74a06ea35a7805307540b9044210fdeffad4fbb2</t>
  </si>
  <si>
    <t>13436395711023540754</t>
  </si>
  <si>
    <t>0xc9c435304e08740107f21cf42c23eb7f569f52f6</t>
  </si>
  <si>
    <t>47962544277957230330</t>
  </si>
  <si>
    <t>0x2f5b3356123d3f620013c1dbf4cebd1b5f65f36f</t>
  </si>
  <si>
    <t>0xdbae76eb6804f4f4b5c430ff90e031a283334d6d</t>
  </si>
  <si>
    <t>19375560472320705457</t>
  </si>
  <si>
    <t>0x49638f0fc3046c0e6dba40363d3d18fd163578d6</t>
  </si>
  <si>
    <t>47944212766668846585</t>
  </si>
  <si>
    <t>0xe18125a52f83bef0df09e0c9789d0425c32d9ff5</t>
  </si>
  <si>
    <t>15692789351283812504</t>
  </si>
  <si>
    <t>0x161182660cf5a11453babe220814b6fb4add82b9</t>
  </si>
  <si>
    <t>0x1b62825f9d4f218155bf301a066316f8e1039779</t>
  </si>
  <si>
    <t>42372745853988525051</t>
  </si>
  <si>
    <t>0xbc587cec4c9d98b5624d1293e3c8eb49a97480da</t>
  </si>
  <si>
    <t>0xad5fb41228b0572aab66e974b6e27adc48557100</t>
  </si>
  <si>
    <t>0xa94edec908c693444b1d9e57a72913ab3c825f11</t>
  </si>
  <si>
    <t>0xc6c4dc8a4e6a4e89ef99c66569c4e342335e0f76</t>
  </si>
  <si>
    <t>9543479629503072568</t>
  </si>
  <si>
    <t>0xe0f105b6bc23faeeb681585de955429efdb78580</t>
  </si>
  <si>
    <t>43820055052656171818</t>
  </si>
  <si>
    <t>0xd1a9681d9f2fb632484a1ae9fc0b118cea1e849c</t>
  </si>
  <si>
    <t>0xadfa41a8e3e53b2b1b0f30860c512d48d27dd58d</t>
  </si>
  <si>
    <t>43635005688871996265</t>
  </si>
  <si>
    <t>0x8b4cacd8ca55751a98ad821b0005ddfeacbcaae4</t>
  </si>
  <si>
    <t>0xa991c06e5dfee048e3367be4bbb49727c7895398</t>
  </si>
  <si>
    <t>3521868283488023804</t>
  </si>
  <si>
    <t>0x388693a6c29f10a388a8691df03ec992ba8afa0b</t>
  </si>
  <si>
    <t>8932089063000472578</t>
  </si>
  <si>
    <t>0x141e40a701ef7a31f15ea89a60fbc3f9522cd11b</t>
  </si>
  <si>
    <t>0x1af3af6fc251370e316a642510c07b13e2526e46</t>
  </si>
  <si>
    <t>0xe83360ae8d28e923fc106b241ef253da7826b4e4</t>
  </si>
  <si>
    <t>22914214963734372757</t>
  </si>
  <si>
    <t>0x8262cd7f77c1543119956ccbefe6b179f041e779</t>
  </si>
  <si>
    <t>3180633309634746741</t>
  </si>
  <si>
    <t>0x0b84abd598e742eff7e455dd58f2fc8b7301f947</t>
  </si>
  <si>
    <t>0x097863cd1408eef051541d003a62891471783427</t>
  </si>
  <si>
    <t>2972072323861093198</t>
  </si>
  <si>
    <t>0x525ff9c36415397722d821c832bbb6b6905d0d7b</t>
  </si>
  <si>
    <t>1028285722878694452</t>
  </si>
  <si>
    <t>0x22e13fd3116557cb9fb7901f61027dfd50da391a</t>
  </si>
  <si>
    <t>0xd44342e4110d9323a12f62e16c9b7414737ae2ce</t>
  </si>
  <si>
    <t>0x04218d7d31e90afc4ef9cd6e895c3c2617ab9c66</t>
  </si>
  <si>
    <t>21477207036317262319</t>
  </si>
  <si>
    <t>0x49ca01a86bac382c86ce2d393ee555582a49e26b</t>
  </si>
  <si>
    <t>35873825492671442353</t>
  </si>
  <si>
    <t>0xde5385a27d01eb5c5283a9b76d0d062bcb960e11</t>
  </si>
  <si>
    <t>48343370989447944270</t>
  </si>
  <si>
    <t>0xe18ab171121ac4437ecf8501299b51534bc10171</t>
  </si>
  <si>
    <t>15863433852667707109</t>
  </si>
  <si>
    <t>0x04d141eaa9b527604642484a5d65b530aa787aed</t>
  </si>
  <si>
    <t>2784622249787391044</t>
  </si>
  <si>
    <t>0x7961a3636efaf12094972a9ea12639dbcf825560</t>
  </si>
  <si>
    <t>44415497462494142618</t>
  </si>
  <si>
    <t>0x7bdf0f2beffab096ef9aba608aa0aa16220aa474</t>
  </si>
  <si>
    <t>24182063799798334008</t>
  </si>
  <si>
    <t>0xbbef85a81f03b39e135abacb21221385ac708727</t>
  </si>
  <si>
    <t>12060269480566705741</t>
  </si>
  <si>
    <t>0x8c57d1fab10d4b78f49ef5c6abaeb76a63710f61</t>
  </si>
  <si>
    <t>0xb3a00c3ca08a1bd29341519a4f1eaedbba82ca39</t>
  </si>
  <si>
    <t>0xdcb92e1edaf07fa90464514619599de2c9494643</t>
  </si>
  <si>
    <t>35021321393312975300</t>
  </si>
  <si>
    <t>0x7680598270be41895cc6fdb1e7572d73de86c509</t>
  </si>
  <si>
    <t>0xeb6a1f724564d63ac223d752c06bd850dcac95a2</t>
  </si>
  <si>
    <t>17919966923854479909</t>
  </si>
  <si>
    <t>0xdd98051c107f8d3e92d2f588d2cb748efb27fa3a</t>
  </si>
  <si>
    <t>0xf275fa20e15fea983ac8506ff0efc4ae952a4016</t>
  </si>
  <si>
    <t>0x9e7f237617ef3bdc3a1933440e5ee24e4380805f</t>
  </si>
  <si>
    <t>46535075196201638123</t>
  </si>
  <si>
    <t>40760900928321425810</t>
  </si>
  <si>
    <t>0xf379335c079060679f6566decb19ab4cd9e852e7</t>
  </si>
  <si>
    <t>9831290793512812049</t>
  </si>
  <si>
    <t>0x5ef46e31e4e795d32c6e7764e9d10ca9a5b0325b</t>
  </si>
  <si>
    <t>43746963599361970816</t>
  </si>
  <si>
    <t>0x7ab8ce296f460ee6565e37cf46b4598161b4a539</t>
  </si>
  <si>
    <t>42605609776109832093</t>
  </si>
  <si>
    <t>0xab7c9a27827ee6f1c6c901b61674fa19364a8207</t>
  </si>
  <si>
    <t>22876911009137578171</t>
  </si>
  <si>
    <t>0x86ed9af7c9560d508beb79056a542f2a2ebc91e1</t>
  </si>
  <si>
    <t>9943259713943919964</t>
  </si>
  <si>
    <t>0x2d521494ea31f6cd4910a2716f9c1bc7f5323e5d</t>
  </si>
  <si>
    <t>0xc4926a299d83d89c145d06fcdac30be0f5076915</t>
  </si>
  <si>
    <t>0xd8df63b2031e7fc472a9f816ba4274b467abb5e8</t>
  </si>
  <si>
    <t>0x7f9e9c6abca7f50f5d87477d67741d67e9798e4e</t>
  </si>
  <si>
    <t>627044704141208372</t>
  </si>
  <si>
    <t>0xba60283db86f9fb7f16c03fd7a79355708739530</t>
  </si>
  <si>
    <t>0x10690bbe81b57c14f03567d2907216b74e2b01fd</t>
  </si>
  <si>
    <t>36167416922451245729</t>
  </si>
  <si>
    <t>0xa16bdf485771e2aba50b0ceea6320bb0348c09ab</t>
  </si>
  <si>
    <t>9879429467282103097</t>
  </si>
  <si>
    <t>0x6fcd1d27742bf5b7ea07224e2afecde1dea21b5f</t>
  </si>
  <si>
    <t>0x0cd06432a9734ff306cd3baaed24952b93c00190</t>
  </si>
  <si>
    <t>0x8fb30b3c0bf0355056238d071b74c20d399526d6</t>
  </si>
  <si>
    <t>733920913236318282</t>
  </si>
  <si>
    <t>0x08943873222ce63ec48f8907757928dcb06af388</t>
  </si>
  <si>
    <t>0x89a14c59ed896734b3da0de4eb9c826f727ba641</t>
  </si>
  <si>
    <t>0x942912e4586f263164a0a4ddf618079bb78155f6</t>
  </si>
  <si>
    <t>0xe16d2fea0ee8c58ae79fab529c1e774293f8d6d7</t>
  </si>
  <si>
    <t>0x859e295beb2de472b5f3818ead44f0a1e4a7e285</t>
  </si>
  <si>
    <t>0xcfd60e5fdbe487bb74b235fc01ef7ee747ae3427</t>
  </si>
  <si>
    <t>0xe14fc63f865fb71f3df37a4815e6c587e83628b2</t>
  </si>
  <si>
    <t>0xb8703780b5c65762a149782079b07c39a5f829c1</t>
  </si>
  <si>
    <t>3081020292240192805</t>
  </si>
  <si>
    <t>0xf05c6c6b674acae769231356760fb00384304182</t>
  </si>
  <si>
    <t>8621795148281221936</t>
  </si>
  <si>
    <t>0x40bc3cc32a2f9edebbc01a60f1cda1a9396e78b3</t>
  </si>
  <si>
    <t>8991288382240592709</t>
  </si>
  <si>
    <t>0x3f2304faa8a10a0e7576a8d5915a5b3e72ca3042</t>
  </si>
  <si>
    <t>0x57740d139ba16613a7ede961038e15697b54100a</t>
  </si>
  <si>
    <t>44124391649310008743</t>
  </si>
  <si>
    <t>0x6b0010e8def48b2ee644404efc43b8e28cada493</t>
  </si>
  <si>
    <t>0x78a6340a08deb85581648762281d3d80fb71c5f0</t>
  </si>
  <si>
    <t>21019987761911471633</t>
  </si>
  <si>
    <t>0xd4222030e266f21df6e6b28f214299a038a0b6f2</t>
  </si>
  <si>
    <t>31457913088949851927</t>
  </si>
  <si>
    <t>0x159e46306df9113a6f9840080fd19ed34d9275c0</t>
  </si>
  <si>
    <t>8111855563034542269</t>
  </si>
  <si>
    <t>0xeb262219b0cd8cf3bca6bd1bc6e1f35d0a66b978</t>
  </si>
  <si>
    <t>7031670111189895759</t>
  </si>
  <si>
    <t>43999086941777330822</t>
  </si>
  <si>
    <t>0x5708fac57ce9dc3eb2b092acf115121e4589920e</t>
  </si>
  <si>
    <t>0x96e441f727474d5624cf0f92f4d475cb9060acd9</t>
  </si>
  <si>
    <t>10926985177593582542</t>
  </si>
  <si>
    <t>0x4d4b3960a8521975b1fa6853741e7f086499cc61</t>
  </si>
  <si>
    <t>47242933172812918066</t>
  </si>
  <si>
    <t>0xd204a6b7effa8c5c6c7faed2536c322761333417</t>
  </si>
  <si>
    <t>0x2d0c7cb023d2bccb3ca7fca61d7036df840e30ee</t>
  </si>
  <si>
    <t>12727829121641892196</t>
  </si>
  <si>
    <t>0x21b87c773e4aeca81428ff8036880601ec62d148</t>
  </si>
  <si>
    <t>0x8cbfc13de2c3c17b0800942827b474174f0bf951</t>
  </si>
  <si>
    <t>0xc382895fdec7930001e85c195e36628ce4bb8200</t>
  </si>
  <si>
    <t>12392590725405746291</t>
  </si>
  <si>
    <t>0x4b63681c2ccaac8d7a7f2026efa9ef677e0c0629</t>
  </si>
  <si>
    <t>0x5029048dc0622030dbb61505bfebe8297a5d26ac</t>
  </si>
  <si>
    <t>39225123573868803756</t>
  </si>
  <si>
    <t>0x670351fdc1378b1d1b058be71e23a804e6927be7</t>
  </si>
  <si>
    <t>4776133144893945032</t>
  </si>
  <si>
    <t>0x9bb7ace553bf1f4541aec136f0335300c877a48c</t>
  </si>
  <si>
    <t>19479082203319904809</t>
  </si>
  <si>
    <t>0xa36e72b78d1ea07872dbf13112061decd4825999</t>
  </si>
  <si>
    <t>0xe2b4d22f74ef6b9d34aedee60c190e0831762996</t>
  </si>
  <si>
    <t>30449865528694087796</t>
  </si>
  <si>
    <t>40797622310542193461</t>
  </si>
  <si>
    <t>0x8cfa92c609f96921faf1e5eee64f64946f77113e</t>
  </si>
  <si>
    <t>0x98394a263432580442fe7699f7b0a31e819f956d</t>
  </si>
  <si>
    <t>0x4cc5817e9ee60f9f213d1f246d523ac9c0fc2ef6</t>
  </si>
  <si>
    <t>0x50c733d7f0bd9e084a46348001116d9371fb6fa9</t>
  </si>
  <si>
    <t>0xcd81d8799afdf1af36497c84dbbca4eb7ede5a2c</t>
  </si>
  <si>
    <t>34836623627760134048</t>
  </si>
  <si>
    <t>0xb368e11d1214fc5d5cb1ee103325c6ef5c9f2122</t>
  </si>
  <si>
    <t>48001196581191003290</t>
  </si>
  <si>
    <t>0xa0a146c6639382c727ff7a75b49b2d9ce924163a</t>
  </si>
  <si>
    <t>0x27749cbbab7b4f544ff23ae159a52cc621ec37eb</t>
  </si>
  <si>
    <t>32118571373078938071</t>
  </si>
  <si>
    <t>0xf4e940c119d2379c5cdcf25e893e32cf683f4824</t>
  </si>
  <si>
    <t>47805384456280131473</t>
  </si>
  <si>
    <t>0x1a7bc3953662bff98cd90dc5929f61c5b8892e14</t>
  </si>
  <si>
    <t>9098592183705221128</t>
  </si>
  <si>
    <t>0x3731696c9b5098beacf8dd03ac00c30bba979806</t>
  </si>
  <si>
    <t>0x6e148350f29951dda162993ab91d8089255b1741</t>
  </si>
  <si>
    <t>45026424037532822666</t>
  </si>
  <si>
    <t>0xcd43e26106b2950d8db1aa0438c0ac332b5dc960</t>
  </si>
  <si>
    <t>12348021087958770391</t>
  </si>
  <si>
    <t>0xede5946891362b7649644bf555a4cf0dec00d9a4</t>
  </si>
  <si>
    <t>9653657996669834226</t>
  </si>
  <si>
    <t>0xc2bc41d2d77767da12b11b9408d6ee6e58dbc085</t>
  </si>
  <si>
    <t>0x6969c2b2633cf85c110b856b9bcd5642772d9fdf</t>
  </si>
  <si>
    <t>45474032965206053590</t>
  </si>
  <si>
    <t>0x713f2edc95aa1462666fb8ebafbca65c5d913a7d</t>
  </si>
  <si>
    <t>9639519240805175344</t>
  </si>
  <si>
    <t>0xa41c5164662e73283657ffa0a46f93c28f3b2a28</t>
  </si>
  <si>
    <t>703033937428413343</t>
  </si>
  <si>
    <t>0x60c8d56b0add0c389642e2a63c8ce7ba44bf0466</t>
  </si>
  <si>
    <t>0xff9413e1e252badae3086d415f3674ecb5440e3f</t>
  </si>
  <si>
    <t>11652874289883676070</t>
  </si>
  <si>
    <t>0x48f202f220e30a6cf9dd655cf10b08564ba4a025</t>
  </si>
  <si>
    <t>0xd7f4afedd1a47b016ba122920a7e9c3ac2bb810d</t>
  </si>
  <si>
    <t>9113586673374929030</t>
  </si>
  <si>
    <t>0x9165111a736c9b1d291c1ee8d74a36ce896ae6a0</t>
  </si>
  <si>
    <t>0xe33f758edcebb71de409e9580469948ff62f6884</t>
  </si>
  <si>
    <t>1092929632106010889</t>
  </si>
  <si>
    <t>0x435b1176860f5f4f96f64ad8f393b4c69cb907a6</t>
  </si>
  <si>
    <t>0xe0a6c2f26944b3762f7feaf520672f79bba488e1</t>
  </si>
  <si>
    <t>0x4a69a15d865019ad1a3cbbcb0ce28dd500c2e592</t>
  </si>
  <si>
    <t>21224818240264289583</t>
  </si>
  <si>
    <t>0xffe6a20ea233a168dcc3351a951f9235d41d6729</t>
  </si>
  <si>
    <t>0xbd32be0b544f744d51399eba334bd1d78dbdc965</t>
  </si>
  <si>
    <t>8909395908877167505</t>
  </si>
  <si>
    <t>0xf8061c71466ff8629ae97f32a6389d0acc0f0721</t>
  </si>
  <si>
    <t>46730675917146842692</t>
  </si>
  <si>
    <t>0x497e009415666957675490f639d6a00281f01702</t>
  </si>
  <si>
    <t>38264810997342894896</t>
  </si>
  <si>
    <t>0x70ad4fb3c9b2fa3dfd5eaaf98e058e121e23e7d0</t>
  </si>
  <si>
    <t>46438162438161547613</t>
  </si>
  <si>
    <t>0xcfd2fe3eeac24e96409ec53c4c8f8538eb10462d</t>
  </si>
  <si>
    <t>0xe30d70b7ff15592fac44b8bd7cfd29f99c2c3b28</t>
  </si>
  <si>
    <t>3662832213623808788</t>
  </si>
  <si>
    <t>0x2add0d1f79d881854ae4de523d32fa1b267b2d21</t>
  </si>
  <si>
    <t>0x9b5c72f5e23e7b8118c2b47890e6f1d80584e688</t>
  </si>
  <si>
    <t>41500663480094245491</t>
  </si>
  <si>
    <t>0x42b8cc92723ab32c19779a744fd8f096b8110831</t>
  </si>
  <si>
    <t>0x4ebbb58e28d20eba8745af89328e41b4b022209b</t>
  </si>
  <si>
    <t>0x9a41ae4e4b270be1d5d521f6e599e18501c322b1</t>
  </si>
  <si>
    <t>0xed33129e63d4a00e1391cf66febaf4edbded851d</t>
  </si>
  <si>
    <t>8892397704336123427</t>
  </si>
  <si>
    <t>0x961dfd9168aa44cfc0b7e34fff815848eaa7c578</t>
  </si>
  <si>
    <t>0x7fa78b1e53c79d3687ba7972428dd104c4ae6795</t>
  </si>
  <si>
    <t>12454467791748383119</t>
  </si>
  <si>
    <t>0xaaae5e021c2a5d3394492d531467c08c349333f0</t>
  </si>
  <si>
    <t>8475448562900574150</t>
  </si>
  <si>
    <t>0x076739d853a20c9f33ce01a69af034f82b9f9bcc</t>
  </si>
  <si>
    <t>10429831937934248704</t>
  </si>
  <si>
    <t>0x7e4a58877c70bdfc29c42990b7255a49ea028f36</t>
  </si>
  <si>
    <t>11825565616332969638</t>
  </si>
  <si>
    <t>0xef964526514e0e94909f959ab6ad73e9878b9333</t>
  </si>
  <si>
    <t>29204267504699907735</t>
  </si>
  <si>
    <t>0x605981cfc1a070f08fcf206e258458836251c429</t>
  </si>
  <si>
    <t>1262434317724365027</t>
  </si>
  <si>
    <t>0xbaa05f5cb4291a072f037b5284eec4deabfc73dd</t>
  </si>
  <si>
    <t>32626109959791499135</t>
  </si>
  <si>
    <t>0x4d061713f112100fbda4c7d4d8e82000ad90267c</t>
  </si>
  <si>
    <t>0x5104ddb7afc82108d0d372ded5dfb431a206ee54</t>
  </si>
  <si>
    <t>0x899a2f83acf2c8e270dac9c5547760442b49cb38</t>
  </si>
  <si>
    <t>0x1acef236514278e8c7e0f899365e715822b57872</t>
  </si>
  <si>
    <t>3468088749459974577</t>
  </si>
  <si>
    <t>0x930a47e6f466802856a8aafa3bbf8588992a240a</t>
  </si>
  <si>
    <t>0xb719a46b5127184a2db02ea4d714754b4cd8fb74</t>
  </si>
  <si>
    <t>0x0a0a72be217656ddddde6908ee0a5fe4e8eac8e9</t>
  </si>
  <si>
    <t>0xaccc07936c70c86ea6338652013a9cb9f41423da</t>
  </si>
  <si>
    <t>0x562a2145d7cda12187f222127ac0ac390df93afb</t>
  </si>
  <si>
    <t>19368562893727448881</t>
  </si>
  <si>
    <t>0xb9195745bf50378007ff929a7b723ec76e98aeda</t>
  </si>
  <si>
    <t>0xdf13a4641b84cfd35f8eb36d961cb34f211e1e4c</t>
  </si>
  <si>
    <t>9398549108563246010</t>
  </si>
  <si>
    <t>0x86b948d4ae188424f451cdf285443ca169ff8fb4</t>
  </si>
  <si>
    <t>0x8fe93990498823d700b97471025c663c014556ea</t>
  </si>
  <si>
    <t>14586025386884659569</t>
  </si>
  <si>
    <t>0x555872105025352cadd475e19ceb753bf0b0606d</t>
  </si>
  <si>
    <t>0xf48b5cb6ab6bb287c598df2b937c135b48de69d7</t>
  </si>
  <si>
    <t>0x90c4bf2bd887e0abc40fb3f1fad0d294ebb18146</t>
  </si>
  <si>
    <t>0x4e6dc8ef42c3b10e075c2d2f8be71dd1cc24df3a</t>
  </si>
  <si>
    <t>14903101184799055528</t>
  </si>
  <si>
    <t>0xd29e7276f2a20bd338c7f7457bd7f64c02bdfbe1</t>
  </si>
  <si>
    <t>39366895974044608297</t>
  </si>
  <si>
    <t>0xcd027c62680056a228a167aeb74255f3fe6602a2</t>
  </si>
  <si>
    <t>0x9aea522a4984c7dd21c0e3c25584f513ba02ba2c</t>
  </si>
  <si>
    <t>25504277545991470096</t>
  </si>
  <si>
    <t>0x2f9fea412205bad39afc7c533295768a6167110f</t>
  </si>
  <si>
    <t>39105132202025872446</t>
  </si>
  <si>
    <t>0x4fca2ceae9b16ec48318b891164676c7201fd571</t>
  </si>
  <si>
    <t>0x389991c9ec843f553034507e692f38d688842dc5</t>
  </si>
  <si>
    <t>195249055097363601</t>
  </si>
  <si>
    <t>4470411867152032299</t>
  </si>
  <si>
    <t>0x5323562731a2211ea3104a4efe7f6a1f1aee1e0c</t>
  </si>
  <si>
    <t>0x97ce674109bf84cdf4e6b8ca186add9cf854aba5</t>
  </si>
  <si>
    <t>9066425853885368671</t>
  </si>
  <si>
    <t>0x5e0490023392d1b63cfb8f41e3dbbf9e80c7443f</t>
  </si>
  <si>
    <t>0x09bf1d41824ab27a9c38b8454339962eb45e1f05</t>
  </si>
  <si>
    <t>0xa75fdf0385943e17565a0b9d49654f6b4feb9e11</t>
  </si>
  <si>
    <t>0x369905fd5b412050943484d268a682b2893025f1</t>
  </si>
  <si>
    <t>14044476790559072977</t>
  </si>
  <si>
    <t>0x168b761193ad0989ac5fe22b6765a516796aff58</t>
  </si>
  <si>
    <t>0x06b5d9f25a5188515beeb2c77df860b121f95287</t>
  </si>
  <si>
    <t>0x25ee7aa1c12d73631a9155fed9816685a2a72bdf</t>
  </si>
  <si>
    <t>0x75ab8b0ebf4c6b8ca754b458fb6c644172e3969d</t>
  </si>
  <si>
    <t>0x53520968e284e9208699476ab289d7cded678bb1</t>
  </si>
  <si>
    <t>0x901cb34bc3639fea9769f3cc25bcb9a6828533e0</t>
  </si>
  <si>
    <t>0x83e5a29af1b3781636255c049b5eb7a44341215b</t>
  </si>
  <si>
    <t>21224215904174966593</t>
  </si>
  <si>
    <t>0x1908ba26169c9cfc5a3ed09a37113da28482d7f2</t>
  </si>
  <si>
    <t>6094868673785291555</t>
  </si>
  <si>
    <t>0x1d7ad01ba1b4e1daa20bd4c0de4d495cceeb2442</t>
  </si>
  <si>
    <t>46702193881916431033</t>
  </si>
  <si>
    <t>0x6cab3eea2799bb0c91be9faaec28e4076c763e1d</t>
  </si>
  <si>
    <t>0xe63e7c1055aef17d89c11e4317d5bc602d71f33f</t>
  </si>
  <si>
    <t>0xea8377bfdab6489b671eeefbc599d3f46d23ca5e</t>
  </si>
  <si>
    <t>40648064409640782177</t>
  </si>
  <si>
    <t>0xd77128e2835b13649d91e594075ac9846cd54689</t>
  </si>
  <si>
    <t>0x0c7278879e010d3bac78faa21e5d173926d244f5</t>
  </si>
  <si>
    <t>9122827440099317108</t>
  </si>
  <si>
    <t>0xcf224847061cc156b2b32296f490015341c6e3ee</t>
  </si>
  <si>
    <t>21899044374963889038</t>
  </si>
  <si>
    <t>0xb6d3f44d325c35e8434bf389efd9ee83b19ded54</t>
  </si>
  <si>
    <t>12499990759826564307</t>
  </si>
  <si>
    <t>0x691c61b6a26cd7fff6e6c1604acd31d47804be86</t>
  </si>
  <si>
    <t>0x31164e7a218259c76e7b87aab237b8a0c35ef581</t>
  </si>
  <si>
    <t>48061779161423836559</t>
  </si>
  <si>
    <t>0x568e5b20ab39f5a3651d2cd42c5afaef49cc6d32</t>
  </si>
  <si>
    <t>0x9a096dee9cd3fcaf9f0f0806c1feaf176e2d5943</t>
  </si>
  <si>
    <t>0x792ff39e292d988efc05a850684b26908956a366</t>
  </si>
  <si>
    <t>10601901297912228561</t>
  </si>
  <si>
    <t>0x159646f1986599bd74ac4619c8f359d1b97a5f00</t>
  </si>
  <si>
    <t>48354238893499974156</t>
  </si>
  <si>
    <t>0xed87ed81a8d45a868be703820c2b60052dd31441</t>
  </si>
  <si>
    <t>15836140028737473385</t>
  </si>
  <si>
    <t>0xb9d766fd1289ca3661b14f4d792fd624c2bd3e65</t>
  </si>
  <si>
    <t>32579767894382827695</t>
  </si>
  <si>
    <t>0x33483ee59d3fdffafe1a60369fba9438da7ab459</t>
  </si>
  <si>
    <t>206320988879906049</t>
  </si>
  <si>
    <t>0x6e921c95e6d158364370aa3e8b9499dc921a2cd7</t>
  </si>
  <si>
    <t>38492829738963188615</t>
  </si>
  <si>
    <t>0x2474b57e180da40b63df1c30f5a147ce21690de8</t>
  </si>
  <si>
    <t>44062947129216506437</t>
  </si>
  <si>
    <t>0x89a64d05d02760cb1c8fb5848a250e464449f117</t>
  </si>
  <si>
    <t>0x5530de9b8005774ce8f01a3ba3607f38b8b56bdb</t>
  </si>
  <si>
    <t>0x152f6428542d5634cbd00878f61ed6be88803cd9</t>
  </si>
  <si>
    <t>18677914910624081599</t>
  </si>
  <si>
    <t>0xfee8c611f21cdaf8245c8e8024489357b9016328</t>
  </si>
  <si>
    <t>9818457545784748758</t>
  </si>
  <si>
    <t>0x483248f07a3a34e340e829b6424288192b3a768b</t>
  </si>
  <si>
    <t>0x2094e9d573c7de072f1c33186b4ef018a12ac6e7</t>
  </si>
  <si>
    <t>9928900363640276475</t>
  </si>
  <si>
    <t>0xb28b7980b2b3030e0905c603cffe597b0426fc26</t>
  </si>
  <si>
    <t>0x54874141b1d990bc1f81d3b3a5e2a1c35471ac33</t>
  </si>
  <si>
    <t>43682920927898128032</t>
  </si>
  <si>
    <t>0x41b5bef962950d053d81bdcdfbb7766045a4dfac</t>
  </si>
  <si>
    <t>0x3d4461895f3fbfd4af55fd5faa1aa9be73a61780</t>
  </si>
  <si>
    <t>22856399104752521764</t>
  </si>
  <si>
    <t>0xde2d5765c3d9b4c1d791116de9a674c7490291ec</t>
  </si>
  <si>
    <t>9860870050971348059</t>
  </si>
  <si>
    <t>9680507185987346728</t>
  </si>
  <si>
    <t>0xadafd2049f5e5677948e66614aa2c82408940240</t>
  </si>
  <si>
    <t>0x6de82d3d781dea738d26cd5bb69a7cfd1bc8835e</t>
  </si>
  <si>
    <t>29159123710468246256</t>
  </si>
  <si>
    <t>0xd644bebb4cfa838931e28e689be1ebf651f7d9bd</t>
  </si>
  <si>
    <t>47248473501119738635</t>
  </si>
  <si>
    <t>0x553b818cb2b8e54676edfd6c3993ca0c2de256fe</t>
  </si>
  <si>
    <t>0xdfb7922591d7c636730b550475a41018221347c0</t>
  </si>
  <si>
    <t>0x84e5d7fbb447e004469c1ebea188631f3883d3ef</t>
  </si>
  <si>
    <t>0x7ad5bbb1fb6d3e668bc4ece44646413c62bf5b87</t>
  </si>
  <si>
    <t>46511554453206229441</t>
  </si>
  <si>
    <t>0xa2e2faf691ac3f117d7ea018a7f63065f2a92206</t>
  </si>
  <si>
    <t>0x9e801b80594d05e7795b183a1fb48fb6cb78bda8</t>
  </si>
  <si>
    <t>0x0aebe928e68758b9f2681647b8c75076e8af64c3</t>
  </si>
  <si>
    <t>0xccf2f714d509dfdf6f1841d9b88b23f9f1917231</t>
  </si>
  <si>
    <t>0x18861deec1286e7e093b57d038d8e2d4f958f865</t>
  </si>
  <si>
    <t>15236455165366613585</t>
  </si>
  <si>
    <t>0xcd103c73129536b229ceb779c6b1f0b82ae28774</t>
  </si>
  <si>
    <t>6175652582078516377</t>
  </si>
  <si>
    <t>0xacb7d58c5c23b9ea51f85f50a43bfeaf37fe43bf</t>
  </si>
  <si>
    <t>0xf5652fc551f7b85d10a6413718fce7b7713ccb0b</t>
  </si>
  <si>
    <t>0xffc1a14e91702a99445ba9c5cdfa836af8788839</t>
  </si>
  <si>
    <t>0x47a439c55b282be986ea07e1b5fc81cd3fa41148</t>
  </si>
  <si>
    <t>0x827d952190910fb5d2c15ce2aa03a712da213233</t>
  </si>
  <si>
    <t>0x3064b9a8a7cba8bbce8d5cf368d3b5dffc925444</t>
  </si>
  <si>
    <t>0xb4d700dd99fd08b4b8b31edeaf7d7fd82503251f</t>
  </si>
  <si>
    <t>47688960895119144642</t>
  </si>
  <si>
    <t>0xe5f7edca0473beae009901de26373e0c705eee35</t>
  </si>
  <si>
    <t>9719920524775529781</t>
  </si>
  <si>
    <t>0x8e7716e422a3fa64cf54fd057f02a7967968132c</t>
  </si>
  <si>
    <t>0xbf137fdc3b151a202f2eefb33f56cc5b2b532597</t>
  </si>
  <si>
    <t>0xd7c619d5c77ce5880dc81fd765a43f9f6d0d6226</t>
  </si>
  <si>
    <t>9170222742958443445</t>
  </si>
  <si>
    <t>0x71e5d30de03720dd8fbe09cc0464792a8ae8aa2b</t>
  </si>
  <si>
    <t>20557644356750200188</t>
  </si>
  <si>
    <t>0xf6197223f83c9dcf19c6455b875193bfd258918a</t>
  </si>
  <si>
    <t>46043282720710285694</t>
  </si>
  <si>
    <t>0x1b44127a4943cfbc76346a93e97163a10caeaf25</t>
  </si>
  <si>
    <t>9710201833722697721</t>
  </si>
  <si>
    <t>0xd50256884311473bea3e6b870d91bef0aa79fa27</t>
  </si>
  <si>
    <t>9755665604699853413</t>
  </si>
  <si>
    <t>0x045baf52947bf81033238fb3a72efaa5dfb3d9df</t>
  </si>
  <si>
    <t>20359740347385905285</t>
  </si>
  <si>
    <t>0x1a38ddd62d0361d5856bae9ff435a8cff34648c6</t>
  </si>
  <si>
    <t>0xb39ee33b9c93d58285178b5a1e237a1151ea188a</t>
  </si>
  <si>
    <t>7323981187755674281</t>
  </si>
  <si>
    <t>0x046a020ab8e7e0b33fba87f38bd3b91a5e0f43bc</t>
  </si>
  <si>
    <t>8705542967927400243</t>
  </si>
  <si>
    <t>0xd8a5f4575a6d619a672a2b1aaa4a6aaf3edf821e</t>
  </si>
  <si>
    <t>17644565050920457220</t>
  </si>
  <si>
    <t>0x4d656779c884fdd1c406461185e302e40c533f20</t>
  </si>
  <si>
    <t>6819384337694562640</t>
  </si>
  <si>
    <t>0xe01bff36a98285cc0ff031d019e6acde76d3a8ba</t>
  </si>
  <si>
    <t>34662278289690654598</t>
  </si>
  <si>
    <t>0x26e3b8edb30fa6317b7d4054aba05563bf7a6966</t>
  </si>
  <si>
    <t>1653468787337087039</t>
  </si>
  <si>
    <t>0x2dfe1e54a1c9b6ff874da1a4390326115e6f9ef9</t>
  </si>
  <si>
    <t>0x5079efddd01d888f2d3131758e32a0e4956cc537</t>
  </si>
  <si>
    <t>0x79adb1b5ead31dcd85f68f7eb1eb434154ff2203</t>
  </si>
  <si>
    <t>0xd897b6d2c823576cdaf172cd6697c323ec71a85d</t>
  </si>
  <si>
    <t>0xfd259b5b63881c62ae364acb18752c1e84b5bd36</t>
  </si>
  <si>
    <t>0x27c50db52a0395cd981c200baa7ed57f1d57e90b</t>
  </si>
  <si>
    <t>0x9f3ae913ff040081d321973b410d1afc786bd7a1</t>
  </si>
  <si>
    <t>0x06260f95e2404b8c9ccf8722a701be72c8c267d9</t>
  </si>
  <si>
    <t>0xf4c2782dd4440c029705dde5c2566df23922cbe2</t>
  </si>
  <si>
    <t>0x7f41f4e27194d83d04b6e7312f6207c157c54581</t>
  </si>
  <si>
    <t>0xa227bb25323e2370bc26a2faa90b41a3e000aec9</t>
  </si>
  <si>
    <t>0x0a5206c6dac9fe2d4510a5e4b9bbe1faf245f6d9</t>
  </si>
  <si>
    <t>0xffdb6d24cc42455b11cf4ab9b688fb8b357d9fc5</t>
  </si>
  <si>
    <t>9057511804609793490</t>
  </si>
  <si>
    <t>0xbbe8b08a3f307cc86d2403a6742b9b16851eb666</t>
  </si>
  <si>
    <t>9672827381164418941</t>
  </si>
  <si>
    <t>0x87b1e1c121c82f9d1bda4e34ec0225d0bf153ffb</t>
  </si>
  <si>
    <t>41965211091397070997</t>
  </si>
  <si>
    <t>0x217b03d8e08f5c0fac24aec6a9737675b70e68ee</t>
  </si>
  <si>
    <t>0xaadf465695b80d5f8a1079b6646ba0bdbbaa4307</t>
  </si>
  <si>
    <t>0x32f15512417160a2bcf2b188bc52759e710bb701</t>
  </si>
  <si>
    <t>0x1e1482b4b91ba8cf4f1128c27d7ab92273304fd8</t>
  </si>
  <si>
    <t>0x3ead5c678cfa9adffe5133e72474659ab1ce7090</t>
  </si>
  <si>
    <t>24028479613088078318</t>
  </si>
  <si>
    <t>0x81ce01977af7907f993c3a034f7c7aed62b95ef8</t>
  </si>
  <si>
    <t>0x5b75488b80b6bd40e4afb66c828a600739b683a4</t>
  </si>
  <si>
    <t>18199473598301248552</t>
  </si>
  <si>
    <t>0x408c4e054a7ba972227c06477ab10f0d80f4be75</t>
  </si>
  <si>
    <t>0xde53d733e67c5666c1646d606f99d7a2a994c7bd</t>
  </si>
  <si>
    <t>0xf1483705a246ba98f807389f082c8796c3079705</t>
  </si>
  <si>
    <t>0xced39f22ac3ed6e984590f96395ad16c2c88f3f4</t>
  </si>
  <si>
    <t>0x0308b731f7d0120fa982b6e9c5e35a11333f7b27</t>
  </si>
  <si>
    <t>0x5368d69c1661b4847abb2fa0273dbb5558ec9214</t>
  </si>
  <si>
    <t>24197662432894502238</t>
  </si>
  <si>
    <t>1048679116095230534</t>
  </si>
  <si>
    <t>0xec4671ac2e9e9db3f4f0436cc3a2a4e10be8a96f</t>
  </si>
  <si>
    <t>562005305417838847</t>
  </si>
  <si>
    <t>0xfc29c96abfd861ebfc9bf9bfd4921fbbc4f1b1bf</t>
  </si>
  <si>
    <t>9524672648343326183</t>
  </si>
  <si>
    <t>0xf41741c2f690293bf5b47cdc31ca980be5a44a39</t>
  </si>
  <si>
    <t>0xd9bdbcf4c7e8bfc96686a4728c7873c4e20ab994</t>
  </si>
  <si>
    <t>42780105000179645288</t>
  </si>
  <si>
    <t>0x20aea88cbe386117df11eaf1e5d4d85689ab4b2f</t>
  </si>
  <si>
    <t>0x4b0e6f61a91421dde6d77b9b99d0a70a1dcfc967</t>
  </si>
  <si>
    <t>0xa26e6c2472413fe5536e3b4a84b785d8970a31b5</t>
  </si>
  <si>
    <t>46085851601893402758</t>
  </si>
  <si>
    <t>0x2957ffaef9604e515e2680f1980ada0cddf47882</t>
  </si>
  <si>
    <t>8022272577745429249</t>
  </si>
  <si>
    <t>0x31110fadb4401fad566606905c03d9daf3c87ce2</t>
  </si>
  <si>
    <t>0x5f6922ca4c01e51c4a601022fd21ab6ccef87487</t>
  </si>
  <si>
    <t>0x436b694d3ee8e0d45923354d3a120cc4f752fcac</t>
  </si>
  <si>
    <t>348423315855191497</t>
  </si>
  <si>
    <t>0xf717c04637471d28c689e5f05fd1f76b819a2da9</t>
  </si>
  <si>
    <t>31988903509532302817</t>
  </si>
  <si>
    <t>0x43404e8855dc6671bfaa07efa1f4992ea7167993</t>
  </si>
  <si>
    <t>46067026701149017656</t>
  </si>
  <si>
    <t>0xa761039db0d24890caae54127599701d29ded9b6</t>
  </si>
  <si>
    <t>0x91a0cacb38470b50e3117f114762f605c06a1c08</t>
  </si>
  <si>
    <t>6278312859318726693</t>
  </si>
  <si>
    <t>0xefb2821a3983a243aa83df503f9c5f08c6027473</t>
  </si>
  <si>
    <t>17794675701742467358</t>
  </si>
  <si>
    <t>0x544035d1624a71589635b9997d621462615b8967</t>
  </si>
  <si>
    <t>48256311911101038191</t>
  </si>
  <si>
    <t>47803469540843459541</t>
  </si>
  <si>
    <t>0xe0d68e3b6c640cb955295a0baec0b4b7cf0dbd9a</t>
  </si>
  <si>
    <t>0x6fc74f5b61ca113e77714d4e5ad017f281126171</t>
  </si>
  <si>
    <t>17863939599105109833</t>
  </si>
  <si>
    <t>0x3521e71512e643254024f069887d5468784c27ba</t>
  </si>
  <si>
    <t>16754944585841000097</t>
  </si>
  <si>
    <t>0x8d43c8b212dc2527e7356227890a1fc24dd047ea</t>
  </si>
  <si>
    <t>1379379435796065293</t>
  </si>
  <si>
    <t>0xba9f401b62fa8a8c56e3388c50e6360e382dd0d7</t>
  </si>
  <si>
    <t>41967245293074409924</t>
  </si>
  <si>
    <t>0x1b57cabdcd3717d5cdcd8e21b5a901f8794303ae</t>
  </si>
  <si>
    <t>0x928814b397c674a48bf20d49d0babe00983dd07f</t>
  </si>
  <si>
    <t>0x9edb3b23db4161ec25a06a2036b1620efcdceaa5</t>
  </si>
  <si>
    <t>15863772983995958709</t>
  </si>
  <si>
    <t>0x11178a0e6f92b6c0a7009ec46a1b65641dcc9725</t>
  </si>
  <si>
    <t>18747110989454709221</t>
  </si>
  <si>
    <t>0xf8335b5557677182cf6b7734a9e854ab3578acc1</t>
  </si>
  <si>
    <t>24830219731609699104</t>
  </si>
  <si>
    <t>0x9e62062440916ffa85be6086174d616115ec4cfe</t>
  </si>
  <si>
    <t>10079043930167370704</t>
  </si>
  <si>
    <t>0x63c97758e958a339509a450bc3d80bd9166d8d07</t>
  </si>
  <si>
    <t>0xca2df8acb56c73fd6a2a17d7fb31b852c90b058a</t>
  </si>
  <si>
    <t>0x2b3d1bc00e68386ac4275fb748ce6a28ecb3c35e</t>
  </si>
  <si>
    <t>10001204943721617980</t>
  </si>
  <si>
    <t>35205457656243148341</t>
  </si>
  <si>
    <t>0x83faad862fb2cd3aa828f7a795f3f559df0badd4</t>
  </si>
  <si>
    <t>0x34f2ac0dd90b768b382e981e50312333a7a1a69d</t>
  </si>
  <si>
    <t>0xf1e1ecd1527ca4891e2154f7d1d225e0cb705003</t>
  </si>
  <si>
    <t>0x3eeab3f77b370ab634b3084ddd42af7d1ba886c9</t>
  </si>
  <si>
    <t>9786723521155810823</t>
  </si>
  <si>
    <t>0xf87acaec6a9fe096e33592dbaaefb5c096ef5668</t>
  </si>
  <si>
    <t>0x7feecab005755a4c808a3150af3b0dbfb99bd88a</t>
  </si>
  <si>
    <t>0x71c0bb2717f678d567805d3ee1e1fd48788b9248</t>
  </si>
  <si>
    <t>10744566110008184890</t>
  </si>
  <si>
    <t>0x5ab8434e3528cc79a35032806157aadaf4699407</t>
  </si>
  <si>
    <t>0x62153f630ec928652ebc74caa961dd771b0a857c</t>
  </si>
  <si>
    <t>7996359938782789989</t>
  </si>
  <si>
    <t>0x8d4bb67724bde900fadf3a07271dfbee053ee85f</t>
  </si>
  <si>
    <t>0x7921780c2056488ba01ba469c1bb40151622bdac</t>
  </si>
  <si>
    <t>47073384550115118474</t>
  </si>
  <si>
    <t>0xdbec99e46622eb143582a3b41e3606654482e545</t>
  </si>
  <si>
    <t>17419395608378586004</t>
  </si>
  <si>
    <t>0xddec6b23032ee382805432dbe8c9159ab633b416</t>
  </si>
  <si>
    <t>33991516796813054004</t>
  </si>
  <si>
    <t>0x4bc2ab01d4756ae7a0d59df0109ee7656990a5c0</t>
  </si>
  <si>
    <t>0x5c541e78e4b4b0860a4187816b17b7bdc505cf6f</t>
  </si>
  <si>
    <t>44460557681305599866</t>
  </si>
  <si>
    <t>0xd282f9b70165c95fddeba9acb7914d66542f7c41</t>
  </si>
  <si>
    <t>4843690269877694814</t>
  </si>
  <si>
    <t>0x8591ae886dff75308b5cffdb6847e9ccacaf8f35</t>
  </si>
  <si>
    <t>2395910331324236753</t>
  </si>
  <si>
    <t>0x67975a056d3d96f80dcbbd7de6f03d591bc0e2d7</t>
  </si>
  <si>
    <t>25924905145061928155</t>
  </si>
  <si>
    <t>44653364728979463419</t>
  </si>
  <si>
    <t>0x0237ef81fc1fecb70268542300e2286fb74d5d72</t>
  </si>
  <si>
    <t>9364181742288218166</t>
  </si>
  <si>
    <t>0x9e3369bb0bc3f5cd4f2327c4f8235d8eaee570be</t>
  </si>
  <si>
    <t>9697363393571859749</t>
  </si>
  <si>
    <t>0x43f9f8d868bfc3a343bcab8d6081879be74bbce8</t>
  </si>
  <si>
    <t>0xc29b25a76f876be69eb85061de48140d25d4924d</t>
  </si>
  <si>
    <t>0x920961a4a7a15385c4f3328e50f76f781c71d859</t>
  </si>
  <si>
    <t>0x00cfd18861cdfb1fa3cb3a4ea868bd8ea5a11ddd</t>
  </si>
  <si>
    <t>0x27ae4fa8f8a51cb76930623879bd531f18e4817e</t>
  </si>
  <si>
    <t>105095759985883680</t>
  </si>
  <si>
    <t>0xb41b61b3b48bea12368bc7bbe09159f8a0ab12d1</t>
  </si>
  <si>
    <t>0x61168d47ec95bff7bd2ff9efa5fe5c1e435841a9</t>
  </si>
  <si>
    <t>0x202249d563a8a25e03eaa0781825eddceed76417</t>
  </si>
  <si>
    <t>9870192003837988361</t>
  </si>
  <si>
    <t>0x53dd9eb89a46156da0e9a8682aad6ad72f1212ba</t>
  </si>
  <si>
    <t>0xd7cac6e1fe3ba94bbf0e48dacafce40be01e68b3</t>
  </si>
  <si>
    <t>10391810014457113477</t>
  </si>
  <si>
    <t>0xe673dfe7b5621e7864cef6957721594db5656ba0</t>
  </si>
  <si>
    <t>17809670179099109926</t>
  </si>
  <si>
    <t>0x922175bc910a4d2a1a9a55938ec33bafccb00d40</t>
  </si>
  <si>
    <t>0x125428bc224445d9101330e5842550bf04f9089f</t>
  </si>
  <si>
    <t>0x24b4d305bebeafa4f68371194063f1a4edd8dd3d</t>
  </si>
  <si>
    <t>0xd85e6bc3e37c852e8f935ea798906f2dba20cb15</t>
  </si>
  <si>
    <t>0xae1ff4f54d1c97f432ce20c87a1d5d7ede320c9b</t>
  </si>
  <si>
    <t>0xdee8ecfd1b19abef66cd2c57e9b26a18e2ddf8f8</t>
  </si>
  <si>
    <t>0x418664714a32aaeae9113183909eb8cfbd7cf868</t>
  </si>
  <si>
    <t>0xff8f2d5ee48fcc90618b482e3730271e64af0754</t>
  </si>
  <si>
    <t>0x135c717655f544f1b4c3e26ed960d611b0e2dc15</t>
  </si>
  <si>
    <t>8873758557725802836</t>
  </si>
  <si>
    <t>0x3ba26f7cce4bdd436d2a3d1d5e3126567d3863d7</t>
  </si>
  <si>
    <t>0x983a48be321fd188e574b80fdeccefa29e487897</t>
  </si>
  <si>
    <t>0xab24d606ec1dea513a93f0cece717ce4e98c3549</t>
  </si>
  <si>
    <t>48330054178899574315</t>
  </si>
  <si>
    <t>0xe0de3c5477ccf6e3489acb70b75f2c3751212fa7</t>
  </si>
  <si>
    <t>9700380894757229380</t>
  </si>
  <si>
    <t>0x4afc7288331f37b1c8e7d6ba88e8a1daa284d631</t>
  </si>
  <si>
    <t>0xc4abbc0b2844ab76e3db900eb96eee88a78f9500</t>
  </si>
  <si>
    <t>0x99d3c91d7ab1e622de429d01572bd072bf75ec87</t>
  </si>
  <si>
    <t>0x5c9d5e03682109e2cd74ac6cc21186ba3991af2c</t>
  </si>
  <si>
    <t>9692171170959172137</t>
  </si>
  <si>
    <t>0x1b4dab1356d77aa8b10e2f1d6781f81b6d254126</t>
  </si>
  <si>
    <t>39085477723296794397</t>
  </si>
  <si>
    <t>0xdcfbb6bdf6a0b435e01b89c707560280c0d9be36</t>
  </si>
  <si>
    <t>0x3433196b4ca55476d5c7e278d1deec3a13571b9a</t>
  </si>
  <si>
    <t>3266024522076486900</t>
  </si>
  <si>
    <t>47661837689861070053</t>
  </si>
  <si>
    <t>26340442655527436217</t>
  </si>
  <si>
    <t>0xd5b6683f36f4e49c5b81afbd1039d3e539cd886c</t>
  </si>
  <si>
    <t>0x722f0176b0437fc4f13f94a828500a3f11288d9c</t>
  </si>
  <si>
    <t>13443448576969022816</t>
  </si>
  <si>
    <t>0xf74cc6d74194718b54a8d349a11001eea14c669c</t>
  </si>
  <si>
    <t>36736253220038024696</t>
  </si>
  <si>
    <t>0x2b407a49c00079bfb92401282dac2fa5bc534069</t>
  </si>
  <si>
    <t>0xb3a99217bafb0233bc185fe6e7e7bb53293aa53a</t>
  </si>
  <si>
    <t>171527313328578366</t>
  </si>
  <si>
    <t>0x2599169e2ddcaa397612bd1e9ac0605ec2ebbb0e</t>
  </si>
  <si>
    <t>0xd51b5adfdbc8169b439c63069315eef37f19e8fc</t>
  </si>
  <si>
    <t>0x5bb8a50aeb36efd77d1f66ca72bfe7169a2b3980</t>
  </si>
  <si>
    <t>0x9e85f4d94d48a3aacb57536a86f8dd31c43ea3a2</t>
  </si>
  <si>
    <t>9463200866141623802</t>
  </si>
  <si>
    <t>0x24f50041e74272b00a7b9c0947f6e8919db69aae</t>
  </si>
  <si>
    <t>0xa61c114e38ceac5bde6325956f4e808582690329</t>
  </si>
  <si>
    <t>8882156203741092596</t>
  </si>
  <si>
    <t>0x3fd3ad13b9c8fa92ef79072e74bdce92ff8b92a3</t>
  </si>
  <si>
    <t>19345718825645714060</t>
  </si>
  <si>
    <t>0x673378222175e4878f7b3bb3f99631e201b4d957</t>
  </si>
  <si>
    <t>0x82c43c713c0cc77fc50a3c1e31854f4bcf5286fc</t>
  </si>
  <si>
    <t>30115540666085817736</t>
  </si>
  <si>
    <t>0x4dac7a86340dde95d1c38fd0f23b503f50492ec3</t>
  </si>
  <si>
    <t>0x6efccf2928c267f0ddd243d9bf5c7a77c4ad0f2d</t>
  </si>
  <si>
    <t>0x7b687aae77f59da3427666fae4d5cb43e623ba3f</t>
  </si>
  <si>
    <t>0x6e312cf46084f5fc30b8e9c88c3d07408dd63020</t>
  </si>
  <si>
    <t>0xc043c68a85570a695b745fe05a64ea12789cab4c</t>
  </si>
  <si>
    <t>42261696947804127666</t>
  </si>
  <si>
    <t>0x2e5c19ea911986ffb2904370290effcabb2fadcb</t>
  </si>
  <si>
    <t>0xea5967dd8ac1325fba6a0b68213f6452fdb456d4</t>
  </si>
  <si>
    <t>967282551991933360</t>
  </si>
  <si>
    <t>0x4ec87da8a9eb1179b90d17bee3ace9fdf05030da</t>
  </si>
  <si>
    <t>0x6f7d9147a5b87e2b8036fcddfce4a9c8a2650ba9</t>
  </si>
  <si>
    <t>48283800814260780452</t>
  </si>
  <si>
    <t>0xc857e7167fc7a3ac3f45ba8b80c0cbbe6d3c2b21</t>
  </si>
  <si>
    <t>0x4d456805cd8587336178fb35feaf4edf9e9944a5</t>
  </si>
  <si>
    <t>0xfc648fc6760f8ee6452df30ad99e5a2a741ba7ea</t>
  </si>
  <si>
    <t>0x6fb59ab9d10fa2922cef198bce982c6f1f4a4756</t>
  </si>
  <si>
    <t>31871397012090671675</t>
  </si>
  <si>
    <t>0x79c3da78acb0206d1bbca5edab70f7fa04ba66c2</t>
  </si>
  <si>
    <t>0xa88d9e439cf55e77870562489b41a0e3ad772b52</t>
  </si>
  <si>
    <t>34706041580361308281</t>
  </si>
  <si>
    <t>0x56629e895d881bebb90b592a5b0f52d7e09ccbad</t>
  </si>
  <si>
    <t>0xfb9f226be23f2d5974000fd10e6fd902420a9e04</t>
  </si>
  <si>
    <t>0x6cf328695118ff4591595aec3b148a69c7e44fdc</t>
  </si>
  <si>
    <t>46323114682383721898</t>
  </si>
  <si>
    <t>0x19a23443e17d1bbfe9726202478ad891cc4f0776</t>
  </si>
  <si>
    <t>0x06c1d9063cd87004f6d4c04ac018c97871e5d2cc</t>
  </si>
  <si>
    <t>0x11c8ef848f9850bc97ee7bbb4a5c88079ca72122</t>
  </si>
  <si>
    <t>3920746249936762052</t>
  </si>
  <si>
    <t>0x597752c31cac2c3475af350caef60b579a4f01b3</t>
  </si>
  <si>
    <t>16550448084960969732</t>
  </si>
  <si>
    <t>0x2da313d5a4a2acd328538ad97f37a7d9d5d8d283</t>
  </si>
  <si>
    <t>47870588991496977453</t>
  </si>
  <si>
    <t>0xeaf218a1cc215cbcd79029348b5f96d7172872ad</t>
  </si>
  <si>
    <t>0xf22b240dd536a32459dd719a47cf6a45aee92946</t>
  </si>
  <si>
    <t>28665157933488429184</t>
  </si>
  <si>
    <t>0x3f6a7448771dd57addde86252ad06441b88750f4</t>
  </si>
  <si>
    <t>0x4ebe879492b7ff5692f05893f8470dd96cfb3bdb</t>
  </si>
  <si>
    <t>0x1cfd60cf55fe81a963960fb828b76987d7ec1edc</t>
  </si>
  <si>
    <t>9906376389281017201</t>
  </si>
  <si>
    <t>0x80dbb3a47d4b3d022efdddde9a924d347995d719</t>
  </si>
  <si>
    <t>0x879efb8b8dd32b20cf6d99a9d30f615f5683b7e1</t>
  </si>
  <si>
    <t>44076158892968209436</t>
  </si>
  <si>
    <t>0x6d5229ac3d700bd02a463b5c79f798e11c3a8503</t>
  </si>
  <si>
    <t>16986018241961535550</t>
  </si>
  <si>
    <t>0x2b7ead7e6cf29240d7df10e7b16458e8f9e53811</t>
  </si>
  <si>
    <t>9576097264720139600</t>
  </si>
  <si>
    <t>0x7977a061378927bac23a93092adf5fdde8103924</t>
  </si>
  <si>
    <t>0x0038bfd5f6c78e409e71de123dc1eb721f965724</t>
  </si>
  <si>
    <t>19476733964356041018</t>
  </si>
  <si>
    <t>0x618966bde6fa80ea5bbd428b1b11ef2bd7e50c41</t>
  </si>
  <si>
    <t>48190273671946523252</t>
  </si>
  <si>
    <t>0xf971188144f503545710b48d338b67ce3dc9e6f2</t>
  </si>
  <si>
    <t>9711274881135858005</t>
  </si>
  <si>
    <t>0xc6d1849af21de257fdfa67271d64529d5cd01881</t>
  </si>
  <si>
    <t>2205280911230731189</t>
  </si>
  <si>
    <t>0x70d72ccde6840c1b264ccfa3a6abe1b4dc117686</t>
  </si>
  <si>
    <t>18999076479108532793</t>
  </si>
  <si>
    <t>0xdfacbc551306592680a1b58c354881b4514ef915</t>
  </si>
  <si>
    <t>0x272dc42ac199962abb014e78ccbef5321dd0e645</t>
  </si>
  <si>
    <t>149805554101109298</t>
  </si>
  <si>
    <t>0x1c860f481e677d42c579494e2739a7b15ef1b49a</t>
  </si>
  <si>
    <t>0xad568f85fb863b3af02ae0a183a6c83b1b863ddf</t>
  </si>
  <si>
    <t>0xabacd24570b9cc2cf8b7937bc56ccb10afb44e85</t>
  </si>
  <si>
    <t>0x06c9b63785d21a32590c33f1957eb52fa8967c7f</t>
  </si>
  <si>
    <t>0x3be7bed2324d73951e41c4ab32cc5b7ba0ef6d82</t>
  </si>
  <si>
    <t>40675151775079523334</t>
  </si>
  <si>
    <t>0x6c11bd979a15c93869216a4eaaff2c6cfb3a5d3a</t>
  </si>
  <si>
    <t>0x0fcfd2c03dfb5d0a255f5a027c68824738f94a76</t>
  </si>
  <si>
    <t>27490348956334931792</t>
  </si>
  <si>
    <t>0x891716a78fc5b733869c9be479cc280ce86786a8</t>
  </si>
  <si>
    <t>0x4eefb5a30ed2b43d4d84099f92a9b6fac943b58f</t>
  </si>
  <si>
    <t>0x2e62efbd97ad176e7cd22924b70b58fa3bbb8439</t>
  </si>
  <si>
    <t>10511575867735760166</t>
  </si>
  <si>
    <t>0x4caa6a78550844b900977d22393f94d12f26ab63</t>
  </si>
  <si>
    <t>0x03cd2b9153a69934abe2e858598328809b8a7538</t>
  </si>
  <si>
    <t>3869130207967733441</t>
  </si>
  <si>
    <t>0x5a1870d746c45a8c66db40a6faf3dbfdd0378ebb</t>
  </si>
  <si>
    <t>5540247280886569013</t>
  </si>
  <si>
    <t>0xb521ba53dd76e6a503425d973464f6329213d2c6</t>
  </si>
  <si>
    <t>0x05e71fb639090bc55a7f8f6c7b38d492516b0c4a</t>
  </si>
  <si>
    <t>9022007797664810521</t>
  </si>
  <si>
    <t>0x9b04d3d20b9e9d8b929f01711aeed34e3b0226bc</t>
  </si>
  <si>
    <t>0xbc6a3ff2b46c78deb4465d767ba6601749d3abaa</t>
  </si>
  <si>
    <t>39164089703534233246</t>
  </si>
  <si>
    <t>0x2adc6eddffd3116ab705d207a786fe67fb1e441b</t>
  </si>
  <si>
    <t>44968170311644662468</t>
  </si>
  <si>
    <t>0xb810ded7d71b7efe88da11087bb64cd44664e2f5</t>
  </si>
  <si>
    <t>46367911286334178422</t>
  </si>
  <si>
    <t>0xe9d85f671bd562811933238ba0383b5ff9c9d803</t>
  </si>
  <si>
    <t>9554627195857757891</t>
  </si>
  <si>
    <t>0x2524d532d7c5f9650e6f35db67bb879660845b95</t>
  </si>
  <si>
    <t>29319247009855073262</t>
  </si>
  <si>
    <t>0x8102f92cf7934ee7e9e671e8219e59d2992ef37e</t>
  </si>
  <si>
    <t>9484427007890220840</t>
  </si>
  <si>
    <t>0x2e40ad33912f5bc89f0f35c8fff72c1e4f7efeb4</t>
  </si>
  <si>
    <t>28245316578441553287</t>
  </si>
  <si>
    <t>0x95bbd5217278d63ed61159f24be25eae11a14cce</t>
  </si>
  <si>
    <t>9695262548925667305</t>
  </si>
  <si>
    <t>0xa35c102e2b662123bb54995175880d1399a00284</t>
  </si>
  <si>
    <t>44450347278872702455</t>
  </si>
  <si>
    <t>0x40546d42008b63193e6db3cb0f4d68eb8f5bb2dd</t>
  </si>
  <si>
    <t>0xa19236b5578a68950681baa1dee996fb203bceab</t>
  </si>
  <si>
    <t>0x511f0cfb3bfd9fa1d58ea3f647a59081f239e299</t>
  </si>
  <si>
    <t>9781545481029204583</t>
  </si>
  <si>
    <t>0x4c5b1c7ab76288c5e491d887d3eaad9734d2ad7e</t>
  </si>
  <si>
    <t>0xa9102bb4837d7cd82d300e53803c35b450fe0326</t>
  </si>
  <si>
    <t>43666093399784081756</t>
  </si>
  <si>
    <t>0xfc78d986d5ca65c41ed20a2a7a937463e33994ea</t>
  </si>
  <si>
    <t>0x0d0406b93bb07e3fd1275e213f652d2ec94b6342</t>
  </si>
  <si>
    <t>19469782742988695235</t>
  </si>
  <si>
    <t>0xc5eea1f4cb678b679e1c7f753333a3fbb23553a0</t>
  </si>
  <si>
    <t>11567923886190350457</t>
  </si>
  <si>
    <t>0x7f37712d5ec67a363100bd8f19cbb36871de0d39</t>
  </si>
  <si>
    <t>39659639198896902674</t>
  </si>
  <si>
    <t>0x4dbbbccb4f8311cb8ae43b53b3437e731694422c</t>
  </si>
  <si>
    <t>47878933546854553733</t>
  </si>
  <si>
    <t>0x9a5a2e1b494d0fa2a36e70a7ed9faf8c7113805b</t>
  </si>
  <si>
    <t>584689327683718562</t>
  </si>
  <si>
    <t>0x59bae654c73f39f601ff2db5041bfe4e5aef73c7</t>
  </si>
  <si>
    <t>0x9ebbf453e088de4b9cc206fece5e9858c41c814f</t>
  </si>
  <si>
    <t>0xf48b698069664457ec9eac4b7e3d737eb9f46148</t>
  </si>
  <si>
    <t>0x0a0a7bbbf1b785601c0702b54a0cd8ec1697eab6</t>
  </si>
  <si>
    <t>35680272805520051416</t>
  </si>
  <si>
    <t>0xf71f93567d84fab70cd2dc5c4053cc82491e84eb</t>
  </si>
  <si>
    <t>44769182026779781917</t>
  </si>
  <si>
    <t>0xddb9432709394941b5f0e6bb8f1cb3492b43d8d3</t>
  </si>
  <si>
    <t>0xba980c9b9eac87a5b1363dcc326d9753d5ef2666</t>
  </si>
  <si>
    <t>46942304266499091336</t>
  </si>
  <si>
    <t>0xd5fd752342c46bd15a05bbf330a571499dfb8c9c</t>
  </si>
  <si>
    <t>47422597825985412144</t>
  </si>
  <si>
    <t>0x4f6753192404963ddc2c1f95080853351cbdb856</t>
  </si>
  <si>
    <t>0x74c96a0bf84cfa9f9b7d16a3f128c85755c02344</t>
  </si>
  <si>
    <t>20991913175436727761</t>
  </si>
  <si>
    <t>0xcb734039776257c70cb41687ee631b6be15bdbf8</t>
  </si>
  <si>
    <t>34241802340514440956</t>
  </si>
  <si>
    <t>0x1f45fe00eeed49270edd25252b46a93f9dce8201</t>
  </si>
  <si>
    <t>0x8ab1882333e36f4787876699288eb55fb3c2bb82</t>
  </si>
  <si>
    <t>46268892832983239455</t>
  </si>
  <si>
    <t>0x6e8161d9cc7e2ebbb874d888041947006efec173</t>
  </si>
  <si>
    <t>14454073508975748702</t>
  </si>
  <si>
    <t>0x43fe61217322bfd03118e3201ed41e0a8671129f</t>
  </si>
  <si>
    <t>0xd64f2707bc683e2c976c9eaf6e5a33eb8472940d</t>
  </si>
  <si>
    <t>9879368597158389596</t>
  </si>
  <si>
    <t>0x76810463708ee7d9aef56166a53c3b70c58d18d1</t>
  </si>
  <si>
    <t>0x0a23f39a4c8fedca82e83da7627619805c3e8e3a</t>
  </si>
  <si>
    <t>0x4c082ae1aa95d55bc0c6476565ec4384332456cc</t>
  </si>
  <si>
    <t>0x8cd791f202aaa6b4015923ab5649198981349b6f</t>
  </si>
  <si>
    <t>34616850614500863005</t>
  </si>
  <si>
    <t>0x844afc92715fc04d0dc920b0ca2f31b9963af6aa</t>
  </si>
  <si>
    <t>0x74cf028426285bdd1501492da9501761607ee83a</t>
  </si>
  <si>
    <t>24032754349935423407</t>
  </si>
  <si>
    <t>0xb7896da289abb5acb048d1b66a496d7f05713e8c</t>
  </si>
  <si>
    <t>24173900968440478227</t>
  </si>
  <si>
    <t>0xd827804a094670e0727954da19b49145ac3d9d5e</t>
  </si>
  <si>
    <t>0x55ea48c89518888bcd7a42d2b0c135094e9284ab</t>
  </si>
  <si>
    <t>0xe5c73cd01d2a9f285227e78e0986f2f30e80a01e</t>
  </si>
  <si>
    <t>0x7fea730fd1a87c4d2a0cd72d1d8ac765500e06a9</t>
  </si>
  <si>
    <t>41304826984214552274</t>
  </si>
  <si>
    <t>0x53fd0556e10370cae35c104c497c1a79b0d24774</t>
  </si>
  <si>
    <t>40625867183661201134</t>
  </si>
  <si>
    <t>0xc02cac457d65b1d0783a5221741a104c81798cf0</t>
  </si>
  <si>
    <t>0x555e460566076a16eb6a157bb141f7970a563a56</t>
  </si>
  <si>
    <t>9019828063918804527</t>
  </si>
  <si>
    <t>0xd80d5fade0d7b704c81e88fe4bb6a506376bb91a</t>
  </si>
  <si>
    <t>0x81b351514ccfb32a7f9abd51429398480bdc9cad</t>
  </si>
  <si>
    <t>0x98fb983492bc168e9d3663a5354f0029eeb7dadb</t>
  </si>
  <si>
    <t>0x907783d7cf0e5982bebb3b765d54f0ec3725c9b4</t>
  </si>
  <si>
    <t>15812019285717543053</t>
  </si>
  <si>
    <t>0x85684fe4b513a069d89e2c1cae3668fab14744dd</t>
  </si>
  <si>
    <t>0x2dfd904cf2d0823fd0f503c3271c444cac2132ab</t>
  </si>
  <si>
    <t>45885052221470850560</t>
  </si>
  <si>
    <t>0x67b4e5b368ac53580a3b4155512febbe6ba3e7d8</t>
  </si>
  <si>
    <t>0xfd5be9a052b60d642a9968302be63c489f24b0c1</t>
  </si>
  <si>
    <t>33344980879177365364</t>
  </si>
  <si>
    <t>0x6937dea4fd5896865ad1d1d07c391597542de9d7</t>
  </si>
  <si>
    <t>0xc384a7347b52891061eaa8c8f69dfae85300dc08</t>
  </si>
  <si>
    <t>29300055946817389820</t>
  </si>
  <si>
    <t>0x383bc09c214967c225db54389133c6f884b6cd04</t>
  </si>
  <si>
    <t>0x2c6072c1a6674b1c3b3eca47ed073ac5794f2994</t>
  </si>
  <si>
    <t>0x9d1602df53d89dee39ac8e466db798157660edc6</t>
  </si>
  <si>
    <t>10311537851263806062</t>
  </si>
  <si>
    <t>0x2a25d7f0f6de2f70a25b6ebc405bcceff84a3da9</t>
  </si>
  <si>
    <t>11601109581056716384</t>
  </si>
  <si>
    <t>0x039519e6b47a81276d7a4e318de4f0d60eac4ecc</t>
  </si>
  <si>
    <t>0x872f25da394885e5e6aecd47add1a518ff4a3685</t>
  </si>
  <si>
    <t>0x914dc72cb1f1968ed26dbd200b57b13935e17305</t>
  </si>
  <si>
    <t>10375961374656617893</t>
  </si>
  <si>
    <t>0xf9d345fcd2e33745eba6d852a87c0fe5b5b3f629</t>
  </si>
  <si>
    <t>0xa9abfac5193fd77f0763bd23c1226adb9809a87b</t>
  </si>
  <si>
    <t>5053491662473534435</t>
  </si>
  <si>
    <t>0xf687f52152cf58cf76ddabaaaf47b974d932ef57</t>
  </si>
  <si>
    <t>7542002431367473840</t>
  </si>
  <si>
    <t>0xb8f1db13b36dd64a7fccd21156bd9a6744be2e67</t>
  </si>
  <si>
    <t>0xefd37684ee7cebe19389138baf8564c583bcd544</t>
  </si>
  <si>
    <t>0xd080292fb0b07670fd7aaa4a4597eb7e624082b5</t>
  </si>
  <si>
    <t>0x11d82fbece5543085d9f8f8a82fc36de1a016995</t>
  </si>
  <si>
    <t>0x77d639d3708ad7278c671873374e902300eee18a</t>
  </si>
  <si>
    <t>2808716261485390636</t>
  </si>
  <si>
    <t>0x9aa29eec9adbf33418cbe9245b098a40c35b5365</t>
  </si>
  <si>
    <t>26052708137965644947</t>
  </si>
  <si>
    <t>0xe2701cfc0896709c88e1b2430860abf339c062a5</t>
  </si>
  <si>
    <t>9756927470334571550</t>
  </si>
  <si>
    <t>0x94b071242a754c62abe546c94c783c1bd736720b</t>
  </si>
  <si>
    <t>444111254962641305</t>
  </si>
  <si>
    <t>0x24896cb55f9d6e06be432c6595d91523c101ca6a</t>
  </si>
  <si>
    <t>40002605214371292497</t>
  </si>
  <si>
    <t>0xa13b501776ea14eb50fbaa23dfeecc87b72c61ae</t>
  </si>
  <si>
    <t>18600672185988018515</t>
  </si>
  <si>
    <t>0xa9fd869451a2ab398c41389e45e09f65e0603f5b</t>
  </si>
  <si>
    <t>10208658002411273809</t>
  </si>
  <si>
    <t>0xe8a81a1f9767657b11116474130acbfccb2d7f51</t>
  </si>
  <si>
    <t>0xac996af9b27de7786782d6adee104540a30e2324</t>
  </si>
  <si>
    <t>42723382559564489302</t>
  </si>
  <si>
    <t>0x57611bc2751635488c584382cb2eb4332b8a787b</t>
  </si>
  <si>
    <t>5129492383730372770</t>
  </si>
  <si>
    <t>0x465d8c8fbcf2404dcc4fa922f13a3da943f31490</t>
  </si>
  <si>
    <t>35162296022653628314</t>
  </si>
  <si>
    <t>0x4f4da17c7dee123fde36b8a6f762824273a7d494</t>
  </si>
  <si>
    <t>0xacd67c3083b9e0e2d378b1ec77d6532571dc634e</t>
  </si>
  <si>
    <t>0xf0696fb2aa16b59a7d2870bf78df01355d8a2ca0</t>
  </si>
  <si>
    <t>40687904272962558403</t>
  </si>
  <si>
    <t>0x810542f15cbfd78eb2b652873b4fbd60479fdcfc</t>
  </si>
  <si>
    <t>4739079469029765801</t>
  </si>
  <si>
    <t>0x68bd2edba0fa2e9a6640351bc6e48c17a080f2c8</t>
  </si>
  <si>
    <t>0xc089f0d12e51d5ee66e40e3b5bc9f8ae3dac006e</t>
  </si>
  <si>
    <t>0x0f3a73b5c80a0e4947e3a262b2d0a410f41c5de6</t>
  </si>
  <si>
    <t>19344672763346644516</t>
  </si>
  <si>
    <t>0x072e7fb44b55a681fbcd60caa0247dfb01b4ff78</t>
  </si>
  <si>
    <t>46253996429678198490</t>
  </si>
  <si>
    <t>0xf80049cb5e7cb89a23d17adebb2eef9705bd2a57</t>
  </si>
  <si>
    <t>19432216103495771927</t>
  </si>
  <si>
    <t>0xf5eba07635a1fb53fffc397dcae489797f438912</t>
  </si>
  <si>
    <t>0x55d77ad87e798c9fdce3763c7ce81135500fa82c</t>
  </si>
  <si>
    <t>39881603667160007743</t>
  </si>
  <si>
    <t>0x0c6896e7632949969dc980272726eee779a62572</t>
  </si>
  <si>
    <t>6369442736402449300</t>
  </si>
  <si>
    <t>0x85efa245e2252dbf74f14a5cb394c8b636f1ea0d</t>
  </si>
  <si>
    <t>8878728027160683168</t>
  </si>
  <si>
    <t>0xcda9387c6e089b89c311ef4e3af3890302bbb0e8</t>
  </si>
  <si>
    <t>32931482833017561577</t>
  </si>
  <si>
    <t>0x836ae19b15792589182b03a7d365f4022b720689</t>
  </si>
  <si>
    <t>0xf5d26c96794f338ab93dbd9311b94126c613a00f</t>
  </si>
  <si>
    <t>0x2e30937e01e823e225041464055fbdcdc25690c3</t>
  </si>
  <si>
    <t>0x4f55ccb5813177c13deaa10cdbfbc7e9fab1fea1</t>
  </si>
  <si>
    <t>12845850768540988756</t>
  </si>
  <si>
    <t>0x65c2837e800e5072216892fb802a4000ae09ed63</t>
  </si>
  <si>
    <t>5437623465445434797</t>
  </si>
  <si>
    <t>0x0a87d402874bf13bf971dbe0678d83ff28cbd5cf</t>
  </si>
  <si>
    <t>0xc29222b8581256d7c6cf1de41788d09281d1309e</t>
  </si>
  <si>
    <t>43383851647778413592</t>
  </si>
  <si>
    <t>0xbb1ce0950298e6b16fc10170e216fd7f6d416e26</t>
  </si>
  <si>
    <t>35643354755421352558</t>
  </si>
  <si>
    <t>0x8f21db31e1afed17958e1a63f9e6d15cf510bd2f</t>
  </si>
  <si>
    <t>561768347065878196</t>
  </si>
  <si>
    <t>0xbede9d90a31b45f8372090ede30603860f082bc1</t>
  </si>
  <si>
    <t>0xf8452144dfa75a4497b3bd29fc97d46c2544d2ae</t>
  </si>
  <si>
    <t>4571360737036756575</t>
  </si>
  <si>
    <t>0x95355e3cbb24d8ca3cbed3b549c1ba8335a45dd6</t>
  </si>
  <si>
    <t>16236479716375450319</t>
  </si>
  <si>
    <t>0x342de89d3de21d1f62aa877722f46612f2e93380</t>
  </si>
  <si>
    <t>40710246403258934510</t>
  </si>
  <si>
    <t>0xc5063a157362676a666a06006ae836057724651b</t>
  </si>
  <si>
    <t>0x0735a9bcafd97e03e772c4f1bc4934eb60fe4436</t>
  </si>
  <si>
    <t>12767438168114043788</t>
  </si>
  <si>
    <t>0xef9d58ec12ff9b8ddf50cdece030b07257b0fb5a</t>
  </si>
  <si>
    <t>2606589488691412121</t>
  </si>
  <si>
    <t>0x294b5883de9e327584017a42174268ddb60c7949</t>
  </si>
  <si>
    <t>10199723749796809240</t>
  </si>
  <si>
    <t>0xb4ec56717bb2097bad4e5ee636655de30c890480</t>
  </si>
  <si>
    <t>0x1fe4ae325f03d8649459aebf08f844ad6bad3564</t>
  </si>
  <si>
    <t>0x87f7f02b0ffdf7e87b5cce22371600234cac2b15</t>
  </si>
  <si>
    <t>18388944427922657597</t>
  </si>
  <si>
    <t>0x804a6535a745c860e75051ca7fe8c4fe20305861</t>
  </si>
  <si>
    <t>8718420166849911655</t>
  </si>
  <si>
    <t>0x31dd3bceb6f8fd6d944c851c963ddc7145046f16</t>
  </si>
  <si>
    <t>25157179925907396911</t>
  </si>
  <si>
    <t>0xaf33ff98776b190e13bdb6d9e806838a5da122fc</t>
  </si>
  <si>
    <t>0xcd8806f3c3b0ccaad6729d38e006488ba2830697</t>
  </si>
  <si>
    <t>0x5b3dcb8b6f75a2d163bc547d96c2c8c24973f6e6</t>
  </si>
  <si>
    <t>0x0c077f1885b5e833563303a5fa4c12aa076e5859</t>
  </si>
  <si>
    <t>0x1e29e82b0a95aeabd70ef28f2d24923362a3b4c6</t>
  </si>
  <si>
    <t>0x754439a54000b26135756cc8cc5fa5d215d4fb46</t>
  </si>
  <si>
    <t>9717906562934724243</t>
  </si>
  <si>
    <t>0x976e44f95fa02f2837e81d2ad8422909b76252eb</t>
  </si>
  <si>
    <t>11589157514498203516</t>
  </si>
  <si>
    <t>0xe0a107df7837480cd8396917085701074f3c7dd9</t>
  </si>
  <si>
    <t>39408626741970781723</t>
  </si>
  <si>
    <t>0xccaf1142744337ffcb7cfc077b282cdcf9abaea2</t>
  </si>
  <si>
    <t>46458195243385760036</t>
  </si>
  <si>
    <t>0xbffd20eafde6c5715bb169fbbbe9d04d80bad69c</t>
  </si>
  <si>
    <t>33913193462282927948</t>
  </si>
  <si>
    <t>0xc0a6ef70d7134979f0073b45014d19fb478f514c</t>
  </si>
  <si>
    <t>5666455422155917419</t>
  </si>
  <si>
    <t>0x805532216ca79a8f9dc36e8a1dd1291633fbc600</t>
  </si>
  <si>
    <t>25692085079656319900</t>
  </si>
  <si>
    <t>0x7df67073c591dfe102295a8492dde45f9b0a112f</t>
  </si>
  <si>
    <t>0x856305cabaa31b5e88b2ed50c954f9ae2554ce70</t>
  </si>
  <si>
    <t>0xb794e565a440085eeabe7806bf82366e5e7f8046</t>
  </si>
  <si>
    <t>3874682506931334043</t>
  </si>
  <si>
    <t>0x5ace64072c3b943d5901137543798cf2c6871b09</t>
  </si>
  <si>
    <t>48010244578845185505</t>
  </si>
  <si>
    <t>0x01c702f18ddcbfd980a52476ac8ff3e536db38da</t>
  </si>
  <si>
    <t>40717012270618971783</t>
  </si>
  <si>
    <t>0xed105bfa7943213c3a359b52d01f84430a87e5c5</t>
  </si>
  <si>
    <t>33854889319717667612</t>
  </si>
  <si>
    <t>0x0ef11cf06b88b664b27535fe858dd37ab4fa2e52</t>
  </si>
  <si>
    <t>0x3d5dc98ccaef7a6017707674d252364dffc5b026</t>
  </si>
  <si>
    <t>0xc7246dee8eb74a00078a0af0e9e449bea1ec12dd</t>
  </si>
  <si>
    <t>0xa230da72f6f5542a5875be432615d956ff9b3f26</t>
  </si>
  <si>
    <t>12155641978806153348</t>
  </si>
  <si>
    <t>0xfff8fe1cfaf251aa33e3105b265d2350dab9edb4</t>
  </si>
  <si>
    <t>23413239706205529075</t>
  </si>
  <si>
    <t>0x0097400f2f9c5e1bb864292a3e001b5847aa2066</t>
  </si>
  <si>
    <t>16816559918849950873</t>
  </si>
  <si>
    <t>0xfac1d0d030d764207f50857e102861d34e41d788</t>
  </si>
  <si>
    <t>36612045262221015124</t>
  </si>
  <si>
    <t>0xec745a8f066a8c5d900ae9cf2c9357b8c04335e8</t>
  </si>
  <si>
    <t>7104514403437937414</t>
  </si>
  <si>
    <t>0x5f40465f8315652d6bf03cb81964549474f28fb6</t>
  </si>
  <si>
    <t>19564844318190212655</t>
  </si>
  <si>
    <t>0x717a9221e3ab144a21c5338907ee76058e508f2b</t>
  </si>
  <si>
    <t>0xc42356fe98c7c27e2c760937f7bb3afdc9c0d6bb</t>
  </si>
  <si>
    <t>0x19f3d7883c9eaf7f99b3579fc2f52dbdc4aa8ebe</t>
  </si>
  <si>
    <t>48318225887072208454</t>
  </si>
  <si>
    <t>0xcedf32e2b4597a4819b14bb1e2e7125b5f5aa8f0</t>
  </si>
  <si>
    <t>0xf5096e4398736823ee809225b84b14bab21a5fbd</t>
  </si>
  <si>
    <t>13541955727887067044</t>
  </si>
  <si>
    <t>0x9d09cb2afe09749ff13ed37e87d3617e76ce4ebf</t>
  </si>
  <si>
    <t>0x20d6c52862d556bf23e97bb36bebff6530e676d2</t>
  </si>
  <si>
    <t>2814172760677104308</t>
  </si>
  <si>
    <t>0x47650eed555b9bb628da4d82fd71bef4fc7f9ecc</t>
  </si>
  <si>
    <t>11861824006351041349</t>
  </si>
  <si>
    <t>0xf4aa528f8983959a3dd4557932261b61c2eebb89</t>
  </si>
  <si>
    <t>0xe6f53d31f97b3fa54df91e3199421d42588e57c2</t>
  </si>
  <si>
    <t>0x6ed7e999c79263cbe017bd5edbe55cf50db43029</t>
  </si>
  <si>
    <t>0xe3609ea9ee8367b8111625023e8e0d016b55512c</t>
  </si>
  <si>
    <t>7931738258783254946</t>
  </si>
  <si>
    <t>0x1a6bde6c59f2e0168b3ac92fbc6b6da760d1522b</t>
  </si>
  <si>
    <t>0x6eaa0dc601a4c273856fdfcc51e4e4a6e6c44559</t>
  </si>
  <si>
    <t>0x2d3bb29cc0beec8ba6d55eb604b1dfd6bd43d35e</t>
  </si>
  <si>
    <t>0x3b14f5d31bdf93a53fc8b79ca27ceb59293abae5</t>
  </si>
  <si>
    <t>0x95e63abe1bae1c595113579feb3af4c75ea6d2de</t>
  </si>
  <si>
    <t>47333031229872165835</t>
  </si>
  <si>
    <t>0x5819b7f44b3e3bee82096e0f22c41b429f5d3ed1</t>
  </si>
  <si>
    <t>0x9d38cc8e8a3e73e461b5f136bad0d003a9932162</t>
  </si>
  <si>
    <t>24970752540476069569</t>
  </si>
  <si>
    <t>0x79882ab62bcef53e64315e83e61b928a6ad500b6</t>
  </si>
  <si>
    <t>31146498174140254203</t>
  </si>
  <si>
    <t>0x3b4eaa66d0b49298052a9c875adc671be39d38c4</t>
  </si>
  <si>
    <t>0xcd58b0e15564e15a430e767e0f9577456d8128fa</t>
  </si>
  <si>
    <t>0xef4ee8640376d8cf687cf8892139fbe0852c19b4</t>
  </si>
  <si>
    <t>0x7d18e9305a23b662db47853f2b7b25fe70829e64</t>
  </si>
  <si>
    <t>0xb5b724443aea2d40887d701636fe4786f194b59c</t>
  </si>
  <si>
    <t>27595347282939540538</t>
  </si>
  <si>
    <t>0xa195af4a3e88d5607e486198f52169bdb08d8fbf</t>
  </si>
  <si>
    <t>13834084800865037066</t>
  </si>
  <si>
    <t>0x4a50cd412570fd0b1740f95b04af7a3e911e6f65</t>
  </si>
  <si>
    <t>0xf86676993aeab605efcad6b2c15fc39591c2f4af</t>
  </si>
  <si>
    <t>0xeedc3c0bda52c2589a228e5cc7bda2651ccc894b</t>
  </si>
  <si>
    <t>19229248171767213765</t>
  </si>
  <si>
    <t>0xf6f51ebbb2bb2cd06cb970433b7148d761f1fb15</t>
  </si>
  <si>
    <t>0x7e07bf3da50d059f879ed1d518a0d7ae0c173d28</t>
  </si>
  <si>
    <t>43967618604332577617</t>
  </si>
  <si>
    <t>0xb3cdcf03246913e8c8d9764f3ebe73be73f454ac</t>
  </si>
  <si>
    <t>44022062694181394005</t>
  </si>
  <si>
    <t>0x7801ec36c09518b45a4a38d209d03efcc89aa7eb</t>
  </si>
  <si>
    <t>0x5b9df991ef0446589d16ddfceb96c32d534e0b16</t>
  </si>
  <si>
    <t>43800579240342363592</t>
  </si>
  <si>
    <t>0x78f64a5c3ea827c8a41fd76a2c59cac11ca17152</t>
  </si>
  <si>
    <t>0x6d81990bb581c2d1baf7a4a8d217c43fa7781119</t>
  </si>
  <si>
    <t>0xb30a40526900cb1bcb425605f73c942fb1dea247</t>
  </si>
  <si>
    <t>9910587912941170116</t>
  </si>
  <si>
    <t>0x95e6e5453673ec7db93e2466ef7160b514c6dce4</t>
  </si>
  <si>
    <t>0x2f595c056e785e13579128df27cad2968d034ba4</t>
  </si>
  <si>
    <t>0xf1441875c91d234332ac605933ded799916393c1</t>
  </si>
  <si>
    <t>0xf18eeae10ea42eaaea93fce5cf61d79ef7a79c99</t>
  </si>
  <si>
    <t>0x915d4683bfead0c0d6ecac0f60f7ff13f1e66c2a</t>
  </si>
  <si>
    <t>0x46b7e0a30abf5143ee629e02bb3abb9169ba7ecc</t>
  </si>
  <si>
    <t>0xb91234ac62e578292bf73526df379c0ed0aa34db</t>
  </si>
  <si>
    <t>1287799304315554781</t>
  </si>
  <si>
    <t>0xd4cdc965cdf5ea70d60f1153dd71f1c13bcfbed0</t>
  </si>
  <si>
    <t>48199752898196217320</t>
  </si>
  <si>
    <t>0x56943e2eb6e87a06299f663e605bb81aa1bc6fbe</t>
  </si>
  <si>
    <t>0x0b9ffbbd8ef8299ec9e7cfb8be39913c6fe18d56</t>
  </si>
  <si>
    <t>43176894903283736460</t>
  </si>
  <si>
    <t>0x05b482c540184478a4fabd32270cc294b9295dc3</t>
  </si>
  <si>
    <t>11752855187124975018</t>
  </si>
  <si>
    <t>0xacb89aed19e456ee94a2b15ca024ddfc4cd21c50</t>
  </si>
  <si>
    <t>6788970561148469669</t>
  </si>
  <si>
    <t>0x16976ae2da4df2cc55b4534e19b40487b6459b67</t>
  </si>
  <si>
    <t>0xb8309ec42cf0a56db898af310ab442de270cf670</t>
  </si>
  <si>
    <t>8967348509970326875</t>
  </si>
  <si>
    <t>0xdc99161c045494798476390359d3798575dddde0</t>
  </si>
  <si>
    <t>0xda620adccb2dbdd0041175ed5e8b3e32f518a55c</t>
  </si>
  <si>
    <t>0x26d81be9cb73b4b63f4092c1c8a6e2df78a91df5</t>
  </si>
  <si>
    <t>0x8d9f695709719f13bd5449664c1c21cda22e82dd</t>
  </si>
  <si>
    <t>47270085695196326068</t>
  </si>
  <si>
    <t>0x0a330bcf24d250242b80ec9d7fdba310ff03f3a6</t>
  </si>
  <si>
    <t>3539947977371314856</t>
  </si>
  <si>
    <t>0xf9133d34b4b25ee9f785868a985a7694fcaf81f0</t>
  </si>
  <si>
    <t>20180306354289407842</t>
  </si>
  <si>
    <t>0x315215c997233037df46958fc52989cd3585314e</t>
  </si>
  <si>
    <t>18872926662525255214</t>
  </si>
  <si>
    <t>0x3e643341c24f7e2212016cd8932b08c961b3694e</t>
  </si>
  <si>
    <t>0x39f58878f8d09d417547fec123f76bf7c800d055</t>
  </si>
  <si>
    <t>9724871618999738063</t>
  </si>
  <si>
    <t>0xc26cdf1c5457ce8e6a1375d7d3929d3a2cb0463e</t>
  </si>
  <si>
    <t>19642568304413358396</t>
  </si>
  <si>
    <t>0x5c57f751ca087e096abdee3b52d544cc8f4b39ae</t>
  </si>
  <si>
    <t>17480218087629615933</t>
  </si>
  <si>
    <t>0xa0157d435b6337c92ba7dd47bd5068cfe7f17139</t>
  </si>
  <si>
    <t>48342691575900847735</t>
  </si>
  <si>
    <t>0x7c5f4b48ef1b3e326505b736fd3729ef199acbf0</t>
  </si>
  <si>
    <t>9917833674169690042</t>
  </si>
  <si>
    <t>0x86c9e84cfb42063f3c101be3087358edb77ee51d</t>
  </si>
  <si>
    <t>41528291559508202801</t>
  </si>
  <si>
    <t>0xd70d6d3fb31374305c9c9623f51b721e3a5fdc7d</t>
  </si>
  <si>
    <t>10621918028056260941</t>
  </si>
  <si>
    <t>0xb422e3271e70009d68bd45d61321fb5e49daf427</t>
  </si>
  <si>
    <t>0x5f227ead31615e119bee7381e184befd22d31f3c</t>
  </si>
  <si>
    <t>8668470037123838</t>
  </si>
  <si>
    <t>0x907b9c10ce7604ac5a40f7c8e71d6538b1fd76d4</t>
  </si>
  <si>
    <t>0x7b2f6c8caf4ecd9110c52b9c6fa073d4cb042c42</t>
  </si>
  <si>
    <t>0x237910d85ffd234ec667e42650753d8be40c0a24</t>
  </si>
  <si>
    <t>0x1e6180a951e82a09fcfffa7c3647d85fd6bf4572</t>
  </si>
  <si>
    <t>2929366170927737090</t>
  </si>
  <si>
    <t>0x75175e8304db8d0bf57b571a99c9ca4e1cd8d4fa</t>
  </si>
  <si>
    <t>0xbd58d504978152c9721e83a9475abf05c8fdf9f4</t>
  </si>
  <si>
    <t>48339163676473680700</t>
  </si>
  <si>
    <t>0x08fd006ebc24e1d4a326296c4bb1da322f0a8066</t>
  </si>
  <si>
    <t>44534280300741582604</t>
  </si>
  <si>
    <t>2864359017864207653</t>
  </si>
  <si>
    <t>0xaec5b152d40a5373b0430cbe85d98de013d17dcd</t>
  </si>
  <si>
    <t>0x880fb66b565e9a7ae539efd781b4c0ce995f0339</t>
  </si>
  <si>
    <t>0xc91e1fe38681e86dfbafd1f8b78ec421f7c3f880</t>
  </si>
  <si>
    <t>0xf062921a1ff8becc04705789afcb94763fd60cd8</t>
  </si>
  <si>
    <t>42813846519847404744</t>
  </si>
  <si>
    <t>0xf6792aa197c4bc6a1d80c3ca3009592db47f6923</t>
  </si>
  <si>
    <t>0x5095cda21175ebd99efedd31226347de850a53da</t>
  </si>
  <si>
    <t>10190458464404651760</t>
  </si>
  <si>
    <t>0x357a403636a6a95bb31b4be3a798a49a87502a8f</t>
  </si>
  <si>
    <t>1544656071368581137</t>
  </si>
  <si>
    <t>0x85d2762ee705c69cce22d940cd111e04de3f61b0</t>
  </si>
  <si>
    <t>0xd7e51bfe897160b62556874296ea925801a0e909</t>
  </si>
  <si>
    <t>0x3721df05b632f15c463118c3f2a176d573a3e55e</t>
  </si>
  <si>
    <t>0xad78f00a90778feab93bee2b7744094ce544bbdc</t>
  </si>
  <si>
    <t>42992379696247562377</t>
  </si>
  <si>
    <t>0xe4bab81653e0c351d98c52d46305830ed23abba9</t>
  </si>
  <si>
    <t>4788293400762689140</t>
  </si>
  <si>
    <t>0xc2cf21e9ee90587fbb26a56bc489cedf2482cf7a</t>
  </si>
  <si>
    <t>0xa178d98a12e21d0fe7f3309640ac9c1622a1f67c</t>
  </si>
  <si>
    <t>0xfdb2420e4b9011029ac1fb6a09a96f5b807f9638</t>
  </si>
  <si>
    <t>28879437004352958451</t>
  </si>
  <si>
    <t>0x96db40d544bfd57cd9612dabacebb666d1d81bda</t>
  </si>
  <si>
    <t>2729242734750894750</t>
  </si>
  <si>
    <t>0xbca7f311127e2d550849fbd01b3992467729b14b</t>
  </si>
  <si>
    <t>0x0c56a4db80cf27c278ddfe6419e99c8c304c10f4</t>
  </si>
  <si>
    <t>0xc17df4c5d48acfd2512cb5bdcd39fb9bc4e6036c</t>
  </si>
  <si>
    <t>0x2e6ab1b26c6a8763719d7aefead6611b11ccb1dd</t>
  </si>
  <si>
    <t>9822016883055594546</t>
  </si>
  <si>
    <t>0x65c17e13b5e26c2f95fb9082e347d3c448f0416d</t>
  </si>
  <si>
    <t>8673924971325519960</t>
  </si>
  <si>
    <t>0x4efa29c10092d73e616c48a968f1b18944d78153</t>
  </si>
  <si>
    <t>0x0fc0ca2d4943aae688642e35c7f63eeca9c3f33b</t>
  </si>
  <si>
    <t>10795807391954868470</t>
  </si>
  <si>
    <t>0xc3acc284b19a17e4e8fdc3e8d9c1858299b44e88</t>
  </si>
  <si>
    <t>0x3185c0d210449200d83f6fdb77eeda547562743e</t>
  </si>
  <si>
    <t>0xb8e78e05420e7e678cf830bb6f9774be72208d5e</t>
  </si>
  <si>
    <t>0xfa0ff66fca619f01fe7b5917e49605d5d31ab9e3</t>
  </si>
  <si>
    <t>5001370309959929768</t>
  </si>
  <si>
    <t>0x41d43ea3416d23fca245407b5b474423ea2fdd69</t>
  </si>
  <si>
    <t>0x6c5b9d3e3f6e8d28b0a27bd8aabe8e160370d521</t>
  </si>
  <si>
    <t>0x3d19fecb5810974cccb29d110e29e8b34509d357</t>
  </si>
  <si>
    <t>0x665e617106637aec39d92f89168dbc3941f8f0a2</t>
  </si>
  <si>
    <t>45840918554909729192</t>
  </si>
  <si>
    <t>0x040ad321a438ab2fcb8bae04757a13c4b058515b</t>
  </si>
  <si>
    <t>41037527761973853201</t>
  </si>
  <si>
    <t>0x88d2736f4288d61b9cd28297b8f4725633c95691</t>
  </si>
  <si>
    <t>0xa0505b378a28e286a5771ecec63cba0f84cd7a46</t>
  </si>
  <si>
    <t>46682221082499130774</t>
  </si>
  <si>
    <t>26672310462655682187</t>
  </si>
  <si>
    <t>0x02f9fcd9a7ae99f02a7c0db1cbb74096e70c21ff</t>
  </si>
  <si>
    <t>0x43bff9ac858e1f79df9e60ead026db3796148896</t>
  </si>
  <si>
    <t>0x34fb48e584eaf21816d5a43acdb41bce7cb27886</t>
  </si>
  <si>
    <t>48171557488163645116</t>
  </si>
  <si>
    <t>0x30be61a4932e6656f69814209c67e3c2c9cc2988</t>
  </si>
  <si>
    <t>0xa3e7457240f0b624a5565d49f049de7eacc40483</t>
  </si>
  <si>
    <t>9464602025270295655</t>
  </si>
  <si>
    <t>0x8923d3ef9aa2785601bbb0046242be864897d15a</t>
  </si>
  <si>
    <t>0x347545b9406a0732f570a82e0de918ea36a1508c</t>
  </si>
  <si>
    <t>0x51781a76f22eba134ac6e101ab2b9c8bf7cb2f48</t>
  </si>
  <si>
    <t>0xeda3190792aec036a8aa27c06aff2d6bf117505b</t>
  </si>
  <si>
    <t>0x4a3fee8bb8ab242e3123cb7499fe6a929758dc1c</t>
  </si>
  <si>
    <t>32132759293213793088</t>
  </si>
  <si>
    <t>0x52faac29743102ad97b50cf658ba507aba8571c1</t>
  </si>
  <si>
    <t>42011222523139197528</t>
  </si>
  <si>
    <t>0x8902e4226188cc23e59d57a250ab37824fd8155a</t>
  </si>
  <si>
    <t>2294962173661044479</t>
  </si>
  <si>
    <t>0x047efa55dd79ed8c19693a407d3653e3edb1dcf9</t>
  </si>
  <si>
    <t>0xec1dfb14452a1513dcd56ae1b2d25a4021ab8ec8</t>
  </si>
  <si>
    <t>44422870715188436227</t>
  </si>
  <si>
    <t>0x0849241c529fcd76b4266ea2b86e11dce39ddb0a</t>
  </si>
  <si>
    <t>0xfad957bd7335727eaab80ae296ee8b03c502880b</t>
  </si>
  <si>
    <t>9733321925314127968</t>
  </si>
  <si>
    <t>0xfe395fd2a8167896bf8ffe6284a16732c87ee0b4</t>
  </si>
  <si>
    <t>9858767317996970276</t>
  </si>
  <si>
    <t>0x80f63c7c2ee4e50ee385887459c5764cfeb9a5e9</t>
  </si>
  <si>
    <t>0xdc7e31b985cb5d6cc97045c0b2334717c0c5d3d1</t>
  </si>
  <si>
    <t>0xce52f81f72e8b3f3647fe7b787b4d342bd9ec53d</t>
  </si>
  <si>
    <t>37440195522861508537</t>
  </si>
  <si>
    <t>0x8e11972e2d76b8fae1e6c4198dc36c668db75bb1</t>
  </si>
  <si>
    <t>23798664185232779659</t>
  </si>
  <si>
    <t>0xa7fd215d03eabe863a94980d975397b82a0d4378</t>
  </si>
  <si>
    <t>18418925649447052045</t>
  </si>
  <si>
    <t>0x3d3823a1dac2a83db009c4ea03b3018ad25217eb</t>
  </si>
  <si>
    <t>0xb018f978d7d6de47215c55f3be381105ceae9533</t>
  </si>
  <si>
    <t>0xa7baf02462f0772d14b4970ec932149d5d775a3c</t>
  </si>
  <si>
    <t>3923880102357672003</t>
  </si>
  <si>
    <t>0xca0bee533c17edd271524f08a667ef98e649ab7d</t>
  </si>
  <si>
    <t>11929758778974657503</t>
  </si>
  <si>
    <t>0x2f35ebc7a51413677cb52194138c222eea6404f0</t>
  </si>
  <si>
    <t>0xdb39103e6a1eb17d8ff5ce79c36861163aaccf79</t>
  </si>
  <si>
    <t>0x4221e2a5009f4451a308a472a814da88ea46052b</t>
  </si>
  <si>
    <t>46153976891717546103</t>
  </si>
  <si>
    <t>0xfc6ecec7999c081a969b2b07bdea19cfb52160e0</t>
  </si>
  <si>
    <t>0x13b10ea9c71cca4376a9bbc155988d17e82b4784</t>
  </si>
  <si>
    <t>0x1dbe50359de6a94df76b42b8721c442c670d954e</t>
  </si>
  <si>
    <t>0xcf43e9a2f9ed4810de89ae08d88445d8ccf63ab1</t>
  </si>
  <si>
    <t>0x24433358bb53446743534775f158062b06be4754</t>
  </si>
  <si>
    <t>9819477232416647562</t>
  </si>
  <si>
    <t>0x1d41cb6b809d25bc3ddd7f51635facfa4a8a3a98</t>
  </si>
  <si>
    <t>45015549593937792761</t>
  </si>
  <si>
    <t>0x3c42e7a6c3e3424242a0576efb0ecc265c0364dc</t>
  </si>
  <si>
    <t>0xe0d30e989810470a74ab2d7ebad424d76ffa8cdd</t>
  </si>
  <si>
    <t>0xc485a40c286182e4767d1cf382c382011dd82bf6</t>
  </si>
  <si>
    <t>23565344677519138031</t>
  </si>
  <si>
    <t>0x7564e32f519ff91a789c5fd3700f627b0ed89764</t>
  </si>
  <si>
    <t>0xca9d8a8839301ecefcd23ec33337488d9943e99f</t>
  </si>
  <si>
    <t>9657762991321454848</t>
  </si>
  <si>
    <t>0xda7c6a6c88a02f71dd95a8bd39051aaeda8f2d15</t>
  </si>
  <si>
    <t>0xf8f92e8afc166c8b71a1f66f086b9767ac5ffa39</t>
  </si>
  <si>
    <t>0xa680855050ce0bb3868a413c01e0d75965a650d0</t>
  </si>
  <si>
    <t>26536667473411642502</t>
  </si>
  <si>
    <t>0x95b03c40bb42674bf1042a30aa2130de0dce11bc</t>
  </si>
  <si>
    <t>0x2abe38fc046a662817c76e148d4c5281831fd02f</t>
  </si>
  <si>
    <t>23467760935950869675</t>
  </si>
  <si>
    <t>0xba461a93e4a5fd822ecb23f2e62a20b1f37924b7</t>
  </si>
  <si>
    <t>0x4bf5ea109f600fffbff71923d18787bbd7895402</t>
  </si>
  <si>
    <t>0xbf526733de167849119f04db123a809d81880145</t>
  </si>
  <si>
    <t>0x2066c6436ae796ad892547bb8a3a813bea5d526b</t>
  </si>
  <si>
    <t>9140832426670270622</t>
  </si>
  <si>
    <t>0x29f2a6eb0999f0f696d42aa6f2acc5bbd07da85c</t>
  </si>
  <si>
    <t>21721989588728535471</t>
  </si>
  <si>
    <t>0x3748a8a791118083b59938899313009e97b381c0</t>
  </si>
  <si>
    <t>48296212065255727916</t>
  </si>
  <si>
    <t>0xbab0e06613931b999f247fa655b07988c687a5df</t>
  </si>
  <si>
    <t>4639695224783117828</t>
  </si>
  <si>
    <t>0x875b025f857fee359388788b1513ff34d8dc8645</t>
  </si>
  <si>
    <t>0x10ca9447713b15608b98542df6ef27848ed065d3</t>
  </si>
  <si>
    <t>3013230924109959718</t>
  </si>
  <si>
    <t>0x099d2f8a1462eed24eb838bbf344f79a00a4d8ff</t>
  </si>
  <si>
    <t>0xd779d7078892d2adffc85293b4632cfa36332d38</t>
  </si>
  <si>
    <t>0x62e219d5a8965e1ada920b578d743ce3507fe7f4</t>
  </si>
  <si>
    <t>47899904313844391403</t>
  </si>
  <si>
    <t>0x98bc0197208c6dd4c4c5b9a2a5fb8c73775decdc</t>
  </si>
  <si>
    <t>0x3e4206607125cec13be9f48e95b8b95138393e7a</t>
  </si>
  <si>
    <t>4187599311359162564</t>
  </si>
  <si>
    <t>0xf6193ab4d4bd0a2ac34b31dbe11a5b0017535a20</t>
  </si>
  <si>
    <t>0xe1442612771a25b1bfc13bce6f827ad4c75e6d88</t>
  </si>
  <si>
    <t>0xf3db189c6aa382f5d9dbc3f7251e9a463be06619</t>
  </si>
  <si>
    <t>0x7722c40e82598a88106b82d18d6378c7b934df2e</t>
  </si>
  <si>
    <t>4117388463607877484</t>
  </si>
  <si>
    <t>0xdf39aadc0240a8f3d82ab6ac7e40801eff215137</t>
  </si>
  <si>
    <t>0x2ecc2f4bb86cae1634d88288c6cf17fd091b27ec</t>
  </si>
  <si>
    <t>0xf64213489394ba1e9418400e6ba5160f6064a4c0</t>
  </si>
  <si>
    <t>9723320035106433796</t>
  </si>
  <si>
    <t>0x8092087dae9df2e69883008a1a50a9cd663414e5</t>
  </si>
  <si>
    <t>46914105379168013789</t>
  </si>
  <si>
    <t>0x5ef8a08b60b6955bc0b44c3743ede83b65e0e529</t>
  </si>
  <si>
    <t>13961227117794660041</t>
  </si>
  <si>
    <t>0x81542664617a5338259b4774936bfb0cb7fc4d6b</t>
  </si>
  <si>
    <t>2733042989544151868</t>
  </si>
  <si>
    <t>0xe0fdba300e085bfc2f156734a57dbb49852f2ad9</t>
  </si>
  <si>
    <t>0xe30743221308ec8757670923e580483cb21cabd5</t>
  </si>
  <si>
    <t>0xba6e61797d6d9ff765aacf7a97cf2a1b475e7ce7</t>
  </si>
  <si>
    <t>0xe908ad1840e1d870d7eeeeb728c2c0d036dcbc3c</t>
  </si>
  <si>
    <t>21860585675017693943</t>
  </si>
  <si>
    <t>0xa7a3c323931cd92ee1caca89ca7d51b9d538ed06</t>
  </si>
  <si>
    <t>46260765541683883771</t>
  </si>
  <si>
    <t>0x82e597040c4c50997dff5c6576bc4f32e38d110a</t>
  </si>
  <si>
    <t>0x6dee014f4164718f529fea368c0cc1d3798ceae8</t>
  </si>
  <si>
    <t>0x792612a99a3895fa18c2a1436687dd6fe81257ff</t>
  </si>
  <si>
    <t>0x32e425d7a925da2e8d75bd630cbc9c327e1fc098</t>
  </si>
  <si>
    <t>2111047575883005380</t>
  </si>
  <si>
    <t>0x33521eea4e596e166718dc1072303a59fe29869a</t>
  </si>
  <si>
    <t>0xcfc26bdd19492b36ebfa626710d8f896d831abf0</t>
  </si>
  <si>
    <t>10916031526418685753</t>
  </si>
  <si>
    <t>0x9c11b38c7e6fdaf94d3a319712d40f54c369c4ac</t>
  </si>
  <si>
    <t>9746669419527127340</t>
  </si>
  <si>
    <t>0xb99e5a2f97ace18edef5ddae1a21cf9fac51faa0</t>
  </si>
  <si>
    <t>26027108453067574548</t>
  </si>
  <si>
    <t>0x17296f6bad3642acdb3a613537a79ddbf01e4a0c</t>
  </si>
  <si>
    <t>0x04facb673a2ff933cf6be832b4846e4e04b7172d</t>
  </si>
  <si>
    <t>0x2bfcba64629125acc34df64320f7f460e472433e</t>
  </si>
  <si>
    <t>19402032531497516922</t>
  </si>
  <si>
    <t>0xf3650d820821d5b168e0c2eac0ba7bd37be07162</t>
  </si>
  <si>
    <t>32378879087457556584</t>
  </si>
  <si>
    <t>0xc9d10a7ae9f110750c1379411050853f1320a911</t>
  </si>
  <si>
    <t>29043722611730578237</t>
  </si>
  <si>
    <t>0xc2437af081d76c4770c3da471b7afab847259892</t>
  </si>
  <si>
    <t>38417047698880646881</t>
  </si>
  <si>
    <t>0xc9a3592a5f37cd53206231491d03ecf33d70ec30</t>
  </si>
  <si>
    <t>0x13f4991e3cb4d5b53c68893483425a7e8446b91e</t>
  </si>
  <si>
    <t>44655089435979468162</t>
  </si>
  <si>
    <t>0xf2df9228ca83af7ea0a694226e6babe5151c6cff</t>
  </si>
  <si>
    <t>47250415836297271976</t>
  </si>
  <si>
    <t>0x3aeaf7836bf4df9ff5b5c6750516d9011c084678</t>
  </si>
  <si>
    <t>0xa12a9cbd4846a2ecdf4e18f86f259759c30a9a85</t>
  </si>
  <si>
    <t>0x012891692fb69a5c8235f55b819d7b9b8b17ecd6</t>
  </si>
  <si>
    <t>34143165824472893706</t>
  </si>
  <si>
    <t>0x9654e02807c30e165e1df4b1c3d25d9d1397f03e</t>
  </si>
  <si>
    <t>26088416219365409811</t>
  </si>
  <si>
    <t>0xf42ce7299c1cc5ae24fdbb0d1b5186c2b737e1a8</t>
  </si>
  <si>
    <t>0xba71863960ce7c882b06129baf428cf8cea9ff2e</t>
  </si>
  <si>
    <t>6502375728232914866</t>
  </si>
  <si>
    <t>0xb29fbd2bc6391bf904dbbfcdf24345540c1d08a7</t>
  </si>
  <si>
    <t>0x07a2bb22fc2c0c5f2c67bbe6b7388c0d4c03dc41</t>
  </si>
  <si>
    <t>8559641715583539014</t>
  </si>
  <si>
    <t>0x098beed4aff70df6a5dc4c963b4c1c1dc3a4cf4f</t>
  </si>
  <si>
    <t>35983766247460288690</t>
  </si>
  <si>
    <t>0xb0f1fdae6fb4141c20e05afdd5e8868bdaa6d39f</t>
  </si>
  <si>
    <t>27083911455774134089</t>
  </si>
  <si>
    <t>0xc37099a9fc261ac01e68f3a462195e6ec3843395</t>
  </si>
  <si>
    <t>9548169251437534798</t>
  </si>
  <si>
    <t>0x78fe31533ba4e417305dd533819b8bf143b33184</t>
  </si>
  <si>
    <t>9975449827772643153</t>
  </si>
  <si>
    <t>0x0852dcc10306336384790289a9739517be123f14</t>
  </si>
  <si>
    <t>8628741482533262372</t>
  </si>
  <si>
    <t>0x496e50adc8c04587f19f3a0495b9904164b9846c</t>
  </si>
  <si>
    <t>0x3ca8211d2e20269516e4d99ae357d20b8fcb62ae</t>
  </si>
  <si>
    <t>0x1f903ce4132c46a74b40befbe62d2fe785f85b6a</t>
  </si>
  <si>
    <t>847080315611552137</t>
  </si>
  <si>
    <t>0xd3041398e6713d77ef97570341837958dd7e0fc1</t>
  </si>
  <si>
    <t>21407136465379490958</t>
  </si>
  <si>
    <t>0xbfabcf8ede686417a97b0a91cb2834a9f1a5ac14</t>
  </si>
  <si>
    <t>0xbc902106178522f583ec26640203e62884885b5b</t>
  </si>
  <si>
    <t>0xf18400f72a89083d088d19aaedf17e443c4fe018</t>
  </si>
  <si>
    <t>19495704600143927854</t>
  </si>
  <si>
    <t>0x498bc6197e502ef905500c054197bb6092cbeded</t>
  </si>
  <si>
    <t>8482770776053807619</t>
  </si>
  <si>
    <t>0x6f6a104c0436b80b9550c9a5fbe73b12f884e4dd</t>
  </si>
  <si>
    <t>41472622017257049710</t>
  </si>
  <si>
    <t>0xddcc6af88b04184a86c414c56e502d1bfdab0b43</t>
  </si>
  <si>
    <t>15476520831870933765</t>
  </si>
  <si>
    <t>0x80c1adfb1192d781a03cae1ac84faecac5c91a8a</t>
  </si>
  <si>
    <t>0xad3a43eae17cbbffc7e31eace54a010641d3047e</t>
  </si>
  <si>
    <t>0x190af7691ce2ce6ba08280b80f43967014259ed9</t>
  </si>
  <si>
    <t>0x4bb97071e8e614b07aef2ffb33302f9bafe610da</t>
  </si>
  <si>
    <t>6490430087525315349</t>
  </si>
  <si>
    <t>0xacda8eb033a97ea6d0ea57191b94ecd579f83dea</t>
  </si>
  <si>
    <t>10837276048750406509</t>
  </si>
  <si>
    <t>0x0403c97448f1326c0da41630edb55d7e303614ee</t>
  </si>
  <si>
    <t>37537526061947361530</t>
  </si>
  <si>
    <t>0x48f75e87d437aee3a0316f3410cee2f060da40fc</t>
  </si>
  <si>
    <t>39902172724926064308</t>
  </si>
  <si>
    <t>0x3dfc7b485002e99377b63ff175c003917d8cc856</t>
  </si>
  <si>
    <t>19324750485598707063</t>
  </si>
  <si>
    <t>0xc980e91018349ffc9eaad76595ccdab24eca2f84</t>
  </si>
  <si>
    <t>0x79e421c024485ed3e23e264bba8f2b295950b20a</t>
  </si>
  <si>
    <t>24940236619886252317</t>
  </si>
  <si>
    <t>0xff5bcf944bd2c65ba5120bb8339913c0bf6a9e42</t>
  </si>
  <si>
    <t>9012335433998917255</t>
  </si>
  <si>
    <t>0x87ca68f75edf909b04da373d8f86a6c9b7e3c17c</t>
  </si>
  <si>
    <t>0xa296258e01b2c5c523df6318fdff097a4babf706</t>
  </si>
  <si>
    <t>0xf16abd3a67357cfc6934034511c602f5c6e9fc70</t>
  </si>
  <si>
    <t>0xd4282ea73ff6f5199765b9583b3c0d368d82c034</t>
  </si>
  <si>
    <t>7820891464481644784</t>
  </si>
  <si>
    <t>0xa9b44fcd364511c9c8955d32be73633a60c1a6ab</t>
  </si>
  <si>
    <t>2316969389623787665</t>
  </si>
  <si>
    <t>3221328497771271986</t>
  </si>
  <si>
    <t>0x7ab227aa60892be0557cff10aff0e163b052abbf</t>
  </si>
  <si>
    <t>6649879729756336502</t>
  </si>
  <si>
    <t>0x61a0fc420ae17760e328f5713b87d812dca163c3</t>
  </si>
  <si>
    <t>0xb4128902d5cdbc681051ca26f868eb64e94204b4</t>
  </si>
  <si>
    <t>0x227ae1d320b68ef0228f67178c9ec6a6b263bf57</t>
  </si>
  <si>
    <t>45061677169994586278</t>
  </si>
  <si>
    <t>0x32781f09a8c5b1dd8ee6af3986f9a932b66038a7</t>
  </si>
  <si>
    <t>0xe1b0c6e86ce13fcde1cd2faa7e2cb2098fe4740e</t>
  </si>
  <si>
    <t>2422253967165127865</t>
  </si>
  <si>
    <t>0xe5b7c3396ca0b154a80019ccf3fe08f162495e66</t>
  </si>
  <si>
    <t>0xeb57dd0a036e0bf4bf16a00c2697c3f6b54d10ab</t>
  </si>
  <si>
    <t>0x79660566763ee508f02e6067a702e71673440c46</t>
  </si>
  <si>
    <t>37428355014364927976</t>
  </si>
  <si>
    <t>46858709827811861452</t>
  </si>
  <si>
    <t>0x7a52c3a9b0c7f4c5e7333529e9bfa3ee62004267</t>
  </si>
  <si>
    <t>43762997136270014908</t>
  </si>
  <si>
    <t>0x2b78772b7e54a05015bf0faaac98f0449a44511e</t>
  </si>
  <si>
    <t>11020993427683241065</t>
  </si>
  <si>
    <t>0x52e14fba2f11db20a64ab7b99c8c615055dfd53e</t>
  </si>
  <si>
    <t>48303463608070834524</t>
  </si>
  <si>
    <t>0x4a870d334c9c49049b787c1dcaa58a9c59446291</t>
  </si>
  <si>
    <t>47259768813175344364</t>
  </si>
  <si>
    <t>0x9a685e6d9333c3c31cf2f64b8bdc02241af2ddcd</t>
  </si>
  <si>
    <t>20757134346212679452</t>
  </si>
  <si>
    <t>0xe647e4efb1f867a92667d394c33b7521db8cb55c</t>
  </si>
  <si>
    <t>0x0206242c9ea94b5297869bf80e0f45ab44c6be28</t>
  </si>
  <si>
    <t>573515460681366500</t>
  </si>
  <si>
    <t>0x1dd6c771723774a7ac84dec7ede7caac7fe1f6cc</t>
  </si>
  <si>
    <t>4190872123687307565</t>
  </si>
  <si>
    <t>0xc6cbbb9a0594e5f6255399f2d27ef056834672a6</t>
  </si>
  <si>
    <t>0x6a01c658f5545027ebe18671d8ff397ca475fc6a</t>
  </si>
  <si>
    <t>1343357635936722233</t>
  </si>
  <si>
    <t>0x4344433a5b79e4482054ec5ca50aee3f25961e01</t>
  </si>
  <si>
    <t>0x248ccf6d527a38a731c02d44317323a303f66357</t>
  </si>
  <si>
    <t>0xf31b605838df82a0b4fab48d796e75e87ccebb21</t>
  </si>
  <si>
    <t>9010415949293849310</t>
  </si>
  <si>
    <t>46829200532736113634</t>
  </si>
  <si>
    <t>0xf10beadc9b737c9a82dc24b6234f0ee09b897e7d</t>
  </si>
  <si>
    <t>47223126817133039598</t>
  </si>
  <si>
    <t>0x6ce9fad93381fd6be15a9e2a8e1e5a378d9835b0</t>
  </si>
  <si>
    <t>9982546623350290669</t>
  </si>
  <si>
    <t>0x753b0dd94dda8098b256e3089028dbce9c220470</t>
  </si>
  <si>
    <t>0x1e8e71558dfafa129257eef5ba24fa948753e95e</t>
  </si>
  <si>
    <t>10116447537736621564</t>
  </si>
  <si>
    <t>0x7b64c865612764ea864f6235dcb009621fd6b9b5</t>
  </si>
  <si>
    <t>0x28cf5d1d1ea03bcc0085b0a59867a8928dfbf799</t>
  </si>
  <si>
    <t>6965503234179552467</t>
  </si>
  <si>
    <t>0xd813ccb78cf7b28c896596030924e79178605a5e</t>
  </si>
  <si>
    <t>0xb71986fa8693947be114cf43e583f7b9093c45cf</t>
  </si>
  <si>
    <t>0x20020fbb125c827f98a88344ada385c5708141f5</t>
  </si>
  <si>
    <t>0x06efbdb343886c899cde156f910c6faf04dc74ad</t>
  </si>
  <si>
    <t>0xc77c8ce4a6812be0ecfd495aa0b01d47056bd282</t>
  </si>
  <si>
    <t>9520487669740709341</t>
  </si>
  <si>
    <t>0xf91a98a4d65faedec905c7cc24d8221a191df5ee</t>
  </si>
  <si>
    <t>40173803829989477960</t>
  </si>
  <si>
    <t>0x147f06a1786c204789d46cfd4dc304d19d900aa0</t>
  </si>
  <si>
    <t>0xdad73e578d4c1c5c50bf62bc1eed7858f16e8e71</t>
  </si>
  <si>
    <t>17284308581367417181</t>
  </si>
  <si>
    <t>0x78e454a89d661372a8455d44d0e5185f8f057287</t>
  </si>
  <si>
    <t>24812855131875487351</t>
  </si>
  <si>
    <t>0x5fb0058280611b57e7fd96dc4ba3616bd0d29806</t>
  </si>
  <si>
    <t>0x3ae175dc6b6aef55a7932e212d1231e94c49e2ae</t>
  </si>
  <si>
    <t>0x6c18d6deb8094ef05852d14eaf5de3da8c64a42e</t>
  </si>
  <si>
    <t>46692103678186736618</t>
  </si>
  <si>
    <t>0xf3e8270cfccf1f4ce0d8758c6256fc9efbcd6306</t>
  </si>
  <si>
    <t>29037915855936631601</t>
  </si>
  <si>
    <t>0xed92e09cf14597488186aa9b825fbaa8b0533e38</t>
  </si>
  <si>
    <t>22247498695814467288</t>
  </si>
  <si>
    <t>0xd86e31aa47dea323452018c0f14c146fae787c72</t>
  </si>
  <si>
    <t>15426139469879755216</t>
  </si>
  <si>
    <t>0x17338b0b4e7aca00ad0c07560fa03702e175baa5</t>
  </si>
  <si>
    <t>0x2176b1db2fcf5ab5cfefdbce0be2e014e5c813d8</t>
  </si>
  <si>
    <t>0xdeaa52c82060e646acc9e95f9b42dfac491df9cd</t>
  </si>
  <si>
    <t>28051508349452141647</t>
  </si>
  <si>
    <t>0xfd3a7b5fb5c5334766489e4a46fcb46e24834613</t>
  </si>
  <si>
    <t>0x3cc813d2928e771e6cd224ca3d9af80b4f8fe30f</t>
  </si>
  <si>
    <t>0x8da1a4d25691d9ffa62b07c5675d4839356cbeb0</t>
  </si>
  <si>
    <t>0x05f05e88075fbfc33fef63335e5e6127bb2bcd2f</t>
  </si>
  <si>
    <t>17361232632822291389</t>
  </si>
  <si>
    <t>0x44b1094e713c198f922d708795be3dd7f1051da9</t>
  </si>
  <si>
    <t>0x47d04db8bef20a3112abae0b2b6ad1ef6f7eb702</t>
  </si>
  <si>
    <t>37964306402419068509</t>
  </si>
  <si>
    <t>0x492119680755e6507ac15d46f3c71981d3eb1f60</t>
  </si>
  <si>
    <t>34296742776639649375</t>
  </si>
  <si>
    <t>0xbc6507ff5cf29e6b38dd5789a8167345aa333853</t>
  </si>
  <si>
    <t>3147898698217767388</t>
  </si>
  <si>
    <t>0x31b6f88db7b27b1321244d21d9ee712a2b6381fa</t>
  </si>
  <si>
    <t>0xbc9a30c2751412d9295f8adabe6524bd9c8d1c13</t>
  </si>
  <si>
    <t>33086571775591988072</t>
  </si>
  <si>
    <t>0xbe4c6f74427dd04509a3af09fae733fd0ec243ca</t>
  </si>
  <si>
    <t>7096875957597583075</t>
  </si>
  <si>
    <t>0x5115dad03662dd8a60ba91bee2bfb83c5c5163eb</t>
  </si>
  <si>
    <t>0x35d30f3ca338b4e92c5542a01ebe058c1a6d8206</t>
  </si>
  <si>
    <t>17385814565592610990</t>
  </si>
  <si>
    <t>0xafc80ff7a1b08b7d3590228fb16907f51582ff7a</t>
  </si>
  <si>
    <t>2559693759131215157</t>
  </si>
  <si>
    <t>0xb4687cbdadc7658ade5be8d762139477443b1a4e</t>
  </si>
  <si>
    <t>0x8b9f67e034fbe6ca81bef4d78a329dfbcac4107e</t>
  </si>
  <si>
    <t>8085209550643250326</t>
  </si>
  <si>
    <t>0x4a47af165803cb6de9b1f72220fdb93ab7a5f16c</t>
  </si>
  <si>
    <t>0x3e1282dc3c26774004e095e414c05519bbb00308</t>
  </si>
  <si>
    <t>0x842d8dc220196da4cd147a72878128b35d45d7f9</t>
  </si>
  <si>
    <t>18776239665811110659</t>
  </si>
  <si>
    <t>0x9032ceeef231fe3bdcda63805bdf80b496ceb209</t>
  </si>
  <si>
    <t>45854733855438767184</t>
  </si>
  <si>
    <t>0xedb035988efffb8b0f1eb28f9f2898fe5259bf6a</t>
  </si>
  <si>
    <t>20293198999765366297</t>
  </si>
  <si>
    <t>0x6a2fb205dae2a303374716187168672162059555</t>
  </si>
  <si>
    <t>0x1bb26a07ddb835ff3a23ed584c68af2629d8f2ae</t>
  </si>
  <si>
    <t>1435505748820167640</t>
  </si>
  <si>
    <t>0x4bb7277d106c58e6c4c07cb6c3661567c542fd32</t>
  </si>
  <si>
    <t>41053970344071231751</t>
  </si>
  <si>
    <t>0x32ba0e9fa9736ac62602ae923f6e589b8fbadb8b</t>
  </si>
  <si>
    <t>43627874433066643321</t>
  </si>
  <si>
    <t>0xaac588b919973aa47b7a780719139b60151933e1</t>
  </si>
  <si>
    <t>0x479bf1e45743311035b646d425edaf4ce68846eb</t>
  </si>
  <si>
    <t>0xddbda2dc598c2ca0957a279f0b22a5d6c39c5230</t>
  </si>
  <si>
    <t>8316797700976537860</t>
  </si>
  <si>
    <t>0xc1418f5e1a5e672384f154af383bee4defe759a8</t>
  </si>
  <si>
    <t>47880194756784337202</t>
  </si>
  <si>
    <t>0xa340286f3ebbc6ea195e28890dc2fc9ce417d20a</t>
  </si>
  <si>
    <t>0xf977664c07ff445b82dcc85372dc93bcff065bc6</t>
  </si>
  <si>
    <t>0x10ecc99b525119e4e219e83000e390162e31da93</t>
  </si>
  <si>
    <t>9539060258205376415</t>
  </si>
  <si>
    <t>0x713b04eb5a9d585ec075ca65edc3d6d7c12be5bb</t>
  </si>
  <si>
    <t>0xdce079cee4bc75d2b7e9ec21f55e9f3a4f19e8fe</t>
  </si>
  <si>
    <t>0x80a6e5379952e381864605f8a306ce5ca18a690b</t>
  </si>
  <si>
    <t>19503233426669728558</t>
  </si>
  <si>
    <t>0xc7e1f6af7894cf2e03e2e5a564b4c28d4906644e</t>
  </si>
  <si>
    <t>0x521745bfffd83d06169cc6124a0ce363b633e7fc</t>
  </si>
  <si>
    <t>0x8222cc5a5240375209791a17662e4db05a06cb04</t>
  </si>
  <si>
    <t>0x7097a08c0031a89e3c6e39c9db52f6383aa83cfa</t>
  </si>
  <si>
    <t>0xfa52c0cafa120fcc4e7052cac8470fdd9f6ea1e9</t>
  </si>
  <si>
    <t>0x49c319dd6b9e2444df7fe754ab586a827f5b95ee</t>
  </si>
  <si>
    <t>0xd82f786d762f8b6e9fb8b1bd1ef1ebef3cc049b5</t>
  </si>
  <si>
    <t>0x4bd49ab0e70918decffea9e27615714baceda4e7</t>
  </si>
  <si>
    <t>35170393590426695915</t>
  </si>
  <si>
    <t>0xa94cfa05519db72f5034d3b54c214121a1cdd9c3</t>
  </si>
  <si>
    <t>9831377012823453620</t>
  </si>
  <si>
    <t>0xc6d2486088828445b6f5a342ab73db74a07311a5</t>
  </si>
  <si>
    <t>44232575989401306250</t>
  </si>
  <si>
    <t>0xae01520b4108a1c376b37b480f1c2eea6e083eb6</t>
  </si>
  <si>
    <t>0x1fc0ed6d23a32fdc11fe456e15fd0e3efa7f98d0</t>
  </si>
  <si>
    <t>0x40612206bdc134c7dc64baac2f5db01cff5084a2</t>
  </si>
  <si>
    <t>8205780379776577896</t>
  </si>
  <si>
    <t>0x7417bc96ad36d002abc182757024905efed7d9fb</t>
  </si>
  <si>
    <t>0x168af05f5b8c88e4ceb8c6c0ee9a86db05583ee9</t>
  </si>
  <si>
    <t>48273978077694753439</t>
  </si>
  <si>
    <t>0x724371396e1239f2534dc3681df33776a1eaa9b5</t>
  </si>
  <si>
    <t>0x8dd217a8b972ec71136933ae7d056da7e9c544f6</t>
  </si>
  <si>
    <t>41034721924891845485</t>
  </si>
  <si>
    <t>0x9c76ae5ad163de437cf8017f58757bd35d59f809</t>
  </si>
  <si>
    <t>0x3bc6923304050dd6f9561b961c2c3ae6e66936fc</t>
  </si>
  <si>
    <t>41707331625383695161</t>
  </si>
  <si>
    <t>0x25fc7849f6fd768986c33a94161f6c926a9a6f65</t>
  </si>
  <si>
    <t>0x9b81ef99de4065106f86e7001a2e2081ce80580b</t>
  </si>
  <si>
    <t>30698396839518767257</t>
  </si>
  <si>
    <t>0x0c48ef7eca08b2839d266dd314211309cbcf5659</t>
  </si>
  <si>
    <t>46183309816081337435</t>
  </si>
  <si>
    <t>0xef696ceabc541f43cb2ff06bb876963412c9f786</t>
  </si>
  <si>
    <t>0x4790010f38cf84e094b76f1edb16dced011135ce</t>
  </si>
  <si>
    <t>5298730906277038176</t>
  </si>
  <si>
    <t>0x19c1dc631413761d680b566da8c87d12023fa86c</t>
  </si>
  <si>
    <t>20119682492974585126</t>
  </si>
  <si>
    <t>0x463541011001daceffdbb33e56b9cd59aa5928c5</t>
  </si>
  <si>
    <t>3163627558320789309</t>
  </si>
  <si>
    <t>0xccd95a8638306f7bf6840280fa82354278aa8b5f</t>
  </si>
  <si>
    <t>46502304463747881337</t>
  </si>
  <si>
    <t>0x39349abfbcca4fb5ad5fe2c05a65a031baa6d7d3</t>
  </si>
  <si>
    <t>6971272375015570999</t>
  </si>
  <si>
    <t>0xd4c5200640fe7cb3b52615c0ef8bff99dc5b59f5</t>
  </si>
  <si>
    <t>3359837016967227551</t>
  </si>
  <si>
    <t>0xc3301818848f46209766c49ee7a3eb884cbd680c</t>
  </si>
  <si>
    <t>0x9dd9790372028087211e726c2992a9916b1cb8d8</t>
  </si>
  <si>
    <t>0x07da257ad1592b757a50e17ba8d267fe0e93aee1</t>
  </si>
  <si>
    <t>0x5ed1bf4f4f7b1ee4520eb35523ccc741396406a0</t>
  </si>
  <si>
    <t>11835234044694877560</t>
  </si>
  <si>
    <t>0x195a3276c1f895207ee1b88aa7fa63cf3f5a47e3</t>
  </si>
  <si>
    <t>12013122937718668088</t>
  </si>
  <si>
    <t>0xc643f2f07e76a67b02f95fb4ec10680e9bef8b59</t>
  </si>
  <si>
    <t>25532718234543953641</t>
  </si>
  <si>
    <t>0xfb51224283322ea4c76054ec88d2ef7702cc9e6d</t>
  </si>
  <si>
    <t>0x1c809f897585f3619e6b2bd161b094916ec2a9df</t>
  </si>
  <si>
    <t>18487482937137609911</t>
  </si>
  <si>
    <t>36919416436204861728</t>
  </si>
  <si>
    <t>0xfe6c5f5d012ca9386600b7ed5d271cc50772b8c6</t>
  </si>
  <si>
    <t>0x2f72e549e3218de0e6aa59a3d0a77fac5612f2fc</t>
  </si>
  <si>
    <t>42583498579607208621</t>
  </si>
  <si>
    <t>0x01708572aac45d46c02a7b43f85b2158ae4b20af</t>
  </si>
  <si>
    <t>33258380288906793879</t>
  </si>
  <si>
    <t>0x157723c159dad2de4f1ffe4128c63222c433d1c3</t>
  </si>
  <si>
    <t>0xea13bf4721fae77ef068a75c053db48eadc7000e</t>
  </si>
  <si>
    <t>38671367264960250259</t>
  </si>
  <si>
    <t>0x62e0b74aad4cb2508d2e3e52f1cc6eae21fb3d2f</t>
  </si>
  <si>
    <t>84851022181578673</t>
  </si>
  <si>
    <t>0xdb72c58e71eb673e5fd4f87879275af27be942e0</t>
  </si>
  <si>
    <t>0x18ba8dc76139ce6cbc5931ff6940524c9f4c73f0</t>
  </si>
  <si>
    <t>35403606629973031918</t>
  </si>
  <si>
    <t>0x579a8932504c34f2b01c1e00590e7a48c3a76c4d</t>
  </si>
  <si>
    <t>588849141075627335</t>
  </si>
  <si>
    <t>0xf6aef355caeb7ab96955d170b5b8d9d26960ff78</t>
  </si>
  <si>
    <t>43632068572040988188</t>
  </si>
  <si>
    <t>0x104db84171ec5da4cfaecd2490f57dbfaff540c7</t>
  </si>
  <si>
    <t>0xd650a035bff13438954c889f9d0186c85545d133</t>
  </si>
  <si>
    <t>9640830255487882949</t>
  </si>
  <si>
    <t>8152361185492533659</t>
  </si>
  <si>
    <t>0xc2e92e1933c592ecec701294867fb32d0281e944</t>
  </si>
  <si>
    <t>14148921653393237534</t>
  </si>
  <si>
    <t>0x65b51373b2911087499b1462efe540dfc02675ce</t>
  </si>
  <si>
    <t>0x96044dfc3108c1f923a8d15d8eaefc8a7c688612</t>
  </si>
  <si>
    <t>10871366749948909591</t>
  </si>
  <si>
    <t>0x0cffe47dec372e3a4424de39429c22ba5b70297f</t>
  </si>
  <si>
    <t>19469714762250148382</t>
  </si>
  <si>
    <t>0x61b868ed2f1c390737cc0e53e9d9b46f5c815a80</t>
  </si>
  <si>
    <t>9348619363916242036</t>
  </si>
  <si>
    <t>0x8e34986c77ac68529de2aafbb9e1b9bf80576203</t>
  </si>
  <si>
    <t>0x5bcfdc8c62dd69c98fe2901640f4506d82efa827</t>
  </si>
  <si>
    <t>0xd6899008a6f6808be219812c16124359437894ce</t>
  </si>
  <si>
    <t>0x9bc8d354ada9fb61c0d97a50aa70524048c08341</t>
  </si>
  <si>
    <t>0x8d0cdbc1151020942add9600f6adca7f0ff03aa6</t>
  </si>
  <si>
    <t>47571166879035154042</t>
  </si>
  <si>
    <t>0x303dbc5d57ad2187a79c624abfab0cb6a577f0c5</t>
  </si>
  <si>
    <t>0x92655b499f868fa100509dddd1c8b48566394b52</t>
  </si>
  <si>
    <t>0xb8c3be1ac0ce23fbb75bd1a20b458cbcb3fa32da</t>
  </si>
  <si>
    <t>40481743855833658128</t>
  </si>
  <si>
    <t>0x7e19b3f058b328021836c22603b3cf5d2402694c</t>
  </si>
  <si>
    <t>0x8f297d30bf2c44a896f12bee00032d59f3983002</t>
  </si>
  <si>
    <t>9669396034527396172</t>
  </si>
  <si>
    <t>0x9c1277fbc2cbb75dfaff868f16b21caff057acae</t>
  </si>
  <si>
    <t>0x97725ada7725fd5964a3a71e890926e01641fcb4</t>
  </si>
  <si>
    <t>0x35b8817405d9c65fc7ab544d7243181268b2d551</t>
  </si>
  <si>
    <t>12879286789318418038</t>
  </si>
  <si>
    <t>0xacab540894effc3adb73bdb0e900b661a43534be</t>
  </si>
  <si>
    <t>0xda166848621affac58d1260efc94f778209b1e58</t>
  </si>
  <si>
    <t>2708391145577413408</t>
  </si>
  <si>
    <t>0x2bb66c74836b88be612b7987d242713f2e087654</t>
  </si>
  <si>
    <t>34822171871709600972</t>
  </si>
  <si>
    <t>0xc1bfa768e86239a376769c42ac1fa999db3426b0</t>
  </si>
  <si>
    <t>2593231076231131385</t>
  </si>
  <si>
    <t>0xfe2f1f2780bae8af43638ccfdc2b0d09e37d3740</t>
  </si>
  <si>
    <t>48307099489484728523</t>
  </si>
  <si>
    <t>0xdd94c0f8a16c8dd21ba76484c0ff3374aef46fad</t>
  </si>
  <si>
    <t>0xefc5b42e8eb00d464f96734969494e2d92e3fd9b</t>
  </si>
  <si>
    <t>0x58d0572f483118c1dd8d3f9c0c155ed93c3fb364</t>
  </si>
  <si>
    <t>0xdf8c7f8ab67aa0822a0d545c9b899348e5d1bfe2</t>
  </si>
  <si>
    <t>0x9488e3765af5a824bc2d6345f3c98df0adc35d82</t>
  </si>
  <si>
    <t>34845352176810158051</t>
  </si>
  <si>
    <t>43356281835660563108</t>
  </si>
  <si>
    <t>0xe1b8988c4415db08c6cffa5cca7861ee99d59bde</t>
  </si>
  <si>
    <t>4732570496563997235</t>
  </si>
  <si>
    <t>0xd79ec46fa2162ecba658150f714875144bcb9188</t>
  </si>
  <si>
    <t>43926437050291797701</t>
  </si>
  <si>
    <t>0xa348953a62188e005fd2d411da2a8bd1c486da07</t>
  </si>
  <si>
    <t>9278023686472514565</t>
  </si>
  <si>
    <t>0xa68017e26648c7fed15ac52a3150d4733a66f18f</t>
  </si>
  <si>
    <t>47922043075929785618</t>
  </si>
  <si>
    <t>0xb7d0f57284c7d0f72265991750e054f1b6bd986b</t>
  </si>
  <si>
    <t>0xf8aff834479f8519ac0755561e3fd06327ffc26e</t>
  </si>
  <si>
    <t>0x9e63067bfdb4f5719c88ce4c7927f0e4052f3242</t>
  </si>
  <si>
    <t>10049111616898835056</t>
  </si>
  <si>
    <t>0xe033a3228e1d90b014874efe5b2a7fcc2dff0b2d</t>
  </si>
  <si>
    <t>8921192906235599947</t>
  </si>
  <si>
    <t>0xf5a3cb17bfc27968700178d90e86e53044fc4a8e</t>
  </si>
  <si>
    <t>8569935099273433988</t>
  </si>
  <si>
    <t>0xf265c97c384e375a4a58505e07e553472be36503</t>
  </si>
  <si>
    <t>0xc638466721325846c3937e36da15df5fdc22c3d7</t>
  </si>
  <si>
    <t>0xc0259ba093b605923047b24fff6ac839ae3f11f8</t>
  </si>
  <si>
    <t>9518257648848620541</t>
  </si>
  <si>
    <t>0x8db008106b19142d2560ea5d3f65063f34186321</t>
  </si>
  <si>
    <t>45714794185761715684</t>
  </si>
  <si>
    <t>0xbc8e2e64631b8887ee5afda9e3008ca194958b9f</t>
  </si>
  <si>
    <t>9868700844151141593</t>
  </si>
  <si>
    <t>0x86b7af53d2063f7275238221d0761035a6adbd37</t>
  </si>
  <si>
    <t>0xb6569ec5ff91e9f8d8f56deff237a57bcbe6c3a2</t>
  </si>
  <si>
    <t>24284458370648115593</t>
  </si>
  <si>
    <t>0xeeb2049baf253d72a3d2dad07b51d458b58b3dda</t>
  </si>
  <si>
    <t>11220477603106426980</t>
  </si>
  <si>
    <t>0x771decc16b2362144f86ac4d748038927e153593</t>
  </si>
  <si>
    <t>0x272341438ad3d342d0a094fd3dbdc083a94dd20b</t>
  </si>
  <si>
    <t>0xce3799d211a31af84081a3dfeda03938ef9805a4</t>
  </si>
  <si>
    <t>37492383437830770721</t>
  </si>
  <si>
    <t>0x6491e9eec9bceae8c5b1ab95c9a4105660b35eda</t>
  </si>
  <si>
    <t>0xe2461a34baa7dfa509b0fb4d5f709a9cc4ee5ff7</t>
  </si>
  <si>
    <t>0x0e9cd712c542ab5e313b44ab85e20c0c132be68d</t>
  </si>
  <si>
    <t>20151469272420081873</t>
  </si>
  <si>
    <t>0x9ad51c4adcf30a3b65672688eab1769b97428912</t>
  </si>
  <si>
    <t>0x9259d52c1f3cf0fc0ccfa1130bfc575a3ecdc628</t>
  </si>
  <si>
    <t>0xe3dc366eba4cbbd1a9de1dd536ff05d60382dc90</t>
  </si>
  <si>
    <t>0xeb23f83946b3068a488b7d12fb16450c35e81217</t>
  </si>
  <si>
    <t>19753359721227797739</t>
  </si>
  <si>
    <t>0x569747b1202ca94cfd1034954fc65a2986326af1</t>
  </si>
  <si>
    <t>0x405e3bb7f2dbabbcf76b5162db6e2511ff3c20ed</t>
  </si>
  <si>
    <t>35047814030960449488</t>
  </si>
  <si>
    <t>0x9eaad8a81756fa95c6667628b57595de200bc985</t>
  </si>
  <si>
    <t>5821084480941841315</t>
  </si>
  <si>
    <t>0x8b2401091493547a7126a41a080f5f76ed835e94</t>
  </si>
  <si>
    <t>1539683146736767461</t>
  </si>
  <si>
    <t>0x866240313d33e066dab68161f108a36c291d8a82</t>
  </si>
  <si>
    <t>0xb2d0f56d4fdce2d712b0ce11d4d25626bc6de569</t>
  </si>
  <si>
    <t>0xeb2cdc588cb2ac6bb3cc1fdde6a32335e80a02f0</t>
  </si>
  <si>
    <t>0x8c98664da1dbb372d47e4f0ad9ff410d285d0530</t>
  </si>
  <si>
    <t>9750244392144518505</t>
  </si>
  <si>
    <t>0x0424e057c2d0bc7e58c75975aaf38bf1e598cd49</t>
  </si>
  <si>
    <t>40830773007091617959</t>
  </si>
  <si>
    <t>0xf1c3604196ce8d756999599997767486bf756bf5</t>
  </si>
  <si>
    <t>0x8d8794bbfcddf9c494b58fb34f8466eef5003dce</t>
  </si>
  <si>
    <t>724371597620786688</t>
  </si>
  <si>
    <t>0x76862adeb005ee98aeaab247f8822eeb32df478c</t>
  </si>
  <si>
    <t>1328614984952745691</t>
  </si>
  <si>
    <t>0xf8a3157e83917cfa7b72384a3ddf83cd353b0a75</t>
  </si>
  <si>
    <t>0x551efabc85f34d62f3d8c2c1fd79fb28a802b858</t>
  </si>
  <si>
    <t>8649096936372718349</t>
  </si>
  <si>
    <t>0xd7f10b3d4123a66f6efbf21490b05d3987a800cb</t>
  </si>
  <si>
    <t>24665405503234496531</t>
  </si>
  <si>
    <t>0x03f4f5e70793b036ec248e2199a86bc9e15d1db3</t>
  </si>
  <si>
    <t>0x8c31d2da9f5149df296205bd5909a8fe4f1eb389</t>
  </si>
  <si>
    <t>0x7a366aee7c0f6ebeef04d96d7648bf3e4d72df11</t>
  </si>
  <si>
    <t>0xfaeb499765f7eca77f361dd8adcfdf9e3e13c211</t>
  </si>
  <si>
    <t>10492404409265988778</t>
  </si>
  <si>
    <t>0xb57b222a524dbc8ffc4d3080783cd546cb383c5e</t>
  </si>
  <si>
    <t>47376831105539619618</t>
  </si>
  <si>
    <t>0x6f78fff218c57b736b32e5ba6b0847c758d426bf</t>
  </si>
  <si>
    <t>40664591504371007626</t>
  </si>
  <si>
    <t>0xdcfd8ac12a3c122fe946ccab73ba9d9c64143dd1</t>
  </si>
  <si>
    <t>36996706593341207609</t>
  </si>
  <si>
    <t>0x2c588eb6927a537199781f65758e6f6452828608</t>
  </si>
  <si>
    <t>143453102400011829</t>
  </si>
  <si>
    <t>0xaf3a62b3a0b192bab2eaf73ba53e854867ea0ddb</t>
  </si>
  <si>
    <t>0x4a11c04918dccc59c3e20c12021badf6fac84be6</t>
  </si>
  <si>
    <t>0x75f5f076ccbc3272262810a7a66599eac24600f2</t>
  </si>
  <si>
    <t>0x4238b6d8e263ef299ea81bb6e457c35e7f47b6cb</t>
  </si>
  <si>
    <t>48006517602339017923</t>
  </si>
  <si>
    <t>0x6a8d5e5fda51ce6578a59dc2ba9c8142c9da3df4</t>
  </si>
  <si>
    <t>10887677098713269112</t>
  </si>
  <si>
    <t>0x78a329acf67ea47ae17d324ca32f99b80492d24a</t>
  </si>
  <si>
    <t>25601742290939822124</t>
  </si>
  <si>
    <t>0x2b6c96430cf3a2d32ff68d7fd7a4130a4c778d56</t>
  </si>
  <si>
    <t>0x990cde03e586373638a168eeb6b7793987510663</t>
  </si>
  <si>
    <t>9721039571696423525</t>
  </si>
  <si>
    <t>0x93ea05a4e96ab1992c494679fa3631235ec51aaf</t>
  </si>
  <si>
    <t>48176636966067333751</t>
  </si>
  <si>
    <t>0x49105046609627d8fc52f89528b51dc894072d35</t>
  </si>
  <si>
    <t>5186827647274463776</t>
  </si>
  <si>
    <t>0xf148ac13f1778f30acc8986a9c1879be36c1fde1</t>
  </si>
  <si>
    <t>11623342097492272190</t>
  </si>
  <si>
    <t>0x89b3ca95b293331249140e6697145d5806b3976d</t>
  </si>
  <si>
    <t>0xbc341a288c3695fc8b2784581803cd755a8781bf</t>
  </si>
  <si>
    <t>0xb6395525819a4a3d74be262d1a9d0c7adfadac00</t>
  </si>
  <si>
    <t>0x941e710a60a07307c575631a0fbe32c25def4956</t>
  </si>
  <si>
    <t>0xf284ec0247474317b4d7571984ae8eef1a32eeff</t>
  </si>
  <si>
    <t>141165159498864204</t>
  </si>
  <si>
    <t>0x9f78da3b4e104da9b5aff78ee5196716892fd1f6</t>
  </si>
  <si>
    <t>10302856619756966189</t>
  </si>
  <si>
    <t>0xadcdceb1ef60e3f3a65ea17a1a3d2631daf869be</t>
  </si>
  <si>
    <t>9136846438660326327</t>
  </si>
  <si>
    <t>0x55720d9761efbc8ff043728993f3b03752795794</t>
  </si>
  <si>
    <t>8073095238573802345</t>
  </si>
  <si>
    <t>0xa536fa9dce2f152f5905ecf4da0092416892ecc7</t>
  </si>
  <si>
    <t>8317847469762674080</t>
  </si>
  <si>
    <t>0x1c03eff3d2a35df54f243eecfe491288df64af20</t>
  </si>
  <si>
    <t>0x013e51ae667a8ef9513940bfcafe262d7f95052e</t>
  </si>
  <si>
    <t>4926294376709680642</t>
  </si>
  <si>
    <t>0x01ef95f52723fd79f8d62c83a7fcc154622f02c8</t>
  </si>
  <si>
    <t>3457725369512254078</t>
  </si>
  <si>
    <t>0x3cf545a2eb4bf11a1c7408f9be8969a4cd60629c</t>
  </si>
  <si>
    <t>32969562437000999630</t>
  </si>
  <si>
    <t>0x802c6fa448f7f9c75212866634ef6ff0aff6f689</t>
  </si>
  <si>
    <t>21610876290653465909</t>
  </si>
  <si>
    <t>0x60aa67c79e615897b4a1bc9511e384d4d3198ce9</t>
  </si>
  <si>
    <t>0x50501f6569b376bc6f6aba8cf7e86f0541e68b62</t>
  </si>
  <si>
    <t>0x9c9f6d309e81ab9536c3c6cff6f1cdf987779329</t>
  </si>
  <si>
    <t>8994734059832646185</t>
  </si>
  <si>
    <t>0x6168571ace125b6117eb522bea41f73fe8f38b8b</t>
  </si>
  <si>
    <t>0xdc2720a762c5bf9deeeb54460cc8fa8a2b62fac7</t>
  </si>
  <si>
    <t>39233301489353966245</t>
  </si>
  <si>
    <t>0xf163db9b2ed66ac50c66baa3fc8c6a85f6d065ba</t>
  </si>
  <si>
    <t>0xfb72b21b9ba4fd9dc057ddd24b98d3c75e986251</t>
  </si>
  <si>
    <t>21792404445444595778</t>
  </si>
  <si>
    <t>0x74ae5941f76f4810137aabc257e55a7ba374b3d5</t>
  </si>
  <si>
    <t>39674186023975770678</t>
  </si>
  <si>
    <t>0x96ad67e8eec516f549b7d6d3bc92b90869a64a62</t>
  </si>
  <si>
    <t>0x00265b8cf8349904dfc0d0957b0844ac77d8078b</t>
  </si>
  <si>
    <t>0x3a66ca05c7d5dfc3cbc5c6f59c498b0699b2df8d</t>
  </si>
  <si>
    <t>8321159896421149856</t>
  </si>
  <si>
    <t>0xf94a2fad3ba66196b16dc55a22f11aea4b76dd87</t>
  </si>
  <si>
    <t>5053951759262898367</t>
  </si>
  <si>
    <t>0xe138dec9e3febeb8b5e1f90f2387b1f15f9c4774</t>
  </si>
  <si>
    <t>47746150521432635247</t>
  </si>
  <si>
    <t>0xb8dcbf293a858d7c7796ec90eb862a2f54f5f9e0</t>
  </si>
  <si>
    <t>0x72b6ab701cdf16fe01fd1b4cf87409dfec80d3a7</t>
  </si>
  <si>
    <t>6293027102193044491</t>
  </si>
  <si>
    <t>0x4cec37565d7b004f96b714a9246020b7a3d81abd</t>
  </si>
  <si>
    <t>12646968962410793831</t>
  </si>
  <si>
    <t>0x04c713fa1d68b51a33d8579b069ac87c844c5e25</t>
  </si>
  <si>
    <t>43840386556635227729</t>
  </si>
  <si>
    <t>0x7b70e281fead92d21bcb2aa5d6d92b538a6ba374</t>
  </si>
  <si>
    <t>0xd77b8b3ba0f4a6e54fa8a008b993981c23cd92f2</t>
  </si>
  <si>
    <t>46657791886993975594</t>
  </si>
  <si>
    <t>0x0250dbd6cd13e04fdc5bba202cc13386340f3bf8</t>
  </si>
  <si>
    <t>48232480567889275321</t>
  </si>
  <si>
    <t>0x6c218ed64f8c5b579723c40cb22f258b39703d75</t>
  </si>
  <si>
    <t>44407351168948786882</t>
  </si>
  <si>
    <t>0xa839793e705670ef0b08d3d931cc48604c569a58</t>
  </si>
  <si>
    <t>12125012270808162450</t>
  </si>
  <si>
    <t>0x049b7ef9818630ceb367dd0f443487ca42a0e187</t>
  </si>
  <si>
    <t>0x1beb92f16d586d3ecedc6bd0c2d13b316abdb8e3</t>
  </si>
  <si>
    <t>8568166595783266458</t>
  </si>
  <si>
    <t>0x249c6faf32cb676ee2003cebfd8ec8692dfe74ba</t>
  </si>
  <si>
    <t>0xe37e0281e591675fb4ad3d030e6d13c86428ea9f</t>
  </si>
  <si>
    <t>9853588771179364035</t>
  </si>
  <si>
    <t>0x943185bb3242e0250a2a36eb96fcf93092fcb7a2</t>
  </si>
  <si>
    <t>2527069866379104108</t>
  </si>
  <si>
    <t>0x80d80d9036318f0320a837e54d361e4e985d6a72</t>
  </si>
  <si>
    <t>0xab5f7b0ba9c8dd2fe1439692a5f73dd46940971f</t>
  </si>
  <si>
    <t>11349688848460368977</t>
  </si>
  <si>
    <t>0x1e1c3278400ff12b0596b118a8a601ba59e10084</t>
  </si>
  <si>
    <t>0xdbb52770a1124594b3329f619935418204607fb0</t>
  </si>
  <si>
    <t>0x7bfd1281fe24e6bd384bd9e3767fe89ad1389e20</t>
  </si>
  <si>
    <t>0xc7c50dd1acf186cfc5db9daba5bfcbd176147e93</t>
  </si>
  <si>
    <t>0xbe9bb12097fa9e26529bacdcb08b8206558cc0a0</t>
  </si>
  <si>
    <t>20761574136369584995</t>
  </si>
  <si>
    <t>0xe94d9f8b452219a688d8db0afec7b47c06c25aa0</t>
  </si>
  <si>
    <t>0x7cc38a1c382919a1b3c58019f501b3ec1754196a</t>
  </si>
  <si>
    <t>1496888591892429776</t>
  </si>
  <si>
    <t>0x57ecdc5790acf43917c66d38c2ca874ecfba6b03</t>
  </si>
  <si>
    <t>4734392434390051579</t>
  </si>
  <si>
    <t>0x8dbde3f9c970b2c1a944e0773d6b09282a0b91ca</t>
  </si>
  <si>
    <t>0xb23ccb396c62d427bc2b85a8df6ce35da684ebe9</t>
  </si>
  <si>
    <t>46255349768340535545</t>
  </si>
  <si>
    <t>0x3b19ff9de96851139405f54f7418c8468c70e3d5</t>
  </si>
  <si>
    <t>0xf979a3ed486c7bb5b29fe2e6e4acb76bc1448a02</t>
  </si>
  <si>
    <t>0xe6ad3086866f7dfa703847b95e172f145ee2edd9</t>
  </si>
  <si>
    <t>0x94bb210f55071d7c2e62cf648f34c0bc6fc54cbe</t>
  </si>
  <si>
    <t>23527218732223730518</t>
  </si>
  <si>
    <t>0xae2e69d4ed51acd6391e87d1172a0d968db38b7e</t>
  </si>
  <si>
    <t>0xe675dc013c5ae760b70f11a8a4f0f5fda6ebb849</t>
  </si>
  <si>
    <t>2208296789764872816</t>
  </si>
  <si>
    <t>0xfac240e6785a20c0d7d62587381411c8ee7e6412</t>
  </si>
  <si>
    <t>0xf62a8e42dbb2696544f92c338840ad6f94fdb4e3</t>
  </si>
  <si>
    <t>0x916fb3b05be26372c8376f3a26c4e952619e6428</t>
  </si>
  <si>
    <t>43700181644246842166</t>
  </si>
  <si>
    <t>0x8cba9e9743a0e378bfd236cc08992bcd574b79ea</t>
  </si>
  <si>
    <t>0xe73a1d0f64222e161a410a82484eeee4a4094d07</t>
  </si>
  <si>
    <t>46441845328195048407</t>
  </si>
  <si>
    <t>0x542adac70984efd105ef41e84dfb79d538818f3f</t>
  </si>
  <si>
    <t>12820561880847508545</t>
  </si>
  <si>
    <t>0x2bfc1a3af4dffd6362b185bda271efb9c603652e</t>
  </si>
  <si>
    <t>0x0f059473bc0694d7d89d7645e7f0bf2615d72500</t>
  </si>
  <si>
    <t>8041667669009381252</t>
  </si>
  <si>
    <t>0x681db3f49ae542caa13e8aa67fb67a45e54df1b4</t>
  </si>
  <si>
    <t>0xa6f9ab70da9d6ec0af3155e8926c20e8365aa4c7</t>
  </si>
  <si>
    <t>13755255291181960285</t>
  </si>
  <si>
    <t>0xb362d114f5b25ba1f2babb8abfe9bfbc296d5bf5</t>
  </si>
  <si>
    <t>0x62c989bdaaedc2078f3ed396a26a323cbcf1a57c</t>
  </si>
  <si>
    <t>0x8ac097060cd4090e7c0709532f36c7a1737df957</t>
  </si>
  <si>
    <t>0xdd93e190108146555d739dbe27c7f160bb7cedb2</t>
  </si>
  <si>
    <t>36268516373777405086</t>
  </si>
  <si>
    <t>0xfb624bc0a145a7c041ac62990815483b8bc89671</t>
  </si>
  <si>
    <t>4177691146241488650</t>
  </si>
  <si>
    <t>0x139612df42395a9a49714f7c5fe4eff25f64d79d</t>
  </si>
  <si>
    <t>0x493857062add9af663bc5698576b6dbf69e7a62e</t>
  </si>
  <si>
    <t>32672483923793515997</t>
  </si>
  <si>
    <t>0x23037e2e175675a0b266754f681cf120c2edfb32</t>
  </si>
  <si>
    <t>22393857196014916440</t>
  </si>
  <si>
    <t>0x0bcda2b744b41657b933cd099fc6c0e5b4eb8467</t>
  </si>
  <si>
    <t>15935460439612735849</t>
  </si>
  <si>
    <t>0x1ed38a0d1b35265e0e105224b76efd3ef4ba6432</t>
  </si>
  <si>
    <t>6958610112310461511</t>
  </si>
  <si>
    <t>0xc374290eae6f52d50744dd83d2a58c676fb9b3e4</t>
  </si>
  <si>
    <t>0xebdca36ea7be9c96b75240355ec1dd5e88dd8e74</t>
  </si>
  <si>
    <t>0x69477974e9bf40fbf9e469545a5a966748517f6d</t>
  </si>
  <si>
    <t>30352591557972136293</t>
  </si>
  <si>
    <t>0x40044cf4c48f5bc7abeb25073f00d69be3d668f6</t>
  </si>
  <si>
    <t>9869636241588002832</t>
  </si>
  <si>
    <t>0x98c47e507f99eb2e9b0586bd354567804073de4e</t>
  </si>
  <si>
    <t>48162956164996448129</t>
  </si>
  <si>
    <t>0xa5334b70ad891d0e132c742e9196d5e568c866cb</t>
  </si>
  <si>
    <t>42547016164916337627</t>
  </si>
  <si>
    <t>0x53fa3e0b2e014e4c4daa7b03be9692e5e1ce1db0</t>
  </si>
  <si>
    <t>47455194556513168451</t>
  </si>
  <si>
    <t>0xc52930c66d9cf8a3a3cf26922f6cbd15953eaf33</t>
  </si>
  <si>
    <t>0xa807fd89140d8f3c8205d87d7d13963470cc8ac6</t>
  </si>
  <si>
    <t>0x21f6ef52eee5ee9079d091221c920083132d3e7e</t>
  </si>
  <si>
    <t>0x2ba7e8ff960509fa912f73ba5349e7fe264c5e90</t>
  </si>
  <si>
    <t>10266266345337492232</t>
  </si>
  <si>
    <t>0x185664952d74c10a012b204ab64f29d2911dbb2d</t>
  </si>
  <si>
    <t>34089235492339745397</t>
  </si>
  <si>
    <t>0xf12b791f318b22b15892e0efed635e60f1cab2d7</t>
  </si>
  <si>
    <t>0x9f5026b8e23a2ac6fcaa79f8791cb3f23f87a66c</t>
  </si>
  <si>
    <t>0xc9b4f3d43d4da42c6247ac0dda9f96c6ff7abcb5</t>
  </si>
  <si>
    <t>41571069306479653773</t>
  </si>
  <si>
    <t>0xa1ecae78901e898fdc7051cfa39f1bf819a6331e</t>
  </si>
  <si>
    <t>0x3d33e4176034953018544cc93aa04e3c548be93f</t>
  </si>
  <si>
    <t>0xab3454f4198940432f89872023ebbd64495293b0</t>
  </si>
  <si>
    <t>0x7d8b2b1556ad6ee6687236e75ab2fbb2a70f100d</t>
  </si>
  <si>
    <t>0x58fb744fa695fe126753aa7169a133922dd0d980</t>
  </si>
  <si>
    <t>0x303e91d44e0035dd9a7cad2d7a5684a6193ffd3c</t>
  </si>
  <si>
    <t>7144582719671319602</t>
  </si>
  <si>
    <t>0x668c782b981d497e5810481b57e39fd641cec8d9</t>
  </si>
  <si>
    <t>41944878377804015082</t>
  </si>
  <si>
    <t>0xf2eae206f22afe2b9b1c71a274a85bd0d4cdeac0</t>
  </si>
  <si>
    <t>0x653133ab93ccf1ea3699d6ee8e683a4f6ab35b5d</t>
  </si>
  <si>
    <t>4276009583663763026</t>
  </si>
  <si>
    <t>0x04a361e025415b208a711cf4a38726f1f8adc6e8</t>
  </si>
  <si>
    <t>19504556343033176196</t>
  </si>
  <si>
    <t>0x21395a867d808c8565e273f3f17f23a8c4bb0221</t>
  </si>
  <si>
    <t>43169837663967717053</t>
  </si>
  <si>
    <t>0xbb9fd13e89cda5b5106fd2dce3213dd4d0c58f02</t>
  </si>
  <si>
    <t>22886111191121603472</t>
  </si>
  <si>
    <t>0xf79a4ce9bd79f43257e24986dd35c3dfc5da5460</t>
  </si>
  <si>
    <t>0xdecd3b0092525d8e5bdad43cf4bbb46f55c9d509</t>
  </si>
  <si>
    <t>0x45fb021f23376bfb6dd4628e6b751469295552eb</t>
  </si>
  <si>
    <t>32624525364274384111</t>
  </si>
  <si>
    <t>0x7ba77e50a2c06b94e526b867fdddcf29140aba2f</t>
  </si>
  <si>
    <t>47936980097999493361</t>
  </si>
  <si>
    <t>0x7c58b46d1f94f1de87afb7f5f4da1f01ff859479</t>
  </si>
  <si>
    <t>10033273690093607502</t>
  </si>
  <si>
    <t>0x0468dd2af48880af83241826dbff4f0260b4c8e7</t>
  </si>
  <si>
    <t>0x7afab1ab061627186568eddc5e963e61edebb87d</t>
  </si>
  <si>
    <t>0x92ea74a88b38c35a7856540fbed0f90864832206</t>
  </si>
  <si>
    <t>35784684607571453216</t>
  </si>
  <si>
    <t>0x6aa38efd0d7152ea4718973fdd2a08703e001b89</t>
  </si>
  <si>
    <t>3189241521777643747</t>
  </si>
  <si>
    <t>0x1233dd90d5334c8d7d0a7e14fd0b9638235402cb</t>
  </si>
  <si>
    <t>39959199739481221132</t>
  </si>
  <si>
    <t>0x052bd0a32aabeefd826453643afe04a4ceccc6f7</t>
  </si>
  <si>
    <t>0xd53076e74ab70d306bdba4c620a4f7e310817164</t>
  </si>
  <si>
    <t>2199102990761986199</t>
  </si>
  <si>
    <t>0x842b9bd8ee83a5c26efc152a9aa8df3a9ae09778</t>
  </si>
  <si>
    <t>0xa2e2e6d2c9590d83748a17778ad598c1cc571705</t>
  </si>
  <si>
    <t>0x4b6d5ef9cb7ee26a5e346e62a8d0be7853b4ac97</t>
  </si>
  <si>
    <t>47590301558003121329</t>
  </si>
  <si>
    <t>0xa36837697817cbebd148c8b377d7da08f8330a55</t>
  </si>
  <si>
    <t>0xdd9ec4614c70586490401a3808014e86743a8066</t>
  </si>
  <si>
    <t>42138013357333546203</t>
  </si>
  <si>
    <t>0x34e040ae65e8cbfde0b8e2f8bbda396f8f05e46c</t>
  </si>
  <si>
    <t>47156114497248679314</t>
  </si>
  <si>
    <t>0x2326b1f98aad6e48054c8b69a6f91fac35c7fcfd</t>
  </si>
  <si>
    <t>11721117214907229072</t>
  </si>
  <si>
    <t>0x2b9cc8553a0530e4d5bc21196e56b9e0e1f3792d</t>
  </si>
  <si>
    <t>0x8666f873bf4f874b852a0b7ec655ed5c855fb718</t>
  </si>
  <si>
    <t>0x927967a82bdcbe13fa1fc6cd95948d97dbeb6ff1</t>
  </si>
  <si>
    <t>0x0ac6a8a6433e449d450375540ecc6a10e95aab0f</t>
  </si>
  <si>
    <t>0xde4f4015507cb53147edd0e2dfd3dcf991ae7f0c</t>
  </si>
  <si>
    <t>187896922511799383</t>
  </si>
  <si>
    <t>0xfbb36eb0ec4639d8ddb31213b5d8b94505df8f98</t>
  </si>
  <si>
    <t>0x69ff5eb271735859c0ef5338d1e5334da2ba5907</t>
  </si>
  <si>
    <t>8164392303227860078</t>
  </si>
  <si>
    <t>0xa6e0753082603cf29a8251e37923ebbd5c11d60b</t>
  </si>
  <si>
    <t>0x4243628688be360fad761dc13b061cc57518da17</t>
  </si>
  <si>
    <t>0xca6951dba1f8d73385f17abc6f4be111055172ff</t>
  </si>
  <si>
    <t>0x62fc84ba0871f96f3ece8208d206d7a9c8ddb707</t>
  </si>
  <si>
    <t>12816462903610097272</t>
  </si>
  <si>
    <t>0x6f4577574b83f546b05975ffd525b3b0db3746e8</t>
  </si>
  <si>
    <t>35581029763194181165</t>
  </si>
  <si>
    <t>0xe31a3e7c014b180e0eaa4bc083cd8ab6a5a9623e</t>
  </si>
  <si>
    <t>8938010766726779529</t>
  </si>
  <si>
    <t>0x85aae89fd698ecdcf29b24d339439b9946dbaf5b</t>
  </si>
  <si>
    <t>8969168468164131879</t>
  </si>
  <si>
    <t>0x3f73527578ba191c369ba86a2bd29f8d8e5ac5a0</t>
  </si>
  <si>
    <t>0xab4b16ebe8cf340423039f6d8346e4b7ba16e12c</t>
  </si>
  <si>
    <t>0x04f4eacc7414361e7c6ec2f738a256dbe0f4dcec</t>
  </si>
  <si>
    <t>44022914070340729680</t>
  </si>
  <si>
    <t>0x02566a43dbac1cfd9f5eddc292f0fd460eae7c8e</t>
  </si>
  <si>
    <t>0x929c9d926d113561dbc547747c2dbc2a628277ce</t>
  </si>
  <si>
    <t>10613144754020306148</t>
  </si>
  <si>
    <t>0xb4664d0c383bc201b4e745f90a14d258a5a0ac25</t>
  </si>
  <si>
    <t>0x2b981037c5362748692bdc01aa8cad77dcadb402</t>
  </si>
  <si>
    <t>0xd66e848da600f74722237f24405f1797c441e49b</t>
  </si>
  <si>
    <t>0xb69e9fda00649b64387996e8e757ca1537da4ca2</t>
  </si>
  <si>
    <t>13468955872818372961</t>
  </si>
  <si>
    <t>0x6fb3af602bbdc75c03d1c5a442e2637615cc9b4f</t>
  </si>
  <si>
    <t>0xd7f0c6703be11b156b89dec6501deeb8ca1221d5</t>
  </si>
  <si>
    <t>0x8920ec757817be05eefb84b4adcced1dd935b2d8</t>
  </si>
  <si>
    <t>19348278998731654433</t>
  </si>
  <si>
    <t>0xaec9712dfb5aaabb1aa74a8ed422ff4e47a48ffe</t>
  </si>
  <si>
    <t>0x23f7084cac197f370f37993671923c3f033a6659</t>
  </si>
  <si>
    <t>0x7da73972057d25efc49da9b6dcb919fa40655104</t>
  </si>
  <si>
    <t>7252087681097543241</t>
  </si>
  <si>
    <t>0x1a0a3bc96f278c07eaf2468e483ea8301a86bef0</t>
  </si>
  <si>
    <t>0xd5bb22225c681e04d8f1f77d7d0b7453ac857e63</t>
  </si>
  <si>
    <t>47289788832613713585</t>
  </si>
  <si>
    <t>0x679c4cd7de5635de8b61e1169f681ad30ee52ea0</t>
  </si>
  <si>
    <t>45816443451643995219</t>
  </si>
  <si>
    <t>6824224196942889283</t>
  </si>
  <si>
    <t>0x633227006ada4d293fdea3a717cb5c1406f25755</t>
  </si>
  <si>
    <t>46155428493134260761</t>
  </si>
  <si>
    <t>0x1feb52be24e4bc08815f342f7027a02cab0c5dd3</t>
  </si>
  <si>
    <t>0x6eea589b494de0ab2195662d4da5a38de361de8a</t>
  </si>
  <si>
    <t>0x4014a9b15a063234b5ca6118347392208fd28c66</t>
  </si>
  <si>
    <t>4758000355455505834</t>
  </si>
  <si>
    <t>0x5e8e7a1e4b919c4548085bc8e6a3e8ac254f14a9</t>
  </si>
  <si>
    <t>6303262105719533970</t>
  </si>
  <si>
    <t>0x0b7124d03c7f8cd5010bcfdf356cca3c08230811</t>
  </si>
  <si>
    <t>0x675a8e0538f2ac00427ba1fee499bbe0a9e1796a</t>
  </si>
  <si>
    <t>42364982188041170367</t>
  </si>
  <si>
    <t>0x8206d142091ea0fcebf0e919fa2b4ea0ae4901e0</t>
  </si>
  <si>
    <t>33001162399535574529</t>
  </si>
  <si>
    <t>0x2987515d9c2da0845aaa1664efaacb227e7a54f7</t>
  </si>
  <si>
    <t>0xfe54d971803073f923c65cae2b1179301893eeb7</t>
  </si>
  <si>
    <t>0x79468f352fc8102b19007386b10e2f3589838d1e</t>
  </si>
  <si>
    <t>0xc07590b921100bc44bdea01404b0fd21835cfa0c</t>
  </si>
  <si>
    <t>17849680600530419954</t>
  </si>
  <si>
    <t>0x39efe083ed8f8a662ab601dbf6d0226864b35ee2</t>
  </si>
  <si>
    <t>25987461121670798851</t>
  </si>
  <si>
    <t>0x4f0de403b549f85d0a567a7a3c796f06c83a3059</t>
  </si>
  <si>
    <t>0xddf454dd1c07c1b0a4845563584a96d23c942e08</t>
  </si>
  <si>
    <t>7009323754934963640</t>
  </si>
  <si>
    <t>0x8cde228e26edf5f8749e0d002aa7a5d6998e2409</t>
  </si>
  <si>
    <t>27101500045796539791</t>
  </si>
  <si>
    <t>0xfc37a4e2646cfcbf9fe10165cac369a1b886a619</t>
  </si>
  <si>
    <t>48022501875349728546</t>
  </si>
  <si>
    <t>0x7abd480bdad5ccfe1acc840ce408b1336b747ad3</t>
  </si>
  <si>
    <t>45927000870791299252</t>
  </si>
  <si>
    <t>0xb07f21223ee9b1ab1b6f6db1a82483d5ea22c5f4</t>
  </si>
  <si>
    <t>15180454779608923583</t>
  </si>
  <si>
    <t>0xb44ff666d7f037f7a49fe33b8a2114c5a0c0afb7</t>
  </si>
  <si>
    <t>0x6f755270bb755be07686af68ade9b798f0ec7515</t>
  </si>
  <si>
    <t>0x7bdc78fce40ae052e17b7f3f61275510493ea838</t>
  </si>
  <si>
    <t>0xc8f9158a784503d99380078dd1e46e9d4c05d488</t>
  </si>
  <si>
    <t>26477699209666133672</t>
  </si>
  <si>
    <t>0xd762d172bfbaf2282abc5e5a11a986a093ad6dc3</t>
  </si>
  <si>
    <t>43814974662000824513</t>
  </si>
  <si>
    <t>0x7060fd8033c14df5b99c4a289129359747f22558</t>
  </si>
  <si>
    <t>44006487027874944505</t>
  </si>
  <si>
    <t>0xe202a1373c2c34eb21143df6f018c6a2b3f5944a</t>
  </si>
  <si>
    <t>14787004776463330929</t>
  </si>
  <si>
    <t>0x83540929300f6e3b3ecd8914ddcea93f482609b1</t>
  </si>
  <si>
    <t>44676232201604526305</t>
  </si>
  <si>
    <t>0xbfd139dd89b84f45d9ed02bbf743f584da44f4fe</t>
  </si>
  <si>
    <t>47843715252014903550</t>
  </si>
  <si>
    <t>0xe7122df8d1348a4251b32a940ff71163b2703baf</t>
  </si>
  <si>
    <t>0x14836cfee3624404b6c83f2458c699ea59aeeafd</t>
  </si>
  <si>
    <t>15530070835541374361</t>
  </si>
  <si>
    <t>0xbfdc9f399c26addb8ebc5f50565e2b8609d56212</t>
  </si>
  <si>
    <t>37870344512660476780</t>
  </si>
  <si>
    <t>0x15f0742df7fabf142a8125f922221c935d06cc9f</t>
  </si>
  <si>
    <t>0x291a795b107a51469c476e0e06c69ce432cefe33</t>
  </si>
  <si>
    <t>27777327188604387649</t>
  </si>
  <si>
    <t>0x1ba05de7b9e7937881a6b30493213f38a0930834</t>
  </si>
  <si>
    <t>0xd935a22742aea624ed3abec1f6a56aa0977324eb</t>
  </si>
  <si>
    <t>4774883984152064264</t>
  </si>
  <si>
    <t>0xe1cbd04b728fb7b360952a98c71a102464b957c1</t>
  </si>
  <si>
    <t>0x72cc918b23f5dd60fff5f2318d7dda57a54bd0c5</t>
  </si>
  <si>
    <t>0x13364f2b00bc5be1f792b7a85684e638deb8cd3c</t>
  </si>
  <si>
    <t>0x927d1138419418012d6131b8e950b5fb01b63b4e</t>
  </si>
  <si>
    <t>47087768292670158029</t>
  </si>
  <si>
    <t>0x1b9fda6b7af06a08c896f65526dd6b7cc6af270e</t>
  </si>
  <si>
    <t>42657510597369957487</t>
  </si>
  <si>
    <t>0xc9aa4d7a47472b5b5d0b7f64430dab4da12ec4eb</t>
  </si>
  <si>
    <t>0x7b1356c22be696a086e953716388d727dc1d86bd</t>
  </si>
  <si>
    <t>0xae6575960918530b89b086513964c828b6017124</t>
  </si>
  <si>
    <t>15131982263968440951</t>
  </si>
  <si>
    <t>0xf026e6cfef67775667d5942e419c4fc956deb162</t>
  </si>
  <si>
    <t>0x76c2c64fafa4522617d4f4cde98f4bdc8d07d3b5</t>
  </si>
  <si>
    <t>45839136721628724292</t>
  </si>
  <si>
    <t>0x36fdddb001379528bfb3d069dad6781898beee79</t>
  </si>
  <si>
    <t>4773385181367554809</t>
  </si>
  <si>
    <t>0x4dc98673ec1e90d47ced29b31fafc687f040cb5a</t>
  </si>
  <si>
    <t>0x479cea2afa57b4e2da3561793bd69e3f6a4c346c</t>
  </si>
  <si>
    <t>0xdc506b083fb487df464fd8177fc13d99bb4ed9e5</t>
  </si>
  <si>
    <t>0x8540081da57f07be8566d08ae01eeaf70d8a8574</t>
  </si>
  <si>
    <t>9921114524530173731</t>
  </si>
  <si>
    <t>0xb3efb1d334f9a02be2725632cf2f279ca79427fe</t>
  </si>
  <si>
    <t>42004703018892179599</t>
  </si>
  <si>
    <t>0xd9fb704d7a2ca357a6479039a158a0ea5e304a3c</t>
  </si>
  <si>
    <t>0xb036ba6956c35fd185dfc4b70c0c87dde5bab5c2</t>
  </si>
  <si>
    <t>7585314221611991614</t>
  </si>
  <si>
    <t>0x246e04e521b7618a9712d02f85e9dce8082dc8a2</t>
  </si>
  <si>
    <t>0x1618d5b89cee5c3e9609aeb5648fb90ad33a4e06</t>
  </si>
  <si>
    <t>12928040876900805445</t>
  </si>
  <si>
    <t>0x0ffda7ecf513b1f7f0cb487694e0ecbbfc68e9a6</t>
  </si>
  <si>
    <t>0xc2cb9a84cb1e4d7ca6ae7957766a3c98c2769823</t>
  </si>
  <si>
    <t>11592934546161547236</t>
  </si>
  <si>
    <t>0x0f7ce0a0ed53ba9d78bb2a45400292d59e38a287</t>
  </si>
  <si>
    <t>0x90dfef13105c4e15d37492fbf09452d87e2ccbcd</t>
  </si>
  <si>
    <t>0x2fbf15c83b0b714dd8a0ec3a2616a74376a4246e</t>
  </si>
  <si>
    <t>0x1b3fa51faf16cd79ccb8a79400379bc19974c103</t>
  </si>
  <si>
    <t>0xb2b183b40e9052dbe446b1e6cd9b4102c4818b47</t>
  </si>
  <si>
    <t>14127283107202154028</t>
  </si>
  <si>
    <t>0x998a7851e153d5dea228ab1cc392ebfd6a508e56</t>
  </si>
  <si>
    <t>35441237234355796735</t>
  </si>
  <si>
    <t>0x136e409d3c13dbf044d8eca5e6c22cb0a7915500</t>
  </si>
  <si>
    <t>1576398101324013761</t>
  </si>
  <si>
    <t>0x4e77fe2517da39dea84cd2db3e71519f9d1f3a20</t>
  </si>
  <si>
    <t>6951021283338515308</t>
  </si>
  <si>
    <t>0x64bf4f1a47c45facab8bbb084b0b4e8a1ade244a</t>
  </si>
  <si>
    <t>6362344483169696447</t>
  </si>
  <si>
    <t>0xbc9992131b6cae30d889ab67c821bc89cc85109e</t>
  </si>
  <si>
    <t>0xd30182b0cb6183d62e297d41c6f0743c5f575b26</t>
  </si>
  <si>
    <t>6261026502533385822</t>
  </si>
  <si>
    <t>0x6e523ec8bc51fa27fd8157e4255b03560e0a191b</t>
  </si>
  <si>
    <t>0xc543b510265847f3e6c92ca6821b48707f507fe9</t>
  </si>
  <si>
    <t>7295554553445556108</t>
  </si>
  <si>
    <t>0x207d88dae6e8c7dcce27cbfc5776e3f5ca024913</t>
  </si>
  <si>
    <t>36767385164325264975</t>
  </si>
  <si>
    <t>0x5e77cdf98612d0ae9bcf97964eddc588a59bfafb</t>
  </si>
  <si>
    <t>653411273246787547</t>
  </si>
  <si>
    <t>0xd08e399800498bd4dea311e085937e54b1aacd82</t>
  </si>
  <si>
    <t>0x0e4bed5f152c603560baaebf9b8ecd9f2cf72225</t>
  </si>
  <si>
    <t>22847208828965163157</t>
  </si>
  <si>
    <t>0xd2a5c42abd3de9a869c48cfc48f0733fd695e18a</t>
  </si>
  <si>
    <t>14591448392768966483</t>
  </si>
  <si>
    <t>0x95926cbebaf2857e0b17690bcf6218cfabc7f57f</t>
  </si>
  <si>
    <t>25218313862914350363</t>
  </si>
  <si>
    <t>0x50b7cfaca31b461d8284aab27d4b4a9c3d641be4</t>
  </si>
  <si>
    <t>0x329df71a4288bf90f39c5774dc661fec3b8ea2e2</t>
  </si>
  <si>
    <t>0xa6fb8c45f6d1c55553848649e22c9dd8220cf183</t>
  </si>
  <si>
    <t>0x00b11f62588082562e5093b1c42b7162d2160aba</t>
  </si>
  <si>
    <t>0x4058c6d571cf167056320f177cd818f08c562b69</t>
  </si>
  <si>
    <t>0x52eb245cdf61584c231f81080470c6c6ed0cb830</t>
  </si>
  <si>
    <t>0xf25ba4a7366bd6d30ee37df9e74740304e0b8f1e</t>
  </si>
  <si>
    <t>19745699521287634007</t>
  </si>
  <si>
    <t>0xddb7671abc541792f747b93a399565a1547d5af9</t>
  </si>
  <si>
    <t>0x9b2f00c3dd3220df8028e13471557f2502ed1abe</t>
  </si>
  <si>
    <t>3432028043099438077</t>
  </si>
  <si>
    <t>0x3c9547720002cdfc8fe9bb366ecb0043018ac011</t>
  </si>
  <si>
    <t>0x6011403209c35ce90e1f576b80e1427359423e31</t>
  </si>
  <si>
    <t>14969156627428631847</t>
  </si>
  <si>
    <t>0xb5dbda56f999b8edddca33fa401f780c6250844c</t>
  </si>
  <si>
    <t>0x2b2750724f70b36b57445338654e6abb75bf6625</t>
  </si>
  <si>
    <t>7475899874217910724</t>
  </si>
  <si>
    <t>0x2ea5e9e452f85f55be47504153f25740a5f3d78a</t>
  </si>
  <si>
    <t>0xb05112c2c59366ed514424e16ef7c2c155182ab9</t>
  </si>
  <si>
    <t>2884576064492600584</t>
  </si>
  <si>
    <t>0xae2dabc4c278c74a7464ca808fb16ccf172ee713</t>
  </si>
  <si>
    <t>38144245281747419341</t>
  </si>
  <si>
    <t>0xebfe3683599703f6e78e0164a5effd277f9d22ca</t>
  </si>
  <si>
    <t>8319947851517613189</t>
  </si>
  <si>
    <t>0x2a122dee3a53205faeb51d1a2fad0ed77084faf7</t>
  </si>
  <si>
    <t>0x3ec18c32dcaa7c353b27e03656ba44e53b53bd19</t>
  </si>
  <si>
    <t>0x2302af9bf79642a3bbee8b031ff1b88b620ea5d7</t>
  </si>
  <si>
    <t>20941667584531293585</t>
  </si>
  <si>
    <t>0x14d2da59e2f9069d2f8b1179985e08ba3f10ff15</t>
  </si>
  <si>
    <t>0x2addcbec729cfd1821ef115890d55a226e496f0c</t>
  </si>
  <si>
    <t>0x6cc74350d5ee3e54672692c4e3815e83df03f684</t>
  </si>
  <si>
    <t>10271648853325613701</t>
  </si>
  <si>
    <t>0x7068ce20d7fea1b79d9364048e735e93ae15b291</t>
  </si>
  <si>
    <t>0x3745a051df3ba173a0b76dc1af2491d18d3ed986</t>
  </si>
  <si>
    <t>0x0790435effa621a4d065adce03fc717f44b4cdb9</t>
  </si>
  <si>
    <t>20434051206821193640</t>
  </si>
  <si>
    <t>0x7eb0fd6a30d1ff304b8011a6b13673e1f40dfbbc</t>
  </si>
  <si>
    <t>1741108593585480048</t>
  </si>
  <si>
    <t>0xfa54642d2227d3e2629f580507a8d318f5e3d48f</t>
  </si>
  <si>
    <t>0x0b6bafaaefcea9a5832fe9003a0909668b78167c</t>
  </si>
  <si>
    <t>0xf9c148cb5cccfa6fb6ea65f8caee50eccd8b8728</t>
  </si>
  <si>
    <t>3756199203799818881</t>
  </si>
  <si>
    <t>0x67cd1609af0406cacb932fed0fb5723abde9be80</t>
  </si>
  <si>
    <t>0x95350a353cc6b61a6f5efd748577fa02ce9c31cb</t>
  </si>
  <si>
    <t>48350568320999013396</t>
  </si>
  <si>
    <t>0xd8f35ef085d202fa7cad0e0c61da737b60e1f855</t>
  </si>
  <si>
    <t>0x49212e0f59b1503ade77d0670b69462b0e74436b</t>
  </si>
  <si>
    <t>11291261939829517637</t>
  </si>
  <si>
    <t>0x29ce576899c9763953429e76fb4d6399f9cb4717</t>
  </si>
  <si>
    <t>0xa49371f4ea142a0004bf43d64c1a917ddd00acee</t>
  </si>
  <si>
    <t>37642781716788850983</t>
  </si>
  <si>
    <t>0x69cc0679edce409926c065c31141daea9a889c1f</t>
  </si>
  <si>
    <t>0x2173948d935857564805a48b9c878da29fae380d</t>
  </si>
  <si>
    <t>19609147484106130488</t>
  </si>
  <si>
    <t>0xaa14d8d36d8c140eb036364be9d5a94ddf78e171</t>
  </si>
  <si>
    <t>10117589750242836705</t>
  </si>
  <si>
    <t>0xa0faa58e05f32d11637005f342b58f2f3e30ffb8</t>
  </si>
  <si>
    <t>36554616031714858527</t>
  </si>
  <si>
    <t>0xcbfd1e4a42d629b0a7ca38028b24da3c838b8193</t>
  </si>
  <si>
    <t>0xba050b96b369d66a7c506e4e13831b861c15208d</t>
  </si>
  <si>
    <t>9297549250732501593</t>
  </si>
  <si>
    <t>0x51f6d2cf262e0ec6425425f13dd5a13c2af96548</t>
  </si>
  <si>
    <t>73176427940483901</t>
  </si>
  <si>
    <t>0x181b04d293b5f087b27d5a461f77771a514e45de</t>
  </si>
  <si>
    <t>0x0bca43d52a0e3474a8976a6546e405380a76a199</t>
  </si>
  <si>
    <t>0x63ad10b61a150bc93cb9a3ca01c131d9ee9424f1</t>
  </si>
  <si>
    <t>27522405123736793280</t>
  </si>
  <si>
    <t>0xe79f6334107a5fca525104e11bd6ab9f160edfd8</t>
  </si>
  <si>
    <t>0x09b896fa468654667449b04ec7881c87b4ffe641</t>
  </si>
  <si>
    <t>0x08511ddfc2dde31a48d5267b2269b440080e55a5</t>
  </si>
  <si>
    <t>0xacd236e309c53a1a31273ebcb86adc8a6942209d</t>
  </si>
  <si>
    <t>27095368204521780262</t>
  </si>
  <si>
    <t>0x3402936329772248865803f9b0080c0496ae4e8b</t>
  </si>
  <si>
    <t>48358134005246087535</t>
  </si>
  <si>
    <t>0x6eb57cad6d1d04b4f2a20ee9cf74b446f38914fd</t>
  </si>
  <si>
    <t>35737901383953279228</t>
  </si>
  <si>
    <t>0x3204836e12a313b7d55899c90c10b39b3cb05e13</t>
  </si>
  <si>
    <t>0xf78dcc1d6489e888c42e472ee5563bf10e819606</t>
  </si>
  <si>
    <t>0x17a611b844ff9dcd6331f058a118ba2561b0d8ba</t>
  </si>
  <si>
    <t>0xce50bb462e320af07f3a0c8798acbcf314a221cd</t>
  </si>
  <si>
    <t>0x100cee61684ee2ca9013f852deee448245d0f82e</t>
  </si>
  <si>
    <t>0x7352017db953a41389d1b07f2773a50ad7c1ae87</t>
  </si>
  <si>
    <t>9838351341531019466</t>
  </si>
  <si>
    <t>0x14e5e50964feaf9e986451dccff7a884f677ed0d</t>
  </si>
  <si>
    <t>0xd9760310eb75f27bb0d3788cff919b84419dcfe7</t>
  </si>
  <si>
    <t>18718926134556625046</t>
  </si>
  <si>
    <t>0x73bf7d44e051f32ce3e8fc33da1766f59cd63369</t>
  </si>
  <si>
    <t>14655309326856658100</t>
  </si>
  <si>
    <t>0x9070806e61f009fa96a0df6a17672c0f172b3c7f</t>
  </si>
  <si>
    <t>0xa06eccefddae343b40a08647f2e1bfac6ea919ef</t>
  </si>
  <si>
    <t>8614749520834823894</t>
  </si>
  <si>
    <t>0x7bf390ec0f5a292fd8961693d2f7e0b61f146f2c</t>
  </si>
  <si>
    <t>9903399891441229016</t>
  </si>
  <si>
    <t>0x5b2ff5bd49289213bf0235486638ce863d3a5690</t>
  </si>
  <si>
    <t>25149346351790267369</t>
  </si>
  <si>
    <t>0xd6d29de23e2b4f6b69650753c2b4518325b70732</t>
  </si>
  <si>
    <t>6302302862953264666</t>
  </si>
  <si>
    <t>0x4f4237f29cfc9d3916cfe87302cd1ab5ea6b92a7</t>
  </si>
  <si>
    <t>0xb7d1d291745f01b67f92b4a115dd57b6558cdd7c</t>
  </si>
  <si>
    <t>0x7e11b9e012f8ed4c13f5b9daf8e0ae664852695e</t>
  </si>
  <si>
    <t>0xd7a4e549f528fe9d11f39ba605d1609d108c258b</t>
  </si>
  <si>
    <t>13006395004568942252</t>
  </si>
  <si>
    <t>0xc6b9817b7c1ee805c660f5fe2627ab4b6f26711d</t>
  </si>
  <si>
    <t>34435258850912827628</t>
  </si>
  <si>
    <t>0xf1cf9db0e3ab16d00acf32b38bcbc664b9503758</t>
  </si>
  <si>
    <t>46339849237274101252</t>
  </si>
  <si>
    <t>0xd9c3f79155d25f14b0088c9b326a8dd217d484be</t>
  </si>
  <si>
    <t>0x74265476a6b0726e78f252b33837fe5713807ce5</t>
  </si>
  <si>
    <t>8624082919396224228</t>
  </si>
  <si>
    <t>0x022c73a5a43f2d4f8bb904a1584de754846386fb</t>
  </si>
  <si>
    <t>0xeadbc4a32050b6dee4558a35befb2448eff84535</t>
  </si>
  <si>
    <t>4583127051170171599</t>
  </si>
  <si>
    <t>0x099ebda9a7b4840bd04c85970c6cb4ca61b48d26</t>
  </si>
  <si>
    <t>44736560166027425540</t>
  </si>
  <si>
    <t>0xa73806a87f747161e6055fe8a62a212f71c17cdc</t>
  </si>
  <si>
    <t>25723184595222932090</t>
  </si>
  <si>
    <t>0x6c135d1ed9748d483f9cbe7d2fcef8802b7b09de</t>
  </si>
  <si>
    <t>0xb2648dbb919249ba99564d660a5eef4a3aae2845</t>
  </si>
  <si>
    <t>0x505a0617101f5820d26d59e30884ee7ab22b575d</t>
  </si>
  <si>
    <t>0x7590ae93f561ee269a6342dd730af02135481536</t>
  </si>
  <si>
    <t>9711516821999010671</t>
  </si>
  <si>
    <t>0xc999e154f1efde7a26971f44fa4c173feebc21b3</t>
  </si>
  <si>
    <t>0x6f05ba43673b5f9de00ba7d04ff4fb68d5152583</t>
  </si>
  <si>
    <t>38710927232620809716</t>
  </si>
  <si>
    <t>0x381ed019a5ee2edd5596e2579cc9ef9ea99940f8</t>
  </si>
  <si>
    <t>1811344374929402530</t>
  </si>
  <si>
    <t>0xbdf7b90fcd8116be6425c324a4524443d5e0b0a9</t>
  </si>
  <si>
    <t>46748618002949892032</t>
  </si>
  <si>
    <t>0x84625bdf7006e1b228d8ebb82202b5152dc6a542</t>
  </si>
  <si>
    <t>44093646688350257528</t>
  </si>
  <si>
    <t>0xc8fdaf6b389ce4d322c61c2c7396b409cf827b75</t>
  </si>
  <si>
    <t>0x5f8dde914a27fc368d7a91a6849da5e03e7fe1c7</t>
  </si>
  <si>
    <t>0xc4b1bb0c1c8c29e234f1884b7787c7e14e1bc0a1</t>
  </si>
  <si>
    <t>0xc9673d68c30d0beb6d11a8112cdf00bc6eccb98f</t>
  </si>
  <si>
    <t>0x9f192acb2ec58374bddf1a2c9127267aa73f9495</t>
  </si>
  <si>
    <t>0x3e8c87364716665b79401e6b59e0158d6e346eb2</t>
  </si>
  <si>
    <t>6464415460183950475</t>
  </si>
  <si>
    <t>0x59ad6907133ec46f538c4594f6c230411d830c77</t>
  </si>
  <si>
    <t>34877338001406800679</t>
  </si>
  <si>
    <t>0x011e00e5765d0d2d878c3da021f87e65422f54b0</t>
  </si>
  <si>
    <t>9681808698709398307</t>
  </si>
  <si>
    <t>0x06bcc67504e0050a529c93adf2cc87d824022086</t>
  </si>
  <si>
    <t>6844223961829954949</t>
  </si>
  <si>
    <t>0x94e1b677bd7f6996aa5e2ff2194d8a679184b7b5</t>
  </si>
  <si>
    <t>29302648597769208950</t>
  </si>
  <si>
    <t>0x463586c7886ed5360238d776a1f338e664faa057</t>
  </si>
  <si>
    <t>0x17e2e32d58a35079443891b4662d6e4abefebcfc</t>
  </si>
  <si>
    <t>9769553775118526272</t>
  </si>
  <si>
    <t>0xd1851db40bb0873344d51005e18fb2ddcd45237d</t>
  </si>
  <si>
    <t>16741285324855211867</t>
  </si>
  <si>
    <t>0xd18412d1276984e9b9881edecabd49a32f26c877</t>
  </si>
  <si>
    <t>10423459350291839179</t>
  </si>
  <si>
    <t>0x29107fe97a4e625c6c5c0ede8052f80c32cd27e6</t>
  </si>
  <si>
    <t>8021743781657262462</t>
  </si>
  <si>
    <t>0xe05b02a527d8e16c7b2992d200faac2a37a63fc9</t>
  </si>
  <si>
    <t>9764557623189908533</t>
  </si>
  <si>
    <t>0x70f308afd333eae9f78b9df48aac828dbcef153c</t>
  </si>
  <si>
    <t>4946945957434737434</t>
  </si>
  <si>
    <t>0x57ccf5e6fb8cb08ac22820b1200217b174fc1c95</t>
  </si>
  <si>
    <t>45079096898615634183</t>
  </si>
  <si>
    <t>0xaa73a7ee0c54f771791ffaf474254552e8aaaf6d</t>
  </si>
  <si>
    <t>9731276842761797011</t>
  </si>
  <si>
    <t>0xffeb3f663b2983e3f231e079d1b69f1247539bc4</t>
  </si>
  <si>
    <t>0x3df58fda18ff4cee1c8dd1779eccd9776367b2f5</t>
  </si>
  <si>
    <t>0xbfedb49b7e15a097eef5549b4b9070dc2d2e83ac</t>
  </si>
  <si>
    <t>0x57fbf190abfb204046140370aa3ed87e8934cbbb</t>
  </si>
  <si>
    <t>0x428795a32cbd5c431fed3ddcc9ca2afcb31b8b84</t>
  </si>
  <si>
    <t>27187185977652904761</t>
  </si>
  <si>
    <t>0x729c7b211cd3a4ec2e93fc6ffbfc7f53ae75fa42</t>
  </si>
  <si>
    <t>10908291317738095134</t>
  </si>
  <si>
    <t>0xa1c17f4385d648e9a164a7758b54e529c9e225d8</t>
  </si>
  <si>
    <t>13069737743987408445</t>
  </si>
  <si>
    <t>0x63f0d259f74c839a566f04b1aa40395a7d564177</t>
  </si>
  <si>
    <t>14127996127890518656</t>
  </si>
  <si>
    <t>0x62977a1f4d510929ac52909134f838e0f840780c</t>
  </si>
  <si>
    <t>0xa5c3339ec7b653dd808ccc1b421a619cdad3da47</t>
  </si>
  <si>
    <t>0x9d226f4e67a0d3019e1e6d075d48c241e52065a4</t>
  </si>
  <si>
    <t>0x48457be3957f084b5dc8e504356dd0c1760411d9</t>
  </si>
  <si>
    <t>33576249790381668020</t>
  </si>
  <si>
    <t>0xe9015583c8cfc67a00dbebb28b089b820aabaabc</t>
  </si>
  <si>
    <t>0xa749d635b774f8366b0b9cde970edaf828ae57bb</t>
  </si>
  <si>
    <t>33308227128855264291</t>
  </si>
  <si>
    <t>0x0a1c6f1638adbe3873c7e8dad6c0e3b08285ba07</t>
  </si>
  <si>
    <t>27191867379697110968</t>
  </si>
  <si>
    <t>0x2035f3fb95080b4922964371133eba1fe7d4cb2b</t>
  </si>
  <si>
    <t>0x6dab2676215c09d9465819152e14444c40bf8137</t>
  </si>
  <si>
    <t>19485920896959639615</t>
  </si>
  <si>
    <t>0x3d319ad11b62a7e178f835734e10643962a18e8a</t>
  </si>
  <si>
    <t>29170204189591930061</t>
  </si>
  <si>
    <t>0x8eb5ec9ccd4f1c091c947cfd7682bc48c72adcfe</t>
  </si>
  <si>
    <t>0x2daffeddb402a9ab6009c7413abdcf8566f64bac</t>
  </si>
  <si>
    <t>0xa339ba9a5344a88faf96b8916664abdef32aa199</t>
  </si>
  <si>
    <t>0x8bcd15484534fbda2c4ce4cbef0fed059b43a845</t>
  </si>
  <si>
    <t>4221003107796178425</t>
  </si>
  <si>
    <t>0xf279ebf88d44094f8820c049bd7b926539b07761</t>
  </si>
  <si>
    <t>19707347523935740539</t>
  </si>
  <si>
    <t>0xeca9938c7114f2c0b7e8488a9301d6358bbc7e4b</t>
  </si>
  <si>
    <t>0x940f5293be23c4d06f9f561f2df79457d3782e1e</t>
  </si>
  <si>
    <t>0xa71730d5bd359ed86d97a4faae356649a43e3781</t>
  </si>
  <si>
    <t>5167615497360617609</t>
  </si>
  <si>
    <t>0xa4c8acdbc448081776212d943056599ead5436e9</t>
  </si>
  <si>
    <t>0xf96a6f40d107a0f44f758f90716994b01ef564ff</t>
  </si>
  <si>
    <t>24356902880012981482</t>
  </si>
  <si>
    <t>0x391478b40bdd5440e187a7bf3401528c9b39bf16</t>
  </si>
  <si>
    <t>6765955981957846378</t>
  </si>
  <si>
    <t>0xc820e1ca7010705226a66e998de99df2002bbce8</t>
  </si>
  <si>
    <t>47784815842341408243</t>
  </si>
  <si>
    <t>0x07ef39ca542927137c7e5940a10330ec6b6a624a</t>
  </si>
  <si>
    <t>0xceea7a82d7a3d76da7543ff91cf208cf4086a12f</t>
  </si>
  <si>
    <t>38133654434627000883</t>
  </si>
  <si>
    <t>0xc669502bd5cc7b1ff538257ab5e289e972d83ec3</t>
  </si>
  <si>
    <t>0x0b35c3ca64919c91685abdfa92755cc710831f4c</t>
  </si>
  <si>
    <t>18650467671712128786</t>
  </si>
  <si>
    <t>0x3c7898c61ddd993e107be9b904479880a85ed4ec</t>
  </si>
  <si>
    <t>11689463428969126024</t>
  </si>
  <si>
    <t>45792889877683597113</t>
  </si>
  <si>
    <t>0xf63a899d5909a88cb8fedd636c0190a81990d0a8</t>
  </si>
  <si>
    <t>48296820423301021589</t>
  </si>
  <si>
    <t>0x81c3594dac8e548acbb2cf547ddce13772aca415</t>
  </si>
  <si>
    <t>30297700923536318677</t>
  </si>
  <si>
    <t>0x79b7232f049e3847da41a8d6afd478c5771fb67c</t>
  </si>
  <si>
    <t>0xc8f06894f521296b288a35527d9db37e1b02bccc</t>
  </si>
  <si>
    <t>0xa3f32cf7c2f0a989c0a1c212e86bffe4f0eb5941</t>
  </si>
  <si>
    <t>1150434606294563695</t>
  </si>
  <si>
    <t>0xc2194a11d1d7a25531398447f21a93aff65e48c4</t>
  </si>
  <si>
    <t>0xfc6e4a6945fb6d532e03c12dec18350168644b8b</t>
  </si>
  <si>
    <t>0x8cffad5e02a7d55725e3e62c259f7ed2c8682c67</t>
  </si>
  <si>
    <t>45551598913860266897</t>
  </si>
  <si>
    <t>464857074918061023</t>
  </si>
  <si>
    <t>0x7e1c1e11d1ed13c36f6b270f8001adabf39e4435</t>
  </si>
  <si>
    <t>0x1880e479cf991d88a539453183b1c27838bc9360</t>
  </si>
  <si>
    <t>4634151573610146583</t>
  </si>
  <si>
    <t>0x7d5e216060a7cf43c6b88dc68fa7f5e2ac720740</t>
  </si>
  <si>
    <t>16993828702893094362</t>
  </si>
  <si>
    <t>0x9ee1761373ceb3226fe26f5500c3c9805d6d043b</t>
  </si>
  <si>
    <t>0xb375e1fb98da538c4b49ba9a3a66351705549144</t>
  </si>
  <si>
    <t>19391876457351680993</t>
  </si>
  <si>
    <t>0x7be6320688a526f45b5e8a315d3f408df00a0933</t>
  </si>
  <si>
    <t>0x160c316c3354db9d497ee958b2da5b72b5803a94</t>
  </si>
  <si>
    <t>10220568199347263895</t>
  </si>
  <si>
    <t>0xf2b8e9c67e842db67c9d48346bf50c347b117a04</t>
  </si>
  <si>
    <t>10129668247321601921</t>
  </si>
  <si>
    <t>0x3d42c725d9cbf782d1476cc704e7500f0cf58d8d</t>
  </si>
  <si>
    <t>0xe8b912f186f71eb61a5edceb6e9ac62981bbd3da</t>
  </si>
  <si>
    <t>8811842615751569900</t>
  </si>
  <si>
    <t>0x36e8d3a7dd6a8102179542d6cd2cb6f15c280194</t>
  </si>
  <si>
    <t>23944871866302247064</t>
  </si>
  <si>
    <t>0xdafabd67d8b3593acb53e96ab70aea4bad3da9a2</t>
  </si>
  <si>
    <t>0x2a1389ceda12d40bab52f6d3c63805bcfdaa85d2</t>
  </si>
  <si>
    <t>9773015528282570459</t>
  </si>
  <si>
    <t>0xf40dd96b1ce42f0a8fa4fa5e18052873d1391707</t>
  </si>
  <si>
    <t>4845915327887000933</t>
  </si>
  <si>
    <t>0x833f173a7e05868f808d3ef6b60ef3b159d449ce</t>
  </si>
  <si>
    <t>41059186161903246095</t>
  </si>
  <si>
    <t>0x3a051b2a13c98d5d900f3d83ada3baeb4bd8acbb</t>
  </si>
  <si>
    <t>0x9a8fbafaf36f7cb6ee1cf0197bb8cec37501219a</t>
  </si>
  <si>
    <t>0xa8d51951672bee9571f8b21f77b60c2433cee857</t>
  </si>
  <si>
    <t>0x8d3706e5c85b40a2588731e1e93eb99ddedda419</t>
  </si>
  <si>
    <t>9816399979463131099</t>
  </si>
  <si>
    <t>0xcf139e2e5d0f6894c5e3b3bdf7f5abeaafe5f37f</t>
  </si>
  <si>
    <t>0x6dcb373aeec6c47251fc296664ca2f7f74f2c19b</t>
  </si>
  <si>
    <t>0xc916074b8ffc623898a0c9da9d9b088d89c09ae5</t>
  </si>
  <si>
    <t>0x6d79ade3f835cf7b24b74af9fda542fc941c0579</t>
  </si>
  <si>
    <t>31973377337118154787</t>
  </si>
  <si>
    <t>0xa09a4e0f859fa3ea48c9132a973ad39607fe9a87</t>
  </si>
  <si>
    <t>83966984453457575</t>
  </si>
  <si>
    <t>0x1286b9a9378ad43492862adb46621b4c7ef29d4e</t>
  </si>
  <si>
    <t>0xead3f696b25da755060d51b77179fef8d907310a</t>
  </si>
  <si>
    <t>38777868852914036472</t>
  </si>
  <si>
    <t>0x8facb83aec9d41bda3c893a25fe7590237fd5dd8</t>
  </si>
  <si>
    <t>43165688052132038975</t>
  </si>
  <si>
    <t>0x741b150a2d750c304401a569bad735e0cfc363d7</t>
  </si>
  <si>
    <t>38672094185477014925</t>
  </si>
  <si>
    <t>0x2f964de86487a50e44ec10be1703256ef811fe68</t>
  </si>
  <si>
    <t>0x82f38a4cd3c327578656ca7052892db84d266c9f</t>
  </si>
  <si>
    <t>0xa38f0392853e37963f8f60f80d8661ac79214a81</t>
  </si>
  <si>
    <t>0x3ddc6cf7b843d2653ab1cafa3004f2d55164cdf6</t>
  </si>
  <si>
    <t>0xce87d5250467b5e21219ddb9aa45dffa8df478e7</t>
  </si>
  <si>
    <t>8636607321737153336</t>
  </si>
  <si>
    <t>0x602fbda816e9c95b03c4aab11dcc572595ced21e</t>
  </si>
  <si>
    <t>13812987083878177714</t>
  </si>
  <si>
    <t>0xe0ee3e8fc070d0fefbc17245dec04c79aa2e7818</t>
  </si>
  <si>
    <t>45132281396177113773</t>
  </si>
  <si>
    <t>0x39d702949866b558a8900ad513a0ab348ed64afe</t>
  </si>
  <si>
    <t>0xe09be4c3952e9da63bcde61dff17f6aad7a11057</t>
  </si>
  <si>
    <t>0x0dd0da0bdd76da7ee19beabb47df2d3210a53692</t>
  </si>
  <si>
    <t>9886309050083332683</t>
  </si>
  <si>
    <t>0x9d7178c48617fcb2db3013147976df3f2b7d107d</t>
  </si>
  <si>
    <t>882361501434290494</t>
  </si>
  <si>
    <t>0x5498f0a139f932db84554867c9b19b7654746ac0</t>
  </si>
  <si>
    <t>0xfa472b0e0b3b98f966051c6512dfa71efa0242b5</t>
  </si>
  <si>
    <t>0x7a859183a99ec1347555063cf10147e7f83e2708</t>
  </si>
  <si>
    <t>19372180587735025496</t>
  </si>
  <si>
    <t>0x1388caa4d8864fcb2a9bd5990d6a000a9e3b74ec</t>
  </si>
  <si>
    <t>0xcd09ba3890706f1247bab7f680171bcdb1ef7572</t>
  </si>
  <si>
    <t>5395953887661169539</t>
  </si>
  <si>
    <t>0x26e4a4add9de6bebef1d5141ace1e07fc3aaceb1</t>
  </si>
  <si>
    <t>19439258973849387295</t>
  </si>
  <si>
    <t>0xb71b0e38adefe343344295ead5befe793578046c</t>
  </si>
  <si>
    <t>30347100704298787860</t>
  </si>
  <si>
    <t>0x1cf79079bf669c65b2bb2fdac958973b0089b03e</t>
  </si>
  <si>
    <t>0xb840ee91a9d52fc6cfcad18e620140162a3f7c78</t>
  </si>
  <si>
    <t>0x33d85afedad839129a487da2c012d83dfe02d5b7</t>
  </si>
  <si>
    <t>46855018939234851302</t>
  </si>
  <si>
    <t>0x0308677ffe2a3c1aa8524f9babc94b8baec9b0ea</t>
  </si>
  <si>
    <t>0x3af047f3a14895a005469d8a614bf3e353d336f0</t>
  </si>
  <si>
    <t>0x7d1fdb070e3f6b3eca88ee10a526a41e1a6a74b8</t>
  </si>
  <si>
    <t>31014244997626902507</t>
  </si>
  <si>
    <t>0x1aa163026844388c3289dddc1f158129cfa130ab</t>
  </si>
  <si>
    <t>5940021258506991058</t>
  </si>
  <si>
    <t>0x8cbf3bc2bad71b68e297ec9ae0c05d62cadbe25c</t>
  </si>
  <si>
    <t>9229592314200550712</t>
  </si>
  <si>
    <t>0xe717ed92443970239b13a7e6b201de67a456e2d8</t>
  </si>
  <si>
    <t>0xe41a255890116cefa1e917d7d09ceb39b7d3247e</t>
  </si>
  <si>
    <t>28003397862468948010</t>
  </si>
  <si>
    <t>0x8f1ac2abe5f6b438dd0a7ef84f8ff49674a2755d</t>
  </si>
  <si>
    <t>19440575369166836248</t>
  </si>
  <si>
    <t>0xac4340f99e557bb7bfbf5cd0751ea1cb0a51f0bd</t>
  </si>
  <si>
    <t>6340618539219370034</t>
  </si>
  <si>
    <t>0xe9bd0ab4bc46e0465e0b7d14a1b3f2f6839fb998</t>
  </si>
  <si>
    <t>33862525622838747278</t>
  </si>
  <si>
    <t>0xdbc5bd0822f1eb61557b13bbba0c604665d5444e</t>
  </si>
  <si>
    <t>20267201556709249470</t>
  </si>
  <si>
    <t>0x23b6e0b1b38e039715ca25f93867f49e12912ce7</t>
  </si>
  <si>
    <t>0xd4388e6c9274ade042b33f5b863b1303ce090e3d</t>
  </si>
  <si>
    <t>0x35499d887fd7c479d6e949bbb42d8cc4b445a1a2</t>
  </si>
  <si>
    <t>19482065963437407681</t>
  </si>
  <si>
    <t>0x29d6d6d84c9662486198667b5a9fbda3e698b23f</t>
  </si>
  <si>
    <t>43663151065929406998</t>
  </si>
  <si>
    <t>0x07266611a9000c0225cf1501020ff0b058f0e6cb</t>
  </si>
  <si>
    <t>0xdec8797370570dc933d8c0dab3c293ed35c040c5</t>
  </si>
  <si>
    <t>0xe997db0da62a4065eed19c8432f6bc8288e38e61</t>
  </si>
  <si>
    <t>38720130108683147024</t>
  </si>
  <si>
    <t>21704826999335354940</t>
  </si>
  <si>
    <t>0x73b88413ada5088c86eff8c6c826e231c69435c9</t>
  </si>
  <si>
    <t>0xd69ce1bc0d0ffc44d6a751f39833fbe5ac94b0e1</t>
  </si>
  <si>
    <t>0x28f7d35bd8e518e29c19f3274451b82f3c5623d8</t>
  </si>
  <si>
    <t>2745974233701163429</t>
  </si>
  <si>
    <t>0x6745288f82b5d48289f8740596241b761cb78b2c</t>
  </si>
  <si>
    <t>0x685aa5ecec2700054945885ecb1aafb56ebbe386</t>
  </si>
  <si>
    <t>46234619949624478538</t>
  </si>
  <si>
    <t>0x46609553fb9940ecee893ca810060b3ee4d8216f</t>
  </si>
  <si>
    <t>41391940975701961171</t>
  </si>
  <si>
    <t>0xd6d729166a2adc26f6a02beb105057b3f3066a19</t>
  </si>
  <si>
    <t>40213117160063362072</t>
  </si>
  <si>
    <t>0x95d7ae61d7c6982e98b2a142b0074685b3a6057a</t>
  </si>
  <si>
    <t>0x4e7b1f5d52889144eb73ed4aff7b2dbaa511c6f3</t>
  </si>
  <si>
    <t>0xe121bd1ae65971c7372915623ec31be98175d063</t>
  </si>
  <si>
    <t>46718723018187143154</t>
  </si>
  <si>
    <t>0x2c0a751f0029048a43e70107e625b1282326beb9</t>
  </si>
  <si>
    <t>9757636080445400165</t>
  </si>
  <si>
    <t>0x066579164d50119a1f47bf0f4f8adfabc0604745</t>
  </si>
  <si>
    <t>9672825668687389603</t>
  </si>
  <si>
    <t>0x96b98abfa967193b0baa70a0c13953e252ace6ef</t>
  </si>
  <si>
    <t>0x60a789530020f1df44a2e3592b66ef73a6ac33a8</t>
  </si>
  <si>
    <t>6348967833031726328</t>
  </si>
  <si>
    <t>0x0b3d45f183ba7184fd4bbfa1f720a9863ad0ff40</t>
  </si>
  <si>
    <t>8884043247416164452</t>
  </si>
  <si>
    <t>0x3b9e8f764ecbe645f4bfec1a3c6fa1c8ee855106</t>
  </si>
  <si>
    <t>46026717192492240138</t>
  </si>
  <si>
    <t>0x8dbba3bd4bddecd23dd68d1f1d5ecaf594082dd4</t>
  </si>
  <si>
    <t>4801141208346865804</t>
  </si>
  <si>
    <t>0xbc28f6bed5cf542af0d3e617b43a06d60208130a</t>
  </si>
  <si>
    <t>0x1a2cf16941505fed6a60ebbb339096cf4cac8b92</t>
  </si>
  <si>
    <t>0x9e9f1cc85fdf587bb485dee861e79c7d851e07ae</t>
  </si>
  <si>
    <t>0xb55fe5fa41d6a4b1b9b9c95747a22300c665da99</t>
  </si>
  <si>
    <t>48151744174546750629</t>
  </si>
  <si>
    <t>0xa1cd4902aba7c32fa5e046f289bee880936f223f</t>
  </si>
  <si>
    <t>0xfba0a4c751cdd93fd4c1a932af495edf0eafa1b5</t>
  </si>
  <si>
    <t>0x7a0f05b15624f2c6047fad7381a93be58b410bc0</t>
  </si>
  <si>
    <t>0xa10d89d792378e651e67899ad7600e9f7e3eb429</t>
  </si>
  <si>
    <t>3519949624849093194</t>
  </si>
  <si>
    <t>0x9852d62f01953f7b421912067c38da346571c453</t>
  </si>
  <si>
    <t>7165006264336101100</t>
  </si>
  <si>
    <t>0xf4835f23cb4391a4fc6b1139041284e7eaeb9fe4</t>
  </si>
  <si>
    <t>26016802370748146206</t>
  </si>
  <si>
    <t>0x82c55f206e3c919e2e35f9a34ae3559d3ec608d2</t>
  </si>
  <si>
    <t>35617342731614947692</t>
  </si>
  <si>
    <t>0x6d5f1a6f03956c0d0c2a92d0a9f7ebb91c0aceb1</t>
  </si>
  <si>
    <t>0x18f97de35feed44b02bb8ce55fc324c7d31a3731</t>
  </si>
  <si>
    <t>19778661123236021984</t>
  </si>
  <si>
    <t>13309894127639268875</t>
  </si>
  <si>
    <t>0x07696e726470a2bce928ad2abe50824aaeadceac</t>
  </si>
  <si>
    <t>2818943691370529428</t>
  </si>
  <si>
    <t>0x6159475f9817a01d1bd4489d7ee925926d22d7a0</t>
  </si>
  <si>
    <t>4314395937198864588</t>
  </si>
  <si>
    <t>0x8ef7ce19e2e3b9582d3f1c056c92038806ff8eb5</t>
  </si>
  <si>
    <t>10236243500225787002</t>
  </si>
  <si>
    <t>0x285c782c4e1cbd2f2bed1b01abd0c8f27dd1ffb4</t>
  </si>
  <si>
    <t>0x6d3b65fe59885bca1e690f22d54b3d1d1ee0f1aa</t>
  </si>
  <si>
    <t>38300116917748651988</t>
  </si>
  <si>
    <t>42247779941524181394</t>
  </si>
  <si>
    <t>0xa0c498b11caf35b38af174ce11a1432502ba7722</t>
  </si>
  <si>
    <t>0x661de65b066b1783ff18f54c73f7b21ea3f1d2e4</t>
  </si>
  <si>
    <t>0x0b6eefc92a0c5ae35beca92df541b363035c9a32</t>
  </si>
  <si>
    <t>47283215598544695509</t>
  </si>
  <si>
    <t>0xe602c0b88d151de946930ff863f2149d1cc59125</t>
  </si>
  <si>
    <t>47963026916649564990</t>
  </si>
  <si>
    <t>0x589056d5f3d4665f7e9a76869a68dc85eabc5a53</t>
  </si>
  <si>
    <t>0xfc6f290f92ff0aa9c1f0f54b75ebe385219ca310</t>
  </si>
  <si>
    <t>10408464381557589943</t>
  </si>
  <si>
    <t>0x33b8dedf5a7ecadbe58d0c7e1badd56ddf37e6b5</t>
  </si>
  <si>
    <t>10003632146216243321</t>
  </si>
  <si>
    <t>0x81ba05f49f2df0f4fb605da8e0bc607c4e0d7eb7</t>
  </si>
  <si>
    <t>26784250530417083355</t>
  </si>
  <si>
    <t>0xaebe6883ab8b5c56c14956229497b38dd1531c75</t>
  </si>
  <si>
    <t>0xa016ccf9b75e432254579c1f4056603106b193ea</t>
  </si>
  <si>
    <t>9998923674758697040</t>
  </si>
  <si>
    <t>0xa2c8e2b42648d65aae25ab2a8b8777772560918e</t>
  </si>
  <si>
    <t>45367425519982240420</t>
  </si>
  <si>
    <t>0xc3c76633936f0cd35bf40137ac1aab2ad4186661</t>
  </si>
  <si>
    <t>6755136885984509959</t>
  </si>
  <si>
    <t>0xd9c33e32c7db8d97521b14ec918c8598115635dc</t>
  </si>
  <si>
    <t>30466899654753149307</t>
  </si>
  <si>
    <t>0x87c97b87d14dc8d50d80ad65c3fe23555306766f</t>
  </si>
  <si>
    <t>0xfedcc6ea3d083b2d85546176931ec28291a784d0</t>
  </si>
  <si>
    <t>5418940054198902085</t>
  </si>
  <si>
    <t>0xbb929a095b0228c34f79ba9931488ec9c5d392a2</t>
  </si>
  <si>
    <t>19926020571033827223</t>
  </si>
  <si>
    <t>0x0819a882be0d59b40e34d798cfe3754341674c83</t>
  </si>
  <si>
    <t>22867360577097551908</t>
  </si>
  <si>
    <t>0x147dcae893b73d19d4d0e4054208d3a35df03f6b</t>
  </si>
  <si>
    <t>48290680596808799371</t>
  </si>
  <si>
    <t>0x2c1271e61e1d4afd54a1cde802003f04bf8c3e82</t>
  </si>
  <si>
    <t>547885014741440017</t>
  </si>
  <si>
    <t>0xc7aebe92fded3107f69319952b307ee8d92a607a</t>
  </si>
  <si>
    <t>48172568200348025229</t>
  </si>
  <si>
    <t>0x63c839b6b8c94204a0560c9dcb3f6849e6e61ead</t>
  </si>
  <si>
    <t>0x07b293d2fc0e61544674ca4b2fb0ff4cf9c6e984</t>
  </si>
  <si>
    <t>48065660866015847234</t>
  </si>
  <si>
    <t>47215827498062843525</t>
  </si>
  <si>
    <t>0x78658734e685ce5d15ed3d4cff523471269ad759</t>
  </si>
  <si>
    <t>0x400a5df31cbfca7e8483c3b230af4ec64647cc32</t>
  </si>
  <si>
    <t>5817655825268078553</t>
  </si>
  <si>
    <t>0xb658acc06762cf26e47e4e2776b1855cf1554938</t>
  </si>
  <si>
    <t>34464088082108776242</t>
  </si>
  <si>
    <t>0x830ddeb2a2e6eb5ef2b0f964e475d36693c27726</t>
  </si>
  <si>
    <t>34703944986685435848</t>
  </si>
  <si>
    <t>0x189917b58b3832625fd0a429aa14e49d5e39a68b</t>
  </si>
  <si>
    <t>10012341695668501939</t>
  </si>
  <si>
    <t>0x02396790f97bd4d403f4a3ba9865095fcbb0a0ce</t>
  </si>
  <si>
    <t>0x638322ed2deeb76cb10f02d7a31a0303264e5bd2</t>
  </si>
  <si>
    <t>7157890884740306866</t>
  </si>
  <si>
    <t>48356215860477646260</t>
  </si>
  <si>
    <t>26723381140350489298</t>
  </si>
  <si>
    <t>0xcd12fe10c9112a2d1792decd0fc747d28b7d96f4</t>
  </si>
  <si>
    <t>0x88ee837d310515bcbceb582fce181136eb119dad</t>
  </si>
  <si>
    <t>44286334890246012754</t>
  </si>
  <si>
    <t>0x14664504f79e2ade8fb64ad8c46f4e4936421e3f</t>
  </si>
  <si>
    <t>865676176294847276</t>
  </si>
  <si>
    <t>0x9cebf76164ca50d40fc50600c71ed95366d975d5</t>
  </si>
  <si>
    <t>0x818f0e05be38f947cd33492e61cb3b32492270b6</t>
  </si>
  <si>
    <t>45408552903494873520</t>
  </si>
  <si>
    <t>44674073553500520368</t>
  </si>
  <si>
    <t>0xbf3389d58174410681edea70fd8cac3b8c272f44</t>
  </si>
  <si>
    <t>2365109294231170717</t>
  </si>
  <si>
    <t>0x90652f684a6cdc75e7e6f4df6c8f08b6347012e7</t>
  </si>
  <si>
    <t>0xb87399074b6583dfb27790caefac4cfb62752f02</t>
  </si>
  <si>
    <t>0x53e9c9850d1120b85b2c20564d44c9eb6e1fd1a4</t>
  </si>
  <si>
    <t>11586773728346926294</t>
  </si>
  <si>
    <t>0xde11b75525a09c4d444ea8ee57921a4d5fbf702e</t>
  </si>
  <si>
    <t>0x0b4fe6bab6ecbe7e120ea256cfc2ceec99075be1</t>
  </si>
  <si>
    <t>0xe7683823297d6922f5daf1ca93914713014be08d</t>
  </si>
  <si>
    <t>9916001181483969003</t>
  </si>
  <si>
    <t>0xf484c7ae1b29f00518f875350302cb92329891be</t>
  </si>
  <si>
    <t>18829165200928113537</t>
  </si>
  <si>
    <t>0xc22fa161047135dd0a0bad933e85c20020b69023</t>
  </si>
  <si>
    <t>593389558355965154</t>
  </si>
  <si>
    <t>0x63e713196b0e71f1e182c9d78799260622bb2e6e</t>
  </si>
  <si>
    <t>0x5de0aa66d5a07b9fe1147f83eb0a78e3749c3ee1</t>
  </si>
  <si>
    <t>0xbab3a8177cb8e91b51e84c4c9a1b4ee78cf3cec6</t>
  </si>
  <si>
    <t>140588488352578618</t>
  </si>
  <si>
    <t>0xe98dbb3f44fb106b7cb3aad4296f659e3fbffc2e</t>
  </si>
  <si>
    <t>18681061131003639584</t>
  </si>
  <si>
    <t>0x0c7c1102c7559a4919769bd93f2cdbdbc792a7f3</t>
  </si>
  <si>
    <t>20150053214291680646</t>
  </si>
  <si>
    <t>0xc5a651c5e83d5de93ed8de3eb0d000d4bdf61713</t>
  </si>
  <si>
    <t>0x57492f91e97ba5744482863eea1c93e87d9cb06c</t>
  </si>
  <si>
    <t>0xb5209168e10d55db12339ef110917fe584d7b13e</t>
  </si>
  <si>
    <t>4085661528953235569</t>
  </si>
  <si>
    <t>0x6a551d451ebb019bf66c94d31f4d5d0fe03d7cf2</t>
  </si>
  <si>
    <t>13536960213447559973</t>
  </si>
  <si>
    <t>0x864e1d6b3ca5abfc5577ee49a77c9e26329a22f1</t>
  </si>
  <si>
    <t>5752784785864286824</t>
  </si>
  <si>
    <t>0x7d2e2eb561565babcc31e116d66ab568d6a3b0f4</t>
  </si>
  <si>
    <t>0x5bca1651c6216811c5ea7da40d070e8e2e7058b1</t>
  </si>
  <si>
    <t>0x716aa2ead00881360f7ea6876b91ee629fff5ba8</t>
  </si>
  <si>
    <t>0x053e4d7d32d7e1fe5ae36727795893a06fdc9fb8</t>
  </si>
  <si>
    <t>9608082992595714228</t>
  </si>
  <si>
    <t>0x57858bdcf73bf5ba253452cf24ea6fa35e4410fc</t>
  </si>
  <si>
    <t>30809198184116058628</t>
  </si>
  <si>
    <t>0x1e6a8be8f1b448c0b77c05a8f8d37e0816aaed7e</t>
  </si>
  <si>
    <t>0xa38fdee1fa8d71248fd50575e69dabb317c69ba8</t>
  </si>
  <si>
    <t>0x577fe43b8c2296a342d8fb7b43f69ed40f626e08</t>
  </si>
  <si>
    <t>20915598455197965895</t>
  </si>
  <si>
    <t>0x5079ee60800af716a1159b41f47551f6e72a7ac2</t>
  </si>
  <si>
    <t>2231642967074659684</t>
  </si>
  <si>
    <t>0x0428aa2f220a037178d6599aea500287478e4f72</t>
  </si>
  <si>
    <t>0x61f4e0111ca69a2547b56ce9e6a93d38b02175d3</t>
  </si>
  <si>
    <t>0x8fbfd7a58e4fb05b5c949fe477e07e2ee5901b9f</t>
  </si>
  <si>
    <t>8816425693179778503</t>
  </si>
  <si>
    <t>0x1dc429c8f37019f560a7bbfe7a2b7f4bc1569db5</t>
  </si>
  <si>
    <t>0xed07099f72fcd570f0e5a5b81719553eb986294f</t>
  </si>
  <si>
    <t>38014196296646371039</t>
  </si>
  <si>
    <t>0x49d1978dce1a788a0e33ac59c004e5fee4093e95</t>
  </si>
  <si>
    <t>34000313928863980863</t>
  </si>
  <si>
    <t>0x4b827d673ce4fe2b1b1f1daac409fbe6f1211313</t>
  </si>
  <si>
    <t>39828459868294461597</t>
  </si>
  <si>
    <t>0x3cea62add13c034cccee6ff6bfa4f0fd6d6727f0</t>
  </si>
  <si>
    <t>19343300128660024742</t>
  </si>
  <si>
    <t>0xb41d30c1a700843f12e49adf1c6c3a8260e86dd3</t>
  </si>
  <si>
    <t>169177296404841237</t>
  </si>
  <si>
    <t>46154529638271591623</t>
  </si>
  <si>
    <t>0x3c63bde97bd6757c372b1a3c55c8033c3ef13f9b</t>
  </si>
  <si>
    <t>2291792342789934428</t>
  </si>
  <si>
    <t>0xcaf15b443812b88155d896353df4dee5036eea61</t>
  </si>
  <si>
    <t>0x74a1b835529d251637b4e48562abbea146f913d7</t>
  </si>
  <si>
    <t>0xdc1f22f1c2f671fefa88afe4e4f28ca7acdb8f77</t>
  </si>
  <si>
    <t>816970070179153334</t>
  </si>
  <si>
    <t>0x5595c66580a6c7c3a4c52c444174679ff3384e9f</t>
  </si>
  <si>
    <t>0xe4e001a3bce89eeb53e5e7e8361a59c28731b807</t>
  </si>
  <si>
    <t>0xe38c101875e034bc5ff90d8d77c81e646aa207ba</t>
  </si>
  <si>
    <t>46671047196769678713</t>
  </si>
  <si>
    <t>0x1f91c515d14ef38367336b1d04513c02956605b9</t>
  </si>
  <si>
    <t>40704648532553604450</t>
  </si>
  <si>
    <t>0x86e295eb76b8188f76b1a4c71e74463d0ecf2eff</t>
  </si>
  <si>
    <t>0x6c7ce82710166e5e7f18b5ff9f62097625a1eec4</t>
  </si>
  <si>
    <t>0x83b1dc67de9d719868018e3fd13478ff0d63c3c7</t>
  </si>
  <si>
    <t>0x4d173d22e11884b9729e819af36d0ed0117d0969</t>
  </si>
  <si>
    <t>0x910ae078d8dc7bb7a3ccb280f25655a74fa1aa5e</t>
  </si>
  <si>
    <t>0xed3aae337d3ea60d07c9984330895fcfa5cce647</t>
  </si>
  <si>
    <t>47259309709100963101</t>
  </si>
  <si>
    <t>0x31d4dcc55abf901ace6e18188151113b9971740c</t>
  </si>
  <si>
    <t>0x80d082852bb1e1fdca41130afcb0469b6b8a66b3</t>
  </si>
  <si>
    <t>0x906cab131ccc983b5b88101e977dfac8bcf8fe92</t>
  </si>
  <si>
    <t>22103494420185433942</t>
  </si>
  <si>
    <t>0xba8dbeac3ef86309eb65ad85aa85a19bf25f5e7e</t>
  </si>
  <si>
    <t>42665485499908996751</t>
  </si>
  <si>
    <t>0xbc5304367510592e9b908218acc3544ae1668678</t>
  </si>
  <si>
    <t>43036430238525359516</t>
  </si>
  <si>
    <t>0x757056e3ab3c65c6c8c710f7e6f9a8327cc6bae7</t>
  </si>
  <si>
    <t>33824774118467896795</t>
  </si>
  <si>
    <t>0xcd30daa8e00b04d3110b35e27f98d1c35ebe4aab</t>
  </si>
  <si>
    <t>0x846ca5a624575398dd8d306833055f9f549cd6d0</t>
  </si>
  <si>
    <t>9863301212940373411</t>
  </si>
  <si>
    <t>0x91c6ca908c789f272d8b398cf2c596c29a92d6f9</t>
  </si>
  <si>
    <t>0x1370397b54518b0d68e9c42d50186b004f3aafc3</t>
  </si>
  <si>
    <t>0x7751961c9273846f163c9e74323fd89b679a9b47</t>
  </si>
  <si>
    <t>32257231204449010052</t>
  </si>
  <si>
    <t>0x356bb0ef666f4dd7b23122d20553a973d6c467ae</t>
  </si>
  <si>
    <t>0xa46460abe381f2d55ed5379893253bc3ea06226a</t>
  </si>
  <si>
    <t>0x76fa5876ecef7cecfbe8f94566a1e7252c20bf39</t>
  </si>
  <si>
    <t>31960506676056663393</t>
  </si>
  <si>
    <t>0x156601031ab627685ba9a8fae96e7a2fae632cc7</t>
  </si>
  <si>
    <t>0x3890122dcaa314ba8afc72025d5a08e472cdb468</t>
  </si>
  <si>
    <t>28254678460367700365</t>
  </si>
  <si>
    <t>0x9edd20c6264e219917653c51f0779707df8d71d1</t>
  </si>
  <si>
    <t>0xdc63f3e37973573b95014da147e10efb249462f3</t>
  </si>
  <si>
    <t>9392809544862896892</t>
  </si>
  <si>
    <t>0x4c4dfe2b2b2c065cc5491180965414e24ba157e6</t>
  </si>
  <si>
    <t>9602781244220335648</t>
  </si>
  <si>
    <t>0x37c6b34fbdfab2fc3f544b86647b6d120172eabe</t>
  </si>
  <si>
    <t>33659722457315897570</t>
  </si>
  <si>
    <t>0x4a66315e01dbd8cad93a8959b0eabe856c8a355b</t>
  </si>
  <si>
    <t>24315746951411386970</t>
  </si>
  <si>
    <t>0x979c3c30100ac584e16490776f306d66a08cb0b0</t>
  </si>
  <si>
    <t>46594788355942802334</t>
  </si>
  <si>
    <t>0x5047e5498d0f0ba753bc057e0f478394175fe291</t>
  </si>
  <si>
    <t>0x801b8553739902eca91708587c49f797e0809e81</t>
  </si>
  <si>
    <t>0x97009b0daf396e90e37dc71518942497ab2ad8c7</t>
  </si>
  <si>
    <t>0xd9d40c602f8ad4f01656a3196e573eaea2095a99</t>
  </si>
  <si>
    <t>8303398479981955679</t>
  </si>
  <si>
    <t>0x6eb51af850c21dc02d996599f3342fff22356ef7</t>
  </si>
  <si>
    <t>0x89b5e0d9626f6e48e5c76a27cd4d28e0449325a9</t>
  </si>
  <si>
    <t>0x569953a637c56599bef622ab70e2dc67379a4df7</t>
  </si>
  <si>
    <t>0xe71214e80b1fdaaf7b312882063d8a81412f526a</t>
  </si>
  <si>
    <t>0x7b07f9ecbc9f43ad337af04274f0adc179208174</t>
  </si>
  <si>
    <t>7621787405288714582</t>
  </si>
  <si>
    <t>0xf2be1fa1c0b8c2dd5fc6a6a855eec46d1037e2cd</t>
  </si>
  <si>
    <t>5758340436128244769</t>
  </si>
  <si>
    <t>0xfa8c812338717a2e769ba1c7e1623925b670a9d5</t>
  </si>
  <si>
    <t>44082981334036561532</t>
  </si>
  <si>
    <t>0x87216a450287b9ac8da80019bf8a141cb84e5084</t>
  </si>
  <si>
    <t>0x5c6433d8bd9a36e05b9b3d999a665b07ca513227</t>
  </si>
  <si>
    <t>26788849831850877337</t>
  </si>
  <si>
    <t>0xb801be394fe985b5e75ebc54b01f5f14a80435ef</t>
  </si>
  <si>
    <t>0x1352baef8dd149889c8d4255fc4831fc25ab5b40</t>
  </si>
  <si>
    <t>47502632660391242906</t>
  </si>
  <si>
    <t>0x0fd28aedb6bd2336ac17e19b4e6cb4daa1dc58ce</t>
  </si>
  <si>
    <t>42462701606873772429</t>
  </si>
  <si>
    <t>0x97b498aaec1fe815c01c71a78998179d214c6659</t>
  </si>
  <si>
    <t>43279193855081351116</t>
  </si>
  <si>
    <t>0xb01bcc2c7b6f8b852866ce59fcded3981a9fb95d</t>
  </si>
  <si>
    <t>10856229210576823963</t>
  </si>
  <si>
    <t>0x5b26c872bcdab99afd6dcf073803640a930d142d</t>
  </si>
  <si>
    <t>0x7c29ee5d2f8772e16bdb1db19d6f1376571bed3b</t>
  </si>
  <si>
    <t>0x1053f4b74a78342ed5708dc96482f37bcab5a8b2</t>
  </si>
  <si>
    <t>0x26862ce3b25608b3a0a1a4851e0bf7b39b8b9e8f</t>
  </si>
  <si>
    <t>0xcc3d75e0a2acd887315e8f3f2dd6b51ccca2a935</t>
  </si>
  <si>
    <t>0xf8f2b20a1ecbf962627b21b539c12b9463abf29c</t>
  </si>
  <si>
    <t>0x3f00b5ab3e3a6a7d3a4f74f37fcdda87db74209e</t>
  </si>
  <si>
    <t>26824446085900600560</t>
  </si>
  <si>
    <t>0x3b0d9366335176075ab6b4c484759ae4eaf7e4ea</t>
  </si>
  <si>
    <t>0xc845ceca77b3761f79a8b2112025efe4ea06c0e8</t>
  </si>
  <si>
    <t>0x27f4128205122af0ce0b87190d7986814969c494</t>
  </si>
  <si>
    <t>8929414070308042555</t>
  </si>
  <si>
    <t>0x52085ad91dbfd61e38f43aeb23f8e8ff43a88896</t>
  </si>
  <si>
    <t>9469713397921975045</t>
  </si>
  <si>
    <t>0xfddccfbcad12cb291511855a8681d30c03ffd045</t>
  </si>
  <si>
    <t>0xfb9e958aff710978306723b1f1a28e7a93361f05</t>
  </si>
  <si>
    <t>9711099446135353523</t>
  </si>
  <si>
    <t>0x0d2812ae72f7dc324f85dd74fcb847fae9923b73</t>
  </si>
  <si>
    <t>20630528275604668619</t>
  </si>
  <si>
    <t>0xe63f63b53fe1e1c1fb3979d1271f95d8027941d9</t>
  </si>
  <si>
    <t>2410768584272296280</t>
  </si>
  <si>
    <t>0xe161c1c2c0204cf1331499cc257b7e60366fa6d3</t>
  </si>
  <si>
    <t>16017452218404575993</t>
  </si>
  <si>
    <t>0x9dbcc76199de962d35e3db9b133563f28178227f</t>
  </si>
  <si>
    <t>0x68db7041927ec08e5a18a4d6b4f94e064a37798b</t>
  </si>
  <si>
    <t>0xf4587184bef1a6dd28eea829ba379233e71e8cec</t>
  </si>
  <si>
    <t>32996456235047073587</t>
  </si>
  <si>
    <t>0xf6844b491e75215372d5419ec0b45899be806d5d</t>
  </si>
  <si>
    <t>0x29748fe73b8653db6a97b47f3623b6b4687c5112</t>
  </si>
  <si>
    <t>0x0583f167360c7d6a3f534b9eb52cc9dc3bced93e</t>
  </si>
  <si>
    <t>0xc7b08db1a19dfe82d2be5fc7c70c95583d2edf5b</t>
  </si>
  <si>
    <t>16846903287293374317</t>
  </si>
  <si>
    <t>0x39592f004b111a777e7634f033afb350f0565812</t>
  </si>
  <si>
    <t>0xde0cd5b6829dd1f8dbce268f390d6938660f3a74</t>
  </si>
  <si>
    <t>5169877898270537164</t>
  </si>
  <si>
    <t>0x99b3e0fd67df7e57e377f1a46f2b1915196a844a</t>
  </si>
  <si>
    <t>0xa5bca55cd53fb00558b49c552f41f2a9436d0667</t>
  </si>
  <si>
    <t>0x8e217bb4205b77f335e4ae778c1b4c30ae57ae3f</t>
  </si>
  <si>
    <t>28623666772701915083</t>
  </si>
  <si>
    <t>0x34e5bc20982c47160a77ee376490904984d817d9</t>
  </si>
  <si>
    <t>15414672729978723683</t>
  </si>
  <si>
    <t>0x880a0d65ac7935490a78210b64676a0bfbd7d146</t>
  </si>
  <si>
    <t>0xbaddc83e3c4d7ccfc1d7559696054afeaa13d7c4</t>
  </si>
  <si>
    <t>25383545109461980749</t>
  </si>
  <si>
    <t>0xa511c040a5f2d8be672d248a375d3e1d37c63b29</t>
  </si>
  <si>
    <t>8686889507081766279</t>
  </si>
  <si>
    <t>0x431e36445f0836806dfca42646b89b30092eef53</t>
  </si>
  <si>
    <t>0x7dae15d82a0c05e9c8e1dbc322ff8b075a4481c3</t>
  </si>
  <si>
    <t>264257132231393373</t>
  </si>
  <si>
    <t>0x4be969726cfc1ec4c538c732bd80f3ca8d3ca6f0</t>
  </si>
  <si>
    <t>0xc6aa2032720c7dab1a4e146a8dd57b394c934987</t>
  </si>
  <si>
    <t>7534157373128454932</t>
  </si>
  <si>
    <t>0x2f59f7f6a4bd1c17f9477f7ae13ce2af444c3e27</t>
  </si>
  <si>
    <t>8252722637423761653</t>
  </si>
  <si>
    <t>0x7d092b21ad6207bfa5304c8bcb4995f5503f31ca</t>
  </si>
  <si>
    <t>33131119923979683913</t>
  </si>
  <si>
    <t>0xb28f4251753aa4f983e4a566ad1999ee2282cb1f</t>
  </si>
  <si>
    <t>0x73ae5b993038aa91df76866ef71cfb248b2bc75f</t>
  </si>
  <si>
    <t>0xf764960ed96c9f093cee460e48fc45ecf31b45a1</t>
  </si>
  <si>
    <t>0x5fdedc3f3f211f15c8a0c2d8330e2affc49e3157</t>
  </si>
  <si>
    <t>0xcb87186061c7afbdc45141f43f24c736f861641e</t>
  </si>
  <si>
    <t>0xd71b6997d95320499db6871e4a6bcb2c89e4aa90</t>
  </si>
  <si>
    <t>0xe6e34a80d4d08a711cbc65755586a3b486a70925</t>
  </si>
  <si>
    <t>0x25428936c904a9d86001214cbc440d3d087751ac</t>
  </si>
  <si>
    <t>0x89a8a9f77c4c47e1c3f44cc7a03cf8ea73b61015</t>
  </si>
  <si>
    <t>18466307970121449013</t>
  </si>
  <si>
    <t>0xc428cdcd901a78f00d41e2029b3b78e3906470ce</t>
  </si>
  <si>
    <t>0xf0ea671afa2d8ad24ed5f4cd97b7a84140f5bc43</t>
  </si>
  <si>
    <t>18148204398739227562</t>
  </si>
  <si>
    <t>0xce968df5424e2864feead96197aeb7a93c2bd353</t>
  </si>
  <si>
    <t>0x6902f57365dd5c6bfa03cccf76dac46b1a16c861</t>
  </si>
  <si>
    <t>0x397f69108e9fc3ebdeb3a4c6e33e09eb8f2b6a97</t>
  </si>
  <si>
    <t>0x2b4dfa9e368340242666d9acb2a865d78fa22951</t>
  </si>
  <si>
    <t>41818110149717333136</t>
  </si>
  <si>
    <t>0x758464a75724ee46e64c194849a625516dd84fa2</t>
  </si>
  <si>
    <t>321793820373944933</t>
  </si>
  <si>
    <t>0x9c927c10341291016850294a643886ff6e4622d9</t>
  </si>
  <si>
    <t>0x72eabfc25ee8c1547d5b146204c97e2b37e21ace</t>
  </si>
  <si>
    <t>0x5fd430e770a91e41ff852e453033e314500a3a21</t>
  </si>
  <si>
    <t>0xef36ea86a20389a0f635d3b76efe27e1b9a46619</t>
  </si>
  <si>
    <t>18803640704726034011</t>
  </si>
  <si>
    <t>0x7e72322e84f9f3a0a94e9464b7065234733976da</t>
  </si>
  <si>
    <t>9755595504849391887</t>
  </si>
  <si>
    <t>45267826226860153188</t>
  </si>
  <si>
    <t>0xb19ba9ec5065791fe627d4c62526f2da5d923380</t>
  </si>
  <si>
    <t>46376971166111536670</t>
  </si>
  <si>
    <t>0x574f7be4b33f7a0f8384592c8740b0e9a91036b6</t>
  </si>
  <si>
    <t>0xca618709bb757c9c440a64c4f337b7a9970a058b</t>
  </si>
  <si>
    <t>0x58515bbb177b14fcabd2134a494c67f38534f9c6</t>
  </si>
  <si>
    <t>19788722788216669654</t>
  </si>
  <si>
    <t>0x4d5705117805cab0336a84f8014416bffa1e50f1</t>
  </si>
  <si>
    <t>0x6f2e882986885ca1d59ce92377a3ac617535470b</t>
  </si>
  <si>
    <t>0x376b8dd251b30679d6f0fb1fd7c0fe69640116f4</t>
  </si>
  <si>
    <t>8264961208284944643</t>
  </si>
  <si>
    <t>0x3c93cdb6e5f3e57b621ff60ded5187d713cef8ab</t>
  </si>
  <si>
    <t>0x6a78ebe124d0d60da62b90190f1c6a59b8aa1d86</t>
  </si>
  <si>
    <t>16472005052793920680</t>
  </si>
  <si>
    <t>0x7d893631120b6b4041b63ca52a1d5418aaf3593b</t>
  </si>
  <si>
    <t>28565917267655456272</t>
  </si>
  <si>
    <t>0x64e374b543113452db0edb2a737f5b7b459fba79</t>
  </si>
  <si>
    <t>0x239dae7f59a24ff2bc188235a38f9650c823ad3d</t>
  </si>
  <si>
    <t>0xa6fed69411e4ed4982d0502be631644b547d8e21</t>
  </si>
  <si>
    <t>0x9f3f66da80bb8101f6c770f6cf5d9023d7819da4</t>
  </si>
  <si>
    <t>0x25904c20f1cd3c74befefed3d2ab6566d845c8b5</t>
  </si>
  <si>
    <t>0xa9261d817c4288eade46d714b62edea6534a27ae</t>
  </si>
  <si>
    <t>44579260093437259631</t>
  </si>
  <si>
    <t>0x6dcc89e362b3a15caa9175b24b27f83ce561cbd8</t>
  </si>
  <si>
    <t>36054252788971439861</t>
  </si>
  <si>
    <t>0x30d98087b8a937891412778ec54a5eecb85e9f4c</t>
  </si>
  <si>
    <t>6301196125224061622</t>
  </si>
  <si>
    <t>0x0563ab7bb8e5ea5fff8c959cfd2e0c8f09d75232</t>
  </si>
  <si>
    <t>45475352984963390554</t>
  </si>
  <si>
    <t>0xe30af4b01e08defeabbc695eb8afb9b44d0a1235</t>
  </si>
  <si>
    <t>47653758219653381168</t>
  </si>
  <si>
    <t>0x45d41d080355163c032836ef3446c08c0dd8ad3c</t>
  </si>
  <si>
    <t>0x61c4095318de87447e03d36defd7d180747f5fe4</t>
  </si>
  <si>
    <t>45578974645398008846</t>
  </si>
  <si>
    <t>0xe2f34657f86ba21aa771b10caa32cdd320e659cd</t>
  </si>
  <si>
    <t>0xcbad4515a274c50f6a32dc241d45645e1b9141a0</t>
  </si>
  <si>
    <t>9544405274617261781</t>
  </si>
  <si>
    <t>0x7a2777c22466de3e20eb3b3952114d45faf454f3</t>
  </si>
  <si>
    <t>0x00e6f8d8fb80b0c302a6bd849b79982dc9945b15</t>
  </si>
  <si>
    <t>9194539911566550318</t>
  </si>
  <si>
    <t>0xd686fbf2b6127532c039f298edc3b588a3a12ce4</t>
  </si>
  <si>
    <t>44455834155811920210</t>
  </si>
  <si>
    <t>0x6c7c4ccdef88529e34f3cf494335bced753afa5c</t>
  </si>
  <si>
    <t>10932166183182964790</t>
  </si>
  <si>
    <t>0xb1b3f9c0aa17d4a2bd41784e160290390ac3ae15</t>
  </si>
  <si>
    <t>0x29056dec88452e59bbc91dcdf884ef321a280583</t>
  </si>
  <si>
    <t>0xdaa99f35210323634e090170905a1bdb4011a9df</t>
  </si>
  <si>
    <t>0x4e33fc3c4522cab7823c4602c4973e77eed49fa3</t>
  </si>
  <si>
    <t>0x46d6b8271ee4e254d595315f99920c617e13940d</t>
  </si>
  <si>
    <t>0xd42beb9bc73d808f8c97211b225326ea6d9f654b</t>
  </si>
  <si>
    <t>40061886758149610188</t>
  </si>
  <si>
    <t>0x4ac44fcf4e54c4ef916a1c21e790d61f430dd6bb</t>
  </si>
  <si>
    <t>0x1bb502f420e619bf83609034ffaf17cbdbf53346</t>
  </si>
  <si>
    <t>0xd051f58458bb9bdbd3949198d434172fd7574f67</t>
  </si>
  <si>
    <t>34729710108995954702</t>
  </si>
  <si>
    <t>0x35da32b2539ea48388a2824c16355ad13f5d25f7</t>
  </si>
  <si>
    <t>0xa5ce2fd284c3b31c45861f82558080bb5458c6db</t>
  </si>
  <si>
    <t>0x2a5e72f7dc1b03624a0644279731f2deb760887d</t>
  </si>
  <si>
    <t>10102698788413053088</t>
  </si>
  <si>
    <t>11697696945375501999</t>
  </si>
  <si>
    <t>0x773307c55800faf5e5c0cd708e35e6aa78f5d45b</t>
  </si>
  <si>
    <t>24156637179187100085</t>
  </si>
  <si>
    <t>0x36146341531e0570106f7a5ea3e0a5cda8f94b8d</t>
  </si>
  <si>
    <t>0xf5c241b407e45377d1b4b83a93ec58baed76fdbf</t>
  </si>
  <si>
    <t>44688453902027321248</t>
  </si>
  <si>
    <t>0xd069b9562ff8b20ecd1883dc0bc38438ef36298f</t>
  </si>
  <si>
    <t>0x4186506f8dabdd59db7ebc6644e348407cf89e0a</t>
  </si>
  <si>
    <t>0xabef1692fdf0e6daef8d368dd9faa1a9bb8ae112</t>
  </si>
  <si>
    <t>8659918451754884109</t>
  </si>
  <si>
    <t>0x30a6a0931195ec35aeea531e74015a959ca73f9e</t>
  </si>
  <si>
    <t>0x3fe591e8d69953400944a9c60327fa04c3666981</t>
  </si>
  <si>
    <t>47537988989126062803</t>
  </si>
  <si>
    <t>0x4dd8c6390382bd56d646ecf8c1ff8ebdcd883516</t>
  </si>
  <si>
    <t>0x9a10bd16a98c613c327343fb49488f9358641188</t>
  </si>
  <si>
    <t>0x1c178b2aa546a720095abe7e9cd405cc25b7309a</t>
  </si>
  <si>
    <t>0x4471e943482ad34a8c1e47fa2f0f68b7506e5348</t>
  </si>
  <si>
    <t>0x3829b339c3ae386025630fb32f515a17ecb879fa</t>
  </si>
  <si>
    <t>10042519748319435595</t>
  </si>
  <si>
    <t>38290299434352631656</t>
  </si>
  <si>
    <t>0xd4f285b998738eae80c377518afc073116bddb6b</t>
  </si>
  <si>
    <t>7556134746566068703</t>
  </si>
  <si>
    <t>0x4565d6220927d442c0c2ef22886f848eff82d240</t>
  </si>
  <si>
    <t>0x693d13ea1da23c914abb60d2c96941f8a03574db</t>
  </si>
  <si>
    <t>5383819061706613502</t>
  </si>
  <si>
    <t>0x48f4600e2b2912ad6643eb87397825d3b35cc41b</t>
  </si>
  <si>
    <t>0xfcfc98d6a309750fa779a68e27ae9b695e11afda</t>
  </si>
  <si>
    <t>0xaf75a6806495060cb4ce03b04ab0a3a4668f2867</t>
  </si>
  <si>
    <t>0x1ce4e4ea21cf83d9606bd13eee5febc3aa910cb3</t>
  </si>
  <si>
    <t>0x9ed03d2b4aa53c6c3a0f0cfd00ba65be4820b013</t>
  </si>
  <si>
    <t>40760056476316234155</t>
  </si>
  <si>
    <t>0x4673d2b69e6a095f1941d17516d869136168f3e2</t>
  </si>
  <si>
    <t>470245947001839843</t>
  </si>
  <si>
    <t>0xf86687774af678986f803409f2502c315292e751</t>
  </si>
  <si>
    <t>0x78d2c438fdf933a4f02858973e34dd647718e2f9</t>
  </si>
  <si>
    <t>14315781769480613733</t>
  </si>
  <si>
    <t>0x547307f7376756283b9b8730a39fe91a54e712f1</t>
  </si>
  <si>
    <t>22214373388631089526</t>
  </si>
  <si>
    <t>0xc6b0431de7ffcd10a6f5d0010cd16b0c61c0d258</t>
  </si>
  <si>
    <t>0xc95936215e32cd62c36c8e2bebdfdb7919e0008a</t>
  </si>
  <si>
    <t>0x9cec33256b6d71021f14045ba1d101aa1c668a02</t>
  </si>
  <si>
    <t>18537206660957777318</t>
  </si>
  <si>
    <t>0xf63cab74b2c19b76a4db183f42135732b720adf2</t>
  </si>
  <si>
    <t>12612682453852400876</t>
  </si>
  <si>
    <t>0x56358ec4635e7f75e92a0481f35ed40f5c144189</t>
  </si>
  <si>
    <t>0xa54f4ee3f7e1fe255b1f607c029d9c3f952af3f2</t>
  </si>
  <si>
    <t>7035790754421455091</t>
  </si>
  <si>
    <t>0xb51911c8c1e31912d28407f7fa415a9936220f70</t>
  </si>
  <si>
    <t>0xcbd10522a9ac6028dff12d31e8baff0a098fad44</t>
  </si>
  <si>
    <t>46483197222782828792</t>
  </si>
  <si>
    <t>0xa1a3331cc412fc9b4be1f6e8e0fe2db20775fe42</t>
  </si>
  <si>
    <t>0x80566fcd9071dec99906a0861a5259bc4076ac63</t>
  </si>
  <si>
    <t>0xdb883711c71376fd8c9521955ebad1ff2ee4534a</t>
  </si>
  <si>
    <t>8705715929655086052</t>
  </si>
  <si>
    <t>0x2ae42274c4e0a45b39c3934cfcc83a66776afc0b</t>
  </si>
  <si>
    <t>0x2d7fdd49af7a0a15ba4859fd923d4f43bfe452aa</t>
  </si>
  <si>
    <t>0xe5adbfd8794e43f64f5802f3f91263da7cbd7afe</t>
  </si>
  <si>
    <t>10800172617803297808</t>
  </si>
  <si>
    <t>0xa657789141ef46249a0df1ebb7cb499a4b150144</t>
  </si>
  <si>
    <t>0x6b7429abb663fe03ab24485a40dee8bb50416ced</t>
  </si>
  <si>
    <t>0xe5d5245dce768ef43f1c5fa9c96b7e1520d96dc8</t>
  </si>
  <si>
    <t>0x4c9972a6d10810dfb861f57bb9905013b8e28079</t>
  </si>
  <si>
    <t>0x1916985f8b5c32836fc67428501c7e36e3f484be</t>
  </si>
  <si>
    <t>10055642711591733017</t>
  </si>
  <si>
    <t>0x124bb07c62043944f95c31d1306e0266ab161c98</t>
  </si>
  <si>
    <t>0x9ee56002095c5ae424c855d18b39228271bd98dc</t>
  </si>
  <si>
    <t>9688552616029206186</t>
  </si>
  <si>
    <t>0x6ead5b1eaddc3f2b72116228f66ca0347962fc87</t>
  </si>
  <si>
    <t>0xdde338eb7dbbc93a67bcf100c7c9f2354fdb0e21</t>
  </si>
  <si>
    <t>0x4f93ec88f91892fdc736d973cd14573027fc6127</t>
  </si>
  <si>
    <t>10446651561512880291</t>
  </si>
  <si>
    <t>0x51ae498e73fb5c6706cc43c579fe481c2e6a290d</t>
  </si>
  <si>
    <t>7661399988923859516</t>
  </si>
  <si>
    <t>0x91e5f0e577a250c1b4a7ba47b914bf539c5d44ff</t>
  </si>
  <si>
    <t>47899423293690723414</t>
  </si>
  <si>
    <t>0x336ab40d41ecdb624a5c7f7050de30c525f95b09</t>
  </si>
  <si>
    <t>188902943775551483</t>
  </si>
  <si>
    <t>0xd8cc31d10992804e21a4aa516bd8ac317a7cf681</t>
  </si>
  <si>
    <t>0x5d1d7e4bbcf96222704ae5c1f80397ab5b6a9d81</t>
  </si>
  <si>
    <t>0xacfa2ca885dac378f6c4d83eeac63bbf10e2552e</t>
  </si>
  <si>
    <t>0xa07134bc1a31a27e635b50aed4fb70924b39fc35</t>
  </si>
  <si>
    <t>0x2c02f4e22b9737c93ab83b4e479893d53b492fd0</t>
  </si>
  <si>
    <t>0xf11d632d9e3fc469adb3230e6cfa4a90354d2f11</t>
  </si>
  <si>
    <t>47923487971621456258</t>
  </si>
  <si>
    <t>0xe032b8759f2603e90f1ef73796a0bfdf10c9236a</t>
  </si>
  <si>
    <t>0xcae67bf10836cbd8baf24dc7ed310211dac6b756</t>
  </si>
  <si>
    <t>41291353521900217888</t>
  </si>
  <si>
    <t>0x8ecaa513aa4d2f0cc804836a189a204b6ebe2490</t>
  </si>
  <si>
    <t>0xcfebc32b78e7aa20e990a4e993ea6553ee7e515c</t>
  </si>
  <si>
    <t>0x8c2415af4afa2de9501016399f045620afa3b18c</t>
  </si>
  <si>
    <t>19517357068206907398</t>
  </si>
  <si>
    <t>0x5dcca38cd0631da422c98751b354baa5b416f198</t>
  </si>
  <si>
    <t>7148193314410124198</t>
  </si>
  <si>
    <t>0xb0c72b8b8d1b6d185bd35f459a46ffa4efa50f3d</t>
  </si>
  <si>
    <t>0xf5594488eb525d07d0d61124117e03a46ea24472</t>
  </si>
  <si>
    <t>0x7c9b6f529664af5c8ac813432db78956369cdc16</t>
  </si>
  <si>
    <t>0x591943d3f9a0aeb3e349d386aa7a87a2f6556a1b</t>
  </si>
  <si>
    <t>24828451469098278241</t>
  </si>
  <si>
    <t>0x03a3c3b2b45ec668d263ef0b058719a289eb7d49</t>
  </si>
  <si>
    <t>0x48d326d5244b14ece6495adbddff8fdb44128e01</t>
  </si>
  <si>
    <t>9750927185097121716</t>
  </si>
  <si>
    <t>0x1e962bd250fc7494c96f886a4e37109cd082da91</t>
  </si>
  <si>
    <t>1427059363679591079</t>
  </si>
  <si>
    <t>0x40409954cb878a6384ec099e65106ad17b80fced</t>
  </si>
  <si>
    <t>0xb47a2b457d4c3dad00b620a6e13675be67a21953</t>
  </si>
  <si>
    <t>43229262530307880471</t>
  </si>
  <si>
    <t>0x74786169961a8bac3695861f82c652bfe816d9b5</t>
  </si>
  <si>
    <t>9758129950927840190</t>
  </si>
  <si>
    <t>0x1e12bbfd54397f37a7abfbf0208a0d4f50b438ef</t>
  </si>
  <si>
    <t>3309989704407303805</t>
  </si>
  <si>
    <t>0xffc1f0b5ca16b09746d4b0b5113a0f9006175a3a</t>
  </si>
  <si>
    <t>0xdf9902ceb5403094bacbb5d1e5fe56b7e10dc298</t>
  </si>
  <si>
    <t>44696965655260249988</t>
  </si>
  <si>
    <t>0x059ee7446ebdab11ae742d4511dea933e36232b6</t>
  </si>
  <si>
    <t>0xfbdd4856fa64917c3d6744b2178f0d73e0fc626b</t>
  </si>
  <si>
    <t>0xc54811265dcad52cff755557859716fe8916e6fb</t>
  </si>
  <si>
    <t>48332634584636036078</t>
  </si>
  <si>
    <t>0xa1d8c93ac4d7154eeab4a29760f3f6a8a9f9e5ae</t>
  </si>
  <si>
    <t>0x39b3d42f6ad42f8322ccc6fdf594572797443020</t>
  </si>
  <si>
    <t>5951396860504131674</t>
  </si>
  <si>
    <t>0xeaa1253e6c4c693536556dd6c155c11d3d470bf2</t>
  </si>
  <si>
    <t>24914069590499513691</t>
  </si>
  <si>
    <t>0xc8f30dcde9cea81547faaa890314126e687a12e3</t>
  </si>
  <si>
    <t>47854747741353933889</t>
  </si>
  <si>
    <t>0x4a36031c83d413a0108c606d2b6b176c469ad224</t>
  </si>
  <si>
    <t>0xcef03a51e79368bdc031d4af95e79fc3a270e072</t>
  </si>
  <si>
    <t>0x4c3db51769e2a4356cc908c0c32f9abc2d882dc4</t>
  </si>
  <si>
    <t>19266746556646266219</t>
  </si>
  <si>
    <t>0x057e951678c8344f95628da6b5f3827daf8589b3</t>
  </si>
  <si>
    <t>0xb771283a6a8827dbdd0aac2c8782d76f2bbdf854</t>
  </si>
  <si>
    <t>11585038516502858855</t>
  </si>
  <si>
    <t>0xa71875cff5eb4062510ad6637ca3ea1d055ffc3f</t>
  </si>
  <si>
    <t>4623219812924913854</t>
  </si>
  <si>
    <t>0x8bc0fc5b31fa30266a3dd81753be66ee4b62a7f9</t>
  </si>
  <si>
    <t>0xb3965025ea9d6268a49357e8876d9acc23f4e911</t>
  </si>
  <si>
    <t>44963669002463360756</t>
  </si>
  <si>
    <t>0xe0c47b4e9155301eb95532de99901b58cb3ec14e</t>
  </si>
  <si>
    <t>8719739985103341951</t>
  </si>
  <si>
    <t>0x4c21ec9fe8cb8e106c3dde4af9e6294957d5f31e</t>
  </si>
  <si>
    <t>0x32ca0a78d8fb4a59703dd88d26e402e59f46f805</t>
  </si>
  <si>
    <t>0x48dc2ec7ba244959ea42fa46a454bb4891a36b1d</t>
  </si>
  <si>
    <t>25040659187149195146</t>
  </si>
  <si>
    <t>0xab761445c3e52ee5820234eb68e0cbd3876a72a0</t>
  </si>
  <si>
    <t>0xc41578868e8709a080fed6cef518dfc44189b24a</t>
  </si>
  <si>
    <t>0x80a1ab6b5ef75c49b27be853e53b72366c38537f</t>
  </si>
  <si>
    <t>0x8b5499bd896e0fe70ceca8fe05a1906b54995d6f</t>
  </si>
  <si>
    <t>0xe53959fa51f8136e31382263c5ca73504fc25708</t>
  </si>
  <si>
    <t>43765283137357285195</t>
  </si>
  <si>
    <t>0x0a7e465c1a354de9a6a51ccce84a50fe1a210eb3</t>
  </si>
  <si>
    <t>46767621903793172293</t>
  </si>
  <si>
    <t>0x0f3d2106ea9e94cca7355a113d658c125a7fc3ca</t>
  </si>
  <si>
    <t>0x767c991fdcdafab04c8e80c4eb45a95ac5b35c2b</t>
  </si>
  <si>
    <t>0x6cdf99bfda8849df28cd81763ec8032b08bd6396</t>
  </si>
  <si>
    <t>441039332380684858</t>
  </si>
  <si>
    <t>0xa612489ec01ea9fcd106acd2077f90bd855f3da2</t>
  </si>
  <si>
    <t>2050639010222897923</t>
  </si>
  <si>
    <t>0x7bc01d2a051374e731bf03e7e7a88a4d3a738b39</t>
  </si>
  <si>
    <t>47407375240651871615</t>
  </si>
  <si>
    <t>0xc62daea51057bf3635b80d1dfca349cf36c9aab7</t>
  </si>
  <si>
    <t>176998392490410745</t>
  </si>
  <si>
    <t>0xd8e94b908d7dbd3f460d4c1e88017b424251c9fd</t>
  </si>
  <si>
    <t>36269670813915074928</t>
  </si>
  <si>
    <t>0xd4db4f92539dbf9f2a480f09f3b6a322b651be01</t>
  </si>
  <si>
    <t>16120026870987796740</t>
  </si>
  <si>
    <t>0x87bc45ff566bee75d0e5d0bbc0496b228f11de8e</t>
  </si>
  <si>
    <t>7145205656748915982</t>
  </si>
  <si>
    <t>0x3e2a569b883bbcd5fae68a20e9d23495bce9a35f</t>
  </si>
  <si>
    <t>37023801473980815454</t>
  </si>
  <si>
    <t>0x59b0a956ad8d566d0a2d723ecd63dca0966e1889</t>
  </si>
  <si>
    <t>0x625904627d5060c0422d2e123748f4f49d149e1e</t>
  </si>
  <si>
    <t>0x353651a9e88ac04dc0aaffbc24c7770e85adf36d</t>
  </si>
  <si>
    <t>5621971208403460420</t>
  </si>
  <si>
    <t>0xe6256805cb2025f5d2e5551b39060379d77bcbd2</t>
  </si>
  <si>
    <t>0xcfde678747a4e706f33e717d59dfa95f9245c007</t>
  </si>
  <si>
    <t>14524807870791859221</t>
  </si>
  <si>
    <t>0x59ffeb875eed65e2ac079a8904c6a9f936dfea03</t>
  </si>
  <si>
    <t>9819732912085593598</t>
  </si>
  <si>
    <t>0xa25e868888b18921ee54d3d5d5d8ce22c86b5c95</t>
  </si>
  <si>
    <t>0xfd523ced07e00f0621159162f30b015b0a268e2f</t>
  </si>
  <si>
    <t>0xf7fc3197398521003b67ba09433d739991b7c88c</t>
  </si>
  <si>
    <t>8815494769903279943</t>
  </si>
  <si>
    <t>13152275007203502089</t>
  </si>
  <si>
    <t>0xdaefa32cb3db4be83c57b64d8b022dfab9ad75cb</t>
  </si>
  <si>
    <t>25346570101560152401</t>
  </si>
  <si>
    <t>0xe84c4394c61aa4d5b0c379adfb569537448d6f40</t>
  </si>
  <si>
    <t>9670635273985663580</t>
  </si>
  <si>
    <t>0x4855fc9ff0a07a17d688cd945af8cdb810ae2d28</t>
  </si>
  <si>
    <t>24871072222130062115</t>
  </si>
  <si>
    <t>0x2962ee43ae82d4dee0eb667bee5cf46b215d75e5</t>
  </si>
  <si>
    <t>7703354904740185559</t>
  </si>
  <si>
    <t>0x1e735b48a234542c711f076e5c70d7d92fb9ae9f</t>
  </si>
  <si>
    <t>36872518697658066093</t>
  </si>
  <si>
    <t>0x7de48bbb8384cb0a5f605b82963522bc1f875ee5</t>
  </si>
  <si>
    <t>26538603304458507825</t>
  </si>
  <si>
    <t>0x0de7f3001a2e3874ab450910c1829a125a2be4f1</t>
  </si>
  <si>
    <t>0x01ed673b8a71d160d79f840b704b3c6a832c2452</t>
  </si>
  <si>
    <t>37106465271197622779</t>
  </si>
  <si>
    <t>0xc923ad21f767a6d0d3adc5adac1b78bc86e46f8d</t>
  </si>
  <si>
    <t>25598525736154925279</t>
  </si>
  <si>
    <t>0xb8ef3b0a34711f9c3b4c0aa6eb9c98169c178396</t>
  </si>
  <si>
    <t>16804174627141544813</t>
  </si>
  <si>
    <t>0x4d466cc015a2493bb0dcaacbdf50aa541e671b34</t>
  </si>
  <si>
    <t>0x930ecd451252fdb1660a2a342b92a03e1a26f869</t>
  </si>
  <si>
    <t>0xfd1ae745ecf9b147deb6539f8a7d99670838e114</t>
  </si>
  <si>
    <t>0x14d7b36c220dce6a8aad540a78adf9d96a30d331</t>
  </si>
  <si>
    <t>0x9d8f02c333646d5982d8a31289f0545034d0eee6</t>
  </si>
  <si>
    <t>0xde641713a0079c98036577fff3a786eab893f41b</t>
  </si>
  <si>
    <t>29181720294472640397</t>
  </si>
  <si>
    <t>0x3e58ff811123978669da22c0c36069d2a0fc8a1c</t>
  </si>
  <si>
    <t>0x68cf73e6020670e1bf23bf6fb42246a2c18dce5f</t>
  </si>
  <si>
    <t>43042755315483367577</t>
  </si>
  <si>
    <t>0xfa934996ab5e05017861345bfdaf1ea1e1d67999</t>
  </si>
  <si>
    <t>0xd79edb3a7df2c259dc63079740d3c59c5515d66d</t>
  </si>
  <si>
    <t>9700028903925320412</t>
  </si>
  <si>
    <t>0xe15e9d002aee4ab3a76d11c5d55b9a4a8dce28e0</t>
  </si>
  <si>
    <t>10031258943466797962</t>
  </si>
  <si>
    <t>0x02f0b0d2ec427a926c3cd2cf7c036ed342dcd3d8</t>
  </si>
  <si>
    <t>0x5db8eff3bd353f7f676f3444d4da359c97f554f5</t>
  </si>
  <si>
    <t>0x9163da45159025623b5b8e3aaff222842c18e505</t>
  </si>
  <si>
    <t>0xce606e23a364d7fe76bca9d8ed86df60b724cd64</t>
  </si>
  <si>
    <t>0x8fc87c199203332c1cc43430b9fad2b1868e44d0</t>
  </si>
  <si>
    <t>30661225220055985036</t>
  </si>
  <si>
    <t>0xc7fa401d9d520c540ad0dacd275b67ae6aec91de</t>
  </si>
  <si>
    <t>0xa4c08ad3ddf9e74d22442a4f245d0a977eee02b3</t>
  </si>
  <si>
    <t>0xc90955d4b4c8a6e432ec66c5b1af856b6aaa3fb9</t>
  </si>
  <si>
    <t>0x2e623542b37da0369071b278c643f472b9d8e255</t>
  </si>
  <si>
    <t>0x47ec3ac2799180ee634d4217a37efc1826e631b0</t>
  </si>
  <si>
    <t>28062425907163171671</t>
  </si>
  <si>
    <t>0x8ce1610a7eaec73413b2392d4694248b6f8f8b4e</t>
  </si>
  <si>
    <t>0x0aa020f95456bb6d331aef9fdf038b02274483f6</t>
  </si>
  <si>
    <t>0x9458c54a975e7d61c9fb7103553692a590c28e08</t>
  </si>
  <si>
    <t>0x26a6e51d6c6420ab357328bb7900eada49b74b5a</t>
  </si>
  <si>
    <t>0x14ec250424ab2ab0f47c11f80b217cc1a3f3f4a6</t>
  </si>
  <si>
    <t>0x2cbe99fb1c7f71e5cf88e2994201320df47a56c4</t>
  </si>
  <si>
    <t>0xed939d35c857415c5c4ec419c06c67e5e0db7ba7</t>
  </si>
  <si>
    <t>0x33fc7256413f201da553dc2768960b91919ded02</t>
  </si>
  <si>
    <t>18766663597743246991</t>
  </si>
  <si>
    <t>0xf2bdcb0020167a05f4e57e8ca0d6e4ba422edfd4</t>
  </si>
  <si>
    <t>0xb060b0b7b450753766bad0a746115a291d85e1b1</t>
  </si>
  <si>
    <t>23550029600309286581</t>
  </si>
  <si>
    <t>20924211726049874915</t>
  </si>
  <si>
    <t>0x72a0298d4c377c6399cc7c33d3c960c18b8508db</t>
  </si>
  <si>
    <t>6295537212131744727</t>
  </si>
  <si>
    <t>0x53351c4d485b790f43acd33ec42bdab80736636b</t>
  </si>
  <si>
    <t>0x0bddcdff554f68d5cdb41b88f613918581969e23</t>
  </si>
  <si>
    <t>0x0b00370899faed6adcf83b242167498151ccd344</t>
  </si>
  <si>
    <t>0x8f58d700de13fcba9fdbe7e9cabc437305b12a7a</t>
  </si>
  <si>
    <t>19770599829139023816</t>
  </si>
  <si>
    <t>0x6998c2549b959531a1f0384063037e854e82d688</t>
  </si>
  <si>
    <t>0xbd8c049f779d1772f21af150aefaece8bcd145c0</t>
  </si>
  <si>
    <t>10263603664483104910</t>
  </si>
  <si>
    <t>0x1fdc53a3497c4e3b28b594ae05ab17bf4c5e7e5a</t>
  </si>
  <si>
    <t>22823473397106975218</t>
  </si>
  <si>
    <t>0x3cbd3d635ebfc6dc3dc3e3a71e2b36123b66e891</t>
  </si>
  <si>
    <t>336458153141258593</t>
  </si>
  <si>
    <t>0xa0c3a02f4ca395e887a9809f2cfdb9f52d6f348a</t>
  </si>
  <si>
    <t>28567747699628267972</t>
  </si>
  <si>
    <t>0x5e3b6574552ccc71a2aeefff83c534f4b2be65e8</t>
  </si>
  <si>
    <t>48029287465766080540</t>
  </si>
  <si>
    <t>0x3f4e56e627950982ded80fe41d6ad871c79e80a7</t>
  </si>
  <si>
    <t>24990079198991389384</t>
  </si>
  <si>
    <t>0xc0077c0b3a11f0569b2aa2d1e08dd7588dccf38a</t>
  </si>
  <si>
    <t>0x7bcbdf34d07213060b0bb31eb7962e8d4b85d780</t>
  </si>
  <si>
    <t>0xc0c41a90e838cdbf43798b4ccaa19d2d46ce97f6</t>
  </si>
  <si>
    <t>0xb04d92190a3dc00ae5bb821399776ed644eddb2d</t>
  </si>
  <si>
    <t>0x035c2e014257d40692fd3a65c74915096162432c</t>
  </si>
  <si>
    <t>0xef73993b750da7062908897b3663821bf4744829</t>
  </si>
  <si>
    <t>10078772624048796624</t>
  </si>
  <si>
    <t>0x74662221adab366a36dfe6d0e7bb4836659a270a</t>
  </si>
  <si>
    <t>14786658064035663309</t>
  </si>
  <si>
    <t>0xa9d13062a8645c1e9f06d0377307fcbf217d2248</t>
  </si>
  <si>
    <t>28535645405860275691</t>
  </si>
  <si>
    <t>0x9c33a189601760f27e51f052c2489b8438aa6d59</t>
  </si>
  <si>
    <t>8341690843946304983</t>
  </si>
  <si>
    <t>0x42b67b11a97c048851a2b24c67af8f31b9087703</t>
  </si>
  <si>
    <t>0x42ac7152713d4a6a52a74057babcf20b2da412f0</t>
  </si>
  <si>
    <t>9392244152825658004</t>
  </si>
  <si>
    <t>0x6f00c406d32c6bb09d48e78d7cfb7ff96875cb57</t>
  </si>
  <si>
    <t>0x90f82c993161331f51ff9946f01762cff5f15d09</t>
  </si>
  <si>
    <t>48338929884995598723</t>
  </si>
  <si>
    <t>0x25c9af57507c67966edd16e54b5784b7845fc889</t>
  </si>
  <si>
    <t>16925203563953485643</t>
  </si>
  <si>
    <t>43450978816113823525</t>
  </si>
  <si>
    <t>0xeafe4538d8fc2f4d908595e968aaaf703fd2026d</t>
  </si>
  <si>
    <t>32307237236530574235</t>
  </si>
  <si>
    <t>0x934a166dcbb8d6cb5a2102879d5f2495dc035e59</t>
  </si>
  <si>
    <t>0xf251e53df16b48c0eb00d3e589d862fb7807c324</t>
  </si>
  <si>
    <t>33610890831511917949</t>
  </si>
  <si>
    <t>0xe1e26bda7723bc5f63adc3cd54eb4db1e3f3f918</t>
  </si>
  <si>
    <t>0x01888ff9106f0675b7e8d2741083343afb713fac</t>
  </si>
  <si>
    <t>9475271997126123664</t>
  </si>
  <si>
    <t>0x412d2f2723daf4c6952e6b402827220bbbb8b9b1</t>
  </si>
  <si>
    <t>9767995468031115320</t>
  </si>
  <si>
    <t>0x5e19eac3b3e0077e1dc39846a900a2f199cfd686</t>
  </si>
  <si>
    <t>0xa9b08068af5a6f9603ec302327f6b5c3480776a7</t>
  </si>
  <si>
    <t>0xa4fd04d54c4904a4d3a4b94b2aeb3eca07303fb9</t>
  </si>
  <si>
    <t>33234787129181395664</t>
  </si>
  <si>
    <t>0x90ab58258b58ff184c5de55b1c25bcfa37c33864</t>
  </si>
  <si>
    <t>45964982912504070369</t>
  </si>
  <si>
    <t>0x09712cf5be51eb286f89dd38fc5d84f72743bb49</t>
  </si>
  <si>
    <t>6849159036559368520</t>
  </si>
  <si>
    <t>19337545957143578251</t>
  </si>
  <si>
    <t>0x3f3ace99743c65f3e2821b4d20176eca01e7cd70</t>
  </si>
  <si>
    <t>0xd6d57029b2792294df85d560120eea7e6ac8e873</t>
  </si>
  <si>
    <t>6358427322177819008</t>
  </si>
  <si>
    <t>0xbe925cab4bd940a91987657a1cf5c231fae9c586</t>
  </si>
  <si>
    <t>30387013382003230953</t>
  </si>
  <si>
    <t>0x779df50a790d0a74780e689d0e8035e0a524c159</t>
  </si>
  <si>
    <t>41001084294324752981</t>
  </si>
  <si>
    <t>0x2dff9c79ca2442d31cdcf4fab8c004175209fa45</t>
  </si>
  <si>
    <t>35688127693270475684</t>
  </si>
  <si>
    <t>0x84a2615c81c240cc6f84b5a2fee5ac7d454eddbe</t>
  </si>
  <si>
    <t>26851378929682339958</t>
  </si>
  <si>
    <t>0xbbe37fea07196abc0611da4e95cc0bfe52fcc6d2</t>
  </si>
  <si>
    <t>4730609874137342510</t>
  </si>
  <si>
    <t>0xd883782e181ff170a5364968ab7278a3169026a3</t>
  </si>
  <si>
    <t>10679493901073368608</t>
  </si>
  <si>
    <t>0xc205125419a346408476bb332ddbf85ec89b1bda</t>
  </si>
  <si>
    <t>0x0cd19e445b232bdb22b44448ca805419cbd1db73</t>
  </si>
  <si>
    <t>0x1d47143347ed3d4e494fa8bb3bf7aa5688a58e7d</t>
  </si>
  <si>
    <t>0x5dbfdfb52b9b9cb4107a3b8c430c00e7c722ff07</t>
  </si>
  <si>
    <t>19581370710476799436</t>
  </si>
  <si>
    <t>0xe1e73cd29ac4782f8f62ffa7f5d191ffa25f71af</t>
  </si>
  <si>
    <t>0x1bc7698c93a23c5956484313aa2998e6d9ec3e38</t>
  </si>
  <si>
    <t>0x1596ebcd5cfac8e21ebc6d28ad5b86b355ee53fc</t>
  </si>
  <si>
    <t>0xd2202a70dfe5c12a3d601ce54bd402f63c8c8e9e</t>
  </si>
  <si>
    <t>0x53caa569f29920c77e6b84f47e299c729b2040a1</t>
  </si>
  <si>
    <t>0x95c17ff0ba2e03f2adcc0696f619aaba333e2563</t>
  </si>
  <si>
    <t>46696230312778747966</t>
  </si>
  <si>
    <t>0xc5c932c47e6d6b43f254256d8be9e3321672a6c6</t>
  </si>
  <si>
    <t>47870544141616918663</t>
  </si>
  <si>
    <t>0x55eaffe3c1c1e1eb4b613a70beaed1157d74c312</t>
  </si>
  <si>
    <t>0x3b8ebf0f799d3ae4b3fa3408f5f549a9c8e3f9e6</t>
  </si>
  <si>
    <t>0x338d47cca1ede4995c943cb2006645e1b0369a5e</t>
  </si>
  <si>
    <t>46715966338595135574</t>
  </si>
  <si>
    <t>0xfb1e10d7f99013c9d5402c29c9ed93308257baf6</t>
  </si>
  <si>
    <t>0x8b50fd20f04165bd3f35088fb601ff3ec0d513c0</t>
  </si>
  <si>
    <t>9085515466601731834</t>
  </si>
  <si>
    <t>0x194e7762bade50ddce0d0c94928298448ba80583</t>
  </si>
  <si>
    <t>9808736149719134024</t>
  </si>
  <si>
    <t>0x3670b4f79591789115ceaea77e7ebb46a55426f3</t>
  </si>
  <si>
    <t>0x79a4a55a7a6333cab4a9896f6383e788438de6b1</t>
  </si>
  <si>
    <t>0x8a46d36be6e2618438d1e0b58fe7df2ffcff49e1</t>
  </si>
  <si>
    <t>5588225423539368953</t>
  </si>
  <si>
    <t>0x4237ed57e11f80fb98d095b775308cb37b5d2d54</t>
  </si>
  <si>
    <t>40967080458523659471</t>
  </si>
  <si>
    <t>0x022d6358f7d4e045679305ef136b1db1261cbbb4</t>
  </si>
  <si>
    <t>9208122827643154337</t>
  </si>
  <si>
    <t>0xb0751816e1da74bf295fa4e86f34189b6f9efcf2</t>
  </si>
  <si>
    <t>41289898696276045888</t>
  </si>
  <si>
    <t>0xb272a96281fd55248932d778f06ee0d7c8cb472a</t>
  </si>
  <si>
    <t>11480783916840004155</t>
  </si>
  <si>
    <t>0xc034fa414d58d61bd97111633071c7594ec5bb7e</t>
  </si>
  <si>
    <t>4820449756244389570</t>
  </si>
  <si>
    <t>0xdbf821527d9cd682a290a8723dfc53c7d8a4f770</t>
  </si>
  <si>
    <t>48071894021411779041</t>
  </si>
  <si>
    <t>0xb9bd9f952a844a0efc3eeeb09f6ed814ae56b226</t>
  </si>
  <si>
    <t>26433657578372025891</t>
  </si>
  <si>
    <t>0x0158f00a084b59b6705d6da468afd270f6f7e396</t>
  </si>
  <si>
    <t>0x545df2958478cc6353ec0a6826ccbb978cb341c9</t>
  </si>
  <si>
    <t>0xfca69afca44ef9b76dd9af6f19b67a4b8411b15a</t>
  </si>
  <si>
    <t>9973531626381047211</t>
  </si>
  <si>
    <t>0x5f7532b57cf7ebeccb17c165325e1279dddcc503</t>
  </si>
  <si>
    <t>0x6506f0e7a92546e21cfb9452e25e7cab1c761d9e</t>
  </si>
  <si>
    <t>24806616293880884861</t>
  </si>
  <si>
    <t>0x40e434d64b8b1799b47d2a07fdcb5ca154ca26ac</t>
  </si>
  <si>
    <t>19432216797622145262</t>
  </si>
  <si>
    <t>0x78b3fa847af550ba0d25673b4fd05c267cfb442c</t>
  </si>
  <si>
    <t>0xb13ba2d35f3f79ce3259178ba4858ed684821a45</t>
  </si>
  <si>
    <t>0x12e2649a9d5dd63c97ed7b5afe9a7fe39e94b04f</t>
  </si>
  <si>
    <t>0x0df2763078b4b5c714e0edf86fa33bc71127180f</t>
  </si>
  <si>
    <t>45788891973110919452</t>
  </si>
  <si>
    <t>0x898f3dd9361b497eab41f96b286a1813e9b6bcd2</t>
  </si>
  <si>
    <t>18268739935409848368</t>
  </si>
  <si>
    <t>0x686dbe128802561aca5445125f820015edcd9425</t>
  </si>
  <si>
    <t>13123206870530250152</t>
  </si>
  <si>
    <t>0xc89a6347e873fb3d78d3ee49086cc1dfad2085b8</t>
  </si>
  <si>
    <t>8571500932307638294</t>
  </si>
  <si>
    <t>0x1fad5377181e3988aa194d2ee8f4ee887df85ac2</t>
  </si>
  <si>
    <t>0x6e3c45bfd19cb6ddeb3e3ff690398fd74975151f</t>
  </si>
  <si>
    <t>0x1a9356996d324f9519cae2c829905d5644cfcc2b</t>
  </si>
  <si>
    <t>0xb28737a7186b7b037d4211978807b93e47cab07c</t>
  </si>
  <si>
    <t>10511144832193414981</t>
  </si>
  <si>
    <t>0xa3c45f347af64ea19c9f52694706254651faea9d</t>
  </si>
  <si>
    <t>0xfa80bf0a6ff24df58881e6fe3ce56206e0dd6480</t>
  </si>
  <si>
    <t>15720882092192927092</t>
  </si>
  <si>
    <t>0x2bbc498714b39ccff61af532b2cb2fd2e44d7dfd</t>
  </si>
  <si>
    <t>13133660736883493567</t>
  </si>
  <si>
    <t>0xb0c5bbd91b9a288b21f3eac36a576da99dc6f59e</t>
  </si>
  <si>
    <t>0x7e6e004f6e22e310fdae7d16e2855bcf6ef69daa</t>
  </si>
  <si>
    <t>0xf0769f107af6034901df8dfd5d37cdffdfd86d52</t>
  </si>
  <si>
    <t>0x3050ded48a8f746b7f8d11a494a7df05fb7df1f5</t>
  </si>
  <si>
    <t>9905794763374650268</t>
  </si>
  <si>
    <t>0x700fc264d3390e9b0e4658a07fd4cfda1e3dfb7d</t>
  </si>
  <si>
    <t>0x529add906567312d0d4757e36f0e26fcaa1fd1b5</t>
  </si>
  <si>
    <t>0x550d19253fb509fdbd67e1eb8b114107058131ef</t>
  </si>
  <si>
    <t>0x394d8eae20bb0e58b60af620ae0b7df8863588a1</t>
  </si>
  <si>
    <t>3135165935469755039</t>
  </si>
  <si>
    <t>0x80be56c60c66a06b4a9577fe66d92f128ff438e2</t>
  </si>
  <si>
    <t>0xbce30090b8acf13a713e9c7ffcdfdf464b1b1df7</t>
  </si>
  <si>
    <t>36179252363396559610</t>
  </si>
  <si>
    <t>0x55f4b4197a9d6e93c70a32797d6c7f586a66ebb4</t>
  </si>
  <si>
    <t>0x7e9a7a4511ef76f78daf06f3841ec61dea7bcfe1</t>
  </si>
  <si>
    <t>9057632857720908</t>
  </si>
  <si>
    <t>0xf972b0b69cd5b5647a9a0d174ba3f093aef8bd73</t>
  </si>
  <si>
    <t>973317833782691290</t>
  </si>
  <si>
    <t>0xb17d3f53853cc9f7b207bb2509a50091bfb12110</t>
  </si>
  <si>
    <t>0x520a6e36c86d35996c9a1d7c73ed9f801ebbbf0f</t>
  </si>
  <si>
    <t>43795519020797437677</t>
  </si>
  <si>
    <t>0xe8ca80790aeaf2a40596d57e183c9ffe6a47c06f</t>
  </si>
  <si>
    <t>0xecb314d4943127ab0cc55325bbfe033b8089a279</t>
  </si>
  <si>
    <t>10731015651346764959</t>
  </si>
  <si>
    <t>0x7da7cead3bdf8bb374c9c210b16c43dd9ad80c46</t>
  </si>
  <si>
    <t>46124881608301510091</t>
  </si>
  <si>
    <t>0xd5eb450d3e964cfcad90eaa9a2c34c51cafffb50</t>
  </si>
  <si>
    <t>8504898077960655136</t>
  </si>
  <si>
    <t>0xa68027f8dd3c8a7fe55059c890f82c28dc9fe3ec</t>
  </si>
  <si>
    <t>0x4e457011b6e337efa743f2bdbc557bf8b37adadb</t>
  </si>
  <si>
    <t>22650438752122955373</t>
  </si>
  <si>
    <t>0x6dfd9a064ed3fe2adf3b2c96350921a14d648c83</t>
  </si>
  <si>
    <t>0xa6fa4bdd6b96a7b45bad16c3049a0ada6c0d0607</t>
  </si>
  <si>
    <t>29071126775349708265</t>
  </si>
  <si>
    <t>0x3694995fbc41299f719f7bdae6accdc6d5c78574</t>
  </si>
  <si>
    <t>6278769544038266616</t>
  </si>
  <si>
    <t>0x8851eae1d2a2e23cd8bb3b969d8c4bf28b49b0e1</t>
  </si>
  <si>
    <t>0xd4fa52ff6ec7af3278467ff765560caaa0163711</t>
  </si>
  <si>
    <t>31297961543246736060</t>
  </si>
  <si>
    <t>0xa33ab3c89182944db5a0741c153d2d71786649fd</t>
  </si>
  <si>
    <t>0xf7a7d18738b893f6b902a7947fb1afd219559a88</t>
  </si>
  <si>
    <t>0x76e8487bd21d7e9c062df72ff7e9aa448ee9ce20</t>
  </si>
  <si>
    <t>0xf32370e856c4acc87634f9afebc2d7e0ad9ffa9c</t>
  </si>
  <si>
    <t>16127139457277060300</t>
  </si>
  <si>
    <t>0xd7bd50f9ee5755a214f36b0e7fd33f6a4e6cc16d</t>
  </si>
  <si>
    <t>9496208995200845241</t>
  </si>
  <si>
    <t>0x4308a2f6a22da36ea26bdc8e16c5e03792e06cb0</t>
  </si>
  <si>
    <t>0xebf3d7798ef1c638991bff973eb8ced2fd6f17f0</t>
  </si>
  <si>
    <t>19257310481269206937</t>
  </si>
  <si>
    <t>0x13337c897744039271573fd9dc81b1b317fb8ce7</t>
  </si>
  <si>
    <t>1238314645609765365</t>
  </si>
  <si>
    <t>3304632976930569074</t>
  </si>
  <si>
    <t>0xc4d8456659364091424e14b49e086dc2f04cc111</t>
  </si>
  <si>
    <t>7377316953008784954</t>
  </si>
  <si>
    <t>0x35a5d20352b88a389badcd2f255b07e870c1a653</t>
  </si>
  <si>
    <t>45603278003252742347</t>
  </si>
  <si>
    <t>0x266e962b06e3358cbfd7904037fa8d305cf7769a</t>
  </si>
  <si>
    <t>0x614152e2e05e97b37c48825699915d8418f0fece</t>
  </si>
  <si>
    <t>0x20f57e5b4b321dd19615a725b535de4968f93aaf</t>
  </si>
  <si>
    <t>45747606495936139251</t>
  </si>
  <si>
    <t>0x296c03a002fef14e80b7cca7294a7a3c6e9eadab</t>
  </si>
  <si>
    <t>13715369942598926600</t>
  </si>
  <si>
    <t>0x76b2e65407e9f24ce944b62db0c82e4b61850233</t>
  </si>
  <si>
    <t>47752350720610318964</t>
  </si>
  <si>
    <t>0x81df388b98753af4d0777bb1abac701ba28370cc</t>
  </si>
  <si>
    <t>0x8b69fd2530be0e8e4dbfe7de47a09ce41ea880d1</t>
  </si>
  <si>
    <t>0x655cbde5bff53258034f5a30dfd494e35f5f8510</t>
  </si>
  <si>
    <t>43513726972201478749</t>
  </si>
  <si>
    <t>0x211c4e604dfb2c6b3f69d6632fa9cbf30ad5e3ab</t>
  </si>
  <si>
    <t>0x34ac3153e9a3288736a8dfdb0c4a929e5ef2a237</t>
  </si>
  <si>
    <t>9255823695633193515</t>
  </si>
  <si>
    <t>0x53df2d70e4982d9b45a3fcb5cad07b9249211aaa</t>
  </si>
  <si>
    <t>0xd0d9c048e0809e4b7e586bfffc7f506b57409c37</t>
  </si>
  <si>
    <t>23782670613390402344</t>
  </si>
  <si>
    <t>0x4197985d6c34b5f189982db500af56597ac21430</t>
  </si>
  <si>
    <t>47280869728575689058</t>
  </si>
  <si>
    <t>0xaf7e436f333f2ea0c5004a166b7018394cf3a412</t>
  </si>
  <si>
    <t>0x5b083127ed43e2da3dfe233762da25255edea28e</t>
  </si>
  <si>
    <t>6492801177690985869</t>
  </si>
  <si>
    <t>0x87974550701780d0a6c6c934e054ef20a3a7c048</t>
  </si>
  <si>
    <t>23174699268899029089</t>
  </si>
  <si>
    <t>0xfed92adbdb87310d00088e1c7db8dfc28c3203b6</t>
  </si>
  <si>
    <t>9013032170574185838</t>
  </si>
  <si>
    <t>0xcab5e8e3c5d87795fd6e059072afce951f128d63</t>
  </si>
  <si>
    <t>0xc9c312cd03e05ba6209d2f5b17b04ba5f146c5b2</t>
  </si>
  <si>
    <t>14272376874326965036</t>
  </si>
  <si>
    <t>0x350e9c2ebd57b1a66e4c0ef6574cae65d470d6de</t>
  </si>
  <si>
    <t>24349629619925257481</t>
  </si>
  <si>
    <t>0x0212e2e77cb589c205be02e6bdf074dd208e78a2</t>
  </si>
  <si>
    <t>8607753085376416654</t>
  </si>
  <si>
    <t>0x4b78607b89df3c61c94dae69c2c1290e8e3840c9</t>
  </si>
  <si>
    <t>0x5bfd3070f077a093af23e00526d4df320bdc563f</t>
  </si>
  <si>
    <t>0x6960d18cd4350d3ace56ba602cdb2ac904080c97</t>
  </si>
  <si>
    <t>6384823781162226265</t>
  </si>
  <si>
    <t>0x47b31791dc81bb1953fe897f8fd8e341804c28cf</t>
  </si>
  <si>
    <t>0x941b902ffd52d5cf01f2949a0a742d2ddcf7be89</t>
  </si>
  <si>
    <t>0xa103f72e8717b62813167cb58872722663346fcf</t>
  </si>
  <si>
    <t>44208599936915240316</t>
  </si>
  <si>
    <t>0x2b4f2c9378c99a5f7928ac8e7cd439e6c4f0c101</t>
  </si>
  <si>
    <t>1028215400148827592</t>
  </si>
  <si>
    <t>0x0042a384a2e8e8aca48b5118cee225408d857037</t>
  </si>
  <si>
    <t>34799836526845032883</t>
  </si>
  <si>
    <t>0x012d0362f271fa40931c45c1f6d663391a16bdd7</t>
  </si>
  <si>
    <t>18206347544215534122</t>
  </si>
  <si>
    <t>0x0734756025b5f9240166c48c3313dcc714a22db6</t>
  </si>
  <si>
    <t>48135665714592373080</t>
  </si>
  <si>
    <t>37134477604712119813</t>
  </si>
  <si>
    <t>0x9a6ab9fdcb2e3136228c0556336b931d5d5b04bb</t>
  </si>
  <si>
    <t>0x5e2492787a23419663c5fe7459c13e8240449e63</t>
  </si>
  <si>
    <t>6519108265866127547</t>
  </si>
  <si>
    <t>0x83c401803fff08e491964e9457ffe43ff8f5c602</t>
  </si>
  <si>
    <t>14618404976372921947</t>
  </si>
  <si>
    <t>0x6afb5fc7ae34e7d7294163ff1fce247f7e2bf3ed</t>
  </si>
  <si>
    <t>0x54ce93058f687411f880acf8213b57ab85ffa3bd</t>
  </si>
  <si>
    <t>36556933153186531566</t>
  </si>
  <si>
    <t>0x53da33f96ecffe1cdf3842883c9ba3ba3b49c14b</t>
  </si>
  <si>
    <t>71878404815864332</t>
  </si>
  <si>
    <t>0x55c4f55a0eb8abb154e72b01b02510415561a049</t>
  </si>
  <si>
    <t>1554772057301608956</t>
  </si>
  <si>
    <t>0xecbfde2691c780883eba0815fba545343e847277</t>
  </si>
  <si>
    <t>44618887697495035274</t>
  </si>
  <si>
    <t>0xe2155b15a8a422e4ce354be0bc1284b8385399be</t>
  </si>
  <si>
    <t>48217144784922597148</t>
  </si>
  <si>
    <t>0x9b21238772083466472b50c3bf41a652691d31dc</t>
  </si>
  <si>
    <t>19347858545962193277</t>
  </si>
  <si>
    <t>0x46b828575296d78052cd2c6886a33e64c96b199b</t>
  </si>
  <si>
    <t>35863268228883623987</t>
  </si>
  <si>
    <t>0x22adc81de50eb7f27d11653bb925507eee90c59a</t>
  </si>
  <si>
    <t>19603964696750214902</t>
  </si>
  <si>
    <t>0x6d5ab9d173cc5547252ff478935c458f012557ff</t>
  </si>
  <si>
    <t>5869311958277933941</t>
  </si>
  <si>
    <t>0xe5640785e22bd241cd3f87e1807550ba87d05a38</t>
  </si>
  <si>
    <t>29983549041894788093</t>
  </si>
  <si>
    <t>0x2dfbc3bca5b5521fad707d5ac997cf8dfd59090e</t>
  </si>
  <si>
    <t>0xb06d6113184ac92d37df6b5a20687505e4908920</t>
  </si>
  <si>
    <t>512774396923143462</t>
  </si>
  <si>
    <t>0x82d3602ae5224ec317d7ded9c919aa251bfc854c</t>
  </si>
  <si>
    <t>0xe7294495206c1f5223d7f0c59b004ce971760541</t>
  </si>
  <si>
    <t>0x8308c26c6b9261f5382b94abf4c1f6d1c614d36f</t>
  </si>
  <si>
    <t>33305006724882788768</t>
  </si>
  <si>
    <t>43011366816509281258</t>
  </si>
  <si>
    <t>0x8706c9ee50e12f0b35b011c853fd1b5131cec2a4</t>
  </si>
  <si>
    <t>29132571275783114571</t>
  </si>
  <si>
    <t>0x1c1d4e3b6a20e04ac5f343c5358051a22ebc344a</t>
  </si>
  <si>
    <t>0x89967857dd60633cd4e34c597a5e2ccc6da58b7d</t>
  </si>
  <si>
    <t>0xe05f881b8c614dc087defc670745c4fdd03a2800</t>
  </si>
  <si>
    <t>17808416167652405144</t>
  </si>
  <si>
    <t>0xbd062e5034ecbe61b024029d32f537890715bc92</t>
  </si>
  <si>
    <t>32726468764447331122</t>
  </si>
  <si>
    <t>0xf8928f7101e78a3ea19c294529020ff25033e827</t>
  </si>
  <si>
    <t>0x14ae6e26a828d2cc90383bef04a5df3857cc4cff</t>
  </si>
  <si>
    <t>16277708707383702365</t>
  </si>
  <si>
    <t>0xece8e6d5050086b675b690fd35de4abdd224c5d1</t>
  </si>
  <si>
    <t>7896920396542227197</t>
  </si>
  <si>
    <t>0x435ce752ed189b6594d2512db33cfd8a2bbc9d43</t>
  </si>
  <si>
    <t>0xecd21d6e4b6fb5c507e357856ffef91c827e85c8</t>
  </si>
  <si>
    <t>143182907129633752</t>
  </si>
  <si>
    <t>0xa2dcb52f5cf34a84a2ebfb7d937f7051ae4c697b</t>
  </si>
  <si>
    <t>0xef91e857b2f957e6495f5010fba8c3e67c3e65e8</t>
  </si>
  <si>
    <t>0x6cca55161a068bff9453cb952156335fc408316b</t>
  </si>
  <si>
    <t>14390238282787934488</t>
  </si>
  <si>
    <t>0xba031b684fd253dcc9241375c9f5996ffb94016c</t>
  </si>
  <si>
    <t>21339764453101668352</t>
  </si>
  <si>
    <t>0x3da2b77daccc687fa15e3b405c000d0994f2d5c3</t>
  </si>
  <si>
    <t>20306309980511175685</t>
  </si>
  <si>
    <t>0x1954412daf4759936f4f0d42e1d2d4449a1a22c1</t>
  </si>
  <si>
    <t>0x95a7a87882d9c0c82afd69fb7b2cd3f419185b37</t>
  </si>
  <si>
    <t>0x581150eabfbcdc58767703cb746fe39105f7f378</t>
  </si>
  <si>
    <t>0x43634d29b94268bad0eb63d54e1c92362048d2dc</t>
  </si>
  <si>
    <t>0xf36549e81b6330e8c7ea7be526c7d6711af9289e</t>
  </si>
  <si>
    <t>48198084561617211399</t>
  </si>
  <si>
    <t>0x24689e26a73a8b5ec20d5d62e7c211b03b1fb18f</t>
  </si>
  <si>
    <t>2708058805872007161</t>
  </si>
  <si>
    <t>0xe60185835369d6c43ff6a6006bd2d5853772f6f5</t>
  </si>
  <si>
    <t>10222487590689854507</t>
  </si>
  <si>
    <t>0x03509690b1c3197def9d6076ab0095a4670b2d23</t>
  </si>
  <si>
    <t>15141729226449737088</t>
  </si>
  <si>
    <t>0x678abc4f0e7519937bd79f6cd954007fa097ac24</t>
  </si>
  <si>
    <t>19444287855524259791</t>
  </si>
  <si>
    <t>0x241bb606ed99d0db0b6cdc108c14467b0fdbc6c8</t>
  </si>
  <si>
    <t>33015888239898460359</t>
  </si>
  <si>
    <t>0xb68afbba9abc58b3cd4fc884115b7dce298dfab5</t>
  </si>
  <si>
    <t>0xc068a2f22f7c7f95c60281ae938b6970dccb5a99</t>
  </si>
  <si>
    <t>0x3fd66de4e45918dc265703adf309406d43a087dd</t>
  </si>
  <si>
    <t>13158651053859656957</t>
  </si>
  <si>
    <t>0x67e08249a596d880b2f9357b5de687ba22082272</t>
  </si>
  <si>
    <t>15679615134362857608</t>
  </si>
  <si>
    <t>0x7b2c49875cbba21323ec1d60ad670a11839dc3fe</t>
  </si>
  <si>
    <t>1624772609215346791</t>
  </si>
  <si>
    <t>0x41839df7272e3a61d641564215a16c6d637f747c</t>
  </si>
  <si>
    <t>0x553191ca30b888d10c06fea785b2fb9ceabaa513</t>
  </si>
  <si>
    <t>0xe22842c1140da9ce8199366690d5adfd7731f2bb</t>
  </si>
  <si>
    <t>18865082255748805642</t>
  </si>
  <si>
    <t>0x27b27395f2377ccf2eba37ebe75e1b92271ff034</t>
  </si>
  <si>
    <t>6306699080255426089</t>
  </si>
  <si>
    <t>0xad7654ed9d7c6be18587180ee7fcd667aa70aa8c</t>
  </si>
  <si>
    <t>11123447350300197480</t>
  </si>
  <si>
    <t>0x5e6c8752b0528608d9a9b740b34bb0e6df6c6104</t>
  </si>
  <si>
    <t>12850318333442549042</t>
  </si>
  <si>
    <t>0xca9a984be4c967b60afee23b2234edaf18de3907</t>
  </si>
  <si>
    <t>0x5aca354fddf44c90660cb8475f6e47fe226c57a6</t>
  </si>
  <si>
    <t>0x71a8f1ec5c643e1abc52cb2537f8a42379afef98</t>
  </si>
  <si>
    <t>45823557652457014783</t>
  </si>
  <si>
    <t>0xf9696d6c846ef4653b29ed484d170b5eec5f55f3</t>
  </si>
  <si>
    <t>45155423026334510746</t>
  </si>
  <si>
    <t>0x2c355152395fbfc19e4297479bccdc8e9bc0a174</t>
  </si>
  <si>
    <t>3442874628473467905</t>
  </si>
  <si>
    <t>0xd67a5cf5a16b1e4b133e47175fef86092e433a6b</t>
  </si>
  <si>
    <t>9725432854714772940</t>
  </si>
  <si>
    <t>0xc0f12746a4c3b64e5fb29aa58caf734621510e54</t>
  </si>
  <si>
    <t>10342132320873494197</t>
  </si>
  <si>
    <t>0x382e3c3a1a9928be6819836afcec033f7d2ea742</t>
  </si>
  <si>
    <t>7660934077441422235</t>
  </si>
  <si>
    <t>0xf9e11f3d963573383c92cbe9acfac4687acb4fae</t>
  </si>
  <si>
    <t>0x531446861ba46e4d12548afc9489bfad9ff2844a</t>
  </si>
  <si>
    <t>46996450457855240238</t>
  </si>
  <si>
    <t>0x1c7d53b09f3010ef20a9b49e7cae409d9e32151f</t>
  </si>
  <si>
    <t>0x0d6e94d085a597f316be1833649e05a45103e873</t>
  </si>
  <si>
    <t>0xe376f8a854159ec29b04ca42e2a35cd441683699</t>
  </si>
  <si>
    <t>0xef561262d02fe9e54d073708934ace8ced6ec73c</t>
  </si>
  <si>
    <t>9385251690722717442</t>
  </si>
  <si>
    <t>0x0120c580844733f4461a598c7b70c54255dec6b5</t>
  </si>
  <si>
    <t>10829394520943447501</t>
  </si>
  <si>
    <t>0x4b3595e2bd02f6fd3adf2f47e3f62217b15f3cd1</t>
  </si>
  <si>
    <t>0x719e62d0ec7dcb8d63bc9c65838a9b489ccd7929</t>
  </si>
  <si>
    <t>6435583967929631189</t>
  </si>
  <si>
    <t>0x23271e551fe63b3c911b3c060ac62fdec232ba0e</t>
  </si>
  <si>
    <t>0xc05592cf9a093778ae0092f893cd448f945efe4c</t>
  </si>
  <si>
    <t>0x39ebba0b14518e53bdf8d36fd71e2cb1c54640e3</t>
  </si>
  <si>
    <t>30546423221574669330</t>
  </si>
  <si>
    <t>0xf8c35cc8d074d17c1cd3466209211941413428f5</t>
  </si>
  <si>
    <t>0x4a9d770768965a89b9c0d9211356f91d65a9b848</t>
  </si>
  <si>
    <t>31014557900035820700</t>
  </si>
  <si>
    <t>0x5a272a9e198d7d5f828e029555b4e4c49ffb0a0b</t>
  </si>
  <si>
    <t>44923017091742538297</t>
  </si>
  <si>
    <t>0x2dd24caff87f2d4ee625d4b9fcbf83e46246cdd0</t>
  </si>
  <si>
    <t>10097936206395721324</t>
  </si>
  <si>
    <t>0x5652e6d16cdb7385d3d2adc74b4c9feff94339fb</t>
  </si>
  <si>
    <t>0x1d9d3dece58a4eda888e653e4d8f286aed3c8142</t>
  </si>
  <si>
    <t>10444855123583494018</t>
  </si>
  <si>
    <t>0x21cc73b6eebf9ddfadd6ada0f92b053a6503fc8d</t>
  </si>
  <si>
    <t>0x9fc1aaec4ecf71d02c1e7bd58b1aed987e8df862</t>
  </si>
  <si>
    <t>0x763cadf5fcc71b87a02b7ecbab6fa52bc448c08d</t>
  </si>
  <si>
    <t>11642110577759979804</t>
  </si>
  <si>
    <t>0xf0f225e01cf084d3c246ad595ab60d0d4f5b4c78</t>
  </si>
  <si>
    <t>0x22ff41947f54abc453e3c811c6f679c66a73e4e6</t>
  </si>
  <si>
    <t>0xdea1c4b77740efa60e83c71eef2bdde1e7cbd7a6</t>
  </si>
  <si>
    <t>0xf26d9d24b64b0d684f20703a7fc9bb1aa379c9ba</t>
  </si>
  <si>
    <t>46955717359253128222</t>
  </si>
  <si>
    <t>0xefb13687723e45a9267e0b04a3947d910ef0b8fb</t>
  </si>
  <si>
    <t>0xd404fff20f7eee0d6f436e05f76ed07c687e61e6</t>
  </si>
  <si>
    <t>8631130260071470274</t>
  </si>
  <si>
    <t>23122022216339918894</t>
  </si>
  <si>
    <t>0x4fd4ae939884b517c2a74b7e35fffc1f4db3282e</t>
  </si>
  <si>
    <t>891699445363269506</t>
  </si>
  <si>
    <t>0xe270e2b1275f2801eb67c8561a2e2ded1f8cfad4</t>
  </si>
  <si>
    <t>26126666023980514998</t>
  </si>
  <si>
    <t>0x0079266502e50b4b015a4ca03b2c6ad237324ef6</t>
  </si>
  <si>
    <t>20503651806189118375</t>
  </si>
  <si>
    <t>0xe94608351b20bf2760e79a8a5eeeb5934bea913e</t>
  </si>
  <si>
    <t>5621024925419777818</t>
  </si>
  <si>
    <t>0x3c47597b239a6c895a42e181d8b5158c11bc2cd7</t>
  </si>
  <si>
    <t>47138426986263630674</t>
  </si>
  <si>
    <t>0x0acd301216a71286f5a73cc0dbf44da57bd5bfa4</t>
  </si>
  <si>
    <t>2925952675408089036</t>
  </si>
  <si>
    <t>0xa0a17f5d92f4b250d463cf5a16549fe6371f6db6</t>
  </si>
  <si>
    <t>0x6502499186806b8e564d9ceb807de5715563832d</t>
  </si>
  <si>
    <t>0xfda86e8aba48ea63098b22df2ab22be687790356</t>
  </si>
  <si>
    <t>0x3cbe9d786220a602baa9a1dc38964ab023a930e8</t>
  </si>
  <si>
    <t>0x2ea585f1f75318a1cacf640a7ef93684ba34f118</t>
  </si>
  <si>
    <t>6187264196112781643</t>
  </si>
  <si>
    <t>0x1e8295404d8ab2924942b36d8c27edf3713354ee</t>
  </si>
  <si>
    <t>16236289505367352462</t>
  </si>
  <si>
    <t>0x997b86481ea10a414ac34acbcf1e3030274a618d</t>
  </si>
  <si>
    <t>0xa011a2379e884826ec192bd7f46b2afa6c356dc1</t>
  </si>
  <si>
    <t>0x35cf14af7f54b6429dab08534c75b3a9b8dc6fd4</t>
  </si>
  <si>
    <t>0x1d608491ca3042fb1f7c3144fa25d59e4a0e7e1a</t>
  </si>
  <si>
    <t>33397880916191844172</t>
  </si>
  <si>
    <t>0x707fea2cbf2155bd4ef7de98cb75fbd517fea7a0</t>
  </si>
  <si>
    <t>0x53ecf15b6aaca06f1a8c148b271535670740fef9</t>
  </si>
  <si>
    <t>0x216a6b81d909f4fdabb32cf054b4fb061540a688</t>
  </si>
  <si>
    <t>5888076226162792209</t>
  </si>
  <si>
    <t>0xfa67ddfe1d2e90d56f9eb154d8c0233dfb444e5b</t>
  </si>
  <si>
    <t>0x8d1774d8e34834b017e8cfe280b3638445dfbb84</t>
  </si>
  <si>
    <t>0xf156cc9027ce67916ba073a558e60d05a3ab7918</t>
  </si>
  <si>
    <t>39843648072815570032</t>
  </si>
  <si>
    <t>0x84ec82c9b9891e4b07aa9c42e5158c37dcf72595</t>
  </si>
  <si>
    <t>7119779357119598059</t>
  </si>
  <si>
    <t>0xb5aa0867ffcc9ee70fe676ae4f410e7a88193931</t>
  </si>
  <si>
    <t>8388813083499202569</t>
  </si>
  <si>
    <t>0x7408f65c04db74a44990d508816524a4a1fd6614</t>
  </si>
  <si>
    <t>8598806103106446716</t>
  </si>
  <si>
    <t>0x589ca6d1b0d6bca99d114da4dcbfe14c4f03343f</t>
  </si>
  <si>
    <t>40491577512668642504</t>
  </si>
  <si>
    <t>0x5e5a8eab6ea13c49a165bdf1acb2de5b0db8aaec</t>
  </si>
  <si>
    <t>0x6a04faf44efc42776e6cb3e56f08684f1599d687</t>
  </si>
  <si>
    <t>45118758826454743253</t>
  </si>
  <si>
    <t>0x3bc863f266b77eed5a57ac60414a0ca3679c3fd0</t>
  </si>
  <si>
    <t>312596854085520974</t>
  </si>
  <si>
    <t>0xba25efa280f5cfcbea2616b8afdcbba0f1175fb8</t>
  </si>
  <si>
    <t>18074408924674771291</t>
  </si>
  <si>
    <t>0xe739d0106a449c39cf84e99d0e75e30aa5d163f2</t>
  </si>
  <si>
    <t>0xfd104ddbfc4575173588fe9dbad417f8088488d8</t>
  </si>
  <si>
    <t>43241739892596914784</t>
  </si>
  <si>
    <t>0xf1faffa66a7cacc2a629cf98d0d491f69376c3a2</t>
  </si>
  <si>
    <t>43578849439804175169</t>
  </si>
  <si>
    <t>0x0effe4fb5280a46a5e787f7a94a3f364117b4ebd</t>
  </si>
  <si>
    <t>6985722615667004070</t>
  </si>
  <si>
    <t>0x7c6719117499bb108cc762e7fb37088419472755</t>
  </si>
  <si>
    <t>8590870589060316894</t>
  </si>
  <si>
    <t>0x2b7b828613cabceef46c77165774e2d2c56778b9</t>
  </si>
  <si>
    <t>0xfcc258b802e11bb5c998e05946fdacdacdaa7100</t>
  </si>
  <si>
    <t>33228269436583276407</t>
  </si>
  <si>
    <t>0xb88e5decd4af91b2e32b64d6590449d302f3dcd9</t>
  </si>
  <si>
    <t>0x86c14ae4c7c22534d361c6790abb5fcce12453fb</t>
  </si>
  <si>
    <t>0x284982f645cff359a471f868c2ba31746a8d2eb1</t>
  </si>
  <si>
    <t>601565668060192972</t>
  </si>
  <si>
    <t>0xf871e3815df117819a73ac60cdadf9844220a852</t>
  </si>
  <si>
    <t>0xeb2e7a1140eba811d246508adc46ff36bb7ab1ba</t>
  </si>
  <si>
    <t>5991887781552057691</t>
  </si>
  <si>
    <t>0x1caa79642006c2a17c08c3b736661fbebc5d828f</t>
  </si>
  <si>
    <t>626546166566816335</t>
  </si>
  <si>
    <t>7717355108274205393</t>
  </si>
  <si>
    <t>0xdec0de42b846851c45fc971c1101932423a0c82f</t>
  </si>
  <si>
    <t>0xaa7e065af43c8706d6252883de291746c054fcd5</t>
  </si>
  <si>
    <t>11113586890681113030</t>
  </si>
  <si>
    <t>0xa43867a72cbba85af92a5d171403a8858d29cefd</t>
  </si>
  <si>
    <t>0xf6cb5e6435e8af4ced75529feecf61ff01ef15fa</t>
  </si>
  <si>
    <t>18181242753811374417</t>
  </si>
  <si>
    <t>0xa7c4566d91dbc6605cd8e0e786e97824788bbd01</t>
  </si>
  <si>
    <t>0x833542a37aeb8b1da746408ce409d7006ec769f1</t>
  </si>
  <si>
    <t>9974664830004486328</t>
  </si>
  <si>
    <t>0x2f7d94c0ebf16ddc38adc42dfc70a232dc9e4a3a</t>
  </si>
  <si>
    <t>0xcc5fbc359874b8bccea047aa027c454a7c96440b</t>
  </si>
  <si>
    <t>0xbacfba305a3251f75860c4a3433f57362d104444</t>
  </si>
  <si>
    <t>19289010929618911446</t>
  </si>
  <si>
    <t>0x310f0d17b66881407cc13d22f557fc3c4bfd41bb</t>
  </si>
  <si>
    <t>39956139483053039383</t>
  </si>
  <si>
    <t>0xd593be7d470ba396c180229308edab4e60b98479</t>
  </si>
  <si>
    <t>0xf7707ee311818916c899cb53e40c01324bddf0b9</t>
  </si>
  <si>
    <t>9675403866503316693</t>
  </si>
  <si>
    <t>0x52283c3525bf7c77503b1f21c0064e6f2452d869</t>
  </si>
  <si>
    <t>37885216704620184345</t>
  </si>
  <si>
    <t>0x03bc977ff731f4ca7eb515af33f6f0cf39ec76e2</t>
  </si>
  <si>
    <t>0x49040080f7a4e5c18e6499e41d375d2fc0ffd24c</t>
  </si>
  <si>
    <t>43133340234832283352</t>
  </si>
  <si>
    <t>0x4981c4086f83f6c9dd18b0ea80c34fa7b0b37e80</t>
  </si>
  <si>
    <t>0xbcef09f2ad78d4298955f14d0547186fe37bd7bb</t>
  </si>
  <si>
    <t>9427871518129259980</t>
  </si>
  <si>
    <t>0x38696762727fe113be58b6c4bfb55042a8b19276</t>
  </si>
  <si>
    <t>0x6995858b0a19ec3c3d96e7ccf824862d192052d1</t>
  </si>
  <si>
    <t>9750794187421897350</t>
  </si>
  <si>
    <t>0xa54afb375cbf44cf4c47a975a0e697578286737e</t>
  </si>
  <si>
    <t>0xd1be1761a2539fba41e92e172d357c1d0101551a</t>
  </si>
  <si>
    <t>1080506279042224725</t>
  </si>
  <si>
    <t>0x2458a030fcd018e9af9ae990aef6424e75951384</t>
  </si>
  <si>
    <t>9667036297282380349</t>
  </si>
  <si>
    <t>0x3a798beab2387e2f87a20de9ec839361bb4c8719</t>
  </si>
  <si>
    <t>6474020369313676889</t>
  </si>
  <si>
    <t>0x5221fe845a6eb381af787196d70cda5cda6dece4</t>
  </si>
  <si>
    <t>0xcfa1aba8006906679950d2fa133342e91c6efc59</t>
  </si>
  <si>
    <t>0x2f140407eb41191aed7a9a44c948b46bfd909406</t>
  </si>
  <si>
    <t>44195763755292871683</t>
  </si>
  <si>
    <t>0xe549bed3442d6c112eca3977a11a87b43a95dc4e</t>
  </si>
  <si>
    <t>0x66a7d6a2d7775ac5bad8941be6924211d8916bb4</t>
  </si>
  <si>
    <t>8813782636899704568</t>
  </si>
  <si>
    <t>47542252313386074527</t>
  </si>
  <si>
    <t>0x45f72add1a4fd75f5aac28b503d05c1875aa23f2</t>
  </si>
  <si>
    <t>0x57c9e87fe2d0469a191aa12226780bdaa65a8174</t>
  </si>
  <si>
    <t>3358855042029584851</t>
  </si>
  <si>
    <t>0xb966c9109ba022a5580502de94ed1746d71bec06</t>
  </si>
  <si>
    <t>23408237569053419319</t>
  </si>
  <si>
    <t>0xa4531c47dee6e854468e4a1ad27a134e1220d2d7</t>
  </si>
  <si>
    <t>8070056420461215321</t>
  </si>
  <si>
    <t>0x4c4b46abe88f996d1b3b4a8fa41876535675ef1e</t>
  </si>
  <si>
    <t>14703130251539100274</t>
  </si>
  <si>
    <t>0x97049bd3fdda09cd0b28cc9068adb803d1a38332</t>
  </si>
  <si>
    <t>1470374477075556863</t>
  </si>
  <si>
    <t>0x084c60cd0197fa55e546ef39f91be1d7e7ef4ebe</t>
  </si>
  <si>
    <t>0xd0796406c67e79b6b41c5fc625f09c84975768fe</t>
  </si>
  <si>
    <t>0x10571ca77583c35000060dee956932d217ddcfde</t>
  </si>
  <si>
    <t>32946785836209270327</t>
  </si>
  <si>
    <t>0xffa98f5d5c61678133048de1fe81c56f9c58124e</t>
  </si>
  <si>
    <t>0xd8164711ed327968ca5969779b3a8e4a34740cdf</t>
  </si>
  <si>
    <t>0xe3901d0a64973a4f9e163a9fe8448dcdc98ba8e9</t>
  </si>
  <si>
    <t>27652761504056002427</t>
  </si>
  <si>
    <t>0x76c4d9067dd1ee4ea3c7498672146cee97da265d</t>
  </si>
  <si>
    <t>9254673968503450353</t>
  </si>
  <si>
    <t>0x3beb5b78363e32832199dd0abc961412ba4eca6c</t>
  </si>
  <si>
    <t>0x202c3b701c5a4305052cb391238ef8e91ca729b4</t>
  </si>
  <si>
    <t>12064992925791129397</t>
  </si>
  <si>
    <t>0xb6431cdbebed03604ebef611e0f4ade7871e9352</t>
  </si>
  <si>
    <t>39078215100474107758</t>
  </si>
  <si>
    <t>0x276f55a95f8579d1ba13680167d1211bea5454da</t>
  </si>
  <si>
    <t>0xf6d2158000b79fa669bba14ad1ae12c2c50fd4e3</t>
  </si>
  <si>
    <t>14552517223381676755</t>
  </si>
  <si>
    <t>0x9617cebbaf57b123e9bcff3ea7965ebe852ef4f3</t>
  </si>
  <si>
    <t>5289348542708903041</t>
  </si>
  <si>
    <t>0xc11127bacd1ef7823dda7a9063bef6d8cb5cdb9a</t>
  </si>
  <si>
    <t>19123930786892560142</t>
  </si>
  <si>
    <t>0xa402895de245673833a2ba48626fe8d7c58cfcf9</t>
  </si>
  <si>
    <t>43723354163166905890</t>
  </si>
  <si>
    <t>0xd49f8023c21d027803424e6948001ae6c9f9c1e5</t>
  </si>
  <si>
    <t>0x3d84c4a27d3d345b6b26d120d37dc014b2c7a48b</t>
  </si>
  <si>
    <t>0x4e02004c80ffee6b40239b12bfcd06f234e74a29</t>
  </si>
  <si>
    <t>0x7f1cd22f3e8dfac287cb6b1d29a4d28ecb797b9c</t>
  </si>
  <si>
    <t>0x3a3421f7d6c7a6c51f514db6afa497421f585bf6</t>
  </si>
  <si>
    <t>45256881163130456423</t>
  </si>
  <si>
    <t>0x7cabbb3cb1943e7aa88db46089fdb2b890392aa5</t>
  </si>
  <si>
    <t>0x78c14d57a93ca5331426bc5f07b985b7121e1a4b</t>
  </si>
  <si>
    <t>0x1509d0cf64fe6b6edb76fa69e86f05b79e611d0a</t>
  </si>
  <si>
    <t>0x30443cf598a568411189d736a53e4cf7c8dbbb20</t>
  </si>
  <si>
    <t>16337432822069007940</t>
  </si>
  <si>
    <t>0x04a038e2e653fa9ffbe289dfd96770053acb1978</t>
  </si>
  <si>
    <t>23810397497858145259</t>
  </si>
  <si>
    <t>0x50d5d72c2b81662378135451f2c3b5c38e55f4dd</t>
  </si>
  <si>
    <t>43946382270093519217</t>
  </si>
  <si>
    <t>0x6252e935fa86e110219d42428a735337c64876a8</t>
  </si>
  <si>
    <t>0xcb6a43585b6719bdf518011e5e44a1b0b5ebbd5c</t>
  </si>
  <si>
    <t>0xe443523894494e069343363103776084d9977ada</t>
  </si>
  <si>
    <t>21585329142942359655</t>
  </si>
  <si>
    <t>0x3a1711bce829e721c83a20dd05dee70b8a4bb644</t>
  </si>
  <si>
    <t>0x59cfb6aa0c150c8d082cf795ce76d85c112d49fd</t>
  </si>
  <si>
    <t>43485541320370151905</t>
  </si>
  <si>
    <t>0x45ace929788207d6a889d4b7a5a4be106a351103</t>
  </si>
  <si>
    <t>19287476191692364559</t>
  </si>
  <si>
    <t>0x5a941dfd1027dda3c466bf01f702a56e77e4ab7a</t>
  </si>
  <si>
    <t>47787683865814749463</t>
  </si>
  <si>
    <t>0x674d20f803d4865cf753574473cd77708e9e9af2</t>
  </si>
  <si>
    <t>0x04669c2b562ba85cf9de01a7f8dddbc7ef8f2cf1</t>
  </si>
  <si>
    <t>0x0ff00a8d74de07741f8361174154ab03d00a7421</t>
  </si>
  <si>
    <t>17587217496855298181</t>
  </si>
  <si>
    <t>0xc5a444017b9975b80f4fd030bbfea138058a5e67</t>
  </si>
  <si>
    <t>0x601160af6efed60150ba49978f8b9d4abdc3106a</t>
  </si>
  <si>
    <t>43622424315396628333</t>
  </si>
  <si>
    <t>0x0cf530392aacc1ee44d788e1ecec39135605d105</t>
  </si>
  <si>
    <t>9960268543436225405</t>
  </si>
  <si>
    <t>0x87296273fe7d9d43629809024839dcff76a38f5e</t>
  </si>
  <si>
    <t>43572153680550156755</t>
  </si>
  <si>
    <t>0xde62454e1f6f7ef04a70a79edd44936aaa5259ae</t>
  </si>
  <si>
    <t>34319017441787377297</t>
  </si>
  <si>
    <t>0x0b5c94ace9757fc63fb16f76b777fc00c59df41c</t>
  </si>
  <si>
    <t>5319911841961387090</t>
  </si>
  <si>
    <t>0xf382a930ad6fdb7b7e617396362d4ce4ed096c25</t>
  </si>
  <si>
    <t>0xe24a860be060f381a12162432dcfec99a4e75d8d</t>
  </si>
  <si>
    <t>34635017598809246298</t>
  </si>
  <si>
    <t>0x8e9ff020557b7b0fc0c025b3bc4a06eb3606fffa</t>
  </si>
  <si>
    <t>0x4bb081ff63ca1611b059b51638e4636d122ad948</t>
  </si>
  <si>
    <t>4646806044469644049</t>
  </si>
  <si>
    <t>0x34f5570959e93342b397f37b413575625f924b37</t>
  </si>
  <si>
    <t>0xb272d843b45039756afa7511420ed78be1a334a9</t>
  </si>
  <si>
    <t>0xcabcbc39bff8d67df7f3a8f540cca2e0079927c0</t>
  </si>
  <si>
    <t>0xea2820c575ffeacd5729fcbe1cc00afb6ff32364</t>
  </si>
  <si>
    <t>0xa872d7457974b5fbd3772e4ddcfbdac82c9dd200</t>
  </si>
  <si>
    <t>14547535441252861722</t>
  </si>
  <si>
    <t>0xe74ac630c5e5eb583e63583e7a523f055200149a</t>
  </si>
  <si>
    <t>0xb632619dd73db082df23d7e8d5bed09b63e31417</t>
  </si>
  <si>
    <t>0x72d0673f36cc693e55cb54d048fdc45c1b138e70</t>
  </si>
  <si>
    <t>0x5040c33742ff5003a8df9a6f646fc69d672d762c</t>
  </si>
  <si>
    <t>11930126359447969180</t>
  </si>
  <si>
    <t>0xc9a7ecadcbf86e2f478f675c0e1aa81dc94c9126</t>
  </si>
  <si>
    <t>42089419893467231238</t>
  </si>
  <si>
    <t>0x1281f5e5c14a8aa282dc2c0e8a12a3cb1aa53b13</t>
  </si>
  <si>
    <t>39832583065807872936</t>
  </si>
  <si>
    <t>0xc8d2b5c6ce8bf242cd3d436911c412de203b5241</t>
  </si>
  <si>
    <t>4930540563365650986</t>
  </si>
  <si>
    <t>0xfec37209302ab27ea564469d84c30e9d407e7835</t>
  </si>
  <si>
    <t>30085042923913533868</t>
  </si>
  <si>
    <t>0x915aeb6700b646f0d1e4671b5a8feb9ce4d333b7</t>
  </si>
  <si>
    <t>0xb7a1b98a0a18a4af255dadbb9dd2a7b2b723da37</t>
  </si>
  <si>
    <t>9728128616507633687</t>
  </si>
  <si>
    <t>0xc689ea08511a71f93e1628c7ce039d22cfe0bf4e</t>
  </si>
  <si>
    <t>0xcc0564d6c639c0cdf530ed1a566c7a32efdb9eb4</t>
  </si>
  <si>
    <t>0xff6f8cc5a4e6c8f3050c38d87c27bac7439358ff</t>
  </si>
  <si>
    <t>3133630557548912150</t>
  </si>
  <si>
    <t>0xfa9c844017eb9a4ca8f8c8903d7c088c49d884fe</t>
  </si>
  <si>
    <t>0x88363cae13357492d3749badc35797ab195a019f</t>
  </si>
  <si>
    <t>0xf25685a7a5f0891ed4350eb9cf9c74b67a7aa7e2</t>
  </si>
  <si>
    <t>0x0023da1aeebdc8be6ffd659f85df5999d867bb82</t>
  </si>
  <si>
    <t>0x5e7e82bc4158c7010f3efcdddda20bca602f1598</t>
  </si>
  <si>
    <t>0xb088af717e0f72136746544a8ee791a6b3149815</t>
  </si>
  <si>
    <t>19601152669404364503</t>
  </si>
  <si>
    <t>0x07635410cd191e91395ef54c28ab776848fd8de3</t>
  </si>
  <si>
    <t>0x0df4e1073f1258604f36eef0dcbff546f1bbac23</t>
  </si>
  <si>
    <t>0xa94b2c9caeb767755dc63f2aff819bc8b9dcc71c</t>
  </si>
  <si>
    <t>9725761291442715176</t>
  </si>
  <si>
    <t>0x8471b1f52d6096d720904b8031d1fbfb3e02988f</t>
  </si>
  <si>
    <t>9430757221808267915</t>
  </si>
  <si>
    <t>0xa5d7103299d19d97f28cce3b8984c780093e4988</t>
  </si>
  <si>
    <t>19152194529440280534</t>
  </si>
  <si>
    <t>0x367bc1a9d1ef225307666e330e127eaf19b2160a</t>
  </si>
  <si>
    <t>26620199547149205548</t>
  </si>
  <si>
    <t>0xfa6e3450e42aa5ef10d01bf8486311529d5761df</t>
  </si>
  <si>
    <t>0xe32a86a7c9e5ac2b8e4cf15d8a3b95fe4e46b5c0</t>
  </si>
  <si>
    <t>6161563783534026967</t>
  </si>
  <si>
    <t>0xe74b6ebb71d3f941259beec84273573649c97dd2</t>
  </si>
  <si>
    <t>126998571222701246</t>
  </si>
  <si>
    <t>0x7b30bc1c35a29f2a998a854f43f7fae9d780abf7</t>
  </si>
  <si>
    <t>44950361515890280160</t>
  </si>
  <si>
    <t>0xca8b1bf327ca7e91b6ad6defc8cc78ae9bb6f236</t>
  </si>
  <si>
    <t>0xaddd04a2e1589e61696cdc29f4dc05cf78cc3995</t>
  </si>
  <si>
    <t>21280216143822533927</t>
  </si>
  <si>
    <t>0x08f5b4082dd6fbf88f0bbf3340970c97aea621cf</t>
  </si>
  <si>
    <t>4904080985423919556</t>
  </si>
  <si>
    <t>0x1c3a762962166177e87f8db30afe531a6164a5ff</t>
  </si>
  <si>
    <t>0x3bfa5ad5fb47aa79fdc0c735b8e50528c069f40e</t>
  </si>
  <si>
    <t>0x479b7a1097a8f39dca107266ec5cba4c5ae00fbc</t>
  </si>
  <si>
    <t>22665179580155575910</t>
  </si>
  <si>
    <t>0x19fc1578e899f81c247f9e233c4d1413d023dc7f</t>
  </si>
  <si>
    <t>0x0cb3a05981366a2734e9bb4c6738c367f8e26de4</t>
  </si>
  <si>
    <t>9419224925051236201</t>
  </si>
  <si>
    <t>0x28fa85467ee0fd3428ca8b7e95262afd8c235c7f</t>
  </si>
  <si>
    <t>0x1e7f998ec49840e4f851b95a28689634d4344e8c</t>
  </si>
  <si>
    <t>7831253372012563946</t>
  </si>
  <si>
    <t>0x69d401c029be528953c4a10ea03ac1706c92dc32</t>
  </si>
  <si>
    <t>17577199191578699964</t>
  </si>
  <si>
    <t>0xf45c2292b256efaadaf4a59a0bb6f5ec9d82ef04</t>
  </si>
  <si>
    <t>1738678579814781366</t>
  </si>
  <si>
    <t>0x0c230ba404daed55fc4ef39576495f5078fed792</t>
  </si>
  <si>
    <t>0x57a55c35831798027e66c352bd713b55dfffa960</t>
  </si>
  <si>
    <t>15485510215202710486</t>
  </si>
  <si>
    <t>0x8e7e24d460b8caf8c3c0266a193c10add23b7b36</t>
  </si>
  <si>
    <t>9353406066857188533</t>
  </si>
  <si>
    <t>0x74c4188dcab62dd2e218c428a7c9ed7a4a3d42a5</t>
  </si>
  <si>
    <t>19527152976755894337</t>
  </si>
  <si>
    <t>0x5fea4092d792407e36e3099a5821d63469496d3a</t>
  </si>
  <si>
    <t>19354833719687797792</t>
  </si>
  <si>
    <t>0x5482273451c8fab8588bd58a2f3d6732e911ea62</t>
  </si>
  <si>
    <t>45562192404072296029</t>
  </si>
  <si>
    <t>0x61ee82a011d8a46691a9b8ffd17bb03d79a17797</t>
  </si>
  <si>
    <t>9672895832461863130</t>
  </si>
  <si>
    <t>0x4d9a5f25af7eb4aa65cbbc2095eb3ed56d871914</t>
  </si>
  <si>
    <t>0x85c91cdd26a3a5214b1fab1c07425db4f79a0951</t>
  </si>
  <si>
    <t>9682887007693815939</t>
  </si>
  <si>
    <t>0xf1d526f8aef91633d43f0bb4f964a2a841c43c34</t>
  </si>
  <si>
    <t>0x84eaabd54fdcaa7b588e9fc65fb63d14de7d4346</t>
  </si>
  <si>
    <t>18507951172215575532</t>
  </si>
  <si>
    <t>0x8760f59eaf7c6785f1a735a29f69ad605dc98cf2</t>
  </si>
  <si>
    <t>7276200195096742883</t>
  </si>
  <si>
    <t>0x49ae70cacf2c8a5f680cf749706b2f5ced5efac0</t>
  </si>
  <si>
    <t>6106645155844593274</t>
  </si>
  <si>
    <t>0x44b5febbdc9865ae130143699f1358e940b0cd51</t>
  </si>
  <si>
    <t>0x4693125785fbf78bfd5d6f85317b47edee7d5968</t>
  </si>
  <si>
    <t>9785350472665715047</t>
  </si>
  <si>
    <t>0x4dd4146664e8850ad6e5dabfdc97dabbe03f0e75</t>
  </si>
  <si>
    <t>6127076724655353460</t>
  </si>
  <si>
    <t>0xd257406916322166c750ea169208a9b2e1fd2c90</t>
  </si>
  <si>
    <t>6712695045796793244</t>
  </si>
  <si>
    <t>0xd67b9f1af81e985aa7ce0521a45ac12f436aa441</t>
  </si>
  <si>
    <t>0xf15083a3124f4fbf61724b59cffaade13c3d5f85</t>
  </si>
  <si>
    <t>48130309852660025018</t>
  </si>
  <si>
    <t>0x572656ebefe12a2d11a4cd4edd11032dcd7ae7b8</t>
  </si>
  <si>
    <t>0xde97f2fad748338e2c91b0349d438b8d1407e0a1</t>
  </si>
  <si>
    <t>0xe62567f0e133e808c388ed7ba5cea4dcbff9db44</t>
  </si>
  <si>
    <t>2041464350059827360</t>
  </si>
  <si>
    <t>0x336d94511324c75654ba41189f45a72d1ba27558</t>
  </si>
  <si>
    <t>0xcf7bcef46aa95449e86f1a2d23b7b4caa8d6ae3d</t>
  </si>
  <si>
    <t>0x9fe47b52107d522b19ab9564ec46b75144c3a71b</t>
  </si>
  <si>
    <t>33131094094483110508</t>
  </si>
  <si>
    <t>0xd90856e0374807bf6c9c187d746db1e0d8b91a05</t>
  </si>
  <si>
    <t>0xa2f70aa9f2f23f28ae3b4f932952adfc090f05f2</t>
  </si>
  <si>
    <t>31533411194937027547</t>
  </si>
  <si>
    <t>0x77f8d21e739dd90083122a97f2cd9987e791e605</t>
  </si>
  <si>
    <t>38661073843090317953</t>
  </si>
  <si>
    <t>0x31ece47e8eed2594865e54e8903bcbaa508494eb</t>
  </si>
  <si>
    <t>0xa65fb3c3018f246ff634b26743d03f1f98207fd7</t>
  </si>
  <si>
    <t>9706459070615634095</t>
  </si>
  <si>
    <t>0x75bfb9e8d7a4798820e28c1567be69115a202e41</t>
  </si>
  <si>
    <t>35616960346664279974</t>
  </si>
  <si>
    <t>0xf1a0b22ebeadea98b15acfa219e223951799f910</t>
  </si>
  <si>
    <t>0x0ab41ca98c8ec6e6cd7f721470459a2f15541785</t>
  </si>
  <si>
    <t>3881216433634088011</t>
  </si>
  <si>
    <t>0xa39e78affcfddfe25c3b033ffac0095d54d94323</t>
  </si>
  <si>
    <t>0xdbd3baf026269abc963e5aee9ebaa53540fa0cf3</t>
  </si>
  <si>
    <t>0x56edfa4bff12a8d5352523bb1cf4155335aaf8a3</t>
  </si>
  <si>
    <t>0x6b2f86a9a91bfe771226e97271ca9f7f2c79e946</t>
  </si>
  <si>
    <t>7754819630443563087</t>
  </si>
  <si>
    <t>0x23b4c21e96bb213c1563f6f189131a570ba94718</t>
  </si>
  <si>
    <t>0x83c5852053cd29e59e56a002b24d9ac61631e3ba</t>
  </si>
  <si>
    <t>9345780613849892896</t>
  </si>
  <si>
    <t>0xc0f6364689a62388da5e2d1da1ca8a4b5e55c3a1</t>
  </si>
  <si>
    <t>1590143815323284895</t>
  </si>
  <si>
    <t>0x1767d68e82c9a641ce3df93995811cf479b8d499</t>
  </si>
  <si>
    <t>0xd4493f8cea59fa0a7a93d84c8ab858f15abd140e</t>
  </si>
  <si>
    <t>12775872841798466983</t>
  </si>
  <si>
    <t>0x400032c4574e1c753da750ea5594d773c3937264</t>
  </si>
  <si>
    <t>0x13a5e7bde7477616c953ac4d4a1a82f751053efb</t>
  </si>
  <si>
    <t>0x1b76b36e2b7121579e32f6cf3d640d8930e83065</t>
  </si>
  <si>
    <t>19349012594524628451</t>
  </si>
  <si>
    <t>0xd413aaf3c0afc45eac8e5901864f103c44b9004d</t>
  </si>
  <si>
    <t>47101233071330195057</t>
  </si>
  <si>
    <t>48223993139928615981</t>
  </si>
  <si>
    <t>0xcf21c3bbcc34afa5d474cff53752f8ee8395bf9b</t>
  </si>
  <si>
    <t>9487120415306762914</t>
  </si>
  <si>
    <t>0x1d08720069615ce2f8e871c8b27fb94dddfd7ab5</t>
  </si>
  <si>
    <t>0xef879dd342fdbc2f1dbc64ef2369fd0168b16669</t>
  </si>
  <si>
    <t>26996338079685239929</t>
  </si>
  <si>
    <t>0x813542109bfba06843952909b1c416b4179ee929</t>
  </si>
  <si>
    <t>0x1da37784fe80f9464909c6262b523c158f78c2c7</t>
  </si>
  <si>
    <t>0xa5a6234150bcbef3b25390698f97474b4bf4c27f</t>
  </si>
  <si>
    <t>0x10190b00e2400aab9a92ee8bfd01b110820631a7</t>
  </si>
  <si>
    <t>0x0b6730e0552f8acce13745f1bbecd009384645bf</t>
  </si>
  <si>
    <t>7722354395772729807</t>
  </si>
  <si>
    <t>0x8dd465ba1cd2ad7f6e6dfd929be748be361429ca</t>
  </si>
  <si>
    <t>0xdee9d243722861df9460ddbb9ea86ff4fdab5e05</t>
  </si>
  <si>
    <t>48249450847911019323</t>
  </si>
  <si>
    <t>0x5ee481e77c970ce812bcc5c3b66c481bf37a06b0</t>
  </si>
  <si>
    <t>29771602754738919907</t>
  </si>
  <si>
    <t>0x8087fee86e8967dbf76261f440e5f41b260ae224</t>
  </si>
  <si>
    <t>0xcf8697b8c76142646c44e3bbd70fffa9eb23d904</t>
  </si>
  <si>
    <t>4871056499013496738</t>
  </si>
  <si>
    <t>0xdbf622f89d8023cfa168bcda0d48d8b34c8b48fe</t>
  </si>
  <si>
    <t>0x7b3254d836387627e184a7482ec101bfd0c35e1d</t>
  </si>
  <si>
    <t>43737264458359610810</t>
  </si>
  <si>
    <t>0x76b0eec6cc9f88d0a3a6e559418bcc9cb375ab9d</t>
  </si>
  <si>
    <t>4642956249561280129</t>
  </si>
  <si>
    <t>0xccbac0a6319d62a42bf8c1201ff605ed7886aa25</t>
  </si>
  <si>
    <t>11057636950403741834</t>
  </si>
  <si>
    <t>0x71ddd4383044e82d05a7b49ac51a35c2820506dd</t>
  </si>
  <si>
    <t>0xd8579b444763f4a52b4a9509dacfc4e8ef5f93d2</t>
  </si>
  <si>
    <t>0x2271726b69aee55eefa433ecbeb1511d439dc27c</t>
  </si>
  <si>
    <t>10271468088573114537</t>
  </si>
  <si>
    <t>25515660165397104065</t>
  </si>
  <si>
    <t>0x582bea066530c27694cf34f1a72ac0858e3a935a</t>
  </si>
  <si>
    <t>7812520397766287097</t>
  </si>
  <si>
    <t>0xe0f94fe43339dae0f4ee5421048931fc29a44237</t>
  </si>
  <si>
    <t>0x2c5ca87e22c29377a289e62caa3ec1e7bf46adcf</t>
  </si>
  <si>
    <t>0x961c60b78185ed939062147d61e2a46ab92f52e3</t>
  </si>
  <si>
    <t>0xf5994cdc21f0c4728629a6248df0b67313b0dd45</t>
  </si>
  <si>
    <t>43111382982694556303</t>
  </si>
  <si>
    <t>0xd92ff6a4d178e0b4060ade7a69f73c1b3c1dc3f8</t>
  </si>
  <si>
    <t>31652663338686872824</t>
  </si>
  <si>
    <t>0x1147db22bbd38b6cef614bb2c843c717d3ff4cf2</t>
  </si>
  <si>
    <t>25420365176893762004</t>
  </si>
  <si>
    <t>0xac6d14dc888a2eb1502478ed7c9d7784c200fb94</t>
  </si>
  <si>
    <t>6250228645780454795</t>
  </si>
  <si>
    <t>0xa74fbeb79b66db3d52fa90b3162414f4395ab5d2</t>
  </si>
  <si>
    <t>25683445627458296142</t>
  </si>
  <si>
    <t>0xd409769a2430cf7801499a732cef76bd28cdff4e</t>
  </si>
  <si>
    <t>42866158655422215269</t>
  </si>
  <si>
    <t>0xf7d7b4281eac0f9ebb70ea78c69f463a77e4f757</t>
  </si>
  <si>
    <t>10583676100246742442</t>
  </si>
  <si>
    <t>0xcd9b8a0db64363dd71d61a2fde7944feaffeffe7</t>
  </si>
  <si>
    <t>0x0c83fcd983422c129be5111a98478c24d28507d4</t>
  </si>
  <si>
    <t>8269377626407874121</t>
  </si>
  <si>
    <t>0xa541b62d0ad784b7ef768c117713214175a4b50e</t>
  </si>
  <si>
    <t>9752114865300063649</t>
  </si>
  <si>
    <t>0xddb14b095feb86eecf186a07b0ff6b110cfc8b34</t>
  </si>
  <si>
    <t>19352106277331988958</t>
  </si>
  <si>
    <t>0x4b3a4513531819f0dd2d0fc7e62a8745e6ac2ef2</t>
  </si>
  <si>
    <t>0xca66f8eec4dba88fa93982b1bd06501082af4104</t>
  </si>
  <si>
    <t>0xfba17aca0797f72bd8152c5e519100c0c4caf0ad</t>
  </si>
  <si>
    <t>45099576085791690500</t>
  </si>
  <si>
    <t>0x7345fda062ad566ae26fac62b5fb9f42d2e37521</t>
  </si>
  <si>
    <t>29006737710985781862</t>
  </si>
  <si>
    <t>0x4a25da79b6284f51ed3d81f616e83905eca6f765</t>
  </si>
  <si>
    <t>0x140da86029940fc01451ca4df52853d94a7ddc7b</t>
  </si>
  <si>
    <t>5079498515126029954</t>
  </si>
  <si>
    <t>0x6ecea903ba649dc2b8decf5c88391d2553a0522f</t>
  </si>
  <si>
    <t>0x57ca52b8be3b25b5092d498a3b0e55a0c5bc4012</t>
  </si>
  <si>
    <t>0x374e28417340776906452b5f249841bf1ee5b85e</t>
  </si>
  <si>
    <t>5692405803254240782</t>
  </si>
  <si>
    <t>0x597a4ea61dcbab25cd9c5295acfa62490320e8a8</t>
  </si>
  <si>
    <t>0x50ad382d3c950be11cfc3b31dd8e45efdeb5332a</t>
  </si>
  <si>
    <t>0x5e994d5b8222756ca5934a3add8cfc89f50e2178</t>
  </si>
  <si>
    <t>9831562962834335464</t>
  </si>
  <si>
    <t>0xde6309a1baaf3029c54342d5295adc833ee29fe3</t>
  </si>
  <si>
    <t>4207971780165295922</t>
  </si>
  <si>
    <t>0xb6748359a7520fb0eb30d5d0abed275b365f0868</t>
  </si>
  <si>
    <t>39868334318664868586</t>
  </si>
  <si>
    <t>47222834683739862795</t>
  </si>
  <si>
    <t>0x18b9cb13f04bb9d8f98abb6b8c11cd3b3ff29844</t>
  </si>
  <si>
    <t>0xf71cd3d9637708475be0d11e80dda37298fc50ad</t>
  </si>
  <si>
    <t>0x618c08090289d4ebc33582c3edee503a0937bca0</t>
  </si>
  <si>
    <t>20199232918973535890</t>
  </si>
  <si>
    <t>0x6435937fcbaaa77ca69defe4a6873b539555fdc4</t>
  </si>
  <si>
    <t>0xe108d6727acc82432f0877d79a454b84a06857a1</t>
  </si>
  <si>
    <t>42487510702592787321</t>
  </si>
  <si>
    <t>0xe85f4fa538cf3d574debe5e3336fe0928e7b556a</t>
  </si>
  <si>
    <t>0xb4569ddfe73ed4629c4e99eb833ec4ea99a8369c</t>
  </si>
  <si>
    <t>41669681121267591623</t>
  </si>
  <si>
    <t>0xdf3d8dc88db31f42fe25c6edc43dc069bd8732d4</t>
  </si>
  <si>
    <t>20954536748814707642</t>
  </si>
  <si>
    <t>0xfb200e116716e449458177fb2cb7b1a10f4a9615</t>
  </si>
  <si>
    <t>0x23f8c125c07c3e81f0f8b4cb56da82109ae48fe0</t>
  </si>
  <si>
    <t>10161608890081165757</t>
  </si>
  <si>
    <t>0xef7e97beddff6c769ab09716f5d7b0af9e513c85</t>
  </si>
  <si>
    <t>0xc6c7b04c03d5ad3990fba9d14831b38063ee42c5</t>
  </si>
  <si>
    <t>22227920980341905449</t>
  </si>
  <si>
    <t>0x2f6e0cf068e9a97d41e7fb312ed0238069cbd3de</t>
  </si>
  <si>
    <t>0x00204acd48e582f710652b264145102edb0166a6</t>
  </si>
  <si>
    <t>0xc87a69f30a36c1ecd98b9c404be1b8b088b872ee</t>
  </si>
  <si>
    <t>0x544485bd3570c64d4d4b25f9c46e2325ba3aa059</t>
  </si>
  <si>
    <t>9753567702026026311</t>
  </si>
  <si>
    <t>0xadb31e5690fa40097fa37c39138d824c50915339</t>
  </si>
  <si>
    <t>4574600890932268152</t>
  </si>
  <si>
    <t>0xa0166f7c84050fedd5715fec8c9038dd6566beb0</t>
  </si>
  <si>
    <t>18184911977448347174</t>
  </si>
  <si>
    <t>0x0824e8d48f0d04b2261871e995dcc72ad0e0aaf2</t>
  </si>
  <si>
    <t>10962580584717080429</t>
  </si>
  <si>
    <t>0x297f222913277f891d24d9bea159591cd621d611</t>
  </si>
  <si>
    <t>31810983068591146870</t>
  </si>
  <si>
    <t>0xe62f9ea1b4e159f0f71ee066de311758e4688ed3</t>
  </si>
  <si>
    <t>44088638158583282421</t>
  </si>
  <si>
    <t>0xdb9829ddb2ec3cb74b8f4bdfa98d5d5c731facc0</t>
  </si>
  <si>
    <t>28363846776981185911</t>
  </si>
  <si>
    <t>0x8b190a162e643760d91a02fb35dcec858c4e51dc</t>
  </si>
  <si>
    <t>0xdc765a879be5f7b45cebd8f33af7c2223beb91de</t>
  </si>
  <si>
    <t>46712292436887792137</t>
  </si>
  <si>
    <t>0xbd848387557de7d127a19b735cdd6b9be46f6a35</t>
  </si>
  <si>
    <t>0xc6e7fe17bd5552786a6a2fee1f2659892f56c82e</t>
  </si>
  <si>
    <t>9718454247434143082</t>
  </si>
  <si>
    <t>0xaeeb16155e7255d038491d02c54ebceb67238986</t>
  </si>
  <si>
    <t>9347515227828772333</t>
  </si>
  <si>
    <t>0xc928651cc7b31341c583b3c5480bc673829d6210</t>
  </si>
  <si>
    <t>0x5875d09de832c43fea1edc2939e88b4a03af5bdc</t>
  </si>
  <si>
    <t>34158436007319253032</t>
  </si>
  <si>
    <t>0xc3dfecaed4758db8264cf2e89d2e9d4e8bfe343d</t>
  </si>
  <si>
    <t>0x48c01c9a15f06ce97b3e8b9aaf0b1e3d84cc1abc</t>
  </si>
  <si>
    <t>10644732850987110348</t>
  </si>
  <si>
    <t>0x3a8f14a5e903ff8c35522d41c7cb4a2dbf80aa1a</t>
  </si>
  <si>
    <t>0xbb27b80bdd7b201bbaf5042ab88a6e21c32c7e17</t>
  </si>
  <si>
    <t>47390505019146323888</t>
  </si>
  <si>
    <t>0x126b9e299553ef3e4acf92b85bd5c34d539d6ec1</t>
  </si>
  <si>
    <t>0xe7f86745ef33bd0c92afd368f0b00d8c61b2d2f4</t>
  </si>
  <si>
    <t>4120076507869263543</t>
  </si>
  <si>
    <t>0x79a3fbffac5599c1f90136618b246d5a542c6aab</t>
  </si>
  <si>
    <t>13045052617974873894</t>
  </si>
  <si>
    <t>0xf788ed6121ef91ed6b5bac3a6fcf2e9eb680ae3a</t>
  </si>
  <si>
    <t>0x9dd6a12bf9af29abbc06bd4b9ff37db2855b0e8d</t>
  </si>
  <si>
    <t>0x2fdae8f8c93c00a010d2ef401ab9a17889c293af</t>
  </si>
  <si>
    <t>48101613363152612770</t>
  </si>
  <si>
    <t>0x0e297e5dd0d879ac1bf411529d5729e3f12dd254</t>
  </si>
  <si>
    <t>20313957170807487382</t>
  </si>
  <si>
    <t>0x7eaf99f8f0385dee2280cf10509280487f973555</t>
  </si>
  <si>
    <t>0x3999011fd69d2b13088689dccaad87a72b15c367</t>
  </si>
  <si>
    <t>8376701554484502595</t>
  </si>
  <si>
    <t>0x957d48f0f48465820e83e7f0c53e6ae39067d88e</t>
  </si>
  <si>
    <t>9757249001245461768</t>
  </si>
  <si>
    <t>0xfb96ef978aed74c7591b5aeba3f7b332870db448</t>
  </si>
  <si>
    <t>10040586346186666279</t>
  </si>
  <si>
    <t>0x17c1ab73508db3f06a5693e33bf235cea203c721</t>
  </si>
  <si>
    <t>8955827301492095191</t>
  </si>
  <si>
    <t>0xbaa94dc48fbc84bb91de7ea8d6e44c33d2767b1b</t>
  </si>
  <si>
    <t>0x48a0096b26fe285138b294afe0eb1dd705071dca</t>
  </si>
  <si>
    <t>30318519614225777262</t>
  </si>
  <si>
    <t>0xef181fe7f0df62de2db2050ba6db14e949804391</t>
  </si>
  <si>
    <t>0xc01634f36e964426d0b434e63fe2ccbcdf3fd67b</t>
  </si>
  <si>
    <t>46839339824177474851</t>
  </si>
  <si>
    <t>0x9ebcddfddd70c661430f6455a61e3363b784317a</t>
  </si>
  <si>
    <t>0x2283185662b1dc4f4d2e8dae1031bdb9ce34b276</t>
  </si>
  <si>
    <t>0x36c4a737a141f1cd9a077839652dca487497c170</t>
  </si>
  <si>
    <t>0xace5b823ea0b0a3e08c05f671db210a3dc170b2e</t>
  </si>
  <si>
    <t>0xe793e50beaf52762e722fbdd129c251d1b83305c</t>
  </si>
  <si>
    <t>0xb17fd20b79b5de7880133df47918a1dc2a7e9821</t>
  </si>
  <si>
    <t>9539280163023630353</t>
  </si>
  <si>
    <t>0x0788b0bb180b8308b0485d7c7876bfdaf0cfbb24</t>
  </si>
  <si>
    <t>0x29e08dbed4ba6f64e938d00f6f706cdd1c635aa1</t>
  </si>
  <si>
    <t>19531000731626298252</t>
  </si>
  <si>
    <t>0x86a334ce59c07387050724f724f285ed0569e68e</t>
  </si>
  <si>
    <t>18666407502302532620</t>
  </si>
  <si>
    <t>0x36714cde04d28d4892e9bd3630929879ca72227a</t>
  </si>
  <si>
    <t>9115889800174772696</t>
  </si>
  <si>
    <t>0xd02d00a7a1faabc9fe5dcbecf545123e9277e32b</t>
  </si>
  <si>
    <t>38981175094170992898</t>
  </si>
  <si>
    <t>0x95844cecd57f5accafd8ae24b8b3474e33bd0397</t>
  </si>
  <si>
    <t>0xe3f3b469041f598bfd22b2ae8737c1e49622146f</t>
  </si>
  <si>
    <t>0x3ea8f70666498d99822cde1a3fbad7d417ed7f5b</t>
  </si>
  <si>
    <t>0x99c8f397a63969b65e60a2964fa93421cce5a35f</t>
  </si>
  <si>
    <t>34995056641958236405</t>
  </si>
  <si>
    <t>0x05525fe617b075671e2de44df5ad45e53d897ce3</t>
  </si>
  <si>
    <t>970763052184290931</t>
  </si>
  <si>
    <t>0xa66cfc07054e17a1c890102d817b1be15488fa6f</t>
  </si>
  <si>
    <t>14509238279879000405</t>
  </si>
  <si>
    <t>0x5bd9943e1116104eabcc7bf8f998970a399d2509</t>
  </si>
  <si>
    <t>39924337504768458594</t>
  </si>
  <si>
    <t>0x010dd4878c0850e24ec03473dc7bcaa0aaacfa9c</t>
  </si>
  <si>
    <t>0xe2f9f59cf1bfb6db06dbbe9446b36703763e5cd1</t>
  </si>
  <si>
    <t>0xcc264596874783626667babf681d4c8de6d7a37d</t>
  </si>
  <si>
    <t>33542812034508576066</t>
  </si>
  <si>
    <t>0x644ef718b8d1a7740466fb4c4690da34be64c7ab</t>
  </si>
  <si>
    <t>45932807022151315219</t>
  </si>
  <si>
    <t>0x3c3586f11ceca779e89be821913e3c714eead41c</t>
  </si>
  <si>
    <t>8668530038826935790</t>
  </si>
  <si>
    <t>0x7e189b9503b8b2cd91c6fcab3554aa166ed8b779</t>
  </si>
  <si>
    <t>0x9a0bbb5d9e9ef024c263c03df8037024bca4d325</t>
  </si>
  <si>
    <t>26052307116694243844</t>
  </si>
  <si>
    <t>0x9b4a5d7a8cc499ad85acc2aa8351c3ba31343cfd</t>
  </si>
  <si>
    <t>0x40cde7747d967e0df140e69037e69e5bab588009</t>
  </si>
  <si>
    <t>30953041663741867531</t>
  </si>
  <si>
    <t>0x950d49818a35f1dbc1eb44f9d788300e78758499</t>
  </si>
  <si>
    <t>0xc13456a34305e9265e907f70f76b1ba6e2055c8b</t>
  </si>
  <si>
    <t>0x0a860ab1098d2d0f16e58e4b4e58e39229391928</t>
  </si>
  <si>
    <t>0x96b98b2b1bb702b8cbdb34ec2963a39de066c3ae</t>
  </si>
  <si>
    <t>3580902340690766148</t>
  </si>
  <si>
    <t>0x4607751f2cf0711c4a93ec0de52a60b85681a183</t>
  </si>
  <si>
    <t>7452398248990292761</t>
  </si>
  <si>
    <t>0x7ffea540dc7db3355b08a4a36a4bd707dfb15c9d</t>
  </si>
  <si>
    <t>7282115468755119150</t>
  </si>
  <si>
    <t>0x54a220d53a7468e44f62d5f3610fa3db1d684f6b</t>
  </si>
  <si>
    <t>0x175131ef5d91f64a73b5af59213275e12f466061</t>
  </si>
  <si>
    <t>6267229653416256214</t>
  </si>
  <si>
    <t>0x18da151be0e039e784255889760ce19d2ec58a92</t>
  </si>
  <si>
    <t>0xde52efa1cfb4fed895ada709aea5cc18ae046b0f</t>
  </si>
  <si>
    <t>0x12dfe01d98c1b6de8d4e2bea5d0ac98dd3c495fa</t>
  </si>
  <si>
    <t>1344121760003921668</t>
  </si>
  <si>
    <t>0x4e7f6bffae501815f73bb0611a5debef0cbd992a</t>
  </si>
  <si>
    <t>0x92fe11f6fbb7436edcc7db7051dbd81905b7988a</t>
  </si>
  <si>
    <t>0x061dbd000be1c0b64969eeda3041dff220d576f5</t>
  </si>
  <si>
    <t>22903107592497983545</t>
  </si>
  <si>
    <t>0x9bd31d0f9615dde0d1906c1d613cd44101c3aa1c</t>
  </si>
  <si>
    <t>9822349405198123460</t>
  </si>
  <si>
    <t>0xee3524f3866e775c52337b0631efb0a1a7ff3acb</t>
  </si>
  <si>
    <t>0x8bf0e7dd8565e371a83347857f2b42da9c2091f8</t>
  </si>
  <si>
    <t>38874546323355238335</t>
  </si>
  <si>
    <t>0xe74700791bf5f3e26b329c4f9f327ce43abb5ce3</t>
  </si>
  <si>
    <t>9697201631239168637</t>
  </si>
  <si>
    <t>0xdc9e90ec58c931a722b1709a085bf12b42cea9e9</t>
  </si>
  <si>
    <t>0x543255f8c4b7759807c48b739ff9db8cfd7f779b</t>
  </si>
  <si>
    <t>0xb7310833027e677cc8a1a164437fcf1c0e42dec0</t>
  </si>
  <si>
    <t>0x2dee1dab6976e1a05e144c02c535498e7f3ddbdc</t>
  </si>
  <si>
    <t>48317733303029873766</t>
  </si>
  <si>
    <t>5139363723069167916</t>
  </si>
  <si>
    <t>0x1b432f91d4eeb46fdb501e39aef0053f1b6c8e73</t>
  </si>
  <si>
    <t>27278626044983349554</t>
  </si>
  <si>
    <t>0xf0c9e3c459f66ae7635b1c7489baeaaf459362a9</t>
  </si>
  <si>
    <t>29103031706860033337</t>
  </si>
  <si>
    <t>0xbd34eb4500e3b1c8877e7747aa643ad42dc19a50</t>
  </si>
  <si>
    <t>8086965421760432488</t>
  </si>
  <si>
    <t>0x2b40cf67d1a6445f19aa438a96cdaac13e5cece7</t>
  </si>
  <si>
    <t>0xe87cf54e10ecdceba051802eabaae60126e954a6</t>
  </si>
  <si>
    <t>46122187928645502683</t>
  </si>
  <si>
    <t>0x518859845df3bda60d2f92f4ef683b9505d2d17e</t>
  </si>
  <si>
    <t>8982868400565836221</t>
  </si>
  <si>
    <t>0x25d23adda21869df8853cff31fb221f0680dfbba</t>
  </si>
  <si>
    <t>9577970604847071419</t>
  </si>
  <si>
    <t>0xba05481bf27daae231ffb967fb8fa2dd516d98f8</t>
  </si>
  <si>
    <t>0xb91ac8933f8941b35186e2516e9faa95caf5f325</t>
  </si>
  <si>
    <t>34223425993232781088</t>
  </si>
  <si>
    <t>0x47656d68b4257f21330c9c0e6116b8b178dea910</t>
  </si>
  <si>
    <t>0x9bcc3400a3a8d9db9f601e2a65e43042f6ad8ba5</t>
  </si>
  <si>
    <t>44809445518975225975</t>
  </si>
  <si>
    <t>0xae62730868e82c2e8a7757cc33671773a2814c23</t>
  </si>
  <si>
    <t>0xa0f02c4269e4ed1c0fb587bb25f7c3a424494dd0</t>
  </si>
  <si>
    <t>0x5a4171af67186ae8e641d92b82fe33852d52d68a</t>
  </si>
  <si>
    <t>0x016934061e87623883d91b90fc24daebd6c781c3</t>
  </si>
  <si>
    <t>0x6188b363e06e7206d88ac654f9e158020826e080</t>
  </si>
  <si>
    <t>4908512642546615743</t>
  </si>
  <si>
    <t>0x372a16e8c538666e333d33a6d5cdaa0d76a4057e</t>
  </si>
  <si>
    <t>0x6413b224b20c4f34586f855c53427d146d265d7c</t>
  </si>
  <si>
    <t>7232096323869221598</t>
  </si>
  <si>
    <t>0x84e2348a2f02c91df86104e67a8b2741ce4d0cc1</t>
  </si>
  <si>
    <t>37267592195905955211</t>
  </si>
  <si>
    <t>0x7ae7d8fd22c100bba833503c883b50b73e8a41bf</t>
  </si>
  <si>
    <t>0x3e130a9a55830c1f454097c5898ae8331e3d9c9d</t>
  </si>
  <si>
    <t>19555024399947176317</t>
  </si>
  <si>
    <t>0xaae49b56454fc94b3fb9fd6c159083165a411639</t>
  </si>
  <si>
    <t>0x4be0628702e983f1f568bee3b3374370a15ba245</t>
  </si>
  <si>
    <t>0x089eed95168b007f19cf8a752c13f6db57c030d4</t>
  </si>
  <si>
    <t>0xa82cddc634238a021958e25e00279c1a861db632</t>
  </si>
  <si>
    <t>0x68fd1decaae1eed6b4e6958fd70815d0d37ee4a9</t>
  </si>
  <si>
    <t>0xffc5782df264a65f6451712ef5de099b134ca150</t>
  </si>
  <si>
    <t>0x41951a191ec0c833db8c50c713a07b376d083cc1</t>
  </si>
  <si>
    <t>41728817659611420915</t>
  </si>
  <si>
    <t>0x89321250b8ff18a56ec8af78f74bb4989c0a2a40</t>
  </si>
  <si>
    <t>48208345031708572948</t>
  </si>
  <si>
    <t>0x76d44a33156971ec900f15345f17c53424248446</t>
  </si>
  <si>
    <t>0x055cfe82ea50f557bd86732554e029e53a67eefd</t>
  </si>
  <si>
    <t>9483764069986947017</t>
  </si>
  <si>
    <t>0x9e8dbd165a77db36cebc91ebcdeb38566fd01d9f</t>
  </si>
  <si>
    <t>16958711712580369790</t>
  </si>
  <si>
    <t>0xbce60882ca3b10e61be0503fc58b0c803b37fef3</t>
  </si>
  <si>
    <t>0x00e2e63b1ba77378cd10233fc3ae810e4f62424d</t>
  </si>
  <si>
    <t>24017796538524382273</t>
  </si>
  <si>
    <t>0xbd91314c0d39d9b7be6064a7775d4911c48c2f3c</t>
  </si>
  <si>
    <t>0xefccdb05d0da6a9e46c4fc68f78a61c2c9078d4b</t>
  </si>
  <si>
    <t>18799311155100184772</t>
  </si>
  <si>
    <t>0x055affa6bdc01d0cfa8a738b068ece76e56dad51</t>
  </si>
  <si>
    <t>0xe43e51ce3f34e2819efd451f4fedf5421f8cd1e7</t>
  </si>
  <si>
    <t>10968093920978836924</t>
  </si>
  <si>
    <t>0x2a5d435d526365e8452007842ab9d025b88a5f83</t>
  </si>
  <si>
    <t>0x016c3e93ce95b88fd33c1eecac7eeaf5a6ced82e</t>
  </si>
  <si>
    <t>9802135486517445205</t>
  </si>
  <si>
    <t>0x0c0024c4c5943a1a4c1537b4dfbc88f959801c40</t>
  </si>
  <si>
    <t>12565313287492221278</t>
  </si>
  <si>
    <t>0x55c7abb1ab03f4634debb03ba9962cb954ad9108</t>
  </si>
  <si>
    <t>44194908544149202665</t>
  </si>
  <si>
    <t>0x0b402b3e1336d8e0f84d7333622e87617b254f11</t>
  </si>
  <si>
    <t>31143166113177977040</t>
  </si>
  <si>
    <t>0x69bbe1566cc01c8e5809526028eeb47aec652a3e</t>
  </si>
  <si>
    <t>19663992667518013313</t>
  </si>
  <si>
    <t>0x85b8fb91eac0ec152f1f98eb22e91e596e0d5be4</t>
  </si>
  <si>
    <t>0x6c88ae802d27996dd6bd6067a26ab8e773e74a30</t>
  </si>
  <si>
    <t>0x3e15a881fe679c8faaa132b0a6a9baccaaa761e8</t>
  </si>
  <si>
    <t>0x635fb150ccbd188b26dc760e30141b1870219499</t>
  </si>
  <si>
    <t>10637725600817887078</t>
  </si>
  <si>
    <t>0x0d896e26a1466e4dd5b28f66648ae33ea44da04e</t>
  </si>
  <si>
    <t>8364605999214593333</t>
  </si>
  <si>
    <t>0x76cbcc245d3d16d526c2708dfcccb1d4ad3b3dac</t>
  </si>
  <si>
    <t>45150618400803497533</t>
  </si>
  <si>
    <t>0x1914172d1c51412c3fc37ec86989edcc5fdcc0bc</t>
  </si>
  <si>
    <t>24168679963040829203</t>
  </si>
  <si>
    <t>0x423ed9e8e1c267ce05d9ffa36b6d36599395c53d</t>
  </si>
  <si>
    <t>7942262122520907887</t>
  </si>
  <si>
    <t>0xa78f5061a44957b3e5887872721e8a127b480e44</t>
  </si>
  <si>
    <t>9115731294969278927</t>
  </si>
  <si>
    <t>0x8efd97edf4169af5a6299416d1d60378d5479066</t>
  </si>
  <si>
    <t>0x48d27a2a3b631bd13077be52bbe56c5e9d97abe8</t>
  </si>
  <si>
    <t>8302297453399520651</t>
  </si>
  <si>
    <t>0x1141740f9a8a1d3ff192a98ca16a6007bc359d2e</t>
  </si>
  <si>
    <t>0x453273995f8ffaf4e0445fecf29680ac4cb00079</t>
  </si>
  <si>
    <t>0x836a4f927565ebd84ab8dac785be4dd20c6d4d4c</t>
  </si>
  <si>
    <t>0x5f9e5e87e19f9d86d58a75697c53447616392f62</t>
  </si>
  <si>
    <t>5530552078682427684</t>
  </si>
  <si>
    <t>0x9b2ee5eb27cc6fbb83e7c19da1e0ed48ebe5ab92</t>
  </si>
  <si>
    <t>38691351256515733215</t>
  </si>
  <si>
    <t>43576337424658834927</t>
  </si>
  <si>
    <t>0x912e73f2ca5f76114db8b32bd95a3095886b5dd4</t>
  </si>
  <si>
    <t>10479933607188933150</t>
  </si>
  <si>
    <t>0x3104cb746b5e280545d00fb5c89c04d3199d1f67</t>
  </si>
  <si>
    <t>0x27502fc418e6a35428b5b71979ba2747f189267f</t>
  </si>
  <si>
    <t>0x33a13f2222ebbfc32f6af54e0773cb0b069e0cb9</t>
  </si>
  <si>
    <t>0x96b0b228d854bdb328ef7986847b76b81cb28876</t>
  </si>
  <si>
    <t>46371081320041187140</t>
  </si>
  <si>
    <t>0x60fe1cc635d19e39e3d9ae2cde7f309a5c680fd5</t>
  </si>
  <si>
    <t>140663210238656157</t>
  </si>
  <si>
    <t>0xa8aa913e78513e9b9dc3f008c656b6b983239bec</t>
  </si>
  <si>
    <t>35581583531006360021</t>
  </si>
  <si>
    <t>0xa3320f745611cf004bf02b8186d89ab2304a9fa9</t>
  </si>
  <si>
    <t>0xa29d6b2dc7228986978fcbbbca90ef797d39f39a</t>
  </si>
  <si>
    <t>0x0b8b6d049aca0a0114d1290e98fe003e2dd52b64</t>
  </si>
  <si>
    <t>33279736552121185942</t>
  </si>
  <si>
    <t>0xe56b22bc51d85498100080256c6faf4888ef3a84</t>
  </si>
  <si>
    <t>44513852019271079759</t>
  </si>
  <si>
    <t>0x2284904fb98bf3e542e56867ea1ba1bc596b4a1e</t>
  </si>
  <si>
    <t>45456440365225338544</t>
  </si>
  <si>
    <t>63</t>
  </si>
  <si>
    <t>186011960207500866223</t>
  </si>
  <si>
    <t>14159792857927066097</t>
  </si>
  <si>
    <t>4611776546656374385</t>
  </si>
  <si>
    <t>166504435956655220532</t>
  </si>
  <si>
    <t>65104186072625303178</t>
  </si>
  <si>
    <t>29761913633200138595</t>
  </si>
  <si>
    <t>8807175894527286400</t>
  </si>
  <si>
    <t>118540514328249099747</t>
  </si>
  <si>
    <t>9347291237462789050</t>
  </si>
  <si>
    <t>0x5e1f21ab7f339fc492d78336214c296ef39508f4</t>
  </si>
  <si>
    <t>4791068105374508770</t>
  </si>
  <si>
    <t>9300598010375043311</t>
  </si>
  <si>
    <t>545040155888966860</t>
  </si>
  <si>
    <t>56193245039555275423</t>
  </si>
  <si>
    <t>3926591261201798125</t>
  </si>
  <si>
    <t>25720451448070785908</t>
  </si>
  <si>
    <t>0x56024b0a0076e7bb33816766e7f449eadbe8d96e</t>
  </si>
  <si>
    <t>158110166176375736290</t>
  </si>
  <si>
    <t>0x8c706b924c90d9c9d20e3483789e6de56c7f9305</t>
  </si>
  <si>
    <t>106323396053813745339</t>
  </si>
  <si>
    <t>6775694060645166492</t>
  </si>
  <si>
    <t>84117227429119998375</t>
  </si>
  <si>
    <t>1180100641234005276</t>
  </si>
  <si>
    <t>23043428719929689428</t>
  </si>
  <si>
    <t>0x90bcd403044313aa45707bf1d7b00e6d10534b81</t>
  </si>
  <si>
    <t>55803588062250259867</t>
  </si>
  <si>
    <t>0xb5e163870dd9d5c78a5e3c8b9324a10df3e6c8b3</t>
  </si>
  <si>
    <t>77181911364666271589</t>
  </si>
  <si>
    <t>28094535519380203972</t>
  </si>
  <si>
    <t>19438249841683840520</t>
  </si>
  <si>
    <t>3736051919986910142</t>
  </si>
  <si>
    <t>0xfb2cbc6c067e7920b4b52825d8e5bc16589f531b</t>
  </si>
  <si>
    <t>0xe8c9de0de0c011ba27aed311506524fd6a740111</t>
  </si>
  <si>
    <t>78649497555546652784</t>
  </si>
  <si>
    <t>57874877118281646578</t>
  </si>
  <si>
    <t>149531497410679211617</t>
  </si>
  <si>
    <t>52166820328160258755</t>
  </si>
  <si>
    <t>46892847962911151331</t>
  </si>
  <si>
    <t>43429605462393431415</t>
  </si>
  <si>
    <t>35342272439425164582</t>
  </si>
  <si>
    <t>12051492414612484270</t>
  </si>
  <si>
    <t>0xedbfec4023eaa6b2c6b673063faba1a571853254</t>
  </si>
  <si>
    <t>175337087798147510324</t>
  </si>
  <si>
    <t>11786431379392771352</t>
  </si>
  <si>
    <t>72175219302908459186</t>
  </si>
  <si>
    <t>39127163888187826367</t>
  </si>
  <si>
    <t>162603459354257724846</t>
  </si>
  <si>
    <t>2845133768265380117</t>
  </si>
  <si>
    <t>16407756087177617329</t>
  </si>
  <si>
    <t>0x9c704df9eb81ef45f1da2699bd114febcb64c29a</t>
  </si>
  <si>
    <t>172639434441233425111</t>
  </si>
  <si>
    <t>0x7c29c23f9ee40ec9824f8f20bc39cf600aeffd3b</t>
  </si>
  <si>
    <t>0x3cdc97725ab4aa56f0f25dd26c9e07a40d58556c</t>
  </si>
  <si>
    <t>111607176124500519734</t>
  </si>
  <si>
    <t>5397508794443763149</t>
  </si>
  <si>
    <t>11396190721515288857</t>
  </si>
  <si>
    <t>9335675175034553106</t>
  </si>
  <si>
    <t>93462348550608549458</t>
  </si>
  <si>
    <t>103441738117853371446</t>
  </si>
  <si>
    <t>0x2e4b45c5b920f352e414bd95860912f9f1d72573</t>
  </si>
  <si>
    <t>58153017372676472797</t>
  </si>
  <si>
    <t>34012286455397969787</t>
  </si>
  <si>
    <t>0x7742026d4b11335eae02fdacceab761ab4ff4e7f</t>
  </si>
  <si>
    <t>54236499519085150373</t>
  </si>
  <si>
    <t>0x36b1ff9408a75e5a17eca15c18c237d471a45fe5</t>
  </si>
  <si>
    <t>0x43fbcae5ecfd3f2badaefcca78ecfb078b4d23c6</t>
  </si>
  <si>
    <t>99342995395932837237</t>
  </si>
  <si>
    <t>2790179403112512993</t>
  </si>
  <si>
    <t>0x58c865d46ac8d85a22658887ec4326ed992a18b8</t>
  </si>
  <si>
    <t>56175611982665261599</t>
  </si>
  <si>
    <t>115634946120392772101</t>
  </si>
  <si>
    <t>83024535737591032139</t>
  </si>
  <si>
    <t>0x0e9b717cb070367ff54f826f1c839659cedda0c2</t>
  </si>
  <si>
    <t>2916639432926786091</t>
  </si>
  <si>
    <t>0x26ccfe011884aaf73ceadecaf3ab9721eaa75c3b</t>
  </si>
  <si>
    <t>59523827266400277191</t>
  </si>
  <si>
    <t>175956308990106163849</t>
  </si>
  <si>
    <t>84077406013790391533</t>
  </si>
  <si>
    <t>8920124296767997008</t>
  </si>
  <si>
    <t>36830368121085171512</t>
  </si>
  <si>
    <t>57165349518939148711</t>
  </si>
  <si>
    <t>8633456241625754004</t>
  </si>
  <si>
    <t>0x797aeffd69a702aadad7c6935ad801f3c37984c3</t>
  </si>
  <si>
    <t>26120882563301113760</t>
  </si>
  <si>
    <t>118536336672055308</t>
  </si>
  <si>
    <t>55113317016755878955</t>
  </si>
  <si>
    <t>10642191750114931360</t>
  </si>
  <si>
    <t>65630014631519617206</t>
  </si>
  <si>
    <t>0x31d06861591b990e980aabc970d7822292d55e5e</t>
  </si>
  <si>
    <t>93005980103750433111</t>
  </si>
  <si>
    <t>0x3b9159b267a7852c82375670a2e1e07c513f6921</t>
  </si>
  <si>
    <t>162085598873930402063</t>
  </si>
  <si>
    <t>0x4781b49640a3158e687af6a7f3da0c8085ade571</t>
  </si>
  <si>
    <t>52484319637801043879</t>
  </si>
  <si>
    <t>0x6358fb21c5ec8bdd5d360ad207f55b6fd047da3f</t>
  </si>
  <si>
    <t>7440478408300034648</t>
  </si>
  <si>
    <t>0x9743a924b33c0102bb27e2cd946f915e6ade8315</t>
  </si>
  <si>
    <t>46502990051875216555</t>
  </si>
  <si>
    <t>0x02fc7555cd8866240b7e73d60d49f50b326bcc4e</t>
  </si>
  <si>
    <t>41936980929591993364</t>
  </si>
  <si>
    <t>185825953758827745372</t>
  </si>
  <si>
    <t>38166021552320768559</t>
  </si>
  <si>
    <t>0xed52401d2fbf53c9b1188ede05dcd96d4ad4f62a</t>
  </si>
  <si>
    <t>93054058939510123995</t>
  </si>
  <si>
    <t>0xc2ee85eb3c10f6ff9932181addc95d696b5793ac</t>
  </si>
  <si>
    <t>13180350124738411296</t>
  </si>
  <si>
    <t>176954599918438535816</t>
  </si>
  <si>
    <t>2999085924983511486</t>
  </si>
  <si>
    <t>7770352287033835135</t>
  </si>
  <si>
    <t>0x6989b321e8c2c8092964dcf2f396ea8947b5a80f</t>
  </si>
  <si>
    <t>2449766265687403523</t>
  </si>
  <si>
    <t>33678821826775920760</t>
  </si>
  <si>
    <t>185835880407265715337</t>
  </si>
  <si>
    <t>12993642205148399182</t>
  </si>
  <si>
    <t>0x0160333abc6cc81c02ddf682e3684ead1c5e1158</t>
  </si>
  <si>
    <t>6878361394602315493</t>
  </si>
  <si>
    <t>71526050552301545972</t>
  </si>
  <si>
    <t>0x44e7e928801fd87abb8458f7804eac9dc05c3b7f</t>
  </si>
  <si>
    <t>61346744476433784880</t>
  </si>
  <si>
    <t>117521139748284516467</t>
  </si>
  <si>
    <t>0xd4f3e81cb54c161a581e984718783935eb2e11dd</t>
  </si>
  <si>
    <t>60051980124908538945</t>
  </si>
  <si>
    <t>99984707493493624612</t>
  </si>
  <si>
    <t>6226234750153455478</t>
  </si>
  <si>
    <t>5046570011822078067</t>
  </si>
  <si>
    <t>21231356820068052897</t>
  </si>
  <si>
    <t>0x71cb59346f9a21bf941bd297b5da3e996bf63d33</t>
  </si>
  <si>
    <t>0x520d5349e67b4f404f34176ca13198ae45a41eee</t>
  </si>
  <si>
    <t>0xdfd28873b66d906ec8dc6067f2fd7189e8b05414</t>
  </si>
  <si>
    <t>63048173017069981142</t>
  </si>
  <si>
    <t>24597986079077763128</t>
  </si>
  <si>
    <t>55847293190419053389</t>
  </si>
  <si>
    <t>0x9c37b1e0c2af0c5a8bc4ba129e82bff6681cfdeb</t>
  </si>
  <si>
    <t>55803683252940836128</t>
  </si>
  <si>
    <t>0x92ac2a779a636d48047a3a081496a0d6780c1134</t>
  </si>
  <si>
    <t>139508970155625649667</t>
  </si>
  <si>
    <t>0x7c60377390abc31aec2649dee798703c0abc867e</t>
  </si>
  <si>
    <t>0x077a555273853327f7c1733d56c7ad6fdeaf2289</t>
  </si>
  <si>
    <t>56130411076334838630</t>
  </si>
  <si>
    <t>0x7903942e16670ece9d94268881c329feec3f82f6</t>
  </si>
  <si>
    <t>4295835478792313547</t>
  </si>
  <si>
    <t>92474679041178768034</t>
  </si>
  <si>
    <t>8661641273750152846</t>
  </si>
  <si>
    <t>71428592719680332629</t>
  </si>
  <si>
    <t>19269827351935101358</t>
  </si>
  <si>
    <t>0xe00861177fd56182ea5ad1216dc3f77907429850</t>
  </si>
  <si>
    <t>55889231180598310052</t>
  </si>
  <si>
    <t>0xcd48e80f5688307f46a69bb7053cc9220b29adf1</t>
  </si>
  <si>
    <t>50290629601826681898</t>
  </si>
  <si>
    <t>149045190046372363605</t>
  </si>
  <si>
    <t>88529271593228788830</t>
  </si>
  <si>
    <t>0x9c9c36775a5fcbfd9572601d28d162cde0e5a36e</t>
  </si>
  <si>
    <t>9409597979993232394</t>
  </si>
  <si>
    <t>18601196020750086622</t>
  </si>
  <si>
    <t>9389461647540193019</t>
  </si>
  <si>
    <t>46846689956826161730</t>
  </si>
  <si>
    <t>173842074092107399037</t>
  </si>
  <si>
    <t>148809568166000692979</t>
  </si>
  <si>
    <t>46755813699594365154</t>
  </si>
  <si>
    <t>0xb5b4141ad459b49b2a24e77a602f83e9ee75b189</t>
  </si>
  <si>
    <t>56733647863287764198</t>
  </si>
  <si>
    <t>0x13a1d2daf71cf6d488b81b71c72bbd9363c73c86</t>
  </si>
  <si>
    <t>924854717714783350</t>
  </si>
  <si>
    <t>95520815909350794243</t>
  </si>
  <si>
    <t>0xf4f2d8bb321d3aca51bdb146bb01f3c5399a6870</t>
  </si>
  <si>
    <t>0x48455b20edc22c545c59f2404fa61b0bd2033609</t>
  </si>
  <si>
    <t>0x9e5a44f6984d9b90a04deab5d24630b9b502cc56</t>
  </si>
  <si>
    <t>33161981944196528783</t>
  </si>
  <si>
    <t>111969410048895377210</t>
  </si>
  <si>
    <t>177672353637260598972</t>
  </si>
  <si>
    <t>8959987586468373299</t>
  </si>
  <si>
    <t>139036650782235350789</t>
  </si>
  <si>
    <t>0x38d58a2053b73666641f9f0c24c02dc0362e433f</t>
  </si>
  <si>
    <t>0x56c94d63a2001a9ae5e6f55ed4b2055247d8102f</t>
  </si>
  <si>
    <t>65431510833139201988</t>
  </si>
  <si>
    <t>29947925593407639462</t>
  </si>
  <si>
    <t>0xcf2d32cce8ac9bf7e3567c6d8e18d058c6e66e1f</t>
  </si>
  <si>
    <t>57284596157348225972</t>
  </si>
  <si>
    <t>14826468076213968787</t>
  </si>
  <si>
    <t>10230657811412547642</t>
  </si>
  <si>
    <t>25838807492650410053</t>
  </si>
  <si>
    <t>0xde8335c6f4105175bea9ef1ea0a170a2f10df164</t>
  </si>
  <si>
    <t>6822878900955746916</t>
  </si>
  <si>
    <t>0xdd149cabf867dea8b58f75c26e6affc3531f784f</t>
  </si>
  <si>
    <t>9504918324254099858</t>
  </si>
  <si>
    <t>0x06b75101418151a6adae4154251eb4aa2a7b7943</t>
  </si>
  <si>
    <t>158541900811623990227</t>
  </si>
  <si>
    <t>0xfbe86f8a0891aaf023012da7f82fa9f0b4210d8c</t>
  </si>
  <si>
    <t>19731963432935844232</t>
  </si>
  <si>
    <t>5330300920059546327</t>
  </si>
  <si>
    <t>88633913444519743261</t>
  </si>
  <si>
    <t>0xd01f9938448a3897765b5a26d092a3d9033d65f2</t>
  </si>
  <si>
    <t>18715789344156052420</t>
  </si>
  <si>
    <t>48889611182167158430</t>
  </si>
  <si>
    <t>0xead795f2c5cccdfce4b59bce54a6f98a578cd9c3</t>
  </si>
  <si>
    <t>54502795680096360021</t>
  </si>
  <si>
    <t>18610579756806075094</t>
  </si>
  <si>
    <t>0xb4125baf8fc1ab989d4bed00ca56fec94faf1cfb</t>
  </si>
  <si>
    <t>9060281040268049106</t>
  </si>
  <si>
    <t>0x33bf568ef0f436b009a81520f9bccf8e2124d18d</t>
  </si>
  <si>
    <t>0xea39de06c77003576c7844f5d6d8563858479815</t>
  </si>
  <si>
    <t>21191976040951839267</t>
  </si>
  <si>
    <t>148694536674102116642</t>
  </si>
  <si>
    <t>70575970587372415919</t>
  </si>
  <si>
    <t>27451534720124358387</t>
  </si>
  <si>
    <t>0xf8235c1a7e1b75545162e8b6235e5e7db9f5838a</t>
  </si>
  <si>
    <t>4204132874614512032</t>
  </si>
  <si>
    <t>48166964217135873818</t>
  </si>
  <si>
    <t>10328501489014843379</t>
  </si>
  <si>
    <t>66389156693738718180</t>
  </si>
  <si>
    <t>29641601186623667736</t>
  </si>
  <si>
    <t>0x4aa2fad040577102be6e879066da2460c4b8e148</t>
  </si>
  <si>
    <t>113786959227398620804</t>
  </si>
  <si>
    <t>107348376116775601367</t>
  </si>
  <si>
    <t>34212313374835187861</t>
  </si>
  <si>
    <t>94779650461305977</t>
  </si>
  <si>
    <t>0x806c00b4f2248514e5f6cc5567f67908af8656dc</t>
  </si>
  <si>
    <t>60419412628666473384</t>
  </si>
  <si>
    <t>38248792789211910846</t>
  </si>
  <si>
    <t>62480396797510979757</t>
  </si>
  <si>
    <t>0x56c00c1cbd3196a09b6e6aacd18296ac93bc4f58</t>
  </si>
  <si>
    <t>96117289233536209212</t>
  </si>
  <si>
    <t>15486126678432586848</t>
  </si>
  <si>
    <t>9608884366590549765</t>
  </si>
  <si>
    <t>6033802224967011622</t>
  </si>
  <si>
    <t>103443170327797802051</t>
  </si>
  <si>
    <t>0x4f8999cf2b555c929087b05c2529fb21629635fc</t>
  </si>
  <si>
    <t>45745938670760134664</t>
  </si>
  <si>
    <t>28005699033450825005</t>
  </si>
  <si>
    <t>60457366031636695089</t>
  </si>
  <si>
    <t>64959485199684567917</t>
  </si>
  <si>
    <t>0x3249c72d2dabf00f8d2083de9852f0900da5b3d4</t>
  </si>
  <si>
    <t>54454397543832266926</t>
  </si>
  <si>
    <t>0x902f7fc73d9535a7319eb07af0745679a2b4f653</t>
  </si>
  <si>
    <t>95603792540539387762</t>
  </si>
  <si>
    <t>86880685120956413884</t>
  </si>
  <si>
    <t>107774011937079499866</t>
  </si>
  <si>
    <t>0x93cc2c26e8a606b7f18697e1713a64b2163619fb</t>
  </si>
  <si>
    <t>11832420846894476490</t>
  </si>
  <si>
    <t>179752862212727653704</t>
  </si>
  <si>
    <t>172589331785703953995</t>
  </si>
  <si>
    <t>46602979687520443527</t>
  </si>
  <si>
    <t>45581932271230350313</t>
  </si>
  <si>
    <t>98743658522158749060</t>
  </si>
  <si>
    <t>0x41aaf6262a24f771202f3e10583e29885f518c0b</t>
  </si>
  <si>
    <t>37083165891041536039</t>
  </si>
  <si>
    <t>0x6c0fb935267deb420de53755b88e05334ac732d5</t>
  </si>
  <si>
    <t>37574415961915174977</t>
  </si>
  <si>
    <t>0x99083d2975324295b1d1833aed085e8ecc007334</t>
  </si>
  <si>
    <t>53571444539760249472</t>
  </si>
  <si>
    <t>31141101217459574028</t>
  </si>
  <si>
    <t>0x1382f8008676aeaa35ebdf3cead1a25b296fe2fa</t>
  </si>
  <si>
    <t>46689002012082717422</t>
  </si>
  <si>
    <t>0xd836fe40e5850edb33e62cff49661aadacde2f31</t>
  </si>
  <si>
    <t>10007443523384375136</t>
  </si>
  <si>
    <t>0x18d4a541cca473beae78df98cc652cb31b09224c</t>
  </si>
  <si>
    <t>0xbd8d4c049f2ca60d29d5dae2326efa77cc976a6e</t>
  </si>
  <si>
    <t>0xf5652f712867ead6c824e6b242796d7d5ccae405</t>
  </si>
  <si>
    <t>56437988367234823134</t>
  </si>
  <si>
    <t>31813558769484739286</t>
  </si>
  <si>
    <t>55162077653583847713</t>
  </si>
  <si>
    <t>83705382093375389800</t>
  </si>
  <si>
    <t>46144920914123898532</t>
  </si>
  <si>
    <t>147911517492494154006</t>
  </si>
  <si>
    <t>50097990264100809473</t>
  </si>
  <si>
    <t>9381693508319939657</t>
  </si>
  <si>
    <t>46124606983173338669</t>
  </si>
  <si>
    <t>0x080182970f8cf8ebfd7db1d359fb81d32680208b</t>
  </si>
  <si>
    <t>48209738186988363446</t>
  </si>
  <si>
    <t>0xea9d77b53c8f97e7730fbbc0b3a310f234b88c70</t>
  </si>
  <si>
    <t>120907789755973968421</t>
  </si>
  <si>
    <t>0x534e1a069b52116ca1276493db4455d3597227a5</t>
  </si>
  <si>
    <t>111623820597281768173</t>
  </si>
  <si>
    <t>43302451648979131075</t>
  </si>
  <si>
    <t>6519471003849928545</t>
  </si>
  <si>
    <t>30454701023482803761</t>
  </si>
  <si>
    <t>9486609970582544177</t>
  </si>
  <si>
    <t>78333572510214061324</t>
  </si>
  <si>
    <t>78069247657033357</t>
  </si>
  <si>
    <t>32241953244648846704</t>
  </si>
  <si>
    <t>18722381631463313216</t>
  </si>
  <si>
    <t>9672621930790045043</t>
  </si>
  <si>
    <t>57648826707508667606</t>
  </si>
  <si>
    <t>0xcc4076710723e840ad4072bbf8e12f24182d7be7</t>
  </si>
  <si>
    <t>54654241510901787164</t>
  </si>
  <si>
    <t>40215602003119592905</t>
  </si>
  <si>
    <t>0xe955e195616f1ce066da97ebf12e028e3e61782a</t>
  </si>
  <si>
    <t>93485368051331703428</t>
  </si>
  <si>
    <t>0x7e9d5da81c3826465d6958a3ff804d1f48dbece1</t>
  </si>
  <si>
    <t>26716590539452225290</t>
  </si>
  <si>
    <t>0x7ebabcbbb3c3afc3ec944783d6306b80bb5f87fb</t>
  </si>
  <si>
    <t>185489169795792761883</t>
  </si>
  <si>
    <t>0x58962a62935093e55abb3b28d98947dd7309d709</t>
  </si>
  <si>
    <t>52083348858100242542</t>
  </si>
  <si>
    <t>0x293aca44d7184cd15d42faa2f9753beffae06651</t>
  </si>
  <si>
    <t>23251495025937608277</t>
  </si>
  <si>
    <t>11067675846621348108</t>
  </si>
  <si>
    <t>6020869191436600056</t>
  </si>
  <si>
    <t>26027724924388194910</t>
  </si>
  <si>
    <t>0x426ce5b0d3b2561acb63dab5d27f07cfc9097c18</t>
  </si>
  <si>
    <t>175692423254863154163</t>
  </si>
  <si>
    <t>16966611166131402180</t>
  </si>
  <si>
    <t>17729312527570222276</t>
  </si>
  <si>
    <t>62325556009911379279</t>
  </si>
  <si>
    <t>61707809404959559142</t>
  </si>
  <si>
    <t>0x43d8bf34ec29352c3d5b7851ee8ec9887cd397b9</t>
  </si>
  <si>
    <t>75757157262307932182</t>
  </si>
  <si>
    <t>30918996711671711240</t>
  </si>
  <si>
    <t>171502430971696965018</t>
  </si>
  <si>
    <t>0xc74009f15699078ccca90fd90e12eae5b23e7958</t>
  </si>
  <si>
    <t>178965461390540155018</t>
  </si>
  <si>
    <t>56066699910208687424</t>
  </si>
  <si>
    <t>46819210384227967495</t>
  </si>
  <si>
    <t>65020570555867747902</t>
  </si>
  <si>
    <t>181024375295021817032</t>
  </si>
  <si>
    <t>9335940282814467169</t>
  </si>
  <si>
    <t>0xaf0d394efc244020f5a5fb33a721721d555d8d7d</t>
  </si>
  <si>
    <t>6410098355816294437</t>
  </si>
  <si>
    <t>0xaf411a791eb145f9a5fe9d01b48b07d5b6e4ff57</t>
  </si>
  <si>
    <t>26644353180122423971</t>
  </si>
  <si>
    <t>9684341604484283939</t>
  </si>
  <si>
    <t>5147108053283597213</t>
  </si>
  <si>
    <t>65297265230251860812</t>
  </si>
  <si>
    <t>32892170331877768135</t>
  </si>
  <si>
    <t>75502584030292965439</t>
  </si>
  <si>
    <t>67042430697987461351</t>
  </si>
  <si>
    <t>37202392041500173244</t>
  </si>
  <si>
    <t>0xd668337cb6b623216a93e55b76f8af19af10abf5</t>
  </si>
  <si>
    <t>40813055968299035903</t>
  </si>
  <si>
    <t>24276873498058397402</t>
  </si>
  <si>
    <t>0x7b200c3e7fb825b17c3d7da1e7d29379036cfbed</t>
  </si>
  <si>
    <t>9521696348414443331</t>
  </si>
  <si>
    <t>75504993586865628065</t>
  </si>
  <si>
    <t>56931546477416561752</t>
  </si>
  <si>
    <t>140439029956663153999</t>
  </si>
  <si>
    <t>0xfe923b3b20c627a60d4e998dbacf5e64e33b7371</t>
  </si>
  <si>
    <t>95175807782516810804</t>
  </si>
  <si>
    <t>141519685807321179135</t>
  </si>
  <si>
    <t>54758579337135652759</t>
  </si>
  <si>
    <t>10224402440010103773</t>
  </si>
  <si>
    <t>46875013972290218288</t>
  </si>
  <si>
    <t>44642870449800207893</t>
  </si>
  <si>
    <t>17908258809340447711</t>
  </si>
  <si>
    <t>123882819405220025753</t>
  </si>
  <si>
    <t>0x400969f35416cafb4905bb81663d22aba253b2a7</t>
  </si>
  <si>
    <t>40833200820769091302</t>
  </si>
  <si>
    <t>0x387f1d444cfaa441009619ab4d4117451ffdff82</t>
  </si>
  <si>
    <t>65509663469157796907</t>
  </si>
  <si>
    <t>0x82ddeedc3fed36b418a4a49e1f1f7cb87429269b</t>
  </si>
  <si>
    <t>49349998528445712495</t>
  </si>
  <si>
    <t>139703444547857080472</t>
  </si>
  <si>
    <t>83669732076982626429</t>
  </si>
  <si>
    <t>9301931326434673644</t>
  </si>
  <si>
    <t>14050474250664238804</t>
  </si>
  <si>
    <t>6771974611247356263</t>
  </si>
  <si>
    <t>0x10ba3300c1e673a59070927b85dd49f030aa9bcc</t>
  </si>
  <si>
    <t>0x00d5ed875d590b8254b4331b9ec98cd32caaf6a1</t>
  </si>
  <si>
    <t>23724483961938871664</t>
  </si>
  <si>
    <t>1386868286744453887</t>
  </si>
  <si>
    <t>86930976165708842851</t>
  </si>
  <si>
    <t>106580832071769337288</t>
  </si>
  <si>
    <t>8943867431095528968</t>
  </si>
  <si>
    <t>163556965517909781655</t>
  </si>
  <si>
    <t>9553336967406746343</t>
  </si>
  <si>
    <t>0x2b459b90b4920f87ccb818f933475506cb4aa2ba</t>
  </si>
  <si>
    <t>9321700256620461342</t>
  </si>
  <si>
    <t>0x9456a34f77e12b36031c19a13e9babc3af90d556</t>
  </si>
  <si>
    <t>148997673106742772934</t>
  </si>
  <si>
    <t>64174126271587798847</t>
  </si>
  <si>
    <t>9505845942834171743</t>
  </si>
  <si>
    <t>0xca598177c3bf605dc9086f49928a8b17fa8c0fa4</t>
  </si>
  <si>
    <t>66990198172745609711</t>
  </si>
  <si>
    <t>78117074529758712621</t>
  </si>
  <si>
    <t>0xdb640a9ae319b58c49942818905a92506dc820b0</t>
  </si>
  <si>
    <t>96321306933671791594</t>
  </si>
  <si>
    <t>95444561862007372545</t>
  </si>
  <si>
    <t>89466269729187365575</t>
  </si>
  <si>
    <t>9318749319914966560</t>
  </si>
  <si>
    <t>1010003231552777508</t>
  </si>
  <si>
    <t>0x1f2b4d47e970623b2bc975608098e119ea3a7520</t>
  </si>
  <si>
    <t>0x9cf7adeb14c2884a37546de3f15cbdd832d4e05d</t>
  </si>
  <si>
    <t>169452114569594743981</t>
  </si>
  <si>
    <t>35850639133670589257</t>
  </si>
  <si>
    <t>15560616590432511695</t>
  </si>
  <si>
    <t>79275818974308675168</t>
  </si>
  <si>
    <t>18118687097626802389</t>
  </si>
  <si>
    <t>0x12b6dc6a167f0d1639ffe828ec584bfa19e1fe37</t>
  </si>
  <si>
    <t>18237845111290831407</t>
  </si>
  <si>
    <t>0x8cd51560a1616a54e740629cee78563fcdd390fd</t>
  </si>
  <si>
    <t>21539530418432567041</t>
  </si>
  <si>
    <t>42446800561574766034</t>
  </si>
  <si>
    <t>77487712873416235210</t>
  </si>
  <si>
    <t>183349065153100209929</t>
  </si>
  <si>
    <t>139879474390505824554</t>
  </si>
  <si>
    <t>0x72590bdd8c9cc95858854beb825f11376cdf0a7a</t>
  </si>
  <si>
    <t>27901794031125129933</t>
  </si>
  <si>
    <t>2950210974623517080</t>
  </si>
  <si>
    <t>84997347458017218705</t>
  </si>
  <si>
    <t>102306578114125476423</t>
  </si>
  <si>
    <t>0xd2749e7729d61b8daf41f4e26f5bf5d0047481ed</t>
  </si>
  <si>
    <t>19210850833566705839</t>
  </si>
  <si>
    <t>176402353230214439804</t>
  </si>
  <si>
    <t>142518380323977125545</t>
  </si>
  <si>
    <t>0x0bc9d3f78636f6d73c32fecb53946e8d3d16b9a9</t>
  </si>
  <si>
    <t>149367604046623195577</t>
  </si>
  <si>
    <t>26041674429050121271</t>
  </si>
  <si>
    <t>74404784083000346489</t>
  </si>
  <si>
    <t>113110286510406265287</t>
  </si>
  <si>
    <t>158573852299476078093</t>
  </si>
  <si>
    <t>172537695536191811996</t>
  </si>
  <si>
    <t>90359820313856581505</t>
  </si>
  <si>
    <t>65013451054443009657</t>
  </si>
  <si>
    <t>56913227796598700709</t>
  </si>
  <si>
    <t>67076941950647929590</t>
  </si>
  <si>
    <t>25801935340476692655</t>
  </si>
  <si>
    <t>14289158445725195185</t>
  </si>
  <si>
    <t>9319423794632380415</t>
  </si>
  <si>
    <t>0x330d8b0fbc668f3a24e7205e7f4fcd878cae03f1</t>
  </si>
  <si>
    <t>52250351858586579134</t>
  </si>
  <si>
    <t>0x342403d5bce138bcf17ecbcfaba41a3d6b6438e6</t>
  </si>
  <si>
    <t>40789285111036911867</t>
  </si>
  <si>
    <t>14870782287711637317</t>
  </si>
  <si>
    <t>1412350210482966629</t>
  </si>
  <si>
    <t>24246634203807098244</t>
  </si>
  <si>
    <t>0x4ba162268c586f0af3db6d7d7256dbee99e0f368</t>
  </si>
  <si>
    <t>61022193468234768365</t>
  </si>
  <si>
    <t>7342454315256125082</t>
  </si>
  <si>
    <t>11230592996187413464</t>
  </si>
  <si>
    <t>0xada7673b48d656a87cad01bcbafe6b1ee6d621ed</t>
  </si>
  <si>
    <t>56260417261291845480</t>
  </si>
  <si>
    <t>157012721149549118316</t>
  </si>
  <si>
    <t>6895242585758228583</t>
  </si>
  <si>
    <t>167875578165010991173</t>
  </si>
  <si>
    <t>88563661783675550069</t>
  </si>
  <si>
    <t>140729516063035539502</t>
  </si>
  <si>
    <t>139880994076040651400</t>
  </si>
  <si>
    <t>0x772d2aa25595236328ea79940c15be0eb1f942ba</t>
  </si>
  <si>
    <t>16819534561109141720</t>
  </si>
  <si>
    <t>0xf1db829bd2eb357760b145c1fe4d02d99a1eb5f1</t>
  </si>
  <si>
    <t>108493656329243157554</t>
  </si>
  <si>
    <t>0x3947309bba450f4a39d0158fe277c451ffe0f26b</t>
  </si>
  <si>
    <t>92261932262920429647</t>
  </si>
  <si>
    <t>9519415512541129059</t>
  </si>
  <si>
    <t>140180363305714251999</t>
  </si>
  <si>
    <t>8700919444705527528</t>
  </si>
  <si>
    <t>9593006373018423434</t>
  </si>
  <si>
    <t>13596010610167158362</t>
  </si>
  <si>
    <t>18600348422097140291</t>
  </si>
  <si>
    <t>0x2e1a3e79c5fbfa72d5bf42ebdd4cbca7b3da5cb1</t>
  </si>
  <si>
    <t>18368681070490709872</t>
  </si>
  <si>
    <t>131275820237947276505</t>
  </si>
  <si>
    <t>74697259938245417464</t>
  </si>
  <si>
    <t>8183002606569039257</t>
  </si>
  <si>
    <t>157468131279915704027</t>
  </si>
  <si>
    <t>0xd08251c54832d29379b25ad8c43f4d8c3a0c88db</t>
  </si>
  <si>
    <t>18787207980957587488</t>
  </si>
  <si>
    <t>44708245082374898340</t>
  </si>
  <si>
    <t>177786789974592913672</t>
  </si>
  <si>
    <t>8659127772330879268</t>
  </si>
  <si>
    <t>174467465664087785530</t>
  </si>
  <si>
    <t>143780041718808960448</t>
  </si>
  <si>
    <t>0x7ea1b3ade261fe6de35f8b6d20c687520da64644</t>
  </si>
  <si>
    <t>0xac457a98a2c722cead70efecae6810fc1a633c2d</t>
  </si>
  <si>
    <t>28107448998861835484</t>
  </si>
  <si>
    <t>0xc0c4cdfa466ee0bd34bd28342c515dd6b00df986</t>
  </si>
  <si>
    <t>99278303401947362001</t>
  </si>
  <si>
    <t>61745444815328645306</t>
  </si>
  <si>
    <t>0xc8f05543335587197d15ff927872188663f74d72</t>
  </si>
  <si>
    <t>74605787912631911250</t>
  </si>
  <si>
    <t>0x24b9404042bf5be177becfee39af0a2a89881bc4</t>
  </si>
  <si>
    <t>3699101417158196528</t>
  </si>
  <si>
    <t>0xeff501f3cd17548d8e279795c68c0dfb61cc863a</t>
  </si>
  <si>
    <t>34092436580453431533</t>
  </si>
  <si>
    <t>0x6e5b2ba26ea2eead5949ab3391c637c77bef0e63</t>
  </si>
  <si>
    <t>22343784582740112074</t>
  </si>
  <si>
    <t>17217431871862853270</t>
  </si>
  <si>
    <t>15194310152407104352</t>
  </si>
  <si>
    <t>0x6edf167a1654c6f166f6253d76cbab7faa883887</t>
  </si>
  <si>
    <t>9662318540256059375</t>
  </si>
  <si>
    <t>32830153883008912256</t>
  </si>
  <si>
    <t>37377206081703181983</t>
  </si>
  <si>
    <t>17904334852055903587</t>
  </si>
  <si>
    <t>7723575539096151832</t>
  </si>
  <si>
    <t>9633939004453066665</t>
  </si>
  <si>
    <t>8196461908308606936</t>
  </si>
  <si>
    <t>0x44db4c9fa2878ae3867bce73c5bcfaf456c739fe</t>
  </si>
  <si>
    <t>54045421482061024909</t>
  </si>
  <si>
    <t>1860119602075008662</t>
  </si>
  <si>
    <t>145789805458583588631</t>
  </si>
  <si>
    <t>176809975264652395431</t>
  </si>
  <si>
    <t>0x6e2c4371c3dc652ff1beba559c9d1d2fce688c66</t>
  </si>
  <si>
    <t>113770205458234525398</t>
  </si>
  <si>
    <t>0x7b5248020bcd0d9709ed9553794c86b6ac9de4c3</t>
  </si>
  <si>
    <t>46536560331040918207</t>
  </si>
  <si>
    <t>139624253165621122696</t>
  </si>
  <si>
    <t>42083691710686542152</t>
  </si>
  <si>
    <t>9258440228078527377</t>
  </si>
  <si>
    <t>47209815786855374993</t>
  </si>
  <si>
    <t>79524042792765357784</t>
  </si>
  <si>
    <t>12817346539491914369</t>
  </si>
  <si>
    <t>0xaf6ca3d8a91d0b64c4ea1dda1a3ec597900913d2</t>
  </si>
  <si>
    <t>6025759236283306837</t>
  </si>
  <si>
    <t>9365714467842694381</t>
  </si>
  <si>
    <t>86470012997753807202</t>
  </si>
  <si>
    <t>0x244c0666817bc5cadcd81f05f4400f17fd06e11e</t>
  </si>
  <si>
    <t>9391522758831642687</t>
  </si>
  <si>
    <t>0xa39b9db38be84877bf4aa96ecb152570b83d8d88</t>
  </si>
  <si>
    <t>55869634103877174827</t>
  </si>
  <si>
    <t>183729519191754589511</t>
  </si>
  <si>
    <t>0xa87925031590d905a1c0bde55f3a312872477fb6</t>
  </si>
  <si>
    <t>183264538830814644148</t>
  </si>
  <si>
    <t>9364010744492595029</t>
  </si>
  <si>
    <t>114878056669968174655</t>
  </si>
  <si>
    <t>0x7c7f139e15bc34989f0ec562bf34b03e33204a73</t>
  </si>
  <si>
    <t>149145952213999168701</t>
  </si>
  <si>
    <t>168960310586669974187</t>
  </si>
  <si>
    <t>130066514111156349580</t>
  </si>
  <si>
    <t>0xe0f84093c529f866c7e370fe775353b2d165c446</t>
  </si>
  <si>
    <t>81845262491300381138</t>
  </si>
  <si>
    <t>0xd699b3cdaf8fc21695ea8250dae9de3ce0d4680f</t>
  </si>
  <si>
    <t>9427969260022830915</t>
  </si>
  <si>
    <t>9301330894708081326</t>
  </si>
  <si>
    <t>0x8f6304e498fc444cafc356fb5e792c01626c2e4f</t>
  </si>
  <si>
    <t>11160717612450051973</t>
  </si>
  <si>
    <t>84513209202067411325</t>
  </si>
  <si>
    <t>131796053345247883146</t>
  </si>
  <si>
    <t>63058054510342793649</t>
  </si>
  <si>
    <t>168474096562149970432</t>
  </si>
  <si>
    <t>74411004996312980930</t>
  </si>
  <si>
    <t>0xbe2fd7a9fa1945c122bcca3110dbae36d93a8af8</t>
  </si>
  <si>
    <t>27238727421650903833</t>
  </si>
  <si>
    <t>10358540377805008652</t>
  </si>
  <si>
    <t>17738118794921201160</t>
  </si>
  <si>
    <t>0x9c1ed1428a5f6375d3505d5e46680d5a1afacb73</t>
  </si>
  <si>
    <t>74705005596038110765</t>
  </si>
  <si>
    <t>0x837fe0cdcff1f8e42c32877c1990134990532efb</t>
  </si>
  <si>
    <t>49643010257741380944</t>
  </si>
  <si>
    <t>24484326874566198565</t>
  </si>
  <si>
    <t>10416669771620048508</t>
  </si>
  <si>
    <t>37070288118767276625</t>
  </si>
  <si>
    <t>51284564041133061884</t>
  </si>
  <si>
    <t>8504004158149919344</t>
  </si>
  <si>
    <t>35204573986364268578</t>
  </si>
  <si>
    <t>0xf84c1910fe90b560afcd00edfcdc311147c7c7a5</t>
  </si>
  <si>
    <t>187872079809575314</t>
  </si>
  <si>
    <t>0xe5305ba0e23bf9f60ef3a3d0c226f0e35468387f</t>
  </si>
  <si>
    <t>69588707062595731611</t>
  </si>
  <si>
    <t>0x0dd74b78b08518365a2804bf7690d5890e1d1120</t>
  </si>
  <si>
    <t>54535948437932252524</t>
  </si>
  <si>
    <t>0xcc2368eaf57c66f86cd91d0c905e3bc0dbb478a0</t>
  </si>
  <si>
    <t>184999302567826081415</t>
  </si>
  <si>
    <t>0x2a18f5c0dff157b52396eda0eb4ad6a69fabd504</t>
  </si>
  <si>
    <t>8877852540353194094</t>
  </si>
  <si>
    <t>67130452038688608</t>
  </si>
  <si>
    <t>0xd67394a279be2234abfd79e4b62ae14561a1ea16</t>
  </si>
  <si>
    <t>12319239861463683242</t>
  </si>
  <si>
    <t>138608541348333844155</t>
  </si>
  <si>
    <t>55804011505456834364</t>
  </si>
  <si>
    <t>40948452907675668245</t>
  </si>
  <si>
    <t>46760738003331525362</t>
  </si>
  <si>
    <t>4158077838751220047</t>
  </si>
  <si>
    <t>13460214553267948923</t>
  </si>
  <si>
    <t>46511016640085723962</t>
  </si>
  <si>
    <t>6439805575411642798</t>
  </si>
  <si>
    <t>65000366282428669673</t>
  </si>
  <si>
    <t>65331228937920251546</t>
  </si>
  <si>
    <t>0x2c1abe91291ba0fa57db67e8fa6051993cbf2d4f</t>
  </si>
  <si>
    <t>1688795419392590854</t>
  </si>
  <si>
    <t>32112446670948575895</t>
  </si>
  <si>
    <t>19715050386058841721</t>
  </si>
  <si>
    <t>9634613201268611186</t>
  </si>
  <si>
    <t>0x193305e42f16c729a59b144115bdacfe575fb5d9</t>
  </si>
  <si>
    <t>95238123626240443506</t>
  </si>
  <si>
    <t>0x3c0ccdfa2fd87dae7364d8ee5db53b305f6cc0da</t>
  </si>
  <si>
    <t>157732693805107098241</t>
  </si>
  <si>
    <t>122520659824900559814</t>
  </si>
  <si>
    <t>22454625731261250220</t>
  </si>
  <si>
    <t>169301815240558913325</t>
  </si>
  <si>
    <t>46518074055441327370</t>
  </si>
  <si>
    <t>0xdae81c4e69a45df98af3c455e88e26c38f3e6e02</t>
  </si>
  <si>
    <t>109617018413909880133</t>
  </si>
  <si>
    <t>0xb24db3063ce66a43aa33eb1384f5bbb8d7cdffdc</t>
  </si>
  <si>
    <t>122693505371954148473</t>
  </si>
  <si>
    <t>10962653690316823297</t>
  </si>
  <si>
    <t>9214480011336921153</t>
  </si>
  <si>
    <t>0xbcd55e7800f8894417ceafbf1e570a1aa4647230</t>
  </si>
  <si>
    <t>36494147622591482905</t>
  </si>
  <si>
    <t>0x35f507c4d462925fe01fd80920d7ebe118a5db59</t>
  </si>
  <si>
    <t>65476209993040304910</t>
  </si>
  <si>
    <t>170815105449379074873</t>
  </si>
  <si>
    <t>82476196992982528208</t>
  </si>
  <si>
    <t>0x983c96d82c204f0f97b61e2bbbcf88df4dc2906b</t>
  </si>
  <si>
    <t>118577522074308754852</t>
  </si>
  <si>
    <t>0x4ad17327f1c4eeebd18350f670b973462d043085</t>
  </si>
  <si>
    <t>44432428747389062512</t>
  </si>
  <si>
    <t>149529021639923927476</t>
  </si>
  <si>
    <t>9371142549259779975</t>
  </si>
  <si>
    <t>0xe47d435bff9b3a36a9eda730951bb4e30f1d5469</t>
  </si>
  <si>
    <t>105125939255430429666</t>
  </si>
  <si>
    <t>14010427923268206010</t>
  </si>
  <si>
    <t>130208372145250606356</t>
  </si>
  <si>
    <t>0xbd2fb957ef7dc7828e169624af9074fa2a1f898b</t>
  </si>
  <si>
    <t>60907399911495495</t>
  </si>
  <si>
    <t>120907774134875563045</t>
  </si>
  <si>
    <t>6070726331657094497</t>
  </si>
  <si>
    <t>55907805941901358466</t>
  </si>
  <si>
    <t>17528419564111443153</t>
  </si>
  <si>
    <t>0xf7249a39ffa39a1fe9780e0dfcd31437ad5c9db8</t>
  </si>
  <si>
    <t>28645841871955133398</t>
  </si>
  <si>
    <t>80924463469470542274</t>
  </si>
  <si>
    <t>0x8394edc8224c97d859438794250768b15034bd34</t>
  </si>
  <si>
    <t>80810825126412392435</t>
  </si>
  <si>
    <t>0xfe07ee5fd4ebad480b4d6e183ee0592cc02cc864</t>
  </si>
  <si>
    <t>84969146123744657151</t>
  </si>
  <si>
    <t>0xa1a11850bccde5dc23f94453573c14beb6c651c7</t>
  </si>
  <si>
    <t>0xe5a78954da0475c81126de9a71954db7175b00db</t>
  </si>
  <si>
    <t>27229803045461881958</t>
  </si>
  <si>
    <t>0x42771304372b7a86d0b4855b44cd88da34e6d61e</t>
  </si>
  <si>
    <t>93514639803546477259</t>
  </si>
  <si>
    <t>58247680690742502455</t>
  </si>
  <si>
    <t>0x90104dcb1c42f83c5d79b41490f1ad9aab6a71b7</t>
  </si>
  <si>
    <t>35338354960254180476</t>
  </si>
  <si>
    <t>0x50ae4fcc68cfa2e9f14ec291f1e0bb91fda0857e</t>
  </si>
  <si>
    <t>177385069277405639607</t>
  </si>
  <si>
    <t>0xf85d61fb05cf8f09d974a8036e6b2b78d800d905</t>
  </si>
  <si>
    <t>52773855334748692102</t>
  </si>
  <si>
    <t>14799542335289806741</t>
  </si>
  <si>
    <t>8490840081294216476</t>
  </si>
  <si>
    <t>65086580821469872097</t>
  </si>
  <si>
    <t>19575512363811223325</t>
  </si>
  <si>
    <t>0xd554ff20b3716fde0bb9b334cded4d7c04e5e47d</t>
  </si>
  <si>
    <t>112504135694875526373</t>
  </si>
  <si>
    <t>27190835101952054796</t>
  </si>
  <si>
    <t>92446756775822228581</t>
  </si>
  <si>
    <t>0x49f2b625ebf315010a44caab9bcfa011d5aff045</t>
  </si>
  <si>
    <t>0xa0ec032d5b3dee52cb3064ae921bccf526b6400f</t>
  </si>
  <si>
    <t>5394346846017525120</t>
  </si>
  <si>
    <t>5321281091256766856</t>
  </si>
  <si>
    <t>157049898003192980552</t>
  </si>
  <si>
    <t>9418986072263318211</t>
  </si>
  <si>
    <t>18357268095516993153</t>
  </si>
  <si>
    <t>30037406350834421534</t>
  </si>
  <si>
    <t>0x094685037f6d02209e94797d9ff0666510d48514</t>
  </si>
  <si>
    <t>0x2128d946c718654919ac95a46c9b405c93c8a06e</t>
  </si>
  <si>
    <t>185748027220053473741</t>
  </si>
  <si>
    <t>0x35175803173a529fff3b3a369e829cf9129d069e</t>
  </si>
  <si>
    <t>120017275816984531508</t>
  </si>
  <si>
    <t>8368264156616146059</t>
  </si>
  <si>
    <t>0xd091ff5672b7082295c16fc35de0a40629b227bd</t>
  </si>
  <si>
    <t>28811150391653649330</t>
  </si>
  <si>
    <t>83705511897729556824</t>
  </si>
  <si>
    <t>148824770494192846785</t>
  </si>
  <si>
    <t>30660235422173154314</t>
  </si>
  <si>
    <t>102706280779211962272</t>
  </si>
  <si>
    <t>9343382913009123636</t>
  </si>
  <si>
    <t>0x25875e88eeea22540ff8e05957d01476758f0257</t>
  </si>
  <si>
    <t>0xd1d4319ce10f70bebcde4dd45b8f673e96af3e4c</t>
  </si>
  <si>
    <t>88075479421291674235</t>
  </si>
  <si>
    <t>9552461316135983935</t>
  </si>
  <si>
    <t>45387326285170815147</t>
  </si>
  <si>
    <t>0x6ff1ae273d33c4bbe46750808d8ddecdf0e74404</t>
  </si>
  <si>
    <t>48565402013645065522</t>
  </si>
  <si>
    <t>9284795169578153186</t>
  </si>
  <si>
    <t>8903168894739350381</t>
  </si>
  <si>
    <t>65109782195573130567</t>
  </si>
  <si>
    <t>10262536402201973975</t>
  </si>
  <si>
    <t>9358097120892090767</t>
  </si>
  <si>
    <t>0x581ad4e711d56fabf25c34989276e2f35a7eeaae</t>
  </si>
  <si>
    <t>42122085801408835735</t>
  </si>
  <si>
    <t>7162854238093297849</t>
  </si>
  <si>
    <t>0x488eec81c5278e2ed6d7d9478d629997158bc59d</t>
  </si>
  <si>
    <t>33231324183805719474</t>
  </si>
  <si>
    <t>0xc9c8cf798d922d9392e48e306ad76ab3d60b2c6a</t>
  </si>
  <si>
    <t>0xdf374a7f4082b1be98f83e8baa106c8dc1888d0b</t>
  </si>
  <si>
    <t>48689395580359895837</t>
  </si>
  <si>
    <t>116121640578928667844</t>
  </si>
  <si>
    <t>47283422821147398746</t>
  </si>
  <si>
    <t>49621183516124475588</t>
  </si>
  <si>
    <t>75002946198425755435</t>
  </si>
  <si>
    <t>8484165037186311453</t>
  </si>
  <si>
    <t>6640276285340779426</t>
  </si>
  <si>
    <t>65300385344649152059</t>
  </si>
  <si>
    <t>6377359239847824404</t>
  </si>
  <si>
    <t>10044645851205046776</t>
  </si>
  <si>
    <t>0xc33866bf5aaff52d53736b39a3a7564b5b171bbf</t>
  </si>
  <si>
    <t>97902167866755161628</t>
  </si>
  <si>
    <t>0xe1c5c9df47c4f3db50d3c15bfc7e7995631d4f18</t>
  </si>
  <si>
    <t>21241185604545649260</t>
  </si>
  <si>
    <t>0xed70939ed71f00107e71da32a26a9247e3c9bf70</t>
  </si>
  <si>
    <t>50374147925080322240</t>
  </si>
  <si>
    <t>9429551644237060600</t>
  </si>
  <si>
    <t>68412039143374322440</t>
  </si>
  <si>
    <t>0xd0471c359f65d6adcbd69694996ab49e5e6b6a47</t>
  </si>
  <si>
    <t>44316956722259871630</t>
  </si>
  <si>
    <t>42981604016042750077</t>
  </si>
  <si>
    <t>19051557983860971784</t>
  </si>
  <si>
    <t>0x467a1d403ca27ae77ae5c1f24337c377bce28e55</t>
  </si>
  <si>
    <t>27711506983723518644</t>
  </si>
  <si>
    <t>74764124175973896008</t>
  </si>
  <si>
    <t>0x403fc04951b9364bbbe56b6f65cf6d83c2b7a880</t>
  </si>
  <si>
    <t>4651673545190258768</t>
  </si>
  <si>
    <t>4861864017958299459</t>
  </si>
  <si>
    <t>0x4c8731fcb7d609ddc71a7400a5b50ff5b0aba26a</t>
  </si>
  <si>
    <t>34440762297393712096</t>
  </si>
  <si>
    <t>9676262995863451056</t>
  </si>
  <si>
    <t>14508932896185067565</t>
  </si>
  <si>
    <t>0x6fa4a3823016ae260daceeef4119027ce2f37d93</t>
  </si>
  <si>
    <t>84031020818788507973</t>
  </si>
  <si>
    <t>0x21fe08549dba740263a3bbb242e6e772d45edd58</t>
  </si>
  <si>
    <t>180568167267696562459</t>
  </si>
  <si>
    <t>8172984414702450373</t>
  </si>
  <si>
    <t>0x3cf807b5f994f2860f44860b2e3221847f4cffe2</t>
  </si>
  <si>
    <t>131245345587368924700</t>
  </si>
  <si>
    <t>167336961082654843309</t>
  </si>
  <si>
    <t>176612034803759016429</t>
  </si>
  <si>
    <t>9279558345522718785</t>
  </si>
  <si>
    <t>89972762318856350429</t>
  </si>
  <si>
    <t>10509774624149103213</t>
  </si>
  <si>
    <t>77390598096577824144</t>
  </si>
  <si>
    <t>28087805991332630799</t>
  </si>
  <si>
    <t>2229428106712464260</t>
  </si>
  <si>
    <t>176267836460474069883</t>
  </si>
  <si>
    <t>0x18e5cefcbd90c57d25ae0ea490b65bbff5dde0be</t>
  </si>
  <si>
    <t>18620725324882992327</t>
  </si>
  <si>
    <t>0x7092e59c5c1db3e2e1e87eb12ac9dd19cbf5cc93</t>
  </si>
  <si>
    <t>157801386322431284479</t>
  </si>
  <si>
    <t>42015120919322798915</t>
  </si>
  <si>
    <t>0xec834f2dd4a5f38073b86480b75ccf7f5659b610</t>
  </si>
  <si>
    <t>94866099705825441774</t>
  </si>
  <si>
    <t>0x5cb1868ba58abc5cea98b32c69cdc04cf886c4a0</t>
  </si>
  <si>
    <t>32180069115897649856</t>
  </si>
  <si>
    <t>17105605384394241748</t>
  </si>
  <si>
    <t>18427078157530407798</t>
  </si>
  <si>
    <t>20470146174936431568</t>
  </si>
  <si>
    <t>0x0bc4bef6c59be91ca9299679899fabd10ad33fa1</t>
  </si>
  <si>
    <t>56158182341681223001</t>
  </si>
  <si>
    <t>528488065267405342</t>
  </si>
  <si>
    <t>9363492128266578936</t>
  </si>
  <si>
    <t>0x0544af6d51cd15a39a204c13bb6eb4600eec592d</t>
  </si>
  <si>
    <t>13600889643261038446</t>
  </si>
  <si>
    <t>30458225746136322787</t>
  </si>
  <si>
    <t>152163200451805938134</t>
  </si>
  <si>
    <t>8928815565021820909</t>
  </si>
  <si>
    <t>0x904eca21b7f1296442fee4b4b00ad2e2bff3d890</t>
  </si>
  <si>
    <t>62896799029148766197</t>
  </si>
  <si>
    <t>0x7e649540c59a3f27c9b25320b9ad2913cb8f2f13</t>
  </si>
  <si>
    <t>23243352780021020553</t>
  </si>
  <si>
    <t>2907088556392006493</t>
  </si>
  <si>
    <t>2295329870655029490</t>
  </si>
  <si>
    <t>0x3197f2da2a86661edab45e65601861f29e5f4752</t>
  </si>
  <si>
    <t>12090777413487556304</t>
  </si>
  <si>
    <t>0xe41d7f167d254437610d82a3833c3a1e0ba3a780</t>
  </si>
  <si>
    <t>111753854473653279099</t>
  </si>
  <si>
    <t>172683142172652211974</t>
  </si>
  <si>
    <t>52063326096920374146</t>
  </si>
  <si>
    <t>0x7b04bb59bb4536acee489fc38928fb4752c33576</t>
  </si>
  <si>
    <t>169642907709240789996</t>
  </si>
  <si>
    <t>37204894713749133460</t>
  </si>
  <si>
    <t>0x12c73a4d59b60fc56b0d32a58ebd0d76ba558b5a</t>
  </si>
  <si>
    <t>55820330205075501908</t>
  </si>
  <si>
    <t>30137362364446297746</t>
  </si>
  <si>
    <t>8592781723002363483</t>
  </si>
  <si>
    <t>65155161458913563360</t>
  </si>
  <si>
    <t>0xa5e43d0180b47fa72e9b385b86493be5b41982ad</t>
  </si>
  <si>
    <t>0xb37b7e0be3471cbc4a738d50883f1951d09be9a6</t>
  </si>
  <si>
    <t>0x88c3cdf79f47ab7af8efcb081771487ff13bf029</t>
  </si>
  <si>
    <t>57292677300754040195</t>
  </si>
  <si>
    <t>0x26e07d23a678a9533b7c154a213e1bc676202070</t>
  </si>
  <si>
    <t>112495642978193363018</t>
  </si>
  <si>
    <t>30212055611870452486</t>
  </si>
  <si>
    <t>7109088587284883326</t>
  </si>
  <si>
    <t>76844538339249015813</t>
  </si>
  <si>
    <t>62299402033337835355</t>
  </si>
  <si>
    <t>0x2a44a83e75ea6c154d39025bea5311bfedc6127c</t>
  </si>
  <si>
    <t>60906310417998884353</t>
  </si>
  <si>
    <t>0xf1283e81a96bcabe15479bbbc25fa9c76a0d781c</t>
  </si>
  <si>
    <t>47210985515046496876</t>
  </si>
  <si>
    <t>63745247515794447430</t>
  </si>
  <si>
    <t>0x086f5973b2973799f9b124315bd24968d7ff5eff</t>
  </si>
  <si>
    <t>6496377152184259703</t>
  </si>
  <si>
    <t>0x3bef66616fa3261e7ad0c4243ce9f02ee7ac64c0</t>
  </si>
  <si>
    <t>0x4dbf1f6b7c612bf2fc93d963aaf16ac46f16f175</t>
  </si>
  <si>
    <t>10462914711185778348</t>
  </si>
  <si>
    <t>0x5e51b11ded469f5f7848559df74f692f06fe47a3</t>
  </si>
  <si>
    <t>6188105432877877289</t>
  </si>
  <si>
    <t>0x8edd9a2fee4db8d59bba6e01e8cf35337c1ad24b</t>
  </si>
  <si>
    <t>12270533942593810635</t>
  </si>
  <si>
    <t>88415413622533809054</t>
  </si>
  <si>
    <t>0x69589b137819c972a4b1c1d3b85294af49006783</t>
  </si>
  <si>
    <t>145529194632026326618</t>
  </si>
  <si>
    <t>0xc905531b44606401fd27bc858adfcb0ab415b3b3</t>
  </si>
  <si>
    <t>7225545801062294250</t>
  </si>
  <si>
    <t>21616237261077095319</t>
  </si>
  <si>
    <t>0x3ab2ef1c5ed8d5479d38a32b36e7609a3bc48893</t>
  </si>
  <si>
    <t>80952779372333346809</t>
  </si>
  <si>
    <t>6576069692840750858</t>
  </si>
  <si>
    <t>0x9e3d212dd2ab77b80539e03b4520b3f5a16a00b5</t>
  </si>
  <si>
    <t>46543609952933902927</t>
  </si>
  <si>
    <t>0x2ead10e73ec1bcc92b00c2f872cd2a7ece499a28</t>
  </si>
  <si>
    <t>52117189495678950271</t>
  </si>
  <si>
    <t>0x7f5641d0f042af7356239272d60c08b6e70cf5be</t>
  </si>
  <si>
    <t>83705382580354700468</t>
  </si>
  <si>
    <t>8904349664080220294</t>
  </si>
  <si>
    <t>0x6d3ed1d6af678f0e16b548531dbe507ebdf2ccc9</t>
  </si>
  <si>
    <t>79170330253340181074</t>
  </si>
  <si>
    <t>107124244801083633006</t>
  </si>
  <si>
    <t>107328901039727999811</t>
  </si>
  <si>
    <t>46655519859245366679</t>
  </si>
  <si>
    <t>337425502347461253</t>
  </si>
  <si>
    <t>9393834123359890377</t>
  </si>
  <si>
    <t>8922446268193011393</t>
  </si>
  <si>
    <t>29658231272867889469</t>
  </si>
  <si>
    <t>179267667680088986086</t>
  </si>
  <si>
    <t>142121224574725500034</t>
  </si>
  <si>
    <t>10547070588391113777</t>
  </si>
  <si>
    <t>305329962770931657</t>
  </si>
  <si>
    <t>48144845772670884992</t>
  </si>
  <si>
    <t>0x422ffadbcb4177ceabb673f96b895f136f474926</t>
  </si>
  <si>
    <t>51671545106006230082</t>
  </si>
  <si>
    <t>2730845226196620491</t>
  </si>
  <si>
    <t>13950897015562564966</t>
  </si>
  <si>
    <t>0x5812106cf8d23a4f176dc80ad624af4c4d6ee0fc</t>
  </si>
  <si>
    <t>46676716376538230303</t>
  </si>
  <si>
    <t>44775155128181913009</t>
  </si>
  <si>
    <t>0x31638f3b374ced49658183f15c953c0280b61306</t>
  </si>
  <si>
    <t>25932823714684753931</t>
  </si>
  <si>
    <t>0x545e484a27c4e6777bf9baab4c96f9e5e0d65fcd</t>
  </si>
  <si>
    <t>182115823250807485180</t>
  </si>
  <si>
    <t>169096766816805016108</t>
  </si>
  <si>
    <t>47821299162650719239</t>
  </si>
  <si>
    <t>185866062158059859670</t>
  </si>
  <si>
    <t>11769105667477162373</t>
  </si>
  <si>
    <t>65164130748417445359</t>
  </si>
  <si>
    <t>46521443100902401968</t>
  </si>
  <si>
    <t>29216315849016344868</t>
  </si>
  <si>
    <t>0x31483d1a4424b21ab21b76ccb5225b0ad9ec0bd8</t>
  </si>
  <si>
    <t>0x34492ac8ad16adf5bffe937356942267335b2e8d</t>
  </si>
  <si>
    <t>102492756869211563081</t>
  </si>
  <si>
    <t>0x52018532ee87d80b9b2711c7cc033b301cfb85c4</t>
  </si>
  <si>
    <t>111138417083919309313</t>
  </si>
  <si>
    <t>0xacef77f47076e31b0accac72dcf6d2f892533ef1</t>
  </si>
  <si>
    <t>117187534930725545721</t>
  </si>
  <si>
    <t>0x53dc67f664ac27d9012d26a2d6eed5177351d855</t>
  </si>
  <si>
    <t>131510455866703112420</t>
  </si>
  <si>
    <t>94443886710368463355</t>
  </si>
  <si>
    <t>0x8852ae619237638b71cc4c09f8fa6b0c5b5644ad</t>
  </si>
  <si>
    <t>0xe5ed4bd829ad3fdcead7e35603fdf363fd76569b</t>
  </si>
  <si>
    <t>56082298365193024987</t>
  </si>
  <si>
    <t>0x2994cd4d82b9e1dec9482909473bbcdab15c0ea7</t>
  </si>
  <si>
    <t>2380681384286538873</t>
  </si>
  <si>
    <t>183887657526689691058</t>
  </si>
  <si>
    <t>5580358806225025986</t>
  </si>
  <si>
    <t>181737849513782445752</t>
  </si>
  <si>
    <t>11721957398045416716</t>
  </si>
  <si>
    <t>0x0dbdc315a01b844aaeda14a266737e93cec545ed</t>
  </si>
  <si>
    <t>118842017171370815547</t>
  </si>
  <si>
    <t>18683696099842821497</t>
  </si>
  <si>
    <t>0x177e1cc973e5605bd4eff27c490f007c95d6ef8e</t>
  </si>
  <si>
    <t>24107248008606894932</t>
  </si>
  <si>
    <t>0x27a5f7646ac2b5086a7d186156b5c75964dd8fa1</t>
  </si>
  <si>
    <t>65792367166520062343</t>
  </si>
  <si>
    <t>165863868123136125637</t>
  </si>
  <si>
    <t>5831461322939903185</t>
  </si>
  <si>
    <t>0x0a58363c9caeb721d29b39106cb27beaa95b1e39</t>
  </si>
  <si>
    <t>136392609431483079</t>
  </si>
  <si>
    <t>0x1c8a699ceda9254fee295d467ed96cec93c90935</t>
  </si>
  <si>
    <t>13437989000320554469</t>
  </si>
  <si>
    <t>66945132276686084447</t>
  </si>
  <si>
    <t>129853738951559531115</t>
  </si>
  <si>
    <t>0x15d61b5e4c87c86860b724a52d9b58150e5687c0</t>
  </si>
  <si>
    <t>130354502625936488215</t>
  </si>
  <si>
    <t>81408016327511872044</t>
  </si>
  <si>
    <t>10020218516728916934</t>
  </si>
  <si>
    <t>45578948795278948775</t>
  </si>
  <si>
    <t>61191589978549135539</t>
  </si>
  <si>
    <t>9472376097478169034</t>
  </si>
  <si>
    <t>66778293714492810974</t>
  </si>
  <si>
    <t>175672466798170908617</t>
  </si>
  <si>
    <t>0x770ddfd777f5167f18a20c8d524d90b860e401f1</t>
  </si>
  <si>
    <t>11319883551647760346</t>
  </si>
  <si>
    <t>74299298504310661737</t>
  </si>
  <si>
    <t>9631386261504656978</t>
  </si>
  <si>
    <t>103359749013802500643</t>
  </si>
  <si>
    <t>0xf405f5bb7e319359a60cfc5a655462def1bffabd</t>
  </si>
  <si>
    <t>63987199304269164798</t>
  </si>
  <si>
    <t>0x78825da8e6c221dc034ab8d4688f55a55e6d0ead</t>
  </si>
  <si>
    <t>69882341808074072439</t>
  </si>
  <si>
    <t>108405674601387152938</t>
  </si>
  <si>
    <t>9595240955343724245</t>
  </si>
  <si>
    <t>0x4ca520f8965960ebb4b969f73257b53cfc56f6a9</t>
  </si>
  <si>
    <t>0x60db4780fcbb04114b0eeb3b8d61ace937709c0b</t>
  </si>
  <si>
    <t>10134083686272006063</t>
  </si>
  <si>
    <t>50362738226180858863</t>
  </si>
  <si>
    <t>0xbd20efd94ff2b649d1be1cb5f63edd50dcde2054</t>
  </si>
  <si>
    <t>8006809527739218726</t>
  </si>
  <si>
    <t>0xa485bd744b741858ef0dbe51f03b7821b24ed9b3</t>
  </si>
  <si>
    <t>78444589109153597286</t>
  </si>
  <si>
    <t>9951639871101296342</t>
  </si>
  <si>
    <t>4838151545229491583</t>
  </si>
  <si>
    <t>45181597881276582727</t>
  </si>
  <si>
    <t>0xb2b36627af83fff76216eaec068ece65a1f3c5e8</t>
  </si>
  <si>
    <t>9340176695349560152</t>
  </si>
  <si>
    <t>9711188273944949767</t>
  </si>
  <si>
    <t>27967175626878657732</t>
  </si>
  <si>
    <t>0x80e8c108a9a057efb7d38f0a362a8da47cdfaf27</t>
  </si>
  <si>
    <t>72130861517416043869</t>
  </si>
  <si>
    <t>0xb01df6b90a3499a38cc46c6c7f8d3b7fb5eb1106</t>
  </si>
  <si>
    <t>52987113526422114562</t>
  </si>
  <si>
    <t>133214671298513007012</t>
  </si>
  <si>
    <t>0xbb512977aae1240b049df4d0afe61e493fd09fa8</t>
  </si>
  <si>
    <t>41584914740300758515</t>
  </si>
  <si>
    <t>0x0f1ceab49f196eb1b181ef3936472d8134b13219</t>
  </si>
  <si>
    <t>55834312175761041691</t>
  </si>
  <si>
    <t>56975673994825039103</t>
  </si>
  <si>
    <t>9300598107845309978</t>
  </si>
  <si>
    <t>0x30e996409627d6b820a5f7c9ff413680aad694cd</t>
  </si>
  <si>
    <t>162126429482736514347</t>
  </si>
  <si>
    <t>0xb5e66cad45a8f21356b2d14c0c2d255361484ff1</t>
  </si>
  <si>
    <t>109954606168521824500</t>
  </si>
  <si>
    <t>9345240880824843412</t>
  </si>
  <si>
    <t>9302915241997341683</t>
  </si>
  <si>
    <t>56118274818439043922</t>
  </si>
  <si>
    <t>183428808951833089224</t>
  </si>
  <si>
    <t>75113720636950846731</t>
  </si>
  <si>
    <t>25136664478026435160</t>
  </si>
  <si>
    <t>184358149026925651576</t>
  </si>
  <si>
    <t>176693808188955241305</t>
  </si>
  <si>
    <t>0xc8019cc207bd23daaa0e1718de28466f76ccd19f</t>
  </si>
  <si>
    <t>66964305674700311840</t>
  </si>
  <si>
    <t>58343640397548427677</t>
  </si>
  <si>
    <t>99341555575377173277</t>
  </si>
  <si>
    <t>0x28735e52f09329e533f40a0fe3d48f7000741d7a</t>
  </si>
  <si>
    <t>3236830540712530617</t>
  </si>
  <si>
    <t>45323847039195307246</t>
  </si>
  <si>
    <t>17328309953888186185</t>
  </si>
  <si>
    <t>0x900328c10dbf57df58f9aba8f3093d650e937d02</t>
  </si>
  <si>
    <t>13567985620991049293</t>
  </si>
  <si>
    <t>0x1beb6c6c0e032c2e93eff2fa2008f3578b0f65ff</t>
  </si>
  <si>
    <t>28972774966615679131</t>
  </si>
  <si>
    <t>91590343820548910778</t>
  </si>
  <si>
    <t>82619355165273869893</t>
  </si>
  <si>
    <t>61383946868475285853</t>
  </si>
  <si>
    <t>111280694685294540577</t>
  </si>
  <si>
    <t>83634274150490870253</t>
  </si>
  <si>
    <t>139664241051610469996</t>
  </si>
  <si>
    <t>4988535324774825138</t>
  </si>
  <si>
    <t>47974849508643520169</t>
  </si>
  <si>
    <t>182957480312401799737</t>
  </si>
  <si>
    <t>47896922599440720537</t>
  </si>
  <si>
    <t>0xf5f9db57f7fd4cc090cd841698a1b4cbfd793182</t>
  </si>
  <si>
    <t>0x24b277989aa7bd31dbcd3d16252f536c197c3dd3</t>
  </si>
  <si>
    <t>43056694736064072577</t>
  </si>
  <si>
    <t>0x200bf2b96a7433d3294d124d53e51f55d5d02bf3</t>
  </si>
  <si>
    <t>0x9b08ac8639a3bc32acf66e003da1135db515c9b9</t>
  </si>
  <si>
    <t>34188591919599354627</t>
  </si>
  <si>
    <t>0x0744e27db3ff5ef2f6f59d07bde5e360a6258604</t>
  </si>
  <si>
    <t>9563910374762287420</t>
  </si>
  <si>
    <t>5027883428273002679</t>
  </si>
  <si>
    <t>0x54b081d051c7cfa2f0a123b2c8904021c36827ce</t>
  </si>
  <si>
    <t>45868378340509858040</t>
  </si>
  <si>
    <t>71542229334558550464</t>
  </si>
  <si>
    <t>0xab848bd927dcab1221d30b8c6e7c28ca255fb045</t>
  </si>
  <si>
    <t>9359002637826489257</t>
  </si>
  <si>
    <t>7038330254761392741</t>
  </si>
  <si>
    <t>9124732696398493014</t>
  </si>
  <si>
    <t>8808458068697843259</t>
  </si>
  <si>
    <t>52735849097795427585</t>
  </si>
  <si>
    <t>86884535124336147138</t>
  </si>
  <si>
    <t>9362036800823853601</t>
  </si>
  <si>
    <t>36910284815385621949</t>
  </si>
  <si>
    <t>0xcae3a4c9cdca6b799a0960a376ec6f640ca92204</t>
  </si>
  <si>
    <t>82484919577966896195</t>
  </si>
  <si>
    <t>0x20cb1ab611eee8234784862c9676dca56ca976e4</t>
  </si>
  <si>
    <t>111325074737608967955</t>
  </si>
  <si>
    <t>79427011958723346949</t>
  </si>
  <si>
    <t>0xdf9561578ed6977c70d8f6a65cad265bb8453305</t>
  </si>
  <si>
    <t>56000420921702549157</t>
  </si>
  <si>
    <t>183039830984334026201</t>
  </si>
  <si>
    <t>148201160632714827858</t>
  </si>
  <si>
    <t>64438619243767872869</t>
  </si>
  <si>
    <t>139490618004365865866</t>
  </si>
  <si>
    <t>0xc9eb4e98e81e6b0abcf7b85dfa0196e2f6cf2fcc</t>
  </si>
  <si>
    <t>39062511643575181907</t>
  </si>
  <si>
    <t>0x9a5286489a7480c7c27b7dc098ca17b81f338534</t>
  </si>
  <si>
    <t>65161130666794027775</t>
  </si>
  <si>
    <t>56021675603459392941</t>
  </si>
  <si>
    <t>64945692959906208655</t>
  </si>
  <si>
    <t>0x1c49cfafb305c86fe1cf4d2ab1d38350a53b0b76</t>
  </si>
  <si>
    <t>0x969a053968b0a7ef3f3734f36f3045293516f44f</t>
  </si>
  <si>
    <t>143620725832689907662</t>
  </si>
  <si>
    <t>89471752859807916653</t>
  </si>
  <si>
    <t>64575990532493317307</t>
  </si>
  <si>
    <t>149144389694374193738</t>
  </si>
  <si>
    <t>75519560203978200123</t>
  </si>
  <si>
    <t>18640666548140280499</t>
  </si>
  <si>
    <t>10405963827580655067</t>
  </si>
  <si>
    <t>83519370133167888934</t>
  </si>
  <si>
    <t>67387360720259473908</t>
  </si>
  <si>
    <t>65601893809149395874</t>
  </si>
  <si>
    <t>0x3a1682b631887c0d909b10bffb3e676beef05c56</t>
  </si>
  <si>
    <t>58035731584740270261</t>
  </si>
  <si>
    <t>0x0a5d300f2aaebb0dd0527696aa67cf8d648a7d7f</t>
  </si>
  <si>
    <t>157519612169430913600</t>
  </si>
  <si>
    <t>0x3ae8b126fe98a6d46dafa6e780b1400a7b4dbfbc</t>
  </si>
  <si>
    <t>179573343660145229361</t>
  </si>
  <si>
    <t>50293936242317022991</t>
  </si>
  <si>
    <t>62057288670611124210</t>
  </si>
  <si>
    <t>9419276610296348344</t>
  </si>
  <si>
    <t>158511516590473240003</t>
  </si>
  <si>
    <t>170758979470485795193</t>
  </si>
  <si>
    <t>68056354472128366974</t>
  </si>
  <si>
    <t>125979963558042956899</t>
  </si>
  <si>
    <t>46759686556961566471</t>
  </si>
  <si>
    <t>96436040649976748445</t>
  </si>
  <si>
    <t>185480088150904736909</t>
  </si>
  <si>
    <t>120937254068364577448</t>
  </si>
  <si>
    <t>9300613532329074020</t>
  </si>
  <si>
    <t>16450144979538205898</t>
  </si>
  <si>
    <t>88452403902407244110</t>
  </si>
  <si>
    <t>86339062008432999087</t>
  </si>
  <si>
    <t>0x5b3ab800bc1cafec959589e10dff4eb650a21540</t>
  </si>
  <si>
    <t>124416022576431477</t>
  </si>
  <si>
    <t>55302761844950531928</t>
  </si>
  <si>
    <t>0x6cdad9a53d03d798c0f8ac904c69734f8f4c27b5</t>
  </si>
  <si>
    <t>3780265886337598397</t>
  </si>
  <si>
    <t>9474960335785668140</t>
  </si>
  <si>
    <t>9784017828242290049</t>
  </si>
  <si>
    <t>43379197141551959458</t>
  </si>
  <si>
    <t>185028083533392827229</t>
  </si>
  <si>
    <t>0xd2a86dd2db22e4b11457a1bc4a06c6b684317e0e</t>
  </si>
  <si>
    <t>22515627010183724640</t>
  </si>
  <si>
    <t>83398792691162726679</t>
  </si>
  <si>
    <t>0x51cf356671ecb1d1efc488230c4142e957ef4879</t>
  </si>
  <si>
    <t>22321435224900103946</t>
  </si>
  <si>
    <t>0x00d8f6f9c09e53cfedeec8c3ca0f7f0fbc63f295</t>
  </si>
  <si>
    <t>19157695184396674328</t>
  </si>
  <si>
    <t>6328191302700602526</t>
  </si>
  <si>
    <t>52010673580485145352</t>
  </si>
  <si>
    <t>27333004178951436428</t>
  </si>
  <si>
    <t>17261459905819862348</t>
  </si>
  <si>
    <t>109387545445598149083</t>
  </si>
  <si>
    <t>0xb1fe569478506aefec2bcc84321e8d2053fe3fbb</t>
  </si>
  <si>
    <t>155161774693552004213</t>
  </si>
  <si>
    <t>42531992751982296313</t>
  </si>
  <si>
    <t>0xfd482854df90eeae9a589eb95c9854c62a3f51ab</t>
  </si>
  <si>
    <t>65946497033518938200</t>
  </si>
  <si>
    <t>0x1f2eece230e6d0644315a7e2fa4decd6bec0db7c</t>
  </si>
  <si>
    <t>40050990544682304223</t>
  </si>
  <si>
    <t>65566056898636093323</t>
  </si>
  <si>
    <t>84183987850619341966</t>
  </si>
  <si>
    <t>161088284332068326115</t>
  </si>
  <si>
    <t>0xb9bfc11c32b6f1b09df687d96dfa9072a292315f</t>
  </si>
  <si>
    <t>19044083715078016563</t>
  </si>
  <si>
    <t>49031896216022284381</t>
  </si>
  <si>
    <t>0x426240ead0592e195cf492d1c270f893fbadd01c</t>
  </si>
  <si>
    <t>109915095616503599846</t>
  </si>
  <si>
    <t>0x11c44309298e6e88b25f2c27bab5ad8d05c39142</t>
  </si>
  <si>
    <t>56080502955431668049</t>
  </si>
  <si>
    <t>91660852789296558011</t>
  </si>
  <si>
    <t>180413645761101470859</t>
  </si>
  <si>
    <t>9408680443447415204</t>
  </si>
  <si>
    <t>65120480613568614655</t>
  </si>
  <si>
    <t>56252219911192166938</t>
  </si>
  <si>
    <t>26204534399820757136</t>
  </si>
  <si>
    <t>10438427999930785676</t>
  </si>
  <si>
    <t>56215397316785259009</t>
  </si>
  <si>
    <t>8841697399257685334</t>
  </si>
  <si>
    <t>134580544735774763164</t>
  </si>
  <si>
    <t>0xc4f88c35bd1485c846847c093b5a77a126cf1b05</t>
  </si>
  <si>
    <t>146743300622591544076</t>
  </si>
  <si>
    <t>9673372958357657775</t>
  </si>
  <si>
    <t>138371410189497854711</t>
  </si>
  <si>
    <t>0x65037779f58635ad13f2decea1edcedbc6c5c82f</t>
  </si>
  <si>
    <t>12091150080265305329</t>
  </si>
  <si>
    <t>19181361362023412743</t>
  </si>
  <si>
    <t>4762272953633098917</t>
  </si>
  <si>
    <t>39756317389072107206</t>
  </si>
  <si>
    <t>34296704342912509270</t>
  </si>
  <si>
    <t>9893072721376405949</t>
  </si>
  <si>
    <t>0x38aff7b6377eb66b7e431837ec2797439044ae8e</t>
  </si>
  <si>
    <t>0x228bb7fa62ecb860010921934a32f21f80af9568</t>
  </si>
  <si>
    <t>53851762527684892346</t>
  </si>
  <si>
    <t>16861054133008915898</t>
  </si>
  <si>
    <t>7626490368507535515</t>
  </si>
  <si>
    <t>105259790456400131090</t>
  </si>
  <si>
    <t>3992865993268075048</t>
  </si>
  <si>
    <t>133458782288624215651</t>
  </si>
  <si>
    <t>0x49f9a0a6c5774135d06d779a2c9d8cbb7230fb90</t>
  </si>
  <si>
    <t>111790833950821786126</t>
  </si>
  <si>
    <t>152518578957546092758</t>
  </si>
  <si>
    <t>93083311148750321772</t>
  </si>
  <si>
    <t>25924391930541425411</t>
  </si>
  <si>
    <t>55419365062306153920</t>
  </si>
  <si>
    <t>9024690305215025898</t>
  </si>
  <si>
    <t>7711704751175791188</t>
  </si>
  <si>
    <t>0xed83f0ae55018cc0a1ae3a21f0f1683c8fd37a8d</t>
  </si>
  <si>
    <t>42872517273888299422</t>
  </si>
  <si>
    <t>0x91b65bebdba0e6b5b3bcd9a945327484c17db142</t>
  </si>
  <si>
    <t>18776715171468330633</t>
  </si>
  <si>
    <t>93130551477052709016</t>
  </si>
  <si>
    <t>70677774623112043880</t>
  </si>
  <si>
    <t>134097530180815165541</t>
  </si>
  <si>
    <t>9928643287981698435</t>
  </si>
  <si>
    <t>0x8a9933f2a9dd4124cce28dcec1b541f43e7aeafc</t>
  </si>
  <si>
    <t>73930302928737234999</t>
  </si>
  <si>
    <t>47436701249090397595</t>
  </si>
  <si>
    <t>0xef6389a54414ba4c31a6d108ec6e43cca771779b</t>
  </si>
  <si>
    <t>45572930250837712224</t>
  </si>
  <si>
    <t>0x901ccaf46a8e464159fbc76366febbd748a7055b</t>
  </si>
  <si>
    <t>27715782070917629067</t>
  </si>
  <si>
    <t>102324435262305396196</t>
  </si>
  <si>
    <t>57248451425778238574</t>
  </si>
  <si>
    <t>0xe8c7b194b5b4c64ce1f693d15526dc4388b2a389</t>
  </si>
  <si>
    <t>80897842551969354400</t>
  </si>
  <si>
    <t>62686030589927791917</t>
  </si>
  <si>
    <t>79251438507823274789</t>
  </si>
  <si>
    <t>0x96cc7cd6de2f739a18d9914015a6eabbd6cdb6e3</t>
  </si>
  <si>
    <t>93277212393303472334</t>
  </si>
  <si>
    <t>74472801321280565536</t>
  </si>
  <si>
    <t>0x88bc493ed713c0c720fe49a6992b64df4b4ecc10</t>
  </si>
  <si>
    <t>62795285118959656367</t>
  </si>
  <si>
    <t>0x085d8439e34a1def00feca95602ef7f452437340</t>
  </si>
  <si>
    <t>31087527817767688034</t>
  </si>
  <si>
    <t>120386452250873684077</t>
  </si>
  <si>
    <t>0xf604556e7d829240424d51d2c5f2c1861adb3a26</t>
  </si>
  <si>
    <t>0xf6762e66b28eb57d266905bc9c678aaa392af4a7</t>
  </si>
  <si>
    <t>93219085916293685819</t>
  </si>
  <si>
    <t>88497675647006035274</t>
  </si>
  <si>
    <t>7049680092888202620</t>
  </si>
  <si>
    <t>0xe6e1f9d27138b9b41e505b55e1f176665596b8a0</t>
  </si>
  <si>
    <t>21502484876810466500</t>
  </si>
  <si>
    <t>6437566077950236640</t>
  </si>
  <si>
    <t>0xc3dbade79477dda19f0f31fa2a7385aa9f9e41b6</t>
  </si>
  <si>
    <t>45865657663426097225</t>
  </si>
  <si>
    <t>0xeb002be073cf0ece79ffd9154a95023e15d011c3</t>
  </si>
  <si>
    <t>175037254555258315116</t>
  </si>
  <si>
    <t>21465420961000719240</t>
  </si>
  <si>
    <t>31551034798747673345</t>
  </si>
  <si>
    <t>148809129070073677104</t>
  </si>
  <si>
    <t>47061025932497719154</t>
  </si>
  <si>
    <t>0x6962d7eead33930f8030fba6856aeb2ef17513e9</t>
  </si>
  <si>
    <t>21209933079786533982</t>
  </si>
  <si>
    <t>0x7c2fbbd1c81ba6cb32d87bbf44365ec0bc70dfb7</t>
  </si>
  <si>
    <t>0xe38c5fa37006b4cc9ff0f7054d902922307488d3</t>
  </si>
  <si>
    <t>33829571982670631322</t>
  </si>
  <si>
    <t>126701934702485144987</t>
  </si>
  <si>
    <t>0x435ca84cb4ad57edc475e1c9426c1eeb27a820d8</t>
  </si>
  <si>
    <t>0xd9f0e15e475f8882fcd54b7d75a613f7bae68323</t>
  </si>
  <si>
    <t>37218074209307081704</t>
  </si>
  <si>
    <t>35901159322864061521</t>
  </si>
  <si>
    <t>183430232126360433138</t>
  </si>
  <si>
    <t>18693677392810558279</t>
  </si>
  <si>
    <t>158624137524236216378</t>
  </si>
  <si>
    <t>59874864649495718544</t>
  </si>
  <si>
    <t>11628986391724411712</t>
  </si>
  <si>
    <t>6275371765637973272</t>
  </si>
  <si>
    <t>0x14921407dab91a7c38b4903c3561c55973db4f6b</t>
  </si>
  <si>
    <t>0xde6d2f9656ec6104bd293941f7e4b7d583521776</t>
  </si>
  <si>
    <t>167537810355572502311</t>
  </si>
  <si>
    <t>1973854711076300100</t>
  </si>
  <si>
    <t>61972341011770389271</t>
  </si>
  <si>
    <t>8563821587440750509</t>
  </si>
  <si>
    <t>70421333380485390666</t>
  </si>
  <si>
    <t>46289489626177629429</t>
  </si>
  <si>
    <t>176004447964920012231</t>
  </si>
  <si>
    <t>32927816297647831494</t>
  </si>
  <si>
    <t>85751773236650452043</t>
  </si>
  <si>
    <t>0xe9b2377fbc7a1903cd11a4a15ce8f09450b5332f</t>
  </si>
  <si>
    <t>912876334419998409</t>
  </si>
  <si>
    <t>33547953673459256872</t>
  </si>
  <si>
    <t>0x9572db37b9f42021f77d7b874ecb8e46d4f4d1b4</t>
  </si>
  <si>
    <t>35525942822836177676</t>
  </si>
  <si>
    <t>97319658025712573059</t>
  </si>
  <si>
    <t>0xc7811fac3b4519132769ceebb15a7ffe40e097ec</t>
  </si>
  <si>
    <t>101961504012913727469</t>
  </si>
  <si>
    <t>177071834586382947545</t>
  </si>
  <si>
    <t>40491511772312684990</t>
  </si>
  <si>
    <t>43613933379037938316</t>
  </si>
  <si>
    <t>9913536746276428892</t>
  </si>
  <si>
    <t>175550758903472097920</t>
  </si>
  <si>
    <t>0x67714f0905355506b98abfad9f499399eae6e9ec</t>
  </si>
  <si>
    <t>17586568452455829729</t>
  </si>
  <si>
    <t>0x6892612d4f4226ea40df1f8fd8a23b827862452d</t>
  </si>
  <si>
    <t>35044653303093162129</t>
  </si>
  <si>
    <t>0x18ec3f58cbc5fd041862264760a3cfcafdee08de</t>
  </si>
  <si>
    <t>17593833567024516375</t>
  </si>
  <si>
    <t>6282689869094477397</t>
  </si>
  <si>
    <t>10895288527193768710</t>
  </si>
  <si>
    <t>46634550800353635681</t>
  </si>
  <si>
    <t>16982477833729101814</t>
  </si>
  <si>
    <t>76861120718819792081</t>
  </si>
  <si>
    <t>114460922011962424868</t>
  </si>
  <si>
    <t>0x97474bb99438d8e3fdb90a6073b84835c19166a6</t>
  </si>
  <si>
    <t>9807944729869006514</t>
  </si>
  <si>
    <t>0xa83bf7db6abdef5b4f6361af0255392c4d84851b</t>
  </si>
  <si>
    <t>10037030536807131167</t>
  </si>
  <si>
    <t>99807365961509256923</t>
  </si>
  <si>
    <t>9202221119304372774</t>
  </si>
  <si>
    <t>0x02a256a455f2f7ac14c611ccae40dab294918fc9</t>
  </si>
  <si>
    <t>2678582981083479436</t>
  </si>
  <si>
    <t>108443875475311096657</t>
  </si>
  <si>
    <t>8429959693105715722</t>
  </si>
  <si>
    <t>8667480085991235570</t>
  </si>
  <si>
    <t>0xf3a0b253772857abf3455edb4b5cc5cb8ed79997</t>
  </si>
  <si>
    <t>11819422122244508744</t>
  </si>
  <si>
    <t>Unique addresses</t>
  </si>
  <si>
    <t>cumulative BUSD</t>
  </si>
  <si>
    <t>Token dp</t>
  </si>
  <si>
    <t>Total tokens owed</t>
  </si>
  <si>
    <t>token price</t>
  </si>
  <si>
    <t>Total funders</t>
  </si>
  <si>
    <t>Amount to distribute (1 = 100%)</t>
  </si>
  <si>
    <t>Total raised</t>
  </si>
  <si>
    <t>Total transactions</t>
  </si>
  <si>
    <t/>
  </si>
  <si>
    <t>BUSD 18 DECIMAL</t>
  </si>
  <si>
    <t>5</t>
  </si>
  <si>
    <t>327226516368338250871</t>
  </si>
  <si>
    <t>0x0d4e4a6f1e61885b2b5f8580e533d776b27f6c3c</t>
  </si>
  <si>
    <t>0xba179f9c7fe5b6fb9ff8378bf1f802e74fb60e28</t>
  </si>
  <si>
    <t>0xc961d025e0cbe5c15d430291e54cd5f11237d598</t>
  </si>
  <si>
    <t>0xb253b4c559452070d76569840d51dfc7c3075be5</t>
  </si>
  <si>
    <t>252796661759655817927</t>
  </si>
  <si>
    <t>0x6c3aee123e944f823fb2c10c12d64527d5651972</t>
  </si>
  <si>
    <t>0xf66c0c90d988b10f20e2a2ddc9c6a8847bb0f571</t>
  </si>
  <si>
    <t>204933291325751320262</t>
  </si>
  <si>
    <t>0xd3aecf9e0856822bd320873e905ae9f78a2977e7</t>
  </si>
  <si>
    <t>0xf8e63ce2b3c53a8fe9a014e3468c89ad3c321c0a</t>
  </si>
  <si>
    <t>82736732965223507028</t>
  </si>
  <si>
    <t>0xe9f7e9be43abed733dbafb663f96e3e8c48d152f</t>
  </si>
  <si>
    <t>44502827905505164403</t>
  </si>
  <si>
    <t>0x28788ca3f834b890e45b3d0fb9135f8b1f6bec3b</t>
  </si>
  <si>
    <t>0xfca319f920b6757a247c78e39be29e41e3603e8b</t>
  </si>
  <si>
    <t>0x7a6fc813508f9d4bf4459e2cd9abe3e4127991cb</t>
  </si>
  <si>
    <t>0x8a8a0197364ad87ebed73f609d6792db9a18c796</t>
  </si>
  <si>
    <t>325258677370364026975</t>
  </si>
  <si>
    <t>0x4f941e5da657375e75d6d92852431cc7be3ef7a8</t>
  </si>
  <si>
    <t>0x681b683ccefcff1ec8ecae609b01ed5233d4a679</t>
  </si>
  <si>
    <t>0xb3217e4ad1d22d095d9c83de172edddc27b7f053</t>
  </si>
  <si>
    <t>0x2dfbf075bbf541744f946ed97be710f5f12747b8</t>
  </si>
  <si>
    <t>196335909821002950522</t>
  </si>
  <si>
    <t>0x34dc8eebb875219b7f1971d3d4039300e93ce5de</t>
  </si>
  <si>
    <t>0xbc8ca713a71ffbe54446e215ef850f773ec4d5a7</t>
  </si>
  <si>
    <t>0x3917f177e33cf15341e2b5d993bece88086497f8</t>
  </si>
  <si>
    <t>323845909486695915305</t>
  </si>
  <si>
    <t>0x3673cf19b6efb296e29d9b07666e9625ed63cfe1</t>
  </si>
  <si>
    <t>66754209339141003177</t>
  </si>
  <si>
    <t>155198468288582786619</t>
  </si>
  <si>
    <t>0x9c4cfd0e9863201908892ef5413eaa61e36bab02</t>
  </si>
  <si>
    <t>0xc765bacb8950756ad405767288266fd9671beb6d</t>
  </si>
  <si>
    <t>0xe9e6867dbcbeebc874ea071dbae681040d2399c8</t>
  </si>
  <si>
    <t>0xabac45a6bc6851b87ad95839af9f463124eb774e</t>
  </si>
  <si>
    <t>0xe56e90cea02c9ec4c5332ce0a0063f01aa215c67</t>
  </si>
  <si>
    <t>0xd94016e0b99581ae7d1520a72938577d802379fc</t>
  </si>
  <si>
    <t>0xea392d5deee981ae21d829fbf83b90a908f8ced2</t>
  </si>
  <si>
    <t>0x9b9ec109f4d01134696a9270ba382e69d383232e</t>
  </si>
  <si>
    <t>0x81252eb6e884bfc452def81b3288e020cf9dd71f</t>
  </si>
  <si>
    <t>0x7f1e7f6253dd2c64b6818fb2376f0e38e46f9ccd</t>
  </si>
  <si>
    <t>0xcc2f8c281c9e5b7ff57ae9aa53d2fca1bc1cda92</t>
  </si>
  <si>
    <t>0xaec7a2d62b1beb5ba9d036734d223bb0b6092945</t>
  </si>
  <si>
    <t>0xcfee964deb29207b71cbbb933cec00a5d183334f</t>
  </si>
  <si>
    <t>321767133427582947825</t>
  </si>
  <si>
    <t>0xeb387c396e490279602193c44dc01b7654604de3</t>
  </si>
  <si>
    <t>182916168855419462969</t>
  </si>
  <si>
    <t>112375079096240566664</t>
  </si>
  <si>
    <t>0x18dd27942fa67e6a997f71547655e80e7dfac29f</t>
  </si>
  <si>
    <t>230121408269154204333</t>
  </si>
  <si>
    <t>0xc6f1d794d9a07267d1adfbff69caabba4bb11f51</t>
  </si>
  <si>
    <t>17070001244181169959</t>
  </si>
  <si>
    <t>0x0d8fbfce9018950e97ea5b10f4dce118f02fda81</t>
  </si>
  <si>
    <t>0x21ad10875ff83045063fecef764eb2664947dc14</t>
  </si>
  <si>
    <t>304379768633302361439</t>
  </si>
  <si>
    <t>0x3b865a84b35402b0f7fbaf9c06e6acdf9d08b134</t>
  </si>
  <si>
    <t>0xf39bb57db4cf1e34993bd45f69161349b9d79376</t>
  </si>
  <si>
    <t>77822607490464836676</t>
  </si>
  <si>
    <t>0xde400329505f7887ac2aa48bd581a8623374ddd9</t>
  </si>
  <si>
    <t>0xa6ed26749cb54591291b4550a82f15ff64ae98d9</t>
  </si>
  <si>
    <t>0xf04a9bb6a074b004b9996cee64b0c5c7d815f32d</t>
  </si>
  <si>
    <t>0x74a0bacb5a64344648d481eec534444898ec2d34</t>
  </si>
  <si>
    <t>271409402211025187361</t>
  </si>
  <si>
    <t>325913463015568020828</t>
  </si>
  <si>
    <t>0xeda452817a24aea26e6e90cd6f614c121a3fb014</t>
  </si>
  <si>
    <t>197645779432440777277</t>
  </si>
  <si>
    <t>0xb98331c95471b0e72d26663432bf8b0dbfb264b7</t>
  </si>
  <si>
    <t>0x6aac65351fd7f80e6142c3c7a0240416e3b94cc1</t>
  </si>
  <si>
    <t>0x5b56d735fe36885b77c6b5292a86bb5e6f13e83f</t>
  </si>
  <si>
    <t>106015393069540663472</t>
  </si>
  <si>
    <t>0xd81af520255a973825b7d62dfc998c1316cffc3b</t>
  </si>
  <si>
    <t>0x450fffcdcca801488ac805f2bbb30e0447aef746</t>
  </si>
  <si>
    <t>316804462148919935180</t>
  </si>
  <si>
    <t>0xee64a3e1088f9804c35346d3de477c3133dfebff</t>
  </si>
  <si>
    <t>320687278608515680414</t>
  </si>
  <si>
    <t>0x44979372aed83116860fc7b5daf70f012e3a3958</t>
  </si>
  <si>
    <t>0xf3da50eb4e7536e693d9f8d7e956c839c7469cb0</t>
  </si>
  <si>
    <t>250521480163066136553</t>
  </si>
  <si>
    <t>0xcd7f6b72049c3b54416f9f26392cb271e74ca3fd</t>
  </si>
  <si>
    <t>130890606547335300348</t>
  </si>
  <si>
    <t>41500208910970907524</t>
  </si>
  <si>
    <t>0x07dfdf8c15cd738d0d85830127646fb6b2e4cadd</t>
  </si>
  <si>
    <t>0x674f357be1c16b6e7e29e1ecf3565fe876d7f5eb</t>
  </si>
  <si>
    <t>0x23447abbe6027c3848448a8ff28d1ecb8c0dc9d5</t>
  </si>
  <si>
    <t>0xcc52f72c0813e1ada3e4acacd57d7ffeca3620ec</t>
  </si>
  <si>
    <t>0xf96c010b262f77e5cc04b05e9d66e66c9487a4c8</t>
  </si>
  <si>
    <t>46014019929552257124</t>
  </si>
  <si>
    <t>0x5ef899410dc39282d19ab82dbc203db1c0037613</t>
  </si>
  <si>
    <t>0x977bc167f889dcd7a6ece301c92a059de7b1772c</t>
  </si>
  <si>
    <t>0xa5205eccba8cbb04db80d81be66be1a0785fdb82</t>
  </si>
  <si>
    <t>0x0b83821bb8b9d19582af26122556be7408313140</t>
  </si>
  <si>
    <t>0x45beacbb0e144718e17deac4dd810a7501244c89</t>
  </si>
  <si>
    <t>0xfc92f989d0882acdb4c9f263d6283064be2fcf50</t>
  </si>
  <si>
    <t>0xbcb2a27048dbcb983ab00829679a1c4b004505a5</t>
  </si>
  <si>
    <t>0xd4165d98b0900c5c00f6be7506e18bf423de2ec8</t>
  </si>
  <si>
    <t>270508643032845766294</t>
  </si>
  <si>
    <t>0x0a8f4e308b17f836eab6493f42e48ac07d30946d</t>
  </si>
  <si>
    <t>0xd2ede42d4a5177b2a94b44b9fd48fc556bc6296d</t>
  </si>
  <si>
    <t>123015132169746279203</t>
  </si>
  <si>
    <t>0xa2d36f11e2225d1b89146f443350e825f15b8b68</t>
  </si>
  <si>
    <t>155938423464873330015</t>
  </si>
  <si>
    <t>0xf865a4373115293e5b8283f681aade871dcd5a47</t>
  </si>
  <si>
    <t>83791182765409751971</t>
  </si>
  <si>
    <t>0x15cc8e62b1df370d9dccc885866d741c22b0baaf</t>
  </si>
  <si>
    <t>0x1cc6c272b28e91e5cd6f9d2629b20bbd3279a84d</t>
  </si>
  <si>
    <t>316020031435746221391</t>
  </si>
  <si>
    <t>0x2e7bfe7b1689070b282bf96f79ae7fd2db7f790f</t>
  </si>
  <si>
    <t>0x9988737a9eb5b430a76c369327009e3cbfd14276</t>
  </si>
  <si>
    <t>0x607ce91180ec37cd68f0e0aae428478926aa9b11</t>
  </si>
  <si>
    <t>0x9ddea6c0bfa53bdf244ade7ba5ed7e227f6e58b4</t>
  </si>
  <si>
    <t>0xf976475469e7e882ec03d0832b4354cb4bda57fc</t>
  </si>
  <si>
    <t>0xaa638a5426ad0904cc52e161b4a4832168eb9d40</t>
  </si>
  <si>
    <t>117255473030485216613</t>
  </si>
  <si>
    <t>0x0ae3d5949202165584a270cbac7a733b0307a766</t>
  </si>
  <si>
    <t>0x313a0b647c5e05347e25d92c17866a8bb486332f</t>
  </si>
  <si>
    <t>0xffea6161101f86abc5361c0f5f56d35015f5d6e2</t>
  </si>
  <si>
    <t>0x0ef7d34e72e7f227b1ea78d445b864bde5784a0a</t>
  </si>
  <si>
    <t>0xeee9d4923ad30f3ee2a14eed45f39d5e27c67187</t>
  </si>
  <si>
    <t>0x7a5bc6b106c8f7f92a2c28a7e3b6bf0c9b7ed57e</t>
  </si>
  <si>
    <t>0x5862a5cbab3c17a5e1d8171a5a72638b5cd75cd4</t>
  </si>
  <si>
    <t>0x0622d7104c729b8e7e7ca52afe6a9ac9321aeb8c</t>
  </si>
  <si>
    <t>0xeb7821a22602b0518caf8d973a0738dfd06bc2c3</t>
  </si>
  <si>
    <t>225614535101384636489</t>
  </si>
  <si>
    <t>0x442bee95d7fea5217431a02a0df4d10bb1e85e68</t>
  </si>
  <si>
    <t>0xc88684b926de001e109c26fae3ad89a35038dfa0</t>
  </si>
  <si>
    <t>0x13a677a1320929eb5b6de09abbfe8fa07a7574ba</t>
  </si>
  <si>
    <t>0xf53b62171b9b057c41e52770dcc33b347d048c15</t>
  </si>
  <si>
    <t>0x2cb6162980c2c2249f850bd240e3c87fc33c5ce1</t>
  </si>
  <si>
    <t>210912337244818592494</t>
  </si>
  <si>
    <t>0x4e72f7e288f7c1c58a439f8d101ded16587045d1</t>
  </si>
  <si>
    <t>0x7465a22ba37d72ed2995be8d5e94ab1a39338f30</t>
  </si>
  <si>
    <t>0xe05e0f2740534df2d269ed8eba15bb29bfccb158</t>
  </si>
  <si>
    <t>61425620134796577572</t>
  </si>
  <si>
    <t>0x7565deddcb83a14b185eb9520914bb918cdfe983</t>
  </si>
  <si>
    <t>0x6eeb59abdb4250e5085517259d9adb9a3b396f9b</t>
  </si>
  <si>
    <t>0x161a40c5c7274d75c5c65ffadb9087660bcb045f</t>
  </si>
  <si>
    <t>67578738410150196783</t>
  </si>
  <si>
    <t>0xc449d09d85bacd06b9d11ad795e4537132863446</t>
  </si>
  <si>
    <t>0x06a5bb2aef141aff88eb754050f4e36256cb942e</t>
  </si>
  <si>
    <t>36373446482489177551</t>
  </si>
  <si>
    <t>0xc04bc9edb22b0b7506b19bea14ea70713b686ddb</t>
  </si>
  <si>
    <t>0x684ecf4be1d20cc84c8eacd7b354246cee49c0d1</t>
  </si>
  <si>
    <t>104712485237868240278</t>
  </si>
  <si>
    <t>0xebc93e5bd55487cf76343e1efb9a1f846a10f8c2</t>
  </si>
  <si>
    <t>0xe98c8628edf90a0d1889185e8933091bfcd5b8e4</t>
  </si>
  <si>
    <t>0x17186b7f453b46e14ac121496007cc533feae4c0</t>
  </si>
  <si>
    <t>0x912989437d9c15ffccb94c0290e286499c06d351</t>
  </si>
  <si>
    <t>319223869132545971033</t>
  </si>
  <si>
    <t>0xca80a9374ce92a33b3251ef074cc03e1075dd017</t>
  </si>
  <si>
    <t>0x773106a0630dda384ea1b57b37a7ab69308804c4</t>
  </si>
  <si>
    <t>0x501453641c67af889d1ffa9d76bcd79c70d48f65</t>
  </si>
  <si>
    <t>0xf103d92d4a20589b24540861d51ee25108102038</t>
  </si>
  <si>
    <t>0x1609bc551b38eefe1738bce85ecd46797082709a</t>
  </si>
  <si>
    <t>0x876b5e4366fee13affbe8df614e5d7e28989d9f0</t>
  </si>
  <si>
    <t>0x95910efbf5fac0b7715121656c5b62a819540c3a</t>
  </si>
  <si>
    <t>229316184532104172395</t>
  </si>
  <si>
    <t>0x9a29967db9bb57bc4d16271b4b4884c2becefced</t>
  </si>
  <si>
    <t>0x4b490466ecf8ca747a4fd673d404cfb8c68bbe20</t>
  </si>
  <si>
    <t>0xa327f1edd6a384f573837e7bbbecf2c2dad14fc5</t>
  </si>
  <si>
    <t>0x897853510d7fb160045122934110a3197e0df2df</t>
  </si>
  <si>
    <t>0x38c1649b72fd245e434b9db29f6148a90aa7ca12</t>
  </si>
  <si>
    <t>0xb7468f396e69ff0f8e082737ba0e53cd2a39d055</t>
  </si>
  <si>
    <t>0xdefd1b60c0291af750dc00222aaabed4118e510b</t>
  </si>
  <si>
    <t>0x9748c887809da7e89c7afa0fb62f8fd955486f50</t>
  </si>
  <si>
    <t>0xed51f66ba4e958235aa0992dd8cf1d2abcd783bd</t>
  </si>
  <si>
    <t>299192885705255494760</t>
  </si>
  <si>
    <t>0x614aedd12cb182099656f0d2ff82e4553a290028</t>
  </si>
  <si>
    <t>0xa2830d8e9fba0aa426032ae415e3adbc86f8fd60</t>
  </si>
  <si>
    <t>296347728876486585502</t>
  </si>
  <si>
    <t>0x400d85e08ab9fe960d781080a73223a7f271f58c</t>
  </si>
  <si>
    <t>0xcb938bbed7789ee8aabd259a8cb789aa3500bbf3</t>
  </si>
  <si>
    <t>0xe752f7e6bb6543f1125a36f0a43ee3896a7cbd0a</t>
  </si>
  <si>
    <t>0xa94b40c53432f0576e64873ce1cead1aae62fc90</t>
  </si>
  <si>
    <t>0x64875ad06c639d18d33a30b0fef2119fdd615bf9</t>
  </si>
  <si>
    <t>0xcf683be9499c48d316444a8696742b53cdb5dbf5</t>
  </si>
  <si>
    <t>196897099198389758639</t>
  </si>
  <si>
    <t>0xff3e90207c76c835d0f69cadf684a2989ab81071</t>
  </si>
  <si>
    <t>0x2697ed814eac3dfb51ec7529154d601b3cc8c2d7</t>
  </si>
  <si>
    <t>0x42feec5c7e7d3c725864a2716ca357fa9993ccc0</t>
  </si>
  <si>
    <t>0x0c7b2ba42797804779ae564646e34d02dbd23978</t>
  </si>
  <si>
    <t>165346918655927358386</t>
  </si>
  <si>
    <t>0x80099a284ec437108ec7e37b0e2cce53093d70ae</t>
  </si>
  <si>
    <t>0x677d4a619af2869b1ad63ae06232b1c22868913c</t>
  </si>
  <si>
    <t>0xe1066fea9370c2b51591b3e3a153a044425c56ec</t>
  </si>
  <si>
    <t>112265812544200532980</t>
  </si>
  <si>
    <t>156860608512020338888</t>
  </si>
  <si>
    <t>0x9499723c9c4a6b06a2b34c7312f13ac48295a4b5</t>
  </si>
  <si>
    <t>0x4d3711c1effbc584127f03b3c3054f18f0cb3870</t>
  </si>
  <si>
    <t>0xf00bd78198847a758a32dd88a1bb938b4aa6ae7b</t>
  </si>
  <si>
    <t>0x91c2893da0e58e8f80f41eb5f5be9e69a744cc78</t>
  </si>
  <si>
    <t>0xa64b619b001042fcd07624ccb3a2dba3241d8e53</t>
  </si>
  <si>
    <t>0xc10bc189a2dbeffcdb0e03cf82e6380254aa051c</t>
  </si>
  <si>
    <t>0xe459ae0dc31194fa0fd626020a25d9a1cef0047d</t>
  </si>
  <si>
    <t>261782069422903626266</t>
  </si>
  <si>
    <t>0xc245c8b69a9850d891b9dd5ae3ab2a777f881d74</t>
  </si>
  <si>
    <t>213121180737083245</t>
  </si>
  <si>
    <t>0xccbb9623116e74bbea81432a714e3b5d6d14d861</t>
  </si>
  <si>
    <t>0x62f9ba44e55ba6c2390f49ff296b61d4722dc6b4</t>
  </si>
  <si>
    <t>241280499940907039679</t>
  </si>
  <si>
    <t>0x69c3541fd1eaa0da10cb8a40c5d45f2c9cb591f4</t>
  </si>
  <si>
    <t>198665307584831261022</t>
  </si>
  <si>
    <t>0x5220c12a5a1ad95753d0785588ea0e6ea4ab4fdb</t>
  </si>
  <si>
    <t>215969500803103245575</t>
  </si>
  <si>
    <t>0x1c07afc826de3fd733b2128988bbcf0a794a9f62</t>
  </si>
  <si>
    <t>0xf6c15b384b640e5ac718c2da1fc6d4cc6be063a0</t>
  </si>
  <si>
    <t>277244071078866653370</t>
  </si>
  <si>
    <t>0x2e4d4a45640a9c76540555e441e70066e72cd55d</t>
  </si>
  <si>
    <t>0x737afa38651e46a0f2d598156780ccdad7a65fbf</t>
  </si>
  <si>
    <t>0xf901425363f1252d74d696d1f74c001d31943b46</t>
  </si>
  <si>
    <t>0x05e5d6c658d40bbe0857f5826081a5799b08de32</t>
  </si>
  <si>
    <t>0x00d290ed1fa904ec2e5e5ad3443961ed1a52ce23</t>
  </si>
  <si>
    <t>0x322e128453efd91a4c131761d9d535ff6e0ccd90</t>
  </si>
  <si>
    <t>0xe293d3cbccdfdb55632415dd21a87da305a1f7f0</t>
  </si>
  <si>
    <t>236627498666999952878</t>
  </si>
  <si>
    <t>0xcb9dfe714a41d651b1b1b845e5658563944edcd4</t>
  </si>
  <si>
    <t>0x4bc7610cc68c1647a3898273fd5c6fada35231ec</t>
  </si>
  <si>
    <t>0xa91de71e3411f7a5bdf77717d753edd9a082adcf</t>
  </si>
  <si>
    <t>314310325533353726173</t>
  </si>
  <si>
    <t>0x49b3db0fd5b98924d42dfad18a11c08f7d7a3e5f</t>
  </si>
  <si>
    <t>0xa634d8b6fbe9a175a5be1b0e5d6798e47d45998a</t>
  </si>
  <si>
    <t>0x9c4d342437f354c603c7f36a270e9303accdbb15</t>
  </si>
  <si>
    <t>4</t>
  </si>
  <si>
    <t>299324981322520163039</t>
  </si>
  <si>
    <t>290076649730104384564</t>
  </si>
  <si>
    <t>122844793160661113596</t>
  </si>
  <si>
    <t>0x1a2a6d75bc47eb09b77d49ad71d96aedfd5f2d52</t>
  </si>
  <si>
    <t>63455495970892613440</t>
  </si>
  <si>
    <t>292217532551081878972</t>
  </si>
  <si>
    <t>0x76f3d6f298a515ecb765bdcc7abbaa6ef9da0ec8</t>
  </si>
  <si>
    <t>0xa6e96dbb6b7d2c12062e70d3dec87c4fe23f961f</t>
  </si>
  <si>
    <t>189137904751414436636</t>
  </si>
  <si>
    <t>277714477532033811112</t>
  </si>
  <si>
    <t>0xa782862589e5e353bd450df556354adee13b3388</t>
  </si>
  <si>
    <t>196956442747776013400</t>
  </si>
  <si>
    <t>298403905061547803329</t>
  </si>
  <si>
    <t>0x018a973136feee8d41cb5a5de46fa491baecf2dd</t>
  </si>
  <si>
    <t>258075693041671687246</t>
  </si>
  <si>
    <t>193087494771379609161</t>
  </si>
  <si>
    <t>164098863074779072214</t>
  </si>
  <si>
    <t>0x9882f7e7e00410000397a9c08326f220558ff0aa</t>
  </si>
  <si>
    <t>17622674295995687</t>
  </si>
  <si>
    <t>0x722c5b504ca4eb565baf02e2de068a002c185edd</t>
  </si>
  <si>
    <t>0x153e3ae57d91435c5ed499f751d68f16304ed992</t>
  </si>
  <si>
    <t>298164207444420168217</t>
  </si>
  <si>
    <t>90065095700204345827</t>
  </si>
  <si>
    <t>0x41829bf198e70326c6685249400dd411b2c8e08d</t>
  </si>
  <si>
    <t>129126777587035904054</t>
  </si>
  <si>
    <t>241477641976188646941</t>
  </si>
  <si>
    <t>0x1cb2016960c07906b83b38a4ed9848deea43f7a0</t>
  </si>
  <si>
    <t>15682475651931407924</t>
  </si>
  <si>
    <t>143369882827271510024</t>
  </si>
  <si>
    <t>247684136587502373742</t>
  </si>
  <si>
    <t>61620717796817173475</t>
  </si>
  <si>
    <t>0xa5b61af6bc5a24991cf54e835bdd2c0c4f41d816</t>
  </si>
  <si>
    <t>0x7d1484181e6c382bc56e97a234987d78b9226d66</t>
  </si>
  <si>
    <t>71106365498741104583</t>
  </si>
  <si>
    <t>0x6ecc30b98c86259b4eaeb64c82784a7972fb40b8</t>
  </si>
  <si>
    <t>296511034725914743253</t>
  </si>
  <si>
    <t>166794643353010334626</t>
  </si>
  <si>
    <t>143057355633074460242</t>
  </si>
  <si>
    <t>234603763560152877349</t>
  </si>
  <si>
    <t>56057171080432420047</t>
  </si>
  <si>
    <t>294765957782870115007</t>
  </si>
  <si>
    <t>0xfd5fcff469331ffac7f34dd2c5453f85abfac962</t>
  </si>
  <si>
    <t>0x39983c280c4bc6c3801d3317f817bb4cbb562927</t>
  </si>
  <si>
    <t>0x8a1d03f13f7de4ae4ae9986c804c959b9ed29bfb</t>
  </si>
  <si>
    <t>101230727302159699315</t>
  </si>
  <si>
    <t>0x2ee8332e3fb1f300ce46d8d92b874a48d00e99bf</t>
  </si>
  <si>
    <t>247434553039023352319</t>
  </si>
  <si>
    <t>141883404862100695631</t>
  </si>
  <si>
    <t>288117213043940933691</t>
  </si>
  <si>
    <t>37504682510164943285</t>
  </si>
  <si>
    <t>188484246096768808674</t>
  </si>
  <si>
    <t>150596080336510686453</t>
  </si>
  <si>
    <t>96560686200229219653</t>
  </si>
  <si>
    <t>0xcdc19c32f5077fca21155e7246a915c456848085</t>
  </si>
  <si>
    <t>210068982217475832842</t>
  </si>
  <si>
    <t>0x53d67f8ce929e538f1fe6d103365625894fbdca3</t>
  </si>
  <si>
    <t>0x7898807ee44e0112f93cd39b0a6a10b4dd2f26ec</t>
  </si>
  <si>
    <t>0x02476613ab50e6407b9d2c5aa73e99a601cfabdf</t>
  </si>
  <si>
    <t>0x8a830f105a42e705cfe3a0295dfcfd7259ed4570</t>
  </si>
  <si>
    <t>179594988793512097823</t>
  </si>
  <si>
    <t>0xdf2378c611eec0e2ae04bc5940a37acc39131e41</t>
  </si>
  <si>
    <t>93002627212410090797</t>
  </si>
  <si>
    <t>210485524501693990787</t>
  </si>
  <si>
    <t>0x0413676976de330b4971d1f2a979bb7456545d53</t>
  </si>
  <si>
    <t>0xbff357034c09fd3f864b73bb7889df4e2c11d768</t>
  </si>
  <si>
    <t>76074873214921434099</t>
  </si>
  <si>
    <t>107138158532110001819</t>
  </si>
  <si>
    <t>6</t>
  </si>
  <si>
    <t>6013014479571856440015</t>
  </si>
  <si>
    <t>690264996180131803608</t>
  </si>
  <si>
    <t>790841290691458179420</t>
  </si>
  <si>
    <t>730014407895108410857</t>
  </si>
  <si>
    <t>830014008721093900372</t>
  </si>
  <si>
    <t>101879507649776858599</t>
  </si>
  <si>
    <t>573129342107254061127</t>
  </si>
  <si>
    <t>42970536773586195802</t>
  </si>
  <si>
    <t>2179707052840754378828</t>
  </si>
  <si>
    <t>247117747994662005116</t>
  </si>
  <si>
    <t>43594141056815087576</t>
  </si>
  <si>
    <t>526303255090718659519</t>
  </si>
  <si>
    <t>13078242317044526272</t>
  </si>
  <si>
    <t>672223108234123877226</t>
  </si>
  <si>
    <t>642856595233421673363</t>
  </si>
  <si>
    <t>29117118091678937198</t>
  </si>
  <si>
    <t>188907944579532046165</t>
  </si>
  <si>
    <t>27442511795265097629445</t>
  </si>
  <si>
    <t>334512375709294438670</t>
  </si>
  <si>
    <t>390040464353904080690</t>
  </si>
  <si>
    <t>3567455910875950650596</t>
  </si>
  <si>
    <t>1164038780641666195294</t>
  </si>
  <si>
    <t>7265690176135847929</t>
  </si>
  <si>
    <t>72666972488350037793</t>
  </si>
  <si>
    <t>186723643624786847889</t>
  </si>
  <si>
    <t>21339567376056810122</t>
  </si>
  <si>
    <t>29062760704543391717</t>
  </si>
  <si>
    <t>43739454860337804535</t>
  </si>
  <si>
    <t>7657886597422138751</t>
  </si>
  <si>
    <t>0x285e389ff25fed85bd4c428a42370bb7d1e0a121</t>
  </si>
  <si>
    <t>70309317534477482688</t>
  </si>
  <si>
    <t>175189260484974282342</t>
  </si>
  <si>
    <t>174376564227260350306</t>
  </si>
  <si>
    <t>247033465988618829600</t>
  </si>
  <si>
    <t>101806850747870186786</t>
  </si>
  <si>
    <t>410297333866012013028</t>
  </si>
  <si>
    <t>242257882518467441760</t>
  </si>
  <si>
    <t>101792319367663229491</t>
  </si>
  <si>
    <t>5288870255773510967380</t>
  </si>
  <si>
    <t>690627623420509823183</t>
  </si>
  <si>
    <t>1405110259616610996652</t>
  </si>
  <si>
    <t>29214685417295160676</t>
  </si>
  <si>
    <t>40697669753871658182</t>
  </si>
  <si>
    <t>584865680853193259256</t>
  </si>
  <si>
    <t>755631949921959725904</t>
  </si>
  <si>
    <t>43724923479985532572</t>
  </si>
  <si>
    <t>63189469383059994992</t>
  </si>
  <si>
    <t>682974876556769705366</t>
  </si>
  <si>
    <t>538678269658711765487</t>
  </si>
  <si>
    <t>143639982460181950679</t>
  </si>
  <si>
    <t>561110598530585076382</t>
  </si>
  <si>
    <t>43884768663860521493</t>
  </si>
  <si>
    <t>247042139486625124386</t>
  </si>
  <si>
    <t>101734193846254141641</t>
  </si>
  <si>
    <t>87188282113630175153</t>
  </si>
  <si>
    <t>726621892957299256137</t>
  </si>
  <si>
    <t>65747729707749429532</t>
  </si>
  <si>
    <t>203476738641243060391</t>
  </si>
  <si>
    <t>70018410294938649114</t>
  </si>
  <si>
    <t>317420042217444872364</t>
  </si>
  <si>
    <t>3326566505157022377357</t>
  </si>
  <si>
    <t>38993738144989840937</t>
  </si>
  <si>
    <t>106935558171495840162</t>
  </si>
  <si>
    <t>48840358406092219914</t>
  </si>
  <si>
    <t>250966631768339267464</t>
  </si>
  <si>
    <t>145411804006257842584</t>
  </si>
  <si>
    <t>288615632036072673916</t>
  </si>
  <si>
    <t>667225371926984761086</t>
  </si>
  <si>
    <t>72656901761358479294</t>
  </si>
  <si>
    <t>94195884509397981688</t>
  </si>
  <si>
    <t>176643459562214733793</t>
  </si>
  <si>
    <t>793849308644602744769</t>
  </si>
  <si>
    <t>16386847941516207715</t>
  </si>
  <si>
    <t>685014694424429980486</t>
  </si>
  <si>
    <t>356953606067377003319</t>
  </si>
  <si>
    <t>66257015090770361665</t>
  </si>
  <si>
    <t>100993093448288286219</t>
  </si>
  <si>
    <t>643013580588022541754</t>
  </si>
  <si>
    <t>43779450321470838719</t>
  </si>
  <si>
    <t>290627607045433917177</t>
  </si>
  <si>
    <t>28450558536496635760</t>
  </si>
  <si>
    <t>74723845302665604683</t>
  </si>
  <si>
    <t>118328871392186272766</t>
  </si>
  <si>
    <t>683120190360292422324</t>
  </si>
  <si>
    <t>248235211143751698101</t>
  </si>
  <si>
    <t>16517314054843413525</t>
  </si>
  <si>
    <t>179748815543495196051</t>
  </si>
  <si>
    <t>0x8fc44fec6d78a474bda0d74ab3c31b4498761c8c</t>
  </si>
  <si>
    <t>57600975861480279183</t>
  </si>
  <si>
    <t>101811174451253966304</t>
  </si>
  <si>
    <t>241802994155321185431</t>
  </si>
  <si>
    <t>1628241168472043520984</t>
  </si>
  <si>
    <t>235897224218933898151</t>
  </si>
  <si>
    <t>1453138035227169585885</t>
  </si>
  <si>
    <t>85560396400218438786</t>
  </si>
  <si>
    <t>244999072739300792180</t>
  </si>
  <si>
    <t>207267084497877507468</t>
  </si>
  <si>
    <t>4203753589102255671</t>
  </si>
  <si>
    <t>240500032209051220089</t>
  </si>
  <si>
    <t>72750192258772349494</t>
  </si>
  <si>
    <t>239385123255383953808</t>
  </si>
  <si>
    <t>431370543130970605014</t>
  </si>
  <si>
    <t>29498703573190246603</t>
  </si>
  <si>
    <t>399612959687471636118</t>
  </si>
  <si>
    <t>29208074508066108676</t>
  </si>
  <si>
    <t>238779362754165245768</t>
  </si>
  <si>
    <t>772892085015664333281</t>
  </si>
  <si>
    <t>0x7d43106d1bab0ded316be5111c8db8d66898996d</t>
  </si>
  <si>
    <t>43717195042942747370</t>
  </si>
  <si>
    <t>139165807118122391189</t>
  </si>
  <si>
    <t>97828014695929706340</t>
  </si>
  <si>
    <t>682975139574754080665</t>
  </si>
  <si>
    <t>294680980901035879249</t>
  </si>
  <si>
    <t>5797496248898739973</t>
  </si>
  <si>
    <t>2000135188130771752</t>
  </si>
  <si>
    <t>73061707642776964798</t>
  </si>
  <si>
    <t>159939809060506457706</t>
  </si>
  <si>
    <t>530227208337538504251</t>
  </si>
  <si>
    <t>0x9896b07c4c8ac407884ae81b8f2c6095f2b02043</t>
  </si>
  <si>
    <t>101864976269424587970</t>
  </si>
  <si>
    <t>0x7d0d0e6c6b57a116429ab14d08303e8f71b452f4</t>
  </si>
  <si>
    <t>3658528669051878494891</t>
  </si>
  <si>
    <t>5254207669447937717</t>
  </si>
  <si>
    <t>0x9657de59414f57951e17f12498abf6caced58a62</t>
  </si>
  <si>
    <t>36457291944566168571</t>
  </si>
  <si>
    <t>81888928411617536512</t>
  </si>
  <si>
    <t>633941639833954007415</t>
  </si>
  <si>
    <t>36328450880679239647</t>
  </si>
  <si>
    <t>0x35b642fedc884856a39154a91cc2674aa279b39a</t>
  </si>
  <si>
    <t>1041510820892046756243</t>
  </si>
  <si>
    <t>167173358986639270615</t>
  </si>
  <si>
    <t>319780914895994722878</t>
  </si>
  <si>
    <t>0x1a669bfc13fdaa895c1d917969bcf541081c9e4a</t>
  </si>
  <si>
    <t>13621075280688122252</t>
  </si>
  <si>
    <t>465004171272694267483</t>
  </si>
  <si>
    <t>59578659444313953021</t>
  </si>
  <si>
    <t>281511208501548794583</t>
  </si>
  <si>
    <t>247910325660032273690</t>
  </si>
  <si>
    <t>39104010929105652425</t>
  </si>
  <si>
    <t>683005545020326479640</t>
  </si>
  <si>
    <t>30628612796274190291</t>
  </si>
  <si>
    <t>29276115093704770952</t>
  </si>
  <si>
    <t>210973740355493581715</t>
  </si>
  <si>
    <t>29297068947175436716</t>
  </si>
  <si>
    <t>51071718161512671224</t>
  </si>
  <si>
    <t>247751838708148978573</t>
  </si>
  <si>
    <t>235941203878397120881</t>
  </si>
  <si>
    <t>73564394094497425870</t>
  </si>
  <si>
    <t>325506772834799990834</t>
  </si>
  <si>
    <t>175853590621705307546</t>
  </si>
  <si>
    <t>15210412697501450803</t>
  </si>
  <si>
    <t>43980677852325258427</t>
  </si>
  <si>
    <t>14531380352271695858</t>
  </si>
  <si>
    <t>319690367749977308894</t>
  </si>
  <si>
    <t>20879704486768631180</t>
  </si>
  <si>
    <t>1307824231704452627296</t>
  </si>
  <si>
    <t>31045539829960453676276</t>
  </si>
  <si>
    <t>799225919374943272236</t>
  </si>
  <si>
    <t>145539813732635781330</t>
  </si>
  <si>
    <t>29062808538650607261</t>
  </si>
  <si>
    <t>55589638032771612169</t>
  </si>
  <si>
    <t>101719662465901871011</t>
  </si>
  <si>
    <t>682739903141800485810</t>
  </si>
  <si>
    <t>675247324377304403597</t>
  </si>
  <si>
    <t>cumulative USDC</t>
  </si>
  <si>
    <t>0xde6b8d52b54ec08f56e02679149dfc240561d4f7</t>
  </si>
  <si>
    <t>0x814dcd4f54a8f2e5ec50fe4de860fb3274632572</t>
  </si>
  <si>
    <t>0x0db815a23fd628557962d0fdbba3aaab9795ee5c</t>
  </si>
  <si>
    <t>0x7000ac1fbeb346692878cec9e3823cff0d782b72</t>
  </si>
  <si>
    <t>0xabda4d7ebbc2b1fc1195b55a619ac752983bfb6b</t>
  </si>
  <si>
    <t>0x827e71b1fec3a37114b7c62db6401d962247b876</t>
  </si>
  <si>
    <t>0x53bd5851bff3ea8cb43d334716337f350d2e5ef6</t>
  </si>
  <si>
    <t>0x391fed3582e2cbb40a3c6eb45a8cd34e3b01c360</t>
  </si>
  <si>
    <t>0x6ffbca4259dfcec4b72bed5008704468208e7635</t>
  </si>
  <si>
    <t>0x1076c2cfb8d1f3aa5bf050d8c0d6d128175bfeee</t>
  </si>
  <si>
    <t>0x52bbb73343be1548257b1ca3658c50a664929e75</t>
  </si>
  <si>
    <t>0x648bde5df5ecd59772713a98b37c71bceb8eb0f6</t>
  </si>
  <si>
    <t>0xa22b8b110076a99932b6a5f4555b79b94c1bc922</t>
  </si>
  <si>
    <t>0x66648e1009590fc266f79ff100eee8d572b39a69</t>
  </si>
  <si>
    <t>0x7a9e2a02d8b060a0f614afec961feacb9dc24384</t>
  </si>
  <si>
    <t>0xe73d489d04dbf7da09b74fbfe03013a0ad4332f9</t>
  </si>
  <si>
    <t>0xb79ee378170813fef1e123dbbe9555d131bdb72f</t>
  </si>
  <si>
    <t>0xb158d678ce9ed6042e59d929b2e73823ab1a5ecc</t>
  </si>
  <si>
    <t>0x9501a7fa84e2af47d1d819e61bd74f19fd76184a</t>
  </si>
  <si>
    <t>0xa73c4a33eece64e31ce81262edea93603a6dc51c</t>
  </si>
  <si>
    <t>0xcc2f61c25383453e03beaf6dfcf7a7493132c7bf</t>
  </si>
  <si>
    <t>0x42d2ba5d094964b5db944ed7f64e6ed8d6743112</t>
  </si>
  <si>
    <t>0x6cef300f232ed696bdec38b22d58acea691ce5b9</t>
  </si>
  <si>
    <t>0xed277fefcd72c738d185bf404fc5cfdd6b0da70f</t>
  </si>
  <si>
    <t>0x20ec1d8af6e7311ceee1bdcb327cecc4b6a7037b</t>
  </si>
  <si>
    <t>0x6994e8297f41e4d53fd2496ba47ae347a1f512c9</t>
  </si>
  <si>
    <t>0xa41bd0994af7e2cb8b2d34b2b65cd71226ae1144</t>
  </si>
  <si>
    <t>0xd7464f6283d4be6d86e75f7ee9ae3240bbd18be0</t>
  </si>
  <si>
    <t>0x3e376cb42215e1dfb04af1f2e4685f175f33a2f8</t>
  </si>
  <si>
    <t>0xb047e5845ce7c26c915a5b4861d990f61b77e4a4</t>
  </si>
  <si>
    <t>0x4ae50051b8dc10d8501041e2eea93341db29b52c</t>
  </si>
  <si>
    <t>0xa0106f7191d81a31faf101a993d60e60bc0b086a</t>
  </si>
  <si>
    <t>0x53b027408374838e42725845d6252688871f2c26</t>
  </si>
  <si>
    <t>0x3f8f2acb85100f5f294f7605e5f26dabe652cf1d</t>
  </si>
  <si>
    <t>0xb1ac9db0d6a1ec291f427ad03fc3b632e1e93a56</t>
  </si>
  <si>
    <t>0xf3a259fee91176a8a9bde99d1db6df073f081c68</t>
  </si>
  <si>
    <t>0xb9f831f19f94f09709cf75c757e5bd7a9a812819</t>
  </si>
  <si>
    <t>0x3513237adec5bdcfedea412649e56eb03ed2de9c</t>
  </si>
  <si>
    <t>0x498d0c1c491d7b90fa4cc280a0fd27ff58225bca</t>
  </si>
  <si>
    <t>0x7d95d724c44675526383ef0c69b2745e251fd58b</t>
  </si>
  <si>
    <t>0xf5446e36c19a26415f4481577c6ceb9b7d72b388</t>
  </si>
  <si>
    <t>0x0c285904db116616da9d1251ccb6e437b25eea30</t>
  </si>
  <si>
    <t>0x65c1425bf0067d3855b72da10b2040c2e4942675</t>
  </si>
  <si>
    <t>0xe3075a08b7f42c0fb55b8546eb7170a6435531f3</t>
  </si>
  <si>
    <t>0x8888888888e9997e64793849389a8faf5e8e547c</t>
  </si>
  <si>
    <t>0xa73018c8c64d8b58f692da632255c8ac907c8d58</t>
  </si>
  <si>
    <t>0x5ae36d7acd459302876b2d1c312d5c2b0507b794</t>
  </si>
  <si>
    <t>0x6cc86c6eef8ddd9818003120e7e7a46900ed9e32</t>
  </si>
  <si>
    <t>0xf121ccd68c8b8ea5579d1de2f1bf276a3d66b3a4</t>
  </si>
  <si>
    <t>0x358a9b19154586a4475966ef33b088f68df6ea7e</t>
  </si>
  <si>
    <t>0x6c1dadd809435a33ee0aebb1c4e167f25a6ca625</t>
  </si>
  <si>
    <t>0x6e5b935ac926e11dec812eb0a5425ec5e4c96355</t>
  </si>
  <si>
    <t>0x5d908d986608caecd94ea2c41814bd54a8d42d44</t>
  </si>
  <si>
    <t>0x7f950844fbce3e5c70ba16b012706605f353e0d0</t>
  </si>
  <si>
    <t>0x0221c3cdb3dc4ffddb0564227d205b7f0cbac1cf</t>
  </si>
  <si>
    <t>0x85ebf7c083a5d1bc219a295a8d13e03695220cd4</t>
  </si>
  <si>
    <t>0x8b3d56203fa0a3dc96d98bbc33c1dc27a5e08a9e</t>
  </si>
  <si>
    <t>0xfcb7a036336ef64288966d7c59ea4461223f00c2</t>
  </si>
  <si>
    <t>0x82e75d92e557db4e4576f13b45aafd07a18c1253</t>
  </si>
  <si>
    <t>0x690603a54222d3d58ed5e95b13e55dda1bc86452</t>
  </si>
  <si>
    <t>0xced29ba48490c51e4348e654c313ac97762beccc</t>
  </si>
  <si>
    <t>0xce58e2e708f1118715e3028b7f220f07ca84b48d</t>
  </si>
  <si>
    <t>0xee9439a12a7c2a9b6600ca8a498620580d2f116e</t>
  </si>
  <si>
    <t>0xfbcb47a10c5e5bebebe77f5ad0309929bbfdc439</t>
  </si>
  <si>
    <t>0xf43569639e64ee99eae08d9e848ac294489297fe</t>
  </si>
  <si>
    <t>0xebf7f9c6e5928423f6a5edc3af2be84d5bb78322</t>
  </si>
  <si>
    <t>0x6ec04cbe2f8e192d8df0bcf94afb58a4094f7c91</t>
  </si>
  <si>
    <t>0x57ca2feabc7ac8096065e7244fc74e4abd089003</t>
  </si>
  <si>
    <t>0xe3e948547ffffc602724a494efdd2f502a470f13</t>
  </si>
  <si>
    <t>0x1c46718463877607b620aa26d10e75bc771ba24e</t>
  </si>
  <si>
    <t>0x96663d1bbe0ca6765d71e220b2792b125ab98561</t>
  </si>
  <si>
    <t>0x35a53dec7c72eae9dece3250d13a8dbfdba51919</t>
  </si>
  <si>
    <t>0x0a50229e6a256e43b6717706c0783b9419c82455</t>
  </si>
  <si>
    <t>0xd0f853b3c9c621c64b5b8c2067317b2afc008d03</t>
  </si>
  <si>
    <t>0x5786b05e3b7ee260c766d4110a76d93598b6af16</t>
  </si>
  <si>
    <t>0x62348764a99dd507395e476e3f05081c1dbcbfdb</t>
  </si>
  <si>
    <t>0x353747a38016643abaa79495d7089c0f6041e0de</t>
  </si>
  <si>
    <t>0xd41ff14b10363d6ed67d2549968addb6e939bc43</t>
  </si>
  <si>
    <t>0x3f312f24a1e9043735284d93dc7f9d45501bcc2f</t>
  </si>
  <si>
    <t>0x29c2ea8ea8f113c11f6b2925ce215894e190809c</t>
  </si>
  <si>
    <t>0xac6a0bc078f2be4dacef5984de5664172dd846de</t>
  </si>
  <si>
    <t>0x788a5ab87d7f8de001386d1d65844fd26c317b7e</t>
  </si>
  <si>
    <t>0xe93a5f4ca51d7c157af00643c107d1d9af42b1cd</t>
  </si>
  <si>
    <t>0xd1453c1310846ec5ba080fcb1d3e128e9d124745</t>
  </si>
  <si>
    <t>0x2cff6fb5a463735d65c29d933ce7f1c45350cb33</t>
  </si>
  <si>
    <t>0xe8bb7407a2a675f2a5a40e39b09c872360f3e571</t>
  </si>
  <si>
    <t>0xd232db8d829571f8935691c3356c62b1a80fc84f</t>
  </si>
  <si>
    <t>0xd2150bdad2e4f2281192efc368d4806b7b9f602c</t>
  </si>
  <si>
    <t>0xa70e458d902972c789d96590ac71ef901abc5cac</t>
  </si>
  <si>
    <t>0x9c305c8eb79bbcca96dc6b405e2212c64350df90</t>
  </si>
  <si>
    <t>0x6305b950c99c64786492c52066cc797e9aa2c115</t>
  </si>
  <si>
    <t>10</t>
  </si>
  <si>
    <t>11</t>
  </si>
  <si>
    <t>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</si>
</sst>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00000000000000000"/>
    <numFmt numFmtId="165" formatCode="0.0000000000000000"/>
    <numFmt numFmtId="166" formatCode="0.0000000000"/>
    <numFmt numFmtId="167" formatCode="0.000000000000"/>
    <numFmt numFmtId="168" formatCode="0.00000000000000"/>
  </numFmts>
  <fonts count="9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b/>
      <sz val="11.0"/>
      <color rgb="FFFFFFFF"/>
      <name val="Calibri"/>
    </font>
    <font>
      <color theme="1"/>
      <name val="Calibri"/>
      <scheme val="minor"/>
    </font>
    <font>
      <sz val="9.0"/>
      <color rgb="FF000000"/>
      <name val="&quot;Google Sans Mono&quot;"/>
    </font>
    <font>
      <sz val="11.0"/>
      <color rgb="FF3C4043"/>
      <name val="Arial"/>
    </font>
    <font>
      <color theme="1"/>
      <name val="Calibri"/>
    </font>
    <font>
      <sz val="11.0"/>
      <color rgb="FF000000"/>
      <name val="Inconsolata"/>
    </font>
  </fonts>
  <fills count="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3C78D8"/>
        <bgColor rgb="FF3C78D8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3" fillId="0" fontId="1" numFmtId="0" xfId="0" applyAlignment="1" applyBorder="1" applyFont="1">
      <alignment horizontal="center" shrinkToFit="0" vertical="top" wrapText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vertical="bottom"/>
    </xf>
    <xf borderId="4" fillId="0" fontId="2" numFmtId="0" xfId="0" applyAlignment="1" applyBorder="1" applyFont="1">
      <alignment vertical="bottom"/>
    </xf>
    <xf borderId="2" fillId="0" fontId="2" numFmtId="0" xfId="0" applyAlignment="1" applyBorder="1" applyFont="1">
      <alignment readingOrder="0" vertical="bottom"/>
    </xf>
    <xf borderId="5" fillId="0" fontId="2" numFmtId="0" xfId="0" applyAlignment="1" applyBorder="1" applyFont="1">
      <alignment vertical="bottom"/>
    </xf>
    <xf borderId="2" fillId="2" fontId="2" numFmtId="0" xfId="0" applyAlignment="1" applyBorder="1" applyFill="1" applyFont="1">
      <alignment horizontal="center" vertical="bottom"/>
    </xf>
    <xf borderId="2" fillId="2" fontId="2" numFmtId="165" xfId="0" applyAlignment="1" applyBorder="1" applyFont="1" applyNumberFormat="1">
      <alignment horizontal="center" vertical="bottom"/>
    </xf>
    <xf borderId="2" fillId="2" fontId="2" numFmtId="1" xfId="0" applyAlignment="1" applyBorder="1" applyFont="1" applyNumberFormat="1">
      <alignment horizontal="center" vertical="bottom"/>
    </xf>
    <xf borderId="2" fillId="3" fontId="2" numFmtId="1" xfId="0" applyAlignment="1" applyBorder="1" applyFill="1" applyFont="1" applyNumberFormat="1">
      <alignment vertical="bottom"/>
    </xf>
    <xf borderId="5" fillId="0" fontId="2" numFmtId="164" xfId="0" applyAlignment="1" applyBorder="1" applyFont="1" applyNumberFormat="1">
      <alignment vertical="bottom"/>
    </xf>
    <xf borderId="6" fillId="2" fontId="2" numFmtId="165" xfId="0" applyAlignment="1" applyBorder="1" applyFont="1" applyNumberFormat="1">
      <alignment horizontal="center" vertical="bottom"/>
    </xf>
    <xf borderId="6" fillId="2" fontId="2" numFmtId="0" xfId="0" applyAlignment="1" applyBorder="1" applyFont="1">
      <alignment horizontal="center" vertical="bottom"/>
    </xf>
    <xf borderId="0" fillId="4" fontId="2" numFmtId="0" xfId="0" applyAlignment="1" applyFill="1" applyFont="1">
      <alignment vertical="bottom"/>
    </xf>
    <xf borderId="0" fillId="0" fontId="2" numFmtId="165" xfId="0" applyAlignment="1" applyFont="1" applyNumberFormat="1">
      <alignment horizontal="center" vertical="bottom"/>
    </xf>
    <xf borderId="0" fillId="0" fontId="2" numFmtId="1" xfId="0" applyAlignment="1" applyFont="1" applyNumberFormat="1">
      <alignment vertical="bottom"/>
    </xf>
    <xf borderId="0" fillId="0" fontId="2" numFmtId="1" xfId="0" applyAlignment="1" applyFont="1" applyNumberFormat="1">
      <alignment vertical="bottom"/>
    </xf>
    <xf borderId="6" fillId="0" fontId="2" numFmtId="1" xfId="0" applyAlignment="1" applyBorder="1" applyFont="1" applyNumberFormat="1">
      <alignment horizontal="center" vertical="bottom"/>
    </xf>
    <xf borderId="6" fillId="5" fontId="3" numFmtId="166" xfId="0" applyAlignment="1" applyBorder="1" applyFill="1" applyFont="1" applyNumberFormat="1">
      <alignment horizontal="center" vertical="bottom"/>
    </xf>
    <xf borderId="4" fillId="0" fontId="2" numFmtId="164" xfId="0" applyAlignment="1" applyBorder="1" applyFont="1" applyNumberFormat="1">
      <alignment vertical="bottom"/>
    </xf>
    <xf borderId="6" fillId="0" fontId="2" numFmtId="0" xfId="0" applyAlignment="1" applyBorder="1" applyFont="1">
      <alignment horizontal="center" readingOrder="0" vertical="bottom"/>
    </xf>
    <xf borderId="6" fillId="5" fontId="3" numFmtId="0" xfId="0" applyAlignment="1" applyBorder="1" applyFont="1">
      <alignment horizontal="center" vertical="bottom"/>
    </xf>
    <xf borderId="6" fillId="2" fontId="2" numFmtId="1" xfId="0" applyAlignment="1" applyBorder="1" applyFont="1" applyNumberFormat="1">
      <alignment horizontal="center" shrinkToFit="0" vertical="bottom" wrapText="1"/>
    </xf>
    <xf borderId="6" fillId="0" fontId="2" numFmtId="0" xfId="0" applyAlignment="1" applyBorder="1" applyFont="1">
      <alignment horizontal="center" vertical="bottom"/>
    </xf>
    <xf borderId="6" fillId="5" fontId="3" numFmtId="167" xfId="0" applyAlignment="1" applyBorder="1" applyFont="1" applyNumberFormat="1">
      <alignment horizontal="center" shrinkToFit="0" vertical="bottom" wrapText="1"/>
    </xf>
    <xf borderId="6" fillId="3" fontId="2" numFmtId="0" xfId="0" applyAlignment="1" applyBorder="1" applyFont="1">
      <alignment horizontal="center" vertical="bottom"/>
    </xf>
    <xf borderId="0" fillId="0" fontId="2" numFmtId="168" xfId="0" applyAlignment="1" applyFont="1" applyNumberFormat="1">
      <alignment vertical="bottom"/>
    </xf>
    <xf borderId="0" fillId="0" fontId="4" numFmtId="0" xfId="0" applyAlignment="1" applyFont="1">
      <alignment readingOrder="0"/>
    </xf>
    <xf borderId="0" fillId="0" fontId="4" numFmtId="0" xfId="0" applyFont="1"/>
    <xf borderId="2" fillId="0" fontId="2" numFmtId="0" xfId="0" applyAlignment="1" applyBorder="1" applyFont="1">
      <alignment vertical="bottom"/>
    </xf>
    <xf borderId="2" fillId="0" fontId="2" numFmtId="0" xfId="0" applyAlignment="1" applyBorder="1" applyFont="1">
      <alignment vertical="bottom"/>
    </xf>
    <xf borderId="2" fillId="2" fontId="2" numFmtId="165" xfId="0" applyAlignment="1" applyBorder="1" applyFont="1" applyNumberFormat="1">
      <alignment horizontal="center" readingOrder="0" vertical="bottom"/>
    </xf>
    <xf borderId="0" fillId="0" fontId="2" numFmtId="0" xfId="0" applyAlignment="1" applyFont="1">
      <alignment vertical="bottom"/>
    </xf>
    <xf borderId="6" fillId="0" fontId="2" numFmtId="1" xfId="0" applyAlignment="1" applyBorder="1" applyFont="1" applyNumberFormat="1">
      <alignment horizontal="center" readingOrder="0" vertical="bottom"/>
    </xf>
    <xf borderId="0" fillId="0" fontId="2" numFmtId="0" xfId="0" applyAlignment="1" applyFont="1">
      <alignment vertical="bottom"/>
    </xf>
    <xf borderId="2" fillId="0" fontId="1" numFmtId="1" xfId="0" applyAlignment="1" applyBorder="1" applyFont="1" applyNumberFormat="1">
      <alignment horizontal="center" vertical="top"/>
    </xf>
    <xf borderId="3" fillId="0" fontId="1" numFmtId="0" xfId="0" applyAlignment="1" applyBorder="1" applyFont="1">
      <alignment horizontal="center" shrinkToFit="0" vertical="top" wrapText="0"/>
    </xf>
    <xf borderId="3" fillId="0" fontId="1" numFmtId="0" xfId="0" applyAlignment="1" applyBorder="1" applyFont="1">
      <alignment horizontal="center" readingOrder="0" shrinkToFit="0" vertical="top" wrapText="0"/>
    </xf>
    <xf borderId="0" fillId="0" fontId="2" numFmtId="0" xfId="0" applyAlignment="1" applyFont="1">
      <alignment horizontal="right" vertical="bottom"/>
    </xf>
    <xf borderId="0" fillId="4" fontId="5" numFmtId="1" xfId="0" applyFont="1" applyNumberFormat="1"/>
    <xf borderId="0" fillId="0" fontId="4" numFmtId="4" xfId="0" applyFont="1" applyNumberFormat="1"/>
    <xf borderId="0" fillId="0" fontId="4" numFmtId="1" xfId="0" applyFont="1" applyNumberFormat="1"/>
    <xf borderId="0" fillId="4" fontId="6" numFmtId="0" xfId="0" applyAlignment="1" applyFont="1">
      <alignment horizontal="left"/>
    </xf>
    <xf borderId="0" fillId="0" fontId="7" numFmtId="1" xfId="0" applyFont="1" applyNumberFormat="1"/>
    <xf borderId="0" fillId="0" fontId="7" numFmtId="0" xfId="0" applyFont="1"/>
    <xf borderId="0" fillId="4" fontId="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5.71"/>
    <col customWidth="1" min="5" max="5" width="44.0"/>
    <col customWidth="1" min="6" max="6" width="8.71"/>
  </cols>
  <sheetData>
    <row r="1" ht="14.25" customHeight="1">
      <c r="A1" s="1"/>
      <c r="B1" s="2" t="s">
        <v>0</v>
      </c>
      <c r="C1" s="2" t="s">
        <v>1</v>
      </c>
      <c r="D1" s="2" t="s">
        <v>2</v>
      </c>
      <c r="E1" s="3" t="s">
        <v>3</v>
      </c>
    </row>
    <row r="2" ht="14.25" customHeight="1">
      <c r="A2" s="4"/>
      <c r="B2" s="4" t="s">
        <v>4</v>
      </c>
      <c r="C2" s="4" t="s">
        <v>5</v>
      </c>
      <c r="D2" s="4" t="s">
        <v>6</v>
      </c>
      <c r="E2" s="5">
        <f t="array" ref="E2:E6364">D2:D6364/10^18</f>
        <v>12.18171139</v>
      </c>
    </row>
    <row r="3" ht="14.25" customHeight="1">
      <c r="A3" s="4"/>
      <c r="B3" s="4" t="s">
        <v>4</v>
      </c>
      <c r="C3" s="4" t="s">
        <v>7</v>
      </c>
      <c r="D3" s="4" t="s">
        <v>8</v>
      </c>
      <c r="E3" s="5">
        <v>20.4987708214389</v>
      </c>
    </row>
    <row r="4" ht="14.25" customHeight="1">
      <c r="A4" s="4"/>
      <c r="B4" s="4" t="s">
        <v>4</v>
      </c>
      <c r="C4" s="4" t="s">
        <v>9</v>
      </c>
      <c r="D4" s="4" t="s">
        <v>10</v>
      </c>
      <c r="E4" s="5">
        <v>8.25212645926561</v>
      </c>
    </row>
    <row r="5" ht="14.25" customHeight="1">
      <c r="A5" s="4"/>
      <c r="B5" s="4" t="s">
        <v>4</v>
      </c>
      <c r="C5" s="4" t="s">
        <v>11</v>
      </c>
      <c r="D5" s="4" t="s">
        <v>12</v>
      </c>
      <c r="E5" s="5">
        <v>0.0273230393025751</v>
      </c>
    </row>
    <row r="6" ht="14.25" customHeight="1">
      <c r="A6" s="4"/>
      <c r="B6" s="4" t="s">
        <v>4</v>
      </c>
      <c r="C6" s="4" t="s">
        <v>13</v>
      </c>
      <c r="D6" s="4" t="s">
        <v>14</v>
      </c>
      <c r="E6" s="5">
        <v>0.6298044171913489</v>
      </c>
    </row>
    <row r="7" ht="14.25" customHeight="1">
      <c r="A7" s="4"/>
      <c r="B7" s="4" t="s">
        <v>4</v>
      </c>
      <c r="C7" s="4" t="s">
        <v>15</v>
      </c>
      <c r="D7" s="4" t="s">
        <v>16</v>
      </c>
      <c r="E7" s="5">
        <v>6.13164642458479</v>
      </c>
    </row>
    <row r="8" ht="14.25" customHeight="1">
      <c r="A8" s="4"/>
      <c r="B8" s="4" t="s">
        <v>4</v>
      </c>
      <c r="C8" s="4" t="s">
        <v>17</v>
      </c>
      <c r="D8" s="4" t="s">
        <v>18</v>
      </c>
      <c r="E8" s="5">
        <v>7.06855228474546</v>
      </c>
    </row>
    <row r="9" ht="14.25" customHeight="1">
      <c r="A9" s="4"/>
      <c r="B9" s="4" t="s">
        <v>4</v>
      </c>
      <c r="C9" s="4" t="s">
        <v>19</v>
      </c>
      <c r="D9" s="4" t="s">
        <v>20</v>
      </c>
      <c r="E9" s="5">
        <v>283.54368343093</v>
      </c>
    </row>
    <row r="10" ht="14.25" customHeight="1">
      <c r="A10" s="4"/>
      <c r="B10" s="4" t="s">
        <v>4</v>
      </c>
      <c r="C10" s="4" t="s">
        <v>21</v>
      </c>
      <c r="D10" s="4" t="s">
        <v>22</v>
      </c>
      <c r="E10" s="5">
        <v>5.60859942081695</v>
      </c>
    </row>
    <row r="11" ht="14.25" customHeight="1">
      <c r="A11" s="4"/>
      <c r="B11" s="4" t="s">
        <v>4</v>
      </c>
      <c r="C11" s="4" t="s">
        <v>23</v>
      </c>
      <c r="D11" s="4" t="s">
        <v>24</v>
      </c>
      <c r="E11" s="5">
        <v>18.9701013747203</v>
      </c>
    </row>
    <row r="12" ht="14.25" customHeight="1">
      <c r="A12" s="4"/>
      <c r="B12" s="4" t="s">
        <v>4</v>
      </c>
      <c r="C12" s="4" t="s">
        <v>25</v>
      </c>
      <c r="D12" s="4" t="s">
        <v>26</v>
      </c>
      <c r="E12" s="5">
        <v>13.2929070438954</v>
      </c>
    </row>
    <row r="13" ht="14.25" customHeight="1">
      <c r="A13" s="4"/>
      <c r="B13" s="4" t="s">
        <v>4</v>
      </c>
      <c r="C13" s="4" t="s">
        <v>27</v>
      </c>
      <c r="D13" s="4" t="s">
        <v>28</v>
      </c>
      <c r="E13" s="5">
        <v>9.89595832759124</v>
      </c>
    </row>
    <row r="14" ht="14.25" customHeight="1">
      <c r="A14" s="4"/>
      <c r="B14" s="4" t="s">
        <v>4</v>
      </c>
      <c r="C14" s="4" t="s">
        <v>29</v>
      </c>
      <c r="D14" s="4" t="s">
        <v>30</v>
      </c>
      <c r="E14" s="5">
        <v>7.0685416625651705</v>
      </c>
    </row>
    <row r="15" ht="14.25" customHeight="1">
      <c r="A15" s="4"/>
      <c r="B15" s="4" t="s">
        <v>4</v>
      </c>
      <c r="C15" s="4" t="s">
        <v>31</v>
      </c>
      <c r="D15" s="4" t="s">
        <v>32</v>
      </c>
      <c r="E15" s="5">
        <v>391.344262039165</v>
      </c>
    </row>
    <row r="16" ht="14.25" customHeight="1">
      <c r="A16" s="4"/>
      <c r="B16" s="4" t="s">
        <v>4</v>
      </c>
      <c r="C16" s="4" t="s">
        <v>33</v>
      </c>
      <c r="D16" s="4" t="s">
        <v>34</v>
      </c>
      <c r="E16" s="5">
        <v>6.39752722308159</v>
      </c>
    </row>
    <row r="17" ht="14.25" customHeight="1">
      <c r="A17" s="4"/>
      <c r="B17" s="4" t="s">
        <v>4</v>
      </c>
      <c r="C17" s="4" t="s">
        <v>35</v>
      </c>
      <c r="D17" s="4" t="s">
        <v>36</v>
      </c>
      <c r="E17" s="5">
        <v>531.837074691403</v>
      </c>
    </row>
    <row r="18" ht="14.25" customHeight="1">
      <c r="A18" s="4"/>
      <c r="B18" s="4" t="s">
        <v>4</v>
      </c>
      <c r="C18" s="4" t="s">
        <v>37</v>
      </c>
      <c r="D18" s="4" t="s">
        <v>38</v>
      </c>
      <c r="E18" s="5">
        <v>28.2741666502606</v>
      </c>
    </row>
    <row r="19" ht="14.25" customHeight="1">
      <c r="A19" s="4"/>
      <c r="B19" s="4" t="s">
        <v>4</v>
      </c>
      <c r="C19" s="4" t="s">
        <v>39</v>
      </c>
      <c r="D19" s="4" t="s">
        <v>40</v>
      </c>
      <c r="E19" s="5">
        <v>6.4879281645861395</v>
      </c>
    </row>
    <row r="20" ht="14.25" customHeight="1">
      <c r="A20" s="4"/>
      <c r="B20" s="4" t="s">
        <v>4</v>
      </c>
      <c r="C20" s="4" t="s">
        <v>41</v>
      </c>
      <c r="D20" s="4" t="s">
        <v>42</v>
      </c>
      <c r="E20" s="5">
        <v>14.1429222635759</v>
      </c>
    </row>
    <row r="21" ht="14.25" customHeight="1">
      <c r="A21" s="4"/>
      <c r="B21" s="4" t="s">
        <v>4</v>
      </c>
      <c r="C21" s="4" t="s">
        <v>43</v>
      </c>
      <c r="D21" s="4" t="s">
        <v>44</v>
      </c>
      <c r="E21" s="5">
        <v>20.80651681748</v>
      </c>
    </row>
    <row r="22" ht="14.25" customHeight="1">
      <c r="A22" s="4"/>
      <c r="B22" s="4" t="s">
        <v>4</v>
      </c>
      <c r="C22" s="4" t="s">
        <v>45</v>
      </c>
      <c r="D22" s="4" t="s">
        <v>46</v>
      </c>
      <c r="E22" s="5">
        <v>268.604583177476</v>
      </c>
    </row>
    <row r="23" ht="14.25" customHeight="1">
      <c r="A23" s="4"/>
      <c r="B23" s="4" t="s">
        <v>4</v>
      </c>
      <c r="C23" s="4" t="s">
        <v>47</v>
      </c>
      <c r="D23" s="4" t="s">
        <v>48</v>
      </c>
      <c r="E23" s="5">
        <v>8.25797378100165</v>
      </c>
    </row>
    <row r="24" ht="14.25" customHeight="1">
      <c r="A24" s="4"/>
      <c r="B24" s="4" t="s">
        <v>4</v>
      </c>
      <c r="C24" s="4" t="s">
        <v>49</v>
      </c>
      <c r="D24" s="4" t="s">
        <v>30</v>
      </c>
      <c r="E24" s="5">
        <v>7.0685416625651705</v>
      </c>
    </row>
    <row r="25" ht="14.25" customHeight="1">
      <c r="A25" s="4"/>
      <c r="B25" s="4" t="s">
        <v>4</v>
      </c>
      <c r="C25" s="4" t="s">
        <v>50</v>
      </c>
      <c r="D25" s="4" t="s">
        <v>51</v>
      </c>
      <c r="E25" s="5">
        <v>3.9815159051215003</v>
      </c>
    </row>
    <row r="26" ht="14.25" customHeight="1">
      <c r="A26" s="4"/>
      <c r="B26" s="4" t="s">
        <v>4</v>
      </c>
      <c r="C26" s="4" t="s">
        <v>52</v>
      </c>
      <c r="D26" s="4" t="s">
        <v>53</v>
      </c>
      <c r="E26" s="5">
        <v>5.40691424293286</v>
      </c>
    </row>
    <row r="27" ht="14.25" customHeight="1">
      <c r="A27" s="4"/>
      <c r="B27" s="4" t="s">
        <v>4</v>
      </c>
      <c r="C27" s="4" t="s">
        <v>54</v>
      </c>
      <c r="D27" s="4" t="s">
        <v>55</v>
      </c>
      <c r="E27" s="5">
        <v>1.44252434976356</v>
      </c>
    </row>
    <row r="28" ht="14.25" customHeight="1">
      <c r="A28" s="4"/>
      <c r="B28" s="4" t="s">
        <v>4</v>
      </c>
      <c r="C28" s="4" t="s">
        <v>56</v>
      </c>
      <c r="D28" s="4" t="s">
        <v>57</v>
      </c>
      <c r="E28" s="5">
        <v>1097.99396010294</v>
      </c>
    </row>
    <row r="29" ht="14.25" customHeight="1">
      <c r="A29" s="4"/>
      <c r="B29" s="4" t="s">
        <v>4</v>
      </c>
      <c r="C29" s="4" t="s">
        <v>58</v>
      </c>
      <c r="D29" s="4" t="s">
        <v>59</v>
      </c>
      <c r="E29" s="5">
        <v>5.51644686157293</v>
      </c>
    </row>
    <row r="30" ht="14.25" customHeight="1">
      <c r="A30" s="4"/>
      <c r="B30" s="4" t="s">
        <v>4</v>
      </c>
      <c r="C30" s="4" t="s">
        <v>60</v>
      </c>
      <c r="D30" s="4" t="s">
        <v>61</v>
      </c>
      <c r="E30" s="5">
        <v>7.08004004896759</v>
      </c>
    </row>
    <row r="31" ht="14.25" customHeight="1">
      <c r="A31" s="4"/>
      <c r="B31" s="4" t="s">
        <v>4</v>
      </c>
      <c r="C31" s="4" t="s">
        <v>62</v>
      </c>
      <c r="D31" s="4" t="s">
        <v>63</v>
      </c>
      <c r="E31" s="5">
        <v>13.204796434352598</v>
      </c>
    </row>
    <row r="32" ht="14.25" customHeight="1">
      <c r="A32" s="4"/>
      <c r="B32" s="4" t="s">
        <v>4</v>
      </c>
      <c r="C32" s="4" t="s">
        <v>64</v>
      </c>
      <c r="D32" s="4" t="s">
        <v>65</v>
      </c>
      <c r="E32" s="5">
        <v>7.31752543063106</v>
      </c>
    </row>
    <row r="33" ht="14.25" customHeight="1">
      <c r="A33" s="4"/>
      <c r="B33" s="4" t="s">
        <v>4</v>
      </c>
      <c r="C33" s="4" t="s">
        <v>66</v>
      </c>
      <c r="D33" s="4" t="s">
        <v>67</v>
      </c>
      <c r="E33" s="5">
        <v>17.052290642671</v>
      </c>
    </row>
    <row r="34" ht="14.25" customHeight="1">
      <c r="A34" s="4"/>
      <c r="B34" s="4" t="s">
        <v>4</v>
      </c>
      <c r="C34" s="4" t="s">
        <v>68</v>
      </c>
      <c r="D34" s="4" t="s">
        <v>69</v>
      </c>
      <c r="E34" s="5">
        <v>12.4144214548498</v>
      </c>
    </row>
    <row r="35" ht="14.25" customHeight="1">
      <c r="A35" s="4"/>
      <c r="B35" s="4" t="s">
        <v>4</v>
      </c>
      <c r="C35" s="4" t="s">
        <v>70</v>
      </c>
      <c r="D35" s="4" t="s">
        <v>71</v>
      </c>
      <c r="E35" s="5">
        <v>7.2674331801114</v>
      </c>
    </row>
    <row r="36" ht="14.25" customHeight="1">
      <c r="A36" s="4"/>
      <c r="B36" s="4" t="s">
        <v>4</v>
      </c>
      <c r="C36" s="4" t="s">
        <v>72</v>
      </c>
      <c r="D36" s="4" t="s">
        <v>73</v>
      </c>
      <c r="E36" s="5">
        <v>0.706854166256517</v>
      </c>
    </row>
    <row r="37" ht="14.25" customHeight="1">
      <c r="A37" s="4"/>
      <c r="B37" s="4" t="s">
        <v>4</v>
      </c>
      <c r="C37" s="4" t="s">
        <v>74</v>
      </c>
      <c r="D37" s="4" t="s">
        <v>30</v>
      </c>
      <c r="E37" s="5">
        <v>7.0685416625651705</v>
      </c>
    </row>
    <row r="38" ht="14.25" customHeight="1">
      <c r="A38" s="4"/>
      <c r="B38" s="4" t="s">
        <v>4</v>
      </c>
      <c r="C38" s="4" t="s">
        <v>75</v>
      </c>
      <c r="D38" s="4" t="s">
        <v>76</v>
      </c>
      <c r="E38" s="5">
        <v>1.30780278554748</v>
      </c>
    </row>
    <row r="39" ht="14.25" customHeight="1">
      <c r="A39" s="4"/>
      <c r="B39" s="4" t="s">
        <v>4</v>
      </c>
      <c r="C39" s="4" t="s">
        <v>77</v>
      </c>
      <c r="D39" s="4" t="s">
        <v>30</v>
      </c>
      <c r="E39" s="5">
        <v>7.0685416625651705</v>
      </c>
    </row>
    <row r="40" ht="14.25" customHeight="1">
      <c r="A40" s="4"/>
      <c r="B40" s="4" t="s">
        <v>4</v>
      </c>
      <c r="C40" s="4" t="s">
        <v>78</v>
      </c>
      <c r="D40" s="4" t="s">
        <v>79</v>
      </c>
      <c r="E40" s="5">
        <v>18.1958122703349</v>
      </c>
    </row>
    <row r="41" ht="14.25" customHeight="1">
      <c r="A41" s="4"/>
      <c r="B41" s="4" t="s">
        <v>4</v>
      </c>
      <c r="C41" s="4" t="s">
        <v>80</v>
      </c>
      <c r="D41" s="4" t="s">
        <v>81</v>
      </c>
      <c r="E41" s="5">
        <v>31.5113169255243</v>
      </c>
    </row>
    <row r="42" ht="14.25" customHeight="1">
      <c r="A42" s="4"/>
      <c r="B42" s="4" t="s">
        <v>4</v>
      </c>
      <c r="C42" s="4" t="s">
        <v>82</v>
      </c>
      <c r="D42" s="4" t="s">
        <v>83</v>
      </c>
      <c r="E42" s="5">
        <v>0.351869869687023</v>
      </c>
    </row>
    <row r="43" ht="14.25" customHeight="1">
      <c r="A43" s="4"/>
      <c r="B43" s="4" t="s">
        <v>4</v>
      </c>
      <c r="C43" s="4" t="s">
        <v>84</v>
      </c>
      <c r="D43" s="4" t="s">
        <v>85</v>
      </c>
      <c r="E43" s="5">
        <v>0.316749817750523</v>
      </c>
    </row>
    <row r="44" ht="14.25" customHeight="1">
      <c r="A44" s="4"/>
      <c r="B44" s="4" t="s">
        <v>4</v>
      </c>
      <c r="C44" s="4" t="s">
        <v>86</v>
      </c>
      <c r="D44" s="4" t="s">
        <v>87</v>
      </c>
      <c r="E44" s="5">
        <v>24.7398958189781</v>
      </c>
    </row>
    <row r="45" ht="14.25" customHeight="1">
      <c r="A45" s="4"/>
      <c r="B45" s="4" t="s">
        <v>4</v>
      </c>
      <c r="C45" s="4" t="s">
        <v>88</v>
      </c>
      <c r="D45" s="4" t="s">
        <v>89</v>
      </c>
      <c r="E45" s="5">
        <v>6.91378276892563</v>
      </c>
    </row>
    <row r="46" ht="14.25" customHeight="1">
      <c r="A46" s="4"/>
      <c r="B46" s="4" t="s">
        <v>4</v>
      </c>
      <c r="C46" s="4" t="s">
        <v>90</v>
      </c>
      <c r="D46" s="4" t="s">
        <v>91</v>
      </c>
      <c r="E46" s="5">
        <v>1.97919166551824</v>
      </c>
    </row>
    <row r="47" ht="14.25" customHeight="1">
      <c r="A47" s="4"/>
      <c r="B47" s="4" t="s">
        <v>4</v>
      </c>
      <c r="C47" s="4" t="s">
        <v>92</v>
      </c>
      <c r="D47" s="4" t="s">
        <v>93</v>
      </c>
      <c r="E47" s="5">
        <v>7.10586462706588</v>
      </c>
    </row>
    <row r="48" ht="14.25" customHeight="1">
      <c r="A48" s="4"/>
      <c r="B48" s="4" t="s">
        <v>4</v>
      </c>
      <c r="C48" s="4" t="s">
        <v>94</v>
      </c>
      <c r="D48" s="4" t="s">
        <v>30</v>
      </c>
      <c r="E48" s="5">
        <v>7.0685416625651705</v>
      </c>
    </row>
    <row r="49" ht="14.25" customHeight="1">
      <c r="A49" s="4"/>
      <c r="B49" s="4" t="s">
        <v>4</v>
      </c>
      <c r="C49" s="4" t="s">
        <v>95</v>
      </c>
      <c r="D49" s="4" t="s">
        <v>96</v>
      </c>
      <c r="E49" s="5">
        <v>14.005015878170301</v>
      </c>
    </row>
    <row r="50" ht="14.25" customHeight="1">
      <c r="A50" s="4"/>
      <c r="B50" s="4" t="s">
        <v>4</v>
      </c>
      <c r="C50" s="4" t="s">
        <v>97</v>
      </c>
      <c r="D50" s="4" t="s">
        <v>98</v>
      </c>
      <c r="E50" s="5">
        <v>167.665808236045</v>
      </c>
    </row>
    <row r="51" ht="14.25" customHeight="1">
      <c r="A51" s="4"/>
      <c r="B51" s="4" t="s">
        <v>4</v>
      </c>
      <c r="C51" s="4" t="s">
        <v>99</v>
      </c>
      <c r="D51" s="4" t="s">
        <v>100</v>
      </c>
      <c r="E51" s="5">
        <v>566.0138011611041</v>
      </c>
    </row>
    <row r="52" ht="14.25" customHeight="1">
      <c r="A52" s="4"/>
      <c r="B52" s="4" t="s">
        <v>4</v>
      </c>
      <c r="C52" s="4" t="s">
        <v>101</v>
      </c>
      <c r="D52" s="4" t="s">
        <v>102</v>
      </c>
      <c r="E52" s="5">
        <v>44.8435650797891</v>
      </c>
    </row>
    <row r="53" ht="14.25" customHeight="1">
      <c r="A53" s="4"/>
      <c r="B53" s="4" t="s">
        <v>4</v>
      </c>
      <c r="C53" s="4" t="s">
        <v>103</v>
      </c>
      <c r="D53" s="4" t="s">
        <v>104</v>
      </c>
      <c r="E53" s="5">
        <v>49.4797916379562</v>
      </c>
    </row>
    <row r="54" ht="14.25" customHeight="1">
      <c r="A54" s="4"/>
      <c r="B54" s="4" t="s">
        <v>4</v>
      </c>
      <c r="C54" s="4" t="s">
        <v>105</v>
      </c>
      <c r="D54" s="4" t="s">
        <v>106</v>
      </c>
      <c r="E54" s="5">
        <v>13.8474391445196</v>
      </c>
    </row>
    <row r="55" ht="14.25" customHeight="1">
      <c r="A55" s="4"/>
      <c r="B55" s="4" t="s">
        <v>4</v>
      </c>
      <c r="C55" s="4" t="s">
        <v>107</v>
      </c>
      <c r="D55" s="4" t="s">
        <v>108</v>
      </c>
      <c r="E55" s="5">
        <v>1053.36962934711</v>
      </c>
    </row>
    <row r="56" ht="14.25" customHeight="1">
      <c r="A56" s="4"/>
      <c r="B56" s="4" t="s">
        <v>4</v>
      </c>
      <c r="C56" s="4" t="s">
        <v>109</v>
      </c>
      <c r="D56" s="4" t="s">
        <v>110</v>
      </c>
      <c r="E56" s="5">
        <v>185.748226062759</v>
      </c>
    </row>
    <row r="57" ht="14.25" customHeight="1">
      <c r="A57" s="4"/>
      <c r="B57" s="4" t="s">
        <v>4</v>
      </c>
      <c r="C57" s="4" t="s">
        <v>111</v>
      </c>
      <c r="D57" s="4" t="s">
        <v>112</v>
      </c>
      <c r="E57" s="5">
        <v>3.3242477966737605</v>
      </c>
    </row>
    <row r="58" ht="14.25" customHeight="1">
      <c r="A58" s="4"/>
      <c r="B58" s="4" t="s">
        <v>4</v>
      </c>
      <c r="C58" s="4" t="s">
        <v>113</v>
      </c>
      <c r="D58" s="4" t="s">
        <v>114</v>
      </c>
      <c r="E58" s="5">
        <v>18.4990418814135</v>
      </c>
    </row>
    <row r="59" ht="14.25" customHeight="1">
      <c r="A59" s="4"/>
      <c r="B59" s="4" t="s">
        <v>4</v>
      </c>
      <c r="C59" s="4" t="s">
        <v>115</v>
      </c>
      <c r="D59" s="4" t="s">
        <v>116</v>
      </c>
      <c r="E59" s="5">
        <v>7.57232477124163</v>
      </c>
    </row>
    <row r="60" ht="14.25" customHeight="1">
      <c r="A60" s="4"/>
      <c r="B60" s="4" t="s">
        <v>4</v>
      </c>
      <c r="C60" s="4" t="s">
        <v>117</v>
      </c>
      <c r="D60" s="4" t="s">
        <v>118</v>
      </c>
      <c r="E60" s="5">
        <v>99.33591310115631</v>
      </c>
    </row>
    <row r="61" ht="14.25" customHeight="1">
      <c r="A61" s="4"/>
      <c r="B61" s="4" t="s">
        <v>4</v>
      </c>
      <c r="C61" s="4" t="s">
        <v>119</v>
      </c>
      <c r="D61" s="4" t="s">
        <v>120</v>
      </c>
      <c r="E61" s="5">
        <v>1.96806885116116</v>
      </c>
    </row>
    <row r="62" ht="14.25" customHeight="1">
      <c r="A62" s="4"/>
      <c r="B62" s="4" t="s">
        <v>4</v>
      </c>
      <c r="C62" s="4" t="s">
        <v>121</v>
      </c>
      <c r="D62" s="4" t="s">
        <v>122</v>
      </c>
      <c r="E62" s="5">
        <v>4.92837057895755</v>
      </c>
    </row>
    <row r="63" ht="14.25" customHeight="1">
      <c r="A63" s="4"/>
      <c r="B63" s="4" t="s">
        <v>4</v>
      </c>
      <c r="C63" s="4" t="s">
        <v>123</v>
      </c>
      <c r="D63" s="4" t="s">
        <v>124</v>
      </c>
      <c r="E63" s="5">
        <v>1.2864974648699299</v>
      </c>
    </row>
    <row r="64" ht="14.25" customHeight="1">
      <c r="A64" s="4"/>
      <c r="B64" s="4" t="s">
        <v>4</v>
      </c>
      <c r="C64" s="4" t="s">
        <v>125</v>
      </c>
      <c r="D64" s="4" t="s">
        <v>126</v>
      </c>
      <c r="E64" s="5">
        <v>11.6501610561392</v>
      </c>
    </row>
    <row r="65" ht="14.25" customHeight="1">
      <c r="A65" s="4"/>
      <c r="B65" s="4" t="s">
        <v>4</v>
      </c>
      <c r="C65" s="4" t="s">
        <v>127</v>
      </c>
      <c r="D65" s="4" t="s">
        <v>128</v>
      </c>
      <c r="E65" s="5">
        <v>1.71373048897171</v>
      </c>
    </row>
    <row r="66" ht="14.25" customHeight="1">
      <c r="A66" s="4"/>
      <c r="B66" s="4" t="s">
        <v>4</v>
      </c>
      <c r="C66" s="4" t="s">
        <v>129</v>
      </c>
      <c r="D66" s="4" t="s">
        <v>130</v>
      </c>
      <c r="E66" s="5">
        <v>7.031161549459431</v>
      </c>
    </row>
    <row r="67" ht="14.25" customHeight="1">
      <c r="A67" s="4"/>
      <c r="B67" s="4" t="s">
        <v>4</v>
      </c>
      <c r="C67" s="4" t="s">
        <v>131</v>
      </c>
      <c r="D67" s="4" t="s">
        <v>132</v>
      </c>
      <c r="E67" s="5">
        <v>106.727005206442</v>
      </c>
    </row>
    <row r="68" ht="14.25" customHeight="1">
      <c r="A68" s="4"/>
      <c r="B68" s="4" t="s">
        <v>4</v>
      </c>
      <c r="C68" s="4" t="s">
        <v>133</v>
      </c>
      <c r="D68" s="4" t="s">
        <v>134</v>
      </c>
      <c r="E68" s="5">
        <v>536.643683021947</v>
      </c>
    </row>
    <row r="69" ht="14.25" customHeight="1">
      <c r="A69" s="4"/>
      <c r="B69" s="4" t="s">
        <v>4</v>
      </c>
      <c r="C69" s="4" t="s">
        <v>135</v>
      </c>
      <c r="D69" s="4" t="s">
        <v>136</v>
      </c>
      <c r="E69" s="5">
        <v>2069.54250683973</v>
      </c>
    </row>
    <row r="70" ht="14.25" customHeight="1">
      <c r="A70" s="4"/>
      <c r="B70" s="4" t="s">
        <v>4</v>
      </c>
      <c r="C70" s="4" t="s">
        <v>137</v>
      </c>
      <c r="D70" s="4" t="s">
        <v>138</v>
      </c>
      <c r="E70" s="5">
        <v>6.61980246750754</v>
      </c>
    </row>
    <row r="71" ht="14.25" customHeight="1">
      <c r="A71" s="4"/>
      <c r="B71" s="4" t="s">
        <v>4</v>
      </c>
      <c r="C71" s="4" t="s">
        <v>139</v>
      </c>
      <c r="D71" s="4" t="s">
        <v>140</v>
      </c>
      <c r="E71" s="5">
        <v>17.6713541564129</v>
      </c>
    </row>
    <row r="72" ht="14.25" customHeight="1">
      <c r="A72" s="4"/>
      <c r="B72" s="4" t="s">
        <v>4</v>
      </c>
      <c r="C72" s="4" t="s">
        <v>141</v>
      </c>
      <c r="D72" s="4" t="s">
        <v>142</v>
      </c>
      <c r="E72" s="5">
        <v>283.483918919373</v>
      </c>
    </row>
    <row r="73" ht="14.25" customHeight="1">
      <c r="A73" s="4"/>
      <c r="B73" s="4" t="s">
        <v>4</v>
      </c>
      <c r="C73" s="4" t="s">
        <v>143</v>
      </c>
      <c r="D73" s="4" t="s">
        <v>144</v>
      </c>
      <c r="E73" s="5">
        <v>297.275398913804</v>
      </c>
    </row>
    <row r="74" ht="14.25" customHeight="1">
      <c r="A74" s="4"/>
      <c r="B74" s="4" t="s">
        <v>4</v>
      </c>
      <c r="C74" s="4" t="s">
        <v>145</v>
      </c>
      <c r="D74" s="4" t="s">
        <v>146</v>
      </c>
      <c r="E74" s="5">
        <v>720.1430245821391</v>
      </c>
    </row>
    <row r="75" ht="14.25" customHeight="1">
      <c r="A75" s="4"/>
      <c r="B75" s="4" t="s">
        <v>4</v>
      </c>
      <c r="C75" s="4" t="s">
        <v>147</v>
      </c>
      <c r="D75" s="4" t="s">
        <v>148</v>
      </c>
      <c r="E75" s="5">
        <v>7.31611836305206</v>
      </c>
    </row>
    <row r="76" ht="14.25" customHeight="1">
      <c r="A76" s="4"/>
      <c r="B76" s="4" t="s">
        <v>4</v>
      </c>
      <c r="C76" s="4" t="s">
        <v>149</v>
      </c>
      <c r="D76" s="4" t="s">
        <v>150</v>
      </c>
      <c r="E76" s="5">
        <v>7.21951259976729</v>
      </c>
    </row>
    <row r="77" ht="14.25" customHeight="1">
      <c r="A77" s="4"/>
      <c r="B77" s="4" t="s">
        <v>4</v>
      </c>
      <c r="C77" s="4" t="s">
        <v>151</v>
      </c>
      <c r="D77" s="4" t="s">
        <v>152</v>
      </c>
      <c r="E77" s="5">
        <v>21.346995820946802</v>
      </c>
    </row>
    <row r="78" ht="14.25" customHeight="1">
      <c r="A78" s="4"/>
      <c r="B78" s="4" t="s">
        <v>4</v>
      </c>
      <c r="C78" s="4" t="s">
        <v>153</v>
      </c>
      <c r="D78" s="4" t="s">
        <v>154</v>
      </c>
      <c r="E78" s="5">
        <v>73.3753103504036</v>
      </c>
    </row>
    <row r="79" ht="14.25" customHeight="1">
      <c r="A79" s="4"/>
      <c r="B79" s="4" t="s">
        <v>4</v>
      </c>
      <c r="C79" s="4" t="s">
        <v>155</v>
      </c>
      <c r="D79" s="4" t="s">
        <v>156</v>
      </c>
      <c r="E79" s="5">
        <v>8.22275196756531</v>
      </c>
    </row>
    <row r="80" ht="14.25" customHeight="1">
      <c r="A80" s="4"/>
      <c r="B80" s="4" t="s">
        <v>4</v>
      </c>
      <c r="C80" s="4" t="s">
        <v>157</v>
      </c>
      <c r="D80" s="4" t="s">
        <v>158</v>
      </c>
      <c r="E80" s="5">
        <v>0.272796896710816</v>
      </c>
    </row>
    <row r="81" ht="14.25" customHeight="1">
      <c r="A81" s="4"/>
      <c r="B81" s="4" t="s">
        <v>4</v>
      </c>
      <c r="C81" s="4" t="s">
        <v>159</v>
      </c>
      <c r="D81" s="4" t="s">
        <v>160</v>
      </c>
      <c r="E81" s="5">
        <v>14.1370833251303</v>
      </c>
    </row>
    <row r="82" ht="14.25" customHeight="1">
      <c r="A82" s="4"/>
      <c r="B82" s="4" t="s">
        <v>4</v>
      </c>
      <c r="C82" s="4" t="s">
        <v>161</v>
      </c>
      <c r="D82" s="4" t="s">
        <v>162</v>
      </c>
      <c r="E82" s="5">
        <v>7.04933168419097</v>
      </c>
    </row>
    <row r="83" ht="14.25" customHeight="1">
      <c r="A83" s="4"/>
      <c r="B83" s="4" t="s">
        <v>4</v>
      </c>
      <c r="C83" s="4" t="s">
        <v>163</v>
      </c>
      <c r="D83" s="4" t="s">
        <v>164</v>
      </c>
      <c r="E83" s="5">
        <v>0.835076855630669</v>
      </c>
    </row>
    <row r="84" ht="14.25" customHeight="1">
      <c r="A84" s="4"/>
      <c r="B84" s="4" t="s">
        <v>4</v>
      </c>
      <c r="C84" s="4" t="s">
        <v>165</v>
      </c>
      <c r="D84" s="4" t="s">
        <v>166</v>
      </c>
      <c r="E84" s="5">
        <v>6.40822013810588</v>
      </c>
    </row>
    <row r="85" ht="14.25" customHeight="1">
      <c r="A85" s="4"/>
      <c r="B85" s="4" t="s">
        <v>4</v>
      </c>
      <c r="C85" s="4" t="s">
        <v>167</v>
      </c>
      <c r="D85" s="4" t="s">
        <v>168</v>
      </c>
      <c r="E85" s="5">
        <v>0.353332840652686</v>
      </c>
    </row>
    <row r="86" ht="14.25" customHeight="1">
      <c r="A86" s="4"/>
      <c r="B86" s="4" t="s">
        <v>4</v>
      </c>
      <c r="C86" s="4" t="s">
        <v>169</v>
      </c>
      <c r="D86" s="4" t="s">
        <v>170</v>
      </c>
      <c r="E86" s="5">
        <v>7.14368436980561</v>
      </c>
    </row>
    <row r="87" ht="14.25" customHeight="1">
      <c r="A87" s="4"/>
      <c r="B87" s="4" t="s">
        <v>4</v>
      </c>
      <c r="C87" s="4" t="s">
        <v>171</v>
      </c>
      <c r="D87" s="4" t="s">
        <v>172</v>
      </c>
      <c r="E87" s="5">
        <v>2.13423720149996</v>
      </c>
    </row>
    <row r="88" ht="14.25" customHeight="1">
      <c r="A88" s="4"/>
      <c r="B88" s="4" t="s">
        <v>4</v>
      </c>
      <c r="C88" s="4" t="s">
        <v>173</v>
      </c>
      <c r="D88" s="4" t="s">
        <v>30</v>
      </c>
      <c r="E88" s="5">
        <v>7.0685416625651705</v>
      </c>
    </row>
    <row r="89" ht="14.25" customHeight="1">
      <c r="A89" s="4"/>
      <c r="B89" s="4" t="s">
        <v>4</v>
      </c>
      <c r="C89" s="4" t="s">
        <v>174</v>
      </c>
      <c r="D89" s="4" t="s">
        <v>175</v>
      </c>
      <c r="E89" s="5">
        <v>3.6386492131544004</v>
      </c>
    </row>
    <row r="90" ht="14.25" customHeight="1">
      <c r="A90" s="4"/>
      <c r="B90" s="4" t="s">
        <v>4</v>
      </c>
      <c r="C90" s="4" t="s">
        <v>176</v>
      </c>
      <c r="D90" s="4" t="s">
        <v>177</v>
      </c>
      <c r="E90" s="5">
        <v>0.539812176924384</v>
      </c>
    </row>
    <row r="91" ht="14.25" customHeight="1">
      <c r="A91" s="4"/>
      <c r="B91" s="4" t="s">
        <v>4</v>
      </c>
      <c r="C91" s="4" t="s">
        <v>178</v>
      </c>
      <c r="D91" s="4" t="s">
        <v>179</v>
      </c>
      <c r="E91" s="5">
        <v>635.177367194795</v>
      </c>
    </row>
    <row r="92" ht="14.25" customHeight="1">
      <c r="A92" s="4"/>
      <c r="B92" s="4" t="s">
        <v>4</v>
      </c>
      <c r="C92" s="4" t="s">
        <v>180</v>
      </c>
      <c r="D92" s="4" t="s">
        <v>181</v>
      </c>
      <c r="E92" s="5">
        <v>0.572154746265908</v>
      </c>
    </row>
    <row r="93" ht="14.25" customHeight="1">
      <c r="A93" s="4"/>
      <c r="B93" s="4" t="s">
        <v>4</v>
      </c>
      <c r="C93" s="4" t="s">
        <v>182</v>
      </c>
      <c r="D93" s="4" t="s">
        <v>183</v>
      </c>
      <c r="E93" s="5">
        <v>2.82741666502606</v>
      </c>
    </row>
    <row r="94" ht="14.25" customHeight="1">
      <c r="A94" s="4"/>
      <c r="B94" s="4" t="s">
        <v>4</v>
      </c>
      <c r="C94" s="4" t="s">
        <v>184</v>
      </c>
      <c r="D94" s="4" t="s">
        <v>30</v>
      </c>
      <c r="E94" s="5">
        <v>7.0685416625651705</v>
      </c>
    </row>
    <row r="95" ht="14.25" customHeight="1">
      <c r="A95" s="4"/>
      <c r="B95" s="4" t="s">
        <v>4</v>
      </c>
      <c r="C95" s="4" t="s">
        <v>185</v>
      </c>
      <c r="D95" s="4" t="s">
        <v>186</v>
      </c>
      <c r="E95" s="5">
        <v>570.34218034282</v>
      </c>
    </row>
    <row r="96" ht="14.25" customHeight="1">
      <c r="A96" s="4"/>
      <c r="B96" s="4" t="s">
        <v>4</v>
      </c>
      <c r="C96" s="4" t="s">
        <v>187</v>
      </c>
      <c r="D96" s="4" t="s">
        <v>188</v>
      </c>
      <c r="E96" s="5">
        <v>148.986421827555</v>
      </c>
    </row>
    <row r="97" ht="14.25" customHeight="1">
      <c r="A97" s="4"/>
      <c r="B97" s="4" t="s">
        <v>4</v>
      </c>
      <c r="C97" s="4" t="s">
        <v>189</v>
      </c>
      <c r="D97" s="4" t="s">
        <v>190</v>
      </c>
      <c r="E97" s="5">
        <v>0.250708176926558</v>
      </c>
    </row>
    <row r="98" ht="14.25" customHeight="1">
      <c r="A98" s="4"/>
      <c r="B98" s="4" t="s">
        <v>4</v>
      </c>
      <c r="C98" s="4" t="s">
        <v>191</v>
      </c>
      <c r="D98" s="4" t="s">
        <v>192</v>
      </c>
      <c r="E98" s="5">
        <v>1373.14074700034</v>
      </c>
    </row>
    <row r="99" ht="14.25" customHeight="1">
      <c r="A99" s="4"/>
      <c r="B99" s="4" t="s">
        <v>4</v>
      </c>
      <c r="C99" s="4" t="s">
        <v>193</v>
      </c>
      <c r="D99" s="4" t="s">
        <v>194</v>
      </c>
      <c r="E99" s="5">
        <v>7.645533841576641</v>
      </c>
    </row>
    <row r="100" ht="14.25" customHeight="1">
      <c r="A100" s="4"/>
      <c r="B100" s="4" t="s">
        <v>4</v>
      </c>
      <c r="C100" s="4" t="s">
        <v>195</v>
      </c>
      <c r="D100" s="4" t="s">
        <v>196</v>
      </c>
      <c r="E100" s="5">
        <v>27.852586069190902</v>
      </c>
    </row>
    <row r="101" ht="14.25" customHeight="1">
      <c r="A101" s="4"/>
      <c r="B101" s="4" t="s">
        <v>4</v>
      </c>
      <c r="C101" s="4" t="s">
        <v>197</v>
      </c>
      <c r="D101" s="4" t="s">
        <v>198</v>
      </c>
      <c r="E101" s="5">
        <v>112.791101973075</v>
      </c>
    </row>
    <row r="102" ht="14.25" customHeight="1">
      <c r="A102" s="4"/>
      <c r="B102" s="4" t="s">
        <v>4</v>
      </c>
      <c r="C102" s="4" t="s">
        <v>199</v>
      </c>
      <c r="D102" s="4" t="s">
        <v>30</v>
      </c>
      <c r="E102" s="5">
        <v>7.0685416625651705</v>
      </c>
    </row>
    <row r="103" ht="14.25" customHeight="1">
      <c r="A103" s="4"/>
      <c r="B103" s="4" t="s">
        <v>4</v>
      </c>
      <c r="C103" s="4" t="s">
        <v>200</v>
      </c>
      <c r="D103" s="4" t="s">
        <v>201</v>
      </c>
      <c r="E103" s="5">
        <v>1.30126028018015</v>
      </c>
    </row>
    <row r="104" ht="14.25" customHeight="1">
      <c r="A104" s="4"/>
      <c r="B104" s="4" t="s">
        <v>4</v>
      </c>
      <c r="C104" s="4" t="s">
        <v>202</v>
      </c>
      <c r="D104" s="4" t="s">
        <v>160</v>
      </c>
      <c r="E104" s="5">
        <v>14.1370833251303</v>
      </c>
    </row>
    <row r="105" ht="14.25" customHeight="1">
      <c r="A105" s="4"/>
      <c r="B105" s="4" t="s">
        <v>4</v>
      </c>
      <c r="C105" s="4" t="s">
        <v>203</v>
      </c>
      <c r="D105" s="4" t="s">
        <v>30</v>
      </c>
      <c r="E105" s="5">
        <v>7.0685416625651705</v>
      </c>
    </row>
    <row r="106" ht="14.25" customHeight="1">
      <c r="A106" s="4"/>
      <c r="B106" s="4" t="s">
        <v>4</v>
      </c>
      <c r="C106" s="4" t="s">
        <v>204</v>
      </c>
      <c r="D106" s="4" t="s">
        <v>205</v>
      </c>
      <c r="E106" s="5">
        <v>132.281437462201</v>
      </c>
    </row>
    <row r="107" ht="14.25" customHeight="1">
      <c r="A107" s="4"/>
      <c r="B107" s="4" t="s">
        <v>4</v>
      </c>
      <c r="C107" s="4" t="s">
        <v>206</v>
      </c>
      <c r="D107" s="4" t="s">
        <v>207</v>
      </c>
      <c r="E107" s="5">
        <v>6.74091010013192</v>
      </c>
    </row>
    <row r="108" ht="14.25" customHeight="1">
      <c r="A108" s="4"/>
      <c r="B108" s="4" t="s">
        <v>4</v>
      </c>
      <c r="C108" s="4" t="s">
        <v>208</v>
      </c>
      <c r="D108" s="4" t="s">
        <v>209</v>
      </c>
      <c r="E108" s="5">
        <v>35.3427083128258</v>
      </c>
    </row>
    <row r="109" ht="14.25" customHeight="1">
      <c r="A109" s="4"/>
      <c r="B109" s="4" t="s">
        <v>4</v>
      </c>
      <c r="C109" s="4" t="s">
        <v>210</v>
      </c>
      <c r="D109" s="4" t="s">
        <v>211</v>
      </c>
      <c r="E109" s="5">
        <v>5.00138766856098</v>
      </c>
    </row>
    <row r="110" ht="14.25" customHeight="1">
      <c r="A110" s="4"/>
      <c r="B110" s="4" t="s">
        <v>4</v>
      </c>
      <c r="C110" s="4" t="s">
        <v>212</v>
      </c>
      <c r="D110" s="4" t="s">
        <v>213</v>
      </c>
      <c r="E110" s="5">
        <v>28.959778296145302</v>
      </c>
    </row>
    <row r="111" ht="14.25" customHeight="1">
      <c r="A111" s="4"/>
      <c r="B111" s="4" t="s">
        <v>4</v>
      </c>
      <c r="C111" s="4" t="s">
        <v>214</v>
      </c>
      <c r="D111" s="4" t="s">
        <v>30</v>
      </c>
      <c r="E111" s="5">
        <v>7.0685416625651705</v>
      </c>
    </row>
    <row r="112" ht="14.25" customHeight="1">
      <c r="A112" s="4"/>
      <c r="B112" s="4" t="s">
        <v>4</v>
      </c>
      <c r="C112" s="4" t="s">
        <v>215</v>
      </c>
      <c r="D112" s="4" t="s">
        <v>216</v>
      </c>
      <c r="E112" s="5">
        <v>1.82579901551954</v>
      </c>
    </row>
    <row r="113" ht="14.25" customHeight="1">
      <c r="A113" s="4"/>
      <c r="B113" s="4" t="s">
        <v>4</v>
      </c>
      <c r="C113" s="4" t="s">
        <v>217</v>
      </c>
      <c r="D113" s="4" t="s">
        <v>218</v>
      </c>
      <c r="E113" s="5">
        <v>8.9690480979134</v>
      </c>
    </row>
    <row r="114" ht="14.25" customHeight="1">
      <c r="A114" s="4"/>
      <c r="B114" s="4" t="s">
        <v>4</v>
      </c>
      <c r="C114" s="4" t="s">
        <v>219</v>
      </c>
      <c r="D114" s="4" t="s">
        <v>220</v>
      </c>
      <c r="E114" s="5">
        <v>0.0187504260225915</v>
      </c>
    </row>
    <row r="115" ht="14.25" customHeight="1">
      <c r="A115" s="4"/>
      <c r="B115" s="4" t="s">
        <v>4</v>
      </c>
      <c r="C115" s="4" t="s">
        <v>221</v>
      </c>
      <c r="D115" s="4" t="s">
        <v>222</v>
      </c>
      <c r="E115" s="5">
        <v>75.6333957894473</v>
      </c>
    </row>
    <row r="116" ht="14.25" customHeight="1">
      <c r="A116" s="4"/>
      <c r="B116" s="4" t="s">
        <v>4</v>
      </c>
      <c r="C116" s="4" t="s">
        <v>223</v>
      </c>
      <c r="D116" s="4" t="s">
        <v>224</v>
      </c>
      <c r="E116" s="5">
        <v>11.175363509687699</v>
      </c>
    </row>
    <row r="117" ht="14.25" customHeight="1">
      <c r="A117" s="4"/>
      <c r="B117" s="4" t="s">
        <v>4</v>
      </c>
      <c r="C117" s="4" t="s">
        <v>225</v>
      </c>
      <c r="D117" s="4" t="s">
        <v>30</v>
      </c>
      <c r="E117" s="5">
        <v>7.0685416625651705</v>
      </c>
    </row>
    <row r="118" ht="14.25" customHeight="1">
      <c r="A118" s="4"/>
      <c r="B118" s="4" t="s">
        <v>4</v>
      </c>
      <c r="C118" s="4" t="s">
        <v>226</v>
      </c>
      <c r="D118" s="4" t="s">
        <v>227</v>
      </c>
      <c r="E118" s="5">
        <v>35.673231352802595</v>
      </c>
    </row>
    <row r="119" ht="14.25" customHeight="1">
      <c r="A119" s="4"/>
      <c r="B119" s="4" t="s">
        <v>4</v>
      </c>
      <c r="C119" s="4" t="s">
        <v>228</v>
      </c>
      <c r="D119" s="4" t="s">
        <v>30</v>
      </c>
      <c r="E119" s="5">
        <v>7.0685416625651705</v>
      </c>
    </row>
    <row r="120" ht="14.25" customHeight="1">
      <c r="A120" s="4"/>
      <c r="B120" s="4" t="s">
        <v>4</v>
      </c>
      <c r="C120" s="4" t="s">
        <v>229</v>
      </c>
      <c r="D120" s="4" t="s">
        <v>230</v>
      </c>
      <c r="E120" s="5">
        <v>1.32280791436287</v>
      </c>
    </row>
    <row r="121" ht="14.25" customHeight="1">
      <c r="A121" s="4"/>
      <c r="B121" s="4" t="s">
        <v>4</v>
      </c>
      <c r="C121" s="4" t="s">
        <v>231</v>
      </c>
      <c r="D121" s="4" t="s">
        <v>30</v>
      </c>
      <c r="E121" s="5">
        <v>7.0685416625651705</v>
      </c>
    </row>
    <row r="122" ht="14.25" customHeight="1">
      <c r="A122" s="4"/>
      <c r="B122" s="4" t="s">
        <v>4</v>
      </c>
      <c r="C122" s="4" t="s">
        <v>232</v>
      </c>
      <c r="D122" s="4" t="s">
        <v>233</v>
      </c>
      <c r="E122" s="5">
        <v>1.0944264827283399</v>
      </c>
    </row>
    <row r="123" ht="14.25" customHeight="1">
      <c r="A123" s="4"/>
      <c r="B123" s="4" t="s">
        <v>4</v>
      </c>
      <c r="C123" s="4" t="s">
        <v>234</v>
      </c>
      <c r="D123" s="4" t="s">
        <v>30</v>
      </c>
      <c r="E123" s="5">
        <v>7.0685416625651705</v>
      </c>
    </row>
    <row r="124" ht="14.25" customHeight="1">
      <c r="A124" s="4"/>
      <c r="B124" s="4" t="s">
        <v>4</v>
      </c>
      <c r="C124" s="4" t="s">
        <v>235</v>
      </c>
      <c r="D124" s="4" t="s">
        <v>236</v>
      </c>
      <c r="E124" s="5">
        <v>7.27464859815294</v>
      </c>
    </row>
    <row r="125" ht="14.25" customHeight="1">
      <c r="A125" s="4"/>
      <c r="B125" s="4" t="s">
        <v>4</v>
      </c>
      <c r="C125" s="4" t="s">
        <v>237</v>
      </c>
      <c r="D125" s="4" t="s">
        <v>238</v>
      </c>
      <c r="E125" s="5">
        <v>7.1372739681821</v>
      </c>
    </row>
    <row r="126" ht="14.25" customHeight="1">
      <c r="A126" s="4"/>
      <c r="B126" s="4" t="s">
        <v>4</v>
      </c>
      <c r="C126" s="4" t="s">
        <v>239</v>
      </c>
      <c r="D126" s="4" t="s">
        <v>240</v>
      </c>
      <c r="E126" s="5">
        <v>521.890809840661</v>
      </c>
    </row>
    <row r="127" ht="14.25" customHeight="1">
      <c r="A127" s="4"/>
      <c r="B127" s="4" t="s">
        <v>4</v>
      </c>
      <c r="C127" s="4" t="s">
        <v>241</v>
      </c>
      <c r="D127" s="4" t="s">
        <v>30</v>
      </c>
      <c r="E127" s="5">
        <v>7.0685416625651705</v>
      </c>
    </row>
    <row r="128" ht="14.25" customHeight="1">
      <c r="A128" s="4"/>
      <c r="B128" s="4" t="s">
        <v>4</v>
      </c>
      <c r="C128" s="4" t="s">
        <v>242</v>
      </c>
      <c r="D128" s="4" t="s">
        <v>243</v>
      </c>
      <c r="E128" s="5">
        <v>0.204800033010927</v>
      </c>
    </row>
    <row r="129" ht="14.25" customHeight="1">
      <c r="A129" s="4"/>
      <c r="B129" s="4" t="s">
        <v>4</v>
      </c>
      <c r="C129" s="4" t="s">
        <v>244</v>
      </c>
      <c r="D129" s="4" t="s">
        <v>245</v>
      </c>
      <c r="E129" s="5">
        <v>6.113366623739241</v>
      </c>
    </row>
    <row r="130" ht="14.25" customHeight="1">
      <c r="A130" s="4"/>
      <c r="B130" s="4" t="s">
        <v>4</v>
      </c>
      <c r="C130" s="4" t="s">
        <v>246</v>
      </c>
      <c r="D130" s="4" t="s">
        <v>247</v>
      </c>
      <c r="E130" s="5">
        <v>7.07504676200682</v>
      </c>
    </row>
    <row r="131" ht="14.25" customHeight="1">
      <c r="A131" s="4"/>
      <c r="B131" s="4" t="s">
        <v>4</v>
      </c>
      <c r="C131" s="4" t="s">
        <v>248</v>
      </c>
      <c r="D131" s="4" t="s">
        <v>249</v>
      </c>
      <c r="E131" s="5">
        <v>1.2366833123589398</v>
      </c>
    </row>
    <row r="132" ht="14.25" customHeight="1">
      <c r="A132" s="4"/>
      <c r="B132" s="4" t="s">
        <v>4</v>
      </c>
      <c r="C132" s="4" t="s">
        <v>250</v>
      </c>
      <c r="D132" s="4" t="s">
        <v>251</v>
      </c>
      <c r="E132" s="5">
        <v>16.585629033091102</v>
      </c>
    </row>
    <row r="133" ht="14.25" customHeight="1">
      <c r="A133" s="4"/>
      <c r="B133" s="4" t="s">
        <v>4</v>
      </c>
      <c r="C133" s="4" t="s">
        <v>252</v>
      </c>
      <c r="D133" s="4" t="s">
        <v>253</v>
      </c>
      <c r="E133" s="5">
        <v>2.159534499471</v>
      </c>
    </row>
    <row r="134" ht="14.25" customHeight="1">
      <c r="A134" s="4"/>
      <c r="B134" s="4" t="s">
        <v>4</v>
      </c>
      <c r="C134" s="4" t="s">
        <v>254</v>
      </c>
      <c r="D134" s="4" t="s">
        <v>255</v>
      </c>
      <c r="E134" s="5">
        <v>183.314820696316</v>
      </c>
    </row>
    <row r="135" ht="14.25" customHeight="1">
      <c r="A135" s="4"/>
      <c r="B135" s="4" t="s">
        <v>4</v>
      </c>
      <c r="C135" s="4" t="s">
        <v>256</v>
      </c>
      <c r="D135" s="4" t="s">
        <v>257</v>
      </c>
      <c r="E135" s="5">
        <v>8.76499166158081</v>
      </c>
    </row>
    <row r="136" ht="14.25" customHeight="1">
      <c r="A136" s="4"/>
      <c r="B136" s="4" t="s">
        <v>4</v>
      </c>
      <c r="C136" s="4" t="s">
        <v>258</v>
      </c>
      <c r="D136" s="4" t="s">
        <v>259</v>
      </c>
      <c r="E136" s="5">
        <v>7.20991249581647</v>
      </c>
    </row>
    <row r="137" ht="14.25" customHeight="1">
      <c r="A137" s="4"/>
      <c r="B137" s="4" t="s">
        <v>4</v>
      </c>
      <c r="C137" s="4" t="s">
        <v>260</v>
      </c>
      <c r="D137" s="4" t="s">
        <v>261</v>
      </c>
      <c r="E137" s="5">
        <v>0.570784823367782</v>
      </c>
    </row>
    <row r="138" ht="14.25" customHeight="1">
      <c r="A138" s="4"/>
      <c r="B138" s="4" t="s">
        <v>4</v>
      </c>
      <c r="C138" s="4" t="s">
        <v>262</v>
      </c>
      <c r="D138" s="4" t="s">
        <v>263</v>
      </c>
      <c r="E138" s="5">
        <v>3.6625563526250597</v>
      </c>
    </row>
    <row r="139" ht="14.25" customHeight="1">
      <c r="A139" s="4"/>
      <c r="B139" s="4" t="s">
        <v>4</v>
      </c>
      <c r="C139" s="4" t="s">
        <v>264</v>
      </c>
      <c r="D139" s="4" t="s">
        <v>265</v>
      </c>
      <c r="E139" s="5">
        <v>7.67570187397094</v>
      </c>
    </row>
    <row r="140" ht="14.25" customHeight="1">
      <c r="A140" s="4"/>
      <c r="B140" s="4" t="s">
        <v>4</v>
      </c>
      <c r="C140" s="4" t="s">
        <v>266</v>
      </c>
      <c r="D140" s="4" t="s">
        <v>267</v>
      </c>
      <c r="E140" s="5">
        <v>4.2411249975391</v>
      </c>
    </row>
    <row r="141" ht="14.25" customHeight="1">
      <c r="A141" s="4"/>
      <c r="B141" s="4" t="s">
        <v>4</v>
      </c>
      <c r="C141" s="4" t="s">
        <v>268</v>
      </c>
      <c r="D141" s="4" t="s">
        <v>269</v>
      </c>
      <c r="E141" s="5">
        <v>16.2470537842876</v>
      </c>
    </row>
    <row r="142" ht="14.25" customHeight="1">
      <c r="A142" s="4"/>
      <c r="B142" s="4" t="s">
        <v>4</v>
      </c>
      <c r="C142" s="4" t="s">
        <v>270</v>
      </c>
      <c r="D142" s="4" t="s">
        <v>271</v>
      </c>
      <c r="E142" s="5">
        <v>1.13977095189454</v>
      </c>
    </row>
    <row r="143" ht="14.25" customHeight="1">
      <c r="A143" s="4"/>
      <c r="B143" s="4" t="s">
        <v>4</v>
      </c>
      <c r="C143" s="4" t="s">
        <v>272</v>
      </c>
      <c r="D143" s="4" t="s">
        <v>273</v>
      </c>
      <c r="E143" s="5">
        <v>3.46651727417964</v>
      </c>
    </row>
    <row r="144" ht="14.25" customHeight="1">
      <c r="A144" s="4"/>
      <c r="B144" s="4" t="s">
        <v>4</v>
      </c>
      <c r="C144" s="4" t="s">
        <v>274</v>
      </c>
      <c r="D144" s="4" t="s">
        <v>275</v>
      </c>
      <c r="E144" s="5">
        <v>0.03870547058718769</v>
      </c>
    </row>
    <row r="145" ht="14.25" customHeight="1">
      <c r="A145" s="4"/>
      <c r="B145" s="4" t="s">
        <v>4</v>
      </c>
      <c r="C145" s="4" t="s">
        <v>276</v>
      </c>
      <c r="D145" s="4" t="s">
        <v>277</v>
      </c>
      <c r="E145" s="5">
        <v>4.0476244751987505</v>
      </c>
    </row>
    <row r="146" ht="14.25" customHeight="1">
      <c r="A146" s="4"/>
      <c r="B146" s="4" t="s">
        <v>4</v>
      </c>
      <c r="C146" s="4" t="s">
        <v>278</v>
      </c>
      <c r="D146" s="4" t="s">
        <v>279</v>
      </c>
      <c r="E146" s="5">
        <v>4.9835512282375</v>
      </c>
    </row>
    <row r="147" ht="14.25" customHeight="1">
      <c r="A147" s="4"/>
      <c r="B147" s="4" t="s">
        <v>4</v>
      </c>
      <c r="C147" s="4" t="s">
        <v>280</v>
      </c>
      <c r="D147" s="4" t="s">
        <v>281</v>
      </c>
      <c r="E147" s="5">
        <v>713.352287508956</v>
      </c>
    </row>
    <row r="148" ht="14.25" customHeight="1">
      <c r="A148" s="4"/>
      <c r="B148" s="4" t="s">
        <v>4</v>
      </c>
      <c r="C148" s="4" t="s">
        <v>282</v>
      </c>
      <c r="D148" s="4" t="s">
        <v>283</v>
      </c>
      <c r="E148" s="5">
        <v>7.95444654625273</v>
      </c>
    </row>
    <row r="149" ht="14.25" customHeight="1">
      <c r="A149" s="4"/>
      <c r="B149" s="4" t="s">
        <v>4</v>
      </c>
      <c r="C149" s="4" t="s">
        <v>284</v>
      </c>
      <c r="D149" s="4" t="s">
        <v>285</v>
      </c>
      <c r="E149" s="5">
        <v>9.844016802091659</v>
      </c>
    </row>
    <row r="150" ht="14.25" customHeight="1">
      <c r="A150" s="4"/>
      <c r="B150" s="4" t="s">
        <v>4</v>
      </c>
      <c r="C150" s="4" t="s">
        <v>286</v>
      </c>
      <c r="D150" s="4" t="s">
        <v>30</v>
      </c>
      <c r="E150" s="5">
        <v>7.0685416625651705</v>
      </c>
    </row>
    <row r="151" ht="14.25" customHeight="1">
      <c r="A151" s="4"/>
      <c r="B151" s="4" t="s">
        <v>4</v>
      </c>
      <c r="C151" s="4" t="s">
        <v>287</v>
      </c>
      <c r="D151" s="4" t="s">
        <v>288</v>
      </c>
      <c r="E151" s="5">
        <v>7.2022031922659</v>
      </c>
    </row>
    <row r="152" ht="14.25" customHeight="1">
      <c r="A152" s="4"/>
      <c r="B152" s="4" t="s">
        <v>4</v>
      </c>
      <c r="C152" s="4" t="s">
        <v>289</v>
      </c>
      <c r="D152" s="4" t="s">
        <v>290</v>
      </c>
      <c r="E152" s="5">
        <v>0.0781109963071788</v>
      </c>
    </row>
    <row r="153" ht="14.25" customHeight="1">
      <c r="A153" s="4"/>
      <c r="B153" s="4" t="s">
        <v>4</v>
      </c>
      <c r="C153" s="4" t="s">
        <v>291</v>
      </c>
      <c r="D153" s="4" t="s">
        <v>292</v>
      </c>
      <c r="E153" s="5">
        <v>530.281995525639</v>
      </c>
    </row>
    <row r="154" ht="14.25" customHeight="1">
      <c r="A154" s="4"/>
      <c r="B154" s="4" t="s">
        <v>4</v>
      </c>
      <c r="C154" s="4" t="s">
        <v>293</v>
      </c>
      <c r="D154" s="4" t="s">
        <v>294</v>
      </c>
      <c r="E154" s="5">
        <v>0.00384134556680389</v>
      </c>
    </row>
    <row r="155" ht="14.25" customHeight="1">
      <c r="A155" s="4"/>
      <c r="B155" s="4" t="s">
        <v>4</v>
      </c>
      <c r="C155" s="4" t="s">
        <v>295</v>
      </c>
      <c r="D155" s="4" t="s">
        <v>30</v>
      </c>
      <c r="E155" s="5">
        <v>7.0685416625651705</v>
      </c>
    </row>
    <row r="156" ht="14.25" customHeight="1">
      <c r="A156" s="4"/>
      <c r="B156" s="4" t="s">
        <v>4</v>
      </c>
      <c r="C156" s="4" t="s">
        <v>296</v>
      </c>
      <c r="D156" s="4" t="s">
        <v>297</v>
      </c>
      <c r="E156" s="5">
        <v>6.64714911896336</v>
      </c>
    </row>
    <row r="157" ht="14.25" customHeight="1">
      <c r="A157" s="4"/>
      <c r="B157" s="4" t="s">
        <v>4</v>
      </c>
      <c r="C157" s="4" t="s">
        <v>298</v>
      </c>
      <c r="D157" s="4" t="s">
        <v>299</v>
      </c>
      <c r="E157" s="5">
        <v>1.35393735336059</v>
      </c>
    </row>
    <row r="158" ht="14.25" customHeight="1">
      <c r="A158" s="4"/>
      <c r="B158" s="4" t="s">
        <v>4</v>
      </c>
      <c r="C158" s="4" t="s">
        <v>300</v>
      </c>
      <c r="D158" s="4" t="s">
        <v>301</v>
      </c>
      <c r="E158" s="5">
        <v>86.9149566763452</v>
      </c>
    </row>
    <row r="159" ht="14.25" customHeight="1">
      <c r="A159" s="4"/>
      <c r="B159" s="4" t="s">
        <v>4</v>
      </c>
      <c r="C159" s="4" t="s">
        <v>302</v>
      </c>
      <c r="D159" s="4" t="s">
        <v>303</v>
      </c>
      <c r="E159" s="5">
        <v>19.927420142505202</v>
      </c>
    </row>
    <row r="160" ht="14.25" customHeight="1">
      <c r="A160" s="4"/>
      <c r="B160" s="4" t="s">
        <v>4</v>
      </c>
      <c r="C160" s="4" t="s">
        <v>304</v>
      </c>
      <c r="D160" s="4" t="s">
        <v>305</v>
      </c>
      <c r="E160" s="5">
        <v>14.7167352011363</v>
      </c>
    </row>
    <row r="161" ht="14.25" customHeight="1">
      <c r="A161" s="4"/>
      <c r="B161" s="4" t="s">
        <v>4</v>
      </c>
      <c r="C161" s="4" t="s">
        <v>306</v>
      </c>
      <c r="D161" s="4" t="s">
        <v>307</v>
      </c>
      <c r="E161" s="5">
        <v>311.30948376777604</v>
      </c>
    </row>
    <row r="162" ht="14.25" customHeight="1">
      <c r="A162" s="4"/>
      <c r="B162" s="4" t="s">
        <v>4</v>
      </c>
      <c r="C162" s="4" t="s">
        <v>308</v>
      </c>
      <c r="D162" s="4" t="s">
        <v>309</v>
      </c>
      <c r="E162" s="5">
        <v>247.399023653807</v>
      </c>
    </row>
    <row r="163" ht="14.25" customHeight="1">
      <c r="A163" s="4"/>
      <c r="B163" s="4" t="s">
        <v>4</v>
      </c>
      <c r="C163" s="4" t="s">
        <v>310</v>
      </c>
      <c r="D163" s="4" t="s">
        <v>311</v>
      </c>
      <c r="E163" s="5">
        <v>1.34690096696352</v>
      </c>
    </row>
    <row r="164" ht="14.25" customHeight="1">
      <c r="A164" s="4"/>
      <c r="B164" s="4" t="s">
        <v>4</v>
      </c>
      <c r="C164" s="4" t="s">
        <v>312</v>
      </c>
      <c r="D164" s="4" t="s">
        <v>313</v>
      </c>
      <c r="E164" s="5">
        <v>8.83094315175151</v>
      </c>
    </row>
    <row r="165" ht="14.25" customHeight="1">
      <c r="A165" s="4"/>
      <c r="B165" s="4" t="s">
        <v>4</v>
      </c>
      <c r="C165" s="4" t="s">
        <v>314</v>
      </c>
      <c r="D165" s="4" t="s">
        <v>315</v>
      </c>
      <c r="E165" s="5">
        <v>3.38352678684297</v>
      </c>
    </row>
    <row r="166" ht="14.25" customHeight="1">
      <c r="A166" s="4"/>
      <c r="B166" s="4" t="s">
        <v>4</v>
      </c>
      <c r="C166" s="4" t="s">
        <v>316</v>
      </c>
      <c r="D166" s="4" t="s">
        <v>317</v>
      </c>
      <c r="E166" s="5">
        <v>2.5453472056810598</v>
      </c>
    </row>
    <row r="167" ht="14.25" customHeight="1">
      <c r="A167" s="4"/>
      <c r="B167" s="4" t="s">
        <v>4</v>
      </c>
      <c r="C167" s="4" t="s">
        <v>318</v>
      </c>
      <c r="D167" s="4" t="s">
        <v>319</v>
      </c>
      <c r="E167" s="5">
        <v>0.126997694215295</v>
      </c>
    </row>
    <row r="168" ht="14.25" customHeight="1">
      <c r="A168" s="4"/>
      <c r="B168" s="4" t="s">
        <v>4</v>
      </c>
      <c r="C168" s="4" t="s">
        <v>320</v>
      </c>
      <c r="D168" s="4" t="s">
        <v>30</v>
      </c>
      <c r="E168" s="5">
        <v>7.0685416625651705</v>
      </c>
    </row>
    <row r="169" ht="14.25" customHeight="1">
      <c r="A169" s="4"/>
      <c r="B169" s="4" t="s">
        <v>4</v>
      </c>
      <c r="C169" s="4" t="s">
        <v>321</v>
      </c>
      <c r="D169" s="4" t="s">
        <v>322</v>
      </c>
      <c r="E169" s="5">
        <v>445.823901822911</v>
      </c>
    </row>
    <row r="170" ht="14.25" customHeight="1">
      <c r="A170" s="4"/>
      <c r="B170" s="4" t="s">
        <v>4</v>
      </c>
      <c r="C170" s="4" t="s">
        <v>323</v>
      </c>
      <c r="D170" s="4" t="s">
        <v>324</v>
      </c>
      <c r="E170" s="5">
        <v>35.4441308628584</v>
      </c>
    </row>
    <row r="171" ht="14.25" customHeight="1">
      <c r="A171" s="4"/>
      <c r="B171" s="4" t="s">
        <v>4</v>
      </c>
      <c r="C171" s="4" t="s">
        <v>325</v>
      </c>
      <c r="D171" s="4" t="s">
        <v>326</v>
      </c>
      <c r="E171" s="5">
        <v>1.68190310943642</v>
      </c>
    </row>
    <row r="172" ht="14.25" customHeight="1">
      <c r="A172" s="4"/>
      <c r="B172" s="4" t="s">
        <v>4</v>
      </c>
      <c r="C172" s="4" t="s">
        <v>327</v>
      </c>
      <c r="D172" s="4" t="s">
        <v>328</v>
      </c>
      <c r="E172" s="5">
        <v>7.14291099020087</v>
      </c>
    </row>
    <row r="173" ht="14.25" customHeight="1">
      <c r="A173" s="4"/>
      <c r="B173" s="4" t="s">
        <v>4</v>
      </c>
      <c r="C173" s="4" t="s">
        <v>329</v>
      </c>
      <c r="D173" s="4" t="s">
        <v>30</v>
      </c>
      <c r="E173" s="5">
        <v>7.0685416625651705</v>
      </c>
    </row>
    <row r="174" ht="14.25" customHeight="1">
      <c r="A174" s="4"/>
      <c r="B174" s="4" t="s">
        <v>4</v>
      </c>
      <c r="C174" s="4" t="s">
        <v>330</v>
      </c>
      <c r="D174" s="4" t="s">
        <v>73</v>
      </c>
      <c r="E174" s="5">
        <v>0.706854166256517</v>
      </c>
    </row>
    <row r="175" ht="14.25" customHeight="1">
      <c r="A175" s="4"/>
      <c r="B175" s="4" t="s">
        <v>4</v>
      </c>
      <c r="C175" s="4" t="s">
        <v>331</v>
      </c>
      <c r="D175" s="4" t="s">
        <v>332</v>
      </c>
      <c r="E175" s="5">
        <v>2.05678453076592</v>
      </c>
    </row>
    <row r="176" ht="14.25" customHeight="1">
      <c r="A176" s="4"/>
      <c r="B176" s="4" t="s">
        <v>4</v>
      </c>
      <c r="C176" s="4" t="s">
        <v>333</v>
      </c>
      <c r="D176" s="4" t="s">
        <v>334</v>
      </c>
      <c r="E176" s="5">
        <v>2.78820024562076</v>
      </c>
    </row>
    <row r="177" ht="14.25" customHeight="1">
      <c r="A177" s="4"/>
      <c r="B177" s="4" t="s">
        <v>4</v>
      </c>
      <c r="C177" s="4" t="s">
        <v>335</v>
      </c>
      <c r="D177" s="4" t="s">
        <v>30</v>
      </c>
      <c r="E177" s="5">
        <v>7.0685416625651705</v>
      </c>
    </row>
    <row r="178" ht="14.25" customHeight="1">
      <c r="A178" s="4"/>
      <c r="B178" s="4" t="s">
        <v>4</v>
      </c>
      <c r="C178" s="4" t="s">
        <v>336</v>
      </c>
      <c r="D178" s="4" t="s">
        <v>337</v>
      </c>
      <c r="E178" s="5">
        <v>1.30616003319251</v>
      </c>
    </row>
    <row r="179" ht="14.25" customHeight="1">
      <c r="A179" s="4"/>
      <c r="B179" s="4" t="s">
        <v>4</v>
      </c>
      <c r="C179" s="4" t="s">
        <v>338</v>
      </c>
      <c r="D179" s="4" t="s">
        <v>339</v>
      </c>
      <c r="E179" s="5">
        <v>35.4840791460771</v>
      </c>
    </row>
    <row r="180" ht="14.25" customHeight="1">
      <c r="A180" s="4"/>
      <c r="B180" s="4" t="s">
        <v>4</v>
      </c>
      <c r="C180" s="4" t="s">
        <v>340</v>
      </c>
      <c r="D180" s="4" t="s">
        <v>341</v>
      </c>
      <c r="E180" s="5">
        <v>77.9253155162334</v>
      </c>
    </row>
    <row r="181" ht="14.25" customHeight="1">
      <c r="A181" s="4"/>
      <c r="B181" s="4" t="s">
        <v>4</v>
      </c>
      <c r="C181" s="4" t="s">
        <v>342</v>
      </c>
      <c r="D181" s="4" t="s">
        <v>343</v>
      </c>
      <c r="E181" s="5">
        <v>3.76036297421162</v>
      </c>
    </row>
    <row r="182" ht="14.25" customHeight="1">
      <c r="A182" s="4"/>
      <c r="B182" s="4" t="s">
        <v>4</v>
      </c>
      <c r="C182" s="4" t="s">
        <v>344</v>
      </c>
      <c r="D182" s="4" t="s">
        <v>345</v>
      </c>
      <c r="E182" s="5">
        <v>0.529537777105344</v>
      </c>
    </row>
    <row r="183" ht="14.25" customHeight="1">
      <c r="A183" s="4"/>
      <c r="B183" s="4" t="s">
        <v>4</v>
      </c>
      <c r="C183" s="4" t="s">
        <v>346</v>
      </c>
      <c r="D183" s="4" t="s">
        <v>347</v>
      </c>
      <c r="E183" s="5">
        <v>6.21806124968083</v>
      </c>
    </row>
    <row r="184" ht="14.25" customHeight="1">
      <c r="A184" s="4"/>
      <c r="B184" s="4" t="s">
        <v>4</v>
      </c>
      <c r="C184" s="4" t="s">
        <v>348</v>
      </c>
      <c r="D184" s="4" t="s">
        <v>349</v>
      </c>
      <c r="E184" s="5">
        <v>6.42381699112533</v>
      </c>
    </row>
    <row r="185" ht="14.25" customHeight="1">
      <c r="A185" s="4"/>
      <c r="B185" s="4" t="s">
        <v>4</v>
      </c>
      <c r="C185" s="4" t="s">
        <v>350</v>
      </c>
      <c r="D185" s="4" t="s">
        <v>351</v>
      </c>
      <c r="E185" s="5">
        <v>13.5912338571783</v>
      </c>
    </row>
    <row r="186" ht="14.25" customHeight="1">
      <c r="A186" s="4"/>
      <c r="B186" s="4" t="s">
        <v>4</v>
      </c>
      <c r="C186" s="4" t="s">
        <v>352</v>
      </c>
      <c r="D186" s="4" t="s">
        <v>353</v>
      </c>
      <c r="E186" s="5">
        <v>3.18316651768904</v>
      </c>
    </row>
    <row r="187" ht="14.25" customHeight="1">
      <c r="A187" s="4"/>
      <c r="B187" s="4" t="s">
        <v>4</v>
      </c>
      <c r="C187" s="4" t="s">
        <v>354</v>
      </c>
      <c r="D187" s="4" t="s">
        <v>355</v>
      </c>
      <c r="E187" s="5">
        <v>7.09652624917547</v>
      </c>
    </row>
    <row r="188" ht="14.25" customHeight="1">
      <c r="A188" s="4"/>
      <c r="B188" s="4" t="s">
        <v>4</v>
      </c>
      <c r="C188" s="4" t="s">
        <v>356</v>
      </c>
      <c r="D188" s="4" t="s">
        <v>357</v>
      </c>
      <c r="E188" s="5">
        <v>6.69845152804393</v>
      </c>
    </row>
    <row r="189" ht="14.25" customHeight="1">
      <c r="A189" s="4"/>
      <c r="B189" s="4" t="s">
        <v>4</v>
      </c>
      <c r="C189" s="4" t="s">
        <v>358</v>
      </c>
      <c r="D189" s="4" t="s">
        <v>359</v>
      </c>
      <c r="E189" s="5">
        <v>7.675671346070461</v>
      </c>
    </row>
    <row r="190" ht="14.25" customHeight="1">
      <c r="A190" s="4"/>
      <c r="B190" s="4" t="s">
        <v>4</v>
      </c>
      <c r="C190" s="4" t="s">
        <v>360</v>
      </c>
      <c r="D190" s="4" t="s">
        <v>361</v>
      </c>
      <c r="E190" s="5">
        <v>7.277310591433889</v>
      </c>
    </row>
    <row r="191" ht="14.25" customHeight="1">
      <c r="A191" s="4"/>
      <c r="B191" s="4" t="s">
        <v>4</v>
      </c>
      <c r="C191" s="4" t="s">
        <v>362</v>
      </c>
      <c r="D191" s="4" t="s">
        <v>30</v>
      </c>
      <c r="E191" s="5">
        <v>7.0685416625651705</v>
      </c>
    </row>
    <row r="192" ht="14.25" customHeight="1">
      <c r="A192" s="4"/>
      <c r="B192" s="4" t="s">
        <v>4</v>
      </c>
      <c r="C192" s="4" t="s">
        <v>363</v>
      </c>
      <c r="D192" s="4" t="s">
        <v>364</v>
      </c>
      <c r="E192" s="5">
        <v>4.01663627115036</v>
      </c>
    </row>
    <row r="193" ht="14.25" customHeight="1">
      <c r="A193" s="4"/>
      <c r="B193" s="4" t="s">
        <v>4</v>
      </c>
      <c r="C193" s="4" t="s">
        <v>365</v>
      </c>
      <c r="D193" s="4" t="s">
        <v>366</v>
      </c>
      <c r="E193" s="5">
        <v>3.8638654821422196</v>
      </c>
    </row>
    <row r="194" ht="14.25" customHeight="1">
      <c r="A194" s="4"/>
      <c r="B194" s="4" t="s">
        <v>4</v>
      </c>
      <c r="C194" s="4" t="s">
        <v>367</v>
      </c>
      <c r="D194" s="4" t="s">
        <v>368</v>
      </c>
      <c r="E194" s="5">
        <v>353.42708312825795</v>
      </c>
    </row>
    <row r="195" ht="14.25" customHeight="1">
      <c r="A195" s="4"/>
      <c r="B195" s="4" t="s">
        <v>4</v>
      </c>
      <c r="C195" s="4" t="s">
        <v>369</v>
      </c>
      <c r="D195" s="4" t="s">
        <v>370</v>
      </c>
      <c r="E195" s="5">
        <v>89.54406081097011</v>
      </c>
    </row>
    <row r="196" ht="14.25" customHeight="1">
      <c r="A196" s="4"/>
      <c r="B196" s="4" t="s">
        <v>4</v>
      </c>
      <c r="C196" s="4" t="s">
        <v>371</v>
      </c>
      <c r="D196" s="4" t="s">
        <v>372</v>
      </c>
      <c r="E196" s="5">
        <v>66.075702192169</v>
      </c>
    </row>
    <row r="197" ht="14.25" customHeight="1">
      <c r="A197" s="4"/>
      <c r="B197" s="4" t="s">
        <v>4</v>
      </c>
      <c r="C197" s="4" t="s">
        <v>373</v>
      </c>
      <c r="D197" s="4" t="s">
        <v>374</v>
      </c>
      <c r="E197" s="5">
        <v>168.210266056007</v>
      </c>
    </row>
    <row r="198" ht="14.25" customHeight="1">
      <c r="A198" s="4"/>
      <c r="B198" s="4" t="s">
        <v>4</v>
      </c>
      <c r="C198" s="4" t="s">
        <v>375</v>
      </c>
      <c r="D198" s="4" t="s">
        <v>376</v>
      </c>
      <c r="E198" s="5">
        <v>7.35128332906777</v>
      </c>
    </row>
    <row r="199" ht="14.25" customHeight="1">
      <c r="A199" s="4"/>
      <c r="B199" s="4" t="s">
        <v>4</v>
      </c>
      <c r="C199" s="4" t="s">
        <v>377</v>
      </c>
      <c r="D199" s="4" t="s">
        <v>378</v>
      </c>
      <c r="E199" s="5">
        <v>7.18753171107481</v>
      </c>
    </row>
    <row r="200" ht="14.25" customHeight="1">
      <c r="A200" s="4"/>
      <c r="B200" s="4" t="s">
        <v>4</v>
      </c>
      <c r="C200" s="4" t="s">
        <v>379</v>
      </c>
      <c r="D200" s="4" t="s">
        <v>380</v>
      </c>
      <c r="E200" s="5">
        <v>7.14018878891986</v>
      </c>
    </row>
    <row r="201" ht="14.25" customHeight="1">
      <c r="A201" s="4"/>
      <c r="B201" s="4" t="s">
        <v>4</v>
      </c>
      <c r="C201" s="4" t="s">
        <v>381</v>
      </c>
      <c r="D201" s="4" t="s">
        <v>382</v>
      </c>
      <c r="E201" s="5">
        <v>7.02319609399498</v>
      </c>
    </row>
    <row r="202" ht="14.25" customHeight="1">
      <c r="A202" s="4"/>
      <c r="B202" s="4" t="s">
        <v>4</v>
      </c>
      <c r="C202" s="4" t="s">
        <v>383</v>
      </c>
      <c r="D202" s="4" t="s">
        <v>384</v>
      </c>
      <c r="E202" s="5">
        <v>38.3501645714678</v>
      </c>
    </row>
    <row r="203" ht="14.25" customHeight="1">
      <c r="A203" s="4"/>
      <c r="B203" s="4" t="s">
        <v>4</v>
      </c>
      <c r="C203" s="4" t="s">
        <v>385</v>
      </c>
      <c r="D203" s="4" t="s">
        <v>30</v>
      </c>
      <c r="E203" s="5">
        <v>7.0685416625651705</v>
      </c>
    </row>
    <row r="204" ht="14.25" customHeight="1">
      <c r="A204" s="4"/>
      <c r="B204" s="4" t="s">
        <v>4</v>
      </c>
      <c r="C204" s="4" t="s">
        <v>386</v>
      </c>
      <c r="D204" s="4" t="s">
        <v>30</v>
      </c>
      <c r="E204" s="5">
        <v>7.0685416625651705</v>
      </c>
    </row>
    <row r="205" ht="14.25" customHeight="1">
      <c r="A205" s="4"/>
      <c r="B205" s="4" t="s">
        <v>4</v>
      </c>
      <c r="C205" s="4" t="s">
        <v>387</v>
      </c>
      <c r="D205" s="4" t="s">
        <v>30</v>
      </c>
      <c r="E205" s="5">
        <v>7.0685416625651705</v>
      </c>
    </row>
    <row r="206" ht="14.25" customHeight="1">
      <c r="A206" s="4"/>
      <c r="B206" s="4" t="s">
        <v>4</v>
      </c>
      <c r="C206" s="4" t="s">
        <v>388</v>
      </c>
      <c r="D206" s="4" t="s">
        <v>389</v>
      </c>
      <c r="E206" s="5">
        <v>17.871869431499302</v>
      </c>
    </row>
    <row r="207" ht="14.25" customHeight="1">
      <c r="A207" s="4"/>
      <c r="B207" s="4" t="s">
        <v>4</v>
      </c>
      <c r="C207" s="4" t="s">
        <v>390</v>
      </c>
      <c r="D207" s="4" t="s">
        <v>391</v>
      </c>
      <c r="E207" s="5">
        <v>25.443807822964303</v>
      </c>
    </row>
    <row r="208" ht="14.25" customHeight="1">
      <c r="A208" s="4"/>
      <c r="B208" s="4" t="s">
        <v>4</v>
      </c>
      <c r="C208" s="4" t="s">
        <v>392</v>
      </c>
      <c r="D208" s="4" t="s">
        <v>393</v>
      </c>
      <c r="E208" s="5">
        <v>7.75176853620361</v>
      </c>
    </row>
    <row r="209" ht="14.25" customHeight="1">
      <c r="A209" s="4"/>
      <c r="B209" s="4" t="s">
        <v>4</v>
      </c>
      <c r="C209" s="4" t="s">
        <v>394</v>
      </c>
      <c r="D209" s="4" t="s">
        <v>395</v>
      </c>
      <c r="E209" s="5">
        <v>179.60257926017098</v>
      </c>
    </row>
    <row r="210" ht="14.25" customHeight="1">
      <c r="A210" s="4"/>
      <c r="B210" s="4" t="s">
        <v>4</v>
      </c>
      <c r="C210" s="4" t="s">
        <v>396</v>
      </c>
      <c r="D210" s="4" t="s">
        <v>397</v>
      </c>
      <c r="E210" s="5">
        <v>0.5062335068474499</v>
      </c>
    </row>
    <row r="211" ht="14.25" customHeight="1">
      <c r="A211" s="4"/>
      <c r="B211" s="4" t="s">
        <v>4</v>
      </c>
      <c r="C211" s="4" t="s">
        <v>398</v>
      </c>
      <c r="D211" s="4" t="s">
        <v>292</v>
      </c>
      <c r="E211" s="5">
        <v>530.281995525639</v>
      </c>
    </row>
    <row r="212" ht="14.25" customHeight="1">
      <c r="A212" s="4"/>
      <c r="B212" s="4" t="s">
        <v>4</v>
      </c>
      <c r="C212" s="4" t="s">
        <v>399</v>
      </c>
      <c r="D212" s="4" t="s">
        <v>160</v>
      </c>
      <c r="E212" s="5">
        <v>14.1370833251303</v>
      </c>
    </row>
    <row r="213" ht="14.25" customHeight="1">
      <c r="A213" s="4"/>
      <c r="B213" s="4" t="s">
        <v>4</v>
      </c>
      <c r="C213" s="4" t="s">
        <v>400</v>
      </c>
      <c r="D213" s="4" t="s">
        <v>30</v>
      </c>
      <c r="E213" s="5">
        <v>7.0685416625651705</v>
      </c>
    </row>
    <row r="214" ht="14.25" customHeight="1">
      <c r="A214" s="4"/>
      <c r="B214" s="4" t="s">
        <v>4</v>
      </c>
      <c r="C214" s="4" t="s">
        <v>401</v>
      </c>
      <c r="D214" s="4" t="s">
        <v>402</v>
      </c>
      <c r="E214" s="5">
        <v>106.02812493847699</v>
      </c>
    </row>
    <row r="215" ht="14.25" customHeight="1">
      <c r="A215" s="4"/>
      <c r="B215" s="4" t="s">
        <v>4</v>
      </c>
      <c r="C215" s="4" t="s">
        <v>403</v>
      </c>
      <c r="D215" s="4" t="s">
        <v>30</v>
      </c>
      <c r="E215" s="5">
        <v>7.0685416625651705</v>
      </c>
    </row>
    <row r="216" ht="14.25" customHeight="1">
      <c r="A216" s="4"/>
      <c r="B216" s="4" t="s">
        <v>4</v>
      </c>
      <c r="C216" s="4" t="s">
        <v>404</v>
      </c>
      <c r="D216" s="4" t="s">
        <v>405</v>
      </c>
      <c r="E216" s="5">
        <v>11.0556374928196</v>
      </c>
    </row>
    <row r="217" ht="14.25" customHeight="1">
      <c r="A217" s="4"/>
      <c r="B217" s="4" t="s">
        <v>4</v>
      </c>
      <c r="C217" s="4" t="s">
        <v>406</v>
      </c>
      <c r="D217" s="4" t="s">
        <v>407</v>
      </c>
      <c r="E217" s="5">
        <v>8.395307683048129</v>
      </c>
    </row>
    <row r="218" ht="14.25" customHeight="1">
      <c r="A218" s="4"/>
      <c r="B218" s="4" t="s">
        <v>4</v>
      </c>
      <c r="C218" s="4" t="s">
        <v>408</v>
      </c>
      <c r="D218" s="4" t="s">
        <v>409</v>
      </c>
      <c r="E218" s="5">
        <v>8.69055116009225</v>
      </c>
    </row>
    <row r="219" ht="14.25" customHeight="1">
      <c r="A219" s="4"/>
      <c r="B219" s="4" t="s">
        <v>4</v>
      </c>
      <c r="C219" s="4" t="s">
        <v>410</v>
      </c>
      <c r="D219" s="4" t="s">
        <v>411</v>
      </c>
      <c r="E219" s="5">
        <v>1.41370833251303</v>
      </c>
    </row>
    <row r="220" ht="14.25" customHeight="1">
      <c r="A220" s="4"/>
      <c r="B220" s="4" t="s">
        <v>4</v>
      </c>
      <c r="C220" s="4" t="s">
        <v>412</v>
      </c>
      <c r="D220" s="4" t="s">
        <v>413</v>
      </c>
      <c r="E220" s="5">
        <v>69.9233462683103</v>
      </c>
    </row>
    <row r="221" ht="14.25" customHeight="1">
      <c r="A221" s="4"/>
      <c r="B221" s="4" t="s">
        <v>4</v>
      </c>
      <c r="C221" s="4" t="s">
        <v>414</v>
      </c>
      <c r="D221" s="4" t="s">
        <v>415</v>
      </c>
      <c r="E221" s="5">
        <v>8.2996325706186</v>
      </c>
    </row>
    <row r="222" ht="14.25" customHeight="1">
      <c r="A222" s="4"/>
      <c r="B222" s="4" t="s">
        <v>4</v>
      </c>
      <c r="C222" s="4" t="s">
        <v>416</v>
      </c>
      <c r="D222" s="4" t="s">
        <v>30</v>
      </c>
      <c r="E222" s="5">
        <v>7.0685416625651705</v>
      </c>
    </row>
    <row r="223" ht="14.25" customHeight="1">
      <c r="A223" s="4"/>
      <c r="B223" s="4" t="s">
        <v>4</v>
      </c>
      <c r="C223" s="4" t="s">
        <v>417</v>
      </c>
      <c r="D223" s="4" t="s">
        <v>418</v>
      </c>
      <c r="E223" s="5">
        <v>662.45679578382</v>
      </c>
    </row>
    <row r="224" ht="14.25" customHeight="1">
      <c r="A224" s="4"/>
      <c r="B224" s="4" t="s">
        <v>4</v>
      </c>
      <c r="C224" s="4" t="s">
        <v>419</v>
      </c>
      <c r="D224" s="4" t="s">
        <v>420</v>
      </c>
      <c r="E224" s="5">
        <v>7.3339595201196</v>
      </c>
    </row>
    <row r="225" ht="14.25" customHeight="1">
      <c r="A225" s="4"/>
      <c r="B225" s="4" t="s">
        <v>4</v>
      </c>
      <c r="C225" s="4" t="s">
        <v>421</v>
      </c>
      <c r="D225" s="4" t="s">
        <v>422</v>
      </c>
      <c r="E225" s="5">
        <v>0.71254873977602</v>
      </c>
    </row>
    <row r="226" ht="14.25" customHeight="1">
      <c r="A226" s="4"/>
      <c r="B226" s="4" t="s">
        <v>4</v>
      </c>
      <c r="C226" s="4" t="s">
        <v>423</v>
      </c>
      <c r="D226" s="4" t="s">
        <v>424</v>
      </c>
      <c r="E226" s="5">
        <v>14.2564681160663</v>
      </c>
    </row>
    <row r="227" ht="14.25" customHeight="1">
      <c r="A227" s="4"/>
      <c r="B227" s="4" t="s">
        <v>4</v>
      </c>
      <c r="C227" s="4" t="s">
        <v>425</v>
      </c>
      <c r="D227" s="4" t="s">
        <v>426</v>
      </c>
      <c r="E227" s="5">
        <v>13.485686755547698</v>
      </c>
    </row>
    <row r="228" ht="14.25" customHeight="1">
      <c r="A228" s="4"/>
      <c r="B228" s="4" t="s">
        <v>4</v>
      </c>
      <c r="C228" s="4" t="s">
        <v>427</v>
      </c>
      <c r="D228" s="4" t="s">
        <v>428</v>
      </c>
      <c r="E228" s="5">
        <v>37.6795922251684</v>
      </c>
    </row>
    <row r="229" ht="14.25" customHeight="1">
      <c r="A229" s="4"/>
      <c r="B229" s="4" t="s">
        <v>4</v>
      </c>
      <c r="C229" s="4" t="s">
        <v>429</v>
      </c>
      <c r="D229" s="4" t="s">
        <v>430</v>
      </c>
      <c r="E229" s="5">
        <v>6.90412641538398</v>
      </c>
    </row>
    <row r="230" ht="14.25" customHeight="1">
      <c r="A230" s="4"/>
      <c r="B230" s="4" t="s">
        <v>4</v>
      </c>
      <c r="C230" s="4" t="s">
        <v>431</v>
      </c>
      <c r="D230" s="4" t="s">
        <v>432</v>
      </c>
      <c r="E230" s="5">
        <v>8.610540653977889</v>
      </c>
    </row>
    <row r="231" ht="14.25" customHeight="1">
      <c r="A231" s="4"/>
      <c r="B231" s="4" t="s">
        <v>4</v>
      </c>
      <c r="C231" s="4" t="s">
        <v>433</v>
      </c>
      <c r="D231" s="4" t="s">
        <v>434</v>
      </c>
      <c r="E231" s="5">
        <v>4.94988873950061</v>
      </c>
    </row>
    <row r="232" ht="14.25" customHeight="1">
      <c r="A232" s="4"/>
      <c r="B232" s="4" t="s">
        <v>4</v>
      </c>
      <c r="C232" s="4" t="s">
        <v>435</v>
      </c>
      <c r="D232" s="4" t="s">
        <v>436</v>
      </c>
      <c r="E232" s="5">
        <v>6.474279025497871</v>
      </c>
    </row>
    <row r="233" ht="14.25" customHeight="1">
      <c r="A233" s="4"/>
      <c r="B233" s="4" t="s">
        <v>4</v>
      </c>
      <c r="C233" s="4" t="s">
        <v>437</v>
      </c>
      <c r="D233" s="4" t="s">
        <v>438</v>
      </c>
      <c r="E233" s="5">
        <v>0.08163104801804179</v>
      </c>
    </row>
    <row r="234" ht="14.25" customHeight="1">
      <c r="A234" s="4"/>
      <c r="B234" s="4" t="s">
        <v>4</v>
      </c>
      <c r="C234" s="4" t="s">
        <v>439</v>
      </c>
      <c r="D234" s="4" t="s">
        <v>160</v>
      </c>
      <c r="E234" s="5">
        <v>14.1370833251303</v>
      </c>
    </row>
    <row r="235" ht="14.25" customHeight="1">
      <c r="A235" s="4"/>
      <c r="B235" s="4" t="s">
        <v>4</v>
      </c>
      <c r="C235" s="4" t="s">
        <v>440</v>
      </c>
      <c r="D235" s="4" t="s">
        <v>441</v>
      </c>
      <c r="E235" s="5">
        <v>0.18107933188629502</v>
      </c>
    </row>
    <row r="236" ht="14.25" customHeight="1">
      <c r="A236" s="4"/>
      <c r="B236" s="4" t="s">
        <v>4</v>
      </c>
      <c r="C236" s="4" t="s">
        <v>442</v>
      </c>
      <c r="D236" s="4" t="s">
        <v>443</v>
      </c>
      <c r="E236" s="5">
        <v>0.0536182860794274</v>
      </c>
    </row>
    <row r="237" ht="14.25" customHeight="1">
      <c r="A237" s="4"/>
      <c r="B237" s="4" t="s">
        <v>4</v>
      </c>
      <c r="C237" s="4" t="s">
        <v>444</v>
      </c>
      <c r="D237" s="4" t="s">
        <v>445</v>
      </c>
      <c r="E237" s="5">
        <v>7.36467938946517</v>
      </c>
    </row>
    <row r="238" ht="14.25" customHeight="1">
      <c r="A238" s="4"/>
      <c r="B238" s="4" t="s">
        <v>4</v>
      </c>
      <c r="C238" s="4" t="s">
        <v>446</v>
      </c>
      <c r="D238" s="4" t="s">
        <v>447</v>
      </c>
      <c r="E238" s="5">
        <v>46.5775502783894</v>
      </c>
    </row>
    <row r="239" ht="14.25" customHeight="1">
      <c r="A239" s="4"/>
      <c r="B239" s="4" t="s">
        <v>4</v>
      </c>
      <c r="C239" s="4" t="s">
        <v>448</v>
      </c>
      <c r="D239" s="4" t="s">
        <v>449</v>
      </c>
      <c r="E239" s="5">
        <v>45.3800374736684</v>
      </c>
    </row>
    <row r="240" ht="14.25" customHeight="1">
      <c r="A240" s="4"/>
      <c r="B240" s="4" t="s">
        <v>4</v>
      </c>
      <c r="C240" s="4" t="s">
        <v>450</v>
      </c>
      <c r="D240" s="4" t="s">
        <v>451</v>
      </c>
      <c r="E240" s="5">
        <v>24.7058005780649</v>
      </c>
    </row>
    <row r="241" ht="14.25" customHeight="1">
      <c r="A241" s="4"/>
      <c r="B241" s="4" t="s">
        <v>4</v>
      </c>
      <c r="C241" s="4" t="s">
        <v>452</v>
      </c>
      <c r="D241" s="4" t="s">
        <v>30</v>
      </c>
      <c r="E241" s="5">
        <v>7.0685416625651705</v>
      </c>
    </row>
    <row r="242" ht="14.25" customHeight="1">
      <c r="A242" s="4"/>
      <c r="B242" s="4" t="s">
        <v>4</v>
      </c>
      <c r="C242" s="4" t="s">
        <v>453</v>
      </c>
      <c r="D242" s="4" t="s">
        <v>454</v>
      </c>
      <c r="E242" s="5">
        <v>677.454402450619</v>
      </c>
    </row>
    <row r="243" ht="14.25" customHeight="1">
      <c r="A243" s="4"/>
      <c r="B243" s="4" t="s">
        <v>4</v>
      </c>
      <c r="C243" s="4" t="s">
        <v>455</v>
      </c>
      <c r="D243" s="4" t="s">
        <v>456</v>
      </c>
      <c r="E243" s="5">
        <v>49.4843415690193</v>
      </c>
    </row>
    <row r="244" ht="14.25" customHeight="1">
      <c r="A244" s="4"/>
      <c r="B244" s="4" t="s">
        <v>4</v>
      </c>
      <c r="C244" s="4" t="s">
        <v>457</v>
      </c>
      <c r="D244" s="4" t="s">
        <v>458</v>
      </c>
      <c r="E244" s="5">
        <v>7.18721096793873</v>
      </c>
    </row>
    <row r="245" ht="14.25" customHeight="1">
      <c r="A245" s="4"/>
      <c r="B245" s="4" t="s">
        <v>4</v>
      </c>
      <c r="C245" s="4" t="s">
        <v>459</v>
      </c>
      <c r="D245" s="4" t="s">
        <v>460</v>
      </c>
      <c r="E245" s="5">
        <v>15.133049108935</v>
      </c>
    </row>
    <row r="246" ht="14.25" customHeight="1">
      <c r="A246" s="4"/>
      <c r="B246" s="4" t="s">
        <v>4</v>
      </c>
      <c r="C246" s="4" t="s">
        <v>461</v>
      </c>
      <c r="D246" s="4" t="s">
        <v>462</v>
      </c>
      <c r="E246" s="5">
        <v>47.9247124721918</v>
      </c>
    </row>
    <row r="247" ht="14.25" customHeight="1">
      <c r="A247" s="4"/>
      <c r="B247" s="4" t="s">
        <v>4</v>
      </c>
      <c r="C247" s="4" t="s">
        <v>463</v>
      </c>
      <c r="D247" s="4" t="s">
        <v>464</v>
      </c>
      <c r="E247" s="5">
        <v>23.5420652868435</v>
      </c>
    </row>
    <row r="248" ht="14.25" customHeight="1">
      <c r="A248" s="4"/>
      <c r="B248" s="4" t="s">
        <v>4</v>
      </c>
      <c r="C248" s="4" t="s">
        <v>465</v>
      </c>
      <c r="D248" s="4" t="s">
        <v>466</v>
      </c>
      <c r="E248" s="5">
        <v>6.552811258619419</v>
      </c>
    </row>
    <row r="249" ht="14.25" customHeight="1">
      <c r="A249" s="4"/>
      <c r="B249" s="4" t="s">
        <v>4</v>
      </c>
      <c r="C249" s="4" t="s">
        <v>467</v>
      </c>
      <c r="D249" s="4" t="s">
        <v>468</v>
      </c>
      <c r="E249" s="5">
        <v>46.64985418351171</v>
      </c>
    </row>
    <row r="250" ht="14.25" customHeight="1">
      <c r="A250" s="4"/>
      <c r="B250" s="4" t="s">
        <v>4</v>
      </c>
      <c r="C250" s="4" t="s">
        <v>469</v>
      </c>
      <c r="D250" s="4" t="s">
        <v>470</v>
      </c>
      <c r="E250" s="5">
        <v>7.641093749006449</v>
      </c>
    </row>
    <row r="251" ht="14.25" customHeight="1">
      <c r="A251" s="4"/>
      <c r="B251" s="4" t="s">
        <v>4</v>
      </c>
      <c r="C251" s="4" t="s">
        <v>471</v>
      </c>
      <c r="D251" s="4" t="s">
        <v>472</v>
      </c>
      <c r="E251" s="5">
        <v>6.326898747707061</v>
      </c>
    </row>
    <row r="252" ht="14.25" customHeight="1">
      <c r="A252" s="4"/>
      <c r="B252" s="4" t="s">
        <v>4</v>
      </c>
      <c r="C252" s="4" t="s">
        <v>473</v>
      </c>
      <c r="D252" s="4" t="s">
        <v>474</v>
      </c>
      <c r="E252" s="5">
        <v>7.19461868961459</v>
      </c>
    </row>
    <row r="253" ht="14.25" customHeight="1">
      <c r="A253" s="4"/>
      <c r="B253" s="4" t="s">
        <v>4</v>
      </c>
      <c r="C253" s="4" t="s">
        <v>475</v>
      </c>
      <c r="D253" s="4" t="s">
        <v>476</v>
      </c>
      <c r="E253" s="5">
        <v>4004.6882888756</v>
      </c>
    </row>
    <row r="254" ht="14.25" customHeight="1">
      <c r="A254" s="4"/>
      <c r="B254" s="4" t="s">
        <v>4</v>
      </c>
      <c r="C254" s="4" t="s">
        <v>477</v>
      </c>
      <c r="D254" s="4" t="s">
        <v>30</v>
      </c>
      <c r="E254" s="5">
        <v>7.0685416625651705</v>
      </c>
    </row>
    <row r="255" ht="14.25" customHeight="1">
      <c r="A255" s="4"/>
      <c r="B255" s="4" t="s">
        <v>4</v>
      </c>
      <c r="C255" s="4" t="s">
        <v>478</v>
      </c>
      <c r="D255" s="4" t="s">
        <v>479</v>
      </c>
      <c r="E255" s="5">
        <v>2.90998376637022</v>
      </c>
    </row>
    <row r="256" ht="14.25" customHeight="1">
      <c r="A256" s="4"/>
      <c r="B256" s="4" t="s">
        <v>4</v>
      </c>
      <c r="C256" s="4" t="s">
        <v>480</v>
      </c>
      <c r="D256" s="4" t="s">
        <v>38</v>
      </c>
      <c r="E256" s="5">
        <v>28.2741666502606</v>
      </c>
    </row>
    <row r="257" ht="14.25" customHeight="1">
      <c r="A257" s="4"/>
      <c r="B257" s="4" t="s">
        <v>4</v>
      </c>
      <c r="C257" s="4" t="s">
        <v>481</v>
      </c>
      <c r="D257" s="4" t="s">
        <v>482</v>
      </c>
      <c r="E257" s="5">
        <v>9.452095466066229</v>
      </c>
    </row>
    <row r="258" ht="14.25" customHeight="1">
      <c r="A258" s="4"/>
      <c r="B258" s="4" t="s">
        <v>4</v>
      </c>
      <c r="C258" s="4" t="s">
        <v>483</v>
      </c>
      <c r="D258" s="4" t="s">
        <v>484</v>
      </c>
      <c r="E258" s="5">
        <v>7.82359168588681</v>
      </c>
    </row>
    <row r="259" ht="14.25" customHeight="1">
      <c r="A259" s="4"/>
      <c r="B259" s="4" t="s">
        <v>4</v>
      </c>
      <c r="C259" s="4" t="s">
        <v>485</v>
      </c>
      <c r="D259" s="4" t="s">
        <v>486</v>
      </c>
      <c r="E259" s="5">
        <v>44.309294782623</v>
      </c>
    </row>
    <row r="260" ht="14.25" customHeight="1">
      <c r="A260" s="4"/>
      <c r="B260" s="4" t="s">
        <v>4</v>
      </c>
      <c r="C260" s="4" t="s">
        <v>487</v>
      </c>
      <c r="D260" s="4" t="s">
        <v>488</v>
      </c>
      <c r="E260" s="5">
        <v>8.4822499950782</v>
      </c>
    </row>
    <row r="261" ht="14.25" customHeight="1">
      <c r="A261" s="4"/>
      <c r="B261" s="4" t="s">
        <v>4</v>
      </c>
      <c r="C261" s="4" t="s">
        <v>489</v>
      </c>
      <c r="D261" s="4" t="s">
        <v>490</v>
      </c>
      <c r="E261" s="5">
        <v>40.8348227535244</v>
      </c>
    </row>
    <row r="262" ht="14.25" customHeight="1">
      <c r="A262" s="4"/>
      <c r="B262" s="4" t="s">
        <v>4</v>
      </c>
      <c r="C262" s="4" t="s">
        <v>491</v>
      </c>
      <c r="D262" s="4" t="s">
        <v>492</v>
      </c>
      <c r="E262" s="5">
        <v>3.31826420721832</v>
      </c>
    </row>
    <row r="263" ht="14.25" customHeight="1">
      <c r="A263" s="4"/>
      <c r="B263" s="4" t="s">
        <v>4</v>
      </c>
      <c r="C263" s="4" t="s">
        <v>493</v>
      </c>
      <c r="D263" s="4" t="s">
        <v>494</v>
      </c>
      <c r="E263" s="5">
        <v>201.103506918102</v>
      </c>
    </row>
    <row r="264" ht="14.25" customHeight="1">
      <c r="A264" s="4"/>
      <c r="B264" s="4" t="s">
        <v>4</v>
      </c>
      <c r="C264" s="4" t="s">
        <v>495</v>
      </c>
      <c r="D264" s="4" t="s">
        <v>496</v>
      </c>
      <c r="E264" s="5">
        <v>49.925910914602696</v>
      </c>
    </row>
    <row r="265" ht="14.25" customHeight="1">
      <c r="A265" s="4"/>
      <c r="B265" s="4" t="s">
        <v>4</v>
      </c>
      <c r="C265" s="4" t="s">
        <v>497</v>
      </c>
      <c r="D265" s="4" t="s">
        <v>498</v>
      </c>
      <c r="E265" s="5">
        <v>0.48530887891796104</v>
      </c>
    </row>
    <row r="266" ht="14.25" customHeight="1">
      <c r="A266" s="4"/>
      <c r="B266" s="4" t="s">
        <v>4</v>
      </c>
      <c r="C266" s="4" t="s">
        <v>499</v>
      </c>
      <c r="D266" s="4" t="s">
        <v>500</v>
      </c>
      <c r="E266" s="5">
        <v>2.23914107670198</v>
      </c>
    </row>
    <row r="267" ht="14.25" customHeight="1">
      <c r="A267" s="4"/>
      <c r="B267" s="4" t="s">
        <v>4</v>
      </c>
      <c r="C267" s="4" t="s">
        <v>501</v>
      </c>
      <c r="D267" s="4" t="s">
        <v>502</v>
      </c>
      <c r="E267" s="5">
        <v>166.709035200748</v>
      </c>
    </row>
    <row r="268" ht="14.25" customHeight="1">
      <c r="A268" s="4"/>
      <c r="B268" s="4" t="s">
        <v>4</v>
      </c>
      <c r="C268" s="4" t="s">
        <v>503</v>
      </c>
      <c r="D268" s="4" t="s">
        <v>504</v>
      </c>
      <c r="E268" s="5">
        <v>76.43295825970091</v>
      </c>
    </row>
    <row r="269" ht="14.25" customHeight="1">
      <c r="A269" s="4"/>
      <c r="B269" s="4" t="s">
        <v>4</v>
      </c>
      <c r="C269" s="4" t="s">
        <v>505</v>
      </c>
      <c r="D269" s="4" t="s">
        <v>506</v>
      </c>
      <c r="E269" s="5">
        <v>174.954601565549</v>
      </c>
    </row>
    <row r="270" ht="14.25" customHeight="1">
      <c r="A270" s="4"/>
      <c r="B270" s="4" t="s">
        <v>4</v>
      </c>
      <c r="C270" s="4" t="s">
        <v>507</v>
      </c>
      <c r="D270" s="4" t="s">
        <v>508</v>
      </c>
      <c r="E270" s="5">
        <v>831.724548699463</v>
      </c>
    </row>
    <row r="271" ht="14.25" customHeight="1">
      <c r="A271" s="4"/>
      <c r="B271" s="4" t="s">
        <v>4</v>
      </c>
      <c r="C271" s="4" t="s">
        <v>509</v>
      </c>
      <c r="D271" s="4" t="s">
        <v>510</v>
      </c>
      <c r="E271" s="5">
        <v>12.111482367677999</v>
      </c>
    </row>
    <row r="272" ht="14.25" customHeight="1">
      <c r="A272" s="4"/>
      <c r="B272" s="4" t="s">
        <v>4</v>
      </c>
      <c r="C272" s="4" t="s">
        <v>511</v>
      </c>
      <c r="D272" s="4" t="s">
        <v>512</v>
      </c>
      <c r="E272" s="5">
        <v>7.1802246208337</v>
      </c>
    </row>
    <row r="273" ht="14.25" customHeight="1">
      <c r="A273" s="4"/>
      <c r="B273" s="4" t="s">
        <v>4</v>
      </c>
      <c r="C273" s="4" t="s">
        <v>513</v>
      </c>
      <c r="D273" s="4" t="s">
        <v>514</v>
      </c>
      <c r="E273" s="5">
        <v>1.7238329754330801</v>
      </c>
    </row>
    <row r="274" ht="14.25" customHeight="1">
      <c r="A274" s="4"/>
      <c r="B274" s="4" t="s">
        <v>4</v>
      </c>
      <c r="C274" s="4" t="s">
        <v>515</v>
      </c>
      <c r="D274" s="4" t="s">
        <v>516</v>
      </c>
      <c r="E274" s="5">
        <v>9.165783480801</v>
      </c>
    </row>
    <row r="275" ht="14.25" customHeight="1">
      <c r="A275" s="4"/>
      <c r="B275" s="4" t="s">
        <v>4</v>
      </c>
      <c r="C275" s="4" t="s">
        <v>517</v>
      </c>
      <c r="D275" s="4" t="s">
        <v>411</v>
      </c>
      <c r="E275" s="5">
        <v>1.41370833251303</v>
      </c>
    </row>
    <row r="276" ht="14.25" customHeight="1">
      <c r="A276" s="4"/>
      <c r="B276" s="4" t="s">
        <v>4</v>
      </c>
      <c r="C276" s="4" t="s">
        <v>518</v>
      </c>
      <c r="D276" s="4" t="s">
        <v>519</v>
      </c>
      <c r="E276" s="5">
        <v>5.3511873442206594</v>
      </c>
    </row>
    <row r="277" ht="14.25" customHeight="1">
      <c r="A277" s="4"/>
      <c r="B277" s="4" t="s">
        <v>4</v>
      </c>
      <c r="C277" s="4" t="s">
        <v>520</v>
      </c>
      <c r="D277" s="4" t="s">
        <v>521</v>
      </c>
      <c r="E277" s="5">
        <v>7.2135208739454</v>
      </c>
    </row>
    <row r="278" ht="14.25" customHeight="1">
      <c r="A278" s="4"/>
      <c r="B278" s="4" t="s">
        <v>4</v>
      </c>
      <c r="C278" s="4" t="s">
        <v>522</v>
      </c>
      <c r="D278" s="4" t="s">
        <v>523</v>
      </c>
      <c r="E278" s="5">
        <v>95.5898503681364</v>
      </c>
    </row>
    <row r="279" ht="14.25" customHeight="1">
      <c r="A279" s="4"/>
      <c r="B279" s="4" t="s">
        <v>4</v>
      </c>
      <c r="C279" s="4" t="s">
        <v>524</v>
      </c>
      <c r="D279" s="4" t="s">
        <v>525</v>
      </c>
      <c r="E279" s="5">
        <v>7.153223371585851</v>
      </c>
    </row>
    <row r="280" ht="14.25" customHeight="1">
      <c r="A280" s="4"/>
      <c r="B280" s="4" t="s">
        <v>4</v>
      </c>
      <c r="C280" s="4" t="s">
        <v>526</v>
      </c>
      <c r="D280" s="4" t="s">
        <v>527</v>
      </c>
      <c r="E280" s="5">
        <v>124.627733244829</v>
      </c>
    </row>
    <row r="281" ht="14.25" customHeight="1">
      <c r="A281" s="4"/>
      <c r="B281" s="4" t="s">
        <v>4</v>
      </c>
      <c r="C281" s="4" t="s">
        <v>528</v>
      </c>
      <c r="D281" s="4" t="s">
        <v>529</v>
      </c>
      <c r="E281" s="5">
        <v>600.8787873421151</v>
      </c>
    </row>
    <row r="282" ht="14.25" customHeight="1">
      <c r="A282" s="4"/>
      <c r="B282" s="4" t="s">
        <v>4</v>
      </c>
      <c r="C282" s="4" t="s">
        <v>530</v>
      </c>
      <c r="D282" s="4" t="s">
        <v>531</v>
      </c>
      <c r="E282" s="5">
        <v>10.086507822002801</v>
      </c>
    </row>
    <row r="283" ht="14.25" customHeight="1">
      <c r="A283" s="4"/>
      <c r="B283" s="4" t="s">
        <v>4</v>
      </c>
      <c r="C283" s="4" t="s">
        <v>532</v>
      </c>
      <c r="D283" s="4" t="s">
        <v>533</v>
      </c>
      <c r="E283" s="5">
        <v>138.682087535188</v>
      </c>
    </row>
    <row r="284" ht="14.25" customHeight="1">
      <c r="A284" s="4"/>
      <c r="B284" s="4" t="s">
        <v>4</v>
      </c>
      <c r="C284" s="4" t="s">
        <v>534</v>
      </c>
      <c r="D284" s="4" t="s">
        <v>535</v>
      </c>
      <c r="E284" s="5">
        <v>5750.40001333001</v>
      </c>
    </row>
    <row r="285" ht="14.25" customHeight="1">
      <c r="A285" s="4"/>
      <c r="B285" s="4" t="s">
        <v>4</v>
      </c>
      <c r="C285" s="4" t="s">
        <v>536</v>
      </c>
      <c r="D285" s="4" t="s">
        <v>537</v>
      </c>
      <c r="E285" s="5">
        <v>10.5346059364637</v>
      </c>
    </row>
    <row r="286" ht="14.25" customHeight="1">
      <c r="A286" s="4"/>
      <c r="B286" s="4" t="s">
        <v>4</v>
      </c>
      <c r="C286" s="4" t="s">
        <v>538</v>
      </c>
      <c r="D286" s="4" t="s">
        <v>539</v>
      </c>
      <c r="E286" s="5">
        <v>723.598847524948</v>
      </c>
    </row>
    <row r="287" ht="14.25" customHeight="1">
      <c r="A287" s="4"/>
      <c r="B287" s="4" t="s">
        <v>4</v>
      </c>
      <c r="C287" s="4" t="s">
        <v>540</v>
      </c>
      <c r="D287" s="4" t="s">
        <v>541</v>
      </c>
      <c r="E287" s="5">
        <v>2.32737975851373</v>
      </c>
    </row>
    <row r="288" ht="14.25" customHeight="1">
      <c r="A288" s="4"/>
      <c r="B288" s="4" t="s">
        <v>4</v>
      </c>
      <c r="C288" s="4" t="s">
        <v>542</v>
      </c>
      <c r="D288" s="4" t="s">
        <v>543</v>
      </c>
      <c r="E288" s="5">
        <v>938.485117331556</v>
      </c>
    </row>
    <row r="289" ht="14.25" customHeight="1">
      <c r="A289" s="4"/>
      <c r="B289" s="4" t="s">
        <v>4</v>
      </c>
      <c r="C289" s="4" t="s">
        <v>544</v>
      </c>
      <c r="D289" s="4" t="s">
        <v>545</v>
      </c>
      <c r="E289" s="5">
        <v>4.0594907994156</v>
      </c>
    </row>
    <row r="290" ht="14.25" customHeight="1">
      <c r="A290" s="4"/>
      <c r="B290" s="4" t="s">
        <v>4</v>
      </c>
      <c r="C290" s="4" t="s">
        <v>546</v>
      </c>
      <c r="D290" s="4" t="s">
        <v>30</v>
      </c>
      <c r="E290" s="5">
        <v>7.0685416625651705</v>
      </c>
    </row>
    <row r="291" ht="14.25" customHeight="1">
      <c r="A291" s="4"/>
      <c r="B291" s="4" t="s">
        <v>4</v>
      </c>
      <c r="C291" s="4" t="s">
        <v>547</v>
      </c>
      <c r="D291" s="4" t="s">
        <v>548</v>
      </c>
      <c r="E291" s="5">
        <v>6.8979971037755</v>
      </c>
    </row>
    <row r="292" ht="14.25" customHeight="1">
      <c r="A292" s="4"/>
      <c r="B292" s="4" t="s">
        <v>4</v>
      </c>
      <c r="C292" s="4" t="s">
        <v>549</v>
      </c>
      <c r="D292" s="4" t="s">
        <v>30</v>
      </c>
      <c r="E292" s="5">
        <v>7.0685416625651705</v>
      </c>
    </row>
    <row r="293" ht="14.25" customHeight="1">
      <c r="A293" s="4"/>
      <c r="B293" s="4" t="s">
        <v>4</v>
      </c>
      <c r="C293" s="4" t="s">
        <v>550</v>
      </c>
      <c r="D293" s="4" t="s">
        <v>551</v>
      </c>
      <c r="E293" s="5">
        <v>0.560586604862852</v>
      </c>
    </row>
    <row r="294" ht="14.25" customHeight="1">
      <c r="A294" s="4"/>
      <c r="B294" s="4" t="s">
        <v>4</v>
      </c>
      <c r="C294" s="4" t="s">
        <v>552</v>
      </c>
      <c r="D294" s="4" t="s">
        <v>553</v>
      </c>
      <c r="E294" s="5">
        <v>35.6221242622846</v>
      </c>
    </row>
    <row r="295" ht="14.25" customHeight="1">
      <c r="A295" s="4"/>
      <c r="B295" s="4" t="s">
        <v>4</v>
      </c>
      <c r="C295" s="4" t="s">
        <v>554</v>
      </c>
      <c r="D295" s="4" t="s">
        <v>555</v>
      </c>
      <c r="E295" s="5">
        <v>103.701535282226</v>
      </c>
    </row>
    <row r="296" ht="14.25" customHeight="1">
      <c r="A296" s="4"/>
      <c r="B296" s="4" t="s">
        <v>4</v>
      </c>
      <c r="C296" s="4" t="s">
        <v>556</v>
      </c>
      <c r="D296" s="4" t="s">
        <v>557</v>
      </c>
      <c r="E296" s="5">
        <v>8.88664658337801</v>
      </c>
    </row>
    <row r="297" ht="14.25" customHeight="1">
      <c r="A297" s="4"/>
      <c r="B297" s="4" t="s">
        <v>4</v>
      </c>
      <c r="C297" s="4" t="s">
        <v>558</v>
      </c>
      <c r="D297" s="4" t="s">
        <v>559</v>
      </c>
      <c r="E297" s="5">
        <v>716.462757833949</v>
      </c>
    </row>
    <row r="298" ht="14.25" customHeight="1">
      <c r="A298" s="4"/>
      <c r="B298" s="4" t="s">
        <v>4</v>
      </c>
      <c r="C298" s="4" t="s">
        <v>560</v>
      </c>
      <c r="D298" s="4" t="s">
        <v>561</v>
      </c>
      <c r="E298" s="5">
        <v>148.190865989072</v>
      </c>
    </row>
    <row r="299" ht="14.25" customHeight="1">
      <c r="A299" s="4"/>
      <c r="B299" s="4" t="s">
        <v>4</v>
      </c>
      <c r="C299" s="4" t="s">
        <v>562</v>
      </c>
      <c r="D299" s="4" t="s">
        <v>563</v>
      </c>
      <c r="E299" s="5">
        <v>52.5426652936683</v>
      </c>
    </row>
    <row r="300" ht="14.25" customHeight="1">
      <c r="A300" s="4"/>
      <c r="B300" s="4" t="s">
        <v>4</v>
      </c>
      <c r="C300" s="4" t="s">
        <v>564</v>
      </c>
      <c r="D300" s="4" t="s">
        <v>565</v>
      </c>
      <c r="E300" s="5">
        <v>5.798755624148501</v>
      </c>
    </row>
    <row r="301" ht="14.25" customHeight="1">
      <c r="A301" s="4"/>
      <c r="B301" s="4" t="s">
        <v>4</v>
      </c>
      <c r="C301" s="4" t="s">
        <v>566</v>
      </c>
      <c r="D301" s="4" t="s">
        <v>567</v>
      </c>
      <c r="E301" s="5">
        <v>3.53427083128258</v>
      </c>
    </row>
    <row r="302" ht="14.25" customHeight="1">
      <c r="A302" s="4"/>
      <c r="B302" s="4" t="s">
        <v>4</v>
      </c>
      <c r="C302" s="4" t="s">
        <v>568</v>
      </c>
      <c r="D302" s="4" t="s">
        <v>569</v>
      </c>
      <c r="E302" s="5">
        <v>604.360312149322</v>
      </c>
    </row>
    <row r="303" ht="14.25" customHeight="1">
      <c r="A303" s="4"/>
      <c r="B303" s="4" t="s">
        <v>4</v>
      </c>
      <c r="C303" s="4" t="s">
        <v>570</v>
      </c>
      <c r="D303" s="4" t="s">
        <v>571</v>
      </c>
      <c r="E303" s="5">
        <v>179.27671527306597</v>
      </c>
    </row>
    <row r="304" ht="14.25" customHeight="1">
      <c r="A304" s="4"/>
      <c r="B304" s="4" t="s">
        <v>4</v>
      </c>
      <c r="C304" s="4" t="s">
        <v>572</v>
      </c>
      <c r="D304" s="4" t="s">
        <v>573</v>
      </c>
      <c r="E304" s="5">
        <v>30.5001888473548</v>
      </c>
    </row>
    <row r="305" ht="14.25" customHeight="1">
      <c r="A305" s="4"/>
      <c r="B305" s="4" t="s">
        <v>4</v>
      </c>
      <c r="C305" s="4" t="s">
        <v>574</v>
      </c>
      <c r="D305" s="4" t="s">
        <v>575</v>
      </c>
      <c r="E305" s="5">
        <v>69.96972005980369</v>
      </c>
    </row>
    <row r="306" ht="14.25" customHeight="1">
      <c r="A306" s="4"/>
      <c r="B306" s="4" t="s">
        <v>4</v>
      </c>
      <c r="C306" s="4" t="s">
        <v>576</v>
      </c>
      <c r="D306" s="4" t="s">
        <v>577</v>
      </c>
      <c r="E306" s="5">
        <v>42.5735775712009</v>
      </c>
    </row>
    <row r="307" ht="14.25" customHeight="1">
      <c r="A307" s="4"/>
      <c r="B307" s="4" t="s">
        <v>4</v>
      </c>
      <c r="C307" s="4" t="s">
        <v>578</v>
      </c>
      <c r="D307" s="4" t="s">
        <v>30</v>
      </c>
      <c r="E307" s="5">
        <v>7.0685416625651705</v>
      </c>
    </row>
    <row r="308" ht="14.25" customHeight="1">
      <c r="A308" s="4"/>
      <c r="B308" s="4" t="s">
        <v>4</v>
      </c>
      <c r="C308" s="4" t="s">
        <v>579</v>
      </c>
      <c r="D308" s="4" t="s">
        <v>30</v>
      </c>
      <c r="E308" s="5">
        <v>7.0685416625651705</v>
      </c>
    </row>
    <row r="309" ht="14.25" customHeight="1">
      <c r="A309" s="4"/>
      <c r="B309" s="4" t="s">
        <v>4</v>
      </c>
      <c r="C309" s="4" t="s">
        <v>580</v>
      </c>
      <c r="D309" s="4" t="s">
        <v>581</v>
      </c>
      <c r="E309" s="5">
        <v>137.129708253764</v>
      </c>
    </row>
    <row r="310" ht="14.25" customHeight="1">
      <c r="A310" s="4"/>
      <c r="B310" s="4" t="s">
        <v>4</v>
      </c>
      <c r="C310" s="4" t="s">
        <v>582</v>
      </c>
      <c r="D310" s="4" t="s">
        <v>583</v>
      </c>
      <c r="E310" s="5">
        <v>2.45445927604051</v>
      </c>
    </row>
    <row r="311" ht="14.25" customHeight="1">
      <c r="A311" s="4"/>
      <c r="B311" s="4" t="s">
        <v>4</v>
      </c>
      <c r="C311" s="4" t="s">
        <v>584</v>
      </c>
      <c r="D311" s="4" t="s">
        <v>585</v>
      </c>
      <c r="E311" s="5">
        <v>6.2860856190569505</v>
      </c>
    </row>
    <row r="312" ht="14.25" customHeight="1">
      <c r="A312" s="4"/>
      <c r="B312" s="4" t="s">
        <v>4</v>
      </c>
      <c r="C312" s="4" t="s">
        <v>586</v>
      </c>
      <c r="D312" s="4" t="s">
        <v>209</v>
      </c>
      <c r="E312" s="5">
        <v>35.3427083128258</v>
      </c>
    </row>
    <row r="313" ht="14.25" customHeight="1">
      <c r="A313" s="4"/>
      <c r="B313" s="4" t="s">
        <v>4</v>
      </c>
      <c r="C313" s="4" t="s">
        <v>587</v>
      </c>
      <c r="D313" s="4" t="s">
        <v>588</v>
      </c>
      <c r="E313" s="5">
        <v>28.855697214493297</v>
      </c>
    </row>
    <row r="314" ht="14.25" customHeight="1">
      <c r="A314" s="4"/>
      <c r="B314" s="4" t="s">
        <v>4</v>
      </c>
      <c r="C314" s="4" t="s">
        <v>589</v>
      </c>
      <c r="D314" s="4" t="s">
        <v>590</v>
      </c>
      <c r="E314" s="5">
        <v>530.474471254894</v>
      </c>
    </row>
    <row r="315" ht="14.25" customHeight="1">
      <c r="A315" s="4"/>
      <c r="B315" s="4" t="s">
        <v>4</v>
      </c>
      <c r="C315" s="4" t="s">
        <v>591</v>
      </c>
      <c r="D315" s="4" t="s">
        <v>292</v>
      </c>
      <c r="E315" s="5">
        <v>530.281995525639</v>
      </c>
    </row>
    <row r="316" ht="14.25" customHeight="1">
      <c r="A316" s="4"/>
      <c r="B316" s="4" t="s">
        <v>4</v>
      </c>
      <c r="C316" s="4" t="s">
        <v>592</v>
      </c>
      <c r="D316" s="4" t="s">
        <v>593</v>
      </c>
      <c r="E316" s="5">
        <v>0.494116073757212</v>
      </c>
    </row>
    <row r="317" ht="14.25" customHeight="1">
      <c r="A317" s="4"/>
      <c r="B317" s="4" t="s">
        <v>4</v>
      </c>
      <c r="C317" s="4" t="s">
        <v>594</v>
      </c>
      <c r="D317" s="4" t="s">
        <v>595</v>
      </c>
      <c r="E317" s="5">
        <v>7.19189676061381</v>
      </c>
    </row>
    <row r="318" ht="14.25" customHeight="1">
      <c r="A318" s="4"/>
      <c r="B318" s="4" t="s">
        <v>4</v>
      </c>
      <c r="C318" s="4" t="s">
        <v>596</v>
      </c>
      <c r="D318" s="4" t="s">
        <v>597</v>
      </c>
      <c r="E318" s="5">
        <v>36.2934517119517</v>
      </c>
    </row>
    <row r="319" ht="14.25" customHeight="1">
      <c r="A319" s="4"/>
      <c r="B319" s="4" t="s">
        <v>4</v>
      </c>
      <c r="C319" s="4" t="s">
        <v>598</v>
      </c>
      <c r="D319" s="4" t="s">
        <v>599</v>
      </c>
      <c r="E319" s="5">
        <v>815.779706122019</v>
      </c>
    </row>
    <row r="320" ht="14.25" customHeight="1">
      <c r="A320" s="4"/>
      <c r="B320" s="4" t="s">
        <v>4</v>
      </c>
      <c r="C320" s="4" t="s">
        <v>600</v>
      </c>
      <c r="D320" s="4" t="s">
        <v>601</v>
      </c>
      <c r="E320" s="5">
        <v>2.08769989051014</v>
      </c>
    </row>
    <row r="321" ht="14.25" customHeight="1">
      <c r="A321" s="4"/>
      <c r="B321" s="4" t="s">
        <v>4</v>
      </c>
      <c r="C321" s="4" t="s">
        <v>602</v>
      </c>
      <c r="D321" s="4" t="s">
        <v>603</v>
      </c>
      <c r="E321" s="5">
        <v>5.7009141737989495</v>
      </c>
    </row>
    <row r="322" ht="14.25" customHeight="1">
      <c r="A322" s="4"/>
      <c r="B322" s="4" t="s">
        <v>4</v>
      </c>
      <c r="C322" s="4" t="s">
        <v>604</v>
      </c>
      <c r="D322" s="4" t="s">
        <v>605</v>
      </c>
      <c r="E322" s="5">
        <v>363.79376782724</v>
      </c>
    </row>
    <row r="323" ht="14.25" customHeight="1">
      <c r="A323" s="4"/>
      <c r="B323" s="4" t="s">
        <v>4</v>
      </c>
      <c r="C323" s="4" t="s">
        <v>606</v>
      </c>
      <c r="D323" s="4" t="s">
        <v>607</v>
      </c>
      <c r="E323" s="5">
        <v>7.40438293315776</v>
      </c>
    </row>
    <row r="324" ht="14.25" customHeight="1">
      <c r="A324" s="4"/>
      <c r="B324" s="4" t="s">
        <v>4</v>
      </c>
      <c r="C324" s="4" t="s">
        <v>608</v>
      </c>
      <c r="D324" s="4" t="s">
        <v>609</v>
      </c>
      <c r="E324" s="5">
        <v>6.96188602259841</v>
      </c>
    </row>
    <row r="325" ht="14.25" customHeight="1">
      <c r="A325" s="4"/>
      <c r="B325" s="4" t="s">
        <v>4</v>
      </c>
      <c r="C325" s="4" t="s">
        <v>610</v>
      </c>
      <c r="D325" s="4" t="s">
        <v>611</v>
      </c>
      <c r="E325" s="5">
        <v>169.064975267851</v>
      </c>
    </row>
    <row r="326" ht="14.25" customHeight="1">
      <c r="A326" s="4"/>
      <c r="B326" s="4" t="s">
        <v>4</v>
      </c>
      <c r="C326" s="4" t="s">
        <v>612</v>
      </c>
      <c r="D326" s="4" t="s">
        <v>259</v>
      </c>
      <c r="E326" s="5">
        <v>7.20991249581647</v>
      </c>
    </row>
    <row r="327" ht="14.25" customHeight="1">
      <c r="A327" s="4"/>
      <c r="B327" s="4" t="s">
        <v>4</v>
      </c>
      <c r="C327" s="4" t="s">
        <v>613</v>
      </c>
      <c r="D327" s="4" t="s">
        <v>614</v>
      </c>
      <c r="E327" s="5">
        <v>531.612719179033</v>
      </c>
    </row>
    <row r="328" ht="14.25" customHeight="1">
      <c r="A328" s="4"/>
      <c r="B328" s="4" t="s">
        <v>4</v>
      </c>
      <c r="C328" s="4" t="s">
        <v>615</v>
      </c>
      <c r="D328" s="4" t="s">
        <v>209</v>
      </c>
      <c r="E328" s="5">
        <v>35.3427083128258</v>
      </c>
    </row>
    <row r="329" ht="14.25" customHeight="1">
      <c r="A329" s="4"/>
      <c r="B329" s="4" t="s">
        <v>4</v>
      </c>
      <c r="C329" s="4" t="s">
        <v>616</v>
      </c>
      <c r="D329" s="4" t="s">
        <v>617</v>
      </c>
      <c r="E329" s="5">
        <v>0.583524325270736</v>
      </c>
    </row>
    <row r="330" ht="14.25" customHeight="1">
      <c r="A330" s="4"/>
      <c r="B330" s="4" t="s">
        <v>4</v>
      </c>
      <c r="C330" s="4" t="s">
        <v>618</v>
      </c>
      <c r="D330" s="4" t="s">
        <v>619</v>
      </c>
      <c r="E330" s="5">
        <v>3.84011064036416</v>
      </c>
    </row>
    <row r="331" ht="14.25" customHeight="1">
      <c r="A331" s="4"/>
      <c r="B331" s="4" t="s">
        <v>4</v>
      </c>
      <c r="C331" s="4" t="s">
        <v>620</v>
      </c>
      <c r="D331" s="4" t="s">
        <v>621</v>
      </c>
      <c r="E331" s="5">
        <v>0.301394828249144</v>
      </c>
    </row>
    <row r="332" ht="14.25" customHeight="1">
      <c r="A332" s="4"/>
      <c r="B332" s="4" t="s">
        <v>4</v>
      </c>
      <c r="C332" s="4" t="s">
        <v>622</v>
      </c>
      <c r="D332" s="4" t="s">
        <v>623</v>
      </c>
      <c r="E332" s="5">
        <v>35.469942062752</v>
      </c>
    </row>
    <row r="333" ht="14.25" customHeight="1">
      <c r="A333" s="4"/>
      <c r="B333" s="4" t="s">
        <v>4</v>
      </c>
      <c r="C333" s="4" t="s">
        <v>624</v>
      </c>
      <c r="D333" s="4" t="s">
        <v>625</v>
      </c>
      <c r="E333" s="5">
        <v>3.90197589087317</v>
      </c>
    </row>
    <row r="334" ht="14.25" customHeight="1">
      <c r="A334" s="4"/>
      <c r="B334" s="4" t="s">
        <v>4</v>
      </c>
      <c r="C334" s="4" t="s">
        <v>626</v>
      </c>
      <c r="D334" s="4" t="s">
        <v>627</v>
      </c>
      <c r="E334" s="5">
        <v>42.411249975391</v>
      </c>
    </row>
    <row r="335" ht="14.25" customHeight="1">
      <c r="A335" s="4"/>
      <c r="B335" s="4" t="s">
        <v>4</v>
      </c>
      <c r="C335" s="4" t="s">
        <v>628</v>
      </c>
      <c r="D335" s="4" t="s">
        <v>629</v>
      </c>
      <c r="E335" s="5">
        <v>19.328966542155502</v>
      </c>
    </row>
    <row r="336" ht="14.25" customHeight="1">
      <c r="A336" s="4"/>
      <c r="B336" s="4" t="s">
        <v>4</v>
      </c>
      <c r="C336" s="4" t="s">
        <v>630</v>
      </c>
      <c r="D336" s="4" t="s">
        <v>631</v>
      </c>
      <c r="E336" s="5">
        <v>42.8311213501474</v>
      </c>
    </row>
    <row r="337" ht="14.25" customHeight="1">
      <c r="A337" s="4"/>
      <c r="B337" s="4" t="s">
        <v>4</v>
      </c>
      <c r="C337" s="4" t="s">
        <v>632</v>
      </c>
      <c r="D337" s="4" t="s">
        <v>633</v>
      </c>
      <c r="E337" s="5">
        <v>61.6376832975682</v>
      </c>
    </row>
    <row r="338" ht="14.25" customHeight="1">
      <c r="A338" s="4"/>
      <c r="B338" s="4" t="s">
        <v>4</v>
      </c>
      <c r="C338" s="4" t="s">
        <v>634</v>
      </c>
      <c r="D338" s="4" t="s">
        <v>635</v>
      </c>
      <c r="E338" s="5">
        <v>2.13117909926914</v>
      </c>
    </row>
    <row r="339" ht="14.25" customHeight="1">
      <c r="A339" s="4"/>
      <c r="B339" s="4" t="s">
        <v>4</v>
      </c>
      <c r="C339" s="4" t="s">
        <v>636</v>
      </c>
      <c r="D339" s="4" t="s">
        <v>637</v>
      </c>
      <c r="E339" s="5">
        <v>62.013595684288106</v>
      </c>
    </row>
    <row r="340" ht="14.25" customHeight="1">
      <c r="A340" s="4"/>
      <c r="B340" s="4" t="s">
        <v>4</v>
      </c>
      <c r="C340" s="4" t="s">
        <v>638</v>
      </c>
      <c r="D340" s="4" t="s">
        <v>30</v>
      </c>
      <c r="E340" s="5">
        <v>7.0685416625651705</v>
      </c>
    </row>
    <row r="341" ht="14.25" customHeight="1">
      <c r="A341" s="4"/>
      <c r="B341" s="4" t="s">
        <v>4</v>
      </c>
      <c r="C341" s="4" t="s">
        <v>639</v>
      </c>
      <c r="D341" s="4" t="s">
        <v>640</v>
      </c>
      <c r="E341" s="5">
        <v>14.566356852721102</v>
      </c>
    </row>
    <row r="342" ht="14.25" customHeight="1">
      <c r="A342" s="4"/>
      <c r="B342" s="4" t="s">
        <v>4</v>
      </c>
      <c r="C342" s="4" t="s">
        <v>641</v>
      </c>
      <c r="D342" s="4" t="s">
        <v>642</v>
      </c>
      <c r="E342" s="5">
        <v>6.19617302622978</v>
      </c>
    </row>
    <row r="343" ht="14.25" customHeight="1">
      <c r="A343" s="4"/>
      <c r="B343" s="4" t="s">
        <v>4</v>
      </c>
      <c r="C343" s="4" t="s">
        <v>643</v>
      </c>
      <c r="D343" s="4" t="s">
        <v>644</v>
      </c>
      <c r="E343" s="5">
        <v>9.66133294454096</v>
      </c>
    </row>
    <row r="344" ht="14.25" customHeight="1">
      <c r="A344" s="4"/>
      <c r="B344" s="4" t="s">
        <v>4</v>
      </c>
      <c r="C344" s="4" t="s">
        <v>645</v>
      </c>
      <c r="D344" s="4" t="s">
        <v>646</v>
      </c>
      <c r="E344" s="5">
        <v>1.3153190685835898</v>
      </c>
    </row>
    <row r="345" ht="14.25" customHeight="1">
      <c r="A345" s="4"/>
      <c r="B345" s="4" t="s">
        <v>4</v>
      </c>
      <c r="C345" s="4" t="s">
        <v>647</v>
      </c>
      <c r="D345" s="4" t="s">
        <v>648</v>
      </c>
      <c r="E345" s="5">
        <v>2.52252491237929</v>
      </c>
    </row>
    <row r="346" ht="14.25" customHeight="1">
      <c r="A346" s="4"/>
      <c r="B346" s="4" t="s">
        <v>4</v>
      </c>
      <c r="C346" s="4" t="s">
        <v>649</v>
      </c>
      <c r="D346" s="4" t="s">
        <v>650</v>
      </c>
      <c r="E346" s="5">
        <v>149.853083246381</v>
      </c>
    </row>
    <row r="347" ht="14.25" customHeight="1">
      <c r="A347" s="4"/>
      <c r="B347" s="4" t="s">
        <v>4</v>
      </c>
      <c r="C347" s="4" t="s">
        <v>651</v>
      </c>
      <c r="D347" s="4" t="s">
        <v>652</v>
      </c>
      <c r="E347" s="5">
        <v>14.2326125027261</v>
      </c>
    </row>
    <row r="348" ht="14.25" customHeight="1">
      <c r="A348" s="4"/>
      <c r="B348" s="4" t="s">
        <v>4</v>
      </c>
      <c r="C348" s="4" t="s">
        <v>653</v>
      </c>
      <c r="D348" s="4" t="s">
        <v>654</v>
      </c>
      <c r="E348" s="5">
        <v>7.08683331221268</v>
      </c>
    </row>
    <row r="349" ht="14.25" customHeight="1">
      <c r="A349" s="4"/>
      <c r="B349" s="4" t="s">
        <v>4</v>
      </c>
      <c r="C349" s="4" t="s">
        <v>655</v>
      </c>
      <c r="D349" s="4" t="s">
        <v>656</v>
      </c>
      <c r="E349" s="5">
        <v>68.16055029034669</v>
      </c>
    </row>
    <row r="350" ht="14.25" customHeight="1">
      <c r="A350" s="4"/>
      <c r="B350" s="4" t="s">
        <v>4</v>
      </c>
      <c r="C350" s="4" t="s">
        <v>657</v>
      </c>
      <c r="D350" s="4" t="s">
        <v>658</v>
      </c>
      <c r="E350" s="5">
        <v>1.22546075727192</v>
      </c>
    </row>
    <row r="351" ht="14.25" customHeight="1">
      <c r="A351" s="4"/>
      <c r="B351" s="4" t="s">
        <v>4</v>
      </c>
      <c r="C351" s="4" t="s">
        <v>659</v>
      </c>
      <c r="D351" s="4" t="s">
        <v>660</v>
      </c>
      <c r="E351" s="5">
        <v>1.33000688443575</v>
      </c>
    </row>
    <row r="352" ht="14.25" customHeight="1">
      <c r="A352" s="4"/>
      <c r="B352" s="4" t="s">
        <v>4</v>
      </c>
      <c r="C352" s="4" t="s">
        <v>661</v>
      </c>
      <c r="D352" s="4" t="s">
        <v>30</v>
      </c>
      <c r="E352" s="5">
        <v>7.0685416625651705</v>
      </c>
    </row>
    <row r="353" ht="14.25" customHeight="1">
      <c r="A353" s="4"/>
      <c r="B353" s="4" t="s">
        <v>4</v>
      </c>
      <c r="C353" s="4" t="s">
        <v>662</v>
      </c>
      <c r="D353" s="4" t="s">
        <v>663</v>
      </c>
      <c r="E353" s="5">
        <v>30.8124180877947</v>
      </c>
    </row>
    <row r="354" ht="14.25" customHeight="1">
      <c r="A354" s="4"/>
      <c r="B354" s="4" t="s">
        <v>4</v>
      </c>
      <c r="C354" s="4" t="s">
        <v>664</v>
      </c>
      <c r="D354" s="4" t="s">
        <v>665</v>
      </c>
      <c r="E354" s="5">
        <v>24.877786010948398</v>
      </c>
    </row>
    <row r="355" ht="14.25" customHeight="1">
      <c r="A355" s="4"/>
      <c r="B355" s="4" t="s">
        <v>4</v>
      </c>
      <c r="C355" s="4" t="s">
        <v>666</v>
      </c>
      <c r="D355" s="4" t="s">
        <v>667</v>
      </c>
      <c r="E355" s="5">
        <v>5.47950509838293</v>
      </c>
    </row>
    <row r="356" ht="14.25" customHeight="1">
      <c r="A356" s="4"/>
      <c r="B356" s="4" t="s">
        <v>4</v>
      </c>
      <c r="C356" s="4" t="s">
        <v>668</v>
      </c>
      <c r="D356" s="4" t="s">
        <v>669</v>
      </c>
      <c r="E356" s="5">
        <v>0.0997210269304568</v>
      </c>
    </row>
    <row r="357" ht="14.25" customHeight="1">
      <c r="A357" s="4"/>
      <c r="B357" s="4" t="s">
        <v>4</v>
      </c>
      <c r="C357" s="4" t="s">
        <v>670</v>
      </c>
      <c r="D357" s="4" t="s">
        <v>30</v>
      </c>
      <c r="E357" s="5">
        <v>7.0685416625651705</v>
      </c>
    </row>
    <row r="358" ht="14.25" customHeight="1">
      <c r="A358" s="4"/>
      <c r="B358" s="4" t="s">
        <v>4</v>
      </c>
      <c r="C358" s="4" t="s">
        <v>671</v>
      </c>
      <c r="D358" s="4" t="s">
        <v>672</v>
      </c>
      <c r="E358" s="5">
        <v>7.4981440468469405</v>
      </c>
    </row>
    <row r="359" ht="14.25" customHeight="1">
      <c r="A359" s="4"/>
      <c r="B359" s="4" t="s">
        <v>4</v>
      </c>
      <c r="C359" s="4" t="s">
        <v>673</v>
      </c>
      <c r="D359" s="4" t="s">
        <v>674</v>
      </c>
      <c r="E359" s="5">
        <v>82.86895729812039</v>
      </c>
    </row>
    <row r="360" ht="14.25" customHeight="1">
      <c r="A360" s="4"/>
      <c r="B360" s="4" t="s">
        <v>4</v>
      </c>
      <c r="C360" s="4" t="s">
        <v>675</v>
      </c>
      <c r="D360" s="4" t="s">
        <v>676</v>
      </c>
      <c r="E360" s="5">
        <v>228.680579568591</v>
      </c>
    </row>
    <row r="361" ht="14.25" customHeight="1">
      <c r="A361" s="4"/>
      <c r="B361" s="4" t="s">
        <v>4</v>
      </c>
      <c r="C361" s="4" t="s">
        <v>677</v>
      </c>
      <c r="D361" s="4" t="s">
        <v>678</v>
      </c>
      <c r="E361" s="5">
        <v>1.29654687202944</v>
      </c>
    </row>
    <row r="362" ht="14.25" customHeight="1">
      <c r="A362" s="4"/>
      <c r="B362" s="4" t="s">
        <v>4</v>
      </c>
      <c r="C362" s="4" t="s">
        <v>679</v>
      </c>
      <c r="D362" s="4" t="s">
        <v>680</v>
      </c>
      <c r="E362" s="5">
        <v>49.9268027845954</v>
      </c>
    </row>
    <row r="363" ht="14.25" customHeight="1">
      <c r="A363" s="4"/>
      <c r="B363" s="4" t="s">
        <v>4</v>
      </c>
      <c r="C363" s="4" t="s">
        <v>681</v>
      </c>
      <c r="D363" s="4" t="s">
        <v>682</v>
      </c>
      <c r="E363" s="5">
        <v>6.28016565669381</v>
      </c>
    </row>
    <row r="364" ht="14.25" customHeight="1">
      <c r="A364" s="4"/>
      <c r="B364" s="4" t="s">
        <v>4</v>
      </c>
      <c r="C364" s="4" t="s">
        <v>683</v>
      </c>
      <c r="D364" s="4" t="s">
        <v>684</v>
      </c>
      <c r="E364" s="5">
        <v>2650.7031234619303</v>
      </c>
    </row>
    <row r="365" ht="14.25" customHeight="1">
      <c r="A365" s="4"/>
      <c r="B365" s="4" t="s">
        <v>4</v>
      </c>
      <c r="C365" s="4" t="s">
        <v>685</v>
      </c>
      <c r="D365" s="4" t="s">
        <v>686</v>
      </c>
      <c r="E365" s="5">
        <v>619.617114768975</v>
      </c>
    </row>
    <row r="366" ht="14.25" customHeight="1">
      <c r="A366" s="4"/>
      <c r="B366" s="4" t="s">
        <v>4</v>
      </c>
      <c r="C366" s="4" t="s">
        <v>687</v>
      </c>
      <c r="D366" s="4" t="s">
        <v>688</v>
      </c>
      <c r="E366" s="5">
        <v>6.60546709278916</v>
      </c>
    </row>
    <row r="367" ht="14.25" customHeight="1">
      <c r="A367" s="4"/>
      <c r="B367" s="4" t="s">
        <v>4</v>
      </c>
      <c r="C367" s="4" t="s">
        <v>689</v>
      </c>
      <c r="D367" s="4" t="s">
        <v>690</v>
      </c>
      <c r="E367" s="5">
        <v>14.1589383705454</v>
      </c>
    </row>
    <row r="368" ht="14.25" customHeight="1">
      <c r="A368" s="4"/>
      <c r="B368" s="4" t="s">
        <v>4</v>
      </c>
      <c r="C368" s="4" t="s">
        <v>691</v>
      </c>
      <c r="D368" s="4" t="s">
        <v>692</v>
      </c>
      <c r="E368" s="5">
        <v>26.9351156157587</v>
      </c>
    </row>
    <row r="369" ht="14.25" customHeight="1">
      <c r="A369" s="4"/>
      <c r="B369" s="4" t="s">
        <v>4</v>
      </c>
      <c r="C369" s="4" t="s">
        <v>693</v>
      </c>
      <c r="D369" s="4" t="s">
        <v>694</v>
      </c>
      <c r="E369" s="5">
        <v>6.30754189884287</v>
      </c>
    </row>
    <row r="370" ht="14.25" customHeight="1">
      <c r="A370" s="4"/>
      <c r="B370" s="4" t="s">
        <v>4</v>
      </c>
      <c r="C370" s="4" t="s">
        <v>695</v>
      </c>
      <c r="D370" s="4" t="s">
        <v>696</v>
      </c>
      <c r="E370" s="5">
        <v>45.73647510278639</v>
      </c>
    </row>
    <row r="371" ht="14.25" customHeight="1">
      <c r="A371" s="4"/>
      <c r="B371" s="4" t="s">
        <v>4</v>
      </c>
      <c r="C371" s="4" t="s">
        <v>697</v>
      </c>
      <c r="D371" s="4" t="s">
        <v>698</v>
      </c>
      <c r="E371" s="5">
        <v>7.19857276580045</v>
      </c>
    </row>
    <row r="372" ht="14.25" customHeight="1">
      <c r="A372" s="4"/>
      <c r="B372" s="4" t="s">
        <v>4</v>
      </c>
      <c r="C372" s="4" t="s">
        <v>699</v>
      </c>
      <c r="D372" s="4" t="s">
        <v>700</v>
      </c>
      <c r="E372" s="5">
        <v>389.904482650893</v>
      </c>
    </row>
    <row r="373" ht="14.25" customHeight="1">
      <c r="A373" s="4"/>
      <c r="B373" s="4" t="s">
        <v>4</v>
      </c>
      <c r="C373" s="4" t="s">
        <v>701</v>
      </c>
      <c r="D373" s="4" t="s">
        <v>702</v>
      </c>
      <c r="E373" s="5">
        <v>43.213064098264205</v>
      </c>
    </row>
    <row r="374" ht="14.25" customHeight="1">
      <c r="A374" s="4"/>
      <c r="B374" s="4" t="s">
        <v>4</v>
      </c>
      <c r="C374" s="4" t="s">
        <v>703</v>
      </c>
      <c r="D374" s="4" t="s">
        <v>30</v>
      </c>
      <c r="E374" s="5">
        <v>7.0685416625651705</v>
      </c>
    </row>
    <row r="375" ht="14.25" customHeight="1">
      <c r="A375" s="4"/>
      <c r="B375" s="4" t="s">
        <v>4</v>
      </c>
      <c r="C375" s="4" t="s">
        <v>704</v>
      </c>
      <c r="D375" s="4" t="s">
        <v>705</v>
      </c>
      <c r="E375" s="5">
        <v>8.19877029125505</v>
      </c>
    </row>
    <row r="376" ht="14.25" customHeight="1">
      <c r="A376" s="4"/>
      <c r="B376" s="4" t="s">
        <v>4</v>
      </c>
      <c r="C376" s="4" t="s">
        <v>706</v>
      </c>
      <c r="D376" s="4" t="s">
        <v>707</v>
      </c>
      <c r="E376" s="5">
        <v>1.8859585240385102</v>
      </c>
    </row>
    <row r="377" ht="14.25" customHeight="1">
      <c r="A377" s="4"/>
      <c r="B377" s="4" t="s">
        <v>4</v>
      </c>
      <c r="C377" s="4" t="s">
        <v>708</v>
      </c>
      <c r="D377" s="4" t="s">
        <v>30</v>
      </c>
      <c r="E377" s="5">
        <v>7.0685416625651705</v>
      </c>
    </row>
    <row r="378" ht="14.25" customHeight="1">
      <c r="A378" s="4"/>
      <c r="B378" s="4" t="s">
        <v>4</v>
      </c>
      <c r="C378" s="4" t="s">
        <v>709</v>
      </c>
      <c r="D378" s="4" t="s">
        <v>30</v>
      </c>
      <c r="E378" s="5">
        <v>7.0685416625651705</v>
      </c>
    </row>
    <row r="379" ht="14.25" customHeight="1">
      <c r="A379" s="4"/>
      <c r="B379" s="4" t="s">
        <v>4</v>
      </c>
      <c r="C379" s="4" t="s">
        <v>710</v>
      </c>
      <c r="D379" s="4" t="s">
        <v>711</v>
      </c>
      <c r="E379" s="5">
        <v>6.5058941960815595</v>
      </c>
    </row>
    <row r="380" ht="14.25" customHeight="1">
      <c r="A380" s="4"/>
      <c r="B380" s="4" t="s">
        <v>4</v>
      </c>
      <c r="C380" s="4" t="s">
        <v>712</v>
      </c>
      <c r="D380" s="4" t="s">
        <v>713</v>
      </c>
      <c r="E380" s="5">
        <v>6.2208689991727</v>
      </c>
    </row>
    <row r="381" ht="14.25" customHeight="1">
      <c r="A381" s="4"/>
      <c r="B381" s="4" t="s">
        <v>4</v>
      </c>
      <c r="C381" s="4" t="s">
        <v>714</v>
      </c>
      <c r="D381" s="4" t="s">
        <v>715</v>
      </c>
      <c r="E381" s="5">
        <v>12.0165208263607</v>
      </c>
    </row>
    <row r="382" ht="14.25" customHeight="1">
      <c r="A382" s="4"/>
      <c r="B382" s="4" t="s">
        <v>4</v>
      </c>
      <c r="C382" s="4" t="s">
        <v>716</v>
      </c>
      <c r="D382" s="4" t="s">
        <v>717</v>
      </c>
      <c r="E382" s="5">
        <v>6.9398701498981605</v>
      </c>
    </row>
    <row r="383" ht="14.25" customHeight="1">
      <c r="A383" s="4"/>
      <c r="B383" s="4" t="s">
        <v>4</v>
      </c>
      <c r="C383" s="4" t="s">
        <v>718</v>
      </c>
      <c r="D383" s="4" t="s">
        <v>719</v>
      </c>
      <c r="E383" s="5">
        <v>14.456430891007</v>
      </c>
    </row>
    <row r="384" ht="14.25" customHeight="1">
      <c r="A384" s="4"/>
      <c r="B384" s="4" t="s">
        <v>4</v>
      </c>
      <c r="C384" s="4" t="s">
        <v>720</v>
      </c>
      <c r="D384" s="4" t="s">
        <v>721</v>
      </c>
      <c r="E384" s="5">
        <v>3.86317780494055</v>
      </c>
    </row>
    <row r="385" ht="14.25" customHeight="1">
      <c r="A385" s="4"/>
      <c r="B385" s="4" t="s">
        <v>4</v>
      </c>
      <c r="C385" s="4" t="s">
        <v>722</v>
      </c>
      <c r="D385" s="4" t="s">
        <v>723</v>
      </c>
      <c r="E385" s="5">
        <v>107.740231749641</v>
      </c>
    </row>
    <row r="386" ht="14.25" customHeight="1">
      <c r="A386" s="4"/>
      <c r="B386" s="4" t="s">
        <v>4</v>
      </c>
      <c r="C386" s="4" t="s">
        <v>724</v>
      </c>
      <c r="D386" s="4" t="s">
        <v>725</v>
      </c>
      <c r="E386" s="5">
        <v>0.297508891385903</v>
      </c>
    </row>
    <row r="387" ht="14.25" customHeight="1">
      <c r="A387" s="4"/>
      <c r="B387" s="4" t="s">
        <v>4</v>
      </c>
      <c r="C387" s="4" t="s">
        <v>726</v>
      </c>
      <c r="D387" s="4" t="s">
        <v>30</v>
      </c>
      <c r="E387" s="5">
        <v>7.0685416625651705</v>
      </c>
    </row>
    <row r="388" ht="14.25" customHeight="1">
      <c r="A388" s="4"/>
      <c r="B388" s="4" t="s">
        <v>4</v>
      </c>
      <c r="C388" s="4" t="s">
        <v>727</v>
      </c>
      <c r="D388" s="4" t="s">
        <v>728</v>
      </c>
      <c r="E388" s="5">
        <v>7.095650389413099</v>
      </c>
    </row>
    <row r="389" ht="14.25" customHeight="1">
      <c r="A389" s="4"/>
      <c r="B389" s="4" t="s">
        <v>4</v>
      </c>
      <c r="C389" s="4" t="s">
        <v>729</v>
      </c>
      <c r="D389" s="4" t="s">
        <v>730</v>
      </c>
      <c r="E389" s="5">
        <v>8.23667375309538</v>
      </c>
    </row>
    <row r="390" ht="14.25" customHeight="1">
      <c r="A390" s="4"/>
      <c r="B390" s="4" t="s">
        <v>4</v>
      </c>
      <c r="C390" s="4" t="s">
        <v>731</v>
      </c>
      <c r="D390" s="4" t="s">
        <v>732</v>
      </c>
      <c r="E390" s="5">
        <v>7.1848351691655195</v>
      </c>
    </row>
    <row r="391" ht="14.25" customHeight="1">
      <c r="A391" s="4"/>
      <c r="B391" s="4" t="s">
        <v>4</v>
      </c>
      <c r="C391" s="4" t="s">
        <v>733</v>
      </c>
      <c r="D391" s="4" t="s">
        <v>30</v>
      </c>
      <c r="E391" s="5">
        <v>7.0685416625651705</v>
      </c>
    </row>
    <row r="392" ht="14.25" customHeight="1">
      <c r="A392" s="4"/>
      <c r="B392" s="4" t="s">
        <v>4</v>
      </c>
      <c r="C392" s="4" t="s">
        <v>734</v>
      </c>
      <c r="D392" s="4" t="s">
        <v>735</v>
      </c>
      <c r="E392" s="5">
        <v>36.163468283909395</v>
      </c>
    </row>
    <row r="393" ht="14.25" customHeight="1">
      <c r="A393" s="4"/>
      <c r="B393" s="4" t="s">
        <v>4</v>
      </c>
      <c r="C393" s="4" t="s">
        <v>736</v>
      </c>
      <c r="D393" s="4" t="s">
        <v>737</v>
      </c>
      <c r="E393" s="5">
        <v>8.07653325766332</v>
      </c>
    </row>
    <row r="394" ht="14.25" customHeight="1">
      <c r="A394" s="4"/>
      <c r="B394" s="4" t="s">
        <v>4</v>
      </c>
      <c r="C394" s="4" t="s">
        <v>738</v>
      </c>
      <c r="D394" s="4" t="s">
        <v>739</v>
      </c>
      <c r="E394" s="5">
        <v>79.68934304579649</v>
      </c>
    </row>
    <row r="395" ht="14.25" customHeight="1">
      <c r="A395" s="4"/>
      <c r="B395" s="4" t="s">
        <v>4</v>
      </c>
      <c r="C395" s="4" t="s">
        <v>740</v>
      </c>
      <c r="D395" s="4" t="s">
        <v>741</v>
      </c>
      <c r="E395" s="5">
        <v>7.443770655043051</v>
      </c>
    </row>
    <row r="396" ht="14.25" customHeight="1">
      <c r="A396" s="4"/>
      <c r="B396" s="4" t="s">
        <v>4</v>
      </c>
      <c r="C396" s="4" t="s">
        <v>742</v>
      </c>
      <c r="D396" s="4" t="s">
        <v>743</v>
      </c>
      <c r="E396" s="5">
        <v>204.29425051857402</v>
      </c>
    </row>
    <row r="397" ht="14.25" customHeight="1">
      <c r="A397" s="4"/>
      <c r="B397" s="4" t="s">
        <v>4</v>
      </c>
      <c r="C397" s="4" t="s">
        <v>744</v>
      </c>
      <c r="D397" s="4" t="s">
        <v>160</v>
      </c>
      <c r="E397" s="5">
        <v>14.1370833251303</v>
      </c>
    </row>
    <row r="398" ht="14.25" customHeight="1">
      <c r="A398" s="4"/>
      <c r="B398" s="4" t="s">
        <v>4</v>
      </c>
      <c r="C398" s="4" t="s">
        <v>745</v>
      </c>
      <c r="D398" s="4" t="s">
        <v>746</v>
      </c>
      <c r="E398" s="5">
        <v>13.1388898255861</v>
      </c>
    </row>
    <row r="399" ht="14.25" customHeight="1">
      <c r="A399" s="4"/>
      <c r="B399" s="4" t="s">
        <v>4</v>
      </c>
      <c r="C399" s="4" t="s">
        <v>747</v>
      </c>
      <c r="D399" s="4" t="s">
        <v>748</v>
      </c>
      <c r="E399" s="5">
        <v>35.6053868481017</v>
      </c>
    </row>
    <row r="400" ht="14.25" customHeight="1">
      <c r="A400" s="4"/>
      <c r="B400" s="4" t="s">
        <v>4</v>
      </c>
      <c r="C400" s="4" t="s">
        <v>749</v>
      </c>
      <c r="D400" s="4" t="s">
        <v>750</v>
      </c>
      <c r="E400" s="5">
        <v>141.370833251303</v>
      </c>
    </row>
    <row r="401" ht="14.25" customHeight="1">
      <c r="A401" s="4"/>
      <c r="B401" s="4" t="s">
        <v>4</v>
      </c>
      <c r="C401" s="4" t="s">
        <v>751</v>
      </c>
      <c r="D401" s="4" t="s">
        <v>752</v>
      </c>
      <c r="E401" s="5">
        <v>112.802892300992</v>
      </c>
    </row>
    <row r="402" ht="14.25" customHeight="1">
      <c r="A402" s="4"/>
      <c r="B402" s="4" t="s">
        <v>4</v>
      </c>
      <c r="C402" s="4" t="s">
        <v>753</v>
      </c>
      <c r="D402" s="4" t="s">
        <v>754</v>
      </c>
      <c r="E402" s="5">
        <v>20.5211172066985</v>
      </c>
    </row>
    <row r="403" ht="14.25" customHeight="1">
      <c r="A403" s="4"/>
      <c r="B403" s="4" t="s">
        <v>4</v>
      </c>
      <c r="C403" s="4" t="s">
        <v>755</v>
      </c>
      <c r="D403" s="4" t="s">
        <v>756</v>
      </c>
      <c r="E403" s="5">
        <v>2.86936371576371</v>
      </c>
    </row>
    <row r="404" ht="14.25" customHeight="1">
      <c r="A404" s="4"/>
      <c r="B404" s="4" t="s">
        <v>4</v>
      </c>
      <c r="C404" s="4" t="s">
        <v>757</v>
      </c>
      <c r="D404" s="4" t="s">
        <v>758</v>
      </c>
      <c r="E404" s="5">
        <v>3.08109716130622</v>
      </c>
    </row>
    <row r="405" ht="14.25" customHeight="1">
      <c r="A405" s="4"/>
      <c r="B405" s="4" t="s">
        <v>4</v>
      </c>
      <c r="C405" s="4" t="s">
        <v>759</v>
      </c>
      <c r="D405" s="4" t="s">
        <v>760</v>
      </c>
      <c r="E405" s="5">
        <v>36.0495624790823</v>
      </c>
    </row>
    <row r="406" ht="14.25" customHeight="1">
      <c r="A406" s="4"/>
      <c r="B406" s="4" t="s">
        <v>4</v>
      </c>
      <c r="C406" s="4" t="s">
        <v>761</v>
      </c>
      <c r="D406" s="4" t="s">
        <v>762</v>
      </c>
      <c r="E406" s="5">
        <v>376.26853315478803</v>
      </c>
    </row>
    <row r="407" ht="14.25" customHeight="1">
      <c r="A407" s="4"/>
      <c r="B407" s="4" t="s">
        <v>4</v>
      </c>
      <c r="C407" s="4" t="s">
        <v>763</v>
      </c>
      <c r="D407" s="4" t="s">
        <v>488</v>
      </c>
      <c r="E407" s="5">
        <v>8.4822499950782</v>
      </c>
    </row>
    <row r="408" ht="14.25" customHeight="1">
      <c r="A408" s="4"/>
      <c r="B408" s="4" t="s">
        <v>4</v>
      </c>
      <c r="C408" s="4" t="s">
        <v>764</v>
      </c>
      <c r="D408" s="4" t="s">
        <v>765</v>
      </c>
      <c r="E408" s="5">
        <v>7.24574186643696</v>
      </c>
    </row>
    <row r="409" ht="14.25" customHeight="1">
      <c r="A409" s="4"/>
      <c r="B409" s="4" t="s">
        <v>4</v>
      </c>
      <c r="C409" s="4" t="s">
        <v>766</v>
      </c>
      <c r="D409" s="4" t="s">
        <v>767</v>
      </c>
      <c r="E409" s="5">
        <v>28.720617915452802</v>
      </c>
    </row>
    <row r="410" ht="14.25" customHeight="1">
      <c r="A410" s="4"/>
      <c r="B410" s="4" t="s">
        <v>4</v>
      </c>
      <c r="C410" s="4" t="s">
        <v>768</v>
      </c>
      <c r="D410" s="4" t="s">
        <v>30</v>
      </c>
      <c r="E410" s="5">
        <v>7.0685416625651705</v>
      </c>
    </row>
    <row r="411" ht="14.25" customHeight="1">
      <c r="A411" s="4"/>
      <c r="B411" s="4" t="s">
        <v>4</v>
      </c>
      <c r="C411" s="4" t="s">
        <v>769</v>
      </c>
      <c r="D411" s="4" t="s">
        <v>770</v>
      </c>
      <c r="E411" s="5">
        <v>6.59436818505336</v>
      </c>
    </row>
    <row r="412" ht="14.25" customHeight="1">
      <c r="A412" s="4"/>
      <c r="B412" s="4" t="s">
        <v>4</v>
      </c>
      <c r="C412" s="4" t="s">
        <v>771</v>
      </c>
      <c r="D412" s="4" t="s">
        <v>772</v>
      </c>
      <c r="E412" s="5">
        <v>2.8241419378971404</v>
      </c>
    </row>
    <row r="413" ht="14.25" customHeight="1">
      <c r="A413" s="4"/>
      <c r="B413" s="4" t="s">
        <v>4</v>
      </c>
      <c r="C413" s="4" t="s">
        <v>773</v>
      </c>
      <c r="D413" s="4" t="s">
        <v>774</v>
      </c>
      <c r="E413" s="5">
        <v>7.29066733122703</v>
      </c>
    </row>
    <row r="414" ht="14.25" customHeight="1">
      <c r="A414" s="4"/>
      <c r="B414" s="4" t="s">
        <v>4</v>
      </c>
      <c r="C414" s="4" t="s">
        <v>775</v>
      </c>
      <c r="D414" s="4" t="s">
        <v>776</v>
      </c>
      <c r="E414" s="5">
        <v>1.32875926871597</v>
      </c>
    </row>
    <row r="415" ht="14.25" customHeight="1">
      <c r="A415" s="4"/>
      <c r="B415" s="4" t="s">
        <v>4</v>
      </c>
      <c r="C415" s="4" t="s">
        <v>777</v>
      </c>
      <c r="D415" s="4" t="s">
        <v>160</v>
      </c>
      <c r="E415" s="5">
        <v>14.1370833251303</v>
      </c>
    </row>
    <row r="416" ht="14.25" customHeight="1">
      <c r="A416" s="4"/>
      <c r="B416" s="4" t="s">
        <v>4</v>
      </c>
      <c r="C416" s="4" t="s">
        <v>778</v>
      </c>
      <c r="D416" s="4" t="s">
        <v>779</v>
      </c>
      <c r="E416" s="5">
        <v>1536.89827248856</v>
      </c>
    </row>
    <row r="417" ht="14.25" customHeight="1">
      <c r="A417" s="4"/>
      <c r="B417" s="4" t="s">
        <v>4</v>
      </c>
      <c r="C417" s="4" t="s">
        <v>780</v>
      </c>
      <c r="D417" s="4" t="s">
        <v>781</v>
      </c>
      <c r="E417" s="5">
        <v>1.29375904836494</v>
      </c>
    </row>
    <row r="418" ht="14.25" customHeight="1">
      <c r="A418" s="4"/>
      <c r="B418" s="4" t="s">
        <v>4</v>
      </c>
      <c r="C418" s="4" t="s">
        <v>782</v>
      </c>
      <c r="D418" s="4" t="s">
        <v>783</v>
      </c>
      <c r="E418" s="5">
        <v>2.6562804222412297</v>
      </c>
    </row>
    <row r="419" ht="14.25" customHeight="1">
      <c r="A419" s="4"/>
      <c r="B419" s="4" t="s">
        <v>4</v>
      </c>
      <c r="C419" s="4" t="s">
        <v>784</v>
      </c>
      <c r="D419" s="4" t="s">
        <v>785</v>
      </c>
      <c r="E419" s="5">
        <v>803.6957506744039</v>
      </c>
    </row>
    <row r="420" ht="14.25" customHeight="1">
      <c r="A420" s="4"/>
      <c r="B420" s="4" t="s">
        <v>4</v>
      </c>
      <c r="C420" s="4" t="s">
        <v>786</v>
      </c>
      <c r="D420" s="4" t="s">
        <v>787</v>
      </c>
      <c r="E420" s="5">
        <v>7.13449623375175</v>
      </c>
    </row>
    <row r="421" ht="14.25" customHeight="1">
      <c r="A421" s="4"/>
      <c r="B421" s="4" t="s">
        <v>4</v>
      </c>
      <c r="C421" s="4" t="s">
        <v>788</v>
      </c>
      <c r="D421" s="4" t="s">
        <v>627</v>
      </c>
      <c r="E421" s="5">
        <v>42.411249975391</v>
      </c>
    </row>
    <row r="422" ht="14.25" customHeight="1">
      <c r="A422" s="4"/>
      <c r="B422" s="4" t="s">
        <v>4</v>
      </c>
      <c r="C422" s="4" t="s">
        <v>789</v>
      </c>
      <c r="D422" s="4" t="s">
        <v>259</v>
      </c>
      <c r="E422" s="5">
        <v>7.20991249581647</v>
      </c>
    </row>
    <row r="423" ht="14.25" customHeight="1">
      <c r="A423" s="4"/>
      <c r="B423" s="4" t="s">
        <v>4</v>
      </c>
      <c r="C423" s="4" t="s">
        <v>790</v>
      </c>
      <c r="D423" s="4" t="s">
        <v>791</v>
      </c>
      <c r="E423" s="5">
        <v>2.26193333202085</v>
      </c>
    </row>
    <row r="424" ht="14.25" customHeight="1">
      <c r="A424" s="4"/>
      <c r="B424" s="4" t="s">
        <v>4</v>
      </c>
      <c r="C424" s="4" t="s">
        <v>792</v>
      </c>
      <c r="D424" s="4" t="s">
        <v>793</v>
      </c>
      <c r="E424" s="5">
        <v>5.00432588167574</v>
      </c>
    </row>
    <row r="425" ht="14.25" customHeight="1">
      <c r="A425" s="4"/>
      <c r="B425" s="4" t="s">
        <v>4</v>
      </c>
      <c r="C425" s="4" t="s">
        <v>794</v>
      </c>
      <c r="D425" s="4" t="s">
        <v>795</v>
      </c>
      <c r="E425" s="5">
        <v>71.3786240362123</v>
      </c>
    </row>
    <row r="426" ht="14.25" customHeight="1">
      <c r="A426" s="4"/>
      <c r="B426" s="4" t="s">
        <v>4</v>
      </c>
      <c r="C426" s="4" t="s">
        <v>796</v>
      </c>
      <c r="D426" s="4" t="s">
        <v>797</v>
      </c>
      <c r="E426" s="5">
        <v>0.44719059644076303</v>
      </c>
    </row>
    <row r="427" ht="14.25" customHeight="1">
      <c r="A427" s="4"/>
      <c r="B427" s="4" t="s">
        <v>4</v>
      </c>
      <c r="C427" s="4" t="s">
        <v>798</v>
      </c>
      <c r="D427" s="4" t="s">
        <v>799</v>
      </c>
      <c r="E427" s="5">
        <v>7.14206042650367</v>
      </c>
    </row>
    <row r="428" ht="14.25" customHeight="1">
      <c r="A428" s="4"/>
      <c r="B428" s="4" t="s">
        <v>4</v>
      </c>
      <c r="C428" s="4" t="s">
        <v>800</v>
      </c>
      <c r="D428" s="4" t="s">
        <v>801</v>
      </c>
      <c r="E428" s="5">
        <v>14.1476216408571</v>
      </c>
    </row>
    <row r="429" ht="14.25" customHeight="1">
      <c r="A429" s="4"/>
      <c r="B429" s="4" t="s">
        <v>4</v>
      </c>
      <c r="C429" s="4" t="s">
        <v>802</v>
      </c>
      <c r="D429" s="4" t="s">
        <v>803</v>
      </c>
      <c r="E429" s="5">
        <v>0.5677166685727459</v>
      </c>
    </row>
    <row r="430" ht="14.25" customHeight="1">
      <c r="A430" s="4"/>
      <c r="B430" s="4" t="s">
        <v>4</v>
      </c>
      <c r="C430" s="4" t="s">
        <v>804</v>
      </c>
      <c r="D430" s="4" t="s">
        <v>805</v>
      </c>
      <c r="E430" s="5">
        <v>1288.6012618178102</v>
      </c>
    </row>
    <row r="431" ht="14.25" customHeight="1">
      <c r="A431" s="4"/>
      <c r="B431" s="4" t="s">
        <v>4</v>
      </c>
      <c r="C431" s="4" t="s">
        <v>806</v>
      </c>
      <c r="D431" s="4" t="s">
        <v>807</v>
      </c>
      <c r="E431" s="5">
        <v>0.329503949101231</v>
      </c>
    </row>
    <row r="432" ht="14.25" customHeight="1">
      <c r="A432" s="4"/>
      <c r="B432" s="4" t="s">
        <v>4</v>
      </c>
      <c r="C432" s="4" t="s">
        <v>808</v>
      </c>
      <c r="D432" s="4" t="s">
        <v>809</v>
      </c>
      <c r="E432" s="5">
        <v>58.257985701539894</v>
      </c>
    </row>
    <row r="433" ht="14.25" customHeight="1">
      <c r="A433" s="4"/>
      <c r="B433" s="4" t="s">
        <v>4</v>
      </c>
      <c r="C433" s="4" t="s">
        <v>810</v>
      </c>
      <c r="D433" s="4" t="s">
        <v>811</v>
      </c>
      <c r="E433" s="5">
        <v>46.6613170909749</v>
      </c>
    </row>
    <row r="434" ht="14.25" customHeight="1">
      <c r="A434" s="4"/>
      <c r="B434" s="4" t="s">
        <v>4</v>
      </c>
      <c r="C434" s="4" t="s">
        <v>812</v>
      </c>
      <c r="D434" s="4" t="s">
        <v>30</v>
      </c>
      <c r="E434" s="5">
        <v>7.0685416625651705</v>
      </c>
    </row>
    <row r="435" ht="14.25" customHeight="1">
      <c r="A435" s="4"/>
      <c r="B435" s="4" t="s">
        <v>4</v>
      </c>
      <c r="C435" s="4" t="s">
        <v>813</v>
      </c>
      <c r="D435" s="4" t="s">
        <v>814</v>
      </c>
      <c r="E435" s="5">
        <v>453.02001164936496</v>
      </c>
    </row>
    <row r="436" ht="14.25" customHeight="1">
      <c r="A436" s="4"/>
      <c r="B436" s="4" t="s">
        <v>4</v>
      </c>
      <c r="C436" s="4" t="s">
        <v>815</v>
      </c>
      <c r="D436" s="4" t="s">
        <v>816</v>
      </c>
      <c r="E436" s="5">
        <v>3.71266346807374</v>
      </c>
    </row>
    <row r="437" ht="14.25" customHeight="1">
      <c r="A437" s="4"/>
      <c r="B437" s="4" t="s">
        <v>4</v>
      </c>
      <c r="C437" s="4" t="s">
        <v>817</v>
      </c>
      <c r="D437" s="4" t="s">
        <v>818</v>
      </c>
      <c r="E437" s="5">
        <v>176.80163178798</v>
      </c>
    </row>
    <row r="438" ht="14.25" customHeight="1">
      <c r="A438" s="4"/>
      <c r="B438" s="4" t="s">
        <v>4</v>
      </c>
      <c r="C438" s="4" t="s">
        <v>819</v>
      </c>
      <c r="D438" s="4" t="s">
        <v>820</v>
      </c>
      <c r="E438" s="5">
        <v>7.21220117509161</v>
      </c>
    </row>
    <row r="439" ht="14.25" customHeight="1">
      <c r="A439" s="4"/>
      <c r="B439" s="4" t="s">
        <v>4</v>
      </c>
      <c r="C439" s="4" t="s">
        <v>821</v>
      </c>
      <c r="D439" s="4" t="s">
        <v>259</v>
      </c>
      <c r="E439" s="5">
        <v>7.20991249581647</v>
      </c>
    </row>
    <row r="440" ht="14.25" customHeight="1">
      <c r="A440" s="4"/>
      <c r="B440" s="4" t="s">
        <v>4</v>
      </c>
      <c r="C440" s="4" t="s">
        <v>822</v>
      </c>
      <c r="D440" s="4" t="s">
        <v>292</v>
      </c>
      <c r="E440" s="5">
        <v>530.281995525639</v>
      </c>
    </row>
    <row r="441" ht="14.25" customHeight="1">
      <c r="A441" s="4"/>
      <c r="B441" s="4" t="s">
        <v>4</v>
      </c>
      <c r="C441" s="4" t="s">
        <v>823</v>
      </c>
      <c r="D441" s="4" t="s">
        <v>259</v>
      </c>
      <c r="E441" s="5">
        <v>7.20991249581647</v>
      </c>
    </row>
    <row r="442" ht="14.25" customHeight="1">
      <c r="A442" s="4"/>
      <c r="B442" s="4" t="s">
        <v>4</v>
      </c>
      <c r="C442" s="4" t="s">
        <v>824</v>
      </c>
      <c r="D442" s="4" t="s">
        <v>825</v>
      </c>
      <c r="E442" s="5">
        <v>21.097837574270798</v>
      </c>
    </row>
    <row r="443" ht="14.25" customHeight="1">
      <c r="A443" s="4"/>
      <c r="B443" s="4" t="s">
        <v>4</v>
      </c>
      <c r="C443" s="4" t="s">
        <v>826</v>
      </c>
      <c r="D443" s="4" t="s">
        <v>30</v>
      </c>
      <c r="E443" s="5">
        <v>7.0685416625651705</v>
      </c>
    </row>
    <row r="444" ht="14.25" customHeight="1">
      <c r="A444" s="4"/>
      <c r="B444" s="4" t="s">
        <v>4</v>
      </c>
      <c r="C444" s="4" t="s">
        <v>827</v>
      </c>
      <c r="D444" s="4" t="s">
        <v>209</v>
      </c>
      <c r="E444" s="5">
        <v>35.3427083128258</v>
      </c>
    </row>
    <row r="445" ht="14.25" customHeight="1">
      <c r="A445" s="4"/>
      <c r="B445" s="4" t="s">
        <v>4</v>
      </c>
      <c r="C445" s="4" t="s">
        <v>828</v>
      </c>
      <c r="D445" s="4" t="s">
        <v>829</v>
      </c>
      <c r="E445" s="5">
        <v>28.3972338351563</v>
      </c>
    </row>
    <row r="446" ht="14.25" customHeight="1">
      <c r="A446" s="4"/>
      <c r="B446" s="4" t="s">
        <v>4</v>
      </c>
      <c r="C446" s="4" t="s">
        <v>830</v>
      </c>
      <c r="D446" s="4" t="s">
        <v>831</v>
      </c>
      <c r="E446" s="5">
        <v>5.09622639624008</v>
      </c>
    </row>
    <row r="447" ht="14.25" customHeight="1">
      <c r="A447" s="4"/>
      <c r="B447" s="4" t="s">
        <v>4</v>
      </c>
      <c r="C447" s="4" t="s">
        <v>832</v>
      </c>
      <c r="D447" s="4" t="s">
        <v>833</v>
      </c>
      <c r="E447" s="5">
        <v>10.9600252973121</v>
      </c>
    </row>
    <row r="448" ht="14.25" customHeight="1">
      <c r="A448" s="4"/>
      <c r="B448" s="4" t="s">
        <v>4</v>
      </c>
      <c r="C448" s="4" t="s">
        <v>834</v>
      </c>
      <c r="D448" s="4" t="s">
        <v>835</v>
      </c>
      <c r="E448" s="5">
        <v>459.455208066736</v>
      </c>
    </row>
    <row r="449" ht="14.25" customHeight="1">
      <c r="A449" s="4"/>
      <c r="B449" s="4" t="s">
        <v>4</v>
      </c>
      <c r="C449" s="4" t="s">
        <v>836</v>
      </c>
      <c r="D449" s="4" t="s">
        <v>837</v>
      </c>
      <c r="E449" s="5">
        <v>5.62792041395546</v>
      </c>
    </row>
    <row r="450" ht="14.25" customHeight="1">
      <c r="A450" s="4"/>
      <c r="B450" s="4" t="s">
        <v>4</v>
      </c>
      <c r="C450" s="4" t="s">
        <v>838</v>
      </c>
      <c r="D450" s="4" t="s">
        <v>839</v>
      </c>
      <c r="E450" s="5">
        <v>5.1214306112045405</v>
      </c>
    </row>
    <row r="451" ht="14.25" customHeight="1">
      <c r="A451" s="4"/>
      <c r="B451" s="4" t="s">
        <v>4</v>
      </c>
      <c r="C451" s="4" t="s">
        <v>840</v>
      </c>
      <c r="D451" s="4" t="s">
        <v>841</v>
      </c>
      <c r="E451" s="5">
        <v>7.14197981770277</v>
      </c>
    </row>
    <row r="452" ht="14.25" customHeight="1">
      <c r="A452" s="4"/>
      <c r="B452" s="4" t="s">
        <v>4</v>
      </c>
      <c r="C452" s="4" t="s">
        <v>842</v>
      </c>
      <c r="D452" s="4" t="s">
        <v>843</v>
      </c>
      <c r="E452" s="5">
        <v>0.141370833251303</v>
      </c>
    </row>
    <row r="453" ht="14.25" customHeight="1">
      <c r="A453" s="4"/>
      <c r="B453" s="4" t="s">
        <v>4</v>
      </c>
      <c r="C453" s="4" t="s">
        <v>844</v>
      </c>
      <c r="D453" s="4" t="s">
        <v>845</v>
      </c>
      <c r="E453" s="5">
        <v>0.157116327588136</v>
      </c>
    </row>
    <row r="454" ht="14.25" customHeight="1">
      <c r="A454" s="4"/>
      <c r="B454" s="4" t="s">
        <v>4</v>
      </c>
      <c r="C454" s="4" t="s">
        <v>846</v>
      </c>
      <c r="D454" s="4" t="s">
        <v>847</v>
      </c>
      <c r="E454" s="5">
        <v>221.19131408556598</v>
      </c>
    </row>
    <row r="455" ht="14.25" customHeight="1">
      <c r="A455" s="4"/>
      <c r="B455" s="4" t="s">
        <v>4</v>
      </c>
      <c r="C455" s="4" t="s">
        <v>848</v>
      </c>
      <c r="D455" s="4" t="s">
        <v>849</v>
      </c>
      <c r="E455" s="5">
        <v>1.8246461583251001</v>
      </c>
    </row>
    <row r="456" ht="14.25" customHeight="1">
      <c r="A456" s="4"/>
      <c r="B456" s="4" t="s">
        <v>4</v>
      </c>
      <c r="C456" s="4" t="s">
        <v>850</v>
      </c>
      <c r="D456" s="4" t="s">
        <v>851</v>
      </c>
      <c r="E456" s="5">
        <v>0.578316135447638</v>
      </c>
    </row>
    <row r="457" ht="14.25" customHeight="1">
      <c r="A457" s="4"/>
      <c r="B457" s="4" t="s">
        <v>4</v>
      </c>
      <c r="C457" s="4" t="s">
        <v>852</v>
      </c>
      <c r="D457" s="4" t="s">
        <v>853</v>
      </c>
      <c r="E457" s="5">
        <v>9.0061181214749</v>
      </c>
    </row>
    <row r="458" ht="14.25" customHeight="1">
      <c r="A458" s="4"/>
      <c r="B458" s="4" t="s">
        <v>4</v>
      </c>
      <c r="C458" s="4" t="s">
        <v>854</v>
      </c>
      <c r="D458" s="4" t="s">
        <v>855</v>
      </c>
      <c r="E458" s="5">
        <v>143.395817134389</v>
      </c>
    </row>
    <row r="459" ht="14.25" customHeight="1">
      <c r="A459" s="4"/>
      <c r="B459" s="4" t="s">
        <v>4</v>
      </c>
      <c r="C459" s="4" t="s">
        <v>856</v>
      </c>
      <c r="D459" s="4" t="s">
        <v>292</v>
      </c>
      <c r="E459" s="5">
        <v>530.281995525639</v>
      </c>
    </row>
    <row r="460" ht="14.25" customHeight="1">
      <c r="A460" s="4"/>
      <c r="B460" s="4" t="s">
        <v>4</v>
      </c>
      <c r="C460" s="4" t="s">
        <v>857</v>
      </c>
      <c r="D460" s="4" t="s">
        <v>858</v>
      </c>
      <c r="E460" s="5">
        <v>0.34157884886169204</v>
      </c>
    </row>
    <row r="461" ht="14.25" customHeight="1">
      <c r="A461" s="4"/>
      <c r="B461" s="4" t="s">
        <v>4</v>
      </c>
      <c r="C461" s="4" t="s">
        <v>859</v>
      </c>
      <c r="D461" s="4" t="s">
        <v>860</v>
      </c>
      <c r="E461" s="5">
        <v>1.28211428876269</v>
      </c>
    </row>
    <row r="462" ht="14.25" customHeight="1">
      <c r="A462" s="4"/>
      <c r="B462" s="4" t="s">
        <v>4</v>
      </c>
      <c r="C462" s="4" t="s">
        <v>861</v>
      </c>
      <c r="D462" s="4" t="s">
        <v>862</v>
      </c>
      <c r="E462" s="5">
        <v>106.150094818092</v>
      </c>
    </row>
    <row r="463" ht="14.25" customHeight="1">
      <c r="A463" s="4"/>
      <c r="B463" s="4" t="s">
        <v>4</v>
      </c>
      <c r="C463" s="4" t="s">
        <v>863</v>
      </c>
      <c r="D463" s="4" t="s">
        <v>864</v>
      </c>
      <c r="E463" s="5">
        <v>38.16479672079291</v>
      </c>
    </row>
    <row r="464" ht="14.25" customHeight="1">
      <c r="A464" s="4"/>
      <c r="B464" s="4" t="s">
        <v>4</v>
      </c>
      <c r="C464" s="4" t="s">
        <v>865</v>
      </c>
      <c r="D464" s="4" t="s">
        <v>30</v>
      </c>
      <c r="E464" s="5">
        <v>7.0685416625651705</v>
      </c>
    </row>
    <row r="465" ht="14.25" customHeight="1">
      <c r="A465" s="4"/>
      <c r="B465" s="4" t="s">
        <v>4</v>
      </c>
      <c r="C465" s="4" t="s">
        <v>866</v>
      </c>
      <c r="D465" s="4" t="s">
        <v>867</v>
      </c>
      <c r="E465" s="5">
        <v>35.6254499793284</v>
      </c>
    </row>
    <row r="466" ht="14.25" customHeight="1">
      <c r="A466" s="4"/>
      <c r="B466" s="4" t="s">
        <v>4</v>
      </c>
      <c r="C466" s="4" t="s">
        <v>868</v>
      </c>
      <c r="D466" s="4" t="s">
        <v>869</v>
      </c>
      <c r="E466" s="5">
        <v>176.71354156412897</v>
      </c>
    </row>
    <row r="467" ht="14.25" customHeight="1">
      <c r="A467" s="4"/>
      <c r="B467" s="4" t="s">
        <v>4</v>
      </c>
      <c r="C467" s="4" t="s">
        <v>870</v>
      </c>
      <c r="D467" s="4" t="s">
        <v>871</v>
      </c>
      <c r="E467" s="5">
        <v>216.721516617511</v>
      </c>
    </row>
    <row r="468" ht="14.25" customHeight="1">
      <c r="A468" s="4"/>
      <c r="B468" s="4" t="s">
        <v>4</v>
      </c>
      <c r="C468" s="4" t="s">
        <v>872</v>
      </c>
      <c r="D468" s="4" t="s">
        <v>873</v>
      </c>
      <c r="E468" s="5">
        <v>538.46083352819</v>
      </c>
    </row>
    <row r="469" ht="14.25" customHeight="1">
      <c r="A469" s="4"/>
      <c r="B469" s="4" t="s">
        <v>4</v>
      </c>
      <c r="C469" s="4" t="s">
        <v>874</v>
      </c>
      <c r="D469" s="4" t="s">
        <v>715</v>
      </c>
      <c r="E469" s="5">
        <v>12.0165208263607</v>
      </c>
    </row>
    <row r="470" ht="14.25" customHeight="1">
      <c r="A470" s="4"/>
      <c r="B470" s="4" t="s">
        <v>4</v>
      </c>
      <c r="C470" s="4" t="s">
        <v>875</v>
      </c>
      <c r="D470" s="4" t="s">
        <v>876</v>
      </c>
      <c r="E470" s="5">
        <v>7.35644315171834</v>
      </c>
    </row>
    <row r="471" ht="14.25" customHeight="1">
      <c r="A471" s="4"/>
      <c r="B471" s="4" t="s">
        <v>4</v>
      </c>
      <c r="C471" s="4" t="s">
        <v>877</v>
      </c>
      <c r="D471" s="4" t="s">
        <v>30</v>
      </c>
      <c r="E471" s="5">
        <v>7.0685416625651705</v>
      </c>
    </row>
    <row r="472" ht="14.25" customHeight="1">
      <c r="A472" s="4"/>
      <c r="B472" s="4" t="s">
        <v>4</v>
      </c>
      <c r="C472" s="4" t="s">
        <v>878</v>
      </c>
      <c r="D472" s="4" t="s">
        <v>879</v>
      </c>
      <c r="E472" s="5">
        <v>67.2348192361456</v>
      </c>
    </row>
    <row r="473" ht="14.25" customHeight="1">
      <c r="A473" s="4"/>
      <c r="B473" s="4" t="s">
        <v>4</v>
      </c>
      <c r="C473" s="4" t="s">
        <v>880</v>
      </c>
      <c r="D473" s="4" t="s">
        <v>843</v>
      </c>
      <c r="E473" s="5">
        <v>0.141370833251303</v>
      </c>
    </row>
    <row r="474" ht="14.25" customHeight="1">
      <c r="A474" s="4"/>
      <c r="B474" s="4" t="s">
        <v>4</v>
      </c>
      <c r="C474" s="4" t="s">
        <v>881</v>
      </c>
      <c r="D474" s="4" t="s">
        <v>30</v>
      </c>
      <c r="E474" s="5">
        <v>7.0685416625651705</v>
      </c>
    </row>
    <row r="475" ht="14.25" customHeight="1">
      <c r="A475" s="4"/>
      <c r="B475" s="4" t="s">
        <v>4</v>
      </c>
      <c r="C475" s="4" t="s">
        <v>882</v>
      </c>
      <c r="D475" s="4" t="s">
        <v>883</v>
      </c>
      <c r="E475" s="5">
        <v>8.34535989121961</v>
      </c>
    </row>
    <row r="476" ht="14.25" customHeight="1">
      <c r="A476" s="4"/>
      <c r="B476" s="4" t="s">
        <v>4</v>
      </c>
      <c r="C476" s="4" t="s">
        <v>884</v>
      </c>
      <c r="D476" s="4" t="s">
        <v>885</v>
      </c>
      <c r="E476" s="5">
        <v>63.6168749630865</v>
      </c>
    </row>
    <row r="477" ht="14.25" customHeight="1">
      <c r="A477" s="4"/>
      <c r="B477" s="4" t="s">
        <v>4</v>
      </c>
      <c r="C477" s="4" t="s">
        <v>886</v>
      </c>
      <c r="D477" s="4" t="s">
        <v>259</v>
      </c>
      <c r="E477" s="5">
        <v>7.20991249581647</v>
      </c>
    </row>
    <row r="478" ht="14.25" customHeight="1">
      <c r="A478" s="4"/>
      <c r="B478" s="4" t="s">
        <v>4</v>
      </c>
      <c r="C478" s="4" t="s">
        <v>887</v>
      </c>
      <c r="D478" s="4" t="s">
        <v>888</v>
      </c>
      <c r="E478" s="5">
        <v>14.3603028298329</v>
      </c>
    </row>
    <row r="479" ht="14.25" customHeight="1">
      <c r="A479" s="4"/>
      <c r="B479" s="4" t="s">
        <v>4</v>
      </c>
      <c r="C479" s="4" t="s">
        <v>889</v>
      </c>
      <c r="D479" s="4" t="s">
        <v>890</v>
      </c>
      <c r="E479" s="5">
        <v>10.921979990362901</v>
      </c>
    </row>
    <row r="480" ht="14.25" customHeight="1">
      <c r="A480" s="4"/>
      <c r="B480" s="4" t="s">
        <v>4</v>
      </c>
      <c r="C480" s="4" t="s">
        <v>891</v>
      </c>
      <c r="D480" s="4" t="s">
        <v>160</v>
      </c>
      <c r="E480" s="5">
        <v>14.1370833251303</v>
      </c>
    </row>
    <row r="481" ht="14.25" customHeight="1">
      <c r="A481" s="4"/>
      <c r="B481" s="4" t="s">
        <v>4</v>
      </c>
      <c r="C481" s="4" t="s">
        <v>892</v>
      </c>
      <c r="D481" s="4" t="s">
        <v>30</v>
      </c>
      <c r="E481" s="5">
        <v>7.0685416625651705</v>
      </c>
    </row>
    <row r="482" ht="14.25" customHeight="1">
      <c r="A482" s="4"/>
      <c r="B482" s="4" t="s">
        <v>4</v>
      </c>
      <c r="C482" s="4" t="s">
        <v>893</v>
      </c>
      <c r="D482" s="4" t="s">
        <v>894</v>
      </c>
      <c r="E482" s="5">
        <v>44.7590583552033</v>
      </c>
    </row>
    <row r="483" ht="14.25" customHeight="1">
      <c r="A483" s="4"/>
      <c r="B483" s="4" t="s">
        <v>4</v>
      </c>
      <c r="C483" s="4" t="s">
        <v>895</v>
      </c>
      <c r="D483" s="4" t="s">
        <v>896</v>
      </c>
      <c r="E483" s="5">
        <v>25.956370479451703</v>
      </c>
    </row>
    <row r="484" ht="14.25" customHeight="1">
      <c r="A484" s="4"/>
      <c r="B484" s="4" t="s">
        <v>4</v>
      </c>
      <c r="C484" s="4" t="s">
        <v>897</v>
      </c>
      <c r="D484" s="4" t="s">
        <v>898</v>
      </c>
      <c r="E484" s="5">
        <v>91.2080609306938</v>
      </c>
    </row>
    <row r="485" ht="14.25" customHeight="1">
      <c r="A485" s="4"/>
      <c r="B485" s="4" t="s">
        <v>4</v>
      </c>
      <c r="C485" s="4" t="s">
        <v>899</v>
      </c>
      <c r="D485" s="4" t="s">
        <v>900</v>
      </c>
      <c r="E485" s="5">
        <v>2.97398474514183</v>
      </c>
    </row>
    <row r="486" ht="14.25" customHeight="1">
      <c r="A486" s="4"/>
      <c r="B486" s="4" t="s">
        <v>4</v>
      </c>
      <c r="C486" s="4" t="s">
        <v>901</v>
      </c>
      <c r="D486" s="4" t="s">
        <v>902</v>
      </c>
      <c r="E486" s="5">
        <v>5.81253638421471</v>
      </c>
    </row>
    <row r="487" ht="14.25" customHeight="1">
      <c r="A487" s="4"/>
      <c r="B487" s="4" t="s">
        <v>4</v>
      </c>
      <c r="C487" s="4" t="s">
        <v>903</v>
      </c>
      <c r="D487" s="4" t="s">
        <v>904</v>
      </c>
      <c r="E487" s="5">
        <v>0.250601862076362</v>
      </c>
    </row>
    <row r="488" ht="14.25" customHeight="1">
      <c r="A488" s="4"/>
      <c r="B488" s="4" t="s">
        <v>4</v>
      </c>
      <c r="C488" s="4" t="s">
        <v>905</v>
      </c>
      <c r="D488" s="4" t="s">
        <v>906</v>
      </c>
      <c r="E488" s="5">
        <v>34.6886982563396</v>
      </c>
    </row>
    <row r="489" ht="14.25" customHeight="1">
      <c r="A489" s="4"/>
      <c r="B489" s="4" t="s">
        <v>4</v>
      </c>
      <c r="C489" s="4" t="s">
        <v>907</v>
      </c>
      <c r="D489" s="4" t="s">
        <v>908</v>
      </c>
      <c r="E489" s="5">
        <v>1.5702435382900601</v>
      </c>
    </row>
    <row r="490" ht="14.25" customHeight="1">
      <c r="A490" s="4"/>
      <c r="B490" s="4" t="s">
        <v>4</v>
      </c>
      <c r="C490" s="4" t="s">
        <v>909</v>
      </c>
      <c r="D490" s="4" t="s">
        <v>910</v>
      </c>
      <c r="E490" s="5">
        <v>0.0753535943535338</v>
      </c>
    </row>
    <row r="491" ht="14.25" customHeight="1">
      <c r="A491" s="4"/>
      <c r="B491" s="4" t="s">
        <v>4</v>
      </c>
      <c r="C491" s="4" t="s">
        <v>911</v>
      </c>
      <c r="D491" s="4" t="s">
        <v>912</v>
      </c>
      <c r="E491" s="5">
        <v>7.65927099826554</v>
      </c>
    </row>
    <row r="492" ht="14.25" customHeight="1">
      <c r="A492" s="4"/>
      <c r="B492" s="4" t="s">
        <v>4</v>
      </c>
      <c r="C492" s="4" t="s">
        <v>913</v>
      </c>
      <c r="D492" s="4" t="s">
        <v>914</v>
      </c>
      <c r="E492" s="5">
        <v>10.020028728633</v>
      </c>
    </row>
    <row r="493" ht="14.25" customHeight="1">
      <c r="A493" s="4"/>
      <c r="B493" s="4" t="s">
        <v>4</v>
      </c>
      <c r="C493" s="4" t="s">
        <v>915</v>
      </c>
      <c r="D493" s="4" t="s">
        <v>30</v>
      </c>
      <c r="E493" s="5">
        <v>7.0685416625651705</v>
      </c>
    </row>
    <row r="494" ht="14.25" customHeight="1">
      <c r="A494" s="4"/>
      <c r="B494" s="4" t="s">
        <v>4</v>
      </c>
      <c r="C494" s="4" t="s">
        <v>916</v>
      </c>
      <c r="D494" s="4" t="s">
        <v>160</v>
      </c>
      <c r="E494" s="5">
        <v>14.1370833251303</v>
      </c>
    </row>
    <row r="495" ht="14.25" customHeight="1">
      <c r="A495" s="4"/>
      <c r="B495" s="4" t="s">
        <v>4</v>
      </c>
      <c r="C495" s="4" t="s">
        <v>917</v>
      </c>
      <c r="D495" s="4" t="s">
        <v>918</v>
      </c>
      <c r="E495" s="5">
        <v>0.909728752062435</v>
      </c>
    </row>
    <row r="496" ht="14.25" customHeight="1">
      <c r="A496" s="4"/>
      <c r="B496" s="4" t="s">
        <v>4</v>
      </c>
      <c r="C496" s="4" t="s">
        <v>919</v>
      </c>
      <c r="D496" s="4" t="s">
        <v>920</v>
      </c>
      <c r="E496" s="5">
        <v>15.7980259934562</v>
      </c>
    </row>
    <row r="497" ht="14.25" customHeight="1">
      <c r="A497" s="4"/>
      <c r="B497" s="4" t="s">
        <v>4</v>
      </c>
      <c r="C497" s="4" t="s">
        <v>921</v>
      </c>
      <c r="D497" s="4" t="s">
        <v>922</v>
      </c>
      <c r="E497" s="5">
        <v>4.30665776715414</v>
      </c>
    </row>
    <row r="498" ht="14.25" customHeight="1">
      <c r="A498" s="4"/>
      <c r="B498" s="4" t="s">
        <v>4</v>
      </c>
      <c r="C498" s="4" t="s">
        <v>923</v>
      </c>
      <c r="D498" s="4" t="s">
        <v>924</v>
      </c>
      <c r="E498" s="5">
        <v>388.769791441084</v>
      </c>
    </row>
    <row r="499" ht="14.25" customHeight="1">
      <c r="A499" s="4"/>
      <c r="B499" s="4" t="s">
        <v>4</v>
      </c>
      <c r="C499" s="4" t="s">
        <v>925</v>
      </c>
      <c r="D499" s="4" t="s">
        <v>926</v>
      </c>
      <c r="E499" s="5">
        <v>6.20940755013814</v>
      </c>
    </row>
    <row r="500" ht="14.25" customHeight="1">
      <c r="A500" s="4"/>
      <c r="B500" s="4" t="s">
        <v>4</v>
      </c>
      <c r="C500" s="4" t="s">
        <v>927</v>
      </c>
      <c r="D500" s="4" t="s">
        <v>928</v>
      </c>
      <c r="E500" s="5">
        <v>14.034798425145999</v>
      </c>
    </row>
    <row r="501" ht="14.25" customHeight="1">
      <c r="A501" s="4"/>
      <c r="B501" s="4" t="s">
        <v>4</v>
      </c>
      <c r="C501" s="4" t="s">
        <v>929</v>
      </c>
      <c r="D501" s="4" t="s">
        <v>930</v>
      </c>
      <c r="E501" s="5">
        <v>16.0500648799471</v>
      </c>
    </row>
    <row r="502" ht="14.25" customHeight="1">
      <c r="A502" s="4"/>
      <c r="B502" s="4" t="s">
        <v>4</v>
      </c>
      <c r="C502" s="4" t="s">
        <v>931</v>
      </c>
      <c r="D502" s="4" t="s">
        <v>30</v>
      </c>
      <c r="E502" s="5">
        <v>7.0685416625651705</v>
      </c>
    </row>
    <row r="503" ht="14.25" customHeight="1">
      <c r="A503" s="4"/>
      <c r="B503" s="4" t="s">
        <v>4</v>
      </c>
      <c r="C503" s="4" t="s">
        <v>932</v>
      </c>
      <c r="D503" s="4" t="s">
        <v>933</v>
      </c>
      <c r="E503" s="5">
        <v>24.8812666522294</v>
      </c>
    </row>
    <row r="504" ht="14.25" customHeight="1">
      <c r="A504" s="4"/>
      <c r="B504" s="4" t="s">
        <v>4</v>
      </c>
      <c r="C504" s="4" t="s">
        <v>934</v>
      </c>
      <c r="D504" s="4" t="s">
        <v>935</v>
      </c>
      <c r="E504" s="5">
        <v>4.43731367112907</v>
      </c>
    </row>
    <row r="505" ht="14.25" customHeight="1">
      <c r="A505" s="4"/>
      <c r="B505" s="4" t="s">
        <v>4</v>
      </c>
      <c r="C505" s="4" t="s">
        <v>936</v>
      </c>
      <c r="D505" s="4" t="s">
        <v>937</v>
      </c>
      <c r="E505" s="5">
        <v>15.5507916576433</v>
      </c>
    </row>
    <row r="506" ht="14.25" customHeight="1">
      <c r="A506" s="4"/>
      <c r="B506" s="4" t="s">
        <v>4</v>
      </c>
      <c r="C506" s="4" t="s">
        <v>938</v>
      </c>
      <c r="D506" s="4" t="s">
        <v>939</v>
      </c>
      <c r="E506" s="5">
        <v>8.66426991490146</v>
      </c>
    </row>
    <row r="507" ht="14.25" customHeight="1">
      <c r="A507" s="4"/>
      <c r="B507" s="4" t="s">
        <v>4</v>
      </c>
      <c r="C507" s="4" t="s">
        <v>940</v>
      </c>
      <c r="D507" s="4" t="s">
        <v>941</v>
      </c>
      <c r="E507" s="5">
        <v>55.0144902385895</v>
      </c>
    </row>
    <row r="508" ht="14.25" customHeight="1">
      <c r="A508" s="4"/>
      <c r="B508" s="4" t="s">
        <v>4</v>
      </c>
      <c r="C508" s="4" t="s">
        <v>942</v>
      </c>
      <c r="D508" s="4" t="s">
        <v>943</v>
      </c>
      <c r="E508" s="5">
        <v>9.35673758872278</v>
      </c>
    </row>
    <row r="509" ht="14.25" customHeight="1">
      <c r="A509" s="4"/>
      <c r="B509" s="4" t="s">
        <v>4</v>
      </c>
      <c r="C509" s="4" t="s">
        <v>944</v>
      </c>
      <c r="D509" s="4" t="s">
        <v>945</v>
      </c>
      <c r="E509" s="5">
        <v>3.32650527568068</v>
      </c>
    </row>
    <row r="510" ht="14.25" customHeight="1">
      <c r="A510" s="4"/>
      <c r="B510" s="4" t="s">
        <v>4</v>
      </c>
      <c r="C510" s="4" t="s">
        <v>946</v>
      </c>
      <c r="D510" s="4" t="s">
        <v>947</v>
      </c>
      <c r="E510" s="5">
        <v>87.7935576432035</v>
      </c>
    </row>
    <row r="511" ht="14.25" customHeight="1">
      <c r="A511" s="4"/>
      <c r="B511" s="4" t="s">
        <v>4</v>
      </c>
      <c r="C511" s="4" t="s">
        <v>948</v>
      </c>
      <c r="D511" s="4" t="s">
        <v>949</v>
      </c>
      <c r="E511" s="5">
        <v>1.78406575497015</v>
      </c>
    </row>
    <row r="512" ht="14.25" customHeight="1">
      <c r="A512" s="4"/>
      <c r="B512" s="4" t="s">
        <v>4</v>
      </c>
      <c r="C512" s="4" t="s">
        <v>950</v>
      </c>
      <c r="D512" s="4" t="s">
        <v>951</v>
      </c>
      <c r="E512" s="5">
        <v>14.204186635841301</v>
      </c>
    </row>
    <row r="513" ht="14.25" customHeight="1">
      <c r="A513" s="4"/>
      <c r="B513" s="4" t="s">
        <v>4</v>
      </c>
      <c r="C513" s="4" t="s">
        <v>952</v>
      </c>
      <c r="D513" s="4" t="s">
        <v>953</v>
      </c>
      <c r="E513" s="5">
        <v>1499.4112929015298</v>
      </c>
    </row>
    <row r="514" ht="14.25" customHeight="1">
      <c r="A514" s="4"/>
      <c r="B514" s="4" t="s">
        <v>4</v>
      </c>
      <c r="C514" s="4" t="s">
        <v>954</v>
      </c>
      <c r="D514" s="4" t="s">
        <v>955</v>
      </c>
      <c r="E514" s="5">
        <v>533.632117951895</v>
      </c>
    </row>
    <row r="515" ht="14.25" customHeight="1">
      <c r="A515" s="4"/>
      <c r="B515" s="4" t="s">
        <v>4</v>
      </c>
      <c r="C515" s="4" t="s">
        <v>956</v>
      </c>
      <c r="D515" s="4" t="s">
        <v>957</v>
      </c>
      <c r="E515" s="5">
        <v>7.34747180416162</v>
      </c>
    </row>
    <row r="516" ht="14.25" customHeight="1">
      <c r="A516" s="4"/>
      <c r="B516" s="4" t="s">
        <v>4</v>
      </c>
      <c r="C516" s="4" t="s">
        <v>958</v>
      </c>
      <c r="D516" s="4" t="s">
        <v>959</v>
      </c>
      <c r="E516" s="5">
        <v>6.536447015073301</v>
      </c>
    </row>
    <row r="517" ht="14.25" customHeight="1">
      <c r="A517" s="4"/>
      <c r="B517" s="4" t="s">
        <v>4</v>
      </c>
      <c r="C517" s="4" t="s">
        <v>960</v>
      </c>
      <c r="D517" s="4" t="s">
        <v>961</v>
      </c>
      <c r="E517" s="5">
        <v>32.952828555344404</v>
      </c>
    </row>
    <row r="518" ht="14.25" customHeight="1">
      <c r="A518" s="4"/>
      <c r="B518" s="4" t="s">
        <v>4</v>
      </c>
      <c r="C518" s="4" t="s">
        <v>962</v>
      </c>
      <c r="D518" s="4" t="s">
        <v>963</v>
      </c>
      <c r="E518" s="5">
        <v>6.1926914123228896</v>
      </c>
    </row>
    <row r="519" ht="14.25" customHeight="1">
      <c r="A519" s="4"/>
      <c r="B519" s="4" t="s">
        <v>4</v>
      </c>
      <c r="C519" s="4" t="s">
        <v>964</v>
      </c>
      <c r="D519" s="4" t="s">
        <v>965</v>
      </c>
      <c r="E519" s="5">
        <v>6.0646771616039405</v>
      </c>
    </row>
    <row r="520" ht="14.25" customHeight="1">
      <c r="A520" s="4"/>
      <c r="B520" s="4" t="s">
        <v>4</v>
      </c>
      <c r="C520" s="4" t="s">
        <v>966</v>
      </c>
      <c r="D520" s="4" t="s">
        <v>967</v>
      </c>
      <c r="E520" s="5">
        <v>480.840139998966</v>
      </c>
    </row>
    <row r="521" ht="14.25" customHeight="1">
      <c r="A521" s="4"/>
      <c r="B521" s="4" t="s">
        <v>4</v>
      </c>
      <c r="C521" s="4" t="s">
        <v>968</v>
      </c>
      <c r="D521" s="4" t="s">
        <v>969</v>
      </c>
      <c r="E521" s="5">
        <v>136.372109152833</v>
      </c>
    </row>
    <row r="522" ht="14.25" customHeight="1">
      <c r="A522" s="4"/>
      <c r="B522" s="4" t="s">
        <v>4</v>
      </c>
      <c r="C522" s="4" t="s">
        <v>970</v>
      </c>
      <c r="D522" s="4" t="s">
        <v>627</v>
      </c>
      <c r="E522" s="5">
        <v>42.411249975391</v>
      </c>
    </row>
    <row r="523" ht="14.25" customHeight="1">
      <c r="A523" s="4"/>
      <c r="B523" s="4" t="s">
        <v>4</v>
      </c>
      <c r="C523" s="4" t="s">
        <v>971</v>
      </c>
      <c r="D523" s="4" t="s">
        <v>972</v>
      </c>
      <c r="E523" s="5">
        <v>85.076202866416</v>
      </c>
    </row>
    <row r="524" ht="14.25" customHeight="1">
      <c r="A524" s="4"/>
      <c r="B524" s="4" t="s">
        <v>4</v>
      </c>
      <c r="C524" s="4" t="s">
        <v>973</v>
      </c>
      <c r="D524" s="4" t="s">
        <v>974</v>
      </c>
      <c r="E524" s="5">
        <v>17.2294783844591</v>
      </c>
    </row>
    <row r="525" ht="14.25" customHeight="1">
      <c r="A525" s="4"/>
      <c r="B525" s="4" t="s">
        <v>4</v>
      </c>
      <c r="C525" s="4" t="s">
        <v>975</v>
      </c>
      <c r="D525" s="4" t="s">
        <v>976</v>
      </c>
      <c r="E525" s="5">
        <v>5.29425796670354</v>
      </c>
    </row>
    <row r="526" ht="14.25" customHeight="1">
      <c r="A526" s="4"/>
      <c r="B526" s="4" t="s">
        <v>4</v>
      </c>
      <c r="C526" s="4" t="s">
        <v>977</v>
      </c>
      <c r="D526" s="4" t="s">
        <v>978</v>
      </c>
      <c r="E526" s="5">
        <v>530.305546962525</v>
      </c>
    </row>
    <row r="527" ht="14.25" customHeight="1">
      <c r="A527" s="4"/>
      <c r="B527" s="4" t="s">
        <v>4</v>
      </c>
      <c r="C527" s="4" t="s">
        <v>979</v>
      </c>
      <c r="D527" s="4" t="s">
        <v>980</v>
      </c>
      <c r="E527" s="5">
        <v>7.41003578549096</v>
      </c>
    </row>
    <row r="528" ht="14.25" customHeight="1">
      <c r="A528" s="4"/>
      <c r="B528" s="4" t="s">
        <v>4</v>
      </c>
      <c r="C528" s="4" t="s">
        <v>981</v>
      </c>
      <c r="D528" s="4" t="s">
        <v>982</v>
      </c>
      <c r="E528" s="5">
        <v>1.9512639314877598</v>
      </c>
    </row>
    <row r="529" ht="14.25" customHeight="1">
      <c r="A529" s="4"/>
      <c r="B529" s="4" t="s">
        <v>4</v>
      </c>
      <c r="C529" s="4" t="s">
        <v>983</v>
      </c>
      <c r="D529" s="4" t="s">
        <v>209</v>
      </c>
      <c r="E529" s="5">
        <v>35.3427083128258</v>
      </c>
    </row>
    <row r="530" ht="14.25" customHeight="1">
      <c r="A530" s="4"/>
      <c r="B530" s="4" t="s">
        <v>4</v>
      </c>
      <c r="C530" s="4" t="s">
        <v>984</v>
      </c>
      <c r="D530" s="4" t="s">
        <v>985</v>
      </c>
      <c r="E530" s="5">
        <v>54.4007640070269</v>
      </c>
    </row>
    <row r="531" ht="14.25" customHeight="1">
      <c r="A531" s="4"/>
      <c r="B531" s="4" t="s">
        <v>4</v>
      </c>
      <c r="C531" s="4" t="s">
        <v>986</v>
      </c>
      <c r="D531" s="4" t="s">
        <v>987</v>
      </c>
      <c r="E531" s="5">
        <v>14.6427675606278</v>
      </c>
    </row>
    <row r="532" ht="14.25" customHeight="1">
      <c r="A532" s="4"/>
      <c r="B532" s="4" t="s">
        <v>4</v>
      </c>
      <c r="C532" s="4" t="s">
        <v>988</v>
      </c>
      <c r="D532" s="4" t="s">
        <v>989</v>
      </c>
      <c r="E532" s="5">
        <v>9.459237980621799</v>
      </c>
    </row>
    <row r="533" ht="14.25" customHeight="1">
      <c r="A533" s="4"/>
      <c r="B533" s="4" t="s">
        <v>4</v>
      </c>
      <c r="C533" s="4" t="s">
        <v>990</v>
      </c>
      <c r="D533" s="4" t="s">
        <v>30</v>
      </c>
      <c r="E533" s="5">
        <v>7.0685416625651705</v>
      </c>
    </row>
    <row r="534" ht="14.25" customHeight="1">
      <c r="A534" s="4"/>
      <c r="B534" s="4" t="s">
        <v>4</v>
      </c>
      <c r="C534" s="4" t="s">
        <v>991</v>
      </c>
      <c r="D534" s="4" t="s">
        <v>992</v>
      </c>
      <c r="E534" s="5">
        <v>7.0826787458903</v>
      </c>
    </row>
    <row r="535" ht="14.25" customHeight="1">
      <c r="A535" s="4"/>
      <c r="B535" s="4" t="s">
        <v>4</v>
      </c>
      <c r="C535" s="4" t="s">
        <v>993</v>
      </c>
      <c r="D535" s="4" t="s">
        <v>994</v>
      </c>
      <c r="E535" s="5">
        <v>3.55903048365332</v>
      </c>
    </row>
    <row r="536" ht="14.25" customHeight="1">
      <c r="A536" s="4"/>
      <c r="B536" s="4" t="s">
        <v>4</v>
      </c>
      <c r="C536" s="4" t="s">
        <v>995</v>
      </c>
      <c r="D536" s="4" t="s">
        <v>996</v>
      </c>
      <c r="E536" s="5">
        <v>17.194239427757</v>
      </c>
    </row>
    <row r="537" ht="14.25" customHeight="1">
      <c r="A537" s="4"/>
      <c r="B537" s="4" t="s">
        <v>4</v>
      </c>
      <c r="C537" s="4" t="s">
        <v>997</v>
      </c>
      <c r="D537" s="4" t="s">
        <v>30</v>
      </c>
      <c r="E537" s="5">
        <v>7.0685416625651705</v>
      </c>
    </row>
    <row r="538" ht="14.25" customHeight="1">
      <c r="A538" s="4"/>
      <c r="B538" s="4" t="s">
        <v>4</v>
      </c>
      <c r="C538" s="4" t="s">
        <v>998</v>
      </c>
      <c r="D538" s="4" t="s">
        <v>999</v>
      </c>
      <c r="E538" s="5">
        <v>49.621162471207505</v>
      </c>
    </row>
    <row r="539" ht="14.25" customHeight="1">
      <c r="A539" s="4"/>
      <c r="B539" s="4" t="s">
        <v>4</v>
      </c>
      <c r="C539" s="4" t="s">
        <v>1000</v>
      </c>
      <c r="D539" s="4" t="s">
        <v>1001</v>
      </c>
      <c r="E539" s="5">
        <v>7.28404540094959</v>
      </c>
    </row>
    <row r="540" ht="14.25" customHeight="1">
      <c r="A540" s="4"/>
      <c r="B540" s="4" t="s">
        <v>4</v>
      </c>
      <c r="C540" s="4" t="s">
        <v>1002</v>
      </c>
      <c r="D540" s="4" t="s">
        <v>30</v>
      </c>
      <c r="E540" s="5">
        <v>7.0685416625651705</v>
      </c>
    </row>
    <row r="541" ht="14.25" customHeight="1">
      <c r="A541" s="4"/>
      <c r="B541" s="4" t="s">
        <v>4</v>
      </c>
      <c r="C541" s="4" t="s">
        <v>1003</v>
      </c>
      <c r="D541" s="4" t="s">
        <v>1004</v>
      </c>
      <c r="E541" s="5">
        <v>4.07358499060706</v>
      </c>
    </row>
    <row r="542" ht="14.25" customHeight="1">
      <c r="A542" s="4"/>
      <c r="B542" s="4" t="s">
        <v>4</v>
      </c>
      <c r="C542" s="4" t="s">
        <v>1005</v>
      </c>
      <c r="D542" s="4" t="s">
        <v>1006</v>
      </c>
      <c r="E542" s="5">
        <v>1.26243611639389</v>
      </c>
    </row>
    <row r="543" ht="14.25" customHeight="1">
      <c r="A543" s="4"/>
      <c r="B543" s="4" t="s">
        <v>4</v>
      </c>
      <c r="C543" s="4" t="s">
        <v>1007</v>
      </c>
      <c r="D543" s="4" t="s">
        <v>1008</v>
      </c>
      <c r="E543" s="5">
        <v>1.90019523873977</v>
      </c>
    </row>
    <row r="544" ht="14.25" customHeight="1">
      <c r="A544" s="4"/>
      <c r="B544" s="4" t="s">
        <v>4</v>
      </c>
      <c r="C544" s="4" t="s">
        <v>1009</v>
      </c>
      <c r="D544" s="4" t="s">
        <v>1010</v>
      </c>
      <c r="E544" s="5">
        <v>0.532647509650264</v>
      </c>
    </row>
    <row r="545" ht="14.25" customHeight="1">
      <c r="A545" s="4"/>
      <c r="B545" s="4" t="s">
        <v>4</v>
      </c>
      <c r="C545" s="4" t="s">
        <v>1011</v>
      </c>
      <c r="D545" s="4" t="s">
        <v>1012</v>
      </c>
      <c r="E545" s="5">
        <v>1.30283660731088</v>
      </c>
    </row>
    <row r="546" ht="14.25" customHeight="1">
      <c r="A546" s="4"/>
      <c r="B546" s="4" t="s">
        <v>4</v>
      </c>
      <c r="C546" s="4" t="s">
        <v>1013</v>
      </c>
      <c r="D546" s="4" t="s">
        <v>1014</v>
      </c>
      <c r="E546" s="5">
        <v>22.619333320208497</v>
      </c>
    </row>
    <row r="547" ht="14.25" customHeight="1">
      <c r="A547" s="4"/>
      <c r="B547" s="4" t="s">
        <v>4</v>
      </c>
      <c r="C547" s="4" t="s">
        <v>1015</v>
      </c>
      <c r="D547" s="4" t="s">
        <v>1016</v>
      </c>
      <c r="E547" s="5">
        <v>70.6854166256517</v>
      </c>
    </row>
    <row r="548" ht="14.25" customHeight="1">
      <c r="A548" s="4"/>
      <c r="B548" s="4" t="s">
        <v>4</v>
      </c>
      <c r="C548" s="4" t="s">
        <v>1017</v>
      </c>
      <c r="D548" s="4" t="s">
        <v>1018</v>
      </c>
      <c r="E548" s="5">
        <v>0.6089057306319939</v>
      </c>
    </row>
    <row r="549" ht="14.25" customHeight="1">
      <c r="A549" s="4"/>
      <c r="B549" s="4" t="s">
        <v>4</v>
      </c>
      <c r="C549" s="4" t="s">
        <v>1019</v>
      </c>
      <c r="D549" s="4" t="s">
        <v>1020</v>
      </c>
      <c r="E549" s="5">
        <v>106.110120021763</v>
      </c>
    </row>
    <row r="550" ht="14.25" customHeight="1">
      <c r="A550" s="4"/>
      <c r="B550" s="4" t="s">
        <v>4</v>
      </c>
      <c r="C550" s="4" t="s">
        <v>1021</v>
      </c>
      <c r="D550" s="4" t="s">
        <v>1022</v>
      </c>
      <c r="E550" s="5">
        <v>38.1507647032484</v>
      </c>
    </row>
    <row r="551" ht="14.25" customHeight="1">
      <c r="A551" s="4"/>
      <c r="B551" s="4" t="s">
        <v>4</v>
      </c>
      <c r="C551" s="4" t="s">
        <v>1023</v>
      </c>
      <c r="D551" s="4" t="s">
        <v>1024</v>
      </c>
      <c r="E551" s="5">
        <v>3.2515291647799702</v>
      </c>
    </row>
    <row r="552" ht="14.25" customHeight="1">
      <c r="A552" s="4"/>
      <c r="B552" s="4" t="s">
        <v>4</v>
      </c>
      <c r="C552" s="4" t="s">
        <v>1025</v>
      </c>
      <c r="D552" s="4" t="s">
        <v>1026</v>
      </c>
      <c r="E552" s="5">
        <v>0.7041666962005511</v>
      </c>
    </row>
    <row r="553" ht="14.25" customHeight="1">
      <c r="A553" s="4"/>
      <c r="B553" s="4" t="s">
        <v>4</v>
      </c>
      <c r="C553" s="4" t="s">
        <v>1027</v>
      </c>
      <c r="D553" s="4" t="s">
        <v>1028</v>
      </c>
      <c r="E553" s="5">
        <v>77.75395828821681</v>
      </c>
    </row>
    <row r="554" ht="14.25" customHeight="1">
      <c r="A554" s="4"/>
      <c r="B554" s="4" t="s">
        <v>4</v>
      </c>
      <c r="C554" s="4" t="s">
        <v>1029</v>
      </c>
      <c r="D554" s="4" t="s">
        <v>1030</v>
      </c>
      <c r="E554" s="5">
        <v>6.6470836886742495</v>
      </c>
    </row>
    <row r="555" ht="14.25" customHeight="1">
      <c r="A555" s="4"/>
      <c r="B555" s="4" t="s">
        <v>4</v>
      </c>
      <c r="C555" s="4" t="s">
        <v>1031</v>
      </c>
      <c r="D555" s="4" t="s">
        <v>1032</v>
      </c>
      <c r="E555" s="5">
        <v>1.5104507294358</v>
      </c>
    </row>
    <row r="556" ht="14.25" customHeight="1">
      <c r="A556" s="4"/>
      <c r="B556" s="4" t="s">
        <v>4</v>
      </c>
      <c r="C556" s="4" t="s">
        <v>1033</v>
      </c>
      <c r="D556" s="4" t="s">
        <v>1034</v>
      </c>
      <c r="E556" s="5">
        <v>14.1370833252717</v>
      </c>
    </row>
    <row r="557" ht="14.25" customHeight="1">
      <c r="A557" s="4"/>
      <c r="B557" s="4" t="s">
        <v>4</v>
      </c>
      <c r="C557" s="4" t="s">
        <v>1035</v>
      </c>
      <c r="D557" s="4" t="s">
        <v>259</v>
      </c>
      <c r="E557" s="5">
        <v>7.20991249581647</v>
      </c>
    </row>
    <row r="558" ht="14.25" customHeight="1">
      <c r="A558" s="4"/>
      <c r="B558" s="4" t="s">
        <v>4</v>
      </c>
      <c r="C558" s="4" t="s">
        <v>1036</v>
      </c>
      <c r="D558" s="4" t="s">
        <v>1037</v>
      </c>
      <c r="E558" s="5">
        <v>6.3323462461109905</v>
      </c>
    </row>
    <row r="559" ht="14.25" customHeight="1">
      <c r="A559" s="4"/>
      <c r="B559" s="4" t="s">
        <v>4</v>
      </c>
      <c r="C559" s="4" t="s">
        <v>1038</v>
      </c>
      <c r="D559" s="4" t="s">
        <v>134</v>
      </c>
      <c r="E559" s="5">
        <v>536.643683021947</v>
      </c>
    </row>
    <row r="560" ht="14.25" customHeight="1">
      <c r="A560" s="4"/>
      <c r="B560" s="4" t="s">
        <v>4</v>
      </c>
      <c r="C560" s="4" t="s">
        <v>1039</v>
      </c>
      <c r="D560" s="4" t="s">
        <v>1040</v>
      </c>
      <c r="E560" s="5">
        <v>103.037731501225</v>
      </c>
    </row>
    <row r="561" ht="14.25" customHeight="1">
      <c r="A561" s="4"/>
      <c r="B561" s="4" t="s">
        <v>4</v>
      </c>
      <c r="C561" s="4" t="s">
        <v>1041</v>
      </c>
      <c r="D561" s="4" t="s">
        <v>292</v>
      </c>
      <c r="E561" s="5">
        <v>530.281995525639</v>
      </c>
    </row>
    <row r="562" ht="14.25" customHeight="1">
      <c r="A562" s="4"/>
      <c r="B562" s="4" t="s">
        <v>4</v>
      </c>
      <c r="C562" s="4" t="s">
        <v>1042</v>
      </c>
      <c r="D562" s="4" t="s">
        <v>1043</v>
      </c>
      <c r="E562" s="5">
        <v>284.15840411152203</v>
      </c>
    </row>
    <row r="563" ht="14.25" customHeight="1">
      <c r="A563" s="4"/>
      <c r="B563" s="4" t="s">
        <v>4</v>
      </c>
      <c r="C563" s="4" t="s">
        <v>1044</v>
      </c>
      <c r="D563" s="4" t="s">
        <v>1045</v>
      </c>
      <c r="E563" s="5">
        <v>91.996419774146</v>
      </c>
    </row>
    <row r="564" ht="14.25" customHeight="1">
      <c r="A564" s="4"/>
      <c r="B564" s="4" t="s">
        <v>4</v>
      </c>
      <c r="C564" s="4" t="s">
        <v>1046</v>
      </c>
      <c r="D564" s="4" t="s">
        <v>1047</v>
      </c>
      <c r="E564" s="5">
        <v>13.9057512322595</v>
      </c>
    </row>
    <row r="565" ht="14.25" customHeight="1">
      <c r="A565" s="4"/>
      <c r="B565" s="4" t="s">
        <v>4</v>
      </c>
      <c r="C565" s="4" t="s">
        <v>1048</v>
      </c>
      <c r="D565" s="4" t="s">
        <v>1049</v>
      </c>
      <c r="E565" s="5">
        <v>68.1314161488857</v>
      </c>
    </row>
    <row r="566" ht="14.25" customHeight="1">
      <c r="A566" s="4"/>
      <c r="B566" s="4" t="s">
        <v>4</v>
      </c>
      <c r="C566" s="4" t="s">
        <v>1050</v>
      </c>
      <c r="D566" s="4" t="s">
        <v>1051</v>
      </c>
      <c r="E566" s="5">
        <v>1362.7872737067999</v>
      </c>
    </row>
    <row r="567" ht="14.25" customHeight="1">
      <c r="A567" s="4"/>
      <c r="B567" s="4" t="s">
        <v>4</v>
      </c>
      <c r="C567" s="4" t="s">
        <v>1052</v>
      </c>
      <c r="D567" s="4" t="s">
        <v>1053</v>
      </c>
      <c r="E567" s="5">
        <v>177.43463515624498</v>
      </c>
    </row>
    <row r="568" ht="14.25" customHeight="1">
      <c r="A568" s="4"/>
      <c r="B568" s="4" t="s">
        <v>4</v>
      </c>
      <c r="C568" s="4" t="s">
        <v>1054</v>
      </c>
      <c r="D568" s="4" t="s">
        <v>1055</v>
      </c>
      <c r="E568" s="5">
        <v>16.5531148363604</v>
      </c>
    </row>
    <row r="569" ht="14.25" customHeight="1">
      <c r="A569" s="4"/>
      <c r="B569" s="4" t="s">
        <v>4</v>
      </c>
      <c r="C569" s="4" t="s">
        <v>1056</v>
      </c>
      <c r="D569" s="4" t="s">
        <v>1057</v>
      </c>
      <c r="E569" s="5">
        <v>0.16961633646988603</v>
      </c>
    </row>
    <row r="570" ht="14.25" customHeight="1">
      <c r="A570" s="4"/>
      <c r="B570" s="4" t="s">
        <v>4</v>
      </c>
      <c r="C570" s="4" t="s">
        <v>1058</v>
      </c>
      <c r="D570" s="4" t="s">
        <v>1059</v>
      </c>
      <c r="E570" s="5">
        <v>7.08156834175335</v>
      </c>
    </row>
    <row r="571" ht="14.25" customHeight="1">
      <c r="A571" s="4"/>
      <c r="B571" s="4" t="s">
        <v>4</v>
      </c>
      <c r="C571" s="4" t="s">
        <v>1060</v>
      </c>
      <c r="D571" s="4" t="s">
        <v>1061</v>
      </c>
      <c r="E571" s="5">
        <v>0.593212708807811</v>
      </c>
    </row>
    <row r="572" ht="14.25" customHeight="1">
      <c r="A572" s="4"/>
      <c r="B572" s="4" t="s">
        <v>4</v>
      </c>
      <c r="C572" s="4" t="s">
        <v>1062</v>
      </c>
      <c r="D572" s="4" t="s">
        <v>1063</v>
      </c>
      <c r="E572" s="5">
        <v>12.087481308401001</v>
      </c>
    </row>
    <row r="573" ht="14.25" customHeight="1">
      <c r="A573" s="4"/>
      <c r="B573" s="4" t="s">
        <v>4</v>
      </c>
      <c r="C573" s="4" t="s">
        <v>1064</v>
      </c>
      <c r="D573" s="4" t="s">
        <v>1065</v>
      </c>
      <c r="E573" s="5">
        <v>33.9289999803128</v>
      </c>
    </row>
    <row r="574" ht="14.25" customHeight="1">
      <c r="A574" s="4"/>
      <c r="B574" s="4" t="s">
        <v>4</v>
      </c>
      <c r="C574" s="4" t="s">
        <v>1066</v>
      </c>
      <c r="D574" s="4" t="s">
        <v>292</v>
      </c>
      <c r="E574" s="5">
        <v>530.281995525639</v>
      </c>
    </row>
    <row r="575" ht="14.25" customHeight="1">
      <c r="A575" s="4"/>
      <c r="B575" s="4" t="s">
        <v>4</v>
      </c>
      <c r="C575" s="4" t="s">
        <v>1067</v>
      </c>
      <c r="D575" s="4" t="s">
        <v>1068</v>
      </c>
      <c r="E575" s="5">
        <v>1.2477493150311099</v>
      </c>
    </row>
    <row r="576" ht="14.25" customHeight="1">
      <c r="A576" s="4"/>
      <c r="B576" s="4" t="s">
        <v>4</v>
      </c>
      <c r="C576" s="4" t="s">
        <v>1069</v>
      </c>
      <c r="D576" s="4" t="s">
        <v>1070</v>
      </c>
      <c r="E576" s="5">
        <v>76.8387076942103</v>
      </c>
    </row>
    <row r="577" ht="14.25" customHeight="1">
      <c r="A577" s="4"/>
      <c r="B577" s="4" t="s">
        <v>4</v>
      </c>
      <c r="C577" s="4" t="s">
        <v>1071</v>
      </c>
      <c r="D577" s="4" t="s">
        <v>1072</v>
      </c>
      <c r="E577" s="5">
        <v>12.3256814338156</v>
      </c>
    </row>
    <row r="578" ht="14.25" customHeight="1">
      <c r="A578" s="4"/>
      <c r="B578" s="4" t="s">
        <v>4</v>
      </c>
      <c r="C578" s="4" t="s">
        <v>1073</v>
      </c>
      <c r="D578" s="4" t="s">
        <v>1074</v>
      </c>
      <c r="E578" s="5">
        <v>109.853256322077</v>
      </c>
    </row>
    <row r="579" ht="14.25" customHeight="1">
      <c r="A579" s="4"/>
      <c r="B579" s="4" t="s">
        <v>4</v>
      </c>
      <c r="C579" s="4" t="s">
        <v>1075</v>
      </c>
      <c r="D579" s="4" t="s">
        <v>1076</v>
      </c>
      <c r="E579" s="5">
        <v>1.32506721937566</v>
      </c>
    </row>
    <row r="580" ht="14.25" customHeight="1">
      <c r="A580" s="4"/>
      <c r="B580" s="4" t="s">
        <v>4</v>
      </c>
      <c r="C580" s="4" t="s">
        <v>1077</v>
      </c>
      <c r="D580" s="4" t="s">
        <v>1078</v>
      </c>
      <c r="E580" s="5">
        <v>7.40289450146614</v>
      </c>
    </row>
    <row r="581" ht="14.25" customHeight="1">
      <c r="A581" s="4"/>
      <c r="B581" s="4" t="s">
        <v>4</v>
      </c>
      <c r="C581" s="4" t="s">
        <v>1079</v>
      </c>
      <c r="D581" s="4" t="s">
        <v>1080</v>
      </c>
      <c r="E581" s="5">
        <v>7.03864611262288</v>
      </c>
    </row>
    <row r="582" ht="14.25" customHeight="1">
      <c r="A582" s="4"/>
      <c r="B582" s="4" t="s">
        <v>4</v>
      </c>
      <c r="C582" s="4" t="s">
        <v>1081</v>
      </c>
      <c r="D582" s="4" t="s">
        <v>1082</v>
      </c>
      <c r="E582" s="5">
        <v>7.678450250587289</v>
      </c>
    </row>
    <row r="583" ht="14.25" customHeight="1">
      <c r="A583" s="4"/>
      <c r="B583" s="4" t="s">
        <v>4</v>
      </c>
      <c r="C583" s="4" t="s">
        <v>1083</v>
      </c>
      <c r="D583" s="4" t="s">
        <v>1084</v>
      </c>
      <c r="E583" s="5">
        <v>7.77539582882168</v>
      </c>
    </row>
    <row r="584" ht="14.25" customHeight="1">
      <c r="A584" s="4"/>
      <c r="B584" s="4" t="s">
        <v>4</v>
      </c>
      <c r="C584" s="4" t="s">
        <v>1085</v>
      </c>
      <c r="D584" s="4" t="s">
        <v>1086</v>
      </c>
      <c r="E584" s="5">
        <v>525.053025395266</v>
      </c>
    </row>
    <row r="585" ht="14.25" customHeight="1">
      <c r="A585" s="4"/>
      <c r="B585" s="4" t="s">
        <v>4</v>
      </c>
      <c r="C585" s="4" t="s">
        <v>1087</v>
      </c>
      <c r="D585" s="4" t="s">
        <v>1088</v>
      </c>
      <c r="E585" s="5">
        <v>0.389043654938883</v>
      </c>
    </row>
    <row r="586" ht="14.25" customHeight="1">
      <c r="A586" s="4"/>
      <c r="B586" s="4" t="s">
        <v>4</v>
      </c>
      <c r="C586" s="4" t="s">
        <v>1089</v>
      </c>
      <c r="D586" s="4" t="s">
        <v>1090</v>
      </c>
      <c r="E586" s="5">
        <v>8.837801110031501</v>
      </c>
    </row>
    <row r="587" ht="14.25" customHeight="1">
      <c r="A587" s="4"/>
      <c r="B587" s="4" t="s">
        <v>4</v>
      </c>
      <c r="C587" s="4" t="s">
        <v>1091</v>
      </c>
      <c r="D587" s="4" t="s">
        <v>1092</v>
      </c>
      <c r="E587" s="5">
        <v>1191.59262548246</v>
      </c>
    </row>
    <row r="588" ht="14.25" customHeight="1">
      <c r="A588" s="4"/>
      <c r="B588" s="4" t="s">
        <v>4</v>
      </c>
      <c r="C588" s="4" t="s">
        <v>1093</v>
      </c>
      <c r="D588" s="4" t="s">
        <v>1094</v>
      </c>
      <c r="E588" s="5">
        <v>5.1576860688055</v>
      </c>
    </row>
    <row r="589" ht="14.25" customHeight="1">
      <c r="A589" s="4"/>
      <c r="B589" s="4" t="s">
        <v>4</v>
      </c>
      <c r="C589" s="4" t="s">
        <v>1095</v>
      </c>
      <c r="D589" s="4" t="s">
        <v>1096</v>
      </c>
      <c r="E589" s="5">
        <v>121.334216150832</v>
      </c>
    </row>
    <row r="590" ht="14.25" customHeight="1">
      <c r="A590" s="4"/>
      <c r="B590" s="4" t="s">
        <v>4</v>
      </c>
      <c r="C590" s="4" t="s">
        <v>1097</v>
      </c>
      <c r="D590" s="4" t="s">
        <v>1098</v>
      </c>
      <c r="E590" s="5">
        <v>0.478537826691827</v>
      </c>
    </row>
    <row r="591" ht="14.25" customHeight="1">
      <c r="A591" s="4"/>
      <c r="B591" s="4" t="s">
        <v>4</v>
      </c>
      <c r="C591" s="4" t="s">
        <v>1099</v>
      </c>
      <c r="D591" s="4" t="s">
        <v>1100</v>
      </c>
      <c r="E591" s="5">
        <v>8.352324584175049</v>
      </c>
    </row>
    <row r="592" ht="14.25" customHeight="1">
      <c r="A592" s="4"/>
      <c r="B592" s="4" t="s">
        <v>4</v>
      </c>
      <c r="C592" s="4" t="s">
        <v>1101</v>
      </c>
      <c r="D592" s="4" t="s">
        <v>1102</v>
      </c>
      <c r="E592" s="5">
        <v>33.4300743961251</v>
      </c>
    </row>
    <row r="593" ht="14.25" customHeight="1">
      <c r="A593" s="4"/>
      <c r="B593" s="4" t="s">
        <v>4</v>
      </c>
      <c r="C593" s="4" t="s">
        <v>1103</v>
      </c>
      <c r="D593" s="4" t="s">
        <v>1104</v>
      </c>
      <c r="E593" s="5">
        <v>22.638521477660298</v>
      </c>
    </row>
    <row r="594" ht="14.25" customHeight="1">
      <c r="A594" s="4"/>
      <c r="B594" s="4" t="s">
        <v>4</v>
      </c>
      <c r="C594" s="4" t="s">
        <v>1105</v>
      </c>
      <c r="D594" s="4" t="s">
        <v>1106</v>
      </c>
      <c r="E594" s="5">
        <v>3.24948794954694</v>
      </c>
    </row>
    <row r="595" ht="14.25" customHeight="1">
      <c r="A595" s="4"/>
      <c r="B595" s="4" t="s">
        <v>4</v>
      </c>
      <c r="C595" s="4" t="s">
        <v>1107</v>
      </c>
      <c r="D595" s="4" t="s">
        <v>1108</v>
      </c>
      <c r="E595" s="5">
        <v>1.32011977316719</v>
      </c>
    </row>
    <row r="596" ht="14.25" customHeight="1">
      <c r="A596" s="4"/>
      <c r="B596" s="4" t="s">
        <v>4</v>
      </c>
      <c r="C596" s="4" t="s">
        <v>1109</v>
      </c>
      <c r="D596" s="4" t="s">
        <v>1110</v>
      </c>
      <c r="E596" s="5">
        <v>14.2775910784177</v>
      </c>
    </row>
    <row r="597" ht="14.25" customHeight="1">
      <c r="A597" s="4"/>
      <c r="B597" s="4" t="s">
        <v>4</v>
      </c>
      <c r="C597" s="4" t="s">
        <v>1111</v>
      </c>
      <c r="D597" s="4" t="s">
        <v>1112</v>
      </c>
      <c r="E597" s="5">
        <v>167.193870575394</v>
      </c>
    </row>
    <row r="598" ht="14.25" customHeight="1">
      <c r="A598" s="4"/>
      <c r="B598" s="4" t="s">
        <v>4</v>
      </c>
      <c r="C598" s="4" t="s">
        <v>1113</v>
      </c>
      <c r="D598" s="4" t="s">
        <v>1114</v>
      </c>
      <c r="E598" s="5">
        <v>15.7934491746501</v>
      </c>
    </row>
    <row r="599" ht="14.25" customHeight="1">
      <c r="A599" s="4"/>
      <c r="B599" s="4" t="s">
        <v>4</v>
      </c>
      <c r="C599" s="4" t="s">
        <v>1115</v>
      </c>
      <c r="D599" s="4" t="s">
        <v>1116</v>
      </c>
      <c r="E599" s="5">
        <v>0.912732187369176</v>
      </c>
    </row>
    <row r="600" ht="14.25" customHeight="1">
      <c r="A600" s="4"/>
      <c r="B600" s="4" t="s">
        <v>4</v>
      </c>
      <c r="C600" s="4" t="s">
        <v>1117</v>
      </c>
      <c r="D600" s="4" t="s">
        <v>1118</v>
      </c>
      <c r="E600" s="5">
        <v>0.798631479583364</v>
      </c>
    </row>
    <row r="601" ht="14.25" customHeight="1">
      <c r="A601" s="4"/>
      <c r="B601" s="4" t="s">
        <v>4</v>
      </c>
      <c r="C601" s="4" t="s">
        <v>1119</v>
      </c>
      <c r="D601" s="4" t="s">
        <v>1120</v>
      </c>
      <c r="E601" s="5">
        <v>38.4778523057751</v>
      </c>
    </row>
    <row r="602" ht="14.25" customHeight="1">
      <c r="A602" s="4"/>
      <c r="B602" s="4" t="s">
        <v>4</v>
      </c>
      <c r="C602" s="4" t="s">
        <v>1121</v>
      </c>
      <c r="D602" s="4" t="s">
        <v>1122</v>
      </c>
      <c r="E602" s="5">
        <v>810.626860921303</v>
      </c>
    </row>
    <row r="603" ht="14.25" customHeight="1">
      <c r="A603" s="4"/>
      <c r="B603" s="4" t="s">
        <v>4</v>
      </c>
      <c r="C603" s="4" t="s">
        <v>1123</v>
      </c>
      <c r="D603" s="4" t="s">
        <v>1124</v>
      </c>
      <c r="E603" s="5">
        <v>1171.8769828942</v>
      </c>
    </row>
    <row r="604" ht="14.25" customHeight="1">
      <c r="A604" s="4"/>
      <c r="B604" s="4" t="s">
        <v>4</v>
      </c>
      <c r="C604" s="4" t="s">
        <v>1125</v>
      </c>
      <c r="D604" s="4" t="s">
        <v>1126</v>
      </c>
      <c r="E604" s="5">
        <v>573.461297417981</v>
      </c>
    </row>
    <row r="605" ht="14.25" customHeight="1">
      <c r="A605" s="4"/>
      <c r="B605" s="4" t="s">
        <v>4</v>
      </c>
      <c r="C605" s="4" t="s">
        <v>1127</v>
      </c>
      <c r="D605" s="4" t="s">
        <v>1128</v>
      </c>
      <c r="E605" s="5">
        <v>5.19400953012321</v>
      </c>
    </row>
    <row r="606" ht="14.25" customHeight="1">
      <c r="A606" s="4"/>
      <c r="B606" s="4" t="s">
        <v>4</v>
      </c>
      <c r="C606" s="4" t="s">
        <v>1129</v>
      </c>
      <c r="D606" s="4" t="s">
        <v>1130</v>
      </c>
      <c r="E606" s="5">
        <v>50.0452749709614</v>
      </c>
    </row>
    <row r="607" ht="14.25" customHeight="1">
      <c r="A607" s="4"/>
      <c r="B607" s="4" t="s">
        <v>4</v>
      </c>
      <c r="C607" s="4" t="s">
        <v>1131</v>
      </c>
      <c r="D607" s="4" t="s">
        <v>209</v>
      </c>
      <c r="E607" s="5">
        <v>35.3427083128258</v>
      </c>
    </row>
    <row r="608" ht="14.25" customHeight="1">
      <c r="A608" s="4"/>
      <c r="B608" s="4" t="s">
        <v>4</v>
      </c>
      <c r="C608" s="4" t="s">
        <v>1132</v>
      </c>
      <c r="D608" s="4" t="s">
        <v>1133</v>
      </c>
      <c r="E608" s="5">
        <v>7.042636424913851</v>
      </c>
    </row>
    <row r="609" ht="14.25" customHeight="1">
      <c r="A609" s="4"/>
      <c r="B609" s="4" t="s">
        <v>4</v>
      </c>
      <c r="C609" s="4" t="s">
        <v>1134</v>
      </c>
      <c r="D609" s="4" t="s">
        <v>1135</v>
      </c>
      <c r="E609" s="5">
        <v>9.239050927412618</v>
      </c>
    </row>
    <row r="610" ht="14.25" customHeight="1">
      <c r="A610" s="4"/>
      <c r="B610" s="4" t="s">
        <v>4</v>
      </c>
      <c r="C610" s="4" t="s">
        <v>1136</v>
      </c>
      <c r="D610" s="4" t="s">
        <v>1137</v>
      </c>
      <c r="E610" s="5">
        <v>15.8239072943092</v>
      </c>
    </row>
    <row r="611" ht="14.25" customHeight="1">
      <c r="A611" s="4"/>
      <c r="B611" s="4" t="s">
        <v>4</v>
      </c>
      <c r="C611" s="4" t="s">
        <v>1138</v>
      </c>
      <c r="D611" s="4" t="s">
        <v>1139</v>
      </c>
      <c r="E611" s="5">
        <v>8.30257389297689</v>
      </c>
    </row>
    <row r="612" ht="14.25" customHeight="1">
      <c r="A612" s="4"/>
      <c r="B612" s="4" t="s">
        <v>4</v>
      </c>
      <c r="C612" s="4" t="s">
        <v>1140</v>
      </c>
      <c r="D612" s="4" t="s">
        <v>1141</v>
      </c>
      <c r="E612" s="5">
        <v>6.85861028290139</v>
      </c>
    </row>
    <row r="613" ht="14.25" customHeight="1">
      <c r="A613" s="4"/>
      <c r="B613" s="4" t="s">
        <v>4</v>
      </c>
      <c r="C613" s="4" t="s">
        <v>1142</v>
      </c>
      <c r="D613" s="4" t="s">
        <v>1143</v>
      </c>
      <c r="E613" s="5">
        <v>35.4494516810172</v>
      </c>
    </row>
    <row r="614" ht="14.25" customHeight="1">
      <c r="A614" s="4"/>
      <c r="B614" s="4" t="s">
        <v>4</v>
      </c>
      <c r="C614" s="4" t="s">
        <v>1144</v>
      </c>
      <c r="D614" s="4" t="s">
        <v>1145</v>
      </c>
      <c r="E614" s="5">
        <v>25.445161134555903</v>
      </c>
    </row>
    <row r="615" ht="14.25" customHeight="1">
      <c r="A615" s="4"/>
      <c r="B615" s="4" t="s">
        <v>4</v>
      </c>
      <c r="C615" s="4" t="s">
        <v>1146</v>
      </c>
      <c r="D615" s="4" t="s">
        <v>1147</v>
      </c>
      <c r="E615" s="5">
        <v>482.256909761838</v>
      </c>
    </row>
    <row r="616" ht="14.25" customHeight="1">
      <c r="A616" s="4"/>
      <c r="B616" s="4" t="s">
        <v>4</v>
      </c>
      <c r="C616" s="4" t="s">
        <v>1148</v>
      </c>
      <c r="D616" s="4" t="s">
        <v>1149</v>
      </c>
      <c r="E616" s="5">
        <v>9.98939147066922</v>
      </c>
    </row>
    <row r="617" ht="14.25" customHeight="1">
      <c r="A617" s="4"/>
      <c r="B617" s="4" t="s">
        <v>4</v>
      </c>
      <c r="C617" s="4" t="s">
        <v>1150</v>
      </c>
      <c r="D617" s="4" t="s">
        <v>28</v>
      </c>
      <c r="E617" s="5">
        <v>9.89595832759124</v>
      </c>
    </row>
    <row r="618" ht="14.25" customHeight="1">
      <c r="A618" s="4"/>
      <c r="B618" s="4" t="s">
        <v>4</v>
      </c>
      <c r="C618" s="4" t="s">
        <v>1151</v>
      </c>
      <c r="D618" s="4" t="s">
        <v>1152</v>
      </c>
      <c r="E618" s="5">
        <v>0.833937842522658</v>
      </c>
    </row>
    <row r="619" ht="14.25" customHeight="1">
      <c r="A619" s="4"/>
      <c r="B619" s="4" t="s">
        <v>4</v>
      </c>
      <c r="C619" s="4" t="s">
        <v>1153</v>
      </c>
      <c r="D619" s="4" t="s">
        <v>30</v>
      </c>
      <c r="E619" s="5">
        <v>7.0685416625651705</v>
      </c>
    </row>
    <row r="620" ht="14.25" customHeight="1">
      <c r="A620" s="4"/>
      <c r="B620" s="4" t="s">
        <v>4</v>
      </c>
      <c r="C620" s="4" t="s">
        <v>1154</v>
      </c>
      <c r="D620" s="4" t="s">
        <v>1155</v>
      </c>
      <c r="E620" s="5">
        <v>263.22131716347</v>
      </c>
    </row>
    <row r="621" ht="14.25" customHeight="1">
      <c r="A621" s="4"/>
      <c r="B621" s="4" t="s">
        <v>4</v>
      </c>
      <c r="C621" s="4" t="s">
        <v>1156</v>
      </c>
      <c r="D621" s="4" t="s">
        <v>30</v>
      </c>
      <c r="E621" s="5">
        <v>7.0685416625651705</v>
      </c>
    </row>
    <row r="622" ht="14.25" customHeight="1">
      <c r="A622" s="4"/>
      <c r="B622" s="4" t="s">
        <v>4</v>
      </c>
      <c r="C622" s="4" t="s">
        <v>1157</v>
      </c>
      <c r="D622" s="4" t="s">
        <v>1158</v>
      </c>
      <c r="E622" s="5">
        <v>6.632182085806409</v>
      </c>
    </row>
    <row r="623" ht="14.25" customHeight="1">
      <c r="A623" s="4"/>
      <c r="B623" s="4" t="s">
        <v>4</v>
      </c>
      <c r="C623" s="4" t="s">
        <v>1159</v>
      </c>
      <c r="D623" s="4" t="s">
        <v>1160</v>
      </c>
      <c r="E623" s="5">
        <v>7.065379883397229</v>
      </c>
    </row>
    <row r="624" ht="14.25" customHeight="1">
      <c r="A624" s="4"/>
      <c r="B624" s="4" t="s">
        <v>4</v>
      </c>
      <c r="C624" s="4" t="s">
        <v>1161</v>
      </c>
      <c r="D624" s="4" t="s">
        <v>1162</v>
      </c>
      <c r="E624" s="5">
        <v>19.9204508592242</v>
      </c>
    </row>
    <row r="625" ht="14.25" customHeight="1">
      <c r="A625" s="4"/>
      <c r="B625" s="4" t="s">
        <v>4</v>
      </c>
      <c r="C625" s="4" t="s">
        <v>1163</v>
      </c>
      <c r="D625" s="4" t="s">
        <v>1164</v>
      </c>
      <c r="E625" s="5">
        <v>0.0216476775865995</v>
      </c>
    </row>
    <row r="626" ht="14.25" customHeight="1">
      <c r="A626" s="4"/>
      <c r="B626" s="4" t="s">
        <v>4</v>
      </c>
      <c r="C626" s="4" t="s">
        <v>1165</v>
      </c>
      <c r="D626" s="4" t="s">
        <v>1166</v>
      </c>
      <c r="E626" s="5">
        <v>7.2123041358984</v>
      </c>
    </row>
    <row r="627" ht="14.25" customHeight="1">
      <c r="A627" s="4"/>
      <c r="B627" s="4" t="s">
        <v>4</v>
      </c>
      <c r="C627" s="4" t="s">
        <v>1167</v>
      </c>
      <c r="D627" s="4" t="s">
        <v>1168</v>
      </c>
      <c r="E627" s="5">
        <v>0.131636827002064</v>
      </c>
    </row>
    <row r="628" ht="14.25" customHeight="1">
      <c r="A628" s="4"/>
      <c r="B628" s="4" t="s">
        <v>4</v>
      </c>
      <c r="C628" s="4" t="s">
        <v>1169</v>
      </c>
      <c r="D628" s="4" t="s">
        <v>1170</v>
      </c>
      <c r="E628" s="5">
        <v>2.33446003004566</v>
      </c>
    </row>
    <row r="629" ht="14.25" customHeight="1">
      <c r="A629" s="4"/>
      <c r="B629" s="4" t="s">
        <v>4</v>
      </c>
      <c r="C629" s="4" t="s">
        <v>1171</v>
      </c>
      <c r="D629" s="4" t="s">
        <v>1172</v>
      </c>
      <c r="E629" s="5">
        <v>17.1418961956407</v>
      </c>
    </row>
    <row r="630" ht="14.25" customHeight="1">
      <c r="A630" s="4"/>
      <c r="B630" s="4" t="s">
        <v>4</v>
      </c>
      <c r="C630" s="4" t="s">
        <v>1173</v>
      </c>
      <c r="D630" s="4" t="s">
        <v>1174</v>
      </c>
      <c r="E630" s="5">
        <v>1.29805816312255</v>
      </c>
    </row>
    <row r="631" ht="14.25" customHeight="1">
      <c r="A631" s="4"/>
      <c r="B631" s="4" t="s">
        <v>4</v>
      </c>
      <c r="C631" s="4" t="s">
        <v>1175</v>
      </c>
      <c r="D631" s="4" t="s">
        <v>1176</v>
      </c>
      <c r="E631" s="5">
        <v>322.81192753044405</v>
      </c>
    </row>
    <row r="632" ht="14.25" customHeight="1">
      <c r="A632" s="4"/>
      <c r="B632" s="4" t="s">
        <v>4</v>
      </c>
      <c r="C632" s="4" t="s">
        <v>1177</v>
      </c>
      <c r="D632" s="4" t="s">
        <v>1178</v>
      </c>
      <c r="E632" s="5">
        <v>6.7725586717745605</v>
      </c>
    </row>
    <row r="633" ht="14.25" customHeight="1">
      <c r="A633" s="4"/>
      <c r="B633" s="4" t="s">
        <v>4</v>
      </c>
      <c r="C633" s="4" t="s">
        <v>1179</v>
      </c>
      <c r="D633" s="4" t="s">
        <v>1180</v>
      </c>
      <c r="E633" s="5">
        <v>127.229163442862</v>
      </c>
    </row>
    <row r="634" ht="14.25" customHeight="1">
      <c r="A634" s="4"/>
      <c r="B634" s="4" t="s">
        <v>4</v>
      </c>
      <c r="C634" s="4" t="s">
        <v>1181</v>
      </c>
      <c r="D634" s="4" t="s">
        <v>1182</v>
      </c>
      <c r="E634" s="5">
        <v>17.858199435319502</v>
      </c>
    </row>
    <row r="635" ht="14.25" customHeight="1">
      <c r="A635" s="4"/>
      <c r="B635" s="4" t="s">
        <v>4</v>
      </c>
      <c r="C635" s="4" t="s">
        <v>1183</v>
      </c>
      <c r="D635" s="4" t="s">
        <v>402</v>
      </c>
      <c r="E635" s="5">
        <v>106.02812493847699</v>
      </c>
    </row>
    <row r="636" ht="14.25" customHeight="1">
      <c r="A636" s="4"/>
      <c r="B636" s="4" t="s">
        <v>4</v>
      </c>
      <c r="C636" s="4" t="s">
        <v>1184</v>
      </c>
      <c r="D636" s="4" t="s">
        <v>30</v>
      </c>
      <c r="E636" s="5">
        <v>7.0685416625651705</v>
      </c>
    </row>
    <row r="637" ht="14.25" customHeight="1">
      <c r="A637" s="4"/>
      <c r="B637" s="4" t="s">
        <v>4</v>
      </c>
      <c r="C637" s="4" t="s">
        <v>1185</v>
      </c>
      <c r="D637" s="4" t="s">
        <v>1186</v>
      </c>
      <c r="E637" s="5">
        <v>6.28651287458505</v>
      </c>
    </row>
    <row r="638" ht="14.25" customHeight="1">
      <c r="A638" s="4"/>
      <c r="B638" s="4" t="s">
        <v>4</v>
      </c>
      <c r="C638" s="4" t="s">
        <v>1187</v>
      </c>
      <c r="D638" s="4" t="s">
        <v>1188</v>
      </c>
      <c r="E638" s="5">
        <v>68.1909475588829</v>
      </c>
    </row>
    <row r="639" ht="14.25" customHeight="1">
      <c r="A639" s="4"/>
      <c r="B639" s="4" t="s">
        <v>4</v>
      </c>
      <c r="C639" s="4" t="s">
        <v>1189</v>
      </c>
      <c r="D639" s="4" t="s">
        <v>1190</v>
      </c>
      <c r="E639" s="5">
        <v>213.894070709222</v>
      </c>
    </row>
    <row r="640" ht="14.25" customHeight="1">
      <c r="A640" s="4"/>
      <c r="B640" s="4" t="s">
        <v>4</v>
      </c>
      <c r="C640" s="4" t="s">
        <v>1191</v>
      </c>
      <c r="D640" s="4" t="s">
        <v>1192</v>
      </c>
      <c r="E640" s="5">
        <v>0.706750056392223</v>
      </c>
    </row>
    <row r="641" ht="14.25" customHeight="1">
      <c r="A641" s="4"/>
      <c r="B641" s="4" t="s">
        <v>4</v>
      </c>
      <c r="C641" s="4" t="s">
        <v>1193</v>
      </c>
      <c r="D641" s="4" t="s">
        <v>30</v>
      </c>
      <c r="E641" s="5">
        <v>7.0685416625651705</v>
      </c>
    </row>
    <row r="642" ht="14.25" customHeight="1">
      <c r="A642" s="4"/>
      <c r="B642" s="4" t="s">
        <v>4</v>
      </c>
      <c r="C642" s="4" t="s">
        <v>1194</v>
      </c>
      <c r="D642" s="4" t="s">
        <v>1195</v>
      </c>
      <c r="E642" s="5">
        <v>20.955496744721497</v>
      </c>
    </row>
    <row r="643" ht="14.25" customHeight="1">
      <c r="A643" s="4"/>
      <c r="B643" s="4" t="s">
        <v>4</v>
      </c>
      <c r="C643" s="4" t="s">
        <v>1196</v>
      </c>
      <c r="D643" s="4" t="s">
        <v>1197</v>
      </c>
      <c r="E643" s="5">
        <v>14.136713019076499</v>
      </c>
    </row>
    <row r="644" ht="14.25" customHeight="1">
      <c r="A644" s="4"/>
      <c r="B644" s="4" t="s">
        <v>4</v>
      </c>
      <c r="C644" s="4" t="s">
        <v>1198</v>
      </c>
      <c r="D644" s="4" t="s">
        <v>1199</v>
      </c>
      <c r="E644" s="5">
        <v>5.36504124407797</v>
      </c>
    </row>
    <row r="645" ht="14.25" customHeight="1">
      <c r="A645" s="4"/>
      <c r="B645" s="4" t="s">
        <v>4</v>
      </c>
      <c r="C645" s="4" t="s">
        <v>1200</v>
      </c>
      <c r="D645" s="4" t="s">
        <v>30</v>
      </c>
      <c r="E645" s="5">
        <v>7.0685416625651705</v>
      </c>
    </row>
    <row r="646" ht="14.25" customHeight="1">
      <c r="A646" s="4"/>
      <c r="B646" s="4" t="s">
        <v>4</v>
      </c>
      <c r="C646" s="4" t="s">
        <v>1201</v>
      </c>
      <c r="D646" s="4" t="s">
        <v>1202</v>
      </c>
      <c r="E646" s="5">
        <v>13.0099434178552</v>
      </c>
    </row>
    <row r="647" ht="14.25" customHeight="1">
      <c r="A647" s="4"/>
      <c r="B647" s="4" t="s">
        <v>4</v>
      </c>
      <c r="C647" s="4" t="s">
        <v>1203</v>
      </c>
      <c r="D647" s="4" t="s">
        <v>1204</v>
      </c>
      <c r="E647" s="5">
        <v>1.5288062989251598</v>
      </c>
    </row>
    <row r="648" ht="14.25" customHeight="1">
      <c r="A648" s="4"/>
      <c r="B648" s="4" t="s">
        <v>4</v>
      </c>
      <c r="C648" s="4" t="s">
        <v>1205</v>
      </c>
      <c r="D648" s="4" t="s">
        <v>1206</v>
      </c>
      <c r="E648" s="5">
        <v>7.06866568649032</v>
      </c>
    </row>
    <row r="649" ht="14.25" customHeight="1">
      <c r="A649" s="4"/>
      <c r="B649" s="4" t="s">
        <v>4</v>
      </c>
      <c r="C649" s="4" t="s">
        <v>1207</v>
      </c>
      <c r="D649" s="4" t="s">
        <v>30</v>
      </c>
      <c r="E649" s="5">
        <v>7.0685416625651705</v>
      </c>
    </row>
    <row r="650" ht="14.25" customHeight="1">
      <c r="A650" s="4"/>
      <c r="B650" s="4" t="s">
        <v>4</v>
      </c>
      <c r="C650" s="4" t="s">
        <v>1208</v>
      </c>
      <c r="D650" s="4" t="s">
        <v>1209</v>
      </c>
      <c r="E650" s="5">
        <v>0.7397729579455811</v>
      </c>
    </row>
    <row r="651" ht="14.25" customHeight="1">
      <c r="A651" s="4"/>
      <c r="B651" s="4" t="s">
        <v>4</v>
      </c>
      <c r="C651" s="4" t="s">
        <v>1210</v>
      </c>
      <c r="D651" s="4" t="s">
        <v>1211</v>
      </c>
      <c r="E651" s="5">
        <v>35.000491468412804</v>
      </c>
    </row>
    <row r="652" ht="14.25" customHeight="1">
      <c r="A652" s="4"/>
      <c r="B652" s="4" t="s">
        <v>4</v>
      </c>
      <c r="C652" s="4" t="s">
        <v>1212</v>
      </c>
      <c r="D652" s="4" t="s">
        <v>1213</v>
      </c>
      <c r="E652" s="5">
        <v>6.79624736771448</v>
      </c>
    </row>
    <row r="653" ht="14.25" customHeight="1">
      <c r="A653" s="4"/>
      <c r="B653" s="4" t="s">
        <v>4</v>
      </c>
      <c r="C653" s="4" t="s">
        <v>1214</v>
      </c>
      <c r="D653" s="4" t="s">
        <v>1215</v>
      </c>
      <c r="E653" s="5">
        <v>45.074844856121196</v>
      </c>
    </row>
    <row r="654" ht="14.25" customHeight="1">
      <c r="A654" s="4"/>
      <c r="B654" s="4" t="s">
        <v>4</v>
      </c>
      <c r="C654" s="4" t="s">
        <v>1216</v>
      </c>
      <c r="D654" s="4" t="s">
        <v>1217</v>
      </c>
      <c r="E654" s="5">
        <v>6.83014845286698</v>
      </c>
    </row>
    <row r="655" ht="14.25" customHeight="1">
      <c r="A655" s="4"/>
      <c r="B655" s="4" t="s">
        <v>4</v>
      </c>
      <c r="C655" s="4" t="s">
        <v>1218</v>
      </c>
      <c r="D655" s="4" t="s">
        <v>1219</v>
      </c>
      <c r="E655" s="5">
        <v>1274.52497233583</v>
      </c>
    </row>
    <row r="656" ht="14.25" customHeight="1">
      <c r="A656" s="4"/>
      <c r="B656" s="4" t="s">
        <v>4</v>
      </c>
      <c r="C656" s="4" t="s">
        <v>1220</v>
      </c>
      <c r="D656" s="4" t="s">
        <v>1221</v>
      </c>
      <c r="E656" s="5">
        <v>162.97381949671401</v>
      </c>
    </row>
    <row r="657" ht="14.25" customHeight="1">
      <c r="A657" s="4"/>
      <c r="B657" s="4" t="s">
        <v>4</v>
      </c>
      <c r="C657" s="4" t="s">
        <v>1222</v>
      </c>
      <c r="D657" s="4" t="s">
        <v>1223</v>
      </c>
      <c r="E657" s="5">
        <v>3.46172535788777</v>
      </c>
    </row>
    <row r="658" ht="14.25" customHeight="1">
      <c r="A658" s="4"/>
      <c r="B658" s="4" t="s">
        <v>4</v>
      </c>
      <c r="C658" s="4" t="s">
        <v>1224</v>
      </c>
      <c r="D658" s="4" t="s">
        <v>1225</v>
      </c>
      <c r="E658" s="5">
        <v>142.40500481932298</v>
      </c>
    </row>
    <row r="659" ht="14.25" customHeight="1">
      <c r="A659" s="4"/>
      <c r="B659" s="4" t="s">
        <v>4</v>
      </c>
      <c r="C659" s="4" t="s">
        <v>1226</v>
      </c>
      <c r="D659" s="4" t="s">
        <v>1227</v>
      </c>
      <c r="E659" s="5">
        <v>1.32526363907777</v>
      </c>
    </row>
    <row r="660" ht="14.25" customHeight="1">
      <c r="A660" s="4"/>
      <c r="B660" s="4" t="s">
        <v>4</v>
      </c>
      <c r="C660" s="4" t="s">
        <v>1228</v>
      </c>
      <c r="D660" s="4" t="s">
        <v>1229</v>
      </c>
      <c r="E660" s="5">
        <v>6.26699069687163</v>
      </c>
    </row>
    <row r="661" ht="14.25" customHeight="1">
      <c r="A661" s="4"/>
      <c r="B661" s="4" t="s">
        <v>4</v>
      </c>
      <c r="C661" s="4" t="s">
        <v>1230</v>
      </c>
      <c r="D661" s="4" t="s">
        <v>1231</v>
      </c>
      <c r="E661" s="5">
        <v>6.477989014017671</v>
      </c>
    </row>
    <row r="662" ht="14.25" customHeight="1">
      <c r="A662" s="4"/>
      <c r="B662" s="4" t="s">
        <v>4</v>
      </c>
      <c r="C662" s="4" t="s">
        <v>1232</v>
      </c>
      <c r="D662" s="4" t="s">
        <v>1233</v>
      </c>
      <c r="E662" s="5">
        <v>0.548322231130743</v>
      </c>
    </row>
    <row r="663" ht="14.25" customHeight="1">
      <c r="A663" s="4"/>
      <c r="B663" s="4" t="s">
        <v>4</v>
      </c>
      <c r="C663" s="4" t="s">
        <v>1234</v>
      </c>
      <c r="D663" s="4" t="s">
        <v>1235</v>
      </c>
      <c r="E663" s="5">
        <v>11.883230380960201</v>
      </c>
    </row>
    <row r="664" ht="14.25" customHeight="1">
      <c r="A664" s="4"/>
      <c r="B664" s="4" t="s">
        <v>4</v>
      </c>
      <c r="C664" s="4" t="s">
        <v>1236</v>
      </c>
      <c r="D664" s="4" t="s">
        <v>1237</v>
      </c>
      <c r="E664" s="5">
        <v>44.7577310394407</v>
      </c>
    </row>
    <row r="665" ht="14.25" customHeight="1">
      <c r="A665" s="4"/>
      <c r="B665" s="4" t="s">
        <v>4</v>
      </c>
      <c r="C665" s="4" t="s">
        <v>1238</v>
      </c>
      <c r="D665" s="4" t="s">
        <v>1239</v>
      </c>
      <c r="E665" s="5">
        <v>7.34770467967</v>
      </c>
    </row>
    <row r="666" ht="14.25" customHeight="1">
      <c r="A666" s="4"/>
      <c r="B666" s="4" t="s">
        <v>4</v>
      </c>
      <c r="C666" s="4" t="s">
        <v>1240</v>
      </c>
      <c r="D666" s="4" t="s">
        <v>843</v>
      </c>
      <c r="E666" s="5">
        <v>0.141370833251303</v>
      </c>
    </row>
    <row r="667" ht="14.25" customHeight="1">
      <c r="A667" s="4"/>
      <c r="B667" s="4" t="s">
        <v>4</v>
      </c>
      <c r="C667" s="4" t="s">
        <v>1241</v>
      </c>
      <c r="D667" s="4" t="s">
        <v>1242</v>
      </c>
      <c r="E667" s="5">
        <v>615.580048591024</v>
      </c>
    </row>
    <row r="668" ht="14.25" customHeight="1">
      <c r="A668" s="4"/>
      <c r="B668" s="4" t="s">
        <v>4</v>
      </c>
      <c r="C668" s="4" t="s">
        <v>1243</v>
      </c>
      <c r="D668" s="4" t="s">
        <v>1244</v>
      </c>
      <c r="E668" s="5">
        <v>0.7173485044204391</v>
      </c>
    </row>
    <row r="669" ht="14.25" customHeight="1">
      <c r="A669" s="4"/>
      <c r="B669" s="4" t="s">
        <v>4</v>
      </c>
      <c r="C669" s="4" t="s">
        <v>1245</v>
      </c>
      <c r="D669" s="4" t="s">
        <v>1246</v>
      </c>
      <c r="E669" s="5">
        <v>0.9970612224245969</v>
      </c>
    </row>
    <row r="670" ht="14.25" customHeight="1">
      <c r="A670" s="4"/>
      <c r="B670" s="4" t="s">
        <v>4</v>
      </c>
      <c r="C670" s="4" t="s">
        <v>1247</v>
      </c>
      <c r="D670" s="4" t="s">
        <v>1248</v>
      </c>
      <c r="E670" s="5">
        <v>14.2409785477341</v>
      </c>
    </row>
    <row r="671" ht="14.25" customHeight="1">
      <c r="A671" s="4"/>
      <c r="B671" s="4" t="s">
        <v>4</v>
      </c>
      <c r="C671" s="4" t="s">
        <v>1249</v>
      </c>
      <c r="D671" s="4" t="s">
        <v>1250</v>
      </c>
      <c r="E671" s="5">
        <v>2.16689857417443</v>
      </c>
    </row>
    <row r="672" ht="14.25" customHeight="1">
      <c r="A672" s="4"/>
      <c r="B672" s="4" t="s">
        <v>4</v>
      </c>
      <c r="C672" s="4" t="s">
        <v>1251</v>
      </c>
      <c r="D672" s="4" t="s">
        <v>1252</v>
      </c>
      <c r="E672" s="5">
        <v>4.98908963154428</v>
      </c>
    </row>
    <row r="673" ht="14.25" customHeight="1">
      <c r="A673" s="4"/>
      <c r="B673" s="4" t="s">
        <v>4</v>
      </c>
      <c r="C673" s="4" t="s">
        <v>1253</v>
      </c>
      <c r="D673" s="4" t="s">
        <v>843</v>
      </c>
      <c r="E673" s="5">
        <v>0.141370833251303</v>
      </c>
    </row>
    <row r="674" ht="14.25" customHeight="1">
      <c r="A674" s="4"/>
      <c r="B674" s="4" t="s">
        <v>4</v>
      </c>
      <c r="C674" s="4" t="s">
        <v>1254</v>
      </c>
      <c r="D674" s="4" t="s">
        <v>1255</v>
      </c>
      <c r="E674" s="5">
        <v>812.882291194994</v>
      </c>
    </row>
    <row r="675" ht="14.25" customHeight="1">
      <c r="A675" s="4"/>
      <c r="B675" s="4" t="s">
        <v>4</v>
      </c>
      <c r="C675" s="4" t="s">
        <v>1256</v>
      </c>
      <c r="D675" s="4" t="s">
        <v>30</v>
      </c>
      <c r="E675" s="5">
        <v>7.0685416625651705</v>
      </c>
    </row>
    <row r="676" ht="14.25" customHeight="1">
      <c r="A676" s="4"/>
      <c r="B676" s="4" t="s">
        <v>4</v>
      </c>
      <c r="C676" s="4" t="s">
        <v>1257</v>
      </c>
      <c r="D676" s="4" t="s">
        <v>1258</v>
      </c>
      <c r="E676" s="5">
        <v>6.85277280040441</v>
      </c>
    </row>
    <row r="677" ht="14.25" customHeight="1">
      <c r="A677" s="4"/>
      <c r="B677" s="4" t="s">
        <v>4</v>
      </c>
      <c r="C677" s="4" t="s">
        <v>1259</v>
      </c>
      <c r="D677" s="4" t="s">
        <v>1260</v>
      </c>
      <c r="E677" s="5">
        <v>5.39968636961319</v>
      </c>
    </row>
    <row r="678" ht="14.25" customHeight="1">
      <c r="A678" s="4"/>
      <c r="B678" s="4" t="s">
        <v>4</v>
      </c>
      <c r="C678" s="4" t="s">
        <v>1261</v>
      </c>
      <c r="D678" s="4" t="s">
        <v>1262</v>
      </c>
      <c r="E678" s="5">
        <v>2.24994783819415</v>
      </c>
    </row>
    <row r="679" ht="14.25" customHeight="1">
      <c r="A679" s="4"/>
      <c r="B679" s="4" t="s">
        <v>4</v>
      </c>
      <c r="C679" s="4" t="s">
        <v>1263</v>
      </c>
      <c r="D679" s="4" t="s">
        <v>1264</v>
      </c>
      <c r="E679" s="5">
        <v>3.11015833152867</v>
      </c>
    </row>
    <row r="680" ht="14.25" customHeight="1">
      <c r="A680" s="4"/>
      <c r="B680" s="4" t="s">
        <v>4</v>
      </c>
      <c r="C680" s="4" t="s">
        <v>1265</v>
      </c>
      <c r="D680" s="4" t="s">
        <v>1266</v>
      </c>
      <c r="E680" s="5">
        <v>8.336444090183221</v>
      </c>
    </row>
    <row r="681" ht="14.25" customHeight="1">
      <c r="A681" s="4"/>
      <c r="B681" s="4" t="s">
        <v>4</v>
      </c>
      <c r="C681" s="4" t="s">
        <v>1267</v>
      </c>
      <c r="D681" s="4" t="s">
        <v>160</v>
      </c>
      <c r="E681" s="5">
        <v>14.1370833251303</v>
      </c>
    </row>
    <row r="682" ht="14.25" customHeight="1">
      <c r="A682" s="4"/>
      <c r="B682" s="4" t="s">
        <v>4</v>
      </c>
      <c r="C682" s="4" t="s">
        <v>1268</v>
      </c>
      <c r="D682" s="4" t="s">
        <v>1269</v>
      </c>
      <c r="E682" s="5">
        <v>5.12520710530569</v>
      </c>
    </row>
    <row r="683" ht="14.25" customHeight="1">
      <c r="A683" s="4"/>
      <c r="B683" s="4" t="s">
        <v>4</v>
      </c>
      <c r="C683" s="4" t="s">
        <v>1270</v>
      </c>
      <c r="D683" s="4" t="s">
        <v>1271</v>
      </c>
      <c r="E683" s="5">
        <v>12.4484179160743</v>
      </c>
    </row>
    <row r="684" ht="14.25" customHeight="1">
      <c r="A684" s="4"/>
      <c r="B684" s="4" t="s">
        <v>4</v>
      </c>
      <c r="C684" s="4" t="s">
        <v>1272</v>
      </c>
      <c r="D684" s="4" t="s">
        <v>1273</v>
      </c>
      <c r="E684" s="5">
        <v>530.470818937594</v>
      </c>
    </row>
    <row r="685" ht="14.25" customHeight="1">
      <c r="A685" s="4"/>
      <c r="B685" s="4" t="s">
        <v>4</v>
      </c>
      <c r="C685" s="4" t="s">
        <v>1274</v>
      </c>
      <c r="D685" s="4" t="s">
        <v>1275</v>
      </c>
      <c r="E685" s="5">
        <v>3.4361084849919297</v>
      </c>
    </row>
    <row r="686" ht="14.25" customHeight="1">
      <c r="A686" s="4"/>
      <c r="B686" s="4" t="s">
        <v>4</v>
      </c>
      <c r="C686" s="4" t="s">
        <v>1276</v>
      </c>
      <c r="D686" s="4" t="s">
        <v>1277</v>
      </c>
      <c r="E686" s="5">
        <v>14.278454158381601</v>
      </c>
    </row>
    <row r="687" ht="14.25" customHeight="1">
      <c r="A687" s="4"/>
      <c r="B687" s="4" t="s">
        <v>4</v>
      </c>
      <c r="C687" s="4" t="s">
        <v>1278</v>
      </c>
      <c r="D687" s="4" t="s">
        <v>1279</v>
      </c>
      <c r="E687" s="5">
        <v>5.11246600234265</v>
      </c>
    </row>
    <row r="688" ht="14.25" customHeight="1">
      <c r="A688" s="4"/>
      <c r="B688" s="4" t="s">
        <v>4</v>
      </c>
      <c r="C688" s="4" t="s">
        <v>1280</v>
      </c>
      <c r="D688" s="4" t="s">
        <v>1281</v>
      </c>
      <c r="E688" s="5">
        <v>0.141452011201382</v>
      </c>
    </row>
    <row r="689" ht="14.25" customHeight="1">
      <c r="A689" s="4"/>
      <c r="B689" s="4" t="s">
        <v>4</v>
      </c>
      <c r="C689" s="4" t="s">
        <v>1282</v>
      </c>
      <c r="D689" s="4" t="s">
        <v>30</v>
      </c>
      <c r="E689" s="5">
        <v>7.0685416625651705</v>
      </c>
    </row>
    <row r="690" ht="14.25" customHeight="1">
      <c r="A690" s="4"/>
      <c r="B690" s="4" t="s">
        <v>4</v>
      </c>
      <c r="C690" s="4" t="s">
        <v>1283</v>
      </c>
      <c r="D690" s="4" t="s">
        <v>1284</v>
      </c>
      <c r="E690" s="5">
        <v>167.199430813843</v>
      </c>
    </row>
    <row r="691" ht="14.25" customHeight="1">
      <c r="A691" s="4"/>
      <c r="B691" s="4" t="s">
        <v>4</v>
      </c>
      <c r="C691" s="4" t="s">
        <v>1285</v>
      </c>
      <c r="D691" s="4" t="s">
        <v>1286</v>
      </c>
      <c r="E691" s="5">
        <v>35.4619426711996</v>
      </c>
    </row>
    <row r="692" ht="14.25" customHeight="1">
      <c r="A692" s="4"/>
      <c r="B692" s="4" t="s">
        <v>4</v>
      </c>
      <c r="C692" s="4" t="s">
        <v>1287</v>
      </c>
      <c r="D692" s="4" t="s">
        <v>1288</v>
      </c>
      <c r="E692" s="5">
        <v>7.83210750721366</v>
      </c>
    </row>
    <row r="693" ht="14.25" customHeight="1">
      <c r="A693" s="4"/>
      <c r="B693" s="4" t="s">
        <v>4</v>
      </c>
      <c r="C693" s="4" t="s">
        <v>1289</v>
      </c>
      <c r="D693" s="4" t="s">
        <v>1290</v>
      </c>
      <c r="E693" s="5">
        <v>143.05742974652</v>
      </c>
    </row>
    <row r="694" ht="14.25" customHeight="1">
      <c r="A694" s="4"/>
      <c r="B694" s="4" t="s">
        <v>4</v>
      </c>
      <c r="C694" s="4" t="s">
        <v>1291</v>
      </c>
      <c r="D694" s="4" t="s">
        <v>160</v>
      </c>
      <c r="E694" s="5">
        <v>14.1370833251303</v>
      </c>
    </row>
    <row r="695" ht="14.25" customHeight="1">
      <c r="A695" s="4"/>
      <c r="B695" s="4" t="s">
        <v>4</v>
      </c>
      <c r="C695" s="4" t="s">
        <v>1292</v>
      </c>
      <c r="D695" s="4" t="s">
        <v>1293</v>
      </c>
      <c r="E695" s="5">
        <v>7.28053555108153</v>
      </c>
    </row>
    <row r="696" ht="14.25" customHeight="1">
      <c r="A696" s="4"/>
      <c r="B696" s="4" t="s">
        <v>4</v>
      </c>
      <c r="C696" s="4" t="s">
        <v>1294</v>
      </c>
      <c r="D696" s="4" t="s">
        <v>1295</v>
      </c>
      <c r="E696" s="5">
        <v>129.56372848528</v>
      </c>
    </row>
    <row r="697" ht="14.25" customHeight="1">
      <c r="A697" s="4"/>
      <c r="B697" s="4" t="s">
        <v>4</v>
      </c>
      <c r="C697" s="4" t="s">
        <v>1296</v>
      </c>
      <c r="D697" s="4" t="s">
        <v>1297</v>
      </c>
      <c r="E697" s="5">
        <v>6.00779055541585</v>
      </c>
    </row>
    <row r="698" ht="14.25" customHeight="1">
      <c r="A698" s="4"/>
      <c r="B698" s="4" t="s">
        <v>4</v>
      </c>
      <c r="C698" s="4" t="s">
        <v>1298</v>
      </c>
      <c r="D698" s="4" t="s">
        <v>1299</v>
      </c>
      <c r="E698" s="5">
        <v>15.437747250184499</v>
      </c>
    </row>
    <row r="699" ht="14.25" customHeight="1">
      <c r="A699" s="4"/>
      <c r="B699" s="4" t="s">
        <v>4</v>
      </c>
      <c r="C699" s="4" t="s">
        <v>1300</v>
      </c>
      <c r="D699" s="4" t="s">
        <v>1301</v>
      </c>
      <c r="E699" s="5">
        <v>1.08056972525587</v>
      </c>
    </row>
    <row r="700" ht="14.25" customHeight="1">
      <c r="A700" s="4"/>
      <c r="B700" s="4" t="s">
        <v>4</v>
      </c>
      <c r="C700" s="4" t="s">
        <v>1302</v>
      </c>
      <c r="D700" s="4" t="s">
        <v>1303</v>
      </c>
      <c r="E700" s="5">
        <v>35.569475655294504</v>
      </c>
    </row>
    <row r="701" ht="14.25" customHeight="1">
      <c r="A701" s="4"/>
      <c r="B701" s="4" t="s">
        <v>4</v>
      </c>
      <c r="C701" s="4" t="s">
        <v>1304</v>
      </c>
      <c r="D701" s="4" t="s">
        <v>1305</v>
      </c>
      <c r="E701" s="5">
        <v>6.52881096029948</v>
      </c>
    </row>
    <row r="702" ht="14.25" customHeight="1">
      <c r="A702" s="4"/>
      <c r="B702" s="4" t="s">
        <v>4</v>
      </c>
      <c r="C702" s="4" t="s">
        <v>1306</v>
      </c>
      <c r="D702" s="4" t="s">
        <v>1307</v>
      </c>
      <c r="E702" s="5">
        <v>7.06995721112182</v>
      </c>
    </row>
    <row r="703" ht="14.25" customHeight="1">
      <c r="A703" s="4"/>
      <c r="B703" s="4" t="s">
        <v>4</v>
      </c>
      <c r="C703" s="4" t="s">
        <v>1308</v>
      </c>
      <c r="D703" s="4" t="s">
        <v>30</v>
      </c>
      <c r="E703" s="5">
        <v>7.0685416625651705</v>
      </c>
    </row>
    <row r="704" ht="14.25" customHeight="1">
      <c r="A704" s="4"/>
      <c r="B704" s="4" t="s">
        <v>4</v>
      </c>
      <c r="C704" s="4" t="s">
        <v>1309</v>
      </c>
      <c r="D704" s="4" t="s">
        <v>1310</v>
      </c>
      <c r="E704" s="5">
        <v>15.123416147575199</v>
      </c>
    </row>
    <row r="705" ht="14.25" customHeight="1">
      <c r="A705" s="4"/>
      <c r="B705" s="4" t="s">
        <v>4</v>
      </c>
      <c r="C705" s="4" t="s">
        <v>1311</v>
      </c>
      <c r="D705" s="4" t="s">
        <v>1312</v>
      </c>
      <c r="E705" s="5">
        <v>879.1597109792</v>
      </c>
    </row>
    <row r="706" ht="14.25" customHeight="1">
      <c r="A706" s="4"/>
      <c r="B706" s="4" t="s">
        <v>4</v>
      </c>
      <c r="C706" s="4" t="s">
        <v>1313</v>
      </c>
      <c r="D706" s="4" t="s">
        <v>160</v>
      </c>
      <c r="E706" s="5">
        <v>14.1370833251303</v>
      </c>
    </row>
    <row r="707" ht="14.25" customHeight="1">
      <c r="A707" s="4"/>
      <c r="B707" s="4" t="s">
        <v>4</v>
      </c>
      <c r="C707" s="4" t="s">
        <v>1314</v>
      </c>
      <c r="D707" s="4" t="s">
        <v>1315</v>
      </c>
      <c r="E707" s="5">
        <v>1.17932444913375</v>
      </c>
    </row>
    <row r="708" ht="14.25" customHeight="1">
      <c r="A708" s="4"/>
      <c r="B708" s="4" t="s">
        <v>4</v>
      </c>
      <c r="C708" s="4" t="s">
        <v>1316</v>
      </c>
      <c r="D708" s="4" t="s">
        <v>30</v>
      </c>
      <c r="E708" s="5">
        <v>7.0685416625651705</v>
      </c>
    </row>
    <row r="709" ht="14.25" customHeight="1">
      <c r="A709" s="4"/>
      <c r="B709" s="4" t="s">
        <v>4</v>
      </c>
      <c r="C709" s="4" t="s">
        <v>1317</v>
      </c>
      <c r="D709" s="4" t="s">
        <v>1318</v>
      </c>
      <c r="E709" s="5">
        <v>35.5825971243332</v>
      </c>
    </row>
    <row r="710" ht="14.25" customHeight="1">
      <c r="A710" s="4"/>
      <c r="B710" s="4" t="s">
        <v>4</v>
      </c>
      <c r="C710" s="4" t="s">
        <v>1319</v>
      </c>
      <c r="D710" s="4" t="s">
        <v>1320</v>
      </c>
      <c r="E710" s="5">
        <v>41.2335868296764</v>
      </c>
    </row>
    <row r="711" ht="14.25" customHeight="1">
      <c r="A711" s="4"/>
      <c r="B711" s="4" t="s">
        <v>4</v>
      </c>
      <c r="C711" s="4" t="s">
        <v>1321</v>
      </c>
      <c r="D711" s="4" t="s">
        <v>1322</v>
      </c>
      <c r="E711" s="5">
        <v>26.1867527872586</v>
      </c>
    </row>
    <row r="712" ht="14.25" customHeight="1">
      <c r="A712" s="4"/>
      <c r="B712" s="4" t="s">
        <v>4</v>
      </c>
      <c r="C712" s="4" t="s">
        <v>1323</v>
      </c>
      <c r="D712" s="4" t="s">
        <v>1324</v>
      </c>
      <c r="E712" s="5">
        <v>1.32714785481638</v>
      </c>
    </row>
    <row r="713" ht="14.25" customHeight="1">
      <c r="A713" s="4"/>
      <c r="B713" s="4" t="s">
        <v>4</v>
      </c>
      <c r="C713" s="4" t="s">
        <v>1325</v>
      </c>
      <c r="D713" s="4" t="s">
        <v>1326</v>
      </c>
      <c r="E713" s="5">
        <v>1.93628996944483</v>
      </c>
    </row>
    <row r="714" ht="14.25" customHeight="1">
      <c r="A714" s="4"/>
      <c r="B714" s="4" t="s">
        <v>4</v>
      </c>
      <c r="C714" s="4" t="s">
        <v>1327</v>
      </c>
      <c r="D714" s="4" t="s">
        <v>160</v>
      </c>
      <c r="E714" s="5">
        <v>14.1370833251303</v>
      </c>
    </row>
    <row r="715" ht="14.25" customHeight="1">
      <c r="A715" s="4"/>
      <c r="B715" s="4" t="s">
        <v>4</v>
      </c>
      <c r="C715" s="4" t="s">
        <v>1328</v>
      </c>
      <c r="D715" s="4" t="s">
        <v>1329</v>
      </c>
      <c r="E715" s="5">
        <v>18.8145911211426</v>
      </c>
    </row>
    <row r="716" ht="14.25" customHeight="1">
      <c r="A716" s="4"/>
      <c r="B716" s="4" t="s">
        <v>4</v>
      </c>
      <c r="C716" s="4" t="s">
        <v>1330</v>
      </c>
      <c r="D716" s="4" t="s">
        <v>209</v>
      </c>
      <c r="E716" s="5">
        <v>35.3427083128258</v>
      </c>
    </row>
    <row r="717" ht="14.25" customHeight="1">
      <c r="A717" s="4"/>
      <c r="B717" s="4" t="s">
        <v>4</v>
      </c>
      <c r="C717" s="4" t="s">
        <v>1331</v>
      </c>
      <c r="D717" s="4" t="s">
        <v>30</v>
      </c>
      <c r="E717" s="5">
        <v>7.0685416625651705</v>
      </c>
    </row>
    <row r="718" ht="14.25" customHeight="1">
      <c r="A718" s="4"/>
      <c r="B718" s="4" t="s">
        <v>4</v>
      </c>
      <c r="C718" s="4" t="s">
        <v>1332</v>
      </c>
      <c r="D718" s="4" t="s">
        <v>1333</v>
      </c>
      <c r="E718" s="5">
        <v>7.138104020243739</v>
      </c>
    </row>
    <row r="719" ht="14.25" customHeight="1">
      <c r="A719" s="4"/>
      <c r="B719" s="4" t="s">
        <v>4</v>
      </c>
      <c r="C719" s="4" t="s">
        <v>1334</v>
      </c>
      <c r="D719" s="4" t="s">
        <v>1335</v>
      </c>
      <c r="E719" s="5">
        <v>146.938249654617</v>
      </c>
    </row>
    <row r="720" ht="14.25" customHeight="1">
      <c r="A720" s="4"/>
      <c r="B720" s="4" t="s">
        <v>4</v>
      </c>
      <c r="C720" s="4" t="s">
        <v>1336</v>
      </c>
      <c r="D720" s="4" t="s">
        <v>1337</v>
      </c>
      <c r="E720" s="5">
        <v>28.742441123863</v>
      </c>
    </row>
    <row r="721" ht="14.25" customHeight="1">
      <c r="A721" s="4"/>
      <c r="B721" s="4" t="s">
        <v>4</v>
      </c>
      <c r="C721" s="4" t="s">
        <v>1338</v>
      </c>
      <c r="D721" s="4" t="s">
        <v>1339</v>
      </c>
      <c r="E721" s="5">
        <v>0.499353762822534</v>
      </c>
    </row>
    <row r="722" ht="14.25" customHeight="1">
      <c r="A722" s="4"/>
      <c r="B722" s="4" t="s">
        <v>4</v>
      </c>
      <c r="C722" s="4" t="s">
        <v>1340</v>
      </c>
      <c r="D722" s="4" t="s">
        <v>1341</v>
      </c>
      <c r="E722" s="5">
        <v>0.0914941713662049</v>
      </c>
    </row>
    <row r="723" ht="14.25" customHeight="1">
      <c r="A723" s="4"/>
      <c r="B723" s="4" t="s">
        <v>4</v>
      </c>
      <c r="C723" s="4" t="s">
        <v>1342</v>
      </c>
      <c r="D723" s="4" t="s">
        <v>1343</v>
      </c>
      <c r="E723" s="5">
        <v>47.279210955521</v>
      </c>
    </row>
    <row r="724" ht="14.25" customHeight="1">
      <c r="A724" s="4"/>
      <c r="B724" s="4" t="s">
        <v>4</v>
      </c>
      <c r="C724" s="4" t="s">
        <v>1344</v>
      </c>
      <c r="D724" s="4" t="s">
        <v>1345</v>
      </c>
      <c r="E724" s="5">
        <v>2292.82221614238</v>
      </c>
    </row>
    <row r="725" ht="14.25" customHeight="1">
      <c r="A725" s="4"/>
      <c r="B725" s="4" t="s">
        <v>4</v>
      </c>
      <c r="C725" s="4" t="s">
        <v>1346</v>
      </c>
      <c r="D725" s="4" t="s">
        <v>1347</v>
      </c>
      <c r="E725" s="5">
        <v>27.010147221638203</v>
      </c>
    </row>
    <row r="726" ht="14.25" customHeight="1">
      <c r="A726" s="4"/>
      <c r="B726" s="4" t="s">
        <v>4</v>
      </c>
      <c r="C726" s="4" t="s">
        <v>1348</v>
      </c>
      <c r="D726" s="4" t="s">
        <v>1349</v>
      </c>
      <c r="E726" s="5">
        <v>43.307893307102795</v>
      </c>
    </row>
    <row r="727" ht="14.25" customHeight="1">
      <c r="A727" s="4"/>
      <c r="B727" s="4" t="s">
        <v>4</v>
      </c>
      <c r="C727" s="4" t="s">
        <v>1350</v>
      </c>
      <c r="D727" s="4" t="s">
        <v>1351</v>
      </c>
      <c r="E727" s="5">
        <v>5.51844190326251</v>
      </c>
    </row>
    <row r="728" ht="14.25" customHeight="1">
      <c r="A728" s="4"/>
      <c r="B728" s="4" t="s">
        <v>4</v>
      </c>
      <c r="C728" s="4" t="s">
        <v>1352</v>
      </c>
      <c r="D728" s="4" t="s">
        <v>1353</v>
      </c>
      <c r="E728" s="5">
        <v>8.03443514620415</v>
      </c>
    </row>
    <row r="729" ht="14.25" customHeight="1">
      <c r="A729" s="4"/>
      <c r="B729" s="4" t="s">
        <v>4</v>
      </c>
      <c r="C729" s="4" t="s">
        <v>1354</v>
      </c>
      <c r="D729" s="4" t="s">
        <v>1355</v>
      </c>
      <c r="E729" s="5">
        <v>7.38072856943081</v>
      </c>
    </row>
    <row r="730" ht="14.25" customHeight="1">
      <c r="A730" s="4"/>
      <c r="B730" s="4" t="s">
        <v>4</v>
      </c>
      <c r="C730" s="4" t="s">
        <v>1356</v>
      </c>
      <c r="D730" s="4" t="s">
        <v>1357</v>
      </c>
      <c r="E730" s="5">
        <v>28.4019813364829</v>
      </c>
    </row>
    <row r="731" ht="14.25" customHeight="1">
      <c r="A731" s="4"/>
      <c r="B731" s="4" t="s">
        <v>4</v>
      </c>
      <c r="C731" s="4" t="s">
        <v>1358</v>
      </c>
      <c r="D731" s="4" t="s">
        <v>1359</v>
      </c>
      <c r="E731" s="5">
        <v>339.289999803128</v>
      </c>
    </row>
    <row r="732" ht="14.25" customHeight="1">
      <c r="A732" s="4"/>
      <c r="B732" s="4" t="s">
        <v>4</v>
      </c>
      <c r="C732" s="4" t="s">
        <v>1360</v>
      </c>
      <c r="D732" s="4" t="s">
        <v>1361</v>
      </c>
      <c r="E732" s="5">
        <v>0.217696530237871</v>
      </c>
    </row>
    <row r="733" ht="14.25" customHeight="1">
      <c r="A733" s="4"/>
      <c r="B733" s="4" t="s">
        <v>4</v>
      </c>
      <c r="C733" s="4" t="s">
        <v>1362</v>
      </c>
      <c r="D733" s="4" t="s">
        <v>209</v>
      </c>
      <c r="E733" s="5">
        <v>35.3427083128258</v>
      </c>
    </row>
    <row r="734" ht="14.25" customHeight="1">
      <c r="A734" s="4"/>
      <c r="B734" s="4" t="s">
        <v>4</v>
      </c>
      <c r="C734" s="4" t="s">
        <v>1363</v>
      </c>
      <c r="D734" s="4" t="s">
        <v>1364</v>
      </c>
      <c r="E734" s="5">
        <v>5.30140624692387</v>
      </c>
    </row>
    <row r="735" ht="14.25" customHeight="1">
      <c r="A735" s="4"/>
      <c r="B735" s="4" t="s">
        <v>4</v>
      </c>
      <c r="C735" s="4" t="s">
        <v>1365</v>
      </c>
      <c r="D735" s="4" t="s">
        <v>1366</v>
      </c>
      <c r="E735" s="5">
        <v>5.34067929924919</v>
      </c>
    </row>
    <row r="736" ht="14.25" customHeight="1">
      <c r="A736" s="4"/>
      <c r="B736" s="4" t="s">
        <v>4</v>
      </c>
      <c r="C736" s="4" t="s">
        <v>1367</v>
      </c>
      <c r="D736" s="4" t="s">
        <v>160</v>
      </c>
      <c r="E736" s="5">
        <v>14.1370833251303</v>
      </c>
    </row>
    <row r="737" ht="14.25" customHeight="1">
      <c r="A737" s="4"/>
      <c r="B737" s="4" t="s">
        <v>4</v>
      </c>
      <c r="C737" s="4" t="s">
        <v>1368</v>
      </c>
      <c r="D737" s="4" t="s">
        <v>1369</v>
      </c>
      <c r="E737" s="5">
        <v>7.47274559182439</v>
      </c>
    </row>
    <row r="738" ht="14.25" customHeight="1">
      <c r="A738" s="4"/>
      <c r="B738" s="4" t="s">
        <v>4</v>
      </c>
      <c r="C738" s="4" t="s">
        <v>1370</v>
      </c>
      <c r="D738" s="4" t="s">
        <v>1371</v>
      </c>
      <c r="E738" s="5">
        <v>188.123011342427</v>
      </c>
    </row>
    <row r="739" ht="14.25" customHeight="1">
      <c r="A739" s="4"/>
      <c r="B739" s="4" t="s">
        <v>4</v>
      </c>
      <c r="C739" s="4" t="s">
        <v>1372</v>
      </c>
      <c r="D739" s="4" t="s">
        <v>1373</v>
      </c>
      <c r="E739" s="5">
        <v>0.329228212357165</v>
      </c>
    </row>
    <row r="740" ht="14.25" customHeight="1">
      <c r="A740" s="4"/>
      <c r="B740" s="4" t="s">
        <v>4</v>
      </c>
      <c r="C740" s="4" t="s">
        <v>1374</v>
      </c>
      <c r="D740" s="4" t="s">
        <v>160</v>
      </c>
      <c r="E740" s="5">
        <v>14.1370833251303</v>
      </c>
    </row>
    <row r="741" ht="14.25" customHeight="1">
      <c r="A741" s="4"/>
      <c r="B741" s="4" t="s">
        <v>4</v>
      </c>
      <c r="C741" s="4" t="s">
        <v>1375</v>
      </c>
      <c r="D741" s="4" t="s">
        <v>339</v>
      </c>
      <c r="E741" s="5">
        <v>35.4840791460771</v>
      </c>
    </row>
    <row r="742" ht="14.25" customHeight="1">
      <c r="A742" s="4"/>
      <c r="B742" s="4" t="s">
        <v>4</v>
      </c>
      <c r="C742" s="4" t="s">
        <v>1376</v>
      </c>
      <c r="D742" s="4" t="s">
        <v>73</v>
      </c>
      <c r="E742" s="5">
        <v>0.706854166256517</v>
      </c>
    </row>
    <row r="743" ht="14.25" customHeight="1">
      <c r="A743" s="4"/>
      <c r="B743" s="4" t="s">
        <v>4</v>
      </c>
      <c r="C743" s="4" t="s">
        <v>1377</v>
      </c>
      <c r="D743" s="4" t="s">
        <v>1378</v>
      </c>
      <c r="E743" s="5">
        <v>7.0928652048812</v>
      </c>
    </row>
    <row r="744" ht="14.25" customHeight="1">
      <c r="A744" s="4"/>
      <c r="B744" s="4" t="s">
        <v>4</v>
      </c>
      <c r="C744" s="4" t="s">
        <v>1379</v>
      </c>
      <c r="D744" s="4" t="s">
        <v>1380</v>
      </c>
      <c r="E744" s="5">
        <v>126.90551071397799</v>
      </c>
    </row>
    <row r="745" ht="14.25" customHeight="1">
      <c r="A745" s="4"/>
      <c r="B745" s="4" t="s">
        <v>4</v>
      </c>
      <c r="C745" s="4" t="s">
        <v>1381</v>
      </c>
      <c r="D745" s="4" t="s">
        <v>1382</v>
      </c>
      <c r="E745" s="5">
        <v>1.8389407132579898</v>
      </c>
    </row>
    <row r="746" ht="14.25" customHeight="1">
      <c r="A746" s="4"/>
      <c r="B746" s="4" t="s">
        <v>4</v>
      </c>
      <c r="C746" s="4" t="s">
        <v>1383</v>
      </c>
      <c r="D746" s="4" t="s">
        <v>30</v>
      </c>
      <c r="E746" s="5">
        <v>7.0685416625651705</v>
      </c>
    </row>
    <row r="747" ht="14.25" customHeight="1">
      <c r="A747" s="4"/>
      <c r="B747" s="4" t="s">
        <v>4</v>
      </c>
      <c r="C747" s="4" t="s">
        <v>1384</v>
      </c>
      <c r="D747" s="4" t="s">
        <v>30</v>
      </c>
      <c r="E747" s="5">
        <v>7.0685416625651705</v>
      </c>
    </row>
    <row r="748" ht="14.25" customHeight="1">
      <c r="A748" s="4"/>
      <c r="B748" s="4" t="s">
        <v>4</v>
      </c>
      <c r="C748" s="4" t="s">
        <v>1385</v>
      </c>
      <c r="D748" s="4" t="s">
        <v>1386</v>
      </c>
      <c r="E748" s="5">
        <v>1.6340541007471</v>
      </c>
    </row>
    <row r="749" ht="14.25" customHeight="1">
      <c r="A749" s="4"/>
      <c r="B749" s="4" t="s">
        <v>4</v>
      </c>
      <c r="C749" s="4" t="s">
        <v>1387</v>
      </c>
      <c r="D749" s="4" t="s">
        <v>1388</v>
      </c>
      <c r="E749" s="5">
        <v>23.350436588131</v>
      </c>
    </row>
    <row r="750" ht="14.25" customHeight="1">
      <c r="A750" s="4"/>
      <c r="B750" s="4" t="s">
        <v>4</v>
      </c>
      <c r="C750" s="4" t="s">
        <v>1389</v>
      </c>
      <c r="D750" s="4" t="s">
        <v>1390</v>
      </c>
      <c r="E750" s="5">
        <v>23.6894947238982</v>
      </c>
    </row>
    <row r="751" ht="14.25" customHeight="1">
      <c r="A751" s="4"/>
      <c r="B751" s="4" t="s">
        <v>4</v>
      </c>
      <c r="C751" s="4" t="s">
        <v>1391</v>
      </c>
      <c r="D751" s="4" t="s">
        <v>1392</v>
      </c>
      <c r="E751" s="5">
        <v>5.50602972110316</v>
      </c>
    </row>
    <row r="752" ht="14.25" customHeight="1">
      <c r="A752" s="4"/>
      <c r="B752" s="4" t="s">
        <v>4</v>
      </c>
      <c r="C752" s="4" t="s">
        <v>1393</v>
      </c>
      <c r="D752" s="4" t="s">
        <v>1394</v>
      </c>
      <c r="E752" s="5">
        <v>32.0271797611791</v>
      </c>
    </row>
    <row r="753" ht="14.25" customHeight="1">
      <c r="A753" s="4"/>
      <c r="B753" s="4" t="s">
        <v>4</v>
      </c>
      <c r="C753" s="4" t="s">
        <v>1395</v>
      </c>
      <c r="D753" s="4" t="s">
        <v>30</v>
      </c>
      <c r="E753" s="5">
        <v>7.0685416625651705</v>
      </c>
    </row>
    <row r="754" ht="14.25" customHeight="1">
      <c r="A754" s="4"/>
      <c r="B754" s="4" t="s">
        <v>4</v>
      </c>
      <c r="C754" s="4" t="s">
        <v>1396</v>
      </c>
      <c r="D754" s="4" t="s">
        <v>1397</v>
      </c>
      <c r="E754" s="5">
        <v>7.13661508594618</v>
      </c>
    </row>
    <row r="755" ht="14.25" customHeight="1">
      <c r="A755" s="4"/>
      <c r="B755" s="4" t="s">
        <v>4</v>
      </c>
      <c r="C755" s="4" t="s">
        <v>1398</v>
      </c>
      <c r="D755" s="4" t="s">
        <v>1399</v>
      </c>
      <c r="E755" s="5">
        <v>0.805426078742914</v>
      </c>
    </row>
    <row r="756" ht="14.25" customHeight="1">
      <c r="A756" s="4"/>
      <c r="B756" s="4" t="s">
        <v>4</v>
      </c>
      <c r="C756" s="4" t="s">
        <v>1400</v>
      </c>
      <c r="D756" s="4" t="s">
        <v>1401</v>
      </c>
      <c r="E756" s="5">
        <v>7.4997698143981095</v>
      </c>
    </row>
    <row r="757" ht="14.25" customHeight="1">
      <c r="A757" s="4"/>
      <c r="B757" s="4" t="s">
        <v>4</v>
      </c>
      <c r="C757" s="4" t="s">
        <v>1402</v>
      </c>
      <c r="D757" s="4" t="s">
        <v>1403</v>
      </c>
      <c r="E757" s="5">
        <v>6.34683823036776</v>
      </c>
    </row>
    <row r="758" ht="14.25" customHeight="1">
      <c r="A758" s="4"/>
      <c r="B758" s="4" t="s">
        <v>4</v>
      </c>
      <c r="C758" s="4" t="s">
        <v>1404</v>
      </c>
      <c r="D758" s="4" t="s">
        <v>1405</v>
      </c>
      <c r="E758" s="5">
        <v>21.7762045297278</v>
      </c>
    </row>
    <row r="759" ht="14.25" customHeight="1">
      <c r="A759" s="4"/>
      <c r="B759" s="4" t="s">
        <v>4</v>
      </c>
      <c r="C759" s="4" t="s">
        <v>1406</v>
      </c>
      <c r="D759" s="4" t="s">
        <v>30</v>
      </c>
      <c r="E759" s="5">
        <v>7.0685416625651705</v>
      </c>
    </row>
    <row r="760" ht="14.25" customHeight="1">
      <c r="A760" s="4"/>
      <c r="B760" s="4" t="s">
        <v>4</v>
      </c>
      <c r="C760" s="4" t="s">
        <v>1407</v>
      </c>
      <c r="D760" s="4" t="s">
        <v>160</v>
      </c>
      <c r="E760" s="5">
        <v>14.1370833251303</v>
      </c>
    </row>
    <row r="761" ht="14.25" customHeight="1">
      <c r="A761" s="4"/>
      <c r="B761" s="4" t="s">
        <v>4</v>
      </c>
      <c r="C761" s="4" t="s">
        <v>1408</v>
      </c>
      <c r="D761" s="4" t="s">
        <v>1409</v>
      </c>
      <c r="E761" s="5">
        <v>18.9254175600182</v>
      </c>
    </row>
    <row r="762" ht="14.25" customHeight="1">
      <c r="A762" s="4"/>
      <c r="B762" s="4" t="s">
        <v>4</v>
      </c>
      <c r="C762" s="4" t="s">
        <v>1410</v>
      </c>
      <c r="D762" s="4" t="s">
        <v>1411</v>
      </c>
      <c r="E762" s="5">
        <v>9.9493988800174</v>
      </c>
    </row>
    <row r="763" ht="14.25" customHeight="1">
      <c r="A763" s="4"/>
      <c r="B763" s="4" t="s">
        <v>4</v>
      </c>
      <c r="C763" s="4" t="s">
        <v>1412</v>
      </c>
      <c r="D763" s="4" t="s">
        <v>1413</v>
      </c>
      <c r="E763" s="5">
        <v>148.464273135124</v>
      </c>
    </row>
    <row r="764" ht="14.25" customHeight="1">
      <c r="A764" s="4"/>
      <c r="B764" s="4" t="s">
        <v>4</v>
      </c>
      <c r="C764" s="4" t="s">
        <v>1414</v>
      </c>
      <c r="D764" s="4" t="s">
        <v>1415</v>
      </c>
      <c r="E764" s="5">
        <v>115.25211952154899</v>
      </c>
    </row>
    <row r="765" ht="14.25" customHeight="1">
      <c r="A765" s="4"/>
      <c r="B765" s="4" t="s">
        <v>4</v>
      </c>
      <c r="C765" s="4" t="s">
        <v>1416</v>
      </c>
      <c r="D765" s="4" t="s">
        <v>1417</v>
      </c>
      <c r="E765" s="5">
        <v>9.61604407761228</v>
      </c>
    </row>
    <row r="766" ht="14.25" customHeight="1">
      <c r="A766" s="4"/>
      <c r="B766" s="4" t="s">
        <v>4</v>
      </c>
      <c r="C766" s="4" t="s">
        <v>1418</v>
      </c>
      <c r="D766" s="4" t="s">
        <v>1419</v>
      </c>
      <c r="E766" s="5">
        <v>7.45576937162667</v>
      </c>
    </row>
    <row r="767" ht="14.25" customHeight="1">
      <c r="A767" s="4"/>
      <c r="B767" s="4" t="s">
        <v>4</v>
      </c>
      <c r="C767" s="4" t="s">
        <v>1420</v>
      </c>
      <c r="D767" s="4" t="s">
        <v>1421</v>
      </c>
      <c r="E767" s="5">
        <v>35.7456309599118</v>
      </c>
    </row>
    <row r="768" ht="14.25" customHeight="1">
      <c r="A768" s="4"/>
      <c r="B768" s="4" t="s">
        <v>4</v>
      </c>
      <c r="C768" s="4" t="s">
        <v>1422</v>
      </c>
      <c r="D768" s="4" t="s">
        <v>1423</v>
      </c>
      <c r="E768" s="5">
        <v>0.435743983377438</v>
      </c>
    </row>
    <row r="769" ht="14.25" customHeight="1">
      <c r="A769" s="4"/>
      <c r="B769" s="4" t="s">
        <v>4</v>
      </c>
      <c r="C769" s="4" t="s">
        <v>1424</v>
      </c>
      <c r="D769" s="4" t="s">
        <v>1425</v>
      </c>
      <c r="E769" s="5">
        <v>46.8007443175835</v>
      </c>
    </row>
    <row r="770" ht="14.25" customHeight="1">
      <c r="A770" s="4"/>
      <c r="B770" s="4" t="s">
        <v>4</v>
      </c>
      <c r="C770" s="4" t="s">
        <v>1426</v>
      </c>
      <c r="D770" s="4" t="s">
        <v>1427</v>
      </c>
      <c r="E770" s="5">
        <v>7.096809289824789</v>
      </c>
    </row>
    <row r="771" ht="14.25" customHeight="1">
      <c r="A771" s="4"/>
      <c r="B771" s="4" t="s">
        <v>4</v>
      </c>
      <c r="C771" s="4" t="s">
        <v>1428</v>
      </c>
      <c r="D771" s="4" t="s">
        <v>1429</v>
      </c>
      <c r="E771" s="5">
        <v>625.951998376955</v>
      </c>
    </row>
    <row r="772" ht="14.25" customHeight="1">
      <c r="A772" s="4"/>
      <c r="B772" s="4" t="s">
        <v>4</v>
      </c>
      <c r="C772" s="4" t="s">
        <v>1430</v>
      </c>
      <c r="D772" s="4" t="s">
        <v>1431</v>
      </c>
      <c r="E772" s="5">
        <v>7.46586413933295</v>
      </c>
    </row>
    <row r="773" ht="14.25" customHeight="1">
      <c r="A773" s="4"/>
      <c r="B773" s="4" t="s">
        <v>4</v>
      </c>
      <c r="C773" s="4" t="s">
        <v>1432</v>
      </c>
      <c r="D773" s="4" t="s">
        <v>1433</v>
      </c>
      <c r="E773" s="5">
        <v>7.1077653235658405</v>
      </c>
    </row>
    <row r="774" ht="14.25" customHeight="1">
      <c r="A774" s="4"/>
      <c r="B774" s="4" t="s">
        <v>4</v>
      </c>
      <c r="C774" s="4" t="s">
        <v>1434</v>
      </c>
      <c r="D774" s="4" t="s">
        <v>1435</v>
      </c>
      <c r="E774" s="5">
        <v>6.647541726129689</v>
      </c>
    </row>
    <row r="775" ht="14.25" customHeight="1">
      <c r="A775" s="4"/>
      <c r="B775" s="4" t="s">
        <v>4</v>
      </c>
      <c r="C775" s="4" t="s">
        <v>1436</v>
      </c>
      <c r="D775" s="4" t="s">
        <v>1437</v>
      </c>
      <c r="E775" s="5">
        <v>7.4180609759481095</v>
      </c>
    </row>
    <row r="776" ht="14.25" customHeight="1">
      <c r="A776" s="4"/>
      <c r="B776" s="4" t="s">
        <v>4</v>
      </c>
      <c r="C776" s="4" t="s">
        <v>1438</v>
      </c>
      <c r="D776" s="4" t="s">
        <v>1439</v>
      </c>
      <c r="E776" s="5">
        <v>4.70102268754826</v>
      </c>
    </row>
    <row r="777" ht="14.25" customHeight="1">
      <c r="A777" s="4"/>
      <c r="B777" s="4" t="s">
        <v>4</v>
      </c>
      <c r="C777" s="4" t="s">
        <v>1440</v>
      </c>
      <c r="D777" s="4" t="s">
        <v>1441</v>
      </c>
      <c r="E777" s="5">
        <v>506.927661271677</v>
      </c>
    </row>
    <row r="778" ht="14.25" customHeight="1">
      <c r="A778" s="4"/>
      <c r="B778" s="4" t="s">
        <v>4</v>
      </c>
      <c r="C778" s="4" t="s">
        <v>1442</v>
      </c>
      <c r="D778" s="4" t="s">
        <v>1443</v>
      </c>
      <c r="E778" s="5">
        <v>6.65035559310455</v>
      </c>
    </row>
    <row r="779" ht="14.25" customHeight="1">
      <c r="A779" s="4"/>
      <c r="B779" s="4" t="s">
        <v>4</v>
      </c>
      <c r="C779" s="4" t="s">
        <v>1444</v>
      </c>
      <c r="D779" s="4" t="s">
        <v>1445</v>
      </c>
      <c r="E779" s="5">
        <v>92.788746404493</v>
      </c>
    </row>
    <row r="780" ht="14.25" customHeight="1">
      <c r="A780" s="4"/>
      <c r="B780" s="4" t="s">
        <v>4</v>
      </c>
      <c r="C780" s="4" t="s">
        <v>1446</v>
      </c>
      <c r="D780" s="4" t="s">
        <v>1447</v>
      </c>
      <c r="E780" s="5">
        <v>6.17335916254163</v>
      </c>
    </row>
    <row r="781" ht="14.25" customHeight="1">
      <c r="A781" s="4"/>
      <c r="B781" s="4" t="s">
        <v>4</v>
      </c>
      <c r="C781" s="4" t="s">
        <v>1448</v>
      </c>
      <c r="D781" s="4" t="s">
        <v>1449</v>
      </c>
      <c r="E781" s="5">
        <v>2.06174395983758</v>
      </c>
    </row>
    <row r="782" ht="14.25" customHeight="1">
      <c r="A782" s="4"/>
      <c r="B782" s="4" t="s">
        <v>4</v>
      </c>
      <c r="C782" s="4" t="s">
        <v>1450</v>
      </c>
      <c r="D782" s="4" t="s">
        <v>30</v>
      </c>
      <c r="E782" s="5">
        <v>7.0685416625651705</v>
      </c>
    </row>
    <row r="783" ht="14.25" customHeight="1">
      <c r="A783" s="4"/>
      <c r="B783" s="4" t="s">
        <v>4</v>
      </c>
      <c r="C783" s="4" t="s">
        <v>1451</v>
      </c>
      <c r="D783" s="4" t="s">
        <v>1452</v>
      </c>
      <c r="E783" s="5">
        <v>293.26065769916397</v>
      </c>
    </row>
    <row r="784" ht="14.25" customHeight="1">
      <c r="A784" s="4"/>
      <c r="B784" s="4" t="s">
        <v>4</v>
      </c>
      <c r="C784" s="4" t="s">
        <v>1453</v>
      </c>
      <c r="D784" s="4" t="s">
        <v>1454</v>
      </c>
      <c r="E784" s="5">
        <v>3.03826206736027</v>
      </c>
    </row>
    <row r="785" ht="14.25" customHeight="1">
      <c r="A785" s="4"/>
      <c r="B785" s="4" t="s">
        <v>4</v>
      </c>
      <c r="C785" s="4" t="s">
        <v>1455</v>
      </c>
      <c r="D785" s="4" t="s">
        <v>1456</v>
      </c>
      <c r="E785" s="5">
        <v>4.66523749729301</v>
      </c>
    </row>
    <row r="786" ht="14.25" customHeight="1">
      <c r="A786" s="4"/>
      <c r="B786" s="4" t="s">
        <v>4</v>
      </c>
      <c r="C786" s="4" t="s">
        <v>1457</v>
      </c>
      <c r="D786" s="4" t="s">
        <v>1458</v>
      </c>
      <c r="E786" s="5">
        <v>97.13835267458951</v>
      </c>
    </row>
    <row r="787" ht="14.25" customHeight="1">
      <c r="A787" s="4"/>
      <c r="B787" s="4" t="s">
        <v>4</v>
      </c>
      <c r="C787" s="4" t="s">
        <v>1459</v>
      </c>
      <c r="D787" s="4" t="s">
        <v>1460</v>
      </c>
      <c r="E787" s="5">
        <v>106.53276483059</v>
      </c>
    </row>
    <row r="788" ht="14.25" customHeight="1">
      <c r="A788" s="4"/>
      <c r="B788" s="4" t="s">
        <v>4</v>
      </c>
      <c r="C788" s="4" t="s">
        <v>1461</v>
      </c>
      <c r="D788" s="4" t="s">
        <v>1462</v>
      </c>
      <c r="E788" s="5">
        <v>14.4031337703698</v>
      </c>
    </row>
    <row r="789" ht="14.25" customHeight="1">
      <c r="A789" s="4"/>
      <c r="B789" s="4" t="s">
        <v>4</v>
      </c>
      <c r="C789" s="4" t="s">
        <v>1463</v>
      </c>
      <c r="D789" s="4" t="s">
        <v>1464</v>
      </c>
      <c r="E789" s="5">
        <v>5.69106306372511</v>
      </c>
    </row>
    <row r="790" ht="14.25" customHeight="1">
      <c r="A790" s="4"/>
      <c r="B790" s="4" t="s">
        <v>4</v>
      </c>
      <c r="C790" s="4" t="s">
        <v>1465</v>
      </c>
      <c r="D790" s="4" t="s">
        <v>1466</v>
      </c>
      <c r="E790" s="5">
        <v>67.1050711563289</v>
      </c>
    </row>
    <row r="791" ht="14.25" customHeight="1">
      <c r="A791" s="4"/>
      <c r="B791" s="4" t="s">
        <v>4</v>
      </c>
      <c r="C791" s="4" t="s">
        <v>1467</v>
      </c>
      <c r="D791" s="4" t="s">
        <v>1468</v>
      </c>
      <c r="E791" s="5">
        <v>0.419145617873141</v>
      </c>
    </row>
    <row r="792" ht="14.25" customHeight="1">
      <c r="A792" s="4"/>
      <c r="B792" s="4" t="s">
        <v>4</v>
      </c>
      <c r="C792" s="4" t="s">
        <v>1469</v>
      </c>
      <c r="D792" s="4" t="s">
        <v>209</v>
      </c>
      <c r="E792" s="5">
        <v>35.3427083128258</v>
      </c>
    </row>
    <row r="793" ht="14.25" customHeight="1">
      <c r="A793" s="4"/>
      <c r="B793" s="4" t="s">
        <v>4</v>
      </c>
      <c r="C793" s="4" t="s">
        <v>1470</v>
      </c>
      <c r="D793" s="4" t="s">
        <v>1471</v>
      </c>
      <c r="E793" s="5">
        <v>106.084034885768</v>
      </c>
    </row>
    <row r="794" ht="14.25" customHeight="1">
      <c r="A794" s="4"/>
      <c r="B794" s="4" t="s">
        <v>4</v>
      </c>
      <c r="C794" s="4" t="s">
        <v>1472</v>
      </c>
      <c r="D794" s="4" t="s">
        <v>1473</v>
      </c>
      <c r="E794" s="5">
        <v>513.084723796435</v>
      </c>
    </row>
    <row r="795" ht="14.25" customHeight="1">
      <c r="A795" s="4"/>
      <c r="B795" s="4" t="s">
        <v>4</v>
      </c>
      <c r="C795" s="4" t="s">
        <v>1474</v>
      </c>
      <c r="D795" s="4" t="s">
        <v>1475</v>
      </c>
      <c r="E795" s="5">
        <v>6.9339770820818005</v>
      </c>
    </row>
    <row r="796" ht="14.25" customHeight="1">
      <c r="A796" s="4"/>
      <c r="B796" s="4" t="s">
        <v>4</v>
      </c>
      <c r="C796" s="4" t="s">
        <v>1476</v>
      </c>
      <c r="D796" s="4" t="s">
        <v>1477</v>
      </c>
      <c r="E796" s="5">
        <v>43.1729140902601</v>
      </c>
    </row>
    <row r="797" ht="14.25" customHeight="1">
      <c r="A797" s="4"/>
      <c r="B797" s="4" t="s">
        <v>4</v>
      </c>
      <c r="C797" s="4" t="s">
        <v>1478</v>
      </c>
      <c r="D797" s="4" t="s">
        <v>1479</v>
      </c>
      <c r="E797" s="5">
        <v>3.81242398444661</v>
      </c>
    </row>
    <row r="798" ht="14.25" customHeight="1">
      <c r="A798" s="4"/>
      <c r="B798" s="4" t="s">
        <v>4</v>
      </c>
      <c r="C798" s="4" t="s">
        <v>1480</v>
      </c>
      <c r="D798" s="4" t="s">
        <v>1481</v>
      </c>
      <c r="E798" s="5">
        <v>42.427648824241</v>
      </c>
    </row>
    <row r="799" ht="14.25" customHeight="1">
      <c r="A799" s="4"/>
      <c r="B799" s="4" t="s">
        <v>4</v>
      </c>
      <c r="C799" s="4" t="s">
        <v>1482</v>
      </c>
      <c r="D799" s="4" t="s">
        <v>402</v>
      </c>
      <c r="E799" s="5">
        <v>106.02812493847699</v>
      </c>
    </row>
    <row r="800" ht="14.25" customHeight="1">
      <c r="A800" s="4"/>
      <c r="B800" s="4" t="s">
        <v>4</v>
      </c>
      <c r="C800" s="4" t="s">
        <v>1483</v>
      </c>
      <c r="D800" s="4" t="s">
        <v>1484</v>
      </c>
      <c r="E800" s="5">
        <v>5.101639395387361</v>
      </c>
    </row>
    <row r="801" ht="14.25" customHeight="1">
      <c r="A801" s="4"/>
      <c r="B801" s="4" t="s">
        <v>4</v>
      </c>
      <c r="C801" s="4" t="s">
        <v>1485</v>
      </c>
      <c r="D801" s="4" t="s">
        <v>1486</v>
      </c>
      <c r="E801" s="5">
        <v>8.67958954814082</v>
      </c>
    </row>
    <row r="802" ht="14.25" customHeight="1">
      <c r="A802" s="4"/>
      <c r="B802" s="4" t="s">
        <v>4</v>
      </c>
      <c r="C802" s="4" t="s">
        <v>1487</v>
      </c>
      <c r="D802" s="4" t="s">
        <v>1488</v>
      </c>
      <c r="E802" s="5">
        <v>3.41099873612</v>
      </c>
    </row>
    <row r="803" ht="14.25" customHeight="1">
      <c r="A803" s="4"/>
      <c r="B803" s="4" t="s">
        <v>4</v>
      </c>
      <c r="C803" s="4" t="s">
        <v>1489</v>
      </c>
      <c r="D803" s="4" t="s">
        <v>1490</v>
      </c>
      <c r="E803" s="5">
        <v>103.44220104216201</v>
      </c>
    </row>
    <row r="804" ht="14.25" customHeight="1">
      <c r="A804" s="4"/>
      <c r="B804" s="4" t="s">
        <v>4</v>
      </c>
      <c r="C804" s="4" t="s">
        <v>1491</v>
      </c>
      <c r="D804" s="4" t="s">
        <v>1492</v>
      </c>
      <c r="E804" s="5">
        <v>3.6849672786542604</v>
      </c>
    </row>
    <row r="805" ht="14.25" customHeight="1">
      <c r="A805" s="4"/>
      <c r="B805" s="4" t="s">
        <v>4</v>
      </c>
      <c r="C805" s="4" t="s">
        <v>1493</v>
      </c>
      <c r="D805" s="4" t="s">
        <v>1494</v>
      </c>
      <c r="E805" s="5">
        <v>303.94729149030195</v>
      </c>
    </row>
    <row r="806" ht="14.25" customHeight="1">
      <c r="A806" s="4"/>
      <c r="B806" s="4" t="s">
        <v>4</v>
      </c>
      <c r="C806" s="4" t="s">
        <v>1495</v>
      </c>
      <c r="D806" s="4" t="s">
        <v>1496</v>
      </c>
      <c r="E806" s="5">
        <v>102.773721665921</v>
      </c>
    </row>
    <row r="807" ht="14.25" customHeight="1">
      <c r="A807" s="4"/>
      <c r="B807" s="4" t="s">
        <v>4</v>
      </c>
      <c r="C807" s="4" t="s">
        <v>1497</v>
      </c>
      <c r="D807" s="4" t="s">
        <v>1498</v>
      </c>
      <c r="E807" s="5">
        <v>11.7110594615565</v>
      </c>
    </row>
    <row r="808" ht="14.25" customHeight="1">
      <c r="A808" s="4"/>
      <c r="B808" s="4" t="s">
        <v>4</v>
      </c>
      <c r="C808" s="4" t="s">
        <v>1499</v>
      </c>
      <c r="D808" s="4" t="s">
        <v>1500</v>
      </c>
      <c r="E808" s="5">
        <v>119.236786859211</v>
      </c>
    </row>
    <row r="809" ht="14.25" customHeight="1">
      <c r="A809" s="4"/>
      <c r="B809" s="4" t="s">
        <v>4</v>
      </c>
      <c r="C809" s="4" t="s">
        <v>1501</v>
      </c>
      <c r="D809" s="4" t="s">
        <v>1502</v>
      </c>
      <c r="E809" s="5">
        <v>38.577555719282095</v>
      </c>
    </row>
    <row r="810" ht="14.25" customHeight="1">
      <c r="A810" s="4"/>
      <c r="B810" s="4" t="s">
        <v>4</v>
      </c>
      <c r="C810" s="4" t="s">
        <v>1503</v>
      </c>
      <c r="D810" s="4" t="s">
        <v>1504</v>
      </c>
      <c r="E810" s="5">
        <v>8.6236208283295</v>
      </c>
    </row>
    <row r="811" ht="14.25" customHeight="1">
      <c r="A811" s="4"/>
      <c r="B811" s="4" t="s">
        <v>4</v>
      </c>
      <c r="C811" s="4" t="s">
        <v>1505</v>
      </c>
      <c r="D811" s="4" t="s">
        <v>1506</v>
      </c>
      <c r="E811" s="5">
        <v>7.52034900523593</v>
      </c>
    </row>
    <row r="812" ht="14.25" customHeight="1">
      <c r="A812" s="4"/>
      <c r="B812" s="4" t="s">
        <v>4</v>
      </c>
      <c r="C812" s="4" t="s">
        <v>1507</v>
      </c>
      <c r="D812" s="4" t="s">
        <v>1508</v>
      </c>
      <c r="E812" s="5">
        <v>148.439374913868</v>
      </c>
    </row>
    <row r="813" ht="14.25" customHeight="1">
      <c r="A813" s="4"/>
      <c r="B813" s="4" t="s">
        <v>4</v>
      </c>
      <c r="C813" s="4" t="s">
        <v>1509</v>
      </c>
      <c r="D813" s="4" t="s">
        <v>30</v>
      </c>
      <c r="E813" s="5">
        <v>7.0685416625651705</v>
      </c>
    </row>
    <row r="814" ht="14.25" customHeight="1">
      <c r="A814" s="4"/>
      <c r="B814" s="4" t="s">
        <v>4</v>
      </c>
      <c r="C814" s="4" t="s">
        <v>1510</v>
      </c>
      <c r="D814" s="4" t="s">
        <v>1511</v>
      </c>
      <c r="E814" s="5">
        <v>6.44432694712376</v>
      </c>
    </row>
    <row r="815" ht="14.25" customHeight="1">
      <c r="A815" s="4"/>
      <c r="B815" s="4" t="s">
        <v>4</v>
      </c>
      <c r="C815" s="4" t="s">
        <v>1512</v>
      </c>
      <c r="D815" s="4" t="s">
        <v>1513</v>
      </c>
      <c r="E815" s="5">
        <v>21.2056249876955</v>
      </c>
    </row>
    <row r="816" ht="14.25" customHeight="1">
      <c r="A816" s="4"/>
      <c r="B816" s="4" t="s">
        <v>4</v>
      </c>
      <c r="C816" s="4" t="s">
        <v>1514</v>
      </c>
      <c r="D816" s="4" t="s">
        <v>1515</v>
      </c>
      <c r="E816" s="5">
        <v>279.49219750105</v>
      </c>
    </row>
    <row r="817" ht="14.25" customHeight="1">
      <c r="A817" s="4"/>
      <c r="B817" s="4" t="s">
        <v>4</v>
      </c>
      <c r="C817" s="4" t="s">
        <v>1516</v>
      </c>
      <c r="D817" s="4" t="s">
        <v>376</v>
      </c>
      <c r="E817" s="5">
        <v>7.35128332906777</v>
      </c>
    </row>
    <row r="818" ht="14.25" customHeight="1">
      <c r="A818" s="4"/>
      <c r="B818" s="4" t="s">
        <v>4</v>
      </c>
      <c r="C818" s="4" t="s">
        <v>1517</v>
      </c>
      <c r="D818" s="4" t="s">
        <v>292</v>
      </c>
      <c r="E818" s="5">
        <v>530.281995525639</v>
      </c>
    </row>
    <row r="819" ht="14.25" customHeight="1">
      <c r="A819" s="4"/>
      <c r="B819" s="4" t="s">
        <v>4</v>
      </c>
      <c r="C819" s="4" t="s">
        <v>1518</v>
      </c>
      <c r="D819" s="4" t="s">
        <v>1519</v>
      </c>
      <c r="E819" s="5">
        <v>110.207736946992</v>
      </c>
    </row>
    <row r="820" ht="14.25" customHeight="1">
      <c r="A820" s="4"/>
      <c r="B820" s="4" t="s">
        <v>4</v>
      </c>
      <c r="C820" s="4" t="s">
        <v>1520</v>
      </c>
      <c r="D820" s="4" t="s">
        <v>1521</v>
      </c>
      <c r="E820" s="5">
        <v>105.22007320435301</v>
      </c>
    </row>
    <row r="821" ht="14.25" customHeight="1">
      <c r="A821" s="4"/>
      <c r="B821" s="4" t="s">
        <v>4</v>
      </c>
      <c r="C821" s="4" t="s">
        <v>1522</v>
      </c>
      <c r="D821" s="4" t="s">
        <v>1523</v>
      </c>
      <c r="E821" s="5">
        <v>22.7528342801379</v>
      </c>
    </row>
    <row r="822" ht="14.25" customHeight="1">
      <c r="A822" s="4"/>
      <c r="B822" s="4" t="s">
        <v>4</v>
      </c>
      <c r="C822" s="4" t="s">
        <v>1524</v>
      </c>
      <c r="D822" s="4" t="s">
        <v>1016</v>
      </c>
      <c r="E822" s="5">
        <v>70.6854166256517</v>
      </c>
    </row>
    <row r="823" ht="14.25" customHeight="1">
      <c r="A823" s="4"/>
      <c r="B823" s="4" t="s">
        <v>4</v>
      </c>
      <c r="C823" s="4" t="s">
        <v>1525</v>
      </c>
      <c r="D823" s="4" t="s">
        <v>1526</v>
      </c>
      <c r="E823" s="5">
        <v>24.758058478122</v>
      </c>
    </row>
    <row r="824" ht="14.25" customHeight="1">
      <c r="A824" s="4"/>
      <c r="B824" s="4" t="s">
        <v>4</v>
      </c>
      <c r="C824" s="4" t="s">
        <v>1527</v>
      </c>
      <c r="D824" s="4" t="s">
        <v>1528</v>
      </c>
      <c r="E824" s="5">
        <v>7.32218459610969</v>
      </c>
    </row>
    <row r="825" ht="14.25" customHeight="1">
      <c r="A825" s="4"/>
      <c r="B825" s="4" t="s">
        <v>4</v>
      </c>
      <c r="C825" s="4" t="s">
        <v>1529</v>
      </c>
      <c r="D825" s="4" t="s">
        <v>1530</v>
      </c>
      <c r="E825" s="5">
        <v>26.075145835656603</v>
      </c>
    </row>
    <row r="826" ht="14.25" customHeight="1">
      <c r="A826" s="4"/>
      <c r="B826" s="4" t="s">
        <v>4</v>
      </c>
      <c r="C826" s="4" t="s">
        <v>1531</v>
      </c>
      <c r="D826" s="4" t="s">
        <v>1532</v>
      </c>
      <c r="E826" s="5">
        <v>0.774503674614463</v>
      </c>
    </row>
    <row r="827" ht="14.25" customHeight="1">
      <c r="A827" s="4"/>
      <c r="B827" s="4" t="s">
        <v>4</v>
      </c>
      <c r="C827" s="4" t="s">
        <v>1533</v>
      </c>
      <c r="D827" s="4" t="s">
        <v>1534</v>
      </c>
      <c r="E827" s="5">
        <v>49.9265323182998</v>
      </c>
    </row>
    <row r="828" ht="14.25" customHeight="1">
      <c r="A828" s="4"/>
      <c r="B828" s="4" t="s">
        <v>4</v>
      </c>
      <c r="C828" s="4" t="s">
        <v>1535</v>
      </c>
      <c r="D828" s="4" t="s">
        <v>1536</v>
      </c>
      <c r="E828" s="5">
        <v>5.2001838085632</v>
      </c>
    </row>
    <row r="829" ht="14.25" customHeight="1">
      <c r="A829" s="4"/>
      <c r="B829" s="4" t="s">
        <v>4</v>
      </c>
      <c r="C829" s="4" t="s">
        <v>1537</v>
      </c>
      <c r="D829" s="4" t="s">
        <v>30</v>
      </c>
      <c r="E829" s="5">
        <v>7.0685416625651705</v>
      </c>
    </row>
    <row r="830" ht="14.25" customHeight="1">
      <c r="A830" s="4"/>
      <c r="B830" s="4" t="s">
        <v>4</v>
      </c>
      <c r="C830" s="4" t="s">
        <v>1538</v>
      </c>
      <c r="D830" s="4" t="s">
        <v>209</v>
      </c>
      <c r="E830" s="5">
        <v>35.3427083128258</v>
      </c>
    </row>
    <row r="831" ht="14.25" customHeight="1">
      <c r="A831" s="4"/>
      <c r="B831" s="4" t="s">
        <v>4</v>
      </c>
      <c r="C831" s="4" t="s">
        <v>1539</v>
      </c>
      <c r="D831" s="4" t="s">
        <v>1540</v>
      </c>
      <c r="E831" s="5">
        <v>14.1512204083141</v>
      </c>
    </row>
    <row r="832" ht="14.25" customHeight="1">
      <c r="A832" s="4"/>
      <c r="B832" s="4" t="s">
        <v>4</v>
      </c>
      <c r="C832" s="4" t="s">
        <v>1541</v>
      </c>
      <c r="D832" s="4" t="s">
        <v>1542</v>
      </c>
      <c r="E832" s="5">
        <v>156.462439251988</v>
      </c>
    </row>
    <row r="833" ht="14.25" customHeight="1">
      <c r="A833" s="4"/>
      <c r="B833" s="4" t="s">
        <v>4</v>
      </c>
      <c r="C833" s="4" t="s">
        <v>1543</v>
      </c>
      <c r="D833" s="4" t="s">
        <v>1544</v>
      </c>
      <c r="E833" s="5">
        <v>7.56896476948149</v>
      </c>
    </row>
    <row r="834" ht="14.25" customHeight="1">
      <c r="A834" s="4"/>
      <c r="B834" s="4" t="s">
        <v>4</v>
      </c>
      <c r="C834" s="4" t="s">
        <v>1545</v>
      </c>
      <c r="D834" s="4" t="s">
        <v>376</v>
      </c>
      <c r="E834" s="5">
        <v>7.35128332906777</v>
      </c>
    </row>
    <row r="835" ht="14.25" customHeight="1">
      <c r="A835" s="4"/>
      <c r="B835" s="4" t="s">
        <v>4</v>
      </c>
      <c r="C835" s="4" t="s">
        <v>1546</v>
      </c>
      <c r="D835" s="4" t="s">
        <v>1547</v>
      </c>
      <c r="E835" s="5">
        <v>4.3666776690632</v>
      </c>
    </row>
    <row r="836" ht="14.25" customHeight="1">
      <c r="A836" s="4"/>
      <c r="B836" s="4" t="s">
        <v>4</v>
      </c>
      <c r="C836" s="4" t="s">
        <v>1548</v>
      </c>
      <c r="D836" s="4" t="s">
        <v>1549</v>
      </c>
      <c r="E836" s="5">
        <v>9.296040584126931</v>
      </c>
    </row>
    <row r="837" ht="14.25" customHeight="1">
      <c r="A837" s="4"/>
      <c r="B837" s="4" t="s">
        <v>4</v>
      </c>
      <c r="C837" s="4" t="s">
        <v>1550</v>
      </c>
      <c r="D837" s="4" t="s">
        <v>1551</v>
      </c>
      <c r="E837" s="5">
        <v>7.13183478658633</v>
      </c>
    </row>
    <row r="838" ht="14.25" customHeight="1">
      <c r="A838" s="4"/>
      <c r="B838" s="4" t="s">
        <v>4</v>
      </c>
      <c r="C838" s="4" t="s">
        <v>1552</v>
      </c>
      <c r="D838" s="4" t="s">
        <v>30</v>
      </c>
      <c r="E838" s="5">
        <v>7.0685416625651705</v>
      </c>
    </row>
    <row r="839" ht="14.25" customHeight="1">
      <c r="A839" s="4"/>
      <c r="B839" s="4" t="s">
        <v>4</v>
      </c>
      <c r="C839" s="4" t="s">
        <v>1553</v>
      </c>
      <c r="D839" s="4" t="s">
        <v>160</v>
      </c>
      <c r="E839" s="5">
        <v>14.1370833251303</v>
      </c>
    </row>
    <row r="840" ht="14.25" customHeight="1">
      <c r="A840" s="4"/>
      <c r="B840" s="4" t="s">
        <v>4</v>
      </c>
      <c r="C840" s="4" t="s">
        <v>1554</v>
      </c>
      <c r="D840" s="4" t="s">
        <v>1555</v>
      </c>
      <c r="E840" s="5">
        <v>91.8910416133472</v>
      </c>
    </row>
    <row r="841" ht="14.25" customHeight="1">
      <c r="A841" s="4"/>
      <c r="B841" s="4" t="s">
        <v>4</v>
      </c>
      <c r="C841" s="4" t="s">
        <v>1556</v>
      </c>
      <c r="D841" s="4" t="s">
        <v>1557</v>
      </c>
      <c r="E841" s="5">
        <v>76.1988791224525</v>
      </c>
    </row>
    <row r="842" ht="14.25" customHeight="1">
      <c r="A842" s="4"/>
      <c r="B842" s="4" t="s">
        <v>4</v>
      </c>
      <c r="C842" s="4" t="s">
        <v>1558</v>
      </c>
      <c r="D842" s="4" t="s">
        <v>1559</v>
      </c>
      <c r="E842" s="5">
        <v>70.5999002647865</v>
      </c>
    </row>
    <row r="843" ht="14.25" customHeight="1">
      <c r="A843" s="4"/>
      <c r="B843" s="4" t="s">
        <v>4</v>
      </c>
      <c r="C843" s="4" t="s">
        <v>1560</v>
      </c>
      <c r="D843" s="4" t="s">
        <v>1561</v>
      </c>
      <c r="E843" s="5">
        <v>40.2589008569006</v>
      </c>
    </row>
    <row r="844" ht="14.25" customHeight="1">
      <c r="A844" s="4"/>
      <c r="B844" s="4" t="s">
        <v>4</v>
      </c>
      <c r="C844" s="4" t="s">
        <v>1562</v>
      </c>
      <c r="D844" s="4" t="s">
        <v>1563</v>
      </c>
      <c r="E844" s="5">
        <v>42.453226551758505</v>
      </c>
    </row>
    <row r="845" ht="14.25" customHeight="1">
      <c r="A845" s="4"/>
      <c r="B845" s="4" t="s">
        <v>4</v>
      </c>
      <c r="C845" s="4" t="s">
        <v>1564</v>
      </c>
      <c r="D845" s="4" t="s">
        <v>1565</v>
      </c>
      <c r="E845" s="5">
        <v>16.377239693533998</v>
      </c>
    </row>
    <row r="846" ht="14.25" customHeight="1">
      <c r="A846" s="4"/>
      <c r="B846" s="4" t="s">
        <v>4</v>
      </c>
      <c r="C846" s="4" t="s">
        <v>1566</v>
      </c>
      <c r="D846" s="4" t="s">
        <v>1567</v>
      </c>
      <c r="E846" s="5">
        <v>13.778522675089102</v>
      </c>
    </row>
    <row r="847" ht="14.25" customHeight="1">
      <c r="A847" s="4"/>
      <c r="B847" s="4" t="s">
        <v>4</v>
      </c>
      <c r="C847" s="4" t="s">
        <v>1568</v>
      </c>
      <c r="D847" s="4" t="s">
        <v>1569</v>
      </c>
      <c r="E847" s="5">
        <v>62.678830288827804</v>
      </c>
    </row>
    <row r="848" ht="14.25" customHeight="1">
      <c r="A848" s="4"/>
      <c r="B848" s="4" t="s">
        <v>4</v>
      </c>
      <c r="C848" s="4" t="s">
        <v>1570</v>
      </c>
      <c r="D848" s="4" t="s">
        <v>1571</v>
      </c>
      <c r="E848" s="5">
        <v>61.9204249640709</v>
      </c>
    </row>
    <row r="849" ht="14.25" customHeight="1">
      <c r="A849" s="4"/>
      <c r="B849" s="4" t="s">
        <v>4</v>
      </c>
      <c r="C849" s="4" t="s">
        <v>1572</v>
      </c>
      <c r="D849" s="4" t="s">
        <v>30</v>
      </c>
      <c r="E849" s="5">
        <v>7.0685416625651705</v>
      </c>
    </row>
    <row r="850" ht="14.25" customHeight="1">
      <c r="A850" s="4"/>
      <c r="B850" s="4" t="s">
        <v>4</v>
      </c>
      <c r="C850" s="4" t="s">
        <v>1573</v>
      </c>
      <c r="D850" s="4" t="s">
        <v>1574</v>
      </c>
      <c r="E850" s="5">
        <v>312.61007293106803</v>
      </c>
    </row>
    <row r="851" ht="14.25" customHeight="1">
      <c r="A851" s="4"/>
      <c r="B851" s="4" t="s">
        <v>4</v>
      </c>
      <c r="C851" s="4" t="s">
        <v>1575</v>
      </c>
      <c r="D851" s="4" t="s">
        <v>160</v>
      </c>
      <c r="E851" s="5">
        <v>14.1370833251303</v>
      </c>
    </row>
    <row r="852" ht="14.25" customHeight="1">
      <c r="A852" s="4"/>
      <c r="B852" s="4" t="s">
        <v>4</v>
      </c>
      <c r="C852" s="4" t="s">
        <v>1576</v>
      </c>
      <c r="D852" s="4" t="s">
        <v>1577</v>
      </c>
      <c r="E852" s="5">
        <v>702.170528581632</v>
      </c>
    </row>
    <row r="853" ht="14.25" customHeight="1">
      <c r="A853" s="4"/>
      <c r="B853" s="4" t="s">
        <v>4</v>
      </c>
      <c r="C853" s="4" t="s">
        <v>1578</v>
      </c>
      <c r="D853" s="4" t="s">
        <v>1579</v>
      </c>
      <c r="E853" s="5">
        <v>0.488192695558875</v>
      </c>
    </row>
    <row r="854" ht="14.25" customHeight="1">
      <c r="A854" s="4"/>
      <c r="B854" s="4" t="s">
        <v>4</v>
      </c>
      <c r="C854" s="4" t="s">
        <v>1580</v>
      </c>
      <c r="D854" s="4" t="s">
        <v>1581</v>
      </c>
      <c r="E854" s="5">
        <v>239.74536084526102</v>
      </c>
    </row>
    <row r="855" ht="14.25" customHeight="1">
      <c r="A855" s="4"/>
      <c r="B855" s="4" t="s">
        <v>4</v>
      </c>
      <c r="C855" s="4" t="s">
        <v>1582</v>
      </c>
      <c r="D855" s="4" t="s">
        <v>1583</v>
      </c>
      <c r="E855" s="5">
        <v>7.91440927487161</v>
      </c>
    </row>
    <row r="856" ht="14.25" customHeight="1">
      <c r="A856" s="4"/>
      <c r="B856" s="4" t="s">
        <v>4</v>
      </c>
      <c r="C856" s="4" t="s">
        <v>1584</v>
      </c>
      <c r="D856" s="4" t="s">
        <v>1585</v>
      </c>
      <c r="E856" s="5">
        <v>7.77020612621406</v>
      </c>
    </row>
    <row r="857" ht="14.25" customHeight="1">
      <c r="A857" s="4"/>
      <c r="B857" s="4" t="s">
        <v>4</v>
      </c>
      <c r="C857" s="4" t="s">
        <v>1586</v>
      </c>
      <c r="D857" s="4" t="s">
        <v>1587</v>
      </c>
      <c r="E857" s="5">
        <v>7.93006203038411</v>
      </c>
    </row>
    <row r="858" ht="14.25" customHeight="1">
      <c r="A858" s="4"/>
      <c r="B858" s="4" t="s">
        <v>4</v>
      </c>
      <c r="C858" s="4" t="s">
        <v>1588</v>
      </c>
      <c r="D858" s="4" t="s">
        <v>30</v>
      </c>
      <c r="E858" s="5">
        <v>7.0685416625651705</v>
      </c>
    </row>
    <row r="859" ht="14.25" customHeight="1">
      <c r="A859" s="4"/>
      <c r="B859" s="4" t="s">
        <v>4</v>
      </c>
      <c r="C859" s="4" t="s">
        <v>1589</v>
      </c>
      <c r="D859" s="4" t="s">
        <v>1590</v>
      </c>
      <c r="E859" s="5">
        <v>17.4324973350312</v>
      </c>
    </row>
    <row r="860" ht="14.25" customHeight="1">
      <c r="A860" s="4"/>
      <c r="B860" s="4" t="s">
        <v>4</v>
      </c>
      <c r="C860" s="4" t="s">
        <v>1591</v>
      </c>
      <c r="D860" s="4" t="s">
        <v>1592</v>
      </c>
      <c r="E860" s="5">
        <v>7.1853159893235</v>
      </c>
    </row>
    <row r="861" ht="14.25" customHeight="1">
      <c r="A861" s="4"/>
      <c r="B861" s="4" t="s">
        <v>4</v>
      </c>
      <c r="C861" s="4" t="s">
        <v>1593</v>
      </c>
      <c r="D861" s="4" t="s">
        <v>160</v>
      </c>
      <c r="E861" s="5">
        <v>14.1370833251303</v>
      </c>
    </row>
    <row r="862" ht="14.25" customHeight="1">
      <c r="A862" s="4"/>
      <c r="B862" s="4" t="s">
        <v>4</v>
      </c>
      <c r="C862" s="4" t="s">
        <v>1594</v>
      </c>
      <c r="D862" s="4" t="s">
        <v>1595</v>
      </c>
      <c r="E862" s="5">
        <v>28.321171464134597</v>
      </c>
    </row>
    <row r="863" ht="14.25" customHeight="1">
      <c r="A863" s="4"/>
      <c r="B863" s="4" t="s">
        <v>4</v>
      </c>
      <c r="C863" s="4" t="s">
        <v>1596</v>
      </c>
      <c r="D863" s="4" t="s">
        <v>1597</v>
      </c>
      <c r="E863" s="5">
        <v>297.585603993993</v>
      </c>
    </row>
    <row r="864" ht="14.25" customHeight="1">
      <c r="A864" s="4"/>
      <c r="B864" s="4" t="s">
        <v>4</v>
      </c>
      <c r="C864" s="4" t="s">
        <v>1598</v>
      </c>
      <c r="D864" s="4" t="s">
        <v>1599</v>
      </c>
      <c r="E864" s="5">
        <v>7.52118732895947</v>
      </c>
    </row>
    <row r="865" ht="14.25" customHeight="1">
      <c r="A865" s="4"/>
      <c r="B865" s="4" t="s">
        <v>4</v>
      </c>
      <c r="C865" s="4" t="s">
        <v>1600</v>
      </c>
      <c r="D865" s="4" t="s">
        <v>627</v>
      </c>
      <c r="E865" s="5">
        <v>42.411249975391</v>
      </c>
    </row>
    <row r="866" ht="14.25" customHeight="1">
      <c r="A866" s="4"/>
      <c r="B866" s="4" t="s">
        <v>4</v>
      </c>
      <c r="C866" s="4" t="s">
        <v>1601</v>
      </c>
      <c r="D866" s="4" t="s">
        <v>1602</v>
      </c>
      <c r="E866" s="5">
        <v>0.103246826528065</v>
      </c>
    </row>
    <row r="867" ht="14.25" customHeight="1">
      <c r="A867" s="4"/>
      <c r="B867" s="4" t="s">
        <v>4</v>
      </c>
      <c r="C867" s="4" t="s">
        <v>1603</v>
      </c>
      <c r="D867" s="4" t="s">
        <v>1084</v>
      </c>
      <c r="E867" s="5">
        <v>7.77539582882168</v>
      </c>
    </row>
    <row r="868" ht="14.25" customHeight="1">
      <c r="A868" s="4"/>
      <c r="B868" s="4" t="s">
        <v>4</v>
      </c>
      <c r="C868" s="4" t="s">
        <v>1604</v>
      </c>
      <c r="D868" s="4" t="s">
        <v>30</v>
      </c>
      <c r="E868" s="5">
        <v>7.0685416625651705</v>
      </c>
    </row>
    <row r="869" ht="14.25" customHeight="1">
      <c r="A869" s="4"/>
      <c r="B869" s="4" t="s">
        <v>4</v>
      </c>
      <c r="C869" s="4" t="s">
        <v>1605</v>
      </c>
      <c r="D869" s="4" t="s">
        <v>1606</v>
      </c>
      <c r="E869" s="5">
        <v>2.68382189915601</v>
      </c>
    </row>
    <row r="870" ht="14.25" customHeight="1">
      <c r="A870" s="4"/>
      <c r="B870" s="4" t="s">
        <v>4</v>
      </c>
      <c r="C870" s="4" t="s">
        <v>1607</v>
      </c>
      <c r="D870" s="4" t="s">
        <v>1608</v>
      </c>
      <c r="E870" s="5">
        <v>1.37792405206179</v>
      </c>
    </row>
    <row r="871" ht="14.25" customHeight="1">
      <c r="A871" s="4"/>
      <c r="B871" s="4" t="s">
        <v>4</v>
      </c>
      <c r="C871" s="4" t="s">
        <v>1609</v>
      </c>
      <c r="D871" s="4" t="s">
        <v>1610</v>
      </c>
      <c r="E871" s="5">
        <v>1.30902673444314</v>
      </c>
    </row>
    <row r="872" ht="14.25" customHeight="1">
      <c r="A872" s="4"/>
      <c r="B872" s="4" t="s">
        <v>4</v>
      </c>
      <c r="C872" s="4" t="s">
        <v>1611</v>
      </c>
      <c r="D872" s="4" t="s">
        <v>1612</v>
      </c>
      <c r="E872" s="5">
        <v>409.14888582862204</v>
      </c>
    </row>
    <row r="873" ht="14.25" customHeight="1">
      <c r="A873" s="4"/>
      <c r="B873" s="4" t="s">
        <v>4</v>
      </c>
      <c r="C873" s="4" t="s">
        <v>1613</v>
      </c>
      <c r="D873" s="4" t="s">
        <v>30</v>
      </c>
      <c r="E873" s="5">
        <v>7.0685416625651705</v>
      </c>
    </row>
    <row r="874" ht="14.25" customHeight="1">
      <c r="A874" s="4"/>
      <c r="B874" s="4" t="s">
        <v>4</v>
      </c>
      <c r="C874" s="4" t="s">
        <v>1614</v>
      </c>
      <c r="D874" s="4" t="s">
        <v>1615</v>
      </c>
      <c r="E874" s="5">
        <v>15.6015544683366</v>
      </c>
    </row>
    <row r="875" ht="14.25" customHeight="1">
      <c r="A875" s="4"/>
      <c r="B875" s="4" t="s">
        <v>4</v>
      </c>
      <c r="C875" s="4" t="s">
        <v>1616</v>
      </c>
      <c r="D875" s="4" t="s">
        <v>1617</v>
      </c>
      <c r="E875" s="5">
        <v>44.357764090463505</v>
      </c>
    </row>
    <row r="876" ht="14.25" customHeight="1">
      <c r="A876" s="4"/>
      <c r="B876" s="4" t="s">
        <v>4</v>
      </c>
      <c r="C876" s="4" t="s">
        <v>1618</v>
      </c>
      <c r="D876" s="4" t="s">
        <v>38</v>
      </c>
      <c r="E876" s="5">
        <v>28.2741666502606</v>
      </c>
    </row>
    <row r="877" ht="14.25" customHeight="1">
      <c r="A877" s="4"/>
      <c r="B877" s="4" t="s">
        <v>4</v>
      </c>
      <c r="C877" s="4" t="s">
        <v>1619</v>
      </c>
      <c r="D877" s="4" t="s">
        <v>1620</v>
      </c>
      <c r="E877" s="5">
        <v>0.877141185623042</v>
      </c>
    </row>
    <row r="878" ht="14.25" customHeight="1">
      <c r="A878" s="4"/>
      <c r="B878" s="4" t="s">
        <v>4</v>
      </c>
      <c r="C878" s="4" t="s">
        <v>1621</v>
      </c>
      <c r="D878" s="4" t="s">
        <v>1622</v>
      </c>
      <c r="E878" s="5">
        <v>166.974334792214</v>
      </c>
    </row>
    <row r="879" ht="14.25" customHeight="1">
      <c r="A879" s="4"/>
      <c r="B879" s="4" t="s">
        <v>4</v>
      </c>
      <c r="C879" s="4" t="s">
        <v>1623</v>
      </c>
      <c r="D879" s="4" t="s">
        <v>1624</v>
      </c>
      <c r="E879" s="5">
        <v>7.26203582322999</v>
      </c>
    </row>
    <row r="880" ht="14.25" customHeight="1">
      <c r="A880" s="4"/>
      <c r="B880" s="4" t="s">
        <v>4</v>
      </c>
      <c r="C880" s="4" t="s">
        <v>1625</v>
      </c>
      <c r="D880" s="4" t="s">
        <v>30</v>
      </c>
      <c r="E880" s="5">
        <v>7.0685416625651705</v>
      </c>
    </row>
    <row r="881" ht="14.25" customHeight="1">
      <c r="A881" s="4"/>
      <c r="B881" s="4" t="s">
        <v>4</v>
      </c>
      <c r="C881" s="4" t="s">
        <v>1626</v>
      </c>
      <c r="D881" s="4" t="s">
        <v>1627</v>
      </c>
      <c r="E881" s="5">
        <v>7.31334706424615</v>
      </c>
    </row>
    <row r="882" ht="14.25" customHeight="1">
      <c r="A882" s="4"/>
      <c r="B882" s="4" t="s">
        <v>4</v>
      </c>
      <c r="C882" s="4" t="s">
        <v>1628</v>
      </c>
      <c r="D882" s="4" t="s">
        <v>1629</v>
      </c>
      <c r="E882" s="5">
        <v>53.164770266425194</v>
      </c>
    </row>
    <row r="883" ht="14.25" customHeight="1">
      <c r="A883" s="4"/>
      <c r="B883" s="4" t="s">
        <v>4</v>
      </c>
      <c r="C883" s="4" t="s">
        <v>1630</v>
      </c>
      <c r="D883" s="4" t="s">
        <v>259</v>
      </c>
      <c r="E883" s="5">
        <v>7.20991249581647</v>
      </c>
    </row>
    <row r="884" ht="14.25" customHeight="1">
      <c r="A884" s="4"/>
      <c r="B884" s="4" t="s">
        <v>4</v>
      </c>
      <c r="C884" s="4" t="s">
        <v>1631</v>
      </c>
      <c r="D884" s="4" t="s">
        <v>1632</v>
      </c>
      <c r="E884" s="5">
        <v>121.40834072978801</v>
      </c>
    </row>
    <row r="885" ht="14.25" customHeight="1">
      <c r="A885" s="4"/>
      <c r="B885" s="4" t="s">
        <v>4</v>
      </c>
      <c r="C885" s="4" t="s">
        <v>1633</v>
      </c>
      <c r="D885" s="4" t="s">
        <v>1634</v>
      </c>
      <c r="E885" s="5">
        <v>1.15537563849662</v>
      </c>
    </row>
    <row r="886" ht="14.25" customHeight="1">
      <c r="A886" s="4"/>
      <c r="B886" s="4" t="s">
        <v>4</v>
      </c>
      <c r="C886" s="4" t="s">
        <v>1635</v>
      </c>
      <c r="D886" s="4" t="s">
        <v>1636</v>
      </c>
      <c r="E886" s="5">
        <v>1.30427359593106</v>
      </c>
    </row>
    <row r="887" ht="14.25" customHeight="1">
      <c r="A887" s="4"/>
      <c r="B887" s="4" t="s">
        <v>4</v>
      </c>
      <c r="C887" s="4" t="s">
        <v>1637</v>
      </c>
      <c r="D887" s="4" t="s">
        <v>1638</v>
      </c>
      <c r="E887" s="5">
        <v>4.92962121774839</v>
      </c>
    </row>
    <row r="888" ht="14.25" customHeight="1">
      <c r="A888" s="4"/>
      <c r="B888" s="4" t="s">
        <v>4</v>
      </c>
      <c r="C888" s="4" t="s">
        <v>1639</v>
      </c>
      <c r="D888" s="4" t="s">
        <v>1640</v>
      </c>
      <c r="E888" s="5">
        <v>504.507888079091</v>
      </c>
    </row>
    <row r="889" ht="14.25" customHeight="1">
      <c r="A889" s="4"/>
      <c r="B889" s="4" t="s">
        <v>4</v>
      </c>
      <c r="C889" s="4" t="s">
        <v>1641</v>
      </c>
      <c r="D889" s="4" t="s">
        <v>30</v>
      </c>
      <c r="E889" s="5">
        <v>7.0685416625651705</v>
      </c>
    </row>
    <row r="890" ht="14.25" customHeight="1">
      <c r="A890" s="4"/>
      <c r="B890" s="4" t="s">
        <v>4</v>
      </c>
      <c r="C890" s="4" t="s">
        <v>1642</v>
      </c>
      <c r="D890" s="4" t="s">
        <v>627</v>
      </c>
      <c r="E890" s="5">
        <v>42.411249975391</v>
      </c>
    </row>
    <row r="891" ht="14.25" customHeight="1">
      <c r="A891" s="4"/>
      <c r="B891" s="4" t="s">
        <v>4</v>
      </c>
      <c r="C891" s="4" t="s">
        <v>1643</v>
      </c>
      <c r="D891" s="4" t="s">
        <v>1644</v>
      </c>
      <c r="E891" s="5">
        <v>8.43120224327101</v>
      </c>
    </row>
    <row r="892" ht="14.25" customHeight="1">
      <c r="A892" s="4"/>
      <c r="B892" s="4" t="s">
        <v>4</v>
      </c>
      <c r="C892" s="4" t="s">
        <v>1645</v>
      </c>
      <c r="D892" s="4" t="s">
        <v>1646</v>
      </c>
      <c r="E892" s="5">
        <v>176.904392189018</v>
      </c>
    </row>
    <row r="893" ht="14.25" customHeight="1">
      <c r="A893" s="4"/>
      <c r="B893" s="4" t="s">
        <v>4</v>
      </c>
      <c r="C893" s="4" t="s">
        <v>1647</v>
      </c>
      <c r="D893" s="4" t="s">
        <v>1648</v>
      </c>
      <c r="E893" s="5">
        <v>9.05269452637543</v>
      </c>
    </row>
    <row r="894" ht="14.25" customHeight="1">
      <c r="A894" s="4"/>
      <c r="B894" s="4" t="s">
        <v>4</v>
      </c>
      <c r="C894" s="4" t="s">
        <v>1649</v>
      </c>
      <c r="D894" s="4" t="s">
        <v>1650</v>
      </c>
      <c r="E894" s="5">
        <v>2.451825777853</v>
      </c>
    </row>
    <row r="895" ht="14.25" customHeight="1">
      <c r="A895" s="4"/>
      <c r="B895" s="4" t="s">
        <v>4</v>
      </c>
      <c r="C895" s="4" t="s">
        <v>1651</v>
      </c>
      <c r="D895" s="4" t="s">
        <v>627</v>
      </c>
      <c r="E895" s="5">
        <v>42.411249975391</v>
      </c>
    </row>
    <row r="896" ht="14.25" customHeight="1">
      <c r="A896" s="4"/>
      <c r="B896" s="4" t="s">
        <v>4</v>
      </c>
      <c r="C896" s="4" t="s">
        <v>1652</v>
      </c>
      <c r="D896" s="4" t="s">
        <v>1653</v>
      </c>
      <c r="E896" s="5">
        <v>150.234270300044</v>
      </c>
    </row>
    <row r="897" ht="14.25" customHeight="1">
      <c r="A897" s="4"/>
      <c r="B897" s="4" t="s">
        <v>4</v>
      </c>
      <c r="C897" s="4" t="s">
        <v>1654</v>
      </c>
      <c r="D897" s="4" t="s">
        <v>1655</v>
      </c>
      <c r="E897" s="5">
        <v>0.258687576531798</v>
      </c>
    </row>
    <row r="898" ht="14.25" customHeight="1">
      <c r="A898" s="4"/>
      <c r="B898" s="4" t="s">
        <v>4</v>
      </c>
      <c r="C898" s="4" t="s">
        <v>1656</v>
      </c>
      <c r="D898" s="4" t="s">
        <v>1657</v>
      </c>
      <c r="E898" s="5">
        <v>2120.56249876955</v>
      </c>
    </row>
    <row r="899" ht="14.25" customHeight="1">
      <c r="A899" s="4"/>
      <c r="B899" s="4" t="s">
        <v>4</v>
      </c>
      <c r="C899" s="4" t="s">
        <v>1658</v>
      </c>
      <c r="D899" s="4" t="s">
        <v>1659</v>
      </c>
      <c r="E899" s="5">
        <v>141.562984751797</v>
      </c>
    </row>
    <row r="900" ht="14.25" customHeight="1">
      <c r="A900" s="4"/>
      <c r="B900" s="4" t="s">
        <v>4</v>
      </c>
      <c r="C900" s="4" t="s">
        <v>1660</v>
      </c>
      <c r="D900" s="4" t="s">
        <v>1513</v>
      </c>
      <c r="E900" s="5">
        <v>21.2056249876955</v>
      </c>
    </row>
    <row r="901" ht="14.25" customHeight="1">
      <c r="A901" s="4"/>
      <c r="B901" s="4" t="s">
        <v>4</v>
      </c>
      <c r="C901" s="4" t="s">
        <v>1661</v>
      </c>
      <c r="D901" s="4" t="s">
        <v>1662</v>
      </c>
      <c r="E901" s="5">
        <v>282.741666502606</v>
      </c>
    </row>
    <row r="902" ht="14.25" customHeight="1">
      <c r="A902" s="4"/>
      <c r="B902" s="4" t="s">
        <v>4</v>
      </c>
      <c r="C902" s="4" t="s">
        <v>1663</v>
      </c>
      <c r="D902" s="4" t="s">
        <v>1664</v>
      </c>
      <c r="E902" s="5">
        <v>61.306029436508396</v>
      </c>
    </row>
    <row r="903" ht="14.25" customHeight="1">
      <c r="A903" s="4"/>
      <c r="B903" s="4" t="s">
        <v>4</v>
      </c>
      <c r="C903" s="4" t="s">
        <v>1665</v>
      </c>
      <c r="D903" s="4" t="s">
        <v>1666</v>
      </c>
      <c r="E903" s="5">
        <v>42.5631597551699</v>
      </c>
    </row>
    <row r="904" ht="14.25" customHeight="1">
      <c r="A904" s="4"/>
      <c r="B904" s="4" t="s">
        <v>4</v>
      </c>
      <c r="C904" s="4" t="s">
        <v>1667</v>
      </c>
      <c r="D904" s="4" t="s">
        <v>1668</v>
      </c>
      <c r="E904" s="5">
        <v>4731.68801263952</v>
      </c>
    </row>
    <row r="905" ht="14.25" customHeight="1">
      <c r="A905" s="4"/>
      <c r="B905" s="4" t="s">
        <v>4</v>
      </c>
      <c r="C905" s="4" t="s">
        <v>1669</v>
      </c>
      <c r="D905" s="4" t="s">
        <v>1670</v>
      </c>
      <c r="E905" s="5">
        <v>65.195570505455</v>
      </c>
    </row>
    <row r="906" ht="14.25" customHeight="1">
      <c r="A906" s="4"/>
      <c r="B906" s="4" t="s">
        <v>4</v>
      </c>
      <c r="C906" s="4" t="s">
        <v>1671</v>
      </c>
      <c r="D906" s="4" t="s">
        <v>1672</v>
      </c>
      <c r="E906" s="5">
        <v>4.94539388441629</v>
      </c>
    </row>
    <row r="907" ht="14.25" customHeight="1">
      <c r="A907" s="4"/>
      <c r="B907" s="4" t="s">
        <v>4</v>
      </c>
      <c r="C907" s="4" t="s">
        <v>1673</v>
      </c>
      <c r="D907" s="4" t="s">
        <v>1674</v>
      </c>
      <c r="E907" s="5">
        <v>9.751565858808851</v>
      </c>
    </row>
    <row r="908" ht="14.25" customHeight="1">
      <c r="A908" s="4"/>
      <c r="B908" s="4" t="s">
        <v>4</v>
      </c>
      <c r="C908" s="4" t="s">
        <v>1675</v>
      </c>
      <c r="D908" s="4" t="s">
        <v>1676</v>
      </c>
      <c r="E908" s="5">
        <v>148.439571547267</v>
      </c>
    </row>
    <row r="909" ht="14.25" customHeight="1">
      <c r="A909" s="4"/>
      <c r="B909" s="4" t="s">
        <v>4</v>
      </c>
      <c r="C909" s="4" t="s">
        <v>1677</v>
      </c>
      <c r="D909" s="4" t="s">
        <v>1678</v>
      </c>
      <c r="E909" s="5">
        <v>0.081474374373096</v>
      </c>
    </row>
    <row r="910" ht="14.25" customHeight="1">
      <c r="A910" s="4"/>
      <c r="B910" s="4" t="s">
        <v>4</v>
      </c>
      <c r="C910" s="4" t="s">
        <v>1679</v>
      </c>
      <c r="D910" s="4" t="s">
        <v>1680</v>
      </c>
      <c r="E910" s="5">
        <v>41.5306411813652</v>
      </c>
    </row>
    <row r="911" ht="14.25" customHeight="1">
      <c r="A911" s="4"/>
      <c r="B911" s="4" t="s">
        <v>4</v>
      </c>
      <c r="C911" s="4" t="s">
        <v>1681</v>
      </c>
      <c r="D911" s="4" t="s">
        <v>30</v>
      </c>
      <c r="E911" s="5">
        <v>7.0685416625651705</v>
      </c>
    </row>
    <row r="912" ht="14.25" customHeight="1">
      <c r="A912" s="4"/>
      <c r="B912" s="4" t="s">
        <v>4</v>
      </c>
      <c r="C912" s="4" t="s">
        <v>1682</v>
      </c>
      <c r="D912" s="4" t="s">
        <v>1683</v>
      </c>
      <c r="E912" s="5">
        <v>7.1945588060605905</v>
      </c>
    </row>
    <row r="913" ht="14.25" customHeight="1">
      <c r="A913" s="4"/>
      <c r="B913" s="4" t="s">
        <v>4</v>
      </c>
      <c r="C913" s="4" t="s">
        <v>1684</v>
      </c>
      <c r="D913" s="4" t="s">
        <v>1685</v>
      </c>
      <c r="E913" s="5">
        <v>2.3292884298846404</v>
      </c>
    </row>
    <row r="914" ht="14.25" customHeight="1">
      <c r="A914" s="4"/>
      <c r="B914" s="4" t="s">
        <v>4</v>
      </c>
      <c r="C914" s="4" t="s">
        <v>1686</v>
      </c>
      <c r="D914" s="4" t="s">
        <v>1687</v>
      </c>
      <c r="E914" s="5">
        <v>7.07981200636252</v>
      </c>
    </row>
    <row r="915" ht="14.25" customHeight="1">
      <c r="A915" s="4"/>
      <c r="B915" s="4" t="s">
        <v>4</v>
      </c>
      <c r="C915" s="4" t="s">
        <v>1688</v>
      </c>
      <c r="D915" s="4" t="s">
        <v>1689</v>
      </c>
      <c r="E915" s="5">
        <v>5.1302928852457</v>
      </c>
    </row>
    <row r="916" ht="14.25" customHeight="1">
      <c r="A916" s="4"/>
      <c r="B916" s="4" t="s">
        <v>4</v>
      </c>
      <c r="C916" s="4" t="s">
        <v>1690</v>
      </c>
      <c r="D916" s="4" t="s">
        <v>1691</v>
      </c>
      <c r="E916" s="5">
        <v>29.149094344032502</v>
      </c>
    </row>
    <row r="917" ht="14.25" customHeight="1">
      <c r="A917" s="4"/>
      <c r="B917" s="4" t="s">
        <v>4</v>
      </c>
      <c r="C917" s="4" t="s">
        <v>1692</v>
      </c>
      <c r="D917" s="4" t="s">
        <v>1693</v>
      </c>
      <c r="E917" s="5">
        <v>1.00396793543104</v>
      </c>
    </row>
    <row r="918" ht="14.25" customHeight="1">
      <c r="A918" s="4"/>
      <c r="B918" s="4" t="s">
        <v>4</v>
      </c>
      <c r="C918" s="4" t="s">
        <v>1694</v>
      </c>
      <c r="D918" s="4" t="s">
        <v>1695</v>
      </c>
      <c r="E918" s="5">
        <v>44.126134829174</v>
      </c>
    </row>
    <row r="919" ht="14.25" customHeight="1">
      <c r="A919" s="4"/>
      <c r="B919" s="4" t="s">
        <v>4</v>
      </c>
      <c r="C919" s="4" t="s">
        <v>1696</v>
      </c>
      <c r="D919" s="4" t="s">
        <v>1697</v>
      </c>
      <c r="E919" s="5">
        <v>7.06200948456935</v>
      </c>
    </row>
    <row r="920" ht="14.25" customHeight="1">
      <c r="A920" s="4"/>
      <c r="B920" s="4" t="s">
        <v>4</v>
      </c>
      <c r="C920" s="4" t="s">
        <v>1698</v>
      </c>
      <c r="D920" s="4" t="s">
        <v>30</v>
      </c>
      <c r="E920" s="5">
        <v>7.0685416625651705</v>
      </c>
    </row>
    <row r="921" ht="14.25" customHeight="1">
      <c r="A921" s="4"/>
      <c r="B921" s="4" t="s">
        <v>4</v>
      </c>
      <c r="C921" s="4" t="s">
        <v>1699</v>
      </c>
      <c r="D921" s="4" t="s">
        <v>1700</v>
      </c>
      <c r="E921" s="5">
        <v>14.152612641851501</v>
      </c>
    </row>
    <row r="922" ht="14.25" customHeight="1">
      <c r="A922" s="4"/>
      <c r="B922" s="4" t="s">
        <v>4</v>
      </c>
      <c r="C922" s="4" t="s">
        <v>1701</v>
      </c>
      <c r="D922" s="4" t="s">
        <v>1702</v>
      </c>
      <c r="E922" s="5">
        <v>57.1377160972718</v>
      </c>
    </row>
    <row r="923" ht="14.25" customHeight="1">
      <c r="A923" s="4"/>
      <c r="B923" s="4" t="s">
        <v>4</v>
      </c>
      <c r="C923" s="4" t="s">
        <v>1703</v>
      </c>
      <c r="D923" s="4" t="s">
        <v>1704</v>
      </c>
      <c r="E923" s="5">
        <v>5.996354506710761</v>
      </c>
    </row>
    <row r="924" ht="14.25" customHeight="1">
      <c r="A924" s="4"/>
      <c r="B924" s="4" t="s">
        <v>4</v>
      </c>
      <c r="C924" s="4" t="s">
        <v>1705</v>
      </c>
      <c r="D924" s="4" t="s">
        <v>1706</v>
      </c>
      <c r="E924" s="5">
        <v>23.1795992356734</v>
      </c>
    </row>
    <row r="925" ht="14.25" customHeight="1">
      <c r="A925" s="4"/>
      <c r="B925" s="4" t="s">
        <v>4</v>
      </c>
      <c r="C925" s="4" t="s">
        <v>1707</v>
      </c>
      <c r="D925" s="4" t="s">
        <v>1708</v>
      </c>
      <c r="E925" s="5">
        <v>14.9089618890016</v>
      </c>
    </row>
    <row r="926" ht="14.25" customHeight="1">
      <c r="A926" s="4"/>
      <c r="B926" s="4" t="s">
        <v>4</v>
      </c>
      <c r="C926" s="4" t="s">
        <v>1709</v>
      </c>
      <c r="D926" s="4" t="s">
        <v>1710</v>
      </c>
      <c r="E926" s="5">
        <v>6.57385834174361</v>
      </c>
    </row>
    <row r="927" ht="14.25" customHeight="1">
      <c r="A927" s="4"/>
      <c r="B927" s="4" t="s">
        <v>4</v>
      </c>
      <c r="C927" s="4" t="s">
        <v>1711</v>
      </c>
      <c r="D927" s="4" t="s">
        <v>1712</v>
      </c>
      <c r="E927" s="5">
        <v>4.9938517229117</v>
      </c>
    </row>
    <row r="928" ht="14.25" customHeight="1">
      <c r="A928" s="4"/>
      <c r="B928" s="4" t="s">
        <v>4</v>
      </c>
      <c r="C928" s="4" t="s">
        <v>1713</v>
      </c>
      <c r="D928" s="4" t="s">
        <v>1714</v>
      </c>
      <c r="E928" s="5">
        <v>1041.3375577291001</v>
      </c>
    </row>
    <row r="929" ht="14.25" customHeight="1">
      <c r="A929" s="4"/>
      <c r="B929" s="4" t="s">
        <v>4</v>
      </c>
      <c r="C929" s="4" t="s">
        <v>1715</v>
      </c>
      <c r="D929" s="4" t="s">
        <v>488</v>
      </c>
      <c r="E929" s="5">
        <v>8.4822499950782</v>
      </c>
    </row>
    <row r="930" ht="14.25" customHeight="1">
      <c r="A930" s="4"/>
      <c r="B930" s="4" t="s">
        <v>4</v>
      </c>
      <c r="C930" s="4" t="s">
        <v>1716</v>
      </c>
      <c r="D930" s="4" t="s">
        <v>267</v>
      </c>
      <c r="E930" s="5">
        <v>4.2411249975391</v>
      </c>
    </row>
    <row r="931" ht="14.25" customHeight="1">
      <c r="A931" s="4"/>
      <c r="B931" s="4" t="s">
        <v>4</v>
      </c>
      <c r="C931" s="4" t="s">
        <v>1717</v>
      </c>
      <c r="D931" s="4" t="s">
        <v>1718</v>
      </c>
      <c r="E931" s="5">
        <v>12.83278788269</v>
      </c>
    </row>
    <row r="932" ht="14.25" customHeight="1">
      <c r="A932" s="4"/>
      <c r="B932" s="4" t="s">
        <v>4</v>
      </c>
      <c r="C932" s="4" t="s">
        <v>1719</v>
      </c>
      <c r="D932" s="4" t="s">
        <v>1720</v>
      </c>
      <c r="E932" s="5">
        <v>180.205437812082</v>
      </c>
    </row>
    <row r="933" ht="14.25" customHeight="1">
      <c r="A933" s="4"/>
      <c r="B933" s="4" t="s">
        <v>4</v>
      </c>
      <c r="C933" s="4" t="s">
        <v>1721</v>
      </c>
      <c r="D933" s="4" t="s">
        <v>1722</v>
      </c>
      <c r="E933" s="5">
        <v>14.6788299714537</v>
      </c>
    </row>
    <row r="934" ht="14.25" customHeight="1">
      <c r="A934" s="4"/>
      <c r="B934" s="4" t="s">
        <v>4</v>
      </c>
      <c r="C934" s="4" t="s">
        <v>1723</v>
      </c>
      <c r="D934" s="4" t="s">
        <v>1724</v>
      </c>
      <c r="E934" s="5">
        <v>2.41882321748069</v>
      </c>
    </row>
    <row r="935" ht="14.25" customHeight="1">
      <c r="A935" s="4"/>
      <c r="B935" s="4" t="s">
        <v>4</v>
      </c>
      <c r="C935" s="4" t="s">
        <v>1725</v>
      </c>
      <c r="D935" s="4" t="s">
        <v>30</v>
      </c>
      <c r="E935" s="5">
        <v>7.0685416625651705</v>
      </c>
    </row>
    <row r="936" ht="14.25" customHeight="1">
      <c r="A936" s="4"/>
      <c r="B936" s="4" t="s">
        <v>4</v>
      </c>
      <c r="C936" s="4" t="s">
        <v>1726</v>
      </c>
      <c r="D936" s="4" t="s">
        <v>1727</v>
      </c>
      <c r="E936" s="5">
        <v>6.243775650392689</v>
      </c>
    </row>
    <row r="937" ht="14.25" customHeight="1">
      <c r="A937" s="4"/>
      <c r="B937" s="4" t="s">
        <v>4</v>
      </c>
      <c r="C937" s="4" t="s">
        <v>1728</v>
      </c>
      <c r="D937" s="4" t="s">
        <v>1729</v>
      </c>
      <c r="E937" s="5">
        <v>5.03532422410547</v>
      </c>
    </row>
    <row r="938" ht="14.25" customHeight="1">
      <c r="A938" s="4"/>
      <c r="B938" s="4" t="s">
        <v>4</v>
      </c>
      <c r="C938" s="4" t="s">
        <v>1730</v>
      </c>
      <c r="D938" s="4" t="s">
        <v>1731</v>
      </c>
      <c r="E938" s="5">
        <v>6.08102569894665</v>
      </c>
    </row>
    <row r="939" ht="14.25" customHeight="1">
      <c r="A939" s="4"/>
      <c r="B939" s="4" t="s">
        <v>4</v>
      </c>
      <c r="C939" s="4" t="s">
        <v>1732</v>
      </c>
      <c r="D939" s="4" t="s">
        <v>1733</v>
      </c>
      <c r="E939" s="5">
        <v>6.17470322641731</v>
      </c>
    </row>
    <row r="940" ht="14.25" customHeight="1">
      <c r="A940" s="4"/>
      <c r="B940" s="4" t="s">
        <v>4</v>
      </c>
      <c r="C940" s="4" t="s">
        <v>1734</v>
      </c>
      <c r="D940" s="4" t="s">
        <v>292</v>
      </c>
      <c r="E940" s="5">
        <v>530.281995525639</v>
      </c>
    </row>
    <row r="941" ht="14.25" customHeight="1">
      <c r="A941" s="4"/>
      <c r="B941" s="4" t="s">
        <v>4</v>
      </c>
      <c r="C941" s="4" t="s">
        <v>1735</v>
      </c>
      <c r="D941" s="4" t="s">
        <v>1736</v>
      </c>
      <c r="E941" s="5">
        <v>1543.06191523658</v>
      </c>
    </row>
    <row r="942" ht="14.25" customHeight="1">
      <c r="A942" s="4"/>
      <c r="B942" s="4" t="s">
        <v>4</v>
      </c>
      <c r="C942" s="4" t="s">
        <v>1737</v>
      </c>
      <c r="D942" s="4" t="s">
        <v>1738</v>
      </c>
      <c r="E942" s="5">
        <v>4.75668216173494</v>
      </c>
    </row>
    <row r="943" ht="14.25" customHeight="1">
      <c r="A943" s="4"/>
      <c r="B943" s="4" t="s">
        <v>4</v>
      </c>
      <c r="C943" s="4" t="s">
        <v>1739</v>
      </c>
      <c r="D943" s="4" t="s">
        <v>1740</v>
      </c>
      <c r="E943" s="5">
        <v>534.072863838452</v>
      </c>
    </row>
    <row r="944" ht="14.25" customHeight="1">
      <c r="A944" s="4"/>
      <c r="B944" s="4" t="s">
        <v>4</v>
      </c>
      <c r="C944" s="4" t="s">
        <v>1741</v>
      </c>
      <c r="D944" s="4" t="s">
        <v>1742</v>
      </c>
      <c r="E944" s="5">
        <v>7.54828783092742</v>
      </c>
    </row>
    <row r="945" ht="14.25" customHeight="1">
      <c r="A945" s="4"/>
      <c r="B945" s="4" t="s">
        <v>4</v>
      </c>
      <c r="C945" s="4" t="s">
        <v>1743</v>
      </c>
      <c r="D945" s="4" t="s">
        <v>1744</v>
      </c>
      <c r="E945" s="5">
        <v>4.84069398370259</v>
      </c>
    </row>
    <row r="946" ht="14.25" customHeight="1">
      <c r="A946" s="4"/>
      <c r="B946" s="4" t="s">
        <v>4</v>
      </c>
      <c r="C946" s="4" t="s">
        <v>1745</v>
      </c>
      <c r="D946" s="4" t="s">
        <v>1746</v>
      </c>
      <c r="E946" s="5">
        <v>7.24101407913176</v>
      </c>
    </row>
    <row r="947" ht="14.25" customHeight="1">
      <c r="A947" s="4"/>
      <c r="B947" s="4" t="s">
        <v>4</v>
      </c>
      <c r="C947" s="4" t="s">
        <v>1747</v>
      </c>
      <c r="D947" s="4" t="s">
        <v>1748</v>
      </c>
      <c r="E947" s="5">
        <v>1.35597577857772</v>
      </c>
    </row>
    <row r="948" ht="14.25" customHeight="1">
      <c r="A948" s="4"/>
      <c r="B948" s="4" t="s">
        <v>4</v>
      </c>
      <c r="C948" s="4" t="s">
        <v>1749</v>
      </c>
      <c r="D948" s="4" t="s">
        <v>1750</v>
      </c>
      <c r="E948" s="5">
        <v>97.141219014351</v>
      </c>
    </row>
    <row r="949" ht="14.25" customHeight="1">
      <c r="A949" s="4"/>
      <c r="B949" s="4" t="s">
        <v>4</v>
      </c>
      <c r="C949" s="4" t="s">
        <v>1751</v>
      </c>
      <c r="D949" s="4" t="s">
        <v>1752</v>
      </c>
      <c r="E949" s="5">
        <v>94.1393349556802</v>
      </c>
    </row>
    <row r="950" ht="14.25" customHeight="1">
      <c r="A950" s="4"/>
      <c r="B950" s="4" t="s">
        <v>4</v>
      </c>
      <c r="C950" s="4" t="s">
        <v>1753</v>
      </c>
      <c r="D950" s="4" t="s">
        <v>1754</v>
      </c>
      <c r="E950" s="5">
        <v>10.6439290633947</v>
      </c>
    </row>
    <row r="951" ht="14.25" customHeight="1">
      <c r="A951" s="4"/>
      <c r="B951" s="4" t="s">
        <v>4</v>
      </c>
      <c r="C951" s="4" t="s">
        <v>1755</v>
      </c>
      <c r="D951" s="4" t="s">
        <v>1756</v>
      </c>
      <c r="E951" s="5">
        <v>67.0722354823225</v>
      </c>
    </row>
    <row r="952" ht="14.25" customHeight="1">
      <c r="A952" s="4"/>
      <c r="B952" s="4" t="s">
        <v>4</v>
      </c>
      <c r="C952" s="4" t="s">
        <v>1757</v>
      </c>
      <c r="D952" s="4" t="s">
        <v>1758</v>
      </c>
      <c r="E952" s="5">
        <v>36.0591901640586</v>
      </c>
    </row>
    <row r="953" ht="14.25" customHeight="1">
      <c r="A953" s="4"/>
      <c r="B953" s="4" t="s">
        <v>4</v>
      </c>
      <c r="C953" s="4" t="s">
        <v>1759</v>
      </c>
      <c r="D953" s="4" t="s">
        <v>1760</v>
      </c>
      <c r="E953" s="5">
        <v>1.10062278674842</v>
      </c>
    </row>
    <row r="954" ht="14.25" customHeight="1">
      <c r="A954" s="4"/>
      <c r="B954" s="4" t="s">
        <v>4</v>
      </c>
      <c r="C954" s="4" t="s">
        <v>1761</v>
      </c>
      <c r="D954" s="4" t="s">
        <v>1762</v>
      </c>
      <c r="E954" s="5">
        <v>6.56443497416868</v>
      </c>
    </row>
    <row r="955" ht="14.25" customHeight="1">
      <c r="A955" s="4"/>
      <c r="B955" s="4" t="s">
        <v>4</v>
      </c>
      <c r="C955" s="4" t="s">
        <v>1763</v>
      </c>
      <c r="D955" s="4" t="s">
        <v>1764</v>
      </c>
      <c r="E955" s="5">
        <v>83.0984781895077</v>
      </c>
    </row>
    <row r="956" ht="14.25" customHeight="1">
      <c r="A956" s="4"/>
      <c r="B956" s="4" t="s">
        <v>4</v>
      </c>
      <c r="C956" s="4" t="s">
        <v>1765</v>
      </c>
      <c r="D956" s="4" t="s">
        <v>30</v>
      </c>
      <c r="E956" s="5">
        <v>7.0685416625651705</v>
      </c>
    </row>
    <row r="957" ht="14.25" customHeight="1">
      <c r="A957" s="4"/>
      <c r="B957" s="4" t="s">
        <v>4</v>
      </c>
      <c r="C957" s="4" t="s">
        <v>1766</v>
      </c>
      <c r="D957" s="4" t="s">
        <v>1767</v>
      </c>
      <c r="E957" s="5">
        <v>31.7429001780056</v>
      </c>
    </row>
    <row r="958" ht="14.25" customHeight="1">
      <c r="A958" s="4"/>
      <c r="B958" s="4" t="s">
        <v>4</v>
      </c>
      <c r="C958" s="4" t="s">
        <v>1768</v>
      </c>
      <c r="D958" s="4" t="s">
        <v>1016</v>
      </c>
      <c r="E958" s="5">
        <v>70.6854166256517</v>
      </c>
    </row>
    <row r="959" ht="14.25" customHeight="1">
      <c r="A959" s="4"/>
      <c r="B959" s="4" t="s">
        <v>4</v>
      </c>
      <c r="C959" s="4" t="s">
        <v>1769</v>
      </c>
      <c r="D959" s="4" t="s">
        <v>1770</v>
      </c>
      <c r="E959" s="5">
        <v>7.88277957548301</v>
      </c>
    </row>
    <row r="960" ht="14.25" customHeight="1">
      <c r="A960" s="4"/>
      <c r="B960" s="4" t="s">
        <v>4</v>
      </c>
      <c r="C960" s="4" t="s">
        <v>1771</v>
      </c>
      <c r="D960" s="4" t="s">
        <v>1772</v>
      </c>
      <c r="E960" s="5">
        <v>0.271826213040082</v>
      </c>
    </row>
    <row r="961" ht="14.25" customHeight="1">
      <c r="A961" s="4"/>
      <c r="B961" s="4" t="s">
        <v>4</v>
      </c>
      <c r="C961" s="4" t="s">
        <v>1773</v>
      </c>
      <c r="D961" s="4" t="s">
        <v>30</v>
      </c>
      <c r="E961" s="5">
        <v>7.0685416625651705</v>
      </c>
    </row>
    <row r="962" ht="14.25" customHeight="1">
      <c r="A962" s="4"/>
      <c r="B962" s="4" t="s">
        <v>4</v>
      </c>
      <c r="C962" s="4" t="s">
        <v>1774</v>
      </c>
      <c r="D962" s="4" t="s">
        <v>1775</v>
      </c>
      <c r="E962" s="5">
        <v>10513.4570895438</v>
      </c>
    </row>
    <row r="963" ht="14.25" customHeight="1">
      <c r="A963" s="4"/>
      <c r="B963" s="4" t="s">
        <v>4</v>
      </c>
      <c r="C963" s="4" t="s">
        <v>1776</v>
      </c>
      <c r="D963" s="4" t="s">
        <v>1777</v>
      </c>
      <c r="E963" s="5">
        <v>3.9443263749683504</v>
      </c>
    </row>
    <row r="964" ht="14.25" customHeight="1">
      <c r="A964" s="4"/>
      <c r="B964" s="4" t="s">
        <v>4</v>
      </c>
      <c r="C964" s="4" t="s">
        <v>1778</v>
      </c>
      <c r="D964" s="4" t="s">
        <v>160</v>
      </c>
      <c r="E964" s="5">
        <v>14.1370833251303</v>
      </c>
    </row>
    <row r="965" ht="14.25" customHeight="1">
      <c r="A965" s="4"/>
      <c r="B965" s="4" t="s">
        <v>4</v>
      </c>
      <c r="C965" s="4" t="s">
        <v>1779</v>
      </c>
      <c r="D965" s="4" t="s">
        <v>1780</v>
      </c>
      <c r="E965" s="5">
        <v>6.73128670243947</v>
      </c>
    </row>
    <row r="966" ht="14.25" customHeight="1">
      <c r="A966" s="4"/>
      <c r="B966" s="4" t="s">
        <v>4</v>
      </c>
      <c r="C966" s="4" t="s">
        <v>1781</v>
      </c>
      <c r="D966" s="4" t="s">
        <v>30</v>
      </c>
      <c r="E966" s="5">
        <v>7.0685416625651705</v>
      </c>
    </row>
    <row r="967" ht="14.25" customHeight="1">
      <c r="A967" s="4"/>
      <c r="B967" s="4" t="s">
        <v>4</v>
      </c>
      <c r="C967" s="4" t="s">
        <v>1782</v>
      </c>
      <c r="D967" s="4" t="s">
        <v>1783</v>
      </c>
      <c r="E967" s="5">
        <v>10.231671824712599</v>
      </c>
    </row>
    <row r="968" ht="14.25" customHeight="1">
      <c r="A968" s="4"/>
      <c r="B968" s="4" t="s">
        <v>4</v>
      </c>
      <c r="C968" s="4" t="s">
        <v>1784</v>
      </c>
      <c r="D968" s="4" t="s">
        <v>1785</v>
      </c>
      <c r="E968" s="5">
        <v>13.291225431487701</v>
      </c>
    </row>
    <row r="969" ht="14.25" customHeight="1">
      <c r="A969" s="4"/>
      <c r="B969" s="4" t="s">
        <v>4</v>
      </c>
      <c r="C969" s="4" t="s">
        <v>1786</v>
      </c>
      <c r="D969" s="4" t="s">
        <v>1787</v>
      </c>
      <c r="E969" s="5">
        <v>142.793961676468</v>
      </c>
    </row>
    <row r="970" ht="14.25" customHeight="1">
      <c r="A970" s="4"/>
      <c r="B970" s="4" t="s">
        <v>4</v>
      </c>
      <c r="C970" s="4" t="s">
        <v>1788</v>
      </c>
      <c r="D970" s="4" t="s">
        <v>30</v>
      </c>
      <c r="E970" s="5">
        <v>7.0685416625651705</v>
      </c>
    </row>
    <row r="971" ht="14.25" customHeight="1">
      <c r="A971" s="4"/>
      <c r="B971" s="4" t="s">
        <v>4</v>
      </c>
      <c r="C971" s="4" t="s">
        <v>1789</v>
      </c>
      <c r="D971" s="4" t="s">
        <v>1790</v>
      </c>
      <c r="E971" s="5">
        <v>24.6969235942683</v>
      </c>
    </row>
    <row r="972" ht="14.25" customHeight="1">
      <c r="A972" s="4"/>
      <c r="B972" s="4" t="s">
        <v>4</v>
      </c>
      <c r="C972" s="4" t="s">
        <v>1791</v>
      </c>
      <c r="D972" s="4" t="s">
        <v>1792</v>
      </c>
      <c r="E972" s="5">
        <v>30.0205280480082</v>
      </c>
    </row>
    <row r="973" ht="14.25" customHeight="1">
      <c r="A973" s="4"/>
      <c r="B973" s="4" t="s">
        <v>4</v>
      </c>
      <c r="C973" s="4" t="s">
        <v>1793</v>
      </c>
      <c r="D973" s="4" t="s">
        <v>30</v>
      </c>
      <c r="E973" s="5">
        <v>7.0685416625651705</v>
      </c>
    </row>
    <row r="974" ht="14.25" customHeight="1">
      <c r="A974" s="4"/>
      <c r="B974" s="4" t="s">
        <v>4</v>
      </c>
      <c r="C974" s="4" t="s">
        <v>1794</v>
      </c>
      <c r="D974" s="4" t="s">
        <v>1795</v>
      </c>
      <c r="E974" s="5">
        <v>38.216375513865295</v>
      </c>
    </row>
    <row r="975" ht="14.25" customHeight="1">
      <c r="A975" s="4"/>
      <c r="B975" s="4" t="s">
        <v>4</v>
      </c>
      <c r="C975" s="4" t="s">
        <v>1796</v>
      </c>
      <c r="D975" s="4" t="s">
        <v>1797</v>
      </c>
      <c r="E975" s="5">
        <v>16.642180608307598</v>
      </c>
    </row>
    <row r="976" ht="14.25" customHeight="1">
      <c r="A976" s="4"/>
      <c r="B976" s="4" t="s">
        <v>4</v>
      </c>
      <c r="C976" s="4" t="s">
        <v>1798</v>
      </c>
      <c r="D976" s="4" t="s">
        <v>1799</v>
      </c>
      <c r="E976" s="5">
        <v>8.71820678721852</v>
      </c>
    </row>
    <row r="977" ht="14.25" customHeight="1">
      <c r="A977" s="4"/>
      <c r="B977" s="4" t="s">
        <v>4</v>
      </c>
      <c r="C977" s="4" t="s">
        <v>1800</v>
      </c>
      <c r="D977" s="4" t="s">
        <v>1801</v>
      </c>
      <c r="E977" s="5">
        <v>8.93840149913222</v>
      </c>
    </row>
    <row r="978" ht="14.25" customHeight="1">
      <c r="A978" s="4"/>
      <c r="B978" s="4" t="s">
        <v>1802</v>
      </c>
      <c r="C978" s="4" t="s">
        <v>1803</v>
      </c>
      <c r="D978" s="4" t="s">
        <v>1804</v>
      </c>
      <c r="E978" s="5">
        <v>32.1838532834021</v>
      </c>
    </row>
    <row r="979" ht="14.25" customHeight="1">
      <c r="A979" s="4"/>
      <c r="B979" s="4" t="s">
        <v>1802</v>
      </c>
      <c r="C979" s="4" t="s">
        <v>1805</v>
      </c>
      <c r="D979" s="4" t="s">
        <v>1806</v>
      </c>
      <c r="E979" s="5">
        <v>19.9515537066641</v>
      </c>
    </row>
    <row r="980" ht="14.25" customHeight="1">
      <c r="A980" s="4"/>
      <c r="B980" s="4" t="s">
        <v>1802</v>
      </c>
      <c r="C980" s="4" t="s">
        <v>1807</v>
      </c>
      <c r="D980" s="4" t="s">
        <v>1808</v>
      </c>
      <c r="E980" s="5">
        <v>9.73741023168863</v>
      </c>
    </row>
    <row r="981" ht="14.25" customHeight="1">
      <c r="A981" s="4"/>
      <c r="B981" s="4" t="s">
        <v>1802</v>
      </c>
      <c r="C981" s="4" t="s">
        <v>1809</v>
      </c>
      <c r="D981" s="4" t="s">
        <v>1810</v>
      </c>
      <c r="E981" s="5">
        <v>19.3449966449475</v>
      </c>
    </row>
    <row r="982" ht="14.25" customHeight="1">
      <c r="A982" s="4"/>
      <c r="B982" s="4" t="s">
        <v>1802</v>
      </c>
      <c r="C982" s="4" t="s">
        <v>1811</v>
      </c>
      <c r="D982" s="4" t="s">
        <v>1812</v>
      </c>
      <c r="E982" s="5">
        <v>48.3641275995966</v>
      </c>
    </row>
    <row r="983" ht="14.25" customHeight="1">
      <c r="A983" s="4"/>
      <c r="B983" s="4" t="s">
        <v>1802</v>
      </c>
      <c r="C983" s="4" t="s">
        <v>1813</v>
      </c>
      <c r="D983" s="4" t="s">
        <v>1814</v>
      </c>
      <c r="E983" s="5">
        <v>19.3257663734985</v>
      </c>
    </row>
    <row r="984" ht="14.25" customHeight="1">
      <c r="A984" s="4"/>
      <c r="B984" s="4" t="s">
        <v>1802</v>
      </c>
      <c r="C984" s="4" t="s">
        <v>1815</v>
      </c>
      <c r="D984" s="4" t="s">
        <v>1816</v>
      </c>
      <c r="E984" s="5">
        <v>9.7997552985978</v>
      </c>
    </row>
    <row r="985" ht="14.25" customHeight="1">
      <c r="A985" s="4"/>
      <c r="B985" s="4" t="s">
        <v>1802</v>
      </c>
      <c r="C985" s="4" t="s">
        <v>1817</v>
      </c>
      <c r="D985" s="4" t="s">
        <v>1812</v>
      </c>
      <c r="E985" s="5">
        <v>48.3641275995966</v>
      </c>
    </row>
    <row r="986" ht="14.25" customHeight="1">
      <c r="A986" s="4"/>
      <c r="B986" s="4" t="s">
        <v>1802</v>
      </c>
      <c r="C986" s="4" t="s">
        <v>1818</v>
      </c>
      <c r="D986" s="4" t="s">
        <v>1819</v>
      </c>
      <c r="E986" s="5">
        <v>6.6982408203059896</v>
      </c>
    </row>
    <row r="987" ht="14.25" customHeight="1">
      <c r="A987" s="4"/>
      <c r="B987" s="4" t="s">
        <v>1802</v>
      </c>
      <c r="C987" s="4" t="s">
        <v>1820</v>
      </c>
      <c r="D987" s="4" t="s">
        <v>1821</v>
      </c>
      <c r="E987" s="5">
        <v>19.3456510398386</v>
      </c>
    </row>
    <row r="988" ht="14.25" customHeight="1">
      <c r="A988" s="4"/>
      <c r="B988" s="4" t="s">
        <v>1802</v>
      </c>
      <c r="C988" s="4" t="s">
        <v>1822</v>
      </c>
      <c r="D988" s="4" t="s">
        <v>1812</v>
      </c>
      <c r="E988" s="5">
        <v>48.3641275995966</v>
      </c>
    </row>
    <row r="989" ht="14.25" customHeight="1">
      <c r="A989" s="4"/>
      <c r="B989" s="4" t="s">
        <v>1802</v>
      </c>
      <c r="C989" s="4" t="s">
        <v>1823</v>
      </c>
      <c r="D989" s="4" t="s">
        <v>1824</v>
      </c>
      <c r="E989" s="5">
        <v>28.8470610413276</v>
      </c>
    </row>
    <row r="990" ht="14.25" customHeight="1">
      <c r="A990" s="4"/>
      <c r="B990" s="4" t="s">
        <v>1802</v>
      </c>
      <c r="C990" s="4" t="s">
        <v>1825</v>
      </c>
      <c r="D990" s="4" t="s">
        <v>1812</v>
      </c>
      <c r="E990" s="5">
        <v>48.3641275995966</v>
      </c>
    </row>
    <row r="991" ht="14.25" customHeight="1">
      <c r="A991" s="4"/>
      <c r="B991" s="4" t="s">
        <v>1802</v>
      </c>
      <c r="C991" s="4" t="s">
        <v>1826</v>
      </c>
      <c r="D991" s="4" t="s">
        <v>1827</v>
      </c>
      <c r="E991" s="5">
        <v>8.88515870610656</v>
      </c>
    </row>
    <row r="992" ht="14.25" customHeight="1">
      <c r="A992" s="4"/>
      <c r="B992" s="4" t="s">
        <v>1802</v>
      </c>
      <c r="C992" s="4" t="s">
        <v>1268</v>
      </c>
      <c r="D992" s="4" t="s">
        <v>1828</v>
      </c>
      <c r="E992" s="5">
        <v>34.934599038583</v>
      </c>
    </row>
    <row r="993" ht="14.25" customHeight="1">
      <c r="A993" s="4"/>
      <c r="B993" s="4" t="s">
        <v>1802</v>
      </c>
      <c r="C993" s="4" t="s">
        <v>1829</v>
      </c>
      <c r="D993" s="4" t="s">
        <v>1812</v>
      </c>
      <c r="E993" s="5">
        <v>48.3641275995966</v>
      </c>
    </row>
    <row r="994" ht="14.25" customHeight="1">
      <c r="A994" s="4"/>
      <c r="B994" s="4" t="s">
        <v>1802</v>
      </c>
      <c r="C994" s="4" t="s">
        <v>1830</v>
      </c>
      <c r="D994" s="4" t="s">
        <v>1812</v>
      </c>
      <c r="E994" s="5">
        <v>48.3641275995966</v>
      </c>
    </row>
    <row r="995" ht="14.25" customHeight="1">
      <c r="A995" s="4"/>
      <c r="B995" s="4" t="s">
        <v>1802</v>
      </c>
      <c r="C995" s="4" t="s">
        <v>1831</v>
      </c>
      <c r="D995" s="4" t="s">
        <v>1812</v>
      </c>
      <c r="E995" s="5">
        <v>48.3641275995966</v>
      </c>
    </row>
    <row r="996" ht="14.25" customHeight="1">
      <c r="A996" s="4"/>
      <c r="B996" s="4" t="s">
        <v>1802</v>
      </c>
      <c r="C996" s="4" t="s">
        <v>1832</v>
      </c>
      <c r="D996" s="4" t="s">
        <v>1812</v>
      </c>
      <c r="E996" s="5">
        <v>48.3641275995966</v>
      </c>
    </row>
    <row r="997" ht="14.25" customHeight="1">
      <c r="A997" s="4"/>
      <c r="B997" s="4" t="s">
        <v>1802</v>
      </c>
      <c r="C997" s="4" t="s">
        <v>1833</v>
      </c>
      <c r="D997" s="4" t="s">
        <v>1812</v>
      </c>
      <c r="E997" s="5">
        <v>48.3641275995966</v>
      </c>
    </row>
    <row r="998" ht="14.25" customHeight="1">
      <c r="A998" s="4"/>
      <c r="B998" s="4" t="s">
        <v>1802</v>
      </c>
      <c r="C998" s="4" t="s">
        <v>1834</v>
      </c>
      <c r="D998" s="4" t="s">
        <v>1835</v>
      </c>
      <c r="E998" s="5">
        <v>44.1055969323436</v>
      </c>
    </row>
    <row r="999" ht="14.25" customHeight="1">
      <c r="A999" s="4"/>
      <c r="B999" s="4" t="s">
        <v>1802</v>
      </c>
      <c r="C999" s="4" t="s">
        <v>1836</v>
      </c>
      <c r="D999" s="4" t="s">
        <v>1837</v>
      </c>
      <c r="E999" s="5">
        <v>9.672825519919328</v>
      </c>
    </row>
    <row r="1000" ht="14.25" customHeight="1">
      <c r="A1000" s="4"/>
      <c r="B1000" s="4" t="s">
        <v>1802</v>
      </c>
      <c r="C1000" s="4" t="s">
        <v>1838</v>
      </c>
      <c r="D1000" s="4" t="s">
        <v>1812</v>
      </c>
      <c r="E1000" s="5">
        <v>48.3641275995966</v>
      </c>
    </row>
    <row r="1001" ht="14.25" customHeight="1">
      <c r="A1001" s="4"/>
      <c r="B1001" s="4" t="s">
        <v>1802</v>
      </c>
      <c r="C1001" s="4" t="s">
        <v>1839</v>
      </c>
      <c r="D1001" s="4" t="s">
        <v>1812</v>
      </c>
      <c r="E1001" s="5">
        <v>48.3641275995966</v>
      </c>
    </row>
    <row r="1002" ht="14.25" customHeight="1">
      <c r="A1002" s="4"/>
      <c r="B1002" s="4" t="s">
        <v>1802</v>
      </c>
      <c r="C1002" s="4" t="s">
        <v>1840</v>
      </c>
      <c r="D1002" s="4" t="s">
        <v>1812</v>
      </c>
      <c r="E1002" s="5">
        <v>48.3641275995966</v>
      </c>
    </row>
    <row r="1003" ht="14.25" customHeight="1">
      <c r="A1003" s="4"/>
      <c r="B1003" s="4" t="s">
        <v>1802</v>
      </c>
      <c r="C1003" s="4" t="s">
        <v>1841</v>
      </c>
      <c r="D1003" s="4" t="s">
        <v>1842</v>
      </c>
      <c r="E1003" s="5">
        <v>17.977311045768598</v>
      </c>
    </row>
    <row r="1004" ht="14.25" customHeight="1">
      <c r="A1004" s="4"/>
      <c r="B1004" s="4" t="s">
        <v>1802</v>
      </c>
      <c r="C1004" s="4" t="s">
        <v>1843</v>
      </c>
      <c r="D1004" s="4" t="s">
        <v>1812</v>
      </c>
      <c r="E1004" s="5">
        <v>48.3641275995966</v>
      </c>
    </row>
    <row r="1005" ht="14.25" customHeight="1">
      <c r="A1005" s="4"/>
      <c r="B1005" s="4" t="s">
        <v>1802</v>
      </c>
      <c r="C1005" s="4" t="s">
        <v>1844</v>
      </c>
      <c r="D1005" s="4" t="s">
        <v>1812</v>
      </c>
      <c r="E1005" s="5">
        <v>48.3641275995966</v>
      </c>
    </row>
    <row r="1006" ht="14.25" customHeight="1">
      <c r="A1006" s="4"/>
      <c r="B1006" s="4" t="s">
        <v>1802</v>
      </c>
      <c r="C1006" s="4" t="s">
        <v>1845</v>
      </c>
      <c r="D1006" s="4" t="s">
        <v>1812</v>
      </c>
      <c r="E1006" s="5">
        <v>48.3641275995966</v>
      </c>
    </row>
    <row r="1007" ht="14.25" customHeight="1">
      <c r="A1007" s="4"/>
      <c r="B1007" s="4" t="s">
        <v>1802</v>
      </c>
      <c r="C1007" s="4" t="s">
        <v>1846</v>
      </c>
      <c r="D1007" s="4" t="s">
        <v>1812</v>
      </c>
      <c r="E1007" s="5">
        <v>48.3641275995966</v>
      </c>
    </row>
    <row r="1008" ht="14.25" customHeight="1">
      <c r="A1008" s="4"/>
      <c r="B1008" s="4" t="s">
        <v>1802</v>
      </c>
      <c r="C1008" s="4" t="s">
        <v>1607</v>
      </c>
      <c r="D1008" s="4" t="s">
        <v>1847</v>
      </c>
      <c r="E1008" s="5">
        <v>0.33180626489584497</v>
      </c>
    </row>
    <row r="1009" ht="14.25" customHeight="1">
      <c r="A1009" s="4"/>
      <c r="B1009" s="4" t="s">
        <v>1802</v>
      </c>
      <c r="C1009" s="4" t="s">
        <v>1848</v>
      </c>
      <c r="D1009" s="4" t="s">
        <v>1812</v>
      </c>
      <c r="E1009" s="5">
        <v>48.3641275995966</v>
      </c>
    </row>
    <row r="1010" ht="14.25" customHeight="1">
      <c r="A1010" s="4"/>
      <c r="B1010" s="4" t="s">
        <v>1802</v>
      </c>
      <c r="C1010" s="4" t="s">
        <v>1849</v>
      </c>
      <c r="D1010" s="4" t="s">
        <v>1812</v>
      </c>
      <c r="E1010" s="5">
        <v>48.3641275995966</v>
      </c>
    </row>
    <row r="1011" ht="14.25" customHeight="1">
      <c r="A1011" s="4"/>
      <c r="B1011" s="4" t="s">
        <v>1802</v>
      </c>
      <c r="C1011" s="4" t="s">
        <v>1850</v>
      </c>
      <c r="D1011" s="4" t="s">
        <v>1812</v>
      </c>
      <c r="E1011" s="5">
        <v>48.3641275995966</v>
      </c>
    </row>
    <row r="1012" ht="14.25" customHeight="1">
      <c r="A1012" s="4"/>
      <c r="B1012" s="4" t="s">
        <v>1802</v>
      </c>
      <c r="C1012" s="4" t="s">
        <v>1851</v>
      </c>
      <c r="D1012" s="4" t="s">
        <v>1852</v>
      </c>
      <c r="E1012" s="5">
        <v>9.55973690401435</v>
      </c>
    </row>
    <row r="1013" ht="14.25" customHeight="1">
      <c r="A1013" s="4"/>
      <c r="B1013" s="4" t="s">
        <v>1802</v>
      </c>
      <c r="C1013" s="4" t="s">
        <v>1853</v>
      </c>
      <c r="D1013" s="4" t="s">
        <v>1812</v>
      </c>
      <c r="E1013" s="5">
        <v>48.3641275995966</v>
      </c>
    </row>
    <row r="1014" ht="14.25" customHeight="1">
      <c r="A1014" s="4"/>
      <c r="B1014" s="4" t="s">
        <v>1802</v>
      </c>
      <c r="C1014" s="4" t="s">
        <v>1854</v>
      </c>
      <c r="D1014" s="4" t="s">
        <v>1855</v>
      </c>
      <c r="E1014" s="5">
        <v>25.328907284192898</v>
      </c>
    </row>
    <row r="1015" ht="14.25" customHeight="1">
      <c r="A1015" s="4"/>
      <c r="B1015" s="4" t="s">
        <v>1802</v>
      </c>
      <c r="C1015" s="4" t="s">
        <v>1856</v>
      </c>
      <c r="D1015" s="4" t="s">
        <v>1812</v>
      </c>
      <c r="E1015" s="5">
        <v>48.3641275995966</v>
      </c>
    </row>
    <row r="1016" ht="14.25" customHeight="1">
      <c r="A1016" s="4"/>
      <c r="B1016" s="4" t="s">
        <v>1802</v>
      </c>
      <c r="C1016" s="4" t="s">
        <v>634</v>
      </c>
      <c r="D1016" s="4" t="s">
        <v>1857</v>
      </c>
      <c r="E1016" s="5">
        <v>30.6179353215101</v>
      </c>
    </row>
    <row r="1017" ht="14.25" customHeight="1">
      <c r="A1017" s="4"/>
      <c r="B1017" s="4" t="s">
        <v>1802</v>
      </c>
      <c r="C1017" s="4" t="s">
        <v>1858</v>
      </c>
      <c r="D1017" s="4" t="s">
        <v>1812</v>
      </c>
      <c r="E1017" s="5">
        <v>48.3641275995966</v>
      </c>
    </row>
    <row r="1018" ht="14.25" customHeight="1">
      <c r="A1018" s="4"/>
      <c r="B1018" s="4" t="s">
        <v>1802</v>
      </c>
      <c r="C1018" s="4" t="s">
        <v>1859</v>
      </c>
      <c r="D1018" s="4" t="s">
        <v>1812</v>
      </c>
      <c r="E1018" s="5">
        <v>48.3641275995966</v>
      </c>
    </row>
    <row r="1019" ht="14.25" customHeight="1">
      <c r="A1019" s="4"/>
      <c r="B1019" s="4" t="s">
        <v>1802</v>
      </c>
      <c r="C1019" s="4" t="s">
        <v>1860</v>
      </c>
      <c r="D1019" s="4" t="s">
        <v>1837</v>
      </c>
      <c r="E1019" s="5">
        <v>9.672825519919328</v>
      </c>
    </row>
    <row r="1020" ht="14.25" customHeight="1">
      <c r="A1020" s="4"/>
      <c r="B1020" s="4" t="s">
        <v>1802</v>
      </c>
      <c r="C1020" s="4" t="s">
        <v>1861</v>
      </c>
      <c r="D1020" s="4" t="s">
        <v>1821</v>
      </c>
      <c r="E1020" s="5">
        <v>19.3456510398386</v>
      </c>
    </row>
    <row r="1021" ht="14.25" customHeight="1">
      <c r="A1021" s="4"/>
      <c r="B1021" s="4" t="s">
        <v>1802</v>
      </c>
      <c r="C1021" s="4" t="s">
        <v>1862</v>
      </c>
      <c r="D1021" s="4" t="s">
        <v>1812</v>
      </c>
      <c r="E1021" s="5">
        <v>48.3641275995966</v>
      </c>
    </row>
    <row r="1022" ht="14.25" customHeight="1">
      <c r="A1022" s="4"/>
      <c r="B1022" s="4" t="s">
        <v>1802</v>
      </c>
      <c r="C1022" s="4" t="s">
        <v>1863</v>
      </c>
      <c r="D1022" s="4" t="s">
        <v>1812</v>
      </c>
      <c r="E1022" s="5">
        <v>48.3641275995966</v>
      </c>
    </row>
    <row r="1023" ht="14.25" customHeight="1">
      <c r="A1023" s="4"/>
      <c r="B1023" s="4" t="s">
        <v>1802</v>
      </c>
      <c r="C1023" s="4" t="s">
        <v>1864</v>
      </c>
      <c r="D1023" s="4" t="s">
        <v>1865</v>
      </c>
      <c r="E1023" s="5">
        <v>9.86670479179717</v>
      </c>
    </row>
    <row r="1024" ht="14.25" customHeight="1">
      <c r="A1024" s="4"/>
      <c r="B1024" s="4" t="s">
        <v>1802</v>
      </c>
      <c r="C1024" s="4" t="s">
        <v>1866</v>
      </c>
      <c r="D1024" s="4" t="s">
        <v>1837</v>
      </c>
      <c r="E1024" s="5">
        <v>9.672825519919328</v>
      </c>
    </row>
    <row r="1025" ht="14.25" customHeight="1">
      <c r="A1025" s="4"/>
      <c r="B1025" s="4" t="s">
        <v>1802</v>
      </c>
      <c r="C1025" s="4" t="s">
        <v>1867</v>
      </c>
      <c r="D1025" s="4" t="s">
        <v>1812</v>
      </c>
      <c r="E1025" s="5">
        <v>48.3641275995966</v>
      </c>
    </row>
    <row r="1026" ht="14.25" customHeight="1">
      <c r="A1026" s="4"/>
      <c r="B1026" s="4" t="s">
        <v>1802</v>
      </c>
      <c r="C1026" s="4" t="s">
        <v>1868</v>
      </c>
      <c r="D1026" s="4" t="s">
        <v>1869</v>
      </c>
      <c r="E1026" s="5">
        <v>5.13820633067637</v>
      </c>
    </row>
    <row r="1027" ht="14.25" customHeight="1">
      <c r="A1027" s="4"/>
      <c r="B1027" s="4" t="s">
        <v>1802</v>
      </c>
      <c r="C1027" s="4" t="s">
        <v>1870</v>
      </c>
      <c r="D1027" s="4" t="s">
        <v>1812</v>
      </c>
      <c r="E1027" s="5">
        <v>48.3641275995966</v>
      </c>
    </row>
    <row r="1028" ht="14.25" customHeight="1">
      <c r="A1028" s="4"/>
      <c r="B1028" s="4" t="s">
        <v>1802</v>
      </c>
      <c r="C1028" s="4" t="s">
        <v>1871</v>
      </c>
      <c r="D1028" s="4" t="s">
        <v>1872</v>
      </c>
      <c r="E1028" s="5">
        <v>19.133842493428602</v>
      </c>
    </row>
    <row r="1029" ht="14.25" customHeight="1">
      <c r="A1029" s="4"/>
      <c r="B1029" s="4" t="s">
        <v>1802</v>
      </c>
      <c r="C1029" s="4" t="s">
        <v>1873</v>
      </c>
      <c r="D1029" s="4" t="s">
        <v>1812</v>
      </c>
      <c r="E1029" s="5">
        <v>48.3641275995966</v>
      </c>
    </row>
    <row r="1030" ht="14.25" customHeight="1">
      <c r="A1030" s="4"/>
      <c r="B1030" s="4" t="s">
        <v>1802</v>
      </c>
      <c r="C1030" s="4" t="s">
        <v>1187</v>
      </c>
      <c r="D1030" s="4" t="s">
        <v>1812</v>
      </c>
      <c r="E1030" s="5">
        <v>48.3641275995966</v>
      </c>
    </row>
    <row r="1031" ht="14.25" customHeight="1">
      <c r="A1031" s="4"/>
      <c r="B1031" s="4" t="s">
        <v>1802</v>
      </c>
      <c r="C1031" s="4" t="s">
        <v>1874</v>
      </c>
      <c r="D1031" s="4" t="s">
        <v>1875</v>
      </c>
      <c r="E1031" s="5">
        <v>4.8670133742632</v>
      </c>
    </row>
    <row r="1032" ht="14.25" customHeight="1">
      <c r="A1032" s="4"/>
      <c r="B1032" s="4" t="s">
        <v>1802</v>
      </c>
      <c r="C1032" s="4" t="s">
        <v>1876</v>
      </c>
      <c r="D1032" s="4" t="s">
        <v>1812</v>
      </c>
      <c r="E1032" s="5">
        <v>48.3641275995966</v>
      </c>
    </row>
    <row r="1033" ht="14.25" customHeight="1">
      <c r="A1033" s="4"/>
      <c r="B1033" s="4" t="s">
        <v>1802</v>
      </c>
      <c r="C1033" s="4" t="s">
        <v>1877</v>
      </c>
      <c r="D1033" s="4" t="s">
        <v>1878</v>
      </c>
      <c r="E1033" s="5">
        <v>7.28877584548839</v>
      </c>
    </row>
    <row r="1034" ht="14.25" customHeight="1">
      <c r="A1034" s="4"/>
      <c r="B1034" s="4" t="s">
        <v>1802</v>
      </c>
      <c r="C1034" s="4" t="s">
        <v>1879</v>
      </c>
      <c r="D1034" s="4" t="s">
        <v>1837</v>
      </c>
      <c r="E1034" s="5">
        <v>9.672825519919328</v>
      </c>
    </row>
    <row r="1035" ht="14.25" customHeight="1">
      <c r="A1035" s="4"/>
      <c r="B1035" s="4" t="s">
        <v>1802</v>
      </c>
      <c r="C1035" s="4" t="s">
        <v>1880</v>
      </c>
      <c r="D1035" s="4" t="s">
        <v>1812</v>
      </c>
      <c r="E1035" s="5">
        <v>48.3641275995966</v>
      </c>
    </row>
    <row r="1036" ht="14.25" customHeight="1">
      <c r="A1036" s="4"/>
      <c r="B1036" s="4" t="s">
        <v>1802</v>
      </c>
      <c r="C1036" s="4" t="s">
        <v>1881</v>
      </c>
      <c r="D1036" s="4" t="s">
        <v>1812</v>
      </c>
      <c r="E1036" s="5">
        <v>48.3641275995966</v>
      </c>
    </row>
    <row r="1037" ht="14.25" customHeight="1">
      <c r="A1037" s="4"/>
      <c r="B1037" s="4" t="s">
        <v>1802</v>
      </c>
      <c r="C1037" s="4" t="s">
        <v>1882</v>
      </c>
      <c r="D1037" s="4" t="s">
        <v>1883</v>
      </c>
      <c r="E1037" s="5">
        <v>9.27911232052531</v>
      </c>
    </row>
    <row r="1038" ht="14.25" customHeight="1">
      <c r="A1038" s="4"/>
      <c r="B1038" s="4" t="s">
        <v>1802</v>
      </c>
      <c r="C1038" s="4" t="s">
        <v>1884</v>
      </c>
      <c r="D1038" s="4" t="s">
        <v>1812</v>
      </c>
      <c r="E1038" s="5">
        <v>48.3641275995966</v>
      </c>
    </row>
    <row r="1039" ht="14.25" customHeight="1">
      <c r="A1039" s="4"/>
      <c r="B1039" s="4" t="s">
        <v>1802</v>
      </c>
      <c r="C1039" s="4" t="s">
        <v>1885</v>
      </c>
      <c r="D1039" s="4" t="s">
        <v>1886</v>
      </c>
      <c r="E1039" s="5">
        <v>19.306436297914402</v>
      </c>
    </row>
    <row r="1040" ht="14.25" customHeight="1">
      <c r="A1040" s="4"/>
      <c r="B1040" s="4" t="s">
        <v>1802</v>
      </c>
      <c r="C1040" s="4" t="s">
        <v>1887</v>
      </c>
      <c r="D1040" s="4" t="s">
        <v>1888</v>
      </c>
      <c r="E1040" s="5">
        <v>41.8729415240421</v>
      </c>
    </row>
    <row r="1041" ht="14.25" customHeight="1">
      <c r="A1041" s="4"/>
      <c r="B1041" s="4" t="s">
        <v>1802</v>
      </c>
      <c r="C1041" s="4" t="s">
        <v>1889</v>
      </c>
      <c r="D1041" s="4" t="s">
        <v>1890</v>
      </c>
      <c r="E1041" s="5">
        <v>4.72066554136058</v>
      </c>
    </row>
    <row r="1042" ht="14.25" customHeight="1">
      <c r="A1042" s="4"/>
      <c r="B1042" s="4" t="s">
        <v>1802</v>
      </c>
      <c r="C1042" s="4" t="s">
        <v>1891</v>
      </c>
      <c r="D1042" s="4" t="s">
        <v>1892</v>
      </c>
      <c r="E1042" s="5">
        <v>15.6517420381596</v>
      </c>
    </row>
    <row r="1043" ht="14.25" customHeight="1">
      <c r="A1043" s="4"/>
      <c r="B1043" s="4" t="s">
        <v>1802</v>
      </c>
      <c r="C1043" s="4" t="s">
        <v>1893</v>
      </c>
      <c r="D1043" s="4" t="s">
        <v>1894</v>
      </c>
      <c r="E1043" s="5">
        <v>9.919830187650941</v>
      </c>
    </row>
    <row r="1044" ht="14.25" customHeight="1">
      <c r="A1044" s="4"/>
      <c r="B1044" s="4" t="s">
        <v>1802</v>
      </c>
      <c r="C1044" s="4" t="s">
        <v>1895</v>
      </c>
      <c r="D1044" s="4" t="s">
        <v>1812</v>
      </c>
      <c r="E1044" s="5">
        <v>48.3641275995966</v>
      </c>
    </row>
    <row r="1045" ht="14.25" customHeight="1">
      <c r="A1045" s="4"/>
      <c r="B1045" s="4" t="s">
        <v>1802</v>
      </c>
      <c r="C1045" s="4" t="s">
        <v>1896</v>
      </c>
      <c r="D1045" s="4" t="s">
        <v>1897</v>
      </c>
      <c r="E1045" s="5">
        <v>0.291662327002168</v>
      </c>
    </row>
    <row r="1046" ht="14.25" customHeight="1">
      <c r="A1046" s="4"/>
      <c r="B1046" s="4" t="s">
        <v>1802</v>
      </c>
      <c r="C1046" s="4" t="s">
        <v>1898</v>
      </c>
      <c r="D1046" s="4" t="s">
        <v>1899</v>
      </c>
      <c r="E1046" s="5">
        <v>37.530563017287</v>
      </c>
    </row>
    <row r="1047" ht="14.25" customHeight="1">
      <c r="A1047" s="4"/>
      <c r="B1047" s="4" t="s">
        <v>1802</v>
      </c>
      <c r="C1047" s="4" t="s">
        <v>1900</v>
      </c>
      <c r="D1047" s="4" t="s">
        <v>1812</v>
      </c>
      <c r="E1047" s="5">
        <v>48.3641275995966</v>
      </c>
    </row>
    <row r="1048" ht="14.25" customHeight="1">
      <c r="A1048" s="4"/>
      <c r="B1048" s="4" t="s">
        <v>1802</v>
      </c>
      <c r="C1048" s="4" t="s">
        <v>1901</v>
      </c>
      <c r="D1048" s="4" t="s">
        <v>1902</v>
      </c>
      <c r="E1048" s="5">
        <v>38.6926065294561</v>
      </c>
    </row>
    <row r="1049" ht="14.25" customHeight="1">
      <c r="A1049" s="4"/>
      <c r="B1049" s="4" t="s">
        <v>1802</v>
      </c>
      <c r="C1049" s="4" t="s">
        <v>1903</v>
      </c>
      <c r="D1049" s="4" t="s">
        <v>1812</v>
      </c>
      <c r="E1049" s="5">
        <v>48.3641275995966</v>
      </c>
    </row>
    <row r="1050" ht="14.25" customHeight="1">
      <c r="A1050" s="4"/>
      <c r="B1050" s="4" t="s">
        <v>1802</v>
      </c>
      <c r="C1050" s="4" t="s">
        <v>1904</v>
      </c>
      <c r="D1050" s="4" t="s">
        <v>1905</v>
      </c>
      <c r="E1050" s="5">
        <v>10.059738540716099</v>
      </c>
    </row>
    <row r="1051" ht="14.25" customHeight="1">
      <c r="A1051" s="4"/>
      <c r="B1051" s="4" t="s">
        <v>1802</v>
      </c>
      <c r="C1051" s="4" t="s">
        <v>1906</v>
      </c>
      <c r="D1051" s="4" t="s">
        <v>1907</v>
      </c>
      <c r="E1051" s="5">
        <v>45.1615406496431</v>
      </c>
    </row>
    <row r="1052" ht="14.25" customHeight="1">
      <c r="A1052" s="4"/>
      <c r="B1052" s="4" t="s">
        <v>1802</v>
      </c>
      <c r="C1052" s="4" t="s">
        <v>1036</v>
      </c>
      <c r="D1052" s="4" t="s">
        <v>1812</v>
      </c>
      <c r="E1052" s="5">
        <v>48.3641275995966</v>
      </c>
    </row>
    <row r="1053" ht="14.25" customHeight="1">
      <c r="A1053" s="4"/>
      <c r="B1053" s="4" t="s">
        <v>1802</v>
      </c>
      <c r="C1053" s="4" t="s">
        <v>1908</v>
      </c>
      <c r="D1053" s="4" t="s">
        <v>1909</v>
      </c>
      <c r="E1053" s="5">
        <v>11.6073906239032</v>
      </c>
    </row>
    <row r="1054" ht="14.25" customHeight="1">
      <c r="A1054" s="4"/>
      <c r="B1054" s="4" t="s">
        <v>1802</v>
      </c>
      <c r="C1054" s="4" t="s">
        <v>1910</v>
      </c>
      <c r="D1054" s="4" t="s">
        <v>1911</v>
      </c>
      <c r="E1054" s="5">
        <v>19.3236066072184</v>
      </c>
    </row>
    <row r="1055" ht="14.25" customHeight="1">
      <c r="A1055" s="4"/>
      <c r="B1055" s="4" t="s">
        <v>1802</v>
      </c>
      <c r="C1055" s="4" t="s">
        <v>1912</v>
      </c>
      <c r="D1055" s="4" t="s">
        <v>1913</v>
      </c>
      <c r="E1055" s="5">
        <v>9.934194036205358</v>
      </c>
    </row>
    <row r="1056" ht="14.25" customHeight="1">
      <c r="A1056" s="4"/>
      <c r="B1056" s="4" t="s">
        <v>1802</v>
      </c>
      <c r="C1056" s="4" t="s">
        <v>1263</v>
      </c>
      <c r="D1056" s="4" t="s">
        <v>1914</v>
      </c>
      <c r="E1056" s="5">
        <v>34.948348413535896</v>
      </c>
    </row>
    <row r="1057" ht="14.25" customHeight="1">
      <c r="A1057" s="4"/>
      <c r="B1057" s="4" t="s">
        <v>1802</v>
      </c>
      <c r="C1057" s="4" t="s">
        <v>1915</v>
      </c>
      <c r="D1057" s="4" t="s">
        <v>1916</v>
      </c>
      <c r="E1057" s="5">
        <v>20.1279940522788</v>
      </c>
    </row>
    <row r="1058" ht="14.25" customHeight="1">
      <c r="A1058" s="4"/>
      <c r="B1058" s="4" t="s">
        <v>1802</v>
      </c>
      <c r="C1058" s="4" t="s">
        <v>1917</v>
      </c>
      <c r="D1058" s="4" t="s">
        <v>1812</v>
      </c>
      <c r="E1058" s="5">
        <v>48.3641275995966</v>
      </c>
    </row>
    <row r="1059" ht="14.25" customHeight="1">
      <c r="A1059" s="4"/>
      <c r="B1059" s="4" t="s">
        <v>1802</v>
      </c>
      <c r="C1059" s="4" t="s">
        <v>1918</v>
      </c>
      <c r="D1059" s="4" t="s">
        <v>1919</v>
      </c>
      <c r="E1059" s="5">
        <v>12.24698541019</v>
      </c>
    </row>
    <row r="1060" ht="14.25" customHeight="1">
      <c r="A1060" s="4"/>
      <c r="B1060" s="4" t="s">
        <v>1802</v>
      </c>
      <c r="C1060" s="4" t="s">
        <v>1920</v>
      </c>
      <c r="D1060" s="4" t="s">
        <v>1812</v>
      </c>
      <c r="E1060" s="5">
        <v>48.3641275995966</v>
      </c>
    </row>
    <row r="1061" ht="14.25" customHeight="1">
      <c r="A1061" s="4"/>
      <c r="B1061" s="4" t="s">
        <v>1802</v>
      </c>
      <c r="C1061" s="4" t="s">
        <v>1921</v>
      </c>
      <c r="D1061" s="4" t="s">
        <v>1821</v>
      </c>
      <c r="E1061" s="5">
        <v>19.3456510398386</v>
      </c>
    </row>
    <row r="1062" ht="14.25" customHeight="1">
      <c r="A1062" s="4"/>
      <c r="B1062" s="4" t="s">
        <v>1802</v>
      </c>
      <c r="C1062" s="4" t="s">
        <v>1922</v>
      </c>
      <c r="D1062" s="4" t="s">
        <v>1923</v>
      </c>
      <c r="E1062" s="5">
        <v>19.543653071147798</v>
      </c>
    </row>
    <row r="1063" ht="14.25" customHeight="1">
      <c r="A1063" s="4"/>
      <c r="B1063" s="4" t="s">
        <v>1802</v>
      </c>
      <c r="C1063" s="4" t="s">
        <v>1924</v>
      </c>
      <c r="D1063" s="4" t="s">
        <v>1812</v>
      </c>
      <c r="E1063" s="5">
        <v>48.3641275995966</v>
      </c>
    </row>
    <row r="1064" ht="14.25" customHeight="1">
      <c r="A1064" s="4"/>
      <c r="B1064" s="4" t="s">
        <v>1802</v>
      </c>
      <c r="C1064" s="4" t="s">
        <v>1470</v>
      </c>
      <c r="D1064" s="4" t="s">
        <v>1812</v>
      </c>
      <c r="E1064" s="5">
        <v>48.3641275995966</v>
      </c>
    </row>
    <row r="1065" ht="14.25" customHeight="1">
      <c r="A1065" s="4"/>
      <c r="B1065" s="4" t="s">
        <v>1802</v>
      </c>
      <c r="C1065" s="4" t="s">
        <v>1925</v>
      </c>
      <c r="D1065" s="4" t="s">
        <v>1926</v>
      </c>
      <c r="E1065" s="5">
        <v>42.925794934343806</v>
      </c>
    </row>
    <row r="1066" ht="14.25" customHeight="1">
      <c r="A1066" s="4"/>
      <c r="B1066" s="4" t="s">
        <v>1802</v>
      </c>
      <c r="C1066" s="4" t="s">
        <v>1927</v>
      </c>
      <c r="D1066" s="4" t="s">
        <v>1928</v>
      </c>
      <c r="E1066" s="5">
        <v>11.220031983054</v>
      </c>
    </row>
    <row r="1067" ht="14.25" customHeight="1">
      <c r="A1067" s="4"/>
      <c r="B1067" s="4" t="s">
        <v>1802</v>
      </c>
      <c r="C1067" s="4" t="s">
        <v>1929</v>
      </c>
      <c r="D1067" s="4" t="s">
        <v>1812</v>
      </c>
      <c r="E1067" s="5">
        <v>48.3641275995966</v>
      </c>
    </row>
    <row r="1068" ht="14.25" customHeight="1">
      <c r="A1068" s="4"/>
      <c r="B1068" s="4" t="s">
        <v>1802</v>
      </c>
      <c r="C1068" s="4" t="s">
        <v>155</v>
      </c>
      <c r="D1068" s="4" t="s">
        <v>1930</v>
      </c>
      <c r="E1068" s="5">
        <v>8.15098750843481</v>
      </c>
    </row>
    <row r="1069" ht="14.25" customHeight="1">
      <c r="A1069" s="4"/>
      <c r="B1069" s="4" t="s">
        <v>1802</v>
      </c>
      <c r="C1069" s="4" t="s">
        <v>1931</v>
      </c>
      <c r="D1069" s="4" t="s">
        <v>1812</v>
      </c>
      <c r="E1069" s="5">
        <v>48.3641275995966</v>
      </c>
    </row>
    <row r="1070" ht="14.25" customHeight="1">
      <c r="A1070" s="4"/>
      <c r="B1070" s="4" t="s">
        <v>1802</v>
      </c>
      <c r="C1070" s="4" t="s">
        <v>1932</v>
      </c>
      <c r="D1070" s="4" t="s">
        <v>1821</v>
      </c>
      <c r="E1070" s="5">
        <v>19.3456510398386</v>
      </c>
    </row>
    <row r="1071" ht="14.25" customHeight="1">
      <c r="A1071" s="4"/>
      <c r="B1071" s="4" t="s">
        <v>1802</v>
      </c>
      <c r="C1071" s="4" t="s">
        <v>390</v>
      </c>
      <c r="D1071" s="4" t="s">
        <v>1812</v>
      </c>
      <c r="E1071" s="5">
        <v>48.3641275995966</v>
      </c>
    </row>
    <row r="1072" ht="14.25" customHeight="1">
      <c r="A1072" s="4"/>
      <c r="B1072" s="4" t="s">
        <v>1802</v>
      </c>
      <c r="C1072" s="4" t="s">
        <v>1933</v>
      </c>
      <c r="D1072" s="4" t="s">
        <v>1934</v>
      </c>
      <c r="E1072" s="5">
        <v>47.9929774789123</v>
      </c>
    </row>
    <row r="1073" ht="14.25" customHeight="1">
      <c r="A1073" s="4"/>
      <c r="B1073" s="4" t="s">
        <v>1802</v>
      </c>
      <c r="C1073" s="4" t="s">
        <v>1935</v>
      </c>
      <c r="D1073" s="4" t="s">
        <v>1936</v>
      </c>
      <c r="E1073" s="5">
        <v>22.614759930085498</v>
      </c>
    </row>
    <row r="1074" ht="14.25" customHeight="1">
      <c r="A1074" s="4"/>
      <c r="B1074" s="4" t="s">
        <v>1802</v>
      </c>
      <c r="C1074" s="4" t="s">
        <v>1937</v>
      </c>
      <c r="D1074" s="4" t="s">
        <v>1938</v>
      </c>
      <c r="E1074" s="5">
        <v>46.6820267881213</v>
      </c>
    </row>
    <row r="1075" ht="14.25" customHeight="1">
      <c r="A1075" s="4"/>
      <c r="B1075" s="4" t="s">
        <v>1802</v>
      </c>
      <c r="C1075" s="4" t="s">
        <v>1939</v>
      </c>
      <c r="D1075" s="4" t="s">
        <v>1837</v>
      </c>
      <c r="E1075" s="5">
        <v>9.672825519919328</v>
      </c>
    </row>
    <row r="1076" ht="14.25" customHeight="1">
      <c r="A1076" s="4"/>
      <c r="B1076" s="4" t="s">
        <v>1802</v>
      </c>
      <c r="C1076" s="4" t="s">
        <v>1940</v>
      </c>
      <c r="D1076" s="4" t="s">
        <v>1941</v>
      </c>
      <c r="E1076" s="5">
        <v>6.44834560616746</v>
      </c>
    </row>
    <row r="1077" ht="14.25" customHeight="1">
      <c r="A1077" s="4"/>
      <c r="B1077" s="4" t="s">
        <v>1802</v>
      </c>
      <c r="C1077" s="4" t="s">
        <v>1942</v>
      </c>
      <c r="D1077" s="4" t="s">
        <v>1943</v>
      </c>
      <c r="E1077" s="5">
        <v>11.5476369943947</v>
      </c>
    </row>
    <row r="1078" ht="14.25" customHeight="1">
      <c r="A1078" s="4"/>
      <c r="B1078" s="4" t="s">
        <v>1802</v>
      </c>
      <c r="C1078" s="4" t="s">
        <v>1944</v>
      </c>
      <c r="D1078" s="4" t="s">
        <v>1945</v>
      </c>
      <c r="E1078" s="5">
        <v>2.03943125429343</v>
      </c>
    </row>
    <row r="1079" ht="14.25" customHeight="1">
      <c r="A1079" s="4"/>
      <c r="B1079" s="4" t="s">
        <v>1802</v>
      </c>
      <c r="C1079" s="4" t="s">
        <v>1946</v>
      </c>
      <c r="D1079" s="4" t="s">
        <v>1947</v>
      </c>
      <c r="E1079" s="5">
        <v>21.2209254378617</v>
      </c>
    </row>
    <row r="1080" ht="14.25" customHeight="1">
      <c r="A1080" s="4"/>
      <c r="B1080" s="4" t="s">
        <v>1802</v>
      </c>
      <c r="C1080" s="4" t="s">
        <v>1948</v>
      </c>
      <c r="D1080" s="4" t="s">
        <v>1949</v>
      </c>
      <c r="E1080" s="5">
        <v>29.5939689692127</v>
      </c>
    </row>
    <row r="1081" ht="14.25" customHeight="1">
      <c r="A1081" s="4"/>
      <c r="B1081" s="4" t="s">
        <v>1802</v>
      </c>
      <c r="C1081" s="4" t="s">
        <v>1950</v>
      </c>
      <c r="D1081" s="4" t="s">
        <v>1951</v>
      </c>
      <c r="E1081" s="5">
        <v>38.6913020796773</v>
      </c>
    </row>
    <row r="1082" ht="14.25" customHeight="1">
      <c r="A1082" s="4"/>
      <c r="B1082" s="4" t="s">
        <v>1802</v>
      </c>
      <c r="C1082" s="4" t="s">
        <v>1952</v>
      </c>
      <c r="D1082" s="4" t="s">
        <v>1953</v>
      </c>
      <c r="E1082" s="5">
        <v>34.9498013369177</v>
      </c>
    </row>
    <row r="1083" ht="14.25" customHeight="1">
      <c r="A1083" s="4"/>
      <c r="B1083" s="4" t="s">
        <v>1802</v>
      </c>
      <c r="C1083" s="4" t="s">
        <v>1954</v>
      </c>
      <c r="D1083" s="4" t="s">
        <v>1812</v>
      </c>
      <c r="E1083" s="5">
        <v>48.3641275995966</v>
      </c>
    </row>
    <row r="1084" ht="14.25" customHeight="1">
      <c r="A1084" s="4"/>
      <c r="B1084" s="4" t="s">
        <v>1802</v>
      </c>
      <c r="C1084" s="4" t="s">
        <v>1955</v>
      </c>
      <c r="D1084" s="4" t="s">
        <v>1956</v>
      </c>
      <c r="E1084" s="5">
        <v>36.243899496272995</v>
      </c>
    </row>
    <row r="1085" ht="14.25" customHeight="1">
      <c r="A1085" s="4"/>
      <c r="B1085" s="4" t="s">
        <v>1802</v>
      </c>
      <c r="C1085" s="4" t="s">
        <v>1957</v>
      </c>
      <c r="D1085" s="4" t="s">
        <v>1812</v>
      </c>
      <c r="E1085" s="5">
        <v>48.3641275995966</v>
      </c>
    </row>
    <row r="1086" ht="14.25" customHeight="1">
      <c r="A1086" s="4"/>
      <c r="B1086" s="4" t="s">
        <v>1802</v>
      </c>
      <c r="C1086" s="4" t="s">
        <v>1958</v>
      </c>
      <c r="D1086" s="4" t="s">
        <v>1959</v>
      </c>
      <c r="E1086" s="5">
        <v>0.5797580233253941</v>
      </c>
    </row>
    <row r="1087" ht="14.25" customHeight="1">
      <c r="A1087" s="4"/>
      <c r="B1087" s="4" t="s">
        <v>1802</v>
      </c>
      <c r="C1087" s="4" t="s">
        <v>1960</v>
      </c>
      <c r="D1087" s="4" t="s">
        <v>1812</v>
      </c>
      <c r="E1087" s="5">
        <v>48.3641275995966</v>
      </c>
    </row>
    <row r="1088" ht="14.25" customHeight="1">
      <c r="A1088" s="4"/>
      <c r="B1088" s="4" t="s">
        <v>1802</v>
      </c>
      <c r="C1088" s="4" t="s">
        <v>1961</v>
      </c>
      <c r="D1088" s="4" t="s">
        <v>1962</v>
      </c>
      <c r="E1088" s="5">
        <v>4.83641275995966</v>
      </c>
    </row>
    <row r="1089" ht="14.25" customHeight="1">
      <c r="A1089" s="4"/>
      <c r="B1089" s="4" t="s">
        <v>1802</v>
      </c>
      <c r="C1089" s="4" t="s">
        <v>1963</v>
      </c>
      <c r="D1089" s="4" t="s">
        <v>1812</v>
      </c>
      <c r="E1089" s="5">
        <v>48.3641275995966</v>
      </c>
    </row>
    <row r="1090" ht="14.25" customHeight="1">
      <c r="A1090" s="4"/>
      <c r="B1090" s="4" t="s">
        <v>1802</v>
      </c>
      <c r="C1090" s="4" t="s">
        <v>308</v>
      </c>
      <c r="D1090" s="4" t="s">
        <v>1812</v>
      </c>
      <c r="E1090" s="5">
        <v>48.3641275995966</v>
      </c>
    </row>
    <row r="1091" ht="14.25" customHeight="1">
      <c r="A1091" s="4"/>
      <c r="B1091" s="4" t="s">
        <v>1802</v>
      </c>
      <c r="C1091" s="4" t="s">
        <v>1964</v>
      </c>
      <c r="D1091" s="4" t="s">
        <v>1965</v>
      </c>
      <c r="E1091" s="5">
        <v>2.15390114019964</v>
      </c>
    </row>
    <row r="1092" ht="14.25" customHeight="1">
      <c r="A1092" s="4"/>
      <c r="B1092" s="4" t="s">
        <v>1802</v>
      </c>
      <c r="C1092" s="4" t="s">
        <v>1966</v>
      </c>
      <c r="D1092" s="4" t="s">
        <v>1812</v>
      </c>
      <c r="E1092" s="5">
        <v>48.3641275995966</v>
      </c>
    </row>
    <row r="1093" ht="14.25" customHeight="1">
      <c r="A1093" s="4"/>
      <c r="B1093" s="4" t="s">
        <v>1802</v>
      </c>
      <c r="C1093" s="4" t="s">
        <v>1967</v>
      </c>
      <c r="D1093" s="4" t="s">
        <v>1968</v>
      </c>
      <c r="E1093" s="5">
        <v>44.9360353153579</v>
      </c>
    </row>
    <row r="1094" ht="14.25" customHeight="1">
      <c r="A1094" s="4"/>
      <c r="B1094" s="4" t="s">
        <v>1802</v>
      </c>
      <c r="C1094" s="4" t="s">
        <v>1969</v>
      </c>
      <c r="D1094" s="4" t="s">
        <v>1812</v>
      </c>
      <c r="E1094" s="5">
        <v>48.3641275995966</v>
      </c>
    </row>
    <row r="1095" ht="14.25" customHeight="1">
      <c r="A1095" s="4"/>
      <c r="B1095" s="4" t="s">
        <v>1802</v>
      </c>
      <c r="C1095" s="4" t="s">
        <v>1970</v>
      </c>
      <c r="D1095" s="4" t="s">
        <v>1971</v>
      </c>
      <c r="E1095" s="5">
        <v>41.592467664861005</v>
      </c>
    </row>
    <row r="1096" ht="14.25" customHeight="1">
      <c r="A1096" s="4"/>
      <c r="B1096" s="4" t="s">
        <v>1802</v>
      </c>
      <c r="C1096" s="4" t="s">
        <v>1972</v>
      </c>
      <c r="D1096" s="4" t="s">
        <v>1837</v>
      </c>
      <c r="E1096" s="5">
        <v>9.672825519919328</v>
      </c>
    </row>
    <row r="1097" ht="14.25" customHeight="1">
      <c r="A1097" s="4"/>
      <c r="B1097" s="4" t="s">
        <v>1802</v>
      </c>
      <c r="C1097" s="4" t="s">
        <v>1973</v>
      </c>
      <c r="D1097" s="4" t="s">
        <v>1974</v>
      </c>
      <c r="E1097" s="5">
        <v>8.518745277418349</v>
      </c>
    </row>
    <row r="1098" ht="14.25" customHeight="1">
      <c r="A1098" s="4"/>
      <c r="B1098" s="4" t="s">
        <v>1802</v>
      </c>
      <c r="C1098" s="4" t="s">
        <v>1975</v>
      </c>
      <c r="D1098" s="4" t="s">
        <v>1976</v>
      </c>
      <c r="E1098" s="5">
        <v>40.238954162864395</v>
      </c>
    </row>
    <row r="1099" ht="14.25" customHeight="1">
      <c r="A1099" s="4"/>
      <c r="B1099" s="4" t="s">
        <v>1802</v>
      </c>
      <c r="C1099" s="4" t="s">
        <v>1977</v>
      </c>
      <c r="D1099" s="4" t="s">
        <v>1812</v>
      </c>
      <c r="E1099" s="5">
        <v>48.3641275995966</v>
      </c>
    </row>
    <row r="1100" ht="14.25" customHeight="1">
      <c r="A1100" s="4"/>
      <c r="B1100" s="4" t="s">
        <v>1802</v>
      </c>
      <c r="C1100" s="4" t="s">
        <v>1978</v>
      </c>
      <c r="D1100" s="4" t="s">
        <v>1812</v>
      </c>
      <c r="E1100" s="5">
        <v>48.3641275995966</v>
      </c>
    </row>
    <row r="1101" ht="14.25" customHeight="1">
      <c r="A1101" s="4"/>
      <c r="B1101" s="4" t="s">
        <v>1802</v>
      </c>
      <c r="C1101" s="4" t="s">
        <v>1979</v>
      </c>
      <c r="D1101" s="4" t="s">
        <v>1812</v>
      </c>
      <c r="E1101" s="5">
        <v>48.3641275995966</v>
      </c>
    </row>
    <row r="1102" ht="14.25" customHeight="1">
      <c r="A1102" s="4"/>
      <c r="B1102" s="4" t="s">
        <v>1802</v>
      </c>
      <c r="C1102" s="4" t="s">
        <v>1980</v>
      </c>
      <c r="D1102" s="4" t="s">
        <v>1981</v>
      </c>
      <c r="E1102" s="5">
        <v>9.71477519917008</v>
      </c>
    </row>
    <row r="1103" ht="14.25" customHeight="1">
      <c r="A1103" s="4"/>
      <c r="B1103" s="4" t="s">
        <v>1802</v>
      </c>
      <c r="C1103" s="4" t="s">
        <v>613</v>
      </c>
      <c r="D1103" s="4" t="s">
        <v>1812</v>
      </c>
      <c r="E1103" s="5">
        <v>48.3641275995966</v>
      </c>
    </row>
    <row r="1104" ht="14.25" customHeight="1">
      <c r="A1104" s="4"/>
      <c r="B1104" s="4" t="s">
        <v>1802</v>
      </c>
      <c r="C1104" s="4" t="s">
        <v>1982</v>
      </c>
      <c r="D1104" s="4" t="s">
        <v>1837</v>
      </c>
      <c r="E1104" s="5">
        <v>9.672825519919328</v>
      </c>
    </row>
    <row r="1105" ht="14.25" customHeight="1">
      <c r="A1105" s="4"/>
      <c r="B1105" s="4" t="s">
        <v>1802</v>
      </c>
      <c r="C1105" s="4" t="s">
        <v>1983</v>
      </c>
      <c r="D1105" s="4" t="s">
        <v>1984</v>
      </c>
      <c r="E1105" s="5">
        <v>19.539107550237</v>
      </c>
    </row>
    <row r="1106" ht="14.25" customHeight="1">
      <c r="A1106" s="4"/>
      <c r="B1106" s="4" t="s">
        <v>1802</v>
      </c>
      <c r="C1106" s="4" t="s">
        <v>1985</v>
      </c>
      <c r="D1106" s="4" t="s">
        <v>1812</v>
      </c>
      <c r="E1106" s="5">
        <v>48.3641275995966</v>
      </c>
    </row>
    <row r="1107" ht="14.25" customHeight="1">
      <c r="A1107" s="4"/>
      <c r="B1107" s="4" t="s">
        <v>1802</v>
      </c>
      <c r="C1107" s="4" t="s">
        <v>1986</v>
      </c>
      <c r="D1107" s="4" t="s">
        <v>1987</v>
      </c>
      <c r="E1107" s="5">
        <v>9.704184894542209</v>
      </c>
    </row>
    <row r="1108" ht="14.25" customHeight="1">
      <c r="A1108" s="4"/>
      <c r="B1108" s="4" t="s">
        <v>1802</v>
      </c>
      <c r="C1108" s="4" t="s">
        <v>1988</v>
      </c>
      <c r="D1108" s="4" t="s">
        <v>1989</v>
      </c>
      <c r="E1108" s="5">
        <v>6.77097786394353</v>
      </c>
    </row>
    <row r="1109" ht="14.25" customHeight="1">
      <c r="A1109" s="4"/>
      <c r="B1109" s="4" t="s">
        <v>1802</v>
      </c>
      <c r="C1109" s="4" t="s">
        <v>1990</v>
      </c>
      <c r="D1109" s="4" t="s">
        <v>1991</v>
      </c>
      <c r="E1109" s="5">
        <v>19.3649271850496</v>
      </c>
    </row>
    <row r="1110" ht="14.25" customHeight="1">
      <c r="A1110" s="4"/>
      <c r="B1110" s="4" t="s">
        <v>1802</v>
      </c>
      <c r="C1110" s="4" t="s">
        <v>1992</v>
      </c>
      <c r="D1110" s="4" t="s">
        <v>1812</v>
      </c>
      <c r="E1110" s="5">
        <v>48.3641275995966</v>
      </c>
    </row>
    <row r="1111" ht="14.25" customHeight="1">
      <c r="A1111" s="4"/>
      <c r="B1111" s="4" t="s">
        <v>1802</v>
      </c>
      <c r="C1111" s="4" t="s">
        <v>25</v>
      </c>
      <c r="D1111" s="4" t="s">
        <v>1993</v>
      </c>
      <c r="E1111" s="5">
        <v>1.04455042696911</v>
      </c>
    </row>
    <row r="1112" ht="14.25" customHeight="1">
      <c r="A1112" s="4"/>
      <c r="B1112" s="4" t="s">
        <v>1802</v>
      </c>
      <c r="C1112" s="4" t="s">
        <v>1994</v>
      </c>
      <c r="D1112" s="4" t="s">
        <v>1995</v>
      </c>
      <c r="E1112" s="5">
        <v>8.88327107237789</v>
      </c>
    </row>
    <row r="1113" ht="14.25" customHeight="1">
      <c r="A1113" s="4"/>
      <c r="B1113" s="4" t="s">
        <v>1802</v>
      </c>
      <c r="C1113" s="4" t="s">
        <v>1996</v>
      </c>
      <c r="D1113" s="4" t="s">
        <v>1812</v>
      </c>
      <c r="E1113" s="5">
        <v>48.3641275995966</v>
      </c>
    </row>
    <row r="1114" ht="14.25" customHeight="1">
      <c r="A1114" s="4"/>
      <c r="B1114" s="4" t="s">
        <v>1802</v>
      </c>
      <c r="C1114" s="4" t="s">
        <v>1997</v>
      </c>
      <c r="D1114" s="4" t="s">
        <v>1998</v>
      </c>
      <c r="E1114" s="5">
        <v>9.7676531567957</v>
      </c>
    </row>
    <row r="1115" ht="14.25" customHeight="1">
      <c r="A1115" s="4"/>
      <c r="B1115" s="4" t="s">
        <v>1802</v>
      </c>
      <c r="C1115" s="4" t="s">
        <v>1999</v>
      </c>
      <c r="D1115" s="4" t="s">
        <v>2000</v>
      </c>
      <c r="E1115" s="5">
        <v>37.8711269723844</v>
      </c>
    </row>
    <row r="1116" ht="14.25" customHeight="1">
      <c r="A1116" s="4"/>
      <c r="B1116" s="4" t="s">
        <v>1802</v>
      </c>
      <c r="C1116" s="4" t="s">
        <v>2001</v>
      </c>
      <c r="D1116" s="4" t="s">
        <v>1812</v>
      </c>
      <c r="E1116" s="5">
        <v>48.3641275995966</v>
      </c>
    </row>
    <row r="1117" ht="14.25" customHeight="1">
      <c r="A1117" s="4"/>
      <c r="B1117" s="4" t="s">
        <v>1802</v>
      </c>
      <c r="C1117" s="4" t="s">
        <v>2002</v>
      </c>
      <c r="D1117" s="4" t="s">
        <v>1812</v>
      </c>
      <c r="E1117" s="5">
        <v>48.3641275995966</v>
      </c>
    </row>
    <row r="1118" ht="14.25" customHeight="1">
      <c r="A1118" s="4"/>
      <c r="B1118" s="4" t="s">
        <v>1802</v>
      </c>
      <c r="C1118" s="4" t="s">
        <v>2003</v>
      </c>
      <c r="D1118" s="4" t="s">
        <v>2004</v>
      </c>
      <c r="E1118" s="5">
        <v>35.0068528923576</v>
      </c>
    </row>
    <row r="1119" ht="14.25" customHeight="1">
      <c r="A1119" s="4"/>
      <c r="B1119" s="4" t="s">
        <v>1802</v>
      </c>
      <c r="C1119" s="4" t="s">
        <v>2005</v>
      </c>
      <c r="D1119" s="4" t="s">
        <v>2006</v>
      </c>
      <c r="E1119" s="5">
        <v>0.137099416648434</v>
      </c>
    </row>
    <row r="1120" ht="14.25" customHeight="1">
      <c r="A1120" s="4"/>
      <c r="B1120" s="4" t="s">
        <v>1802</v>
      </c>
      <c r="C1120" s="4" t="s">
        <v>184</v>
      </c>
      <c r="D1120" s="4" t="s">
        <v>1812</v>
      </c>
      <c r="E1120" s="5">
        <v>48.3641275995966</v>
      </c>
    </row>
    <row r="1121" ht="14.25" customHeight="1">
      <c r="A1121" s="4"/>
      <c r="B1121" s="4" t="s">
        <v>1802</v>
      </c>
      <c r="C1121" s="4" t="s">
        <v>2007</v>
      </c>
      <c r="D1121" s="4" t="s">
        <v>2008</v>
      </c>
      <c r="E1121" s="5">
        <v>5.10704351837104</v>
      </c>
    </row>
    <row r="1122" ht="14.25" customHeight="1">
      <c r="A1122" s="4"/>
      <c r="B1122" s="4" t="s">
        <v>1802</v>
      </c>
      <c r="C1122" s="4" t="s">
        <v>2009</v>
      </c>
      <c r="D1122" s="4" t="s">
        <v>2010</v>
      </c>
      <c r="E1122" s="5">
        <v>31.154954214971998</v>
      </c>
    </row>
    <row r="1123" ht="14.25" customHeight="1">
      <c r="A1123" s="4"/>
      <c r="B1123" s="4" t="s">
        <v>1802</v>
      </c>
      <c r="C1123" s="4" t="s">
        <v>2011</v>
      </c>
      <c r="D1123" s="4" t="s">
        <v>1812</v>
      </c>
      <c r="E1123" s="5">
        <v>48.3641275995966</v>
      </c>
    </row>
    <row r="1124" ht="14.25" customHeight="1">
      <c r="A1124" s="4"/>
      <c r="B1124" s="4" t="s">
        <v>1802</v>
      </c>
      <c r="C1124" s="4" t="s">
        <v>2012</v>
      </c>
      <c r="D1124" s="4" t="s">
        <v>2013</v>
      </c>
      <c r="E1124" s="5">
        <v>30.967042650949598</v>
      </c>
    </row>
    <row r="1125" ht="14.25" customHeight="1">
      <c r="A1125" s="4"/>
      <c r="B1125" s="4" t="s">
        <v>1802</v>
      </c>
      <c r="C1125" s="4" t="s">
        <v>2014</v>
      </c>
      <c r="D1125" s="4" t="s">
        <v>2015</v>
      </c>
      <c r="E1125" s="5">
        <v>43.8043986417701</v>
      </c>
    </row>
    <row r="1126" ht="14.25" customHeight="1">
      <c r="A1126" s="4"/>
      <c r="B1126" s="4" t="s">
        <v>1802</v>
      </c>
      <c r="C1126" s="4" t="s">
        <v>321</v>
      </c>
      <c r="D1126" s="4" t="s">
        <v>2016</v>
      </c>
      <c r="E1126" s="5">
        <v>40.633332121102</v>
      </c>
    </row>
    <row r="1127" ht="14.25" customHeight="1">
      <c r="A1127" s="4"/>
      <c r="B1127" s="4" t="s">
        <v>1802</v>
      </c>
      <c r="C1127" s="4" t="s">
        <v>123</v>
      </c>
      <c r="D1127" s="4" t="s">
        <v>1812</v>
      </c>
      <c r="E1127" s="5">
        <v>48.3641275995966</v>
      </c>
    </row>
    <row r="1128" ht="14.25" customHeight="1">
      <c r="A1128" s="4"/>
      <c r="B1128" s="4" t="s">
        <v>1802</v>
      </c>
      <c r="C1128" s="4" t="s">
        <v>2017</v>
      </c>
      <c r="D1128" s="4" t="s">
        <v>1812</v>
      </c>
      <c r="E1128" s="5">
        <v>48.3641275995966</v>
      </c>
    </row>
    <row r="1129" ht="14.25" customHeight="1">
      <c r="A1129" s="4"/>
      <c r="B1129" s="4" t="s">
        <v>1802</v>
      </c>
      <c r="C1129" s="4" t="s">
        <v>2018</v>
      </c>
      <c r="D1129" s="4" t="s">
        <v>2019</v>
      </c>
      <c r="E1129" s="5">
        <v>2.25067605028773</v>
      </c>
    </row>
    <row r="1130" ht="14.25" customHeight="1">
      <c r="A1130" s="4"/>
      <c r="B1130" s="4" t="s">
        <v>1802</v>
      </c>
      <c r="C1130" s="4" t="s">
        <v>2020</v>
      </c>
      <c r="D1130" s="4" t="s">
        <v>1812</v>
      </c>
      <c r="E1130" s="5">
        <v>48.3641275995966</v>
      </c>
    </row>
    <row r="1131" ht="14.25" customHeight="1">
      <c r="A1131" s="4"/>
      <c r="B1131" s="4" t="s">
        <v>1802</v>
      </c>
      <c r="C1131" s="4" t="s">
        <v>2021</v>
      </c>
      <c r="D1131" s="4" t="s">
        <v>2022</v>
      </c>
      <c r="E1131" s="5">
        <v>41.3380309876603</v>
      </c>
    </row>
    <row r="1132" ht="14.25" customHeight="1">
      <c r="A1132" s="4"/>
      <c r="B1132" s="4" t="s">
        <v>1802</v>
      </c>
      <c r="C1132" s="4" t="s">
        <v>2023</v>
      </c>
      <c r="D1132" s="4" t="s">
        <v>1812</v>
      </c>
      <c r="E1132" s="5">
        <v>48.3641275995966</v>
      </c>
    </row>
    <row r="1133" ht="14.25" customHeight="1">
      <c r="A1133" s="4"/>
      <c r="B1133" s="4" t="s">
        <v>1802</v>
      </c>
      <c r="C1133" s="4" t="s">
        <v>2024</v>
      </c>
      <c r="D1133" s="4" t="s">
        <v>2025</v>
      </c>
      <c r="E1133" s="5">
        <v>23.29279947848</v>
      </c>
    </row>
    <row r="1134" ht="14.25" customHeight="1">
      <c r="A1134" s="4"/>
      <c r="B1134" s="4" t="s">
        <v>1802</v>
      </c>
      <c r="C1134" s="4" t="s">
        <v>2026</v>
      </c>
      <c r="D1134" s="4" t="s">
        <v>2027</v>
      </c>
      <c r="E1134" s="5">
        <v>19.2031215829736</v>
      </c>
    </row>
    <row r="1135" ht="14.25" customHeight="1">
      <c r="A1135" s="4"/>
      <c r="B1135" s="4" t="s">
        <v>1802</v>
      </c>
      <c r="C1135" s="4" t="s">
        <v>2028</v>
      </c>
      <c r="D1135" s="4" t="s">
        <v>1812</v>
      </c>
      <c r="E1135" s="5">
        <v>48.3641275995966</v>
      </c>
    </row>
    <row r="1136" ht="14.25" customHeight="1">
      <c r="A1136" s="4"/>
      <c r="B1136" s="4" t="s">
        <v>1802</v>
      </c>
      <c r="C1136" s="4" t="s">
        <v>2029</v>
      </c>
      <c r="D1136" s="4" t="s">
        <v>2030</v>
      </c>
      <c r="E1136" s="5">
        <v>9.1217846806771</v>
      </c>
    </row>
    <row r="1137" ht="14.25" customHeight="1">
      <c r="A1137" s="4"/>
      <c r="B1137" s="4" t="s">
        <v>1802</v>
      </c>
      <c r="C1137" s="4" t="s">
        <v>2031</v>
      </c>
      <c r="D1137" s="4" t="s">
        <v>2032</v>
      </c>
      <c r="E1137" s="5">
        <v>48.2153502749858</v>
      </c>
    </row>
    <row r="1138" ht="14.25" customHeight="1">
      <c r="A1138" s="4"/>
      <c r="B1138" s="4" t="s">
        <v>1802</v>
      </c>
      <c r="C1138" s="4" t="s">
        <v>2033</v>
      </c>
      <c r="D1138" s="4" t="s">
        <v>1812</v>
      </c>
      <c r="E1138" s="5">
        <v>48.3641275995966</v>
      </c>
    </row>
    <row r="1139" ht="14.25" customHeight="1">
      <c r="A1139" s="4"/>
      <c r="B1139" s="4" t="s">
        <v>1802</v>
      </c>
      <c r="C1139" s="4" t="s">
        <v>2034</v>
      </c>
      <c r="D1139" s="4" t="s">
        <v>2035</v>
      </c>
      <c r="E1139" s="5">
        <v>18.2589236096308</v>
      </c>
    </row>
    <row r="1140" ht="14.25" customHeight="1">
      <c r="A1140" s="4"/>
      <c r="B1140" s="4" t="s">
        <v>1802</v>
      </c>
      <c r="C1140" s="4" t="s">
        <v>2036</v>
      </c>
      <c r="D1140" s="4" t="s">
        <v>1812</v>
      </c>
      <c r="E1140" s="5">
        <v>48.3641275995966</v>
      </c>
    </row>
    <row r="1141" ht="14.25" customHeight="1">
      <c r="A1141" s="4"/>
      <c r="B1141" s="4" t="s">
        <v>1802</v>
      </c>
      <c r="C1141" s="4" t="s">
        <v>2037</v>
      </c>
      <c r="D1141" s="4" t="s">
        <v>1812</v>
      </c>
      <c r="E1141" s="5">
        <v>48.3641275995966</v>
      </c>
    </row>
    <row r="1142" ht="14.25" customHeight="1">
      <c r="A1142" s="4"/>
      <c r="B1142" s="4" t="s">
        <v>1802</v>
      </c>
      <c r="C1142" s="4" t="s">
        <v>2038</v>
      </c>
      <c r="D1142" s="4" t="s">
        <v>1812</v>
      </c>
      <c r="E1142" s="5">
        <v>48.3641275995966</v>
      </c>
    </row>
    <row r="1143" ht="14.25" customHeight="1">
      <c r="A1143" s="4"/>
      <c r="B1143" s="4" t="s">
        <v>1802</v>
      </c>
      <c r="C1143" s="4" t="s">
        <v>2039</v>
      </c>
      <c r="D1143" s="4" t="s">
        <v>1821</v>
      </c>
      <c r="E1143" s="5">
        <v>19.3456510398386</v>
      </c>
    </row>
    <row r="1144" ht="14.25" customHeight="1">
      <c r="A1144" s="4"/>
      <c r="B1144" s="4" t="s">
        <v>1802</v>
      </c>
      <c r="C1144" s="4" t="s">
        <v>2040</v>
      </c>
      <c r="D1144" s="4" t="s">
        <v>1837</v>
      </c>
      <c r="E1144" s="5">
        <v>9.672825519919328</v>
      </c>
    </row>
    <row r="1145" ht="14.25" customHeight="1">
      <c r="A1145" s="4"/>
      <c r="B1145" s="4" t="s">
        <v>1802</v>
      </c>
      <c r="C1145" s="4" t="s">
        <v>2041</v>
      </c>
      <c r="D1145" s="4" t="s">
        <v>2042</v>
      </c>
      <c r="E1145" s="5">
        <v>29.018480463710297</v>
      </c>
    </row>
    <row r="1146" ht="14.25" customHeight="1">
      <c r="A1146" s="4"/>
      <c r="B1146" s="4" t="s">
        <v>1802</v>
      </c>
      <c r="C1146" s="4" t="s">
        <v>870</v>
      </c>
      <c r="D1146" s="4" t="s">
        <v>1812</v>
      </c>
      <c r="E1146" s="5">
        <v>48.3641275995966</v>
      </c>
    </row>
    <row r="1147" ht="14.25" customHeight="1">
      <c r="A1147" s="4"/>
      <c r="B1147" s="4" t="s">
        <v>1802</v>
      </c>
      <c r="C1147" s="4" t="s">
        <v>2043</v>
      </c>
      <c r="D1147" s="4" t="s">
        <v>2044</v>
      </c>
      <c r="E1147" s="5">
        <v>9.71374375850752</v>
      </c>
    </row>
    <row r="1148" ht="14.25" customHeight="1">
      <c r="A1148" s="4"/>
      <c r="B1148" s="4" t="s">
        <v>1802</v>
      </c>
      <c r="C1148" s="4" t="s">
        <v>2045</v>
      </c>
      <c r="D1148" s="4" t="s">
        <v>2046</v>
      </c>
      <c r="E1148" s="5">
        <v>15.7635838045916</v>
      </c>
    </row>
    <row r="1149" ht="14.25" customHeight="1">
      <c r="A1149" s="4"/>
      <c r="B1149" s="4" t="s">
        <v>1802</v>
      </c>
      <c r="C1149" s="4" t="s">
        <v>356</v>
      </c>
      <c r="D1149" s="4" t="s">
        <v>2047</v>
      </c>
      <c r="E1149" s="5">
        <v>9.01555805844459</v>
      </c>
    </row>
    <row r="1150" ht="14.25" customHeight="1">
      <c r="A1150" s="4"/>
      <c r="B1150" s="4" t="s">
        <v>1802</v>
      </c>
      <c r="C1150" s="4" t="s">
        <v>2048</v>
      </c>
      <c r="D1150" s="4" t="s">
        <v>2049</v>
      </c>
      <c r="E1150" s="5">
        <v>30.688386714242</v>
      </c>
    </row>
    <row r="1151" ht="14.25" customHeight="1">
      <c r="A1151" s="4"/>
      <c r="B1151" s="4" t="s">
        <v>1802</v>
      </c>
      <c r="C1151" s="4" t="s">
        <v>2050</v>
      </c>
      <c r="D1151" s="4" t="s">
        <v>2051</v>
      </c>
      <c r="E1151" s="5">
        <v>10.0526161270469</v>
      </c>
    </row>
    <row r="1152" ht="14.25" customHeight="1">
      <c r="A1152" s="4"/>
      <c r="B1152" s="4" t="s">
        <v>1802</v>
      </c>
      <c r="C1152" s="4" t="s">
        <v>532</v>
      </c>
      <c r="D1152" s="4" t="s">
        <v>1812</v>
      </c>
      <c r="E1152" s="5">
        <v>48.3641275995966</v>
      </c>
    </row>
    <row r="1153" ht="14.25" customHeight="1">
      <c r="A1153" s="4"/>
      <c r="B1153" s="4" t="s">
        <v>1802</v>
      </c>
      <c r="C1153" s="4" t="s">
        <v>2052</v>
      </c>
      <c r="D1153" s="4" t="s">
        <v>2053</v>
      </c>
      <c r="E1153" s="5">
        <v>0.159529579134298</v>
      </c>
    </row>
    <row r="1154" ht="14.25" customHeight="1">
      <c r="A1154" s="4"/>
      <c r="B1154" s="4" t="s">
        <v>1802</v>
      </c>
      <c r="C1154" s="4" t="s">
        <v>2054</v>
      </c>
      <c r="D1154" s="4" t="s">
        <v>1812</v>
      </c>
      <c r="E1154" s="5">
        <v>48.3641275995966</v>
      </c>
    </row>
    <row r="1155" ht="14.25" customHeight="1">
      <c r="A1155" s="4"/>
      <c r="B1155" s="4" t="s">
        <v>1802</v>
      </c>
      <c r="C1155" s="4" t="s">
        <v>2055</v>
      </c>
      <c r="D1155" s="4" t="s">
        <v>2056</v>
      </c>
      <c r="E1155" s="5">
        <v>40.067463435212105</v>
      </c>
    </row>
    <row r="1156" ht="14.25" customHeight="1">
      <c r="A1156" s="4"/>
      <c r="B1156" s="4" t="s">
        <v>1802</v>
      </c>
      <c r="C1156" s="4" t="s">
        <v>2057</v>
      </c>
      <c r="D1156" s="4" t="s">
        <v>2058</v>
      </c>
      <c r="E1156" s="5">
        <v>9.479369009520939</v>
      </c>
    </row>
    <row r="1157" ht="14.25" customHeight="1">
      <c r="A1157" s="4"/>
      <c r="B1157" s="4" t="s">
        <v>1802</v>
      </c>
      <c r="C1157" s="4" t="s">
        <v>2059</v>
      </c>
      <c r="D1157" s="4" t="s">
        <v>2060</v>
      </c>
      <c r="E1157" s="5">
        <v>3.44016229956279</v>
      </c>
    </row>
    <row r="1158" ht="14.25" customHeight="1">
      <c r="A1158" s="4"/>
      <c r="B1158" s="4" t="s">
        <v>1802</v>
      </c>
      <c r="C1158" s="4" t="s">
        <v>2061</v>
      </c>
      <c r="D1158" s="4" t="s">
        <v>2062</v>
      </c>
      <c r="E1158" s="5">
        <v>9.86628203031772</v>
      </c>
    </row>
    <row r="1159" ht="14.25" customHeight="1">
      <c r="A1159" s="4"/>
      <c r="B1159" s="4" t="s">
        <v>1802</v>
      </c>
      <c r="C1159" s="4" t="s">
        <v>37</v>
      </c>
      <c r="D1159" s="4" t="s">
        <v>1812</v>
      </c>
      <c r="E1159" s="5">
        <v>48.3641275995966</v>
      </c>
    </row>
    <row r="1160" ht="14.25" customHeight="1">
      <c r="A1160" s="4"/>
      <c r="B1160" s="4" t="s">
        <v>1802</v>
      </c>
      <c r="C1160" s="4" t="s">
        <v>2063</v>
      </c>
      <c r="D1160" s="4" t="s">
        <v>2064</v>
      </c>
      <c r="E1160" s="5">
        <v>16.8513309750621</v>
      </c>
    </row>
    <row r="1161" ht="14.25" customHeight="1">
      <c r="A1161" s="4"/>
      <c r="B1161" s="4" t="s">
        <v>1802</v>
      </c>
      <c r="C1161" s="4" t="s">
        <v>2065</v>
      </c>
      <c r="D1161" s="4" t="s">
        <v>1812</v>
      </c>
      <c r="E1161" s="5">
        <v>48.3641275995966</v>
      </c>
    </row>
    <row r="1162" ht="14.25" customHeight="1">
      <c r="A1162" s="4"/>
      <c r="B1162" s="4" t="s">
        <v>1802</v>
      </c>
      <c r="C1162" s="4" t="s">
        <v>2066</v>
      </c>
      <c r="D1162" s="4" t="s">
        <v>1837</v>
      </c>
      <c r="E1162" s="5">
        <v>9.672825519919328</v>
      </c>
    </row>
    <row r="1163" ht="14.25" customHeight="1">
      <c r="A1163" s="4"/>
      <c r="B1163" s="4" t="s">
        <v>1802</v>
      </c>
      <c r="C1163" s="4" t="s">
        <v>2067</v>
      </c>
      <c r="D1163" s="4" t="s">
        <v>1812</v>
      </c>
      <c r="E1163" s="5">
        <v>48.3641275995966</v>
      </c>
    </row>
    <row r="1164" ht="14.25" customHeight="1">
      <c r="A1164" s="4"/>
      <c r="B1164" s="4" t="s">
        <v>1802</v>
      </c>
      <c r="C1164" s="4" t="s">
        <v>2068</v>
      </c>
      <c r="D1164" s="4" t="s">
        <v>2069</v>
      </c>
      <c r="E1164" s="5">
        <v>10.2947954850681</v>
      </c>
    </row>
    <row r="1165" ht="14.25" customHeight="1">
      <c r="A1165" s="4"/>
      <c r="B1165" s="4" t="s">
        <v>1802</v>
      </c>
      <c r="C1165" s="4" t="s">
        <v>2070</v>
      </c>
      <c r="D1165" s="4" t="s">
        <v>1812</v>
      </c>
      <c r="E1165" s="5">
        <v>48.3641275995966</v>
      </c>
    </row>
    <row r="1166" ht="14.25" customHeight="1">
      <c r="A1166" s="4"/>
      <c r="B1166" s="4" t="s">
        <v>1802</v>
      </c>
      <c r="C1166" s="4" t="s">
        <v>856</v>
      </c>
      <c r="D1166" s="4" t="s">
        <v>1812</v>
      </c>
      <c r="E1166" s="5">
        <v>48.3641275995966</v>
      </c>
    </row>
    <row r="1167" ht="14.25" customHeight="1">
      <c r="A1167" s="4"/>
      <c r="B1167" s="4" t="s">
        <v>1802</v>
      </c>
      <c r="C1167" s="4" t="s">
        <v>2071</v>
      </c>
      <c r="D1167" s="4" t="s">
        <v>1812</v>
      </c>
      <c r="E1167" s="5">
        <v>48.3641275995966</v>
      </c>
    </row>
    <row r="1168" ht="14.25" customHeight="1">
      <c r="A1168" s="4"/>
      <c r="B1168" s="4" t="s">
        <v>1802</v>
      </c>
      <c r="C1168" s="4" t="s">
        <v>2072</v>
      </c>
      <c r="D1168" s="4" t="s">
        <v>1812</v>
      </c>
      <c r="E1168" s="5">
        <v>48.3641275995966</v>
      </c>
    </row>
    <row r="1169" ht="14.25" customHeight="1">
      <c r="A1169" s="4"/>
      <c r="B1169" s="4" t="s">
        <v>1802</v>
      </c>
      <c r="C1169" s="4" t="s">
        <v>2073</v>
      </c>
      <c r="D1169" s="4" t="s">
        <v>2074</v>
      </c>
      <c r="E1169" s="5">
        <v>18.033459443352502</v>
      </c>
    </row>
    <row r="1170" ht="14.25" customHeight="1">
      <c r="A1170" s="4"/>
      <c r="B1170" s="4" t="s">
        <v>1802</v>
      </c>
      <c r="C1170" s="4" t="s">
        <v>2075</v>
      </c>
      <c r="D1170" s="4" t="s">
        <v>1837</v>
      </c>
      <c r="E1170" s="5">
        <v>9.672825519919328</v>
      </c>
    </row>
    <row r="1171" ht="14.25" customHeight="1">
      <c r="A1171" s="4"/>
      <c r="B1171" s="4" t="s">
        <v>1802</v>
      </c>
      <c r="C1171" s="4" t="s">
        <v>2076</v>
      </c>
      <c r="D1171" s="4" t="s">
        <v>2077</v>
      </c>
      <c r="E1171" s="5">
        <v>41.4395568919529</v>
      </c>
    </row>
    <row r="1172" ht="14.25" customHeight="1">
      <c r="A1172" s="4"/>
      <c r="B1172" s="4" t="s">
        <v>1802</v>
      </c>
      <c r="C1172" s="4" t="s">
        <v>2078</v>
      </c>
      <c r="D1172" s="4" t="s">
        <v>2079</v>
      </c>
      <c r="E1172" s="5">
        <v>38.828042436325</v>
      </c>
    </row>
    <row r="1173" ht="14.25" customHeight="1">
      <c r="A1173" s="4"/>
      <c r="B1173" s="4" t="s">
        <v>1802</v>
      </c>
      <c r="C1173" s="4" t="s">
        <v>2080</v>
      </c>
      <c r="D1173" s="4" t="s">
        <v>1812</v>
      </c>
      <c r="E1173" s="5">
        <v>48.3641275995966</v>
      </c>
    </row>
    <row r="1174" ht="14.25" customHeight="1">
      <c r="A1174" s="4"/>
      <c r="B1174" s="4" t="s">
        <v>1802</v>
      </c>
      <c r="C1174" s="4" t="s">
        <v>817</v>
      </c>
      <c r="D1174" s="4" t="s">
        <v>1812</v>
      </c>
      <c r="E1174" s="5">
        <v>48.3641275995966</v>
      </c>
    </row>
    <row r="1175" ht="14.25" customHeight="1">
      <c r="A1175" s="4"/>
      <c r="B1175" s="4" t="s">
        <v>1802</v>
      </c>
      <c r="C1175" s="4" t="s">
        <v>2081</v>
      </c>
      <c r="D1175" s="4" t="s">
        <v>2082</v>
      </c>
      <c r="E1175" s="5">
        <v>9.7200638151689</v>
      </c>
    </row>
    <row r="1176" ht="14.25" customHeight="1">
      <c r="A1176" s="4"/>
      <c r="B1176" s="4" t="s">
        <v>1802</v>
      </c>
      <c r="C1176" s="4" t="s">
        <v>2083</v>
      </c>
      <c r="D1176" s="4" t="s">
        <v>1812</v>
      </c>
      <c r="E1176" s="5">
        <v>48.3641275995966</v>
      </c>
    </row>
    <row r="1177" ht="14.25" customHeight="1">
      <c r="A1177" s="4"/>
      <c r="B1177" s="4" t="s">
        <v>1802</v>
      </c>
      <c r="C1177" s="4" t="s">
        <v>2084</v>
      </c>
      <c r="D1177" s="4" t="s">
        <v>2085</v>
      </c>
      <c r="E1177" s="5">
        <v>47.658075948602</v>
      </c>
    </row>
    <row r="1178" ht="14.25" customHeight="1">
      <c r="A1178" s="4"/>
      <c r="B1178" s="4" t="s">
        <v>1802</v>
      </c>
      <c r="C1178" s="4" t="s">
        <v>45</v>
      </c>
      <c r="D1178" s="4" t="s">
        <v>1812</v>
      </c>
      <c r="E1178" s="5">
        <v>48.3641275995966</v>
      </c>
    </row>
    <row r="1179" ht="14.25" customHeight="1">
      <c r="A1179" s="4"/>
      <c r="B1179" s="4" t="s">
        <v>1802</v>
      </c>
      <c r="C1179" s="4" t="s">
        <v>2086</v>
      </c>
      <c r="D1179" s="4" t="s">
        <v>2087</v>
      </c>
      <c r="E1179" s="5">
        <v>40.7375529833892</v>
      </c>
    </row>
    <row r="1180" ht="14.25" customHeight="1">
      <c r="A1180" s="4"/>
      <c r="B1180" s="4" t="s">
        <v>1802</v>
      </c>
      <c r="C1180" s="4" t="s">
        <v>386</v>
      </c>
      <c r="D1180" s="4" t="s">
        <v>2088</v>
      </c>
      <c r="E1180" s="5">
        <v>47.010760888472404</v>
      </c>
    </row>
    <row r="1181" ht="14.25" customHeight="1">
      <c r="A1181" s="4"/>
      <c r="B1181" s="4" t="s">
        <v>1802</v>
      </c>
      <c r="C1181" s="4" t="s">
        <v>2089</v>
      </c>
      <c r="D1181" s="4" t="s">
        <v>2090</v>
      </c>
      <c r="E1181" s="5">
        <v>46.253094606659104</v>
      </c>
    </row>
    <row r="1182" ht="14.25" customHeight="1">
      <c r="A1182" s="4"/>
      <c r="B1182" s="4" t="s">
        <v>1802</v>
      </c>
      <c r="C1182" s="4" t="s">
        <v>2091</v>
      </c>
      <c r="D1182" s="4" t="s">
        <v>1812</v>
      </c>
      <c r="E1182" s="5">
        <v>48.3641275995966</v>
      </c>
    </row>
    <row r="1183" ht="14.25" customHeight="1">
      <c r="A1183" s="4"/>
      <c r="B1183" s="4" t="s">
        <v>1802</v>
      </c>
      <c r="C1183" s="4" t="s">
        <v>2092</v>
      </c>
      <c r="D1183" s="4" t="s">
        <v>2093</v>
      </c>
      <c r="E1183" s="5">
        <v>12.5746731758951</v>
      </c>
    </row>
    <row r="1184" ht="14.25" customHeight="1">
      <c r="A1184" s="4"/>
      <c r="B1184" s="4" t="s">
        <v>1802</v>
      </c>
      <c r="C1184" s="4" t="s">
        <v>2094</v>
      </c>
      <c r="D1184" s="4" t="s">
        <v>2095</v>
      </c>
      <c r="E1184" s="5">
        <v>20.8805823493651</v>
      </c>
    </row>
    <row r="1185" ht="14.25" customHeight="1">
      <c r="A1185" s="4"/>
      <c r="B1185" s="4" t="s">
        <v>1802</v>
      </c>
      <c r="C1185" s="4" t="s">
        <v>2096</v>
      </c>
      <c r="D1185" s="4" t="s">
        <v>2097</v>
      </c>
      <c r="E1185" s="5">
        <v>4.19887477349907</v>
      </c>
    </row>
    <row r="1186" ht="14.25" customHeight="1">
      <c r="A1186" s="4"/>
      <c r="B1186" s="4" t="s">
        <v>1802</v>
      </c>
      <c r="C1186" s="4" t="s">
        <v>2098</v>
      </c>
      <c r="D1186" s="4" t="s">
        <v>2099</v>
      </c>
      <c r="E1186" s="5">
        <v>10.7052610405127</v>
      </c>
    </row>
    <row r="1187" ht="14.25" customHeight="1">
      <c r="A1187" s="4"/>
      <c r="B1187" s="4" t="s">
        <v>1802</v>
      </c>
      <c r="C1187" s="4" t="s">
        <v>2100</v>
      </c>
      <c r="D1187" s="4" t="s">
        <v>2101</v>
      </c>
      <c r="E1187" s="5">
        <v>43.6904970317118</v>
      </c>
    </row>
    <row r="1188" ht="14.25" customHeight="1">
      <c r="A1188" s="4"/>
      <c r="B1188" s="4" t="s">
        <v>1802</v>
      </c>
      <c r="C1188" s="4" t="s">
        <v>2102</v>
      </c>
      <c r="D1188" s="4" t="s">
        <v>1812</v>
      </c>
      <c r="E1188" s="5">
        <v>48.3641275995966</v>
      </c>
    </row>
    <row r="1189" ht="14.25" customHeight="1">
      <c r="A1189" s="4"/>
      <c r="B1189" s="4" t="s">
        <v>1802</v>
      </c>
      <c r="C1189" s="4" t="s">
        <v>2103</v>
      </c>
      <c r="D1189" s="4" t="s">
        <v>1837</v>
      </c>
      <c r="E1189" s="5">
        <v>9.672825519919328</v>
      </c>
    </row>
    <row r="1190" ht="14.25" customHeight="1">
      <c r="A1190" s="4"/>
      <c r="B1190" s="4" t="s">
        <v>1802</v>
      </c>
      <c r="C1190" s="4" t="s">
        <v>2104</v>
      </c>
      <c r="D1190" s="4" t="s">
        <v>2105</v>
      </c>
      <c r="E1190" s="5">
        <v>29.018476559758</v>
      </c>
    </row>
    <row r="1191" ht="14.25" customHeight="1">
      <c r="A1191" s="4"/>
      <c r="B1191" s="4" t="s">
        <v>1802</v>
      </c>
      <c r="C1191" s="4" t="s">
        <v>2106</v>
      </c>
      <c r="D1191" s="4" t="s">
        <v>2107</v>
      </c>
      <c r="E1191" s="5">
        <v>6.665020656194111</v>
      </c>
    </row>
    <row r="1192" ht="14.25" customHeight="1">
      <c r="A1192" s="4"/>
      <c r="B1192" s="4" t="s">
        <v>1802</v>
      </c>
      <c r="C1192" s="4" t="s">
        <v>2108</v>
      </c>
      <c r="D1192" s="4" t="s">
        <v>2109</v>
      </c>
      <c r="E1192" s="5">
        <v>7.9634438053961905</v>
      </c>
    </row>
    <row r="1193" ht="14.25" customHeight="1">
      <c r="A1193" s="4"/>
      <c r="B1193" s="4" t="s">
        <v>1802</v>
      </c>
      <c r="C1193" s="4" t="s">
        <v>2110</v>
      </c>
      <c r="D1193" s="4" t="s">
        <v>1812</v>
      </c>
      <c r="E1193" s="5">
        <v>48.3641275995966</v>
      </c>
    </row>
    <row r="1194" ht="14.25" customHeight="1">
      <c r="A1194" s="4"/>
      <c r="B1194" s="4" t="s">
        <v>1802</v>
      </c>
      <c r="C1194" s="4" t="s">
        <v>2111</v>
      </c>
      <c r="D1194" s="4" t="s">
        <v>1812</v>
      </c>
      <c r="E1194" s="5">
        <v>48.3641275995966</v>
      </c>
    </row>
    <row r="1195" ht="14.25" customHeight="1">
      <c r="A1195" s="4"/>
      <c r="B1195" s="4" t="s">
        <v>1802</v>
      </c>
      <c r="C1195" s="4" t="s">
        <v>2112</v>
      </c>
      <c r="D1195" s="4" t="s">
        <v>1812</v>
      </c>
      <c r="E1195" s="5">
        <v>48.3641275995966</v>
      </c>
    </row>
    <row r="1196" ht="14.25" customHeight="1">
      <c r="A1196" s="4"/>
      <c r="B1196" s="4" t="s">
        <v>1802</v>
      </c>
      <c r="C1196" s="4" t="s">
        <v>2113</v>
      </c>
      <c r="D1196" s="4" t="s">
        <v>2114</v>
      </c>
      <c r="E1196" s="5">
        <v>47.3476249644185</v>
      </c>
    </row>
    <row r="1197" ht="14.25" customHeight="1">
      <c r="A1197" s="4"/>
      <c r="B1197" s="4" t="s">
        <v>1802</v>
      </c>
      <c r="C1197" s="4" t="s">
        <v>2115</v>
      </c>
      <c r="D1197" s="4" t="s">
        <v>1905</v>
      </c>
      <c r="E1197" s="5">
        <v>10.059738540716099</v>
      </c>
    </row>
    <row r="1198" ht="14.25" customHeight="1">
      <c r="A1198" s="4"/>
      <c r="B1198" s="4" t="s">
        <v>1802</v>
      </c>
      <c r="C1198" s="4" t="s">
        <v>1747</v>
      </c>
      <c r="D1198" s="4" t="s">
        <v>2116</v>
      </c>
      <c r="E1198" s="5">
        <v>10.833564582309599</v>
      </c>
    </row>
    <row r="1199" ht="14.25" customHeight="1">
      <c r="A1199" s="4"/>
      <c r="B1199" s="4" t="s">
        <v>1802</v>
      </c>
      <c r="C1199" s="4" t="s">
        <v>2117</v>
      </c>
      <c r="D1199" s="4" t="s">
        <v>2118</v>
      </c>
      <c r="E1199" s="5">
        <v>3.04150824569928</v>
      </c>
    </row>
    <row r="1200" ht="14.25" customHeight="1">
      <c r="A1200" s="4"/>
      <c r="B1200" s="4" t="s">
        <v>1802</v>
      </c>
      <c r="C1200" s="4" t="s">
        <v>2119</v>
      </c>
      <c r="D1200" s="4" t="s">
        <v>2120</v>
      </c>
      <c r="E1200" s="5">
        <v>29.1815996967793</v>
      </c>
    </row>
    <row r="1201" ht="14.25" customHeight="1">
      <c r="A1201" s="4"/>
      <c r="B1201" s="4" t="s">
        <v>1802</v>
      </c>
      <c r="C1201" s="4" t="s">
        <v>2121</v>
      </c>
      <c r="D1201" s="4" t="s">
        <v>2122</v>
      </c>
      <c r="E1201" s="5">
        <v>22.458854158708302</v>
      </c>
    </row>
    <row r="1202" ht="14.25" customHeight="1">
      <c r="A1202" s="4"/>
      <c r="B1202" s="4" t="s">
        <v>1802</v>
      </c>
      <c r="C1202" s="4" t="s">
        <v>2123</v>
      </c>
      <c r="D1202" s="4" t="s">
        <v>1812</v>
      </c>
      <c r="E1202" s="5">
        <v>48.3641275995966</v>
      </c>
    </row>
    <row r="1203" ht="14.25" customHeight="1">
      <c r="A1203" s="4"/>
      <c r="B1203" s="4" t="s">
        <v>1802</v>
      </c>
      <c r="C1203" s="4" t="s">
        <v>2124</v>
      </c>
      <c r="D1203" s="4" t="s">
        <v>2125</v>
      </c>
      <c r="E1203" s="5">
        <v>7.02724468064024</v>
      </c>
    </row>
    <row r="1204" ht="14.25" customHeight="1">
      <c r="A1204" s="4"/>
      <c r="B1204" s="4" t="s">
        <v>1802</v>
      </c>
      <c r="C1204" s="4" t="s">
        <v>2126</v>
      </c>
      <c r="D1204" s="4" t="s">
        <v>1812</v>
      </c>
      <c r="E1204" s="5">
        <v>48.3641275995966</v>
      </c>
    </row>
    <row r="1205" ht="14.25" customHeight="1">
      <c r="A1205" s="4"/>
      <c r="B1205" s="4" t="s">
        <v>1802</v>
      </c>
      <c r="C1205" s="4" t="s">
        <v>1651</v>
      </c>
      <c r="D1205" s="4" t="s">
        <v>1812</v>
      </c>
      <c r="E1205" s="5">
        <v>48.3641275995966</v>
      </c>
    </row>
    <row r="1206" ht="14.25" customHeight="1">
      <c r="A1206" s="4"/>
      <c r="B1206" s="4" t="s">
        <v>1802</v>
      </c>
      <c r="C1206" s="4" t="s">
        <v>2127</v>
      </c>
      <c r="D1206" s="4" t="s">
        <v>2128</v>
      </c>
      <c r="E1206" s="5">
        <v>47.6680193748907</v>
      </c>
    </row>
    <row r="1207" ht="14.25" customHeight="1">
      <c r="A1207" s="4"/>
      <c r="B1207" s="4" t="s">
        <v>1802</v>
      </c>
      <c r="C1207" s="4" t="s">
        <v>2129</v>
      </c>
      <c r="D1207" s="4" t="s">
        <v>2130</v>
      </c>
      <c r="E1207" s="5">
        <v>4.09437243904052</v>
      </c>
    </row>
    <row r="1208" ht="14.25" customHeight="1">
      <c r="A1208" s="4"/>
      <c r="B1208" s="4" t="s">
        <v>1802</v>
      </c>
      <c r="C1208" s="4" t="s">
        <v>2131</v>
      </c>
      <c r="D1208" s="4" t="s">
        <v>2132</v>
      </c>
      <c r="E1208" s="5">
        <v>29.771970337198198</v>
      </c>
    </row>
    <row r="1209" ht="14.25" customHeight="1">
      <c r="A1209" s="4"/>
      <c r="B1209" s="4" t="s">
        <v>1802</v>
      </c>
      <c r="C1209" s="4" t="s">
        <v>2133</v>
      </c>
      <c r="D1209" s="4" t="s">
        <v>2134</v>
      </c>
      <c r="E1209" s="5">
        <v>33.7117160018884</v>
      </c>
    </row>
    <row r="1210" ht="14.25" customHeight="1">
      <c r="A1210" s="4"/>
      <c r="B1210" s="4" t="s">
        <v>1802</v>
      </c>
      <c r="C1210" s="4" t="s">
        <v>2135</v>
      </c>
      <c r="D1210" s="4" t="s">
        <v>2136</v>
      </c>
      <c r="E1210" s="5">
        <v>17.6622420747008</v>
      </c>
    </row>
    <row r="1211" ht="14.25" customHeight="1">
      <c r="A1211" s="4"/>
      <c r="B1211" s="4" t="s">
        <v>1802</v>
      </c>
      <c r="C1211" s="4" t="s">
        <v>2137</v>
      </c>
      <c r="D1211" s="4" t="s">
        <v>2138</v>
      </c>
      <c r="E1211" s="5">
        <v>47.3123406090181</v>
      </c>
    </row>
    <row r="1212" ht="14.25" customHeight="1">
      <c r="A1212" s="4"/>
      <c r="B1212" s="4" t="s">
        <v>1802</v>
      </c>
      <c r="C1212" s="4" t="s">
        <v>2139</v>
      </c>
      <c r="D1212" s="4" t="s">
        <v>1837</v>
      </c>
      <c r="E1212" s="5">
        <v>9.672825519919328</v>
      </c>
    </row>
    <row r="1213" ht="14.25" customHeight="1">
      <c r="A1213" s="4"/>
      <c r="B1213" s="4" t="s">
        <v>1802</v>
      </c>
      <c r="C1213" s="4" t="s">
        <v>2140</v>
      </c>
      <c r="D1213" s="4" t="s">
        <v>1812</v>
      </c>
      <c r="E1213" s="5">
        <v>48.3641275995966</v>
      </c>
    </row>
    <row r="1214" ht="14.25" customHeight="1">
      <c r="A1214" s="4"/>
      <c r="B1214" s="4" t="s">
        <v>1802</v>
      </c>
      <c r="C1214" s="4" t="s">
        <v>2141</v>
      </c>
      <c r="D1214" s="4" t="s">
        <v>1812</v>
      </c>
      <c r="E1214" s="5">
        <v>48.3641275995966</v>
      </c>
    </row>
    <row r="1215" ht="14.25" customHeight="1">
      <c r="A1215" s="4"/>
      <c r="B1215" s="4" t="s">
        <v>1802</v>
      </c>
      <c r="C1215" s="4" t="s">
        <v>2142</v>
      </c>
      <c r="D1215" s="4" t="s">
        <v>2143</v>
      </c>
      <c r="E1215" s="5">
        <v>8.7407103219861</v>
      </c>
    </row>
    <row r="1216" ht="14.25" customHeight="1">
      <c r="A1216" s="4"/>
      <c r="B1216" s="4" t="s">
        <v>1802</v>
      </c>
      <c r="C1216" s="4" t="s">
        <v>2144</v>
      </c>
      <c r="D1216" s="4" t="s">
        <v>2145</v>
      </c>
      <c r="E1216" s="5">
        <v>7.66294684239376</v>
      </c>
    </row>
    <row r="1217" ht="14.25" customHeight="1">
      <c r="A1217" s="4"/>
      <c r="B1217" s="4" t="s">
        <v>1802</v>
      </c>
      <c r="C1217" s="4" t="s">
        <v>2146</v>
      </c>
      <c r="D1217" s="4" t="s">
        <v>1812</v>
      </c>
      <c r="E1217" s="5">
        <v>48.3641275995966</v>
      </c>
    </row>
    <row r="1218" ht="14.25" customHeight="1">
      <c r="A1218" s="4"/>
      <c r="B1218" s="4" t="s">
        <v>1802</v>
      </c>
      <c r="C1218" s="4" t="s">
        <v>2147</v>
      </c>
      <c r="D1218" s="4" t="s">
        <v>2148</v>
      </c>
      <c r="E1218" s="5">
        <v>10.4903410793152</v>
      </c>
    </row>
    <row r="1219" ht="14.25" customHeight="1">
      <c r="A1219" s="4"/>
      <c r="B1219" s="4" t="s">
        <v>1802</v>
      </c>
      <c r="C1219" s="4" t="s">
        <v>2149</v>
      </c>
      <c r="D1219" s="4" t="s">
        <v>2150</v>
      </c>
      <c r="E1219" s="5">
        <v>42.5224428088302</v>
      </c>
    </row>
    <row r="1220" ht="14.25" customHeight="1">
      <c r="A1220" s="4"/>
      <c r="B1220" s="4" t="s">
        <v>1802</v>
      </c>
      <c r="C1220" s="4" t="s">
        <v>2151</v>
      </c>
      <c r="D1220" s="4" t="s">
        <v>1812</v>
      </c>
      <c r="E1220" s="5">
        <v>48.3641275995966</v>
      </c>
    </row>
    <row r="1221" ht="14.25" customHeight="1">
      <c r="A1221" s="4"/>
      <c r="B1221" s="4" t="s">
        <v>1802</v>
      </c>
      <c r="C1221" s="4" t="s">
        <v>2152</v>
      </c>
      <c r="D1221" s="4" t="s">
        <v>2153</v>
      </c>
      <c r="E1221" s="5">
        <v>45.5069069851405</v>
      </c>
    </row>
    <row r="1222" ht="14.25" customHeight="1">
      <c r="A1222" s="4"/>
      <c r="B1222" s="4" t="s">
        <v>1802</v>
      </c>
      <c r="C1222" s="4" t="s">
        <v>2154</v>
      </c>
      <c r="D1222" s="4" t="s">
        <v>2155</v>
      </c>
      <c r="E1222" s="5">
        <v>46.5719855985057</v>
      </c>
    </row>
    <row r="1223" ht="14.25" customHeight="1">
      <c r="A1223" s="4"/>
      <c r="B1223" s="4" t="s">
        <v>1802</v>
      </c>
      <c r="C1223" s="4" t="s">
        <v>2156</v>
      </c>
      <c r="D1223" s="4" t="s">
        <v>2157</v>
      </c>
      <c r="E1223" s="5">
        <v>46.2193109083914</v>
      </c>
    </row>
    <row r="1224" ht="14.25" customHeight="1">
      <c r="A1224" s="4"/>
      <c r="B1224" s="4" t="s">
        <v>1802</v>
      </c>
      <c r="C1224" s="4" t="s">
        <v>2158</v>
      </c>
      <c r="D1224" s="4" t="s">
        <v>2159</v>
      </c>
      <c r="E1224" s="5">
        <v>4.43089228796491</v>
      </c>
    </row>
    <row r="1225" ht="14.25" customHeight="1">
      <c r="A1225" s="4"/>
      <c r="B1225" s="4" t="s">
        <v>1802</v>
      </c>
      <c r="C1225" s="4" t="s">
        <v>2160</v>
      </c>
      <c r="D1225" s="4" t="s">
        <v>2161</v>
      </c>
      <c r="E1225" s="5">
        <v>4.63539410763221</v>
      </c>
    </row>
    <row r="1226" ht="14.25" customHeight="1">
      <c r="A1226" s="4"/>
      <c r="B1226" s="4" t="s">
        <v>1802</v>
      </c>
      <c r="C1226" s="4" t="s">
        <v>2162</v>
      </c>
      <c r="D1226" s="4" t="s">
        <v>2163</v>
      </c>
      <c r="E1226" s="5">
        <v>41.2202098087036</v>
      </c>
    </row>
    <row r="1227" ht="14.25" customHeight="1">
      <c r="A1227" s="4"/>
      <c r="B1227" s="4" t="s">
        <v>1802</v>
      </c>
      <c r="C1227" s="4" t="s">
        <v>2164</v>
      </c>
      <c r="D1227" s="4" t="s">
        <v>2165</v>
      </c>
      <c r="E1227" s="5">
        <v>22.6750371220682</v>
      </c>
    </row>
    <row r="1228" ht="14.25" customHeight="1">
      <c r="A1228" s="4"/>
      <c r="B1228" s="4" t="s">
        <v>1802</v>
      </c>
      <c r="C1228" s="4" t="s">
        <v>2166</v>
      </c>
      <c r="D1228" s="4" t="s">
        <v>2167</v>
      </c>
      <c r="E1228" s="5">
        <v>9.38707392704734</v>
      </c>
    </row>
    <row r="1229" ht="14.25" customHeight="1">
      <c r="A1229" s="4"/>
      <c r="B1229" s="4" t="s">
        <v>1802</v>
      </c>
      <c r="C1229" s="4" t="s">
        <v>437</v>
      </c>
      <c r="D1229" s="4" t="s">
        <v>1812</v>
      </c>
      <c r="E1229" s="5">
        <v>48.3641275995966</v>
      </c>
    </row>
    <row r="1230" ht="14.25" customHeight="1">
      <c r="A1230" s="4"/>
      <c r="B1230" s="4" t="s">
        <v>1802</v>
      </c>
      <c r="C1230" s="4" t="s">
        <v>2168</v>
      </c>
      <c r="D1230" s="4" t="s">
        <v>2169</v>
      </c>
      <c r="E1230" s="5">
        <v>7.43600153645518</v>
      </c>
    </row>
    <row r="1231" ht="14.25" customHeight="1">
      <c r="A1231" s="4"/>
      <c r="B1231" s="4" t="s">
        <v>1802</v>
      </c>
      <c r="C1231" s="4" t="s">
        <v>2170</v>
      </c>
      <c r="D1231" s="4" t="s">
        <v>2171</v>
      </c>
      <c r="E1231" s="5">
        <v>36.639224245362</v>
      </c>
    </row>
    <row r="1232" ht="14.25" customHeight="1">
      <c r="A1232" s="4"/>
      <c r="B1232" s="4" t="s">
        <v>1802</v>
      </c>
      <c r="C1232" s="4" t="s">
        <v>2172</v>
      </c>
      <c r="D1232" s="4" t="s">
        <v>1812</v>
      </c>
      <c r="E1232" s="5">
        <v>48.3641275995966</v>
      </c>
    </row>
    <row r="1233" ht="14.25" customHeight="1">
      <c r="A1233" s="4"/>
      <c r="B1233" s="4" t="s">
        <v>1802</v>
      </c>
      <c r="C1233" s="4" t="s">
        <v>2173</v>
      </c>
      <c r="D1233" s="4" t="s">
        <v>2174</v>
      </c>
      <c r="E1233" s="5">
        <v>15.5968437205368</v>
      </c>
    </row>
    <row r="1234" ht="14.25" customHeight="1">
      <c r="A1234" s="4"/>
      <c r="B1234" s="4" t="s">
        <v>1802</v>
      </c>
      <c r="C1234" s="4" t="s">
        <v>1766</v>
      </c>
      <c r="D1234" s="4" t="s">
        <v>2175</v>
      </c>
      <c r="E1234" s="5">
        <v>36.0820791347165</v>
      </c>
    </row>
    <row r="1235" ht="14.25" customHeight="1">
      <c r="A1235" s="4"/>
      <c r="B1235" s="4" t="s">
        <v>1802</v>
      </c>
      <c r="C1235" s="4" t="s">
        <v>2176</v>
      </c>
      <c r="D1235" s="4" t="s">
        <v>2177</v>
      </c>
      <c r="E1235" s="5">
        <v>43.7900245125954</v>
      </c>
    </row>
    <row r="1236" ht="14.25" customHeight="1">
      <c r="A1236" s="4"/>
      <c r="B1236" s="4" t="s">
        <v>1802</v>
      </c>
      <c r="C1236" s="4" t="s">
        <v>2178</v>
      </c>
      <c r="D1236" s="4" t="s">
        <v>2179</v>
      </c>
      <c r="E1236" s="5">
        <v>9.85736838347316</v>
      </c>
    </row>
    <row r="1237" ht="14.25" customHeight="1">
      <c r="A1237" s="4"/>
      <c r="B1237" s="4" t="s">
        <v>1802</v>
      </c>
      <c r="C1237" s="4" t="s">
        <v>2180</v>
      </c>
      <c r="D1237" s="4" t="s">
        <v>2181</v>
      </c>
      <c r="E1237" s="5">
        <v>7.738260415935461</v>
      </c>
    </row>
    <row r="1238" ht="14.25" customHeight="1">
      <c r="A1238" s="4"/>
      <c r="B1238" s="4" t="s">
        <v>1802</v>
      </c>
      <c r="C1238" s="4" t="s">
        <v>2182</v>
      </c>
      <c r="D1238" s="4" t="s">
        <v>2183</v>
      </c>
      <c r="E1238" s="5">
        <v>6.0343005513102606</v>
      </c>
    </row>
    <row r="1239" ht="14.25" customHeight="1">
      <c r="A1239" s="4"/>
      <c r="B1239" s="4" t="s">
        <v>1802</v>
      </c>
      <c r="C1239" s="4" t="s">
        <v>2184</v>
      </c>
      <c r="D1239" s="4" t="s">
        <v>2185</v>
      </c>
      <c r="E1239" s="5">
        <v>10.8884765536799</v>
      </c>
    </row>
    <row r="1240" ht="14.25" customHeight="1">
      <c r="A1240" s="4"/>
      <c r="B1240" s="4" t="s">
        <v>1802</v>
      </c>
      <c r="C1240" s="4" t="s">
        <v>2186</v>
      </c>
      <c r="D1240" s="4" t="s">
        <v>2187</v>
      </c>
      <c r="E1240" s="5">
        <v>34.8827989581595</v>
      </c>
    </row>
    <row r="1241" ht="14.25" customHeight="1">
      <c r="A1241" s="4"/>
      <c r="B1241" s="4" t="s">
        <v>1802</v>
      </c>
      <c r="C1241" s="4" t="s">
        <v>2188</v>
      </c>
      <c r="D1241" s="4" t="s">
        <v>1812</v>
      </c>
      <c r="E1241" s="5">
        <v>48.3641275995966</v>
      </c>
    </row>
    <row r="1242" ht="14.25" customHeight="1">
      <c r="A1242" s="4"/>
      <c r="B1242" s="4" t="s">
        <v>1802</v>
      </c>
      <c r="C1242" s="4" t="s">
        <v>2189</v>
      </c>
      <c r="D1242" s="4" t="s">
        <v>1812</v>
      </c>
      <c r="E1242" s="5">
        <v>48.3641275995966</v>
      </c>
    </row>
    <row r="1243" ht="14.25" customHeight="1">
      <c r="A1243" s="4"/>
      <c r="B1243" s="4" t="s">
        <v>1802</v>
      </c>
      <c r="C1243" s="4" t="s">
        <v>2190</v>
      </c>
      <c r="D1243" s="4" t="s">
        <v>1812</v>
      </c>
      <c r="E1243" s="5">
        <v>48.3641275995966</v>
      </c>
    </row>
    <row r="1244" ht="14.25" customHeight="1">
      <c r="A1244" s="4"/>
      <c r="B1244" s="4" t="s">
        <v>1802</v>
      </c>
      <c r="C1244" s="4" t="s">
        <v>2191</v>
      </c>
      <c r="D1244" s="4" t="s">
        <v>2192</v>
      </c>
      <c r="E1244" s="5">
        <v>43.8158210981154</v>
      </c>
    </row>
    <row r="1245" ht="14.25" customHeight="1">
      <c r="A1245" s="4"/>
      <c r="B1245" s="4" t="s">
        <v>1802</v>
      </c>
      <c r="C1245" s="4" t="s">
        <v>2193</v>
      </c>
      <c r="D1245" s="4" t="s">
        <v>1812</v>
      </c>
      <c r="E1245" s="5">
        <v>48.3641275995966</v>
      </c>
    </row>
    <row r="1246" ht="14.25" customHeight="1">
      <c r="A1246" s="4"/>
      <c r="B1246" s="4" t="s">
        <v>1802</v>
      </c>
      <c r="C1246" s="4" t="s">
        <v>31</v>
      </c>
      <c r="D1246" s="4" t="s">
        <v>1812</v>
      </c>
      <c r="E1246" s="5">
        <v>48.3641275995966</v>
      </c>
    </row>
    <row r="1247" ht="14.25" customHeight="1">
      <c r="A1247" s="4"/>
      <c r="B1247" s="4" t="s">
        <v>1802</v>
      </c>
      <c r="C1247" s="4" t="s">
        <v>2194</v>
      </c>
      <c r="D1247" s="4" t="s">
        <v>2195</v>
      </c>
      <c r="E1247" s="5">
        <v>10.0232622742807</v>
      </c>
    </row>
    <row r="1248" ht="14.25" customHeight="1">
      <c r="A1248" s="4"/>
      <c r="B1248" s="4" t="s">
        <v>1802</v>
      </c>
      <c r="C1248" s="4" t="s">
        <v>2196</v>
      </c>
      <c r="D1248" s="4" t="s">
        <v>1812</v>
      </c>
      <c r="E1248" s="5">
        <v>48.3641275995966</v>
      </c>
    </row>
    <row r="1249" ht="14.25" customHeight="1">
      <c r="A1249" s="4"/>
      <c r="B1249" s="4" t="s">
        <v>1802</v>
      </c>
      <c r="C1249" s="4" t="s">
        <v>2197</v>
      </c>
      <c r="D1249" s="4" t="s">
        <v>1812</v>
      </c>
      <c r="E1249" s="5">
        <v>48.3641275995966</v>
      </c>
    </row>
    <row r="1250" ht="14.25" customHeight="1">
      <c r="A1250" s="4"/>
      <c r="B1250" s="4" t="s">
        <v>1802</v>
      </c>
      <c r="C1250" s="4" t="s">
        <v>2198</v>
      </c>
      <c r="D1250" s="4" t="s">
        <v>2199</v>
      </c>
      <c r="E1250" s="5">
        <v>24.7343722470843</v>
      </c>
    </row>
    <row r="1251" ht="14.25" customHeight="1">
      <c r="A1251" s="4"/>
      <c r="B1251" s="4" t="s">
        <v>1802</v>
      </c>
      <c r="C1251" s="4" t="s">
        <v>2200</v>
      </c>
      <c r="D1251" s="4" t="s">
        <v>2201</v>
      </c>
      <c r="E1251" s="5">
        <v>42.8752284444912</v>
      </c>
    </row>
    <row r="1252" ht="14.25" customHeight="1">
      <c r="A1252" s="4"/>
      <c r="B1252" s="4" t="s">
        <v>1802</v>
      </c>
      <c r="C1252" s="4" t="s">
        <v>2202</v>
      </c>
      <c r="D1252" s="4" t="s">
        <v>1812</v>
      </c>
      <c r="E1252" s="5">
        <v>48.3641275995966</v>
      </c>
    </row>
    <row r="1253" ht="14.25" customHeight="1">
      <c r="A1253" s="4"/>
      <c r="B1253" s="4" t="s">
        <v>1802</v>
      </c>
      <c r="C1253" s="4" t="s">
        <v>2203</v>
      </c>
      <c r="D1253" s="4" t="s">
        <v>2204</v>
      </c>
      <c r="E1253" s="5">
        <v>22.596961423677</v>
      </c>
    </row>
    <row r="1254" ht="14.25" customHeight="1">
      <c r="A1254" s="4"/>
      <c r="B1254" s="4" t="s">
        <v>1802</v>
      </c>
      <c r="C1254" s="4" t="s">
        <v>2205</v>
      </c>
      <c r="D1254" s="4" t="s">
        <v>2206</v>
      </c>
      <c r="E1254" s="5">
        <v>19.387285749255998</v>
      </c>
    </row>
    <row r="1255" ht="14.25" customHeight="1">
      <c r="A1255" s="4"/>
      <c r="B1255" s="4" t="s">
        <v>1802</v>
      </c>
      <c r="C1255" s="4" t="s">
        <v>2207</v>
      </c>
      <c r="D1255" s="4" t="s">
        <v>1837</v>
      </c>
      <c r="E1255" s="5">
        <v>9.672825519919328</v>
      </c>
    </row>
    <row r="1256" ht="14.25" customHeight="1">
      <c r="A1256" s="4"/>
      <c r="B1256" s="4" t="s">
        <v>1802</v>
      </c>
      <c r="C1256" s="4" t="s">
        <v>400</v>
      </c>
      <c r="D1256" s="4" t="s">
        <v>2208</v>
      </c>
      <c r="E1256" s="5">
        <v>19.8435445782869</v>
      </c>
    </row>
    <row r="1257" ht="14.25" customHeight="1">
      <c r="A1257" s="4"/>
      <c r="B1257" s="4" t="s">
        <v>1802</v>
      </c>
      <c r="C1257" s="4" t="s">
        <v>2209</v>
      </c>
      <c r="D1257" s="4" t="s">
        <v>1812</v>
      </c>
      <c r="E1257" s="5">
        <v>48.3641275995966</v>
      </c>
    </row>
    <row r="1258" ht="14.25" customHeight="1">
      <c r="A1258" s="4"/>
      <c r="B1258" s="4" t="s">
        <v>1802</v>
      </c>
      <c r="C1258" s="4" t="s">
        <v>2210</v>
      </c>
      <c r="D1258" s="4" t="s">
        <v>2211</v>
      </c>
      <c r="E1258" s="5">
        <v>45.729863063258705</v>
      </c>
    </row>
    <row r="1259" ht="14.25" customHeight="1">
      <c r="A1259" s="4"/>
      <c r="B1259" s="4" t="s">
        <v>1802</v>
      </c>
      <c r="C1259" s="4" t="s">
        <v>2212</v>
      </c>
      <c r="D1259" s="4" t="s">
        <v>2213</v>
      </c>
      <c r="E1259" s="5">
        <v>7.99461768488881</v>
      </c>
    </row>
    <row r="1260" ht="14.25" customHeight="1">
      <c r="A1260" s="4"/>
      <c r="B1260" s="4" t="s">
        <v>1802</v>
      </c>
      <c r="C1260" s="4" t="s">
        <v>2214</v>
      </c>
      <c r="D1260" s="4" t="s">
        <v>2105</v>
      </c>
      <c r="E1260" s="5">
        <v>29.018476559758</v>
      </c>
    </row>
    <row r="1261" ht="14.25" customHeight="1">
      <c r="A1261" s="4"/>
      <c r="B1261" s="4" t="s">
        <v>1802</v>
      </c>
      <c r="C1261" s="4" t="s">
        <v>675</v>
      </c>
      <c r="D1261" s="4" t="s">
        <v>2215</v>
      </c>
      <c r="E1261" s="5">
        <v>45.8275614802306</v>
      </c>
    </row>
    <row r="1262" ht="14.25" customHeight="1">
      <c r="A1262" s="4"/>
      <c r="B1262" s="4" t="s">
        <v>1802</v>
      </c>
      <c r="C1262" s="4" t="s">
        <v>2216</v>
      </c>
      <c r="D1262" s="4" t="s">
        <v>2217</v>
      </c>
      <c r="E1262" s="5">
        <v>6.12685795335851</v>
      </c>
    </row>
    <row r="1263" ht="14.25" customHeight="1">
      <c r="A1263" s="4"/>
      <c r="B1263" s="4" t="s">
        <v>1802</v>
      </c>
      <c r="C1263" s="4" t="s">
        <v>2218</v>
      </c>
      <c r="D1263" s="4" t="s">
        <v>2219</v>
      </c>
      <c r="E1263" s="5">
        <v>6.32857925382653</v>
      </c>
    </row>
    <row r="1264" ht="14.25" customHeight="1">
      <c r="A1264" s="4"/>
      <c r="B1264" s="4" t="s">
        <v>1802</v>
      </c>
      <c r="C1264" s="4" t="s">
        <v>2220</v>
      </c>
      <c r="D1264" s="4" t="s">
        <v>2221</v>
      </c>
      <c r="E1264" s="5">
        <v>9.695793699058031</v>
      </c>
    </row>
    <row r="1265" ht="14.25" customHeight="1">
      <c r="A1265" s="4"/>
      <c r="B1265" s="4" t="s">
        <v>1802</v>
      </c>
      <c r="C1265" s="4" t="s">
        <v>2222</v>
      </c>
      <c r="D1265" s="4" t="s">
        <v>1812</v>
      </c>
      <c r="E1265" s="5">
        <v>48.3641275995966</v>
      </c>
    </row>
    <row r="1266" ht="14.25" customHeight="1">
      <c r="A1266" s="4"/>
      <c r="B1266" s="4" t="s">
        <v>1802</v>
      </c>
      <c r="C1266" s="4" t="s">
        <v>1294</v>
      </c>
      <c r="D1266" s="4" t="s">
        <v>2223</v>
      </c>
      <c r="E1266" s="5">
        <v>28.390551140068702</v>
      </c>
    </row>
    <row r="1267" ht="14.25" customHeight="1">
      <c r="A1267" s="4"/>
      <c r="B1267" s="4" t="s">
        <v>1802</v>
      </c>
      <c r="C1267" s="4" t="s">
        <v>2224</v>
      </c>
      <c r="D1267" s="4" t="s">
        <v>1837</v>
      </c>
      <c r="E1267" s="5">
        <v>9.672825519919328</v>
      </c>
    </row>
    <row r="1268" ht="14.25" customHeight="1">
      <c r="A1268" s="4"/>
      <c r="B1268" s="4" t="s">
        <v>1802</v>
      </c>
      <c r="C1268" s="4" t="s">
        <v>2225</v>
      </c>
      <c r="D1268" s="4" t="s">
        <v>1812</v>
      </c>
      <c r="E1268" s="5">
        <v>48.3641275995966</v>
      </c>
    </row>
    <row r="1269" ht="14.25" customHeight="1">
      <c r="A1269" s="4"/>
      <c r="B1269" s="4" t="s">
        <v>1802</v>
      </c>
      <c r="C1269" s="4" t="s">
        <v>2226</v>
      </c>
      <c r="D1269" s="4" t="s">
        <v>1812</v>
      </c>
      <c r="E1269" s="5">
        <v>48.3641275995966</v>
      </c>
    </row>
    <row r="1270" ht="14.25" customHeight="1">
      <c r="A1270" s="4"/>
      <c r="B1270" s="4" t="s">
        <v>1802</v>
      </c>
      <c r="C1270" s="4" t="s">
        <v>2227</v>
      </c>
      <c r="D1270" s="4" t="s">
        <v>1812</v>
      </c>
      <c r="E1270" s="5">
        <v>48.3641275995966</v>
      </c>
    </row>
    <row r="1271" ht="14.25" customHeight="1">
      <c r="A1271" s="4"/>
      <c r="B1271" s="4" t="s">
        <v>1802</v>
      </c>
      <c r="C1271" s="4" t="s">
        <v>2228</v>
      </c>
      <c r="D1271" s="4" t="s">
        <v>2229</v>
      </c>
      <c r="E1271" s="5">
        <v>19.2501114996412</v>
      </c>
    </row>
    <row r="1272" ht="14.25" customHeight="1">
      <c r="A1272" s="4"/>
      <c r="B1272" s="4" t="s">
        <v>1802</v>
      </c>
      <c r="C1272" s="4" t="s">
        <v>2230</v>
      </c>
      <c r="D1272" s="4" t="s">
        <v>2231</v>
      </c>
      <c r="E1272" s="5">
        <v>8.146724709498569</v>
      </c>
    </row>
    <row r="1273" ht="14.25" customHeight="1">
      <c r="A1273" s="4"/>
      <c r="B1273" s="4" t="s">
        <v>1802</v>
      </c>
      <c r="C1273" s="4" t="s">
        <v>239</v>
      </c>
      <c r="D1273" s="4" t="s">
        <v>1812</v>
      </c>
      <c r="E1273" s="5">
        <v>48.3641275995966</v>
      </c>
    </row>
    <row r="1274" ht="14.25" customHeight="1">
      <c r="A1274" s="4"/>
      <c r="B1274" s="4" t="s">
        <v>1802</v>
      </c>
      <c r="C1274" s="4" t="s">
        <v>2232</v>
      </c>
      <c r="D1274" s="4" t="s">
        <v>1812</v>
      </c>
      <c r="E1274" s="5">
        <v>48.3641275995966</v>
      </c>
    </row>
    <row r="1275" ht="14.25" customHeight="1">
      <c r="A1275" s="4"/>
      <c r="B1275" s="4" t="s">
        <v>1802</v>
      </c>
      <c r="C1275" s="4" t="s">
        <v>2233</v>
      </c>
      <c r="D1275" s="4" t="s">
        <v>2234</v>
      </c>
      <c r="E1275" s="5">
        <v>6.56809709939792</v>
      </c>
    </row>
    <row r="1276" ht="14.25" customHeight="1">
      <c r="A1276" s="4"/>
      <c r="B1276" s="4" t="s">
        <v>1802</v>
      </c>
      <c r="C1276" s="4" t="s">
        <v>2235</v>
      </c>
      <c r="D1276" s="4" t="s">
        <v>2236</v>
      </c>
      <c r="E1276" s="5">
        <v>47.694675895476394</v>
      </c>
    </row>
    <row r="1277" ht="14.25" customHeight="1">
      <c r="A1277" s="4"/>
      <c r="B1277" s="4" t="s">
        <v>1802</v>
      </c>
      <c r="C1277" s="4" t="s">
        <v>2237</v>
      </c>
      <c r="D1277" s="4" t="s">
        <v>1812</v>
      </c>
      <c r="E1277" s="5">
        <v>48.3641275995966</v>
      </c>
    </row>
    <row r="1278" ht="14.25" customHeight="1">
      <c r="A1278" s="4"/>
      <c r="B1278" s="4" t="s">
        <v>1802</v>
      </c>
      <c r="C1278" s="4" t="s">
        <v>2238</v>
      </c>
      <c r="D1278" s="4" t="s">
        <v>2239</v>
      </c>
      <c r="E1278" s="5">
        <v>9.82247339495785</v>
      </c>
    </row>
    <row r="1279" ht="14.25" customHeight="1">
      <c r="A1279" s="4"/>
      <c r="B1279" s="4" t="s">
        <v>1802</v>
      </c>
      <c r="C1279" s="4" t="s">
        <v>2240</v>
      </c>
      <c r="D1279" s="4" t="s">
        <v>2241</v>
      </c>
      <c r="E1279" s="5">
        <v>9.56642719425586</v>
      </c>
    </row>
    <row r="1280" ht="14.25" customHeight="1">
      <c r="A1280" s="4"/>
      <c r="B1280" s="4" t="s">
        <v>1802</v>
      </c>
      <c r="C1280" s="4" t="s">
        <v>2242</v>
      </c>
      <c r="D1280" s="4" t="s">
        <v>2243</v>
      </c>
      <c r="E1280" s="5">
        <v>15.1359838520564</v>
      </c>
    </row>
    <row r="1281" ht="14.25" customHeight="1">
      <c r="A1281" s="4"/>
      <c r="B1281" s="4" t="s">
        <v>1802</v>
      </c>
      <c r="C1281" s="4" t="s">
        <v>2244</v>
      </c>
      <c r="D1281" s="4" t="s">
        <v>1812</v>
      </c>
      <c r="E1281" s="5">
        <v>48.3641275995966</v>
      </c>
    </row>
    <row r="1282" ht="14.25" customHeight="1">
      <c r="A1282" s="4"/>
      <c r="B1282" s="4" t="s">
        <v>1802</v>
      </c>
      <c r="C1282" s="4" t="s">
        <v>2245</v>
      </c>
      <c r="D1282" s="4" t="s">
        <v>1837</v>
      </c>
      <c r="E1282" s="5">
        <v>9.672825519919328</v>
      </c>
    </row>
    <row r="1283" ht="14.25" customHeight="1">
      <c r="A1283" s="4"/>
      <c r="B1283" s="4" t="s">
        <v>1802</v>
      </c>
      <c r="C1283" s="4" t="s">
        <v>2246</v>
      </c>
      <c r="D1283" s="4" t="s">
        <v>2247</v>
      </c>
      <c r="E1283" s="5">
        <v>10.1322019733549</v>
      </c>
    </row>
    <row r="1284" ht="14.25" customHeight="1">
      <c r="A1284" s="4"/>
      <c r="B1284" s="4" t="s">
        <v>1802</v>
      </c>
      <c r="C1284" s="4" t="s">
        <v>2248</v>
      </c>
      <c r="D1284" s="4" t="s">
        <v>1812</v>
      </c>
      <c r="E1284" s="5">
        <v>48.3641275995966</v>
      </c>
    </row>
    <row r="1285" ht="14.25" customHeight="1">
      <c r="A1285" s="4"/>
      <c r="B1285" s="4" t="s">
        <v>1802</v>
      </c>
      <c r="C1285" s="4" t="s">
        <v>2249</v>
      </c>
      <c r="D1285" s="4" t="s">
        <v>2250</v>
      </c>
      <c r="E1285" s="5">
        <v>31.559771769598502</v>
      </c>
    </row>
    <row r="1286" ht="14.25" customHeight="1">
      <c r="A1286" s="4"/>
      <c r="B1286" s="4" t="s">
        <v>1802</v>
      </c>
      <c r="C1286" s="4" t="s">
        <v>2251</v>
      </c>
      <c r="D1286" s="4" t="s">
        <v>2105</v>
      </c>
      <c r="E1286" s="5">
        <v>29.018476559758</v>
      </c>
    </row>
    <row r="1287" ht="14.25" customHeight="1">
      <c r="A1287" s="4"/>
      <c r="B1287" s="4" t="s">
        <v>1802</v>
      </c>
      <c r="C1287" s="4" t="s">
        <v>2252</v>
      </c>
      <c r="D1287" s="4" t="s">
        <v>2253</v>
      </c>
      <c r="E1287" s="5">
        <v>12.055214099260201</v>
      </c>
    </row>
    <row r="1288" ht="14.25" customHeight="1">
      <c r="A1288" s="4"/>
      <c r="B1288" s="4" t="s">
        <v>1802</v>
      </c>
      <c r="C1288" s="4" t="s">
        <v>2254</v>
      </c>
      <c r="D1288" s="4" t="s">
        <v>2255</v>
      </c>
      <c r="E1288" s="5">
        <v>16.2890677981853</v>
      </c>
    </row>
    <row r="1289" ht="14.25" customHeight="1">
      <c r="A1289" s="4"/>
      <c r="B1289" s="4" t="s">
        <v>1802</v>
      </c>
      <c r="C1289" s="4" t="s">
        <v>2256</v>
      </c>
      <c r="D1289" s="4" t="s">
        <v>1812</v>
      </c>
      <c r="E1289" s="5">
        <v>48.3641275995966</v>
      </c>
    </row>
    <row r="1290" ht="14.25" customHeight="1">
      <c r="A1290" s="4"/>
      <c r="B1290" s="4" t="s">
        <v>1802</v>
      </c>
      <c r="C1290" s="4" t="s">
        <v>2257</v>
      </c>
      <c r="D1290" s="4" t="s">
        <v>1812</v>
      </c>
      <c r="E1290" s="5">
        <v>48.3641275995966</v>
      </c>
    </row>
    <row r="1291" ht="14.25" customHeight="1">
      <c r="A1291" s="4"/>
      <c r="B1291" s="4" t="s">
        <v>1802</v>
      </c>
      <c r="C1291" s="4" t="s">
        <v>2258</v>
      </c>
      <c r="D1291" s="4" t="s">
        <v>2259</v>
      </c>
      <c r="E1291" s="5">
        <v>1.5771843128688698</v>
      </c>
    </row>
    <row r="1292" ht="14.25" customHeight="1">
      <c r="A1292" s="4"/>
      <c r="B1292" s="4" t="s">
        <v>1802</v>
      </c>
      <c r="C1292" s="4" t="s">
        <v>2260</v>
      </c>
      <c r="D1292" s="4" t="s">
        <v>2261</v>
      </c>
      <c r="E1292" s="5">
        <v>18.953270291081303</v>
      </c>
    </row>
    <row r="1293" ht="14.25" customHeight="1">
      <c r="A1293" s="4"/>
      <c r="B1293" s="4" t="s">
        <v>1802</v>
      </c>
      <c r="C1293" s="4" t="s">
        <v>2262</v>
      </c>
      <c r="D1293" s="4" t="s">
        <v>1812</v>
      </c>
      <c r="E1293" s="5">
        <v>48.3641275995966</v>
      </c>
    </row>
    <row r="1294" ht="14.25" customHeight="1">
      <c r="A1294" s="4"/>
      <c r="B1294" s="4" t="s">
        <v>1802</v>
      </c>
      <c r="C1294" s="4" t="s">
        <v>2263</v>
      </c>
      <c r="D1294" s="4" t="s">
        <v>2264</v>
      </c>
      <c r="E1294" s="5">
        <v>9.746424387315509</v>
      </c>
    </row>
    <row r="1295" ht="14.25" customHeight="1">
      <c r="A1295" s="4"/>
      <c r="B1295" s="4" t="s">
        <v>1802</v>
      </c>
      <c r="C1295" s="4" t="s">
        <v>2265</v>
      </c>
      <c r="D1295" s="4" t="s">
        <v>2266</v>
      </c>
      <c r="E1295" s="5">
        <v>37.278765424843606</v>
      </c>
    </row>
    <row r="1296" ht="14.25" customHeight="1">
      <c r="A1296" s="4"/>
      <c r="B1296" s="4" t="s">
        <v>1802</v>
      </c>
      <c r="C1296" s="4" t="s">
        <v>383</v>
      </c>
      <c r="D1296" s="4" t="s">
        <v>2267</v>
      </c>
      <c r="E1296" s="5">
        <v>43.7781958285997</v>
      </c>
    </row>
    <row r="1297" ht="14.25" customHeight="1">
      <c r="A1297" s="4"/>
      <c r="B1297" s="4" t="s">
        <v>1802</v>
      </c>
      <c r="C1297" s="4" t="s">
        <v>2268</v>
      </c>
      <c r="D1297" s="4" t="s">
        <v>2269</v>
      </c>
      <c r="E1297" s="5">
        <v>1.4543840718871501</v>
      </c>
    </row>
    <row r="1298" ht="14.25" customHeight="1">
      <c r="A1298" s="4"/>
      <c r="B1298" s="4" t="s">
        <v>1802</v>
      </c>
      <c r="C1298" s="4" t="s">
        <v>507</v>
      </c>
      <c r="D1298" s="4" t="s">
        <v>1812</v>
      </c>
      <c r="E1298" s="5">
        <v>48.3641275995966</v>
      </c>
    </row>
    <row r="1299" ht="14.25" customHeight="1">
      <c r="A1299" s="4"/>
      <c r="B1299" s="4" t="s">
        <v>1802</v>
      </c>
      <c r="C1299" s="4" t="s">
        <v>2270</v>
      </c>
      <c r="D1299" s="4" t="s">
        <v>1812</v>
      </c>
      <c r="E1299" s="5">
        <v>48.3641275995966</v>
      </c>
    </row>
    <row r="1300" ht="14.25" customHeight="1">
      <c r="A1300" s="4"/>
      <c r="B1300" s="4" t="s">
        <v>1802</v>
      </c>
      <c r="C1300" s="4" t="s">
        <v>2271</v>
      </c>
      <c r="D1300" s="4" t="s">
        <v>2272</v>
      </c>
      <c r="E1300" s="5">
        <v>46.909946884351</v>
      </c>
    </row>
    <row r="1301" ht="14.25" customHeight="1">
      <c r="A1301" s="4"/>
      <c r="B1301" s="4" t="s">
        <v>1802</v>
      </c>
      <c r="C1301" s="4" t="s">
        <v>2273</v>
      </c>
      <c r="D1301" s="4" t="s">
        <v>1812</v>
      </c>
      <c r="E1301" s="5">
        <v>48.3641275995966</v>
      </c>
    </row>
    <row r="1302" ht="14.25" customHeight="1">
      <c r="A1302" s="4"/>
      <c r="B1302" s="4" t="s">
        <v>1802</v>
      </c>
      <c r="C1302" s="4" t="s">
        <v>1300</v>
      </c>
      <c r="D1302" s="4" t="s">
        <v>2274</v>
      </c>
      <c r="E1302" s="5">
        <v>0.801696089682663</v>
      </c>
    </row>
    <row r="1303" ht="14.25" customHeight="1">
      <c r="A1303" s="4"/>
      <c r="B1303" s="4" t="s">
        <v>1802</v>
      </c>
      <c r="C1303" s="4" t="s">
        <v>1776</v>
      </c>
      <c r="D1303" s="4" t="s">
        <v>2275</v>
      </c>
      <c r="E1303" s="5">
        <v>36.2072605272714</v>
      </c>
    </row>
    <row r="1304" ht="14.25" customHeight="1">
      <c r="A1304" s="4"/>
      <c r="B1304" s="4" t="s">
        <v>1802</v>
      </c>
      <c r="C1304" s="4" t="s">
        <v>2276</v>
      </c>
      <c r="D1304" s="4" t="s">
        <v>1812</v>
      </c>
      <c r="E1304" s="5">
        <v>48.3641275995966</v>
      </c>
    </row>
    <row r="1305" ht="14.25" customHeight="1">
      <c r="A1305" s="4"/>
      <c r="B1305" s="4" t="s">
        <v>1802</v>
      </c>
      <c r="C1305" s="4" t="s">
        <v>2277</v>
      </c>
      <c r="D1305" s="4" t="s">
        <v>1812</v>
      </c>
      <c r="E1305" s="5">
        <v>48.3641275995966</v>
      </c>
    </row>
    <row r="1306" ht="14.25" customHeight="1">
      <c r="A1306" s="4"/>
      <c r="B1306" s="4" t="s">
        <v>1802</v>
      </c>
      <c r="C1306" s="4" t="s">
        <v>354</v>
      </c>
      <c r="D1306" s="4" t="s">
        <v>1812</v>
      </c>
      <c r="E1306" s="5">
        <v>48.3641275995966</v>
      </c>
    </row>
    <row r="1307" ht="14.25" customHeight="1">
      <c r="A1307" s="4"/>
      <c r="B1307" s="4" t="s">
        <v>1802</v>
      </c>
      <c r="C1307" s="4" t="s">
        <v>2278</v>
      </c>
      <c r="D1307" s="4" t="s">
        <v>1812</v>
      </c>
      <c r="E1307" s="5">
        <v>48.3641275995966</v>
      </c>
    </row>
    <row r="1308" ht="14.25" customHeight="1">
      <c r="A1308" s="4"/>
      <c r="B1308" s="4" t="s">
        <v>1802</v>
      </c>
      <c r="C1308" s="4" t="s">
        <v>2279</v>
      </c>
      <c r="D1308" s="4" t="s">
        <v>2280</v>
      </c>
      <c r="E1308" s="5">
        <v>2.60645756968288</v>
      </c>
    </row>
    <row r="1309" ht="14.25" customHeight="1">
      <c r="A1309" s="4"/>
      <c r="B1309" s="4" t="s">
        <v>1802</v>
      </c>
      <c r="C1309" s="4" t="s">
        <v>2281</v>
      </c>
      <c r="D1309" s="4" t="s">
        <v>2282</v>
      </c>
      <c r="E1309" s="5">
        <v>17.987276776826498</v>
      </c>
    </row>
    <row r="1310" ht="14.25" customHeight="1">
      <c r="A1310" s="4"/>
      <c r="B1310" s="4" t="s">
        <v>1802</v>
      </c>
      <c r="C1310" s="4" t="s">
        <v>2283</v>
      </c>
      <c r="D1310" s="4" t="s">
        <v>1812</v>
      </c>
      <c r="E1310" s="5">
        <v>48.3641275995966</v>
      </c>
    </row>
    <row r="1311" ht="14.25" customHeight="1">
      <c r="A1311" s="4"/>
      <c r="B1311" s="4" t="s">
        <v>1802</v>
      </c>
      <c r="C1311" s="4" t="s">
        <v>2284</v>
      </c>
      <c r="D1311" s="4" t="s">
        <v>1812</v>
      </c>
      <c r="E1311" s="5">
        <v>48.3641275995966</v>
      </c>
    </row>
    <row r="1312" ht="14.25" customHeight="1">
      <c r="A1312" s="4"/>
      <c r="B1312" s="4" t="s">
        <v>1802</v>
      </c>
      <c r="C1312" s="4" t="s">
        <v>2285</v>
      </c>
      <c r="D1312" s="4" t="s">
        <v>1812</v>
      </c>
      <c r="E1312" s="5">
        <v>48.3641275995966</v>
      </c>
    </row>
    <row r="1313" ht="14.25" customHeight="1">
      <c r="A1313" s="4"/>
      <c r="B1313" s="4" t="s">
        <v>1802</v>
      </c>
      <c r="C1313" s="4" t="s">
        <v>2286</v>
      </c>
      <c r="D1313" s="4" t="s">
        <v>1812</v>
      </c>
      <c r="E1313" s="5">
        <v>48.3641275995966</v>
      </c>
    </row>
    <row r="1314" ht="14.25" customHeight="1">
      <c r="A1314" s="4"/>
      <c r="B1314" s="4" t="s">
        <v>1802</v>
      </c>
      <c r="C1314" s="4" t="s">
        <v>2287</v>
      </c>
      <c r="D1314" s="4" t="s">
        <v>1812</v>
      </c>
      <c r="E1314" s="5">
        <v>48.3641275995966</v>
      </c>
    </row>
    <row r="1315" ht="14.25" customHeight="1">
      <c r="A1315" s="4"/>
      <c r="B1315" s="4" t="s">
        <v>1802</v>
      </c>
      <c r="C1315" s="4" t="s">
        <v>2288</v>
      </c>
      <c r="D1315" s="4" t="s">
        <v>2289</v>
      </c>
      <c r="E1315" s="5">
        <v>14.90394646575</v>
      </c>
    </row>
    <row r="1316" ht="14.25" customHeight="1">
      <c r="A1316" s="4"/>
      <c r="B1316" s="4" t="s">
        <v>1802</v>
      </c>
      <c r="C1316" s="4" t="s">
        <v>2290</v>
      </c>
      <c r="D1316" s="4" t="s">
        <v>1837</v>
      </c>
      <c r="E1316" s="5">
        <v>9.672825519919328</v>
      </c>
    </row>
    <row r="1317" ht="14.25" customHeight="1">
      <c r="A1317" s="4"/>
      <c r="B1317" s="4" t="s">
        <v>1802</v>
      </c>
      <c r="C1317" s="4" t="s">
        <v>2291</v>
      </c>
      <c r="D1317" s="4" t="s">
        <v>1812</v>
      </c>
      <c r="E1317" s="5">
        <v>48.3641275995966</v>
      </c>
    </row>
    <row r="1318" ht="14.25" customHeight="1">
      <c r="A1318" s="4"/>
      <c r="B1318" s="4" t="s">
        <v>1802</v>
      </c>
      <c r="C1318" s="4" t="s">
        <v>2292</v>
      </c>
      <c r="D1318" s="4" t="s">
        <v>1812</v>
      </c>
      <c r="E1318" s="5">
        <v>48.3641275995966</v>
      </c>
    </row>
    <row r="1319" ht="14.25" customHeight="1">
      <c r="A1319" s="4"/>
      <c r="B1319" s="4" t="s">
        <v>1802</v>
      </c>
      <c r="C1319" s="4" t="s">
        <v>2293</v>
      </c>
      <c r="D1319" s="4" t="s">
        <v>1812</v>
      </c>
      <c r="E1319" s="5">
        <v>48.3641275995966</v>
      </c>
    </row>
    <row r="1320" ht="14.25" customHeight="1">
      <c r="A1320" s="4"/>
      <c r="B1320" s="4" t="s">
        <v>1802</v>
      </c>
      <c r="C1320" s="4" t="s">
        <v>2294</v>
      </c>
      <c r="D1320" s="4" t="s">
        <v>2295</v>
      </c>
      <c r="E1320" s="5">
        <v>0.0816174021783831</v>
      </c>
    </row>
    <row r="1321" ht="14.25" customHeight="1">
      <c r="A1321" s="4"/>
      <c r="B1321" s="4" t="s">
        <v>1802</v>
      </c>
      <c r="C1321" s="4" t="s">
        <v>2296</v>
      </c>
      <c r="D1321" s="4" t="s">
        <v>2297</v>
      </c>
      <c r="E1321" s="5">
        <v>36.3432290741362</v>
      </c>
    </row>
    <row r="1322" ht="14.25" customHeight="1">
      <c r="A1322" s="4"/>
      <c r="B1322" s="4" t="s">
        <v>1802</v>
      </c>
      <c r="C1322" s="4" t="s">
        <v>2298</v>
      </c>
      <c r="D1322" s="4" t="s">
        <v>2299</v>
      </c>
      <c r="E1322" s="5">
        <v>6.345346892022979</v>
      </c>
    </row>
    <row r="1323" ht="14.25" customHeight="1">
      <c r="A1323" s="4"/>
      <c r="B1323" s="4" t="s">
        <v>1802</v>
      </c>
      <c r="C1323" s="4" t="s">
        <v>2300</v>
      </c>
      <c r="D1323" s="4" t="s">
        <v>2301</v>
      </c>
      <c r="E1323" s="5">
        <v>43.9654938096005</v>
      </c>
    </row>
    <row r="1324" ht="14.25" customHeight="1">
      <c r="A1324" s="4"/>
      <c r="B1324" s="4" t="s">
        <v>1802</v>
      </c>
      <c r="C1324" s="4" t="s">
        <v>2302</v>
      </c>
      <c r="D1324" s="4" t="s">
        <v>2303</v>
      </c>
      <c r="E1324" s="5">
        <v>43.884457188443605</v>
      </c>
    </row>
    <row r="1325" ht="14.25" customHeight="1">
      <c r="A1325" s="4"/>
      <c r="B1325" s="4" t="s">
        <v>1802</v>
      </c>
      <c r="C1325" s="4" t="s">
        <v>2304</v>
      </c>
      <c r="D1325" s="4" t="s">
        <v>1812</v>
      </c>
      <c r="E1325" s="5">
        <v>48.3641275995966</v>
      </c>
    </row>
    <row r="1326" ht="14.25" customHeight="1">
      <c r="A1326" s="4"/>
      <c r="B1326" s="4" t="s">
        <v>1802</v>
      </c>
      <c r="C1326" s="4" t="s">
        <v>2305</v>
      </c>
      <c r="D1326" s="4" t="s">
        <v>2306</v>
      </c>
      <c r="E1326" s="5">
        <v>23.707358789894098</v>
      </c>
    </row>
    <row r="1327" ht="14.25" customHeight="1">
      <c r="A1327" s="4"/>
      <c r="B1327" s="4" t="s">
        <v>1802</v>
      </c>
      <c r="C1327" s="4" t="s">
        <v>2307</v>
      </c>
      <c r="D1327" s="4" t="s">
        <v>2308</v>
      </c>
      <c r="E1327" s="5">
        <v>38.5152255410892</v>
      </c>
    </row>
    <row r="1328" ht="14.25" customHeight="1">
      <c r="A1328" s="4"/>
      <c r="B1328" s="4" t="s">
        <v>1802</v>
      </c>
      <c r="C1328" s="4" t="s">
        <v>2309</v>
      </c>
      <c r="D1328" s="4" t="s">
        <v>2310</v>
      </c>
      <c r="E1328" s="5">
        <v>19.864093669464303</v>
      </c>
    </row>
    <row r="1329" ht="14.25" customHeight="1">
      <c r="A1329" s="4"/>
      <c r="B1329" s="4" t="s">
        <v>1802</v>
      </c>
      <c r="C1329" s="4" t="s">
        <v>2311</v>
      </c>
      <c r="D1329" s="4" t="s">
        <v>1812</v>
      </c>
      <c r="E1329" s="5">
        <v>48.3641275995966</v>
      </c>
    </row>
    <row r="1330" ht="14.25" customHeight="1">
      <c r="A1330" s="4"/>
      <c r="B1330" s="4" t="s">
        <v>1802</v>
      </c>
      <c r="C1330" s="4" t="s">
        <v>2312</v>
      </c>
      <c r="D1330" s="4" t="s">
        <v>2313</v>
      </c>
      <c r="E1330" s="5">
        <v>9.67375006831509</v>
      </c>
    </row>
    <row r="1331" ht="14.25" customHeight="1">
      <c r="A1331" s="4"/>
      <c r="B1331" s="4" t="s">
        <v>1802</v>
      </c>
      <c r="C1331" s="4" t="s">
        <v>2314</v>
      </c>
      <c r="D1331" s="4" t="s">
        <v>2315</v>
      </c>
      <c r="E1331" s="5">
        <v>32.6709961492068</v>
      </c>
    </row>
    <row r="1332" ht="14.25" customHeight="1">
      <c r="A1332" s="4"/>
      <c r="B1332" s="4" t="s">
        <v>1802</v>
      </c>
      <c r="C1332" s="4" t="s">
        <v>2316</v>
      </c>
      <c r="D1332" s="4" t="s">
        <v>1837</v>
      </c>
      <c r="E1332" s="5">
        <v>9.672825519919328</v>
      </c>
    </row>
    <row r="1333" ht="14.25" customHeight="1">
      <c r="A1333" s="4"/>
      <c r="B1333" s="4" t="s">
        <v>1802</v>
      </c>
      <c r="C1333" s="4" t="s">
        <v>2317</v>
      </c>
      <c r="D1333" s="4" t="s">
        <v>1812</v>
      </c>
      <c r="E1333" s="5">
        <v>48.3641275995966</v>
      </c>
    </row>
    <row r="1334" ht="14.25" customHeight="1">
      <c r="A1334" s="4"/>
      <c r="B1334" s="4" t="s">
        <v>1802</v>
      </c>
      <c r="C1334" s="4" t="s">
        <v>2318</v>
      </c>
      <c r="D1334" s="4" t="s">
        <v>2319</v>
      </c>
      <c r="E1334" s="5">
        <v>33.762501439652496</v>
      </c>
    </row>
    <row r="1335" ht="14.25" customHeight="1">
      <c r="A1335" s="4"/>
      <c r="B1335" s="4" t="s">
        <v>1802</v>
      </c>
      <c r="C1335" s="4" t="s">
        <v>2320</v>
      </c>
      <c r="D1335" s="4" t="s">
        <v>2321</v>
      </c>
      <c r="E1335" s="5">
        <v>4.10475256115996</v>
      </c>
    </row>
    <row r="1336" ht="14.25" customHeight="1">
      <c r="A1336" s="4"/>
      <c r="B1336" s="4" t="s">
        <v>1802</v>
      </c>
      <c r="C1336" s="4" t="s">
        <v>2322</v>
      </c>
      <c r="D1336" s="4" t="s">
        <v>2323</v>
      </c>
      <c r="E1336" s="5">
        <v>18.5682228487377</v>
      </c>
    </row>
    <row r="1337" ht="14.25" customHeight="1">
      <c r="A1337" s="4"/>
      <c r="B1337" s="4" t="s">
        <v>1802</v>
      </c>
      <c r="C1337" s="4" t="s">
        <v>2324</v>
      </c>
      <c r="D1337" s="4" t="s">
        <v>2325</v>
      </c>
      <c r="E1337" s="5">
        <v>7.33077322511567</v>
      </c>
    </row>
    <row r="1338" ht="14.25" customHeight="1">
      <c r="A1338" s="4"/>
      <c r="B1338" s="4" t="s">
        <v>1802</v>
      </c>
      <c r="C1338" s="4" t="s">
        <v>2326</v>
      </c>
      <c r="D1338" s="4" t="s">
        <v>1837</v>
      </c>
      <c r="E1338" s="5">
        <v>9.672825519919328</v>
      </c>
    </row>
    <row r="1339" ht="14.25" customHeight="1">
      <c r="A1339" s="4"/>
      <c r="B1339" s="4" t="s">
        <v>1802</v>
      </c>
      <c r="C1339" s="4" t="s">
        <v>2327</v>
      </c>
      <c r="D1339" s="4" t="s">
        <v>2328</v>
      </c>
      <c r="E1339" s="5">
        <v>0.238803811729428</v>
      </c>
    </row>
    <row r="1340" ht="14.25" customHeight="1">
      <c r="A1340" s="4"/>
      <c r="B1340" s="4" t="s">
        <v>1802</v>
      </c>
      <c r="C1340" s="4" t="s">
        <v>2329</v>
      </c>
      <c r="D1340" s="4" t="s">
        <v>1812</v>
      </c>
      <c r="E1340" s="5">
        <v>48.3641275995966</v>
      </c>
    </row>
    <row r="1341" ht="14.25" customHeight="1">
      <c r="A1341" s="4"/>
      <c r="B1341" s="4" t="s">
        <v>1802</v>
      </c>
      <c r="C1341" s="4" t="s">
        <v>2330</v>
      </c>
      <c r="D1341" s="4" t="s">
        <v>2331</v>
      </c>
      <c r="E1341" s="5">
        <v>4.76819779247119</v>
      </c>
    </row>
    <row r="1342" ht="14.25" customHeight="1">
      <c r="A1342" s="4"/>
      <c r="B1342" s="4" t="s">
        <v>1802</v>
      </c>
      <c r="C1342" s="4" t="s">
        <v>501</v>
      </c>
      <c r="D1342" s="4" t="s">
        <v>2332</v>
      </c>
      <c r="E1342" s="5">
        <v>45.6833466445512</v>
      </c>
    </row>
    <row r="1343" ht="14.25" customHeight="1">
      <c r="A1343" s="4"/>
      <c r="B1343" s="4" t="s">
        <v>1802</v>
      </c>
      <c r="C1343" s="4" t="s">
        <v>2333</v>
      </c>
      <c r="D1343" s="4" t="s">
        <v>1812</v>
      </c>
      <c r="E1343" s="5">
        <v>48.3641275995966</v>
      </c>
    </row>
    <row r="1344" ht="14.25" customHeight="1">
      <c r="A1344" s="4"/>
      <c r="B1344" s="4" t="s">
        <v>1802</v>
      </c>
      <c r="C1344" s="4" t="s">
        <v>2334</v>
      </c>
      <c r="D1344" s="4" t="s">
        <v>1812</v>
      </c>
      <c r="E1344" s="5">
        <v>48.3641275995966</v>
      </c>
    </row>
    <row r="1345" ht="14.25" customHeight="1">
      <c r="A1345" s="4"/>
      <c r="B1345" s="4" t="s">
        <v>1802</v>
      </c>
      <c r="C1345" s="4" t="s">
        <v>2335</v>
      </c>
      <c r="D1345" s="4" t="s">
        <v>1812</v>
      </c>
      <c r="E1345" s="5">
        <v>48.3641275995966</v>
      </c>
    </row>
    <row r="1346" ht="14.25" customHeight="1">
      <c r="A1346" s="4"/>
      <c r="B1346" s="4" t="s">
        <v>1802</v>
      </c>
      <c r="C1346" s="4" t="s">
        <v>2336</v>
      </c>
      <c r="D1346" s="4" t="s">
        <v>1812</v>
      </c>
      <c r="E1346" s="5">
        <v>48.3641275995966</v>
      </c>
    </row>
    <row r="1347" ht="14.25" customHeight="1">
      <c r="A1347" s="4"/>
      <c r="B1347" s="4" t="s">
        <v>1802</v>
      </c>
      <c r="C1347" s="4" t="s">
        <v>2337</v>
      </c>
      <c r="D1347" s="4" t="s">
        <v>2338</v>
      </c>
      <c r="E1347" s="5">
        <v>10.349899623561098</v>
      </c>
    </row>
    <row r="1348" ht="14.25" customHeight="1">
      <c r="A1348" s="4"/>
      <c r="B1348" s="4" t="s">
        <v>1802</v>
      </c>
      <c r="C1348" s="4" t="s">
        <v>2339</v>
      </c>
      <c r="D1348" s="4" t="s">
        <v>1837</v>
      </c>
      <c r="E1348" s="5">
        <v>9.672825519919328</v>
      </c>
    </row>
    <row r="1349" ht="14.25" customHeight="1">
      <c r="A1349" s="4"/>
      <c r="B1349" s="4" t="s">
        <v>1802</v>
      </c>
      <c r="C1349" s="4" t="s">
        <v>2340</v>
      </c>
      <c r="D1349" s="4" t="s">
        <v>1812</v>
      </c>
      <c r="E1349" s="5">
        <v>48.3641275995966</v>
      </c>
    </row>
    <row r="1350" ht="14.25" customHeight="1">
      <c r="A1350" s="4"/>
      <c r="B1350" s="4" t="s">
        <v>1802</v>
      </c>
      <c r="C1350" s="4" t="s">
        <v>2341</v>
      </c>
      <c r="D1350" s="4" t="s">
        <v>1812</v>
      </c>
      <c r="E1350" s="5">
        <v>48.3641275995966</v>
      </c>
    </row>
    <row r="1351" ht="14.25" customHeight="1">
      <c r="A1351" s="4"/>
      <c r="B1351" s="4" t="s">
        <v>1802</v>
      </c>
      <c r="C1351" s="4" t="s">
        <v>2342</v>
      </c>
      <c r="D1351" s="4" t="s">
        <v>1812</v>
      </c>
      <c r="E1351" s="5">
        <v>48.3641275995966</v>
      </c>
    </row>
    <row r="1352" ht="14.25" customHeight="1">
      <c r="A1352" s="4"/>
      <c r="B1352" s="4" t="s">
        <v>1802</v>
      </c>
      <c r="C1352" s="4" t="s">
        <v>2343</v>
      </c>
      <c r="D1352" s="4" t="s">
        <v>1821</v>
      </c>
      <c r="E1352" s="5">
        <v>19.3456510398386</v>
      </c>
    </row>
    <row r="1353" ht="14.25" customHeight="1">
      <c r="A1353" s="4"/>
      <c r="B1353" s="4" t="s">
        <v>1802</v>
      </c>
      <c r="C1353" s="4" t="s">
        <v>742</v>
      </c>
      <c r="D1353" s="4" t="s">
        <v>1812</v>
      </c>
      <c r="E1353" s="5">
        <v>48.3641275995966</v>
      </c>
    </row>
    <row r="1354" ht="14.25" customHeight="1">
      <c r="A1354" s="4"/>
      <c r="B1354" s="4" t="s">
        <v>1802</v>
      </c>
      <c r="C1354" s="4" t="s">
        <v>2344</v>
      </c>
      <c r="D1354" s="4" t="s">
        <v>2345</v>
      </c>
      <c r="E1354" s="5">
        <v>1.51970440676652</v>
      </c>
    </row>
    <row r="1355" ht="14.25" customHeight="1">
      <c r="A1355" s="4"/>
      <c r="B1355" s="4" t="s">
        <v>1802</v>
      </c>
      <c r="C1355" s="4" t="s">
        <v>2346</v>
      </c>
      <c r="D1355" s="4" t="s">
        <v>2347</v>
      </c>
      <c r="E1355" s="5">
        <v>18.210228390803902</v>
      </c>
    </row>
    <row r="1356" ht="14.25" customHeight="1">
      <c r="A1356" s="4"/>
      <c r="B1356" s="4" t="s">
        <v>1802</v>
      </c>
      <c r="C1356" s="4" t="s">
        <v>1393</v>
      </c>
      <c r="D1356" s="4" t="s">
        <v>2348</v>
      </c>
      <c r="E1356" s="5">
        <v>36.485517839387</v>
      </c>
    </row>
    <row r="1357" ht="14.25" customHeight="1">
      <c r="A1357" s="4"/>
      <c r="B1357" s="4" t="s">
        <v>1802</v>
      </c>
      <c r="C1357" s="4" t="s">
        <v>2349</v>
      </c>
      <c r="D1357" s="4" t="s">
        <v>1812</v>
      </c>
      <c r="E1357" s="5">
        <v>48.3641275995966</v>
      </c>
    </row>
    <row r="1358" ht="14.25" customHeight="1">
      <c r="A1358" s="4"/>
      <c r="B1358" s="4" t="s">
        <v>1802</v>
      </c>
      <c r="C1358" s="4" t="s">
        <v>2350</v>
      </c>
      <c r="D1358" s="4" t="s">
        <v>1837</v>
      </c>
      <c r="E1358" s="5">
        <v>9.672825519919328</v>
      </c>
    </row>
    <row r="1359" ht="14.25" customHeight="1">
      <c r="A1359" s="4"/>
      <c r="B1359" s="4" t="s">
        <v>1802</v>
      </c>
      <c r="C1359" s="4" t="s">
        <v>2351</v>
      </c>
      <c r="D1359" s="4" t="s">
        <v>1812</v>
      </c>
      <c r="E1359" s="5">
        <v>48.3641275995966</v>
      </c>
    </row>
    <row r="1360" ht="14.25" customHeight="1">
      <c r="A1360" s="4"/>
      <c r="B1360" s="4" t="s">
        <v>1802</v>
      </c>
      <c r="C1360" s="4" t="s">
        <v>2352</v>
      </c>
      <c r="D1360" s="4" t="s">
        <v>1812</v>
      </c>
      <c r="E1360" s="5">
        <v>48.3641275995966</v>
      </c>
    </row>
    <row r="1361" ht="14.25" customHeight="1">
      <c r="A1361" s="4"/>
      <c r="B1361" s="4" t="s">
        <v>1802</v>
      </c>
      <c r="C1361" s="4" t="s">
        <v>2353</v>
      </c>
      <c r="D1361" s="4" t="s">
        <v>2354</v>
      </c>
      <c r="E1361" s="5">
        <v>20.910186809162802</v>
      </c>
    </row>
    <row r="1362" ht="14.25" customHeight="1">
      <c r="A1362" s="4"/>
      <c r="B1362" s="4" t="s">
        <v>1802</v>
      </c>
      <c r="C1362" s="4" t="s">
        <v>2355</v>
      </c>
      <c r="D1362" s="4" t="s">
        <v>2356</v>
      </c>
      <c r="E1362" s="5">
        <v>47.977214578799796</v>
      </c>
    </row>
    <row r="1363" ht="14.25" customHeight="1">
      <c r="A1363" s="4"/>
      <c r="B1363" s="4" t="s">
        <v>1802</v>
      </c>
      <c r="C1363" s="4" t="s">
        <v>2357</v>
      </c>
      <c r="D1363" s="4" t="s">
        <v>2358</v>
      </c>
      <c r="E1363" s="5">
        <v>0.877189930414998</v>
      </c>
    </row>
    <row r="1364" ht="14.25" customHeight="1">
      <c r="A1364" s="4"/>
      <c r="B1364" s="4" t="s">
        <v>1802</v>
      </c>
      <c r="C1364" s="4" t="s">
        <v>2359</v>
      </c>
      <c r="D1364" s="4" t="s">
        <v>2360</v>
      </c>
      <c r="E1364" s="5">
        <v>2.9018476559758</v>
      </c>
    </row>
    <row r="1365" ht="14.25" customHeight="1">
      <c r="A1365" s="4"/>
      <c r="B1365" s="4" t="s">
        <v>1802</v>
      </c>
      <c r="C1365" s="4" t="s">
        <v>2361</v>
      </c>
      <c r="D1365" s="4" t="s">
        <v>2362</v>
      </c>
      <c r="E1365" s="5">
        <v>35.4713954119458</v>
      </c>
    </row>
    <row r="1366" ht="14.25" customHeight="1">
      <c r="A1366" s="4"/>
      <c r="B1366" s="4" t="s">
        <v>1802</v>
      </c>
      <c r="C1366" s="4" t="s">
        <v>2363</v>
      </c>
      <c r="D1366" s="4" t="s">
        <v>2364</v>
      </c>
      <c r="E1366" s="5">
        <v>23.2162956354295</v>
      </c>
    </row>
    <row r="1367" ht="14.25" customHeight="1">
      <c r="A1367" s="4"/>
      <c r="B1367" s="4" t="s">
        <v>1802</v>
      </c>
      <c r="C1367" s="4" t="s">
        <v>2365</v>
      </c>
      <c r="D1367" s="4" t="s">
        <v>1812</v>
      </c>
      <c r="E1367" s="5">
        <v>48.3641275995966</v>
      </c>
    </row>
    <row r="1368" ht="14.25" customHeight="1">
      <c r="A1368" s="4"/>
      <c r="B1368" s="4" t="s">
        <v>1802</v>
      </c>
      <c r="C1368" s="4" t="s">
        <v>2366</v>
      </c>
      <c r="D1368" s="4" t="s">
        <v>2367</v>
      </c>
      <c r="E1368" s="5">
        <v>22.885403255898197</v>
      </c>
    </row>
    <row r="1369" ht="14.25" customHeight="1">
      <c r="A1369" s="4"/>
      <c r="B1369" s="4" t="s">
        <v>1802</v>
      </c>
      <c r="C1369" s="4" t="s">
        <v>2368</v>
      </c>
      <c r="D1369" s="4" t="s">
        <v>1812</v>
      </c>
      <c r="E1369" s="5">
        <v>48.3641275995966</v>
      </c>
    </row>
    <row r="1370" ht="14.25" customHeight="1">
      <c r="A1370" s="4"/>
      <c r="B1370" s="4" t="s">
        <v>1802</v>
      </c>
      <c r="C1370" s="4" t="s">
        <v>2369</v>
      </c>
      <c r="D1370" s="4" t="s">
        <v>1837</v>
      </c>
      <c r="E1370" s="5">
        <v>9.672825519919328</v>
      </c>
    </row>
    <row r="1371" ht="14.25" customHeight="1">
      <c r="A1371" s="4"/>
      <c r="B1371" s="4" t="s">
        <v>1802</v>
      </c>
      <c r="C1371" s="4" t="s">
        <v>2370</v>
      </c>
      <c r="D1371" s="4" t="s">
        <v>2371</v>
      </c>
      <c r="E1371" s="5">
        <v>7.1469930680324305</v>
      </c>
    </row>
    <row r="1372" ht="14.25" customHeight="1">
      <c r="A1372" s="4"/>
      <c r="B1372" s="4" t="s">
        <v>1802</v>
      </c>
      <c r="C1372" s="4" t="s">
        <v>2372</v>
      </c>
      <c r="D1372" s="4" t="s">
        <v>1837</v>
      </c>
      <c r="E1372" s="5">
        <v>9.672825519919328</v>
      </c>
    </row>
    <row r="1373" ht="14.25" customHeight="1">
      <c r="A1373" s="4"/>
      <c r="B1373" s="4" t="s">
        <v>1802</v>
      </c>
      <c r="C1373" s="4" t="s">
        <v>143</v>
      </c>
      <c r="D1373" s="4" t="s">
        <v>1812</v>
      </c>
      <c r="E1373" s="5">
        <v>48.3641275995966</v>
      </c>
    </row>
    <row r="1374" ht="14.25" customHeight="1">
      <c r="A1374" s="4"/>
      <c r="B1374" s="4" t="s">
        <v>1802</v>
      </c>
      <c r="C1374" s="4" t="s">
        <v>2373</v>
      </c>
      <c r="D1374" s="4" t="s">
        <v>2374</v>
      </c>
      <c r="E1374" s="5">
        <v>31.862742475515198</v>
      </c>
    </row>
    <row r="1375" ht="14.25" customHeight="1">
      <c r="A1375" s="4"/>
      <c r="B1375" s="4" t="s">
        <v>1802</v>
      </c>
      <c r="C1375" s="4" t="s">
        <v>2375</v>
      </c>
      <c r="D1375" s="4" t="s">
        <v>1812</v>
      </c>
      <c r="E1375" s="5">
        <v>48.3641275995966</v>
      </c>
    </row>
    <row r="1376" ht="14.25" customHeight="1">
      <c r="A1376" s="4"/>
      <c r="B1376" s="4" t="s">
        <v>1802</v>
      </c>
      <c r="C1376" s="4" t="s">
        <v>2376</v>
      </c>
      <c r="D1376" s="4" t="s">
        <v>2377</v>
      </c>
      <c r="E1376" s="5">
        <v>45.1918785694932</v>
      </c>
    </row>
    <row r="1377" ht="14.25" customHeight="1">
      <c r="A1377" s="4"/>
      <c r="B1377" s="4" t="s">
        <v>1802</v>
      </c>
      <c r="C1377" s="4" t="s">
        <v>2378</v>
      </c>
      <c r="D1377" s="4" t="s">
        <v>1812</v>
      </c>
      <c r="E1377" s="5">
        <v>48.3641275995966</v>
      </c>
    </row>
    <row r="1378" ht="14.25" customHeight="1">
      <c r="A1378" s="4"/>
      <c r="B1378" s="4" t="s">
        <v>1802</v>
      </c>
      <c r="C1378" s="4" t="s">
        <v>2379</v>
      </c>
      <c r="D1378" s="4" t="s">
        <v>1812</v>
      </c>
      <c r="E1378" s="5">
        <v>48.3641275995966</v>
      </c>
    </row>
    <row r="1379" ht="14.25" customHeight="1">
      <c r="A1379" s="4"/>
      <c r="B1379" s="4" t="s">
        <v>1802</v>
      </c>
      <c r="C1379" s="4" t="s">
        <v>2380</v>
      </c>
      <c r="D1379" s="4" t="s">
        <v>1812</v>
      </c>
      <c r="E1379" s="5">
        <v>48.3641275995966</v>
      </c>
    </row>
    <row r="1380" ht="14.25" customHeight="1">
      <c r="A1380" s="4"/>
      <c r="B1380" s="4" t="s">
        <v>1802</v>
      </c>
      <c r="C1380" s="4" t="s">
        <v>2381</v>
      </c>
      <c r="D1380" s="4" t="s">
        <v>2382</v>
      </c>
      <c r="E1380" s="5">
        <v>2.22640075600992</v>
      </c>
    </row>
    <row r="1381" ht="14.25" customHeight="1">
      <c r="A1381" s="4"/>
      <c r="B1381" s="4" t="s">
        <v>1802</v>
      </c>
      <c r="C1381" s="4" t="s">
        <v>2383</v>
      </c>
      <c r="D1381" s="4" t="s">
        <v>1821</v>
      </c>
      <c r="E1381" s="5">
        <v>19.3456510398386</v>
      </c>
    </row>
    <row r="1382" ht="14.25" customHeight="1">
      <c r="A1382" s="4"/>
      <c r="B1382" s="4" t="s">
        <v>1802</v>
      </c>
      <c r="C1382" s="4" t="s">
        <v>2384</v>
      </c>
      <c r="D1382" s="4" t="s">
        <v>1812</v>
      </c>
      <c r="E1382" s="5">
        <v>48.3641275995966</v>
      </c>
    </row>
    <row r="1383" ht="14.25" customHeight="1">
      <c r="A1383" s="4"/>
      <c r="B1383" s="4" t="s">
        <v>1802</v>
      </c>
      <c r="C1383" s="4" t="s">
        <v>2385</v>
      </c>
      <c r="D1383" s="4" t="s">
        <v>1812</v>
      </c>
      <c r="E1383" s="5">
        <v>48.3641275995966</v>
      </c>
    </row>
    <row r="1384" ht="14.25" customHeight="1">
      <c r="A1384" s="4"/>
      <c r="B1384" s="4" t="s">
        <v>1802</v>
      </c>
      <c r="C1384" s="4" t="s">
        <v>2386</v>
      </c>
      <c r="D1384" s="4" t="s">
        <v>2387</v>
      </c>
      <c r="E1384" s="5">
        <v>17.2014094008577</v>
      </c>
    </row>
    <row r="1385" ht="14.25" customHeight="1">
      <c r="A1385" s="4"/>
      <c r="B1385" s="4" t="s">
        <v>1802</v>
      </c>
      <c r="C1385" s="4" t="s">
        <v>2388</v>
      </c>
      <c r="D1385" s="4" t="s">
        <v>2389</v>
      </c>
      <c r="E1385" s="5">
        <v>1.46813933025003</v>
      </c>
    </row>
    <row r="1386" ht="14.25" customHeight="1">
      <c r="A1386" s="4"/>
      <c r="B1386" s="4" t="s">
        <v>1802</v>
      </c>
      <c r="C1386" s="4" t="s">
        <v>2390</v>
      </c>
      <c r="D1386" s="4" t="s">
        <v>1812</v>
      </c>
      <c r="E1386" s="5">
        <v>48.3641275995966</v>
      </c>
    </row>
    <row r="1387" ht="14.25" customHeight="1">
      <c r="A1387" s="4"/>
      <c r="B1387" s="4" t="s">
        <v>1802</v>
      </c>
      <c r="C1387" s="4" t="s">
        <v>1761</v>
      </c>
      <c r="D1387" s="4" t="s">
        <v>1812</v>
      </c>
      <c r="E1387" s="5">
        <v>48.3641275995966</v>
      </c>
    </row>
    <row r="1388" ht="14.25" customHeight="1">
      <c r="A1388" s="4"/>
      <c r="B1388" s="4" t="s">
        <v>1802</v>
      </c>
      <c r="C1388" s="4" t="s">
        <v>2391</v>
      </c>
      <c r="D1388" s="4" t="s">
        <v>1821</v>
      </c>
      <c r="E1388" s="5">
        <v>19.3456510398386</v>
      </c>
    </row>
    <row r="1389" ht="14.25" customHeight="1">
      <c r="A1389" s="4"/>
      <c r="B1389" s="4" t="s">
        <v>1802</v>
      </c>
      <c r="C1389" s="4" t="s">
        <v>2392</v>
      </c>
      <c r="D1389" s="4" t="s">
        <v>2393</v>
      </c>
      <c r="E1389" s="5">
        <v>8.92937996747302</v>
      </c>
    </row>
    <row r="1390" ht="14.25" customHeight="1">
      <c r="A1390" s="4"/>
      <c r="B1390" s="4" t="s">
        <v>1802</v>
      </c>
      <c r="C1390" s="4" t="s">
        <v>2394</v>
      </c>
      <c r="D1390" s="4" t="s">
        <v>2395</v>
      </c>
      <c r="E1390" s="5">
        <v>44.751444682974295</v>
      </c>
    </row>
    <row r="1391" ht="14.25" customHeight="1">
      <c r="A1391" s="4"/>
      <c r="B1391" s="4" t="s">
        <v>1802</v>
      </c>
      <c r="C1391" s="4" t="s">
        <v>2396</v>
      </c>
      <c r="D1391" s="4" t="s">
        <v>2397</v>
      </c>
      <c r="E1391" s="5">
        <v>4.081997100352</v>
      </c>
    </row>
    <row r="1392" ht="14.25" customHeight="1">
      <c r="A1392" s="4"/>
      <c r="B1392" s="4" t="s">
        <v>1802</v>
      </c>
      <c r="C1392" s="4" t="s">
        <v>861</v>
      </c>
      <c r="D1392" s="4" t="s">
        <v>1812</v>
      </c>
      <c r="E1392" s="5">
        <v>48.3641275995966</v>
      </c>
    </row>
    <row r="1393" ht="14.25" customHeight="1">
      <c r="A1393" s="4"/>
      <c r="B1393" s="4" t="s">
        <v>1802</v>
      </c>
      <c r="C1393" s="4" t="s">
        <v>2398</v>
      </c>
      <c r="D1393" s="4" t="s">
        <v>2399</v>
      </c>
      <c r="E1393" s="5">
        <v>29.6929662169385</v>
      </c>
    </row>
    <row r="1394" ht="14.25" customHeight="1">
      <c r="A1394" s="4"/>
      <c r="B1394" s="4" t="s">
        <v>1802</v>
      </c>
      <c r="C1394" s="4" t="s">
        <v>1679</v>
      </c>
      <c r="D1394" s="4" t="s">
        <v>2400</v>
      </c>
      <c r="E1394" s="5">
        <v>47.3245618390358</v>
      </c>
    </row>
    <row r="1395" ht="14.25" customHeight="1">
      <c r="A1395" s="4"/>
      <c r="B1395" s="4" t="s">
        <v>1802</v>
      </c>
      <c r="C1395" s="4" t="s">
        <v>2401</v>
      </c>
      <c r="D1395" s="4" t="s">
        <v>1812</v>
      </c>
      <c r="E1395" s="5">
        <v>48.3641275995966</v>
      </c>
    </row>
    <row r="1396" ht="14.25" customHeight="1">
      <c r="A1396" s="4"/>
      <c r="B1396" s="4" t="s">
        <v>1802</v>
      </c>
      <c r="C1396" s="4" t="s">
        <v>2402</v>
      </c>
      <c r="D1396" s="4" t="s">
        <v>2403</v>
      </c>
      <c r="E1396" s="5">
        <v>20.615067037063202</v>
      </c>
    </row>
    <row r="1397" ht="14.25" customHeight="1">
      <c r="A1397" s="4"/>
      <c r="B1397" s="4" t="s">
        <v>1802</v>
      </c>
      <c r="C1397" s="4" t="s">
        <v>2404</v>
      </c>
      <c r="D1397" s="4" t="s">
        <v>2405</v>
      </c>
      <c r="E1397" s="5">
        <v>32.0387190115152</v>
      </c>
    </row>
    <row r="1398" ht="14.25" customHeight="1">
      <c r="A1398" s="4"/>
      <c r="B1398" s="4" t="s">
        <v>1802</v>
      </c>
      <c r="C1398" s="4" t="s">
        <v>2406</v>
      </c>
      <c r="D1398" s="4" t="s">
        <v>2407</v>
      </c>
      <c r="E1398" s="5">
        <v>1.1366744995254798</v>
      </c>
    </row>
    <row r="1399" ht="14.25" customHeight="1">
      <c r="A1399" s="4"/>
      <c r="B1399" s="4" t="s">
        <v>1802</v>
      </c>
      <c r="C1399" s="4" t="s">
        <v>1505</v>
      </c>
      <c r="D1399" s="4" t="s">
        <v>2408</v>
      </c>
      <c r="E1399" s="5">
        <v>33.625866760733096</v>
      </c>
    </row>
    <row r="1400" ht="14.25" customHeight="1">
      <c r="A1400" s="4"/>
      <c r="B1400" s="4" t="s">
        <v>1802</v>
      </c>
      <c r="C1400" s="4" t="s">
        <v>2409</v>
      </c>
      <c r="D1400" s="4" t="s">
        <v>1905</v>
      </c>
      <c r="E1400" s="5">
        <v>10.059738540716099</v>
      </c>
    </row>
    <row r="1401" ht="14.25" customHeight="1">
      <c r="A1401" s="4"/>
      <c r="B1401" s="4" t="s">
        <v>1802</v>
      </c>
      <c r="C1401" s="4" t="s">
        <v>2410</v>
      </c>
      <c r="D1401" s="4" t="s">
        <v>2105</v>
      </c>
      <c r="E1401" s="5">
        <v>29.018476559758</v>
      </c>
    </row>
    <row r="1402" ht="14.25" customHeight="1">
      <c r="A1402" s="4"/>
      <c r="B1402" s="4" t="s">
        <v>1802</v>
      </c>
      <c r="C1402" s="4" t="s">
        <v>2411</v>
      </c>
      <c r="D1402" s="4" t="s">
        <v>2412</v>
      </c>
      <c r="E1402" s="5">
        <v>28.4381070285628</v>
      </c>
    </row>
    <row r="1403" ht="14.25" customHeight="1">
      <c r="A1403" s="4"/>
      <c r="B1403" s="4" t="s">
        <v>1802</v>
      </c>
      <c r="C1403" s="4" t="s">
        <v>2413</v>
      </c>
      <c r="D1403" s="4" t="s">
        <v>2414</v>
      </c>
      <c r="E1403" s="5">
        <v>47.2743043421673</v>
      </c>
    </row>
    <row r="1404" ht="14.25" customHeight="1">
      <c r="A1404" s="4"/>
      <c r="B1404" s="4" t="s">
        <v>1802</v>
      </c>
      <c r="C1404" s="4" t="s">
        <v>2415</v>
      </c>
      <c r="D1404" s="4" t="s">
        <v>2416</v>
      </c>
      <c r="E1404" s="5">
        <v>11.748628170836199</v>
      </c>
    </row>
    <row r="1405" ht="14.25" customHeight="1">
      <c r="A1405" s="4"/>
      <c r="B1405" s="4" t="s">
        <v>1802</v>
      </c>
      <c r="C1405" s="4" t="s">
        <v>2417</v>
      </c>
      <c r="D1405" s="4" t="s">
        <v>2418</v>
      </c>
      <c r="E1405" s="5">
        <v>26.1988688371667</v>
      </c>
    </row>
    <row r="1406" ht="14.25" customHeight="1">
      <c r="A1406" s="4"/>
      <c r="B1406" s="4" t="s">
        <v>1802</v>
      </c>
      <c r="C1406" s="4" t="s">
        <v>2419</v>
      </c>
      <c r="D1406" s="4" t="s">
        <v>1812</v>
      </c>
      <c r="E1406" s="5">
        <v>48.3641275995966</v>
      </c>
    </row>
    <row r="1407" ht="14.25" customHeight="1">
      <c r="A1407" s="4"/>
      <c r="B1407" s="4" t="s">
        <v>1802</v>
      </c>
      <c r="C1407" s="4" t="s">
        <v>2420</v>
      </c>
      <c r="D1407" s="4" t="s">
        <v>1812</v>
      </c>
      <c r="E1407" s="5">
        <v>48.3641275995966</v>
      </c>
    </row>
    <row r="1408" ht="14.25" customHeight="1">
      <c r="A1408" s="4"/>
      <c r="B1408" s="4" t="s">
        <v>1802</v>
      </c>
      <c r="C1408" s="4" t="s">
        <v>2421</v>
      </c>
      <c r="D1408" s="4" t="s">
        <v>2422</v>
      </c>
      <c r="E1408" s="5">
        <v>47.0989103690501</v>
      </c>
    </row>
    <row r="1409" ht="14.25" customHeight="1">
      <c r="A1409" s="4"/>
      <c r="B1409" s="4" t="s">
        <v>1802</v>
      </c>
      <c r="C1409" s="4" t="s">
        <v>2423</v>
      </c>
      <c r="D1409" s="4" t="s">
        <v>2424</v>
      </c>
      <c r="E1409" s="5">
        <v>13.033672211542301</v>
      </c>
    </row>
    <row r="1410" ht="14.25" customHeight="1">
      <c r="A1410" s="4"/>
      <c r="B1410" s="4" t="s">
        <v>1802</v>
      </c>
      <c r="C1410" s="4" t="s">
        <v>2425</v>
      </c>
      <c r="D1410" s="4" t="s">
        <v>1812</v>
      </c>
      <c r="E1410" s="5">
        <v>48.3641275995966</v>
      </c>
    </row>
    <row r="1411" ht="14.25" customHeight="1">
      <c r="A1411" s="4"/>
      <c r="B1411" s="4" t="s">
        <v>1802</v>
      </c>
      <c r="C1411" s="4" t="s">
        <v>2426</v>
      </c>
      <c r="D1411" s="4" t="s">
        <v>1812</v>
      </c>
      <c r="E1411" s="5">
        <v>48.3641275995966</v>
      </c>
    </row>
    <row r="1412" ht="14.25" customHeight="1">
      <c r="A1412" s="4"/>
      <c r="B1412" s="4" t="s">
        <v>1802</v>
      </c>
      <c r="C1412" s="4" t="s">
        <v>1734</v>
      </c>
      <c r="D1412" s="4" t="s">
        <v>1812</v>
      </c>
      <c r="E1412" s="5">
        <v>48.3641275995966</v>
      </c>
    </row>
    <row r="1413" ht="14.25" customHeight="1">
      <c r="A1413" s="4"/>
      <c r="B1413" s="4" t="s">
        <v>1802</v>
      </c>
      <c r="C1413" s="4" t="s">
        <v>2427</v>
      </c>
      <c r="D1413" s="4" t="s">
        <v>1812</v>
      </c>
      <c r="E1413" s="5">
        <v>48.3641275995966</v>
      </c>
    </row>
    <row r="1414" ht="14.25" customHeight="1">
      <c r="A1414" s="4"/>
      <c r="B1414" s="4" t="s">
        <v>1802</v>
      </c>
      <c r="C1414" s="4" t="s">
        <v>2428</v>
      </c>
      <c r="D1414" s="4" t="s">
        <v>1812</v>
      </c>
      <c r="E1414" s="5">
        <v>48.3641275995966</v>
      </c>
    </row>
    <row r="1415" ht="14.25" customHeight="1">
      <c r="A1415" s="4"/>
      <c r="B1415" s="4" t="s">
        <v>1802</v>
      </c>
      <c r="C1415" s="4" t="s">
        <v>2429</v>
      </c>
      <c r="D1415" s="4" t="s">
        <v>2430</v>
      </c>
      <c r="E1415" s="5">
        <v>23.1009552228851</v>
      </c>
    </row>
    <row r="1416" ht="14.25" customHeight="1">
      <c r="A1416" s="4"/>
      <c r="B1416" s="4" t="s">
        <v>1802</v>
      </c>
      <c r="C1416" s="4" t="s">
        <v>72</v>
      </c>
      <c r="D1416" s="4" t="s">
        <v>1812</v>
      </c>
      <c r="E1416" s="5">
        <v>48.3641275995966</v>
      </c>
    </row>
    <row r="1417" ht="14.25" customHeight="1">
      <c r="A1417" s="4"/>
      <c r="B1417" s="4" t="s">
        <v>1802</v>
      </c>
      <c r="C1417" s="4" t="s">
        <v>2431</v>
      </c>
      <c r="D1417" s="4" t="s">
        <v>2432</v>
      </c>
      <c r="E1417" s="5">
        <v>42.5122090529452</v>
      </c>
    </row>
    <row r="1418" ht="14.25" customHeight="1">
      <c r="A1418" s="4"/>
      <c r="B1418" s="4" t="s">
        <v>1802</v>
      </c>
      <c r="C1418" s="4" t="s">
        <v>2433</v>
      </c>
      <c r="D1418" s="4" t="s">
        <v>2434</v>
      </c>
      <c r="E1418" s="5">
        <v>37.1082899259492</v>
      </c>
    </row>
    <row r="1419" ht="14.25" customHeight="1">
      <c r="A1419" s="4"/>
      <c r="B1419" s="4" t="s">
        <v>1802</v>
      </c>
      <c r="C1419" s="4" t="s">
        <v>2435</v>
      </c>
      <c r="D1419" s="4" t="s">
        <v>2436</v>
      </c>
      <c r="E1419" s="5">
        <v>9.30439361100888</v>
      </c>
    </row>
    <row r="1420" ht="14.25" customHeight="1">
      <c r="A1420" s="4"/>
      <c r="B1420" s="4" t="s">
        <v>1802</v>
      </c>
      <c r="C1420" s="4" t="s">
        <v>2437</v>
      </c>
      <c r="D1420" s="4" t="s">
        <v>1812</v>
      </c>
      <c r="E1420" s="5">
        <v>48.3641275995966</v>
      </c>
    </row>
    <row r="1421" ht="14.25" customHeight="1">
      <c r="A1421" s="4"/>
      <c r="B1421" s="4" t="s">
        <v>1802</v>
      </c>
      <c r="C1421" s="4" t="s">
        <v>2438</v>
      </c>
      <c r="D1421" s="4" t="s">
        <v>1812</v>
      </c>
      <c r="E1421" s="5">
        <v>48.3641275995966</v>
      </c>
    </row>
    <row r="1422" ht="14.25" customHeight="1">
      <c r="A1422" s="4"/>
      <c r="B1422" s="4" t="s">
        <v>1802</v>
      </c>
      <c r="C1422" s="4" t="s">
        <v>2439</v>
      </c>
      <c r="D1422" s="4" t="s">
        <v>2440</v>
      </c>
      <c r="E1422" s="5">
        <v>5.2521248628181105</v>
      </c>
    </row>
    <row r="1423" ht="14.25" customHeight="1">
      <c r="A1423" s="4"/>
      <c r="B1423" s="4" t="s">
        <v>1802</v>
      </c>
      <c r="C1423" s="4" t="s">
        <v>471</v>
      </c>
      <c r="D1423" s="4" t="s">
        <v>2441</v>
      </c>
      <c r="E1423" s="5">
        <v>43.3129362048434</v>
      </c>
    </row>
    <row r="1424" ht="14.25" customHeight="1">
      <c r="A1424" s="4"/>
      <c r="B1424" s="4" t="s">
        <v>1802</v>
      </c>
      <c r="C1424" s="4" t="s">
        <v>388</v>
      </c>
      <c r="D1424" s="4" t="s">
        <v>1812</v>
      </c>
      <c r="E1424" s="5">
        <v>48.3641275995966</v>
      </c>
    </row>
    <row r="1425" ht="14.25" customHeight="1">
      <c r="A1425" s="4"/>
      <c r="B1425" s="4" t="s">
        <v>1802</v>
      </c>
      <c r="C1425" s="4" t="s">
        <v>2442</v>
      </c>
      <c r="D1425" s="4" t="s">
        <v>1837</v>
      </c>
      <c r="E1425" s="5">
        <v>9.672825519919328</v>
      </c>
    </row>
    <row r="1426" ht="14.25" customHeight="1">
      <c r="A1426" s="4"/>
      <c r="B1426" s="4" t="s">
        <v>1802</v>
      </c>
      <c r="C1426" s="4" t="s">
        <v>1543</v>
      </c>
      <c r="D1426" s="4" t="s">
        <v>2443</v>
      </c>
      <c r="E1426" s="5">
        <v>45.3580824677824</v>
      </c>
    </row>
    <row r="1427" ht="14.25" customHeight="1">
      <c r="A1427" s="4"/>
      <c r="B1427" s="4" t="s">
        <v>1802</v>
      </c>
      <c r="C1427" s="4" t="s">
        <v>2444</v>
      </c>
      <c r="D1427" s="4" t="s">
        <v>2445</v>
      </c>
      <c r="E1427" s="5">
        <v>32.463660590389196</v>
      </c>
    </row>
    <row r="1428" ht="14.25" customHeight="1">
      <c r="A1428" s="4"/>
      <c r="B1428" s="4" t="s">
        <v>1802</v>
      </c>
      <c r="C1428" s="4" t="s">
        <v>2446</v>
      </c>
      <c r="D1428" s="4" t="s">
        <v>2447</v>
      </c>
      <c r="E1428" s="5">
        <v>9.27312943524983</v>
      </c>
    </row>
    <row r="1429" ht="14.25" customHeight="1">
      <c r="A1429" s="4"/>
      <c r="B1429" s="4" t="s">
        <v>1802</v>
      </c>
      <c r="C1429" s="4" t="s">
        <v>2448</v>
      </c>
      <c r="D1429" s="4" t="s">
        <v>1837</v>
      </c>
      <c r="E1429" s="5">
        <v>9.672825519919328</v>
      </c>
    </row>
    <row r="1430" ht="14.25" customHeight="1">
      <c r="A1430" s="4"/>
      <c r="B1430" s="4" t="s">
        <v>1802</v>
      </c>
      <c r="C1430" s="4" t="s">
        <v>2449</v>
      </c>
      <c r="D1430" s="4" t="s">
        <v>1812</v>
      </c>
      <c r="E1430" s="5">
        <v>48.3641275995966</v>
      </c>
    </row>
    <row r="1431" ht="14.25" customHeight="1">
      <c r="A1431" s="4"/>
      <c r="B1431" s="4" t="s">
        <v>1802</v>
      </c>
      <c r="C1431" s="4" t="s">
        <v>2450</v>
      </c>
      <c r="D1431" s="4" t="s">
        <v>2451</v>
      </c>
      <c r="E1431" s="5">
        <v>15.9549296869217</v>
      </c>
    </row>
    <row r="1432" ht="14.25" customHeight="1">
      <c r="A1432" s="4"/>
      <c r="B1432" s="4" t="s">
        <v>1802</v>
      </c>
      <c r="C1432" s="4" t="s">
        <v>2452</v>
      </c>
      <c r="D1432" s="4" t="s">
        <v>1821</v>
      </c>
      <c r="E1432" s="5">
        <v>19.3456510398386</v>
      </c>
    </row>
    <row r="1433" ht="14.25" customHeight="1">
      <c r="A1433" s="4"/>
      <c r="B1433" s="4" t="s">
        <v>1802</v>
      </c>
      <c r="C1433" s="4" t="s">
        <v>2453</v>
      </c>
      <c r="D1433" s="4" t="s">
        <v>1812</v>
      </c>
      <c r="E1433" s="5">
        <v>48.3641275995966</v>
      </c>
    </row>
    <row r="1434" ht="14.25" customHeight="1">
      <c r="A1434" s="4"/>
      <c r="B1434" s="4" t="s">
        <v>1802</v>
      </c>
      <c r="C1434" s="4" t="s">
        <v>2454</v>
      </c>
      <c r="D1434" s="4" t="s">
        <v>1812</v>
      </c>
      <c r="E1434" s="5">
        <v>48.3641275995966</v>
      </c>
    </row>
    <row r="1435" ht="14.25" customHeight="1">
      <c r="A1435" s="4"/>
      <c r="B1435" s="4" t="s">
        <v>1802</v>
      </c>
      <c r="C1435" s="4" t="s">
        <v>2455</v>
      </c>
      <c r="D1435" s="4" t="s">
        <v>2456</v>
      </c>
      <c r="E1435" s="5">
        <v>29.3851887033578</v>
      </c>
    </row>
    <row r="1436" ht="14.25" customHeight="1">
      <c r="A1436" s="4"/>
      <c r="B1436" s="4" t="s">
        <v>1802</v>
      </c>
      <c r="C1436" s="4" t="s">
        <v>2457</v>
      </c>
      <c r="D1436" s="4" t="s">
        <v>2458</v>
      </c>
      <c r="E1436" s="5">
        <v>3.1981780336493397</v>
      </c>
    </row>
    <row r="1437" ht="14.25" customHeight="1">
      <c r="A1437" s="4"/>
      <c r="B1437" s="4" t="s">
        <v>1802</v>
      </c>
      <c r="C1437" s="4" t="s">
        <v>2459</v>
      </c>
      <c r="D1437" s="4" t="s">
        <v>2460</v>
      </c>
      <c r="E1437" s="5">
        <v>2.2952332451165</v>
      </c>
    </row>
    <row r="1438" ht="14.25" customHeight="1">
      <c r="A1438" s="4"/>
      <c r="B1438" s="4" t="s">
        <v>1802</v>
      </c>
      <c r="C1438" s="4" t="s">
        <v>2461</v>
      </c>
      <c r="D1438" s="4" t="s">
        <v>2462</v>
      </c>
      <c r="E1438" s="5">
        <v>9.43523928024889</v>
      </c>
    </row>
    <row r="1439" ht="14.25" customHeight="1">
      <c r="A1439" s="4"/>
      <c r="B1439" s="4" t="s">
        <v>1802</v>
      </c>
      <c r="C1439" s="4" t="s">
        <v>2463</v>
      </c>
      <c r="D1439" s="4" t="s">
        <v>2464</v>
      </c>
      <c r="E1439" s="5">
        <v>10.3917743248721</v>
      </c>
    </row>
    <row r="1440" ht="14.25" customHeight="1">
      <c r="A1440" s="4"/>
      <c r="B1440" s="4" t="s">
        <v>1802</v>
      </c>
      <c r="C1440" s="4" t="s">
        <v>2465</v>
      </c>
      <c r="D1440" s="4" t="s">
        <v>1812</v>
      </c>
      <c r="E1440" s="5">
        <v>48.3641275995966</v>
      </c>
    </row>
    <row r="1441" ht="14.25" customHeight="1">
      <c r="A1441" s="4"/>
      <c r="B1441" s="4" t="s">
        <v>1802</v>
      </c>
      <c r="C1441" s="4" t="s">
        <v>2466</v>
      </c>
      <c r="D1441" s="4" t="s">
        <v>2467</v>
      </c>
      <c r="E1441" s="5">
        <v>17.603718972586602</v>
      </c>
    </row>
    <row r="1442" ht="14.25" customHeight="1">
      <c r="A1442" s="4"/>
      <c r="B1442" s="4" t="s">
        <v>1802</v>
      </c>
      <c r="C1442" s="4" t="s">
        <v>2468</v>
      </c>
      <c r="D1442" s="4" t="s">
        <v>2469</v>
      </c>
      <c r="E1442" s="5">
        <v>37.418599524444204</v>
      </c>
    </row>
    <row r="1443" ht="14.25" customHeight="1">
      <c r="A1443" s="4"/>
      <c r="B1443" s="4" t="s">
        <v>1802</v>
      </c>
      <c r="C1443" s="4" t="s">
        <v>2470</v>
      </c>
      <c r="D1443" s="4" t="s">
        <v>1812</v>
      </c>
      <c r="E1443" s="5">
        <v>48.3641275995966</v>
      </c>
    </row>
    <row r="1444" ht="14.25" customHeight="1">
      <c r="A1444" s="4"/>
      <c r="B1444" s="4" t="s">
        <v>1802</v>
      </c>
      <c r="C1444" s="4" t="s">
        <v>2471</v>
      </c>
      <c r="D1444" s="4" t="s">
        <v>1812</v>
      </c>
      <c r="E1444" s="5">
        <v>48.3641275995966</v>
      </c>
    </row>
    <row r="1445" ht="14.25" customHeight="1">
      <c r="A1445" s="4"/>
      <c r="B1445" s="4" t="s">
        <v>1802</v>
      </c>
      <c r="C1445" s="4" t="s">
        <v>2472</v>
      </c>
      <c r="D1445" s="4" t="s">
        <v>1837</v>
      </c>
      <c r="E1445" s="5">
        <v>9.672825519919328</v>
      </c>
    </row>
    <row r="1446" ht="14.25" customHeight="1">
      <c r="A1446" s="4"/>
      <c r="B1446" s="4" t="s">
        <v>1802</v>
      </c>
      <c r="C1446" s="4" t="s">
        <v>2473</v>
      </c>
      <c r="D1446" s="4" t="s">
        <v>1812</v>
      </c>
      <c r="E1446" s="5">
        <v>48.3641275995966</v>
      </c>
    </row>
    <row r="1447" ht="14.25" customHeight="1">
      <c r="A1447" s="4"/>
      <c r="B1447" s="4" t="s">
        <v>1802</v>
      </c>
      <c r="C1447" s="4" t="s">
        <v>2474</v>
      </c>
      <c r="D1447" s="4" t="s">
        <v>2475</v>
      </c>
      <c r="E1447" s="5">
        <v>32.7812291123744</v>
      </c>
    </row>
    <row r="1448" ht="14.25" customHeight="1">
      <c r="A1448" s="4"/>
      <c r="B1448" s="4" t="s">
        <v>1802</v>
      </c>
      <c r="C1448" s="4" t="s">
        <v>2476</v>
      </c>
      <c r="D1448" s="4" t="s">
        <v>2477</v>
      </c>
      <c r="E1448" s="5">
        <v>35.0258936807259</v>
      </c>
    </row>
    <row r="1449" ht="14.25" customHeight="1">
      <c r="A1449" s="4"/>
      <c r="B1449" s="4" t="s">
        <v>1802</v>
      </c>
      <c r="C1449" s="4" t="s">
        <v>2478</v>
      </c>
      <c r="D1449" s="4" t="s">
        <v>1812</v>
      </c>
      <c r="E1449" s="5">
        <v>48.3641275995966</v>
      </c>
    </row>
    <row r="1450" ht="14.25" customHeight="1">
      <c r="A1450" s="4"/>
      <c r="B1450" s="4" t="s">
        <v>1802</v>
      </c>
      <c r="C1450" s="4" t="s">
        <v>2479</v>
      </c>
      <c r="D1450" s="4" t="s">
        <v>2480</v>
      </c>
      <c r="E1450" s="5">
        <v>45.4520441294253</v>
      </c>
    </row>
    <row r="1451" ht="14.25" customHeight="1">
      <c r="A1451" s="4"/>
      <c r="B1451" s="4" t="s">
        <v>1802</v>
      </c>
      <c r="C1451" s="4" t="s">
        <v>2481</v>
      </c>
      <c r="D1451" s="4" t="s">
        <v>2482</v>
      </c>
      <c r="E1451" s="5">
        <v>34.8504669075301</v>
      </c>
    </row>
    <row r="1452" ht="14.25" customHeight="1">
      <c r="A1452" s="4"/>
      <c r="B1452" s="4" t="s">
        <v>1802</v>
      </c>
      <c r="C1452" s="4" t="s">
        <v>2483</v>
      </c>
      <c r="D1452" s="4" t="s">
        <v>2484</v>
      </c>
      <c r="E1452" s="5">
        <v>9.82320033139737</v>
      </c>
    </row>
    <row r="1453" ht="14.25" customHeight="1">
      <c r="A1453" s="4"/>
      <c r="B1453" s="4" t="s">
        <v>1802</v>
      </c>
      <c r="C1453" s="4" t="s">
        <v>2485</v>
      </c>
      <c r="D1453" s="4" t="s">
        <v>1812</v>
      </c>
      <c r="E1453" s="5">
        <v>48.3641275995966</v>
      </c>
    </row>
    <row r="1454" ht="14.25" customHeight="1">
      <c r="A1454" s="4"/>
      <c r="B1454" s="4" t="s">
        <v>1802</v>
      </c>
      <c r="C1454" s="4" t="s">
        <v>2486</v>
      </c>
      <c r="D1454" s="4" t="s">
        <v>1812</v>
      </c>
      <c r="E1454" s="5">
        <v>48.3641275995966</v>
      </c>
    </row>
    <row r="1455" ht="14.25" customHeight="1">
      <c r="A1455" s="4"/>
      <c r="B1455" s="4" t="s">
        <v>1802</v>
      </c>
      <c r="C1455" s="4" t="s">
        <v>2487</v>
      </c>
      <c r="D1455" s="4" t="s">
        <v>2488</v>
      </c>
      <c r="E1455" s="5">
        <v>7.79242999106158</v>
      </c>
    </row>
    <row r="1456" ht="14.25" customHeight="1">
      <c r="A1456" s="4"/>
      <c r="B1456" s="4" t="s">
        <v>1802</v>
      </c>
      <c r="C1456" s="4" t="s">
        <v>1085</v>
      </c>
      <c r="D1456" s="4" t="s">
        <v>1812</v>
      </c>
      <c r="E1456" s="5">
        <v>48.3641275995966</v>
      </c>
    </row>
    <row r="1457" ht="14.25" customHeight="1">
      <c r="A1457" s="4"/>
      <c r="B1457" s="4" t="s">
        <v>1802</v>
      </c>
      <c r="C1457" s="4" t="s">
        <v>2489</v>
      </c>
      <c r="D1457" s="4" t="s">
        <v>1812</v>
      </c>
      <c r="E1457" s="5">
        <v>48.3641275995966</v>
      </c>
    </row>
    <row r="1458" ht="14.25" customHeight="1">
      <c r="A1458" s="4"/>
      <c r="B1458" s="4" t="s">
        <v>1802</v>
      </c>
      <c r="C1458" s="4" t="s">
        <v>2490</v>
      </c>
      <c r="D1458" s="4" t="s">
        <v>2491</v>
      </c>
      <c r="E1458" s="5">
        <v>23.2147812478064</v>
      </c>
    </row>
    <row r="1459" ht="14.25" customHeight="1">
      <c r="A1459" s="4"/>
      <c r="B1459" s="4" t="s">
        <v>1802</v>
      </c>
      <c r="C1459" s="4" t="s">
        <v>2492</v>
      </c>
      <c r="D1459" s="4" t="s">
        <v>1812</v>
      </c>
      <c r="E1459" s="5">
        <v>48.3641275995966</v>
      </c>
    </row>
    <row r="1460" ht="14.25" customHeight="1">
      <c r="A1460" s="4"/>
      <c r="B1460" s="4" t="s">
        <v>1802</v>
      </c>
      <c r="C1460" s="4" t="s">
        <v>2493</v>
      </c>
      <c r="D1460" s="4" t="s">
        <v>2494</v>
      </c>
      <c r="E1460" s="5">
        <v>12.2155526426166</v>
      </c>
    </row>
    <row r="1461" ht="14.25" customHeight="1">
      <c r="A1461" s="4"/>
      <c r="B1461" s="4" t="s">
        <v>1802</v>
      </c>
      <c r="C1461" s="4" t="s">
        <v>2495</v>
      </c>
      <c r="D1461" s="4" t="s">
        <v>2496</v>
      </c>
      <c r="E1461" s="5">
        <v>5.275627130633589</v>
      </c>
    </row>
    <row r="1462" ht="14.25" customHeight="1">
      <c r="A1462" s="4"/>
      <c r="B1462" s="4" t="s">
        <v>1802</v>
      </c>
      <c r="C1462" s="4" t="s">
        <v>2497</v>
      </c>
      <c r="D1462" s="4" t="s">
        <v>2498</v>
      </c>
      <c r="E1462" s="5">
        <v>41.2724553196488</v>
      </c>
    </row>
    <row r="1463" ht="14.25" customHeight="1">
      <c r="A1463" s="4"/>
      <c r="B1463" s="4" t="s">
        <v>1802</v>
      </c>
      <c r="C1463" s="4" t="s">
        <v>2499</v>
      </c>
      <c r="D1463" s="4" t="s">
        <v>2500</v>
      </c>
      <c r="E1463" s="5">
        <v>12.8746979256253</v>
      </c>
    </row>
    <row r="1464" ht="14.25" customHeight="1">
      <c r="A1464" s="4"/>
      <c r="B1464" s="4" t="s">
        <v>1802</v>
      </c>
      <c r="C1464" s="4" t="s">
        <v>2501</v>
      </c>
      <c r="D1464" s="4" t="s">
        <v>2502</v>
      </c>
      <c r="E1464" s="5">
        <v>43.666934416572</v>
      </c>
    </row>
    <row r="1465" ht="14.25" customHeight="1">
      <c r="A1465" s="4"/>
      <c r="B1465" s="4" t="s">
        <v>1802</v>
      </c>
      <c r="C1465" s="4" t="s">
        <v>2503</v>
      </c>
      <c r="D1465" s="4" t="s">
        <v>1812</v>
      </c>
      <c r="E1465" s="5">
        <v>48.3641275995966</v>
      </c>
    </row>
    <row r="1466" ht="14.25" customHeight="1">
      <c r="A1466" s="4"/>
      <c r="B1466" s="4" t="s">
        <v>1802</v>
      </c>
      <c r="C1466" s="4" t="s">
        <v>2504</v>
      </c>
      <c r="D1466" s="4" t="s">
        <v>2505</v>
      </c>
      <c r="E1466" s="5">
        <v>13.6506614593441</v>
      </c>
    </row>
    <row r="1467" ht="14.25" customHeight="1">
      <c r="A1467" s="4"/>
      <c r="B1467" s="4" t="s">
        <v>1802</v>
      </c>
      <c r="C1467" s="4" t="s">
        <v>2506</v>
      </c>
      <c r="D1467" s="4" t="s">
        <v>1812</v>
      </c>
      <c r="E1467" s="5">
        <v>48.3641275995966</v>
      </c>
    </row>
    <row r="1468" ht="14.25" customHeight="1">
      <c r="A1468" s="4"/>
      <c r="B1468" s="4" t="s">
        <v>1802</v>
      </c>
      <c r="C1468" s="4" t="s">
        <v>2507</v>
      </c>
      <c r="D1468" s="4" t="s">
        <v>2508</v>
      </c>
      <c r="E1468" s="5">
        <v>17.9527007621284</v>
      </c>
    </row>
    <row r="1469" ht="14.25" customHeight="1">
      <c r="A1469" s="4"/>
      <c r="B1469" s="4" t="s">
        <v>1802</v>
      </c>
      <c r="C1469" s="4" t="s">
        <v>2509</v>
      </c>
      <c r="D1469" s="4" t="s">
        <v>1837</v>
      </c>
      <c r="E1469" s="5">
        <v>9.672825519919328</v>
      </c>
    </row>
    <row r="1470" ht="14.25" customHeight="1">
      <c r="A1470" s="4"/>
      <c r="B1470" s="4" t="s">
        <v>1802</v>
      </c>
      <c r="C1470" s="4" t="s">
        <v>2510</v>
      </c>
      <c r="D1470" s="4" t="s">
        <v>1812</v>
      </c>
      <c r="E1470" s="5">
        <v>48.3641275995966</v>
      </c>
    </row>
    <row r="1471" ht="14.25" customHeight="1">
      <c r="A1471" s="4"/>
      <c r="B1471" s="4" t="s">
        <v>1802</v>
      </c>
      <c r="C1471" s="4" t="s">
        <v>2511</v>
      </c>
      <c r="D1471" s="4" t="s">
        <v>2512</v>
      </c>
      <c r="E1471" s="5">
        <v>4.44071277800409</v>
      </c>
    </row>
    <row r="1472" ht="14.25" customHeight="1">
      <c r="A1472" s="4"/>
      <c r="B1472" s="4" t="s">
        <v>1802</v>
      </c>
      <c r="C1472" s="4" t="s">
        <v>2513</v>
      </c>
      <c r="D1472" s="4" t="s">
        <v>1812</v>
      </c>
      <c r="E1472" s="5">
        <v>48.3641275995966</v>
      </c>
    </row>
    <row r="1473" ht="14.25" customHeight="1">
      <c r="A1473" s="4"/>
      <c r="B1473" s="4" t="s">
        <v>1802</v>
      </c>
      <c r="C1473" s="4" t="s">
        <v>2514</v>
      </c>
      <c r="D1473" s="4" t="s">
        <v>2515</v>
      </c>
      <c r="E1473" s="5">
        <v>9.76990106476377</v>
      </c>
    </row>
    <row r="1474" ht="14.25" customHeight="1">
      <c r="A1474" s="4"/>
      <c r="B1474" s="4" t="s">
        <v>1802</v>
      </c>
      <c r="C1474" s="4" t="s">
        <v>2516</v>
      </c>
      <c r="D1474" s="4" t="s">
        <v>1812</v>
      </c>
      <c r="E1474" s="5">
        <v>48.3641275995966</v>
      </c>
    </row>
    <row r="1475" ht="14.25" customHeight="1">
      <c r="A1475" s="4"/>
      <c r="B1475" s="4" t="s">
        <v>1802</v>
      </c>
      <c r="C1475" s="4" t="s">
        <v>2517</v>
      </c>
      <c r="D1475" s="4" t="s">
        <v>2518</v>
      </c>
      <c r="E1475" s="5">
        <v>29.405389580554697</v>
      </c>
    </row>
    <row r="1476" ht="14.25" customHeight="1">
      <c r="A1476" s="4"/>
      <c r="B1476" s="4" t="s">
        <v>1802</v>
      </c>
      <c r="C1476" s="4" t="s">
        <v>2519</v>
      </c>
      <c r="D1476" s="4" t="s">
        <v>1812</v>
      </c>
      <c r="E1476" s="5">
        <v>48.3641275995966</v>
      </c>
    </row>
    <row r="1477" ht="14.25" customHeight="1">
      <c r="A1477" s="4"/>
      <c r="B1477" s="4" t="s">
        <v>1802</v>
      </c>
      <c r="C1477" s="4" t="s">
        <v>2520</v>
      </c>
      <c r="D1477" s="4" t="s">
        <v>1812</v>
      </c>
      <c r="E1477" s="5">
        <v>48.3641275995966</v>
      </c>
    </row>
    <row r="1478" ht="14.25" customHeight="1">
      <c r="A1478" s="4"/>
      <c r="B1478" s="4" t="s">
        <v>1802</v>
      </c>
      <c r="C1478" s="4" t="s">
        <v>2521</v>
      </c>
      <c r="D1478" s="4" t="s">
        <v>1812</v>
      </c>
      <c r="E1478" s="5">
        <v>48.3641275995966</v>
      </c>
    </row>
    <row r="1479" ht="14.25" customHeight="1">
      <c r="A1479" s="4"/>
      <c r="B1479" s="4" t="s">
        <v>1802</v>
      </c>
      <c r="C1479" s="4" t="s">
        <v>2522</v>
      </c>
      <c r="D1479" s="4" t="s">
        <v>1812</v>
      </c>
      <c r="E1479" s="5">
        <v>48.3641275995966</v>
      </c>
    </row>
    <row r="1480" ht="14.25" customHeight="1">
      <c r="A1480" s="4"/>
      <c r="B1480" s="4" t="s">
        <v>1802</v>
      </c>
      <c r="C1480" s="4" t="s">
        <v>2523</v>
      </c>
      <c r="D1480" s="4" t="s">
        <v>2524</v>
      </c>
      <c r="E1480" s="5">
        <v>18.3416473292165</v>
      </c>
    </row>
    <row r="1481" ht="14.25" customHeight="1">
      <c r="A1481" s="4"/>
      <c r="B1481" s="4" t="s">
        <v>1802</v>
      </c>
      <c r="C1481" s="4" t="s">
        <v>2525</v>
      </c>
      <c r="D1481" s="4" t="s">
        <v>2526</v>
      </c>
      <c r="E1481" s="5">
        <v>27.6073612506552</v>
      </c>
    </row>
    <row r="1482" ht="14.25" customHeight="1">
      <c r="A1482" s="4"/>
      <c r="B1482" s="4" t="s">
        <v>1802</v>
      </c>
      <c r="C1482" s="4" t="s">
        <v>550</v>
      </c>
      <c r="D1482" s="4" t="s">
        <v>2527</v>
      </c>
      <c r="E1482" s="5">
        <v>47.1626374212033</v>
      </c>
    </row>
    <row r="1483" ht="14.25" customHeight="1">
      <c r="A1483" s="4"/>
      <c r="B1483" s="4" t="s">
        <v>1802</v>
      </c>
      <c r="C1483" s="4" t="s">
        <v>2528</v>
      </c>
      <c r="D1483" s="4" t="s">
        <v>1951</v>
      </c>
      <c r="E1483" s="5">
        <v>38.6913020796773</v>
      </c>
    </row>
    <row r="1484" ht="14.25" customHeight="1">
      <c r="A1484" s="4"/>
      <c r="B1484" s="4" t="s">
        <v>1802</v>
      </c>
      <c r="C1484" s="4" t="s">
        <v>1391</v>
      </c>
      <c r="D1484" s="4" t="s">
        <v>1812</v>
      </c>
      <c r="E1484" s="5">
        <v>48.3641275995966</v>
      </c>
    </row>
    <row r="1485" ht="14.25" customHeight="1">
      <c r="A1485" s="4"/>
      <c r="B1485" s="4" t="s">
        <v>1802</v>
      </c>
      <c r="C1485" s="4" t="s">
        <v>2529</v>
      </c>
      <c r="D1485" s="4" t="s">
        <v>1812</v>
      </c>
      <c r="E1485" s="5">
        <v>48.3641275995966</v>
      </c>
    </row>
    <row r="1486" ht="14.25" customHeight="1">
      <c r="A1486" s="4"/>
      <c r="B1486" s="4" t="s">
        <v>1802</v>
      </c>
      <c r="C1486" s="4" t="s">
        <v>956</v>
      </c>
      <c r="D1486" s="4" t="s">
        <v>1812</v>
      </c>
      <c r="E1486" s="5">
        <v>48.3641275995966</v>
      </c>
    </row>
    <row r="1487" ht="14.25" customHeight="1">
      <c r="A1487" s="4"/>
      <c r="B1487" s="4" t="s">
        <v>1802</v>
      </c>
      <c r="C1487" s="4" t="s">
        <v>2530</v>
      </c>
      <c r="D1487" s="4" t="s">
        <v>2531</v>
      </c>
      <c r="E1487" s="5">
        <v>4.4100213208999</v>
      </c>
    </row>
    <row r="1488" ht="14.25" customHeight="1">
      <c r="A1488" s="4"/>
      <c r="B1488" s="4" t="s">
        <v>1802</v>
      </c>
      <c r="C1488" s="4" t="s">
        <v>2532</v>
      </c>
      <c r="D1488" s="4" t="s">
        <v>1812</v>
      </c>
      <c r="E1488" s="5">
        <v>48.3641275995966</v>
      </c>
    </row>
    <row r="1489" ht="14.25" customHeight="1">
      <c r="A1489" s="4"/>
      <c r="B1489" s="4" t="s">
        <v>1802</v>
      </c>
      <c r="C1489" s="4" t="s">
        <v>2533</v>
      </c>
      <c r="D1489" s="4" t="s">
        <v>2534</v>
      </c>
      <c r="E1489" s="5">
        <v>9.92672497768153</v>
      </c>
    </row>
    <row r="1490" ht="14.25" customHeight="1">
      <c r="A1490" s="4"/>
      <c r="B1490" s="4" t="s">
        <v>1802</v>
      </c>
      <c r="C1490" s="4" t="s">
        <v>2535</v>
      </c>
      <c r="D1490" s="4" t="s">
        <v>2536</v>
      </c>
      <c r="E1490" s="5">
        <v>9.555983643886139</v>
      </c>
    </row>
    <row r="1491" ht="14.25" customHeight="1">
      <c r="A1491" s="4"/>
      <c r="B1491" s="4" t="s">
        <v>1802</v>
      </c>
      <c r="C1491" s="4" t="s">
        <v>2537</v>
      </c>
      <c r="D1491" s="4" t="s">
        <v>1812</v>
      </c>
      <c r="E1491" s="5">
        <v>48.3641275995966</v>
      </c>
    </row>
    <row r="1492" ht="14.25" customHeight="1">
      <c r="A1492" s="4"/>
      <c r="B1492" s="4" t="s">
        <v>1802</v>
      </c>
      <c r="C1492" s="4" t="s">
        <v>916</v>
      </c>
      <c r="D1492" s="4" t="s">
        <v>2105</v>
      </c>
      <c r="E1492" s="5">
        <v>29.018476559758</v>
      </c>
    </row>
    <row r="1493" ht="14.25" customHeight="1">
      <c r="A1493" s="4"/>
      <c r="B1493" s="4" t="s">
        <v>1802</v>
      </c>
      <c r="C1493" s="4" t="s">
        <v>2538</v>
      </c>
      <c r="D1493" s="4" t="s">
        <v>2105</v>
      </c>
      <c r="E1493" s="5">
        <v>29.018476559758</v>
      </c>
    </row>
    <row r="1494" ht="14.25" customHeight="1">
      <c r="A1494" s="4"/>
      <c r="B1494" s="4" t="s">
        <v>1802</v>
      </c>
      <c r="C1494" s="4" t="s">
        <v>2539</v>
      </c>
      <c r="D1494" s="4" t="s">
        <v>1812</v>
      </c>
      <c r="E1494" s="5">
        <v>48.3641275995966</v>
      </c>
    </row>
    <row r="1495" ht="14.25" customHeight="1">
      <c r="A1495" s="4"/>
      <c r="B1495" s="4" t="s">
        <v>1802</v>
      </c>
      <c r="C1495" s="4" t="s">
        <v>2540</v>
      </c>
      <c r="D1495" s="4" t="s">
        <v>2541</v>
      </c>
      <c r="E1495" s="5">
        <v>45.7922903764344</v>
      </c>
    </row>
    <row r="1496" ht="14.25" customHeight="1">
      <c r="A1496" s="4"/>
      <c r="B1496" s="4" t="s">
        <v>1802</v>
      </c>
      <c r="C1496" s="4" t="s">
        <v>2542</v>
      </c>
      <c r="D1496" s="4" t="s">
        <v>2543</v>
      </c>
      <c r="E1496" s="5">
        <v>47.0233758884776</v>
      </c>
    </row>
    <row r="1497" ht="14.25" customHeight="1">
      <c r="A1497" s="4"/>
      <c r="B1497" s="4" t="s">
        <v>1802</v>
      </c>
      <c r="C1497" s="4" t="s">
        <v>2544</v>
      </c>
      <c r="D1497" s="4" t="s">
        <v>2545</v>
      </c>
      <c r="E1497" s="5">
        <v>3.2532563016016303</v>
      </c>
    </row>
    <row r="1498" ht="14.25" customHeight="1">
      <c r="A1498" s="4"/>
      <c r="B1498" s="4" t="s">
        <v>1802</v>
      </c>
      <c r="C1498" s="4" t="s">
        <v>2546</v>
      </c>
      <c r="D1498" s="4" t="s">
        <v>2547</v>
      </c>
      <c r="E1498" s="5">
        <v>6.57487633811354</v>
      </c>
    </row>
    <row r="1499" ht="14.25" customHeight="1">
      <c r="A1499" s="4"/>
      <c r="B1499" s="4" t="s">
        <v>1802</v>
      </c>
      <c r="C1499" s="4" t="s">
        <v>2548</v>
      </c>
      <c r="D1499" s="4" t="s">
        <v>2549</v>
      </c>
      <c r="E1499" s="5">
        <v>19.4505044684745</v>
      </c>
    </row>
    <row r="1500" ht="14.25" customHeight="1">
      <c r="A1500" s="4"/>
      <c r="B1500" s="4" t="s">
        <v>1802</v>
      </c>
      <c r="C1500" s="4" t="s">
        <v>2550</v>
      </c>
      <c r="D1500" s="4" t="s">
        <v>1812</v>
      </c>
      <c r="E1500" s="5">
        <v>48.3641275995966</v>
      </c>
    </row>
    <row r="1501" ht="14.25" customHeight="1">
      <c r="A1501" s="4"/>
      <c r="B1501" s="4" t="s">
        <v>1802</v>
      </c>
      <c r="C1501" s="4" t="s">
        <v>2551</v>
      </c>
      <c r="D1501" s="4" t="s">
        <v>1812</v>
      </c>
      <c r="E1501" s="5">
        <v>48.3641275995966</v>
      </c>
    </row>
    <row r="1502" ht="14.25" customHeight="1">
      <c r="A1502" s="4"/>
      <c r="B1502" s="4" t="s">
        <v>1802</v>
      </c>
      <c r="C1502" s="4" t="s">
        <v>2552</v>
      </c>
      <c r="D1502" s="4" t="s">
        <v>1812</v>
      </c>
      <c r="E1502" s="5">
        <v>48.3641275995966</v>
      </c>
    </row>
    <row r="1503" ht="14.25" customHeight="1">
      <c r="A1503" s="4"/>
      <c r="B1503" s="4" t="s">
        <v>1802</v>
      </c>
      <c r="C1503" s="4" t="s">
        <v>485</v>
      </c>
      <c r="D1503" s="4" t="s">
        <v>1812</v>
      </c>
      <c r="E1503" s="5">
        <v>48.3641275995966</v>
      </c>
    </row>
    <row r="1504" ht="14.25" customHeight="1">
      <c r="A1504" s="4"/>
      <c r="B1504" s="4" t="s">
        <v>1802</v>
      </c>
      <c r="C1504" s="4" t="s">
        <v>2553</v>
      </c>
      <c r="D1504" s="4" t="s">
        <v>1812</v>
      </c>
      <c r="E1504" s="5">
        <v>48.3641275995966</v>
      </c>
    </row>
    <row r="1505" ht="14.25" customHeight="1">
      <c r="A1505" s="4"/>
      <c r="B1505" s="4" t="s">
        <v>1802</v>
      </c>
      <c r="C1505" s="4" t="s">
        <v>1703</v>
      </c>
      <c r="D1505" s="4" t="s">
        <v>2554</v>
      </c>
      <c r="E1505" s="5">
        <v>3.33464304213026</v>
      </c>
    </row>
    <row r="1506" ht="14.25" customHeight="1">
      <c r="A1506" s="4"/>
      <c r="B1506" s="4" t="s">
        <v>1802</v>
      </c>
      <c r="C1506" s="4" t="s">
        <v>784</v>
      </c>
      <c r="D1506" s="4" t="s">
        <v>1812</v>
      </c>
      <c r="E1506" s="5">
        <v>48.3641275995966</v>
      </c>
    </row>
    <row r="1507" ht="14.25" customHeight="1">
      <c r="A1507" s="4"/>
      <c r="B1507" s="4" t="s">
        <v>1802</v>
      </c>
      <c r="C1507" s="4" t="s">
        <v>2555</v>
      </c>
      <c r="D1507" s="4" t="s">
        <v>1812</v>
      </c>
      <c r="E1507" s="5">
        <v>48.3641275995966</v>
      </c>
    </row>
    <row r="1508" ht="14.25" customHeight="1">
      <c r="A1508" s="4"/>
      <c r="B1508" s="4" t="s">
        <v>1802</v>
      </c>
      <c r="C1508" s="4" t="s">
        <v>2556</v>
      </c>
      <c r="D1508" s="4" t="s">
        <v>1812</v>
      </c>
      <c r="E1508" s="5">
        <v>48.3641275995966</v>
      </c>
    </row>
    <row r="1509" ht="14.25" customHeight="1">
      <c r="A1509" s="4"/>
      <c r="B1509" s="4" t="s">
        <v>1802</v>
      </c>
      <c r="C1509" s="4" t="s">
        <v>2557</v>
      </c>
      <c r="D1509" s="4" t="s">
        <v>2558</v>
      </c>
      <c r="E1509" s="5">
        <v>0.5018259519970331</v>
      </c>
    </row>
    <row r="1510" ht="14.25" customHeight="1">
      <c r="A1510" s="4"/>
      <c r="B1510" s="4" t="s">
        <v>1802</v>
      </c>
      <c r="C1510" s="4" t="s">
        <v>2559</v>
      </c>
      <c r="D1510" s="4" t="s">
        <v>2560</v>
      </c>
      <c r="E1510" s="5">
        <v>13.875434881611302</v>
      </c>
    </row>
    <row r="1511" ht="14.25" customHeight="1">
      <c r="A1511" s="4"/>
      <c r="B1511" s="4" t="s">
        <v>1802</v>
      </c>
      <c r="C1511" s="4" t="s">
        <v>2561</v>
      </c>
      <c r="D1511" s="4" t="s">
        <v>2562</v>
      </c>
      <c r="E1511" s="5">
        <v>11.667645179646799</v>
      </c>
    </row>
    <row r="1512" ht="14.25" customHeight="1">
      <c r="A1512" s="4"/>
      <c r="B1512" s="4" t="s">
        <v>1802</v>
      </c>
      <c r="C1512" s="4" t="s">
        <v>602</v>
      </c>
      <c r="D1512" s="4" t="s">
        <v>2563</v>
      </c>
      <c r="E1512" s="5">
        <v>2.58759082279335</v>
      </c>
    </row>
    <row r="1513" ht="14.25" customHeight="1">
      <c r="A1513" s="4"/>
      <c r="B1513" s="4" t="s">
        <v>1802</v>
      </c>
      <c r="C1513" s="4" t="s">
        <v>2564</v>
      </c>
      <c r="D1513" s="4" t="s">
        <v>1837</v>
      </c>
      <c r="E1513" s="5">
        <v>9.672825519919328</v>
      </c>
    </row>
    <row r="1514" ht="14.25" customHeight="1">
      <c r="A1514" s="4"/>
      <c r="B1514" s="4" t="s">
        <v>1802</v>
      </c>
      <c r="C1514" s="4" t="s">
        <v>2565</v>
      </c>
      <c r="D1514" s="4" t="s">
        <v>1812</v>
      </c>
      <c r="E1514" s="5">
        <v>48.3641275995966</v>
      </c>
    </row>
    <row r="1515" ht="14.25" customHeight="1">
      <c r="A1515" s="4"/>
      <c r="B1515" s="4" t="s">
        <v>1802</v>
      </c>
      <c r="C1515" s="4" t="s">
        <v>2566</v>
      </c>
      <c r="D1515" s="4" t="s">
        <v>1812</v>
      </c>
      <c r="E1515" s="5">
        <v>48.3641275995966</v>
      </c>
    </row>
    <row r="1516" ht="14.25" customHeight="1">
      <c r="A1516" s="4"/>
      <c r="B1516" s="4" t="s">
        <v>1802</v>
      </c>
      <c r="C1516" s="4" t="s">
        <v>2567</v>
      </c>
      <c r="D1516" s="4" t="s">
        <v>1812</v>
      </c>
      <c r="E1516" s="5">
        <v>48.3641275995966</v>
      </c>
    </row>
    <row r="1517" ht="14.25" customHeight="1">
      <c r="A1517" s="4"/>
      <c r="B1517" s="4" t="s">
        <v>1802</v>
      </c>
      <c r="C1517" s="4" t="s">
        <v>2568</v>
      </c>
      <c r="D1517" s="4" t="s">
        <v>1812</v>
      </c>
      <c r="E1517" s="5">
        <v>48.3641275995966</v>
      </c>
    </row>
    <row r="1518" ht="14.25" customHeight="1">
      <c r="A1518" s="4"/>
      <c r="B1518" s="4" t="s">
        <v>1802</v>
      </c>
      <c r="C1518" s="4" t="s">
        <v>2569</v>
      </c>
      <c r="D1518" s="4" t="s">
        <v>1812</v>
      </c>
      <c r="E1518" s="5">
        <v>48.3641275995966</v>
      </c>
    </row>
    <row r="1519" ht="14.25" customHeight="1">
      <c r="A1519" s="4"/>
      <c r="B1519" s="4" t="s">
        <v>1802</v>
      </c>
      <c r="C1519" s="4" t="s">
        <v>2570</v>
      </c>
      <c r="D1519" s="4" t="s">
        <v>2571</v>
      </c>
      <c r="E1519" s="5">
        <v>37.9002470421448</v>
      </c>
    </row>
    <row r="1520" ht="14.25" customHeight="1">
      <c r="A1520" s="4"/>
      <c r="B1520" s="4" t="s">
        <v>1802</v>
      </c>
      <c r="C1520" s="4" t="s">
        <v>2572</v>
      </c>
      <c r="D1520" s="4" t="s">
        <v>2573</v>
      </c>
      <c r="E1520" s="5">
        <v>47.2513516024829</v>
      </c>
    </row>
    <row r="1521" ht="14.25" customHeight="1">
      <c r="A1521" s="4"/>
      <c r="B1521" s="4" t="s">
        <v>1802</v>
      </c>
      <c r="C1521" s="4" t="s">
        <v>2574</v>
      </c>
      <c r="D1521" s="4" t="s">
        <v>1812</v>
      </c>
      <c r="E1521" s="5">
        <v>48.3641275995966</v>
      </c>
    </row>
    <row r="1522" ht="14.25" customHeight="1">
      <c r="A1522" s="4"/>
      <c r="B1522" s="4" t="s">
        <v>1802</v>
      </c>
      <c r="C1522" s="4" t="s">
        <v>2575</v>
      </c>
      <c r="D1522" s="4" t="s">
        <v>2576</v>
      </c>
      <c r="E1522" s="5">
        <v>22.409018897916503</v>
      </c>
    </row>
    <row r="1523" ht="14.25" customHeight="1">
      <c r="A1523" s="4"/>
      <c r="B1523" s="4" t="s">
        <v>1802</v>
      </c>
      <c r="C1523" s="4" t="s">
        <v>986</v>
      </c>
      <c r="D1523" s="4" t="s">
        <v>1812</v>
      </c>
      <c r="E1523" s="5">
        <v>48.3641275995966</v>
      </c>
    </row>
    <row r="1524" ht="14.25" customHeight="1">
      <c r="A1524" s="4"/>
      <c r="B1524" s="4" t="s">
        <v>1802</v>
      </c>
      <c r="C1524" s="4" t="s">
        <v>2577</v>
      </c>
      <c r="D1524" s="4" t="s">
        <v>2578</v>
      </c>
      <c r="E1524" s="5">
        <v>19.9725646079007</v>
      </c>
    </row>
    <row r="1525" ht="14.25" customHeight="1">
      <c r="A1525" s="4"/>
      <c r="B1525" s="4" t="s">
        <v>1802</v>
      </c>
      <c r="C1525" s="4" t="s">
        <v>2579</v>
      </c>
      <c r="D1525" s="4" t="s">
        <v>2580</v>
      </c>
      <c r="E1525" s="5">
        <v>32.872915986053</v>
      </c>
    </row>
    <row r="1526" ht="14.25" customHeight="1">
      <c r="A1526" s="4"/>
      <c r="B1526" s="4" t="s">
        <v>1802</v>
      </c>
      <c r="C1526" s="4" t="s">
        <v>2581</v>
      </c>
      <c r="D1526" s="4" t="s">
        <v>2582</v>
      </c>
      <c r="E1526" s="5">
        <v>7.931716926333849</v>
      </c>
    </row>
    <row r="1527" ht="14.25" customHeight="1">
      <c r="A1527" s="4"/>
      <c r="B1527" s="4" t="s">
        <v>1802</v>
      </c>
      <c r="C1527" s="4" t="s">
        <v>1621</v>
      </c>
      <c r="D1527" s="4" t="s">
        <v>2583</v>
      </c>
      <c r="E1527" s="5">
        <v>45.760919917032496</v>
      </c>
    </row>
    <row r="1528" ht="14.25" customHeight="1">
      <c r="A1528" s="4"/>
      <c r="B1528" s="4" t="s">
        <v>1802</v>
      </c>
      <c r="C1528" s="4" t="s">
        <v>827</v>
      </c>
      <c r="D1528" s="4" t="s">
        <v>1812</v>
      </c>
      <c r="E1528" s="5">
        <v>48.3641275995966</v>
      </c>
    </row>
    <row r="1529" ht="14.25" customHeight="1">
      <c r="A1529" s="4"/>
      <c r="B1529" s="4" t="s">
        <v>1802</v>
      </c>
      <c r="C1529" s="4" t="s">
        <v>2584</v>
      </c>
      <c r="D1529" s="4" t="s">
        <v>1812</v>
      </c>
      <c r="E1529" s="5">
        <v>48.3641275995966</v>
      </c>
    </row>
    <row r="1530" ht="14.25" customHeight="1">
      <c r="A1530" s="4"/>
      <c r="B1530" s="4" t="s">
        <v>1802</v>
      </c>
      <c r="C1530" s="4" t="s">
        <v>2585</v>
      </c>
      <c r="D1530" s="4" t="s">
        <v>1821</v>
      </c>
      <c r="E1530" s="5">
        <v>19.3456510398386</v>
      </c>
    </row>
    <row r="1531" ht="14.25" customHeight="1">
      <c r="A1531" s="4"/>
      <c r="B1531" s="4" t="s">
        <v>1802</v>
      </c>
      <c r="C1531" s="4" t="s">
        <v>35</v>
      </c>
      <c r="D1531" s="4" t="s">
        <v>1812</v>
      </c>
      <c r="E1531" s="5">
        <v>48.3641275995966</v>
      </c>
    </row>
    <row r="1532" ht="14.25" customHeight="1">
      <c r="A1532" s="4"/>
      <c r="B1532" s="4" t="s">
        <v>1802</v>
      </c>
      <c r="C1532" s="4" t="s">
        <v>2586</v>
      </c>
      <c r="D1532" s="4" t="s">
        <v>1812</v>
      </c>
      <c r="E1532" s="5">
        <v>48.3641275995966</v>
      </c>
    </row>
    <row r="1533" ht="14.25" customHeight="1">
      <c r="A1533" s="4"/>
      <c r="B1533" s="4" t="s">
        <v>1802</v>
      </c>
      <c r="C1533" s="4" t="s">
        <v>620</v>
      </c>
      <c r="D1533" s="4" t="s">
        <v>2587</v>
      </c>
      <c r="E1533" s="5">
        <v>29.9886660502391</v>
      </c>
    </row>
    <row r="1534" ht="14.25" customHeight="1">
      <c r="A1534" s="4"/>
      <c r="B1534" s="4" t="s">
        <v>1802</v>
      </c>
      <c r="C1534" s="4" t="s">
        <v>2588</v>
      </c>
      <c r="D1534" s="4" t="s">
        <v>1812</v>
      </c>
      <c r="E1534" s="5">
        <v>48.3641275995966</v>
      </c>
    </row>
    <row r="1535" ht="14.25" customHeight="1">
      <c r="A1535" s="4"/>
      <c r="B1535" s="4" t="s">
        <v>1802</v>
      </c>
      <c r="C1535" s="4" t="s">
        <v>2589</v>
      </c>
      <c r="D1535" s="4" t="s">
        <v>1821</v>
      </c>
      <c r="E1535" s="5">
        <v>19.3456510398386</v>
      </c>
    </row>
    <row r="1536" ht="14.25" customHeight="1">
      <c r="A1536" s="4"/>
      <c r="B1536" s="4" t="s">
        <v>1802</v>
      </c>
      <c r="C1536" s="4" t="s">
        <v>2590</v>
      </c>
      <c r="D1536" s="4" t="s">
        <v>2591</v>
      </c>
      <c r="E1536" s="5">
        <v>9.82093975570354</v>
      </c>
    </row>
    <row r="1537" ht="14.25" customHeight="1">
      <c r="A1537" s="4"/>
      <c r="B1537" s="4" t="s">
        <v>1802</v>
      </c>
      <c r="C1537" s="4" t="s">
        <v>2592</v>
      </c>
      <c r="D1537" s="4" t="s">
        <v>1812</v>
      </c>
      <c r="E1537" s="5">
        <v>48.3641275995966</v>
      </c>
    </row>
    <row r="1538" ht="14.25" customHeight="1">
      <c r="A1538" s="4"/>
      <c r="B1538" s="4" t="s">
        <v>1802</v>
      </c>
      <c r="C1538" s="4" t="s">
        <v>2593</v>
      </c>
      <c r="D1538" s="4" t="s">
        <v>2594</v>
      </c>
      <c r="E1538" s="5">
        <v>41.029913826441394</v>
      </c>
    </row>
    <row r="1539" ht="14.25" customHeight="1">
      <c r="A1539" s="4"/>
      <c r="B1539" s="4" t="s">
        <v>1802</v>
      </c>
      <c r="C1539" s="4" t="s">
        <v>2595</v>
      </c>
      <c r="D1539" s="4" t="s">
        <v>2596</v>
      </c>
      <c r="E1539" s="5">
        <v>40.3040391594071</v>
      </c>
    </row>
    <row r="1540" ht="14.25" customHeight="1">
      <c r="A1540" s="4"/>
      <c r="B1540" s="4" t="s">
        <v>1802</v>
      </c>
      <c r="C1540" s="4" t="s">
        <v>2597</v>
      </c>
      <c r="D1540" s="4" t="s">
        <v>2598</v>
      </c>
      <c r="E1540" s="5">
        <v>16.8137381681864</v>
      </c>
    </row>
    <row r="1541" ht="14.25" customHeight="1">
      <c r="A1541" s="4"/>
      <c r="B1541" s="4" t="s">
        <v>1802</v>
      </c>
      <c r="C1541" s="4" t="s">
        <v>2599</v>
      </c>
      <c r="D1541" s="4" t="s">
        <v>2600</v>
      </c>
      <c r="E1541" s="5">
        <v>3.75171194593841</v>
      </c>
    </row>
    <row r="1542" ht="14.25" customHeight="1">
      <c r="A1542" s="4"/>
      <c r="B1542" s="4" t="s">
        <v>1802</v>
      </c>
      <c r="C1542" s="4" t="s">
        <v>2601</v>
      </c>
      <c r="D1542" s="4" t="s">
        <v>2602</v>
      </c>
      <c r="E1542" s="5">
        <v>5.0515745232778</v>
      </c>
    </row>
    <row r="1543" ht="14.25" customHeight="1">
      <c r="A1543" s="4"/>
      <c r="B1543" s="4" t="s">
        <v>1802</v>
      </c>
      <c r="C1543" s="4" t="s">
        <v>2603</v>
      </c>
      <c r="D1543" s="4" t="s">
        <v>1812</v>
      </c>
      <c r="E1543" s="5">
        <v>48.3641275995966</v>
      </c>
    </row>
    <row r="1544" ht="14.25" customHeight="1">
      <c r="A1544" s="4"/>
      <c r="B1544" s="4" t="s">
        <v>1802</v>
      </c>
      <c r="C1544" s="4" t="s">
        <v>2604</v>
      </c>
      <c r="D1544" s="4" t="s">
        <v>2605</v>
      </c>
      <c r="E1544" s="5">
        <v>28.5118029581222</v>
      </c>
    </row>
    <row r="1545" ht="14.25" customHeight="1">
      <c r="A1545" s="4"/>
      <c r="B1545" s="4" t="s">
        <v>1802</v>
      </c>
      <c r="C1545" s="4" t="s">
        <v>2606</v>
      </c>
      <c r="D1545" s="4" t="s">
        <v>1812</v>
      </c>
      <c r="E1545" s="5">
        <v>48.3641275995966</v>
      </c>
    </row>
    <row r="1546" ht="14.25" customHeight="1">
      <c r="A1546" s="4"/>
      <c r="B1546" s="4" t="s">
        <v>1802</v>
      </c>
      <c r="C1546" s="4" t="s">
        <v>2607</v>
      </c>
      <c r="D1546" s="4" t="s">
        <v>1812</v>
      </c>
      <c r="E1546" s="5">
        <v>48.3641275995966</v>
      </c>
    </row>
    <row r="1547" ht="14.25" customHeight="1">
      <c r="A1547" s="4"/>
      <c r="B1547" s="4" t="s">
        <v>1802</v>
      </c>
      <c r="C1547" s="4" t="s">
        <v>2608</v>
      </c>
      <c r="D1547" s="4" t="s">
        <v>1812</v>
      </c>
      <c r="E1547" s="5">
        <v>48.3641275995966</v>
      </c>
    </row>
    <row r="1548" ht="14.25" customHeight="1">
      <c r="A1548" s="4"/>
      <c r="B1548" s="4" t="s">
        <v>1802</v>
      </c>
      <c r="C1548" s="4" t="s">
        <v>2609</v>
      </c>
      <c r="D1548" s="4" t="s">
        <v>2610</v>
      </c>
      <c r="E1548" s="5">
        <v>14.5728922207238</v>
      </c>
    </row>
    <row r="1549" ht="14.25" customHeight="1">
      <c r="A1549" s="4"/>
      <c r="B1549" s="4" t="s">
        <v>1802</v>
      </c>
      <c r="C1549" s="4" t="s">
        <v>2611</v>
      </c>
      <c r="D1549" s="4" t="s">
        <v>2612</v>
      </c>
      <c r="E1549" s="5">
        <v>46.386036533887804</v>
      </c>
    </row>
    <row r="1550" ht="14.25" customHeight="1">
      <c r="A1550" s="4"/>
      <c r="B1550" s="4" t="s">
        <v>1802</v>
      </c>
      <c r="C1550" s="4" t="s">
        <v>2613</v>
      </c>
      <c r="D1550" s="4" t="s">
        <v>2614</v>
      </c>
      <c r="E1550" s="5">
        <v>13.6891104612021</v>
      </c>
    </row>
    <row r="1551" ht="14.25" customHeight="1">
      <c r="A1551" s="4"/>
      <c r="B1551" s="4" t="s">
        <v>1802</v>
      </c>
      <c r="C1551" s="4" t="s">
        <v>2615</v>
      </c>
      <c r="D1551" s="4" t="s">
        <v>2616</v>
      </c>
      <c r="E1551" s="5">
        <v>38.333843689074996</v>
      </c>
    </row>
    <row r="1552" ht="14.25" customHeight="1">
      <c r="A1552" s="4"/>
      <c r="B1552" s="4" t="s">
        <v>1802</v>
      </c>
      <c r="C1552" s="4" t="s">
        <v>2617</v>
      </c>
      <c r="D1552" s="4" t="s">
        <v>1812</v>
      </c>
      <c r="E1552" s="5">
        <v>48.3641275995966</v>
      </c>
    </row>
    <row r="1553" ht="14.25" customHeight="1">
      <c r="A1553" s="4"/>
      <c r="B1553" s="4" t="s">
        <v>1802</v>
      </c>
      <c r="C1553" s="4" t="s">
        <v>2618</v>
      </c>
      <c r="D1553" s="4" t="s">
        <v>2619</v>
      </c>
      <c r="E1553" s="5">
        <v>25.472660970591303</v>
      </c>
    </row>
    <row r="1554" ht="14.25" customHeight="1">
      <c r="A1554" s="4"/>
      <c r="B1554" s="4" t="s">
        <v>1802</v>
      </c>
      <c r="C1554" s="4" t="s">
        <v>542</v>
      </c>
      <c r="D1554" s="4" t="s">
        <v>1812</v>
      </c>
      <c r="E1554" s="5">
        <v>48.3641275995966</v>
      </c>
    </row>
    <row r="1555" ht="14.25" customHeight="1">
      <c r="A1555" s="4"/>
      <c r="B1555" s="4" t="s">
        <v>1802</v>
      </c>
      <c r="C1555" s="4" t="s">
        <v>2620</v>
      </c>
      <c r="D1555" s="4" t="s">
        <v>1812</v>
      </c>
      <c r="E1555" s="5">
        <v>48.3641275995966</v>
      </c>
    </row>
    <row r="1556" ht="14.25" customHeight="1">
      <c r="A1556" s="4"/>
      <c r="B1556" s="4" t="s">
        <v>1802</v>
      </c>
      <c r="C1556" s="4" t="s">
        <v>2621</v>
      </c>
      <c r="D1556" s="4" t="s">
        <v>2622</v>
      </c>
      <c r="E1556" s="5">
        <v>9.67290919353575</v>
      </c>
    </row>
    <row r="1557" ht="14.25" customHeight="1">
      <c r="A1557" s="4"/>
      <c r="B1557" s="4" t="s">
        <v>1802</v>
      </c>
      <c r="C1557" s="4" t="s">
        <v>2623</v>
      </c>
      <c r="D1557" s="4" t="s">
        <v>2624</v>
      </c>
      <c r="E1557" s="5">
        <v>10.715079431609999</v>
      </c>
    </row>
    <row r="1558" ht="14.25" customHeight="1">
      <c r="A1558" s="4"/>
      <c r="B1558" s="4" t="s">
        <v>1802</v>
      </c>
      <c r="C1558" s="4" t="s">
        <v>2625</v>
      </c>
      <c r="D1558" s="4" t="s">
        <v>2626</v>
      </c>
      <c r="E1558" s="5">
        <v>22.2277290214213</v>
      </c>
    </row>
    <row r="1559" ht="14.25" customHeight="1">
      <c r="A1559" s="4"/>
      <c r="B1559" s="4" t="s">
        <v>1802</v>
      </c>
      <c r="C1559" s="4" t="s">
        <v>734</v>
      </c>
      <c r="D1559" s="4" t="s">
        <v>1812</v>
      </c>
      <c r="E1559" s="5">
        <v>48.3641275995966</v>
      </c>
    </row>
    <row r="1560" ht="14.25" customHeight="1">
      <c r="A1560" s="4"/>
      <c r="B1560" s="4" t="s">
        <v>1802</v>
      </c>
      <c r="C1560" s="4" t="s">
        <v>2627</v>
      </c>
      <c r="D1560" s="4" t="s">
        <v>2628</v>
      </c>
      <c r="E1560" s="5">
        <v>13.098227640380001</v>
      </c>
    </row>
    <row r="1561" ht="14.25" customHeight="1">
      <c r="A1561" s="4"/>
      <c r="B1561" s="4" t="s">
        <v>1802</v>
      </c>
      <c r="C1561" s="4" t="s">
        <v>2629</v>
      </c>
      <c r="D1561" s="4" t="s">
        <v>1812</v>
      </c>
      <c r="E1561" s="5">
        <v>48.3641275995966</v>
      </c>
    </row>
    <row r="1562" ht="14.25" customHeight="1">
      <c r="A1562" s="4"/>
      <c r="B1562" s="4" t="s">
        <v>1802</v>
      </c>
      <c r="C1562" s="4" t="s">
        <v>2630</v>
      </c>
      <c r="D1562" s="4" t="s">
        <v>2631</v>
      </c>
      <c r="E1562" s="5">
        <v>22.5992430375798</v>
      </c>
    </row>
    <row r="1563" ht="14.25" customHeight="1">
      <c r="A1563" s="4"/>
      <c r="B1563" s="4" t="s">
        <v>1802</v>
      </c>
      <c r="C1563" s="4" t="s">
        <v>2632</v>
      </c>
      <c r="D1563" s="4" t="s">
        <v>1812</v>
      </c>
      <c r="E1563" s="5">
        <v>48.3641275995966</v>
      </c>
    </row>
    <row r="1564" ht="14.25" customHeight="1">
      <c r="A1564" s="4"/>
      <c r="B1564" s="4" t="s">
        <v>1802</v>
      </c>
      <c r="C1564" s="4" t="s">
        <v>2633</v>
      </c>
      <c r="D1564" s="4" t="s">
        <v>1812</v>
      </c>
      <c r="E1564" s="5">
        <v>48.3641275995966</v>
      </c>
    </row>
    <row r="1565" ht="14.25" customHeight="1">
      <c r="A1565" s="4"/>
      <c r="B1565" s="4" t="s">
        <v>1802</v>
      </c>
      <c r="C1565" s="4" t="s">
        <v>2634</v>
      </c>
      <c r="D1565" s="4" t="s">
        <v>2635</v>
      </c>
      <c r="E1565" s="5">
        <v>17.5604656124601</v>
      </c>
    </row>
    <row r="1566" ht="14.25" customHeight="1">
      <c r="A1566" s="4"/>
      <c r="B1566" s="4" t="s">
        <v>1802</v>
      </c>
      <c r="C1566" s="4" t="s">
        <v>2636</v>
      </c>
      <c r="D1566" s="4" t="s">
        <v>2637</v>
      </c>
      <c r="E1566" s="5">
        <v>42.841022914494395</v>
      </c>
    </row>
    <row r="1567" ht="14.25" customHeight="1">
      <c r="A1567" s="4"/>
      <c r="B1567" s="4" t="s">
        <v>1802</v>
      </c>
      <c r="C1567" s="4" t="s">
        <v>2638</v>
      </c>
      <c r="D1567" s="4" t="s">
        <v>2639</v>
      </c>
      <c r="E1567" s="5">
        <v>6.73538308965418</v>
      </c>
    </row>
    <row r="1568" ht="14.25" customHeight="1">
      <c r="A1568" s="4"/>
      <c r="B1568" s="4" t="s">
        <v>1802</v>
      </c>
      <c r="C1568" s="4" t="s">
        <v>2640</v>
      </c>
      <c r="D1568" s="4" t="s">
        <v>1812</v>
      </c>
      <c r="E1568" s="5">
        <v>48.3641275995966</v>
      </c>
    </row>
    <row r="1569" ht="14.25" customHeight="1">
      <c r="A1569" s="4"/>
      <c r="B1569" s="4" t="s">
        <v>1802</v>
      </c>
      <c r="C1569" s="4" t="s">
        <v>2641</v>
      </c>
      <c r="D1569" s="4" t="s">
        <v>1812</v>
      </c>
      <c r="E1569" s="5">
        <v>48.3641275995966</v>
      </c>
    </row>
    <row r="1570" ht="14.25" customHeight="1">
      <c r="A1570" s="4"/>
      <c r="B1570" s="4" t="s">
        <v>1802</v>
      </c>
      <c r="C1570" s="4" t="s">
        <v>2642</v>
      </c>
      <c r="D1570" s="4" t="s">
        <v>1812</v>
      </c>
      <c r="E1570" s="5">
        <v>48.3641275995966</v>
      </c>
    </row>
    <row r="1571" ht="14.25" customHeight="1">
      <c r="A1571" s="4"/>
      <c r="B1571" s="4" t="s">
        <v>1802</v>
      </c>
      <c r="C1571" s="4" t="s">
        <v>2643</v>
      </c>
      <c r="D1571" s="4" t="s">
        <v>1821</v>
      </c>
      <c r="E1571" s="5">
        <v>19.3456510398386</v>
      </c>
    </row>
    <row r="1572" ht="14.25" customHeight="1">
      <c r="A1572" s="4"/>
      <c r="B1572" s="4" t="s">
        <v>1802</v>
      </c>
      <c r="C1572" s="4" t="s">
        <v>2644</v>
      </c>
      <c r="D1572" s="4" t="s">
        <v>1812</v>
      </c>
      <c r="E1572" s="5">
        <v>48.3641275995966</v>
      </c>
    </row>
    <row r="1573" ht="14.25" customHeight="1">
      <c r="A1573" s="4"/>
      <c r="B1573" s="4" t="s">
        <v>1802</v>
      </c>
      <c r="C1573" s="4" t="s">
        <v>2645</v>
      </c>
      <c r="D1573" s="4" t="s">
        <v>1812</v>
      </c>
      <c r="E1573" s="5">
        <v>48.3641275995966</v>
      </c>
    </row>
    <row r="1574" ht="14.25" customHeight="1">
      <c r="A1574" s="4"/>
      <c r="B1574" s="4" t="s">
        <v>1802</v>
      </c>
      <c r="C1574" s="4" t="s">
        <v>2646</v>
      </c>
      <c r="D1574" s="4" t="s">
        <v>2647</v>
      </c>
      <c r="E1574" s="5">
        <v>48.2504305242593</v>
      </c>
    </row>
    <row r="1575" ht="14.25" customHeight="1">
      <c r="A1575" s="4"/>
      <c r="B1575" s="4" t="s">
        <v>1802</v>
      </c>
      <c r="C1575" s="4" t="s">
        <v>2648</v>
      </c>
      <c r="D1575" s="4" t="s">
        <v>2649</v>
      </c>
      <c r="E1575" s="5">
        <v>41.6555203808012</v>
      </c>
    </row>
    <row r="1576" ht="14.25" customHeight="1">
      <c r="A1576" s="4"/>
      <c r="B1576" s="4" t="s">
        <v>1802</v>
      </c>
      <c r="C1576" s="4" t="s">
        <v>2650</v>
      </c>
      <c r="D1576" s="4" t="s">
        <v>1812</v>
      </c>
      <c r="E1576" s="5">
        <v>48.3641275995966</v>
      </c>
    </row>
    <row r="1577" ht="14.25" customHeight="1">
      <c r="A1577" s="4"/>
      <c r="B1577" s="4" t="s">
        <v>1802</v>
      </c>
      <c r="C1577" s="4" t="s">
        <v>287</v>
      </c>
      <c r="D1577" s="4" t="s">
        <v>1812</v>
      </c>
      <c r="E1577" s="5">
        <v>48.3641275995966</v>
      </c>
    </row>
    <row r="1578" ht="14.25" customHeight="1">
      <c r="A1578" s="4"/>
      <c r="B1578" s="4" t="s">
        <v>1802</v>
      </c>
      <c r="C1578" s="4" t="s">
        <v>936</v>
      </c>
      <c r="D1578" s="4" t="s">
        <v>1812</v>
      </c>
      <c r="E1578" s="5">
        <v>48.3641275995966</v>
      </c>
    </row>
    <row r="1579" ht="14.25" customHeight="1">
      <c r="A1579" s="4"/>
      <c r="B1579" s="4" t="s">
        <v>1802</v>
      </c>
      <c r="C1579" s="4" t="s">
        <v>2651</v>
      </c>
      <c r="D1579" s="4" t="s">
        <v>1812</v>
      </c>
      <c r="E1579" s="5">
        <v>48.3641275995966</v>
      </c>
    </row>
    <row r="1580" ht="14.25" customHeight="1">
      <c r="A1580" s="4"/>
      <c r="B1580" s="4" t="s">
        <v>1802</v>
      </c>
      <c r="C1580" s="4" t="s">
        <v>2652</v>
      </c>
      <c r="D1580" s="4" t="s">
        <v>2653</v>
      </c>
      <c r="E1580" s="5">
        <v>24.8317616944802</v>
      </c>
    </row>
    <row r="1581" ht="14.25" customHeight="1">
      <c r="A1581" s="4"/>
      <c r="B1581" s="4" t="s">
        <v>1802</v>
      </c>
      <c r="C1581" s="4" t="s">
        <v>2654</v>
      </c>
      <c r="D1581" s="4" t="s">
        <v>2655</v>
      </c>
      <c r="E1581" s="5">
        <v>48.2621968200593</v>
      </c>
    </row>
    <row r="1582" ht="14.25" customHeight="1">
      <c r="A1582" s="4"/>
      <c r="B1582" s="4" t="s">
        <v>1802</v>
      </c>
      <c r="C1582" s="4" t="s">
        <v>2656</v>
      </c>
      <c r="D1582" s="4" t="s">
        <v>2657</v>
      </c>
      <c r="E1582" s="5">
        <v>9.838348603734481</v>
      </c>
    </row>
    <row r="1583" ht="14.25" customHeight="1">
      <c r="A1583" s="4"/>
      <c r="B1583" s="4" t="s">
        <v>1802</v>
      </c>
      <c r="C1583" s="4" t="s">
        <v>2658</v>
      </c>
      <c r="D1583" s="4" t="s">
        <v>2659</v>
      </c>
      <c r="E1583" s="5">
        <v>43.506946862781604</v>
      </c>
    </row>
    <row r="1584" ht="14.25" customHeight="1">
      <c r="A1584" s="4"/>
      <c r="B1584" s="4" t="s">
        <v>1802</v>
      </c>
      <c r="C1584" s="4" t="s">
        <v>2660</v>
      </c>
      <c r="D1584" s="4" t="s">
        <v>1812</v>
      </c>
      <c r="E1584" s="5">
        <v>48.3641275995966</v>
      </c>
    </row>
    <row r="1585" ht="14.25" customHeight="1">
      <c r="A1585" s="4"/>
      <c r="B1585" s="4" t="s">
        <v>1802</v>
      </c>
      <c r="C1585" s="4" t="s">
        <v>1472</v>
      </c>
      <c r="D1585" s="4" t="s">
        <v>1812</v>
      </c>
      <c r="E1585" s="5">
        <v>48.3641275995966</v>
      </c>
    </row>
    <row r="1586" ht="14.25" customHeight="1">
      <c r="A1586" s="4"/>
      <c r="B1586" s="4" t="s">
        <v>1802</v>
      </c>
      <c r="C1586" s="4" t="s">
        <v>2661</v>
      </c>
      <c r="D1586" s="4" t="s">
        <v>1837</v>
      </c>
      <c r="E1586" s="5">
        <v>9.672825519919328</v>
      </c>
    </row>
    <row r="1587" ht="14.25" customHeight="1">
      <c r="A1587" s="4"/>
      <c r="B1587" s="4" t="s">
        <v>1802</v>
      </c>
      <c r="C1587" s="4" t="s">
        <v>2662</v>
      </c>
      <c r="D1587" s="4" t="s">
        <v>1837</v>
      </c>
      <c r="E1587" s="5">
        <v>9.672825519919328</v>
      </c>
    </row>
    <row r="1588" ht="14.25" customHeight="1">
      <c r="A1588" s="4"/>
      <c r="B1588" s="4" t="s">
        <v>1802</v>
      </c>
      <c r="C1588" s="4" t="s">
        <v>2663</v>
      </c>
      <c r="D1588" s="4" t="s">
        <v>1812</v>
      </c>
      <c r="E1588" s="5">
        <v>48.3641275995966</v>
      </c>
    </row>
    <row r="1589" ht="14.25" customHeight="1">
      <c r="A1589" s="4"/>
      <c r="B1589" s="4" t="s">
        <v>1802</v>
      </c>
      <c r="C1589" s="4" t="s">
        <v>2664</v>
      </c>
      <c r="D1589" s="4" t="s">
        <v>2665</v>
      </c>
      <c r="E1589" s="5">
        <v>19.4865804205762</v>
      </c>
    </row>
    <row r="1590" ht="14.25" customHeight="1">
      <c r="A1590" s="4"/>
      <c r="B1590" s="4" t="s">
        <v>1802</v>
      </c>
      <c r="C1590" s="4" t="s">
        <v>2666</v>
      </c>
      <c r="D1590" s="4" t="s">
        <v>1812</v>
      </c>
      <c r="E1590" s="5">
        <v>48.3641275995966</v>
      </c>
    </row>
    <row r="1591" ht="14.25" customHeight="1">
      <c r="A1591" s="4"/>
      <c r="B1591" s="4" t="s">
        <v>1802</v>
      </c>
      <c r="C1591" s="4" t="s">
        <v>2667</v>
      </c>
      <c r="D1591" s="4" t="s">
        <v>2668</v>
      </c>
      <c r="E1591" s="5">
        <v>48.1288498667956</v>
      </c>
    </row>
    <row r="1592" ht="14.25" customHeight="1">
      <c r="A1592" s="4"/>
      <c r="B1592" s="4" t="s">
        <v>1802</v>
      </c>
      <c r="C1592" s="4" t="s">
        <v>2669</v>
      </c>
      <c r="D1592" s="4" t="s">
        <v>1812</v>
      </c>
      <c r="E1592" s="5">
        <v>48.3641275995966</v>
      </c>
    </row>
    <row r="1593" ht="14.25" customHeight="1">
      <c r="A1593" s="4"/>
      <c r="B1593" s="4" t="s">
        <v>1802</v>
      </c>
      <c r="C1593" s="4" t="s">
        <v>2670</v>
      </c>
      <c r="D1593" s="4" t="s">
        <v>1821</v>
      </c>
      <c r="E1593" s="5">
        <v>19.3456510398386</v>
      </c>
    </row>
    <row r="1594" ht="14.25" customHeight="1">
      <c r="A1594" s="4"/>
      <c r="B1594" s="4" t="s">
        <v>1802</v>
      </c>
      <c r="C1594" s="4" t="s">
        <v>2671</v>
      </c>
      <c r="D1594" s="4" t="s">
        <v>2672</v>
      </c>
      <c r="E1594" s="5">
        <v>2.08711973212509</v>
      </c>
    </row>
    <row r="1595" ht="14.25" customHeight="1">
      <c r="A1595" s="4"/>
      <c r="B1595" s="4" t="s">
        <v>1802</v>
      </c>
      <c r="C1595" s="4" t="s">
        <v>2673</v>
      </c>
      <c r="D1595" s="4" t="s">
        <v>2674</v>
      </c>
      <c r="E1595" s="5">
        <v>46.312716777027</v>
      </c>
    </row>
    <row r="1596" ht="14.25" customHeight="1">
      <c r="A1596" s="4"/>
      <c r="B1596" s="4" t="s">
        <v>1802</v>
      </c>
      <c r="C1596" s="4" t="s">
        <v>2675</v>
      </c>
      <c r="D1596" s="4" t="s">
        <v>1812</v>
      </c>
      <c r="E1596" s="5">
        <v>48.3641275995966</v>
      </c>
    </row>
    <row r="1597" ht="14.25" customHeight="1">
      <c r="A1597" s="4"/>
      <c r="B1597" s="4" t="s">
        <v>1802</v>
      </c>
      <c r="C1597" s="4" t="s">
        <v>2676</v>
      </c>
      <c r="D1597" s="4" t="s">
        <v>2677</v>
      </c>
      <c r="E1597" s="5">
        <v>14.028014801083199</v>
      </c>
    </row>
    <row r="1598" ht="14.25" customHeight="1">
      <c r="A1598" s="4"/>
      <c r="B1598" s="4" t="s">
        <v>1802</v>
      </c>
      <c r="C1598" s="4" t="s">
        <v>2678</v>
      </c>
      <c r="D1598" s="4" t="s">
        <v>2679</v>
      </c>
      <c r="E1598" s="5">
        <v>17.392229876852</v>
      </c>
    </row>
    <row r="1599" ht="14.25" customHeight="1">
      <c r="A1599" s="4"/>
      <c r="B1599" s="4" t="s">
        <v>1802</v>
      </c>
      <c r="C1599" s="4" t="s">
        <v>2680</v>
      </c>
      <c r="D1599" s="4" t="s">
        <v>2681</v>
      </c>
      <c r="E1599" s="5">
        <v>14.9511122299094</v>
      </c>
    </row>
    <row r="1600" ht="14.25" customHeight="1">
      <c r="A1600" s="4"/>
      <c r="B1600" s="4" t="s">
        <v>1802</v>
      </c>
      <c r="C1600" s="4" t="s">
        <v>2682</v>
      </c>
      <c r="D1600" s="4" t="s">
        <v>2683</v>
      </c>
      <c r="E1600" s="5">
        <v>1.93456510398386</v>
      </c>
    </row>
    <row r="1601" ht="14.25" customHeight="1">
      <c r="A1601" s="4"/>
      <c r="B1601" s="4" t="s">
        <v>1802</v>
      </c>
      <c r="C1601" s="4" t="s">
        <v>2684</v>
      </c>
      <c r="D1601" s="4" t="s">
        <v>2685</v>
      </c>
      <c r="E1601" s="5">
        <v>6.19410858351296</v>
      </c>
    </row>
    <row r="1602" ht="14.25" customHeight="1">
      <c r="A1602" s="4"/>
      <c r="B1602" s="4" t="s">
        <v>1802</v>
      </c>
      <c r="C1602" s="4" t="s">
        <v>2686</v>
      </c>
      <c r="D1602" s="4" t="s">
        <v>2687</v>
      </c>
      <c r="E1602" s="5">
        <v>28.4416176329244</v>
      </c>
    </row>
    <row r="1603" ht="14.25" customHeight="1">
      <c r="A1603" s="4"/>
      <c r="B1603" s="4" t="s">
        <v>1802</v>
      </c>
      <c r="C1603" s="4" t="s">
        <v>2688</v>
      </c>
      <c r="D1603" s="4" t="s">
        <v>2689</v>
      </c>
      <c r="E1603" s="5">
        <v>5.2256638076366</v>
      </c>
    </row>
    <row r="1604" ht="14.25" customHeight="1">
      <c r="A1604" s="4"/>
      <c r="B1604" s="4" t="s">
        <v>1802</v>
      </c>
      <c r="C1604" s="4" t="s">
        <v>2690</v>
      </c>
      <c r="D1604" s="4" t="s">
        <v>2691</v>
      </c>
      <c r="E1604" s="5">
        <v>9.65116434800034</v>
      </c>
    </row>
    <row r="1605" ht="14.25" customHeight="1">
      <c r="A1605" s="4"/>
      <c r="B1605" s="4" t="s">
        <v>1802</v>
      </c>
      <c r="C1605" s="4" t="s">
        <v>2692</v>
      </c>
      <c r="D1605" s="4" t="s">
        <v>1812</v>
      </c>
      <c r="E1605" s="5">
        <v>48.3641275995966</v>
      </c>
    </row>
    <row r="1606" ht="14.25" customHeight="1">
      <c r="A1606" s="4"/>
      <c r="B1606" s="4" t="s">
        <v>1802</v>
      </c>
      <c r="C1606" s="4" t="s">
        <v>2693</v>
      </c>
      <c r="D1606" s="4" t="s">
        <v>1812</v>
      </c>
      <c r="E1606" s="5">
        <v>48.3641275995966</v>
      </c>
    </row>
    <row r="1607" ht="14.25" customHeight="1">
      <c r="A1607" s="4"/>
      <c r="B1607" s="4" t="s">
        <v>1802</v>
      </c>
      <c r="C1607" s="4" t="s">
        <v>2694</v>
      </c>
      <c r="D1607" s="4" t="s">
        <v>1812</v>
      </c>
      <c r="E1607" s="5">
        <v>48.3641275995966</v>
      </c>
    </row>
    <row r="1608" ht="14.25" customHeight="1">
      <c r="A1608" s="4"/>
      <c r="B1608" s="4" t="s">
        <v>1802</v>
      </c>
      <c r="C1608" s="4" t="s">
        <v>2695</v>
      </c>
      <c r="D1608" s="4" t="s">
        <v>2696</v>
      </c>
      <c r="E1608" s="5">
        <v>8.35444817618457</v>
      </c>
    </row>
    <row r="1609" ht="14.25" customHeight="1">
      <c r="A1609" s="4"/>
      <c r="B1609" s="4" t="s">
        <v>1802</v>
      </c>
      <c r="C1609" s="4" t="s">
        <v>808</v>
      </c>
      <c r="D1609" s="4" t="s">
        <v>1812</v>
      </c>
      <c r="E1609" s="5">
        <v>48.3641275995966</v>
      </c>
    </row>
    <row r="1610" ht="14.25" customHeight="1">
      <c r="A1610" s="4"/>
      <c r="B1610" s="4" t="s">
        <v>1802</v>
      </c>
      <c r="C1610" s="4" t="s">
        <v>2697</v>
      </c>
      <c r="D1610" s="4" t="s">
        <v>2698</v>
      </c>
      <c r="E1610" s="5">
        <v>43.6354254513566</v>
      </c>
    </row>
    <row r="1611" ht="14.25" customHeight="1">
      <c r="A1611" s="4"/>
      <c r="B1611" s="4" t="s">
        <v>1802</v>
      </c>
      <c r="C1611" s="4" t="s">
        <v>2699</v>
      </c>
      <c r="D1611" s="4" t="s">
        <v>1812</v>
      </c>
      <c r="E1611" s="5">
        <v>48.3641275995966</v>
      </c>
    </row>
    <row r="1612" ht="14.25" customHeight="1">
      <c r="A1612" s="4"/>
      <c r="B1612" s="4" t="s">
        <v>1802</v>
      </c>
      <c r="C1612" s="4" t="s">
        <v>2700</v>
      </c>
      <c r="D1612" s="4" t="s">
        <v>1812</v>
      </c>
      <c r="E1612" s="5">
        <v>48.3641275995966</v>
      </c>
    </row>
    <row r="1613" ht="14.25" customHeight="1">
      <c r="A1613" s="4"/>
      <c r="B1613" s="4" t="s">
        <v>1802</v>
      </c>
      <c r="C1613" s="4" t="s">
        <v>2701</v>
      </c>
      <c r="D1613" s="4" t="s">
        <v>2702</v>
      </c>
      <c r="E1613" s="5">
        <v>17.9529014224376</v>
      </c>
    </row>
    <row r="1614" ht="14.25" customHeight="1">
      <c r="A1614" s="4"/>
      <c r="B1614" s="4" t="s">
        <v>1802</v>
      </c>
      <c r="C1614" s="4" t="s">
        <v>2703</v>
      </c>
      <c r="D1614" s="4" t="s">
        <v>2704</v>
      </c>
      <c r="E1614" s="5">
        <v>10.919457993821</v>
      </c>
    </row>
    <row r="1615" ht="14.25" customHeight="1">
      <c r="A1615" s="4"/>
      <c r="B1615" s="4" t="s">
        <v>1802</v>
      </c>
      <c r="C1615" s="4" t="s">
        <v>2705</v>
      </c>
      <c r="D1615" s="4" t="s">
        <v>2706</v>
      </c>
      <c r="E1615" s="5">
        <v>47.883077857242604</v>
      </c>
    </row>
    <row r="1616" ht="14.25" customHeight="1">
      <c r="A1616" s="4"/>
      <c r="B1616" s="4" t="s">
        <v>1802</v>
      </c>
      <c r="C1616" s="4" t="s">
        <v>2707</v>
      </c>
      <c r="D1616" s="4" t="s">
        <v>2708</v>
      </c>
      <c r="E1616" s="5">
        <v>37.6955454012099</v>
      </c>
    </row>
    <row r="1617" ht="14.25" customHeight="1">
      <c r="A1617" s="4"/>
      <c r="B1617" s="4" t="s">
        <v>1802</v>
      </c>
      <c r="C1617" s="4" t="s">
        <v>2709</v>
      </c>
      <c r="D1617" s="4" t="s">
        <v>2062</v>
      </c>
      <c r="E1617" s="5">
        <v>9.86628203031772</v>
      </c>
    </row>
    <row r="1618" ht="14.25" customHeight="1">
      <c r="A1618" s="4"/>
      <c r="B1618" s="4" t="s">
        <v>1802</v>
      </c>
      <c r="C1618" s="4" t="s">
        <v>2710</v>
      </c>
      <c r="D1618" s="4" t="s">
        <v>1837</v>
      </c>
      <c r="E1618" s="5">
        <v>9.672825519919328</v>
      </c>
    </row>
    <row r="1619" ht="14.25" customHeight="1">
      <c r="A1619" s="4"/>
      <c r="B1619" s="4" t="s">
        <v>1802</v>
      </c>
      <c r="C1619" s="4" t="s">
        <v>2711</v>
      </c>
      <c r="D1619" s="4" t="s">
        <v>2712</v>
      </c>
      <c r="E1619" s="5">
        <v>47.9201604066137</v>
      </c>
    </row>
    <row r="1620" ht="14.25" customHeight="1">
      <c r="A1620" s="4"/>
      <c r="B1620" s="4" t="s">
        <v>1802</v>
      </c>
      <c r="C1620" s="4" t="s">
        <v>1052</v>
      </c>
      <c r="D1620" s="4" t="s">
        <v>2713</v>
      </c>
      <c r="E1620" s="5">
        <v>46.796496130966005</v>
      </c>
    </row>
    <row r="1621" ht="14.25" customHeight="1">
      <c r="A1621" s="4"/>
      <c r="B1621" s="4" t="s">
        <v>1802</v>
      </c>
      <c r="C1621" s="4" t="s">
        <v>2714</v>
      </c>
      <c r="D1621" s="4" t="s">
        <v>2715</v>
      </c>
      <c r="E1621" s="5">
        <v>0.633028146624974</v>
      </c>
    </row>
    <row r="1622" ht="14.25" customHeight="1">
      <c r="A1622" s="4"/>
      <c r="B1622" s="4" t="s">
        <v>1802</v>
      </c>
      <c r="C1622" s="4" t="s">
        <v>375</v>
      </c>
      <c r="D1622" s="4" t="s">
        <v>2716</v>
      </c>
      <c r="E1622" s="5">
        <v>13.3619005449439</v>
      </c>
    </row>
    <row r="1623" ht="14.25" customHeight="1">
      <c r="A1623" s="4"/>
      <c r="B1623" s="4" t="s">
        <v>1802</v>
      </c>
      <c r="C1623" s="4" t="s">
        <v>2717</v>
      </c>
      <c r="D1623" s="4" t="s">
        <v>1812</v>
      </c>
      <c r="E1623" s="5">
        <v>48.3641275995966</v>
      </c>
    </row>
    <row r="1624" ht="14.25" customHeight="1">
      <c r="A1624" s="4"/>
      <c r="B1624" s="4" t="s">
        <v>1802</v>
      </c>
      <c r="C1624" s="4" t="s">
        <v>2718</v>
      </c>
      <c r="D1624" s="4" t="s">
        <v>1812</v>
      </c>
      <c r="E1624" s="5">
        <v>48.3641275995966</v>
      </c>
    </row>
    <row r="1625" ht="14.25" customHeight="1">
      <c r="A1625" s="4"/>
      <c r="B1625" s="4" t="s">
        <v>1802</v>
      </c>
      <c r="C1625" s="4" t="s">
        <v>2719</v>
      </c>
      <c r="D1625" s="4" t="s">
        <v>2720</v>
      </c>
      <c r="E1625" s="5">
        <v>45.429193723344895</v>
      </c>
    </row>
    <row r="1626" ht="14.25" customHeight="1">
      <c r="A1626" s="4"/>
      <c r="B1626" s="4" t="s">
        <v>1802</v>
      </c>
      <c r="C1626" s="4" t="s">
        <v>2721</v>
      </c>
      <c r="D1626" s="4" t="s">
        <v>1812</v>
      </c>
      <c r="E1626" s="5">
        <v>48.3641275995966</v>
      </c>
    </row>
    <row r="1627" ht="14.25" customHeight="1">
      <c r="A1627" s="4"/>
      <c r="B1627" s="4" t="s">
        <v>1802</v>
      </c>
      <c r="C1627" s="4" t="s">
        <v>2722</v>
      </c>
      <c r="D1627" s="4" t="s">
        <v>2723</v>
      </c>
      <c r="E1627" s="5">
        <v>24.6270137737146</v>
      </c>
    </row>
    <row r="1628" ht="14.25" customHeight="1">
      <c r="A1628" s="4"/>
      <c r="B1628" s="4" t="s">
        <v>1802</v>
      </c>
      <c r="C1628" s="4" t="s">
        <v>2724</v>
      </c>
      <c r="D1628" s="4" t="s">
        <v>1812</v>
      </c>
      <c r="E1628" s="5">
        <v>48.3641275995966</v>
      </c>
    </row>
    <row r="1629" ht="14.25" customHeight="1">
      <c r="A1629" s="4"/>
      <c r="B1629" s="4" t="s">
        <v>1802</v>
      </c>
      <c r="C1629" s="4" t="s">
        <v>487</v>
      </c>
      <c r="D1629" s="4" t="s">
        <v>1812</v>
      </c>
      <c r="E1629" s="5">
        <v>48.3641275995966</v>
      </c>
    </row>
    <row r="1630" ht="14.25" customHeight="1">
      <c r="A1630" s="4"/>
      <c r="B1630" s="4" t="s">
        <v>1802</v>
      </c>
      <c r="C1630" s="4" t="s">
        <v>2725</v>
      </c>
      <c r="D1630" s="4" t="s">
        <v>1812</v>
      </c>
      <c r="E1630" s="5">
        <v>48.3641275995966</v>
      </c>
    </row>
    <row r="1631" ht="14.25" customHeight="1">
      <c r="A1631" s="4"/>
      <c r="B1631" s="4" t="s">
        <v>1802</v>
      </c>
      <c r="C1631" s="4" t="s">
        <v>628</v>
      </c>
      <c r="D1631" s="4" t="s">
        <v>2726</v>
      </c>
      <c r="E1631" s="5">
        <v>21.9582090827283</v>
      </c>
    </row>
    <row r="1632" ht="14.25" customHeight="1">
      <c r="A1632" s="4"/>
      <c r="B1632" s="4" t="s">
        <v>1802</v>
      </c>
      <c r="C1632" s="4" t="s">
        <v>2727</v>
      </c>
      <c r="D1632" s="4" t="s">
        <v>1812</v>
      </c>
      <c r="E1632" s="5">
        <v>48.3641275995966</v>
      </c>
    </row>
    <row r="1633" ht="14.25" customHeight="1">
      <c r="A1633" s="4"/>
      <c r="B1633" s="4" t="s">
        <v>1802</v>
      </c>
      <c r="C1633" s="4" t="s">
        <v>2728</v>
      </c>
      <c r="D1633" s="4" t="s">
        <v>1812</v>
      </c>
      <c r="E1633" s="5">
        <v>48.3641275995966</v>
      </c>
    </row>
    <row r="1634" ht="14.25" customHeight="1">
      <c r="A1634" s="4"/>
      <c r="B1634" s="4" t="s">
        <v>1802</v>
      </c>
      <c r="C1634" s="4" t="s">
        <v>2729</v>
      </c>
      <c r="D1634" s="4" t="s">
        <v>2730</v>
      </c>
      <c r="E1634" s="5">
        <v>43.56379069566481</v>
      </c>
    </row>
    <row r="1635" ht="14.25" customHeight="1">
      <c r="A1635" s="4"/>
      <c r="B1635" s="4" t="s">
        <v>1802</v>
      </c>
      <c r="C1635" s="4" t="s">
        <v>2731</v>
      </c>
      <c r="D1635" s="4" t="s">
        <v>2732</v>
      </c>
      <c r="E1635" s="5">
        <v>9.687776407805059</v>
      </c>
    </row>
    <row r="1636" ht="14.25" customHeight="1">
      <c r="A1636" s="4"/>
      <c r="B1636" s="4" t="s">
        <v>1802</v>
      </c>
      <c r="C1636" s="4" t="s">
        <v>2733</v>
      </c>
      <c r="D1636" s="4" t="s">
        <v>2734</v>
      </c>
      <c r="E1636" s="5">
        <v>43.179802020123</v>
      </c>
    </row>
    <row r="1637" ht="14.25" customHeight="1">
      <c r="A1637" s="4"/>
      <c r="B1637" s="4" t="s">
        <v>1802</v>
      </c>
      <c r="C1637" s="4" t="s">
        <v>2735</v>
      </c>
      <c r="D1637" s="4" t="s">
        <v>2736</v>
      </c>
      <c r="E1637" s="5">
        <v>46.6838576321113</v>
      </c>
    </row>
    <row r="1638" ht="14.25" customHeight="1">
      <c r="A1638" s="4"/>
      <c r="B1638" s="4" t="s">
        <v>1802</v>
      </c>
      <c r="C1638" s="4" t="s">
        <v>2737</v>
      </c>
      <c r="D1638" s="4" t="s">
        <v>1812</v>
      </c>
      <c r="E1638" s="5">
        <v>48.3641275995966</v>
      </c>
    </row>
    <row r="1639" ht="14.25" customHeight="1">
      <c r="A1639" s="4"/>
      <c r="B1639" s="4" t="s">
        <v>1802</v>
      </c>
      <c r="C1639" s="4" t="s">
        <v>2738</v>
      </c>
      <c r="D1639" s="4" t="s">
        <v>1812</v>
      </c>
      <c r="E1639" s="5">
        <v>48.3641275995966</v>
      </c>
    </row>
    <row r="1640" ht="14.25" customHeight="1">
      <c r="A1640" s="4"/>
      <c r="B1640" s="4" t="s">
        <v>1802</v>
      </c>
      <c r="C1640" s="4" t="s">
        <v>2739</v>
      </c>
      <c r="D1640" s="4" t="s">
        <v>2740</v>
      </c>
      <c r="E1640" s="5">
        <v>9.480077028232401</v>
      </c>
    </row>
    <row r="1641" ht="14.25" customHeight="1">
      <c r="A1641" s="4"/>
      <c r="B1641" s="4" t="s">
        <v>1802</v>
      </c>
      <c r="C1641" s="4" t="s">
        <v>1044</v>
      </c>
      <c r="D1641" s="4" t="s">
        <v>1812</v>
      </c>
      <c r="E1641" s="5">
        <v>48.3641275995966</v>
      </c>
    </row>
    <row r="1642" ht="14.25" customHeight="1">
      <c r="A1642" s="4"/>
      <c r="B1642" s="4" t="s">
        <v>1802</v>
      </c>
      <c r="C1642" s="4" t="s">
        <v>2741</v>
      </c>
      <c r="D1642" s="4" t="s">
        <v>2742</v>
      </c>
      <c r="E1642" s="5">
        <v>24.819858733752202</v>
      </c>
    </row>
    <row r="1643" ht="14.25" customHeight="1">
      <c r="A1643" s="4"/>
      <c r="B1643" s="4" t="s">
        <v>1802</v>
      </c>
      <c r="C1643" s="4" t="s">
        <v>2743</v>
      </c>
      <c r="D1643" s="4" t="s">
        <v>1812</v>
      </c>
      <c r="E1643" s="5">
        <v>48.3641275995966</v>
      </c>
    </row>
    <row r="1644" ht="14.25" customHeight="1">
      <c r="A1644" s="4"/>
      <c r="B1644" s="4" t="s">
        <v>1802</v>
      </c>
      <c r="C1644" s="4" t="s">
        <v>2744</v>
      </c>
      <c r="D1644" s="4" t="s">
        <v>2745</v>
      </c>
      <c r="E1644" s="5">
        <v>27.1415396518113</v>
      </c>
    </row>
    <row r="1645" ht="14.25" customHeight="1">
      <c r="A1645" s="4"/>
      <c r="B1645" s="4" t="s">
        <v>1802</v>
      </c>
      <c r="C1645" s="4" t="s">
        <v>2746</v>
      </c>
      <c r="D1645" s="4" t="s">
        <v>1989</v>
      </c>
      <c r="E1645" s="5">
        <v>6.77097786394353</v>
      </c>
    </row>
    <row r="1646" ht="14.25" customHeight="1">
      <c r="A1646" s="4"/>
      <c r="B1646" s="4" t="s">
        <v>1802</v>
      </c>
      <c r="C1646" s="4" t="s">
        <v>942</v>
      </c>
      <c r="D1646" s="4" t="s">
        <v>1812</v>
      </c>
      <c r="E1646" s="5">
        <v>48.3641275995966</v>
      </c>
    </row>
    <row r="1647" ht="14.25" customHeight="1">
      <c r="A1647" s="4"/>
      <c r="B1647" s="4" t="s">
        <v>1802</v>
      </c>
      <c r="C1647" s="4" t="s">
        <v>2747</v>
      </c>
      <c r="D1647" s="4" t="s">
        <v>2748</v>
      </c>
      <c r="E1647" s="5">
        <v>9.71942764310728</v>
      </c>
    </row>
    <row r="1648" ht="14.25" customHeight="1">
      <c r="A1648" s="4"/>
      <c r="B1648" s="4" t="s">
        <v>1802</v>
      </c>
      <c r="C1648" s="4" t="s">
        <v>2749</v>
      </c>
      <c r="D1648" s="4" t="s">
        <v>1812</v>
      </c>
      <c r="E1648" s="5">
        <v>48.3641275995966</v>
      </c>
    </row>
    <row r="1649" ht="14.25" customHeight="1">
      <c r="A1649" s="4"/>
      <c r="B1649" s="4" t="s">
        <v>1802</v>
      </c>
      <c r="C1649" s="4" t="s">
        <v>2750</v>
      </c>
      <c r="D1649" s="4" t="s">
        <v>2751</v>
      </c>
      <c r="E1649" s="5">
        <v>6.632860197152239</v>
      </c>
    </row>
    <row r="1650" ht="14.25" customHeight="1">
      <c r="A1650" s="4"/>
      <c r="B1650" s="4" t="s">
        <v>1802</v>
      </c>
      <c r="C1650" s="4" t="s">
        <v>2752</v>
      </c>
      <c r="D1650" s="4" t="s">
        <v>2753</v>
      </c>
      <c r="E1650" s="5">
        <v>15.396330359136</v>
      </c>
    </row>
    <row r="1651" ht="14.25" customHeight="1">
      <c r="A1651" s="4"/>
      <c r="B1651" s="4" t="s">
        <v>1802</v>
      </c>
      <c r="C1651" s="4" t="s">
        <v>2754</v>
      </c>
      <c r="D1651" s="4" t="s">
        <v>1812</v>
      </c>
      <c r="E1651" s="5">
        <v>48.3641275995966</v>
      </c>
    </row>
    <row r="1652" ht="14.25" customHeight="1">
      <c r="A1652" s="4"/>
      <c r="B1652" s="4" t="s">
        <v>1802</v>
      </c>
      <c r="C1652" s="4" t="s">
        <v>2755</v>
      </c>
      <c r="D1652" s="4" t="s">
        <v>1812</v>
      </c>
      <c r="E1652" s="5">
        <v>48.3641275995966</v>
      </c>
    </row>
    <row r="1653" ht="14.25" customHeight="1">
      <c r="A1653" s="4"/>
      <c r="B1653" s="4" t="s">
        <v>1802</v>
      </c>
      <c r="C1653" s="4" t="s">
        <v>2756</v>
      </c>
      <c r="D1653" s="4" t="s">
        <v>1837</v>
      </c>
      <c r="E1653" s="5">
        <v>9.672825519919328</v>
      </c>
    </row>
    <row r="1654" ht="14.25" customHeight="1">
      <c r="A1654" s="4"/>
      <c r="B1654" s="4" t="s">
        <v>1802</v>
      </c>
      <c r="C1654" s="4" t="s">
        <v>2757</v>
      </c>
      <c r="D1654" s="4" t="s">
        <v>2758</v>
      </c>
      <c r="E1654" s="5">
        <v>44.5667747490428</v>
      </c>
    </row>
    <row r="1655" ht="14.25" customHeight="1">
      <c r="A1655" s="4"/>
      <c r="B1655" s="4" t="s">
        <v>1802</v>
      </c>
      <c r="C1655" s="4" t="s">
        <v>2759</v>
      </c>
      <c r="D1655" s="4" t="s">
        <v>1837</v>
      </c>
      <c r="E1655" s="5">
        <v>9.672825519919328</v>
      </c>
    </row>
    <row r="1656" ht="14.25" customHeight="1">
      <c r="A1656" s="4"/>
      <c r="B1656" s="4" t="s">
        <v>1802</v>
      </c>
      <c r="C1656" s="4" t="s">
        <v>2760</v>
      </c>
      <c r="D1656" s="4" t="s">
        <v>2761</v>
      </c>
      <c r="E1656" s="5">
        <v>48.3637893199949</v>
      </c>
    </row>
    <row r="1657" ht="14.25" customHeight="1">
      <c r="A1657" s="4"/>
      <c r="B1657" s="4" t="s">
        <v>1802</v>
      </c>
      <c r="C1657" s="4" t="s">
        <v>2762</v>
      </c>
      <c r="D1657" s="4" t="s">
        <v>2763</v>
      </c>
      <c r="E1657" s="5">
        <v>26.6563837208826</v>
      </c>
    </row>
    <row r="1658" ht="14.25" customHeight="1">
      <c r="A1658" s="4"/>
      <c r="B1658" s="4" t="s">
        <v>1802</v>
      </c>
      <c r="C1658" s="4" t="s">
        <v>2764</v>
      </c>
      <c r="D1658" s="4" t="s">
        <v>1812</v>
      </c>
      <c r="E1658" s="5">
        <v>48.3641275995966</v>
      </c>
    </row>
    <row r="1659" ht="14.25" customHeight="1">
      <c r="A1659" s="4"/>
      <c r="B1659" s="4" t="s">
        <v>1802</v>
      </c>
      <c r="C1659" s="4" t="s">
        <v>2765</v>
      </c>
      <c r="D1659" s="4" t="s">
        <v>1812</v>
      </c>
      <c r="E1659" s="5">
        <v>48.3641275995966</v>
      </c>
    </row>
    <row r="1660" ht="14.25" customHeight="1">
      <c r="A1660" s="4"/>
      <c r="B1660" s="4" t="s">
        <v>1802</v>
      </c>
      <c r="C1660" s="4" t="s">
        <v>2766</v>
      </c>
      <c r="D1660" s="4" t="s">
        <v>2767</v>
      </c>
      <c r="E1660" s="5">
        <v>17.4248861653099</v>
      </c>
    </row>
    <row r="1661" ht="14.25" customHeight="1">
      <c r="A1661" s="4"/>
      <c r="B1661" s="4" t="s">
        <v>1802</v>
      </c>
      <c r="C1661" s="4" t="s">
        <v>2768</v>
      </c>
      <c r="D1661" s="4" t="s">
        <v>2769</v>
      </c>
      <c r="E1661" s="5">
        <v>9.70834917786587</v>
      </c>
    </row>
    <row r="1662" ht="14.25" customHeight="1">
      <c r="A1662" s="4"/>
      <c r="B1662" s="4" t="s">
        <v>1802</v>
      </c>
      <c r="C1662" s="4" t="s">
        <v>2770</v>
      </c>
      <c r="D1662" s="4" t="s">
        <v>2771</v>
      </c>
      <c r="E1662" s="5">
        <v>34.687603794882804</v>
      </c>
    </row>
    <row r="1663" ht="14.25" customHeight="1">
      <c r="A1663" s="4"/>
      <c r="B1663" s="4" t="s">
        <v>1802</v>
      </c>
      <c r="C1663" s="4" t="s">
        <v>2772</v>
      </c>
      <c r="D1663" s="4" t="s">
        <v>2773</v>
      </c>
      <c r="E1663" s="5">
        <v>20.6268677034389</v>
      </c>
    </row>
    <row r="1664" ht="14.25" customHeight="1">
      <c r="A1664" s="4"/>
      <c r="B1664" s="4" t="s">
        <v>1802</v>
      </c>
      <c r="C1664" s="4" t="s">
        <v>2774</v>
      </c>
      <c r="D1664" s="4" t="s">
        <v>2775</v>
      </c>
      <c r="E1664" s="5">
        <v>13.9174767525386</v>
      </c>
    </row>
    <row r="1665" ht="14.25" customHeight="1">
      <c r="A1665" s="4"/>
      <c r="B1665" s="4" t="s">
        <v>1802</v>
      </c>
      <c r="C1665" s="4" t="s">
        <v>522</v>
      </c>
      <c r="D1665" s="4" t="s">
        <v>2776</v>
      </c>
      <c r="E1665" s="5">
        <v>41.70530546002961</v>
      </c>
    </row>
    <row r="1666" ht="14.25" customHeight="1">
      <c r="A1666" s="4"/>
      <c r="B1666" s="4" t="s">
        <v>1802</v>
      </c>
      <c r="C1666" s="4" t="s">
        <v>2777</v>
      </c>
      <c r="D1666" s="4" t="s">
        <v>1812</v>
      </c>
      <c r="E1666" s="5">
        <v>48.3641275995966</v>
      </c>
    </row>
    <row r="1667" ht="14.25" customHeight="1">
      <c r="A1667" s="4"/>
      <c r="B1667" s="4" t="s">
        <v>1802</v>
      </c>
      <c r="C1667" s="4" t="s">
        <v>2778</v>
      </c>
      <c r="D1667" s="4" t="s">
        <v>2779</v>
      </c>
      <c r="E1667" s="5">
        <v>35.7244963869855</v>
      </c>
    </row>
    <row r="1668" ht="14.25" customHeight="1">
      <c r="A1668" s="4"/>
      <c r="B1668" s="4" t="s">
        <v>1802</v>
      </c>
      <c r="C1668" s="4" t="s">
        <v>2780</v>
      </c>
      <c r="D1668" s="4" t="s">
        <v>1812</v>
      </c>
      <c r="E1668" s="5">
        <v>48.3641275995966</v>
      </c>
    </row>
    <row r="1669" ht="14.25" customHeight="1">
      <c r="A1669" s="4"/>
      <c r="B1669" s="4" t="s">
        <v>1802</v>
      </c>
      <c r="C1669" s="4" t="s">
        <v>2781</v>
      </c>
      <c r="D1669" s="4" t="s">
        <v>2782</v>
      </c>
      <c r="E1669" s="5">
        <v>14.1223252590822</v>
      </c>
    </row>
    <row r="1670" ht="14.25" customHeight="1">
      <c r="A1670" s="4"/>
      <c r="B1670" s="4" t="s">
        <v>1802</v>
      </c>
      <c r="C1670" s="4" t="s">
        <v>2783</v>
      </c>
      <c r="D1670" s="4" t="s">
        <v>1812</v>
      </c>
      <c r="E1670" s="5">
        <v>48.3641275995966</v>
      </c>
    </row>
    <row r="1671" ht="14.25" customHeight="1">
      <c r="A1671" s="4"/>
      <c r="B1671" s="4" t="s">
        <v>1802</v>
      </c>
      <c r="C1671" s="4" t="s">
        <v>2784</v>
      </c>
      <c r="D1671" s="4" t="s">
        <v>1812</v>
      </c>
      <c r="E1671" s="5">
        <v>48.3641275995966</v>
      </c>
    </row>
    <row r="1672" ht="14.25" customHeight="1">
      <c r="A1672" s="4"/>
      <c r="B1672" s="4" t="s">
        <v>1802</v>
      </c>
      <c r="C1672" s="4" t="s">
        <v>2785</v>
      </c>
      <c r="D1672" s="4" t="s">
        <v>2786</v>
      </c>
      <c r="E1672" s="5">
        <v>16.4471875189861</v>
      </c>
    </row>
    <row r="1673" ht="14.25" customHeight="1">
      <c r="A1673" s="4"/>
      <c r="B1673" s="4" t="s">
        <v>1802</v>
      </c>
      <c r="C1673" s="4" t="s">
        <v>2787</v>
      </c>
      <c r="D1673" s="4" t="s">
        <v>2788</v>
      </c>
      <c r="E1673" s="5">
        <v>0.217213500717213</v>
      </c>
    </row>
    <row r="1674" ht="14.25" customHeight="1">
      <c r="A1674" s="4"/>
      <c r="B1674" s="4" t="s">
        <v>1802</v>
      </c>
      <c r="C1674" s="4" t="s">
        <v>2789</v>
      </c>
      <c r="D1674" s="4" t="s">
        <v>1812</v>
      </c>
      <c r="E1674" s="5">
        <v>48.3641275995966</v>
      </c>
    </row>
    <row r="1675" ht="14.25" customHeight="1">
      <c r="A1675" s="4"/>
      <c r="B1675" s="4" t="s">
        <v>1802</v>
      </c>
      <c r="C1675" s="4" t="s">
        <v>2790</v>
      </c>
      <c r="D1675" s="4" t="s">
        <v>2791</v>
      </c>
      <c r="E1675" s="5">
        <v>16.8667957869386</v>
      </c>
    </row>
    <row r="1676" ht="14.25" customHeight="1">
      <c r="A1676" s="4"/>
      <c r="B1676" s="4" t="s">
        <v>1802</v>
      </c>
      <c r="C1676" s="4" t="s">
        <v>2792</v>
      </c>
      <c r="D1676" s="4" t="s">
        <v>2793</v>
      </c>
      <c r="E1676" s="5">
        <v>8.6189929595877</v>
      </c>
    </row>
    <row r="1677" ht="14.25" customHeight="1">
      <c r="A1677" s="4"/>
      <c r="B1677" s="4" t="s">
        <v>1802</v>
      </c>
      <c r="C1677" s="4" t="s">
        <v>983</v>
      </c>
      <c r="D1677" s="4" t="s">
        <v>2794</v>
      </c>
      <c r="E1677" s="5">
        <v>47.205556095203804</v>
      </c>
    </row>
    <row r="1678" ht="14.25" customHeight="1">
      <c r="A1678" s="4"/>
      <c r="B1678" s="4" t="s">
        <v>1802</v>
      </c>
      <c r="C1678" s="4" t="s">
        <v>256</v>
      </c>
      <c r="D1678" s="4" t="s">
        <v>1812</v>
      </c>
      <c r="E1678" s="5">
        <v>48.3641275995966</v>
      </c>
    </row>
    <row r="1679" ht="14.25" customHeight="1">
      <c r="A1679" s="4"/>
      <c r="B1679" s="4" t="s">
        <v>1802</v>
      </c>
      <c r="C1679" s="4" t="s">
        <v>2795</v>
      </c>
      <c r="D1679" s="4" t="s">
        <v>2796</v>
      </c>
      <c r="E1679" s="5">
        <v>6.10628878969105</v>
      </c>
    </row>
    <row r="1680" ht="14.25" customHeight="1">
      <c r="A1680" s="4"/>
      <c r="B1680" s="4" t="s">
        <v>1802</v>
      </c>
      <c r="C1680" s="4" t="s">
        <v>2797</v>
      </c>
      <c r="D1680" s="4" t="s">
        <v>1837</v>
      </c>
      <c r="E1680" s="5">
        <v>9.672825519919328</v>
      </c>
    </row>
    <row r="1681" ht="14.25" customHeight="1">
      <c r="A1681" s="4"/>
      <c r="B1681" s="4" t="s">
        <v>1802</v>
      </c>
      <c r="C1681" s="4" t="s">
        <v>2798</v>
      </c>
      <c r="D1681" s="4" t="s">
        <v>2799</v>
      </c>
      <c r="E1681" s="5">
        <v>9.7828751457361</v>
      </c>
    </row>
    <row r="1682" ht="14.25" customHeight="1">
      <c r="A1682" s="4"/>
      <c r="B1682" s="4" t="s">
        <v>1802</v>
      </c>
      <c r="C1682" s="4" t="s">
        <v>2800</v>
      </c>
      <c r="D1682" s="4" t="s">
        <v>2801</v>
      </c>
      <c r="E1682" s="5">
        <v>6.38406484314676</v>
      </c>
    </row>
    <row r="1683" ht="14.25" customHeight="1">
      <c r="A1683" s="4"/>
      <c r="B1683" s="4" t="s">
        <v>1802</v>
      </c>
      <c r="C1683" s="4" t="s">
        <v>2802</v>
      </c>
      <c r="D1683" s="4" t="s">
        <v>2803</v>
      </c>
      <c r="E1683" s="5">
        <v>43.4060560035443</v>
      </c>
    </row>
    <row r="1684" ht="14.25" customHeight="1">
      <c r="A1684" s="4"/>
      <c r="B1684" s="4" t="s">
        <v>1802</v>
      </c>
      <c r="C1684" s="4" t="s">
        <v>2804</v>
      </c>
      <c r="D1684" s="4" t="s">
        <v>1812</v>
      </c>
      <c r="E1684" s="5">
        <v>48.3641275995966</v>
      </c>
    </row>
    <row r="1685" ht="14.25" customHeight="1">
      <c r="A1685" s="4"/>
      <c r="B1685" s="4" t="s">
        <v>1802</v>
      </c>
      <c r="C1685" s="4" t="s">
        <v>2805</v>
      </c>
      <c r="D1685" s="4" t="s">
        <v>1821</v>
      </c>
      <c r="E1685" s="5">
        <v>19.3456510398386</v>
      </c>
    </row>
    <row r="1686" ht="14.25" customHeight="1">
      <c r="A1686" s="4"/>
      <c r="B1686" s="4" t="s">
        <v>1802</v>
      </c>
      <c r="C1686" s="4" t="s">
        <v>2806</v>
      </c>
      <c r="D1686" s="4" t="s">
        <v>1812</v>
      </c>
      <c r="E1686" s="5">
        <v>48.3641275995966</v>
      </c>
    </row>
    <row r="1687" ht="14.25" customHeight="1">
      <c r="A1687" s="4"/>
      <c r="B1687" s="4" t="s">
        <v>1802</v>
      </c>
      <c r="C1687" s="4" t="s">
        <v>2807</v>
      </c>
      <c r="D1687" s="4" t="s">
        <v>1812</v>
      </c>
      <c r="E1687" s="5">
        <v>48.3641275995966</v>
      </c>
    </row>
    <row r="1688" ht="14.25" customHeight="1">
      <c r="A1688" s="4"/>
      <c r="B1688" s="4" t="s">
        <v>1802</v>
      </c>
      <c r="C1688" s="4" t="s">
        <v>2808</v>
      </c>
      <c r="D1688" s="4" t="s">
        <v>2809</v>
      </c>
      <c r="E1688" s="5">
        <v>0.522494944212999</v>
      </c>
    </row>
    <row r="1689" ht="14.25" customHeight="1">
      <c r="A1689" s="4"/>
      <c r="B1689" s="4" t="s">
        <v>1802</v>
      </c>
      <c r="C1689" s="4" t="s">
        <v>2810</v>
      </c>
      <c r="D1689" s="4" t="s">
        <v>2811</v>
      </c>
      <c r="E1689" s="5">
        <v>9.89320049428358</v>
      </c>
    </row>
    <row r="1690" ht="14.25" customHeight="1">
      <c r="A1690" s="4"/>
      <c r="B1690" s="4" t="s">
        <v>1802</v>
      </c>
      <c r="C1690" s="4" t="s">
        <v>2812</v>
      </c>
      <c r="D1690" s="4" t="s">
        <v>2062</v>
      </c>
      <c r="E1690" s="5">
        <v>9.86628203031772</v>
      </c>
    </row>
    <row r="1691" ht="14.25" customHeight="1">
      <c r="A1691" s="4"/>
      <c r="B1691" s="4" t="s">
        <v>1802</v>
      </c>
      <c r="C1691" s="4" t="s">
        <v>2813</v>
      </c>
      <c r="D1691" s="4" t="s">
        <v>2814</v>
      </c>
      <c r="E1691" s="5">
        <v>9.686879629511001</v>
      </c>
    </row>
    <row r="1692" ht="14.25" customHeight="1">
      <c r="A1692" s="4"/>
      <c r="B1692" s="4" t="s">
        <v>1802</v>
      </c>
      <c r="C1692" s="4" t="s">
        <v>2815</v>
      </c>
      <c r="D1692" s="4" t="s">
        <v>1821</v>
      </c>
      <c r="E1692" s="5">
        <v>19.3456510398386</v>
      </c>
    </row>
    <row r="1693" ht="14.25" customHeight="1">
      <c r="A1693" s="4"/>
      <c r="B1693" s="4" t="s">
        <v>1802</v>
      </c>
      <c r="C1693" s="4" t="s">
        <v>921</v>
      </c>
      <c r="D1693" s="4" t="s">
        <v>2816</v>
      </c>
      <c r="E1693" s="5">
        <v>20.129949180916498</v>
      </c>
    </row>
    <row r="1694" ht="14.25" customHeight="1">
      <c r="A1694" s="4"/>
      <c r="B1694" s="4" t="s">
        <v>1802</v>
      </c>
      <c r="C1694" s="4" t="s">
        <v>2817</v>
      </c>
      <c r="D1694" s="4" t="s">
        <v>1812</v>
      </c>
      <c r="E1694" s="5">
        <v>48.3641275995966</v>
      </c>
    </row>
    <row r="1695" ht="14.25" customHeight="1">
      <c r="A1695" s="4"/>
      <c r="B1695" s="4" t="s">
        <v>1802</v>
      </c>
      <c r="C1695" s="4" t="s">
        <v>2818</v>
      </c>
      <c r="D1695" s="4" t="s">
        <v>1812</v>
      </c>
      <c r="E1695" s="5">
        <v>48.3641275995966</v>
      </c>
    </row>
    <row r="1696" ht="14.25" customHeight="1">
      <c r="A1696" s="4"/>
      <c r="B1696" s="4" t="s">
        <v>1802</v>
      </c>
      <c r="C1696" s="4" t="s">
        <v>43</v>
      </c>
      <c r="D1696" s="4" t="s">
        <v>2819</v>
      </c>
      <c r="E1696" s="5">
        <v>16.5321550692769</v>
      </c>
    </row>
    <row r="1697" ht="14.25" customHeight="1">
      <c r="A1697" s="4"/>
      <c r="B1697" s="4" t="s">
        <v>1802</v>
      </c>
      <c r="C1697" s="4" t="s">
        <v>2820</v>
      </c>
      <c r="D1697" s="4" t="s">
        <v>2821</v>
      </c>
      <c r="E1697" s="5">
        <v>9.6928215754228</v>
      </c>
    </row>
    <row r="1698" ht="14.25" customHeight="1">
      <c r="A1698" s="4"/>
      <c r="B1698" s="4" t="s">
        <v>1802</v>
      </c>
      <c r="C1698" s="4" t="s">
        <v>2822</v>
      </c>
      <c r="D1698" s="4" t="s">
        <v>2823</v>
      </c>
      <c r="E1698" s="5">
        <v>5.20329708432879</v>
      </c>
    </row>
    <row r="1699" ht="14.25" customHeight="1">
      <c r="A1699" s="4"/>
      <c r="B1699" s="4" t="s">
        <v>1802</v>
      </c>
      <c r="C1699" s="4" t="s">
        <v>2824</v>
      </c>
      <c r="D1699" s="4" t="s">
        <v>2825</v>
      </c>
      <c r="E1699" s="5">
        <v>16.4807988285678</v>
      </c>
    </row>
    <row r="1700" ht="14.25" customHeight="1">
      <c r="A1700" s="4"/>
      <c r="B1700" s="4" t="s">
        <v>1802</v>
      </c>
      <c r="C1700" s="4" t="s">
        <v>2826</v>
      </c>
      <c r="D1700" s="4" t="s">
        <v>2827</v>
      </c>
      <c r="E1700" s="5">
        <v>47.379659144015896</v>
      </c>
    </row>
    <row r="1701" ht="14.25" customHeight="1">
      <c r="A1701" s="4"/>
      <c r="B1701" s="4" t="s">
        <v>1802</v>
      </c>
      <c r="C1701" s="4" t="s">
        <v>2828</v>
      </c>
      <c r="D1701" s="4" t="s">
        <v>2829</v>
      </c>
      <c r="E1701" s="5">
        <v>44.5091224619274</v>
      </c>
    </row>
    <row r="1702" ht="14.25" customHeight="1">
      <c r="A1702" s="4"/>
      <c r="B1702" s="4" t="s">
        <v>1802</v>
      </c>
      <c r="C1702" s="4" t="s">
        <v>2830</v>
      </c>
      <c r="D1702" s="4" t="s">
        <v>1812</v>
      </c>
      <c r="E1702" s="5">
        <v>48.3641275995966</v>
      </c>
    </row>
    <row r="1703" ht="14.25" customHeight="1">
      <c r="A1703" s="4"/>
      <c r="B1703" s="4" t="s">
        <v>1802</v>
      </c>
      <c r="C1703" s="4" t="s">
        <v>2831</v>
      </c>
      <c r="D1703" s="4" t="s">
        <v>2832</v>
      </c>
      <c r="E1703" s="5">
        <v>2.47982552101148</v>
      </c>
    </row>
    <row r="1704" ht="14.25" customHeight="1">
      <c r="A1704" s="4"/>
      <c r="B1704" s="4" t="s">
        <v>1802</v>
      </c>
      <c r="C1704" s="4" t="s">
        <v>2833</v>
      </c>
      <c r="D1704" s="4" t="s">
        <v>2834</v>
      </c>
      <c r="E1704" s="5">
        <v>0.193456510398386</v>
      </c>
    </row>
    <row r="1705" ht="14.25" customHeight="1">
      <c r="A1705" s="4"/>
      <c r="B1705" s="4" t="s">
        <v>1802</v>
      </c>
      <c r="C1705" s="4" t="s">
        <v>2835</v>
      </c>
      <c r="D1705" s="4" t="s">
        <v>2836</v>
      </c>
      <c r="E1705" s="5">
        <v>24.0461500423851</v>
      </c>
    </row>
    <row r="1706" ht="14.25" customHeight="1">
      <c r="A1706" s="4"/>
      <c r="B1706" s="4" t="s">
        <v>1802</v>
      </c>
      <c r="C1706" s="4" t="s">
        <v>842</v>
      </c>
      <c r="D1706" s="4" t="s">
        <v>1812</v>
      </c>
      <c r="E1706" s="5">
        <v>48.3641275995966</v>
      </c>
    </row>
    <row r="1707" ht="14.25" customHeight="1">
      <c r="A1707" s="4"/>
      <c r="B1707" s="4" t="s">
        <v>1802</v>
      </c>
      <c r="C1707" s="4" t="s">
        <v>2837</v>
      </c>
      <c r="D1707" s="4" t="s">
        <v>1812</v>
      </c>
      <c r="E1707" s="5">
        <v>48.3641275995966</v>
      </c>
    </row>
    <row r="1708" ht="14.25" customHeight="1">
      <c r="A1708" s="4"/>
      <c r="B1708" s="4" t="s">
        <v>1802</v>
      </c>
      <c r="C1708" s="4" t="s">
        <v>2838</v>
      </c>
      <c r="D1708" s="4" t="s">
        <v>1812</v>
      </c>
      <c r="E1708" s="5">
        <v>48.3641275995966</v>
      </c>
    </row>
    <row r="1709" ht="14.25" customHeight="1">
      <c r="A1709" s="4"/>
      <c r="B1709" s="4" t="s">
        <v>1802</v>
      </c>
      <c r="C1709" s="4" t="s">
        <v>2839</v>
      </c>
      <c r="D1709" s="4" t="s">
        <v>1812</v>
      </c>
      <c r="E1709" s="5">
        <v>48.3641275995966</v>
      </c>
    </row>
    <row r="1710" ht="14.25" customHeight="1">
      <c r="A1710" s="4"/>
      <c r="B1710" s="4" t="s">
        <v>1802</v>
      </c>
      <c r="C1710" s="4" t="s">
        <v>2840</v>
      </c>
      <c r="D1710" s="4" t="s">
        <v>1812</v>
      </c>
      <c r="E1710" s="5">
        <v>48.3641275995966</v>
      </c>
    </row>
    <row r="1711" ht="14.25" customHeight="1">
      <c r="A1711" s="4"/>
      <c r="B1711" s="4" t="s">
        <v>1802</v>
      </c>
      <c r="C1711" s="4" t="s">
        <v>2841</v>
      </c>
      <c r="D1711" s="4" t="s">
        <v>2842</v>
      </c>
      <c r="E1711" s="5">
        <v>7.49004344877453</v>
      </c>
    </row>
    <row r="1712" ht="14.25" customHeight="1">
      <c r="A1712" s="4"/>
      <c r="B1712" s="4" t="s">
        <v>1802</v>
      </c>
      <c r="C1712" s="4" t="s">
        <v>2843</v>
      </c>
      <c r="D1712" s="4" t="s">
        <v>2844</v>
      </c>
      <c r="E1712" s="5">
        <v>5.164892409652031</v>
      </c>
    </row>
    <row r="1713" ht="14.25" customHeight="1">
      <c r="A1713" s="4"/>
      <c r="B1713" s="4" t="s">
        <v>1802</v>
      </c>
      <c r="C1713" s="4" t="s">
        <v>2845</v>
      </c>
      <c r="D1713" s="4" t="s">
        <v>2846</v>
      </c>
      <c r="E1713" s="5">
        <v>23.540944044966302</v>
      </c>
    </row>
    <row r="1714" ht="14.25" customHeight="1">
      <c r="A1714" s="4"/>
      <c r="B1714" s="4" t="s">
        <v>1802</v>
      </c>
      <c r="C1714" s="4" t="s">
        <v>1077</v>
      </c>
      <c r="D1714" s="4" t="s">
        <v>1812</v>
      </c>
      <c r="E1714" s="5">
        <v>48.3641275995966</v>
      </c>
    </row>
    <row r="1715" ht="14.25" customHeight="1">
      <c r="A1715" s="4"/>
      <c r="B1715" s="4" t="s">
        <v>1802</v>
      </c>
      <c r="C1715" s="4" t="s">
        <v>2847</v>
      </c>
      <c r="D1715" s="4" t="s">
        <v>1812</v>
      </c>
      <c r="E1715" s="5">
        <v>48.3641275995966</v>
      </c>
    </row>
    <row r="1716" ht="14.25" customHeight="1">
      <c r="A1716" s="4"/>
      <c r="B1716" s="4" t="s">
        <v>1802</v>
      </c>
      <c r="C1716" s="4" t="s">
        <v>2848</v>
      </c>
      <c r="D1716" s="4" t="s">
        <v>1837</v>
      </c>
      <c r="E1716" s="5">
        <v>9.672825519919328</v>
      </c>
    </row>
    <row r="1717" ht="14.25" customHeight="1">
      <c r="A1717" s="4"/>
      <c r="B1717" s="4" t="s">
        <v>1802</v>
      </c>
      <c r="C1717" s="4" t="s">
        <v>2849</v>
      </c>
      <c r="D1717" s="4" t="s">
        <v>1812</v>
      </c>
      <c r="E1717" s="5">
        <v>48.3641275995966</v>
      </c>
    </row>
    <row r="1718" ht="14.25" customHeight="1">
      <c r="A1718" s="4"/>
      <c r="B1718" s="4" t="s">
        <v>1802</v>
      </c>
      <c r="C1718" s="4" t="s">
        <v>591</v>
      </c>
      <c r="D1718" s="4" t="s">
        <v>1812</v>
      </c>
      <c r="E1718" s="5">
        <v>48.3641275995966</v>
      </c>
    </row>
    <row r="1719" ht="14.25" customHeight="1">
      <c r="A1719" s="4"/>
      <c r="B1719" s="4" t="s">
        <v>1802</v>
      </c>
      <c r="C1719" s="4" t="s">
        <v>2850</v>
      </c>
      <c r="D1719" s="4" t="s">
        <v>1812</v>
      </c>
      <c r="E1719" s="5">
        <v>48.3641275995966</v>
      </c>
    </row>
    <row r="1720" ht="14.25" customHeight="1">
      <c r="A1720" s="4"/>
      <c r="B1720" s="4" t="s">
        <v>1802</v>
      </c>
      <c r="C1720" s="4" t="s">
        <v>2851</v>
      </c>
      <c r="D1720" s="4" t="s">
        <v>1812</v>
      </c>
      <c r="E1720" s="5">
        <v>48.3641275995966</v>
      </c>
    </row>
    <row r="1721" ht="14.25" customHeight="1">
      <c r="A1721" s="4"/>
      <c r="B1721" s="4" t="s">
        <v>1802</v>
      </c>
      <c r="C1721" s="4" t="s">
        <v>2852</v>
      </c>
      <c r="D1721" s="4" t="s">
        <v>2853</v>
      </c>
      <c r="E1721" s="5">
        <v>46.5396287386353</v>
      </c>
    </row>
    <row r="1722" ht="14.25" customHeight="1">
      <c r="A1722" s="4"/>
      <c r="B1722" s="4" t="s">
        <v>1802</v>
      </c>
      <c r="C1722" s="4" t="s">
        <v>2854</v>
      </c>
      <c r="D1722" s="4" t="s">
        <v>2855</v>
      </c>
      <c r="E1722" s="5">
        <v>9.781725266161459</v>
      </c>
    </row>
    <row r="1723" ht="14.25" customHeight="1">
      <c r="A1723" s="4"/>
      <c r="B1723" s="4" t="s">
        <v>1802</v>
      </c>
      <c r="C1723" s="4" t="s">
        <v>2856</v>
      </c>
      <c r="D1723" s="4" t="s">
        <v>2857</v>
      </c>
      <c r="E1723" s="5">
        <v>36.4064473357744</v>
      </c>
    </row>
    <row r="1724" ht="14.25" customHeight="1">
      <c r="A1724" s="4"/>
      <c r="B1724" s="4" t="s">
        <v>1802</v>
      </c>
      <c r="C1724" s="4" t="s">
        <v>2858</v>
      </c>
      <c r="D1724" s="4" t="s">
        <v>2859</v>
      </c>
      <c r="E1724" s="5">
        <v>13.7030970832564</v>
      </c>
    </row>
    <row r="1725" ht="14.25" customHeight="1">
      <c r="A1725" s="4"/>
      <c r="B1725" s="4" t="s">
        <v>1802</v>
      </c>
      <c r="C1725" s="4" t="s">
        <v>2860</v>
      </c>
      <c r="D1725" s="4" t="s">
        <v>2861</v>
      </c>
      <c r="E1725" s="5">
        <v>13.1579409795347</v>
      </c>
    </row>
    <row r="1726" ht="14.25" customHeight="1">
      <c r="A1726" s="4"/>
      <c r="B1726" s="4" t="s">
        <v>1802</v>
      </c>
      <c r="C1726" s="4" t="s">
        <v>2862</v>
      </c>
      <c r="D1726" s="4" t="s">
        <v>1812</v>
      </c>
      <c r="E1726" s="5">
        <v>48.3641275995966</v>
      </c>
    </row>
    <row r="1727" ht="14.25" customHeight="1">
      <c r="A1727" s="4"/>
      <c r="B1727" s="4" t="s">
        <v>1802</v>
      </c>
      <c r="C1727" s="4" t="s">
        <v>2863</v>
      </c>
      <c r="D1727" s="4" t="s">
        <v>2864</v>
      </c>
      <c r="E1727" s="5">
        <v>5.8036953119516</v>
      </c>
    </row>
    <row r="1728" ht="14.25" customHeight="1">
      <c r="A1728" s="4"/>
      <c r="B1728" s="4" t="s">
        <v>1802</v>
      </c>
      <c r="C1728" s="4" t="s">
        <v>2865</v>
      </c>
      <c r="D1728" s="4" t="s">
        <v>2866</v>
      </c>
      <c r="E1728" s="5">
        <v>1.2350529158505401</v>
      </c>
    </row>
    <row r="1729" ht="14.25" customHeight="1">
      <c r="A1729" s="4"/>
      <c r="B1729" s="4" t="s">
        <v>1802</v>
      </c>
      <c r="C1729" s="4" t="s">
        <v>2867</v>
      </c>
      <c r="D1729" s="4" t="s">
        <v>2868</v>
      </c>
      <c r="E1729" s="5">
        <v>20.734083378521003</v>
      </c>
    </row>
    <row r="1730" ht="14.25" customHeight="1">
      <c r="A1730" s="4"/>
      <c r="B1730" s="4" t="s">
        <v>1802</v>
      </c>
      <c r="C1730" s="4" t="s">
        <v>2869</v>
      </c>
      <c r="D1730" s="4" t="s">
        <v>2683</v>
      </c>
      <c r="E1730" s="5">
        <v>1.93456510398386</v>
      </c>
    </row>
    <row r="1731" ht="14.25" customHeight="1">
      <c r="A1731" s="4"/>
      <c r="B1731" s="4" t="s">
        <v>1802</v>
      </c>
      <c r="C1731" s="4" t="s">
        <v>2870</v>
      </c>
      <c r="D1731" s="4" t="s">
        <v>1812</v>
      </c>
      <c r="E1731" s="5">
        <v>48.3641275995966</v>
      </c>
    </row>
    <row r="1732" ht="14.25" customHeight="1">
      <c r="A1732" s="4"/>
      <c r="B1732" s="4" t="s">
        <v>1802</v>
      </c>
      <c r="C1732" s="4" t="s">
        <v>2871</v>
      </c>
      <c r="D1732" s="4" t="s">
        <v>1821</v>
      </c>
      <c r="E1732" s="5">
        <v>19.3456510398386</v>
      </c>
    </row>
    <row r="1733" ht="14.25" customHeight="1">
      <c r="A1733" s="4"/>
      <c r="B1733" s="4" t="s">
        <v>1802</v>
      </c>
      <c r="C1733" s="4" t="s">
        <v>2872</v>
      </c>
      <c r="D1733" s="4" t="s">
        <v>2873</v>
      </c>
      <c r="E1733" s="5">
        <v>46.7072374532285</v>
      </c>
    </row>
    <row r="1734" ht="14.25" customHeight="1">
      <c r="A1734" s="4"/>
      <c r="B1734" s="4" t="s">
        <v>1802</v>
      </c>
      <c r="C1734" s="4" t="s">
        <v>2874</v>
      </c>
      <c r="D1734" s="4" t="s">
        <v>1812</v>
      </c>
      <c r="E1734" s="5">
        <v>48.3641275995966</v>
      </c>
    </row>
    <row r="1735" ht="14.25" customHeight="1">
      <c r="A1735" s="4"/>
      <c r="B1735" s="4" t="s">
        <v>1802</v>
      </c>
      <c r="C1735" s="4" t="s">
        <v>2875</v>
      </c>
      <c r="D1735" s="4" t="s">
        <v>1837</v>
      </c>
      <c r="E1735" s="5">
        <v>9.672825519919328</v>
      </c>
    </row>
    <row r="1736" ht="14.25" customHeight="1">
      <c r="A1736" s="4"/>
      <c r="B1736" s="4" t="s">
        <v>1802</v>
      </c>
      <c r="C1736" s="4" t="s">
        <v>2876</v>
      </c>
      <c r="D1736" s="4" t="s">
        <v>1812</v>
      </c>
      <c r="E1736" s="5">
        <v>48.3641275995966</v>
      </c>
    </row>
    <row r="1737" ht="14.25" customHeight="1">
      <c r="A1737" s="4"/>
      <c r="B1737" s="4" t="s">
        <v>1802</v>
      </c>
      <c r="C1737" s="4" t="s">
        <v>2877</v>
      </c>
      <c r="D1737" s="4" t="s">
        <v>2878</v>
      </c>
      <c r="E1737" s="5">
        <v>3.66281960403853</v>
      </c>
    </row>
    <row r="1738" ht="14.25" customHeight="1">
      <c r="A1738" s="4"/>
      <c r="B1738" s="4" t="s">
        <v>1802</v>
      </c>
      <c r="C1738" s="4" t="s">
        <v>2879</v>
      </c>
      <c r="D1738" s="4" t="s">
        <v>2062</v>
      </c>
      <c r="E1738" s="5">
        <v>9.86628203031772</v>
      </c>
    </row>
    <row r="1739" ht="14.25" customHeight="1">
      <c r="A1739" s="4"/>
      <c r="B1739" s="4" t="s">
        <v>1802</v>
      </c>
      <c r="C1739" s="4" t="s">
        <v>2880</v>
      </c>
      <c r="D1739" s="4" t="s">
        <v>1837</v>
      </c>
      <c r="E1739" s="5">
        <v>9.672825519919328</v>
      </c>
    </row>
    <row r="1740" ht="14.25" customHeight="1">
      <c r="A1740" s="4"/>
      <c r="B1740" s="4" t="s">
        <v>1802</v>
      </c>
      <c r="C1740" s="4" t="s">
        <v>2881</v>
      </c>
      <c r="D1740" s="4" t="s">
        <v>2882</v>
      </c>
      <c r="E1740" s="5">
        <v>9.055638635187341</v>
      </c>
    </row>
    <row r="1741" ht="14.25" customHeight="1">
      <c r="A1741" s="4"/>
      <c r="B1741" s="4" t="s">
        <v>1802</v>
      </c>
      <c r="C1741" s="4" t="s">
        <v>2883</v>
      </c>
      <c r="D1741" s="4" t="s">
        <v>2884</v>
      </c>
      <c r="E1741" s="5">
        <v>24.8944658998589</v>
      </c>
    </row>
    <row r="1742" ht="14.25" customHeight="1">
      <c r="A1742" s="4"/>
      <c r="B1742" s="4" t="s">
        <v>1802</v>
      </c>
      <c r="C1742" s="4" t="s">
        <v>2885</v>
      </c>
      <c r="D1742" s="4" t="s">
        <v>1812</v>
      </c>
      <c r="E1742" s="5">
        <v>48.3641275995966</v>
      </c>
    </row>
    <row r="1743" ht="14.25" customHeight="1">
      <c r="A1743" s="4"/>
      <c r="B1743" s="4" t="s">
        <v>1802</v>
      </c>
      <c r="C1743" s="4" t="s">
        <v>2886</v>
      </c>
      <c r="D1743" s="4" t="s">
        <v>2887</v>
      </c>
      <c r="E1743" s="5">
        <v>7.65429536434998</v>
      </c>
    </row>
    <row r="1744" ht="14.25" customHeight="1">
      <c r="A1744" s="4"/>
      <c r="B1744" s="4" t="s">
        <v>1802</v>
      </c>
      <c r="C1744" s="4" t="s">
        <v>2888</v>
      </c>
      <c r="D1744" s="4" t="s">
        <v>1812</v>
      </c>
      <c r="E1744" s="5">
        <v>48.3641275995966</v>
      </c>
    </row>
    <row r="1745" ht="14.25" customHeight="1">
      <c r="A1745" s="4"/>
      <c r="B1745" s="4" t="s">
        <v>1802</v>
      </c>
      <c r="C1745" s="4" t="s">
        <v>2889</v>
      </c>
      <c r="D1745" s="4" t="s">
        <v>2890</v>
      </c>
      <c r="E1745" s="5">
        <v>15.629800230735999</v>
      </c>
    </row>
    <row r="1746" ht="14.25" customHeight="1">
      <c r="A1746" s="4"/>
      <c r="B1746" s="4" t="s">
        <v>1802</v>
      </c>
      <c r="C1746" s="4" t="s">
        <v>2891</v>
      </c>
      <c r="D1746" s="4" t="s">
        <v>1812</v>
      </c>
      <c r="E1746" s="5">
        <v>48.3641275995966</v>
      </c>
    </row>
    <row r="1747" ht="14.25" customHeight="1">
      <c r="A1747" s="4"/>
      <c r="B1747" s="4" t="s">
        <v>1802</v>
      </c>
      <c r="C1747" s="4" t="s">
        <v>2892</v>
      </c>
      <c r="D1747" s="4" t="s">
        <v>2893</v>
      </c>
      <c r="E1747" s="5">
        <v>3.5945511739494997</v>
      </c>
    </row>
    <row r="1748" ht="14.25" customHeight="1">
      <c r="A1748" s="4"/>
      <c r="B1748" s="4" t="s">
        <v>1802</v>
      </c>
      <c r="C1748" s="4" t="s">
        <v>2894</v>
      </c>
      <c r="D1748" s="4" t="s">
        <v>2895</v>
      </c>
      <c r="E1748" s="5">
        <v>36.6060118716982</v>
      </c>
    </row>
    <row r="1749" ht="14.25" customHeight="1">
      <c r="A1749" s="4"/>
      <c r="B1749" s="4" t="s">
        <v>1802</v>
      </c>
      <c r="C1749" s="4" t="s">
        <v>2896</v>
      </c>
      <c r="D1749" s="4" t="s">
        <v>2897</v>
      </c>
      <c r="E1749" s="5">
        <v>9.71256641816815</v>
      </c>
    </row>
    <row r="1750" ht="14.25" customHeight="1">
      <c r="A1750" s="4"/>
      <c r="B1750" s="4" t="s">
        <v>1802</v>
      </c>
      <c r="C1750" s="4" t="s">
        <v>2898</v>
      </c>
      <c r="D1750" s="4" t="s">
        <v>2899</v>
      </c>
      <c r="E1750" s="5">
        <v>9.3237035290233</v>
      </c>
    </row>
    <row r="1751" ht="14.25" customHeight="1">
      <c r="A1751" s="4"/>
      <c r="B1751" s="4" t="s">
        <v>1802</v>
      </c>
      <c r="C1751" s="4" t="s">
        <v>2900</v>
      </c>
      <c r="D1751" s="4" t="s">
        <v>1812</v>
      </c>
      <c r="E1751" s="5">
        <v>48.3641275995966</v>
      </c>
    </row>
    <row r="1752" ht="14.25" customHeight="1">
      <c r="A1752" s="4"/>
      <c r="B1752" s="4" t="s">
        <v>1802</v>
      </c>
      <c r="C1752" s="4" t="s">
        <v>2901</v>
      </c>
      <c r="D1752" s="4" t="s">
        <v>2902</v>
      </c>
      <c r="E1752" s="5">
        <v>19.742492990267802</v>
      </c>
    </row>
    <row r="1753" ht="14.25" customHeight="1">
      <c r="A1753" s="4"/>
      <c r="B1753" s="4" t="s">
        <v>1802</v>
      </c>
      <c r="C1753" s="4" t="s">
        <v>2903</v>
      </c>
      <c r="D1753" s="4" t="s">
        <v>2904</v>
      </c>
      <c r="E1753" s="5">
        <v>18.0874369217868</v>
      </c>
    </row>
    <row r="1754" ht="14.25" customHeight="1">
      <c r="A1754" s="4"/>
      <c r="B1754" s="4" t="s">
        <v>1802</v>
      </c>
      <c r="C1754" s="4" t="s">
        <v>2905</v>
      </c>
      <c r="D1754" s="4" t="s">
        <v>2906</v>
      </c>
      <c r="E1754" s="5">
        <v>14.5717255959581</v>
      </c>
    </row>
    <row r="1755" ht="14.25" customHeight="1">
      <c r="A1755" s="4"/>
      <c r="B1755" s="4" t="s">
        <v>1802</v>
      </c>
      <c r="C1755" s="4" t="s">
        <v>2907</v>
      </c>
      <c r="D1755" s="4" t="s">
        <v>1812</v>
      </c>
      <c r="E1755" s="5">
        <v>48.3641275995966</v>
      </c>
    </row>
    <row r="1756" ht="14.25" customHeight="1">
      <c r="A1756" s="4"/>
      <c r="B1756" s="4" t="s">
        <v>1802</v>
      </c>
      <c r="C1756" s="4" t="s">
        <v>2908</v>
      </c>
      <c r="D1756" s="4" t="s">
        <v>2909</v>
      </c>
      <c r="E1756" s="5">
        <v>43.2858568053503</v>
      </c>
    </row>
    <row r="1757" ht="14.25" customHeight="1">
      <c r="A1757" s="4"/>
      <c r="B1757" s="4" t="s">
        <v>1802</v>
      </c>
      <c r="C1757" s="4" t="s">
        <v>2910</v>
      </c>
      <c r="D1757" s="4" t="s">
        <v>2105</v>
      </c>
      <c r="E1757" s="5">
        <v>29.018476559758</v>
      </c>
    </row>
    <row r="1758" ht="14.25" customHeight="1">
      <c r="A1758" s="4"/>
      <c r="B1758" s="4" t="s">
        <v>1802</v>
      </c>
      <c r="C1758" s="4" t="s">
        <v>1448</v>
      </c>
      <c r="D1758" s="4" t="s">
        <v>2911</v>
      </c>
      <c r="E1758" s="5">
        <v>9.71774758764727</v>
      </c>
    </row>
    <row r="1759" ht="14.25" customHeight="1">
      <c r="A1759" s="4"/>
      <c r="B1759" s="4" t="s">
        <v>1802</v>
      </c>
      <c r="C1759" s="4" t="s">
        <v>2912</v>
      </c>
      <c r="D1759" s="4" t="s">
        <v>2913</v>
      </c>
      <c r="E1759" s="5">
        <v>9.69142486449309</v>
      </c>
    </row>
    <row r="1760" ht="14.25" customHeight="1">
      <c r="A1760" s="4"/>
      <c r="B1760" s="4" t="s">
        <v>1802</v>
      </c>
      <c r="C1760" s="4" t="s">
        <v>2914</v>
      </c>
      <c r="D1760" s="4" t="s">
        <v>1812</v>
      </c>
      <c r="E1760" s="5">
        <v>48.3641275995966</v>
      </c>
    </row>
    <row r="1761" ht="14.25" customHeight="1">
      <c r="A1761" s="4"/>
      <c r="B1761" s="4" t="s">
        <v>1802</v>
      </c>
      <c r="C1761" s="4" t="s">
        <v>2915</v>
      </c>
      <c r="D1761" s="4" t="s">
        <v>1812</v>
      </c>
      <c r="E1761" s="5">
        <v>48.3641275995966</v>
      </c>
    </row>
    <row r="1762" ht="14.25" customHeight="1">
      <c r="A1762" s="4"/>
      <c r="B1762" s="4" t="s">
        <v>1802</v>
      </c>
      <c r="C1762" s="4" t="s">
        <v>2916</v>
      </c>
      <c r="D1762" s="4" t="s">
        <v>2917</v>
      </c>
      <c r="E1762" s="5">
        <v>25.0406787452354</v>
      </c>
    </row>
    <row r="1763" ht="14.25" customHeight="1">
      <c r="A1763" s="4"/>
      <c r="B1763" s="4" t="s">
        <v>1802</v>
      </c>
      <c r="C1763" s="4" t="s">
        <v>2918</v>
      </c>
      <c r="D1763" s="4" t="s">
        <v>2919</v>
      </c>
      <c r="E1763" s="5">
        <v>9.810269517747411</v>
      </c>
    </row>
    <row r="1764" ht="14.25" customHeight="1">
      <c r="A1764" s="4"/>
      <c r="B1764" s="4" t="s">
        <v>1802</v>
      </c>
      <c r="C1764" s="4" t="s">
        <v>2920</v>
      </c>
      <c r="D1764" s="4" t="s">
        <v>2921</v>
      </c>
      <c r="E1764" s="5">
        <v>11.3791864824553</v>
      </c>
    </row>
    <row r="1765" ht="14.25" customHeight="1">
      <c r="A1765" s="4"/>
      <c r="B1765" s="4" t="s">
        <v>1802</v>
      </c>
      <c r="C1765" s="4" t="s">
        <v>1554</v>
      </c>
      <c r="D1765" s="4" t="s">
        <v>1812</v>
      </c>
      <c r="E1765" s="5">
        <v>48.3641275995966</v>
      </c>
    </row>
    <row r="1766" ht="14.25" customHeight="1">
      <c r="A1766" s="4"/>
      <c r="B1766" s="4" t="s">
        <v>1802</v>
      </c>
      <c r="C1766" s="4" t="s">
        <v>1618</v>
      </c>
      <c r="D1766" s="4" t="s">
        <v>1812</v>
      </c>
      <c r="E1766" s="5">
        <v>48.3641275995966</v>
      </c>
    </row>
    <row r="1767" ht="14.25" customHeight="1">
      <c r="A1767" s="4"/>
      <c r="B1767" s="4" t="s">
        <v>1802</v>
      </c>
      <c r="C1767" s="4" t="s">
        <v>2922</v>
      </c>
      <c r="D1767" s="4" t="s">
        <v>2923</v>
      </c>
      <c r="E1767" s="5">
        <v>30.0832337493525</v>
      </c>
    </row>
    <row r="1768" ht="14.25" customHeight="1">
      <c r="A1768" s="4"/>
      <c r="B1768" s="4" t="s">
        <v>1802</v>
      </c>
      <c r="C1768" s="4" t="s">
        <v>722</v>
      </c>
      <c r="D1768" s="4" t="s">
        <v>1812</v>
      </c>
      <c r="E1768" s="5">
        <v>48.3641275995966</v>
      </c>
    </row>
    <row r="1769" ht="14.25" customHeight="1">
      <c r="A1769" s="4"/>
      <c r="B1769" s="4" t="s">
        <v>1802</v>
      </c>
      <c r="C1769" s="4" t="s">
        <v>2924</v>
      </c>
      <c r="D1769" s="4" t="s">
        <v>1812</v>
      </c>
      <c r="E1769" s="5">
        <v>48.3641275995966</v>
      </c>
    </row>
    <row r="1770" ht="14.25" customHeight="1">
      <c r="A1770" s="4"/>
      <c r="B1770" s="4" t="s">
        <v>1802</v>
      </c>
      <c r="C1770" s="4" t="s">
        <v>2925</v>
      </c>
      <c r="D1770" s="4" t="s">
        <v>1837</v>
      </c>
      <c r="E1770" s="5">
        <v>9.672825519919328</v>
      </c>
    </row>
    <row r="1771" ht="14.25" customHeight="1">
      <c r="A1771" s="4"/>
      <c r="B1771" s="4" t="s">
        <v>1802</v>
      </c>
      <c r="C1771" s="4" t="s">
        <v>2926</v>
      </c>
      <c r="D1771" s="4" t="s">
        <v>1812</v>
      </c>
      <c r="E1771" s="5">
        <v>48.3641275995966</v>
      </c>
    </row>
    <row r="1772" ht="14.25" customHeight="1">
      <c r="A1772" s="4"/>
      <c r="B1772" s="4" t="s">
        <v>1802</v>
      </c>
      <c r="C1772" s="4" t="s">
        <v>2927</v>
      </c>
      <c r="D1772" s="4" t="s">
        <v>2928</v>
      </c>
      <c r="E1772" s="5">
        <v>4.34166878615247</v>
      </c>
    </row>
    <row r="1773" ht="14.25" customHeight="1">
      <c r="A1773" s="4"/>
      <c r="B1773" s="4" t="s">
        <v>1802</v>
      </c>
      <c r="C1773" s="4" t="s">
        <v>2929</v>
      </c>
      <c r="D1773" s="4" t="s">
        <v>2930</v>
      </c>
      <c r="E1773" s="5">
        <v>47.9731671746749</v>
      </c>
    </row>
    <row r="1774" ht="14.25" customHeight="1">
      <c r="A1774" s="4"/>
      <c r="B1774" s="4" t="s">
        <v>1802</v>
      </c>
      <c r="C1774" s="4" t="s">
        <v>2931</v>
      </c>
      <c r="D1774" s="4" t="s">
        <v>1812</v>
      </c>
      <c r="E1774" s="5">
        <v>48.3641275995966</v>
      </c>
    </row>
    <row r="1775" ht="14.25" customHeight="1">
      <c r="A1775" s="4"/>
      <c r="B1775" s="4" t="s">
        <v>1802</v>
      </c>
      <c r="C1775" s="4" t="s">
        <v>2932</v>
      </c>
      <c r="D1775" s="4" t="s">
        <v>1821</v>
      </c>
      <c r="E1775" s="5">
        <v>19.3456510398386</v>
      </c>
    </row>
    <row r="1776" ht="14.25" customHeight="1">
      <c r="A1776" s="4"/>
      <c r="B1776" s="4" t="s">
        <v>1802</v>
      </c>
      <c r="C1776" s="4" t="s">
        <v>2933</v>
      </c>
      <c r="D1776" s="4" t="s">
        <v>2934</v>
      </c>
      <c r="E1776" s="5">
        <v>10.6932660793304</v>
      </c>
    </row>
    <row r="1777" ht="14.25" customHeight="1">
      <c r="A1777" s="4"/>
      <c r="B1777" s="4" t="s">
        <v>1802</v>
      </c>
      <c r="C1777" s="4" t="s">
        <v>1412</v>
      </c>
      <c r="D1777" s="4" t="s">
        <v>1812</v>
      </c>
      <c r="E1777" s="5">
        <v>48.3641275995966</v>
      </c>
    </row>
    <row r="1778" ht="14.25" customHeight="1">
      <c r="A1778" s="4"/>
      <c r="B1778" s="4" t="s">
        <v>1802</v>
      </c>
      <c r="C1778" s="4" t="s">
        <v>2935</v>
      </c>
      <c r="D1778" s="4" t="s">
        <v>1812</v>
      </c>
      <c r="E1778" s="5">
        <v>48.3641275995966</v>
      </c>
    </row>
    <row r="1779" ht="14.25" customHeight="1">
      <c r="A1779" s="4"/>
      <c r="B1779" s="4" t="s">
        <v>1802</v>
      </c>
      <c r="C1779" s="4" t="s">
        <v>2936</v>
      </c>
      <c r="D1779" s="4" t="s">
        <v>2105</v>
      </c>
      <c r="E1779" s="5">
        <v>29.018476559758</v>
      </c>
    </row>
    <row r="1780" ht="14.25" customHeight="1">
      <c r="A1780" s="4"/>
      <c r="B1780" s="4" t="s">
        <v>1802</v>
      </c>
      <c r="C1780" s="4" t="s">
        <v>1336</v>
      </c>
      <c r="D1780" s="4" t="s">
        <v>1812</v>
      </c>
      <c r="E1780" s="5">
        <v>48.3641275995966</v>
      </c>
    </row>
    <row r="1781" ht="14.25" customHeight="1">
      <c r="A1781" s="4"/>
      <c r="B1781" s="4" t="s">
        <v>1802</v>
      </c>
      <c r="C1781" s="4" t="s">
        <v>2937</v>
      </c>
      <c r="D1781" s="4" t="s">
        <v>1812</v>
      </c>
      <c r="E1781" s="5">
        <v>48.3641275995966</v>
      </c>
    </row>
    <row r="1782" ht="14.25" customHeight="1">
      <c r="A1782" s="4"/>
      <c r="B1782" s="4" t="s">
        <v>1802</v>
      </c>
      <c r="C1782" s="4" t="s">
        <v>2938</v>
      </c>
      <c r="D1782" s="4" t="s">
        <v>2939</v>
      </c>
      <c r="E1782" s="5">
        <v>3.17060809446485</v>
      </c>
    </row>
    <row r="1783" ht="14.25" customHeight="1">
      <c r="A1783" s="4"/>
      <c r="B1783" s="4" t="s">
        <v>1802</v>
      </c>
      <c r="C1783" s="4" t="s">
        <v>2940</v>
      </c>
      <c r="D1783" s="4" t="s">
        <v>2941</v>
      </c>
      <c r="E1783" s="5">
        <v>42.110476964297206</v>
      </c>
    </row>
    <row r="1784" ht="14.25" customHeight="1">
      <c r="A1784" s="4"/>
      <c r="B1784" s="4" t="s">
        <v>1802</v>
      </c>
      <c r="C1784" s="4" t="s">
        <v>2942</v>
      </c>
      <c r="D1784" s="4" t="s">
        <v>2943</v>
      </c>
      <c r="E1784" s="5">
        <v>47.7958137795924</v>
      </c>
    </row>
    <row r="1785" ht="14.25" customHeight="1">
      <c r="A1785" s="4"/>
      <c r="B1785" s="4" t="s">
        <v>1802</v>
      </c>
      <c r="C1785" s="4" t="s">
        <v>2944</v>
      </c>
      <c r="D1785" s="4" t="s">
        <v>1812</v>
      </c>
      <c r="E1785" s="5">
        <v>48.3641275995966</v>
      </c>
    </row>
    <row r="1786" ht="14.25" customHeight="1">
      <c r="A1786" s="4"/>
      <c r="B1786" s="4" t="s">
        <v>1802</v>
      </c>
      <c r="C1786" s="4" t="s">
        <v>2945</v>
      </c>
      <c r="D1786" s="4" t="s">
        <v>2946</v>
      </c>
      <c r="E1786" s="5">
        <v>7.52920746663994</v>
      </c>
    </row>
    <row r="1787" ht="14.25" customHeight="1">
      <c r="A1787" s="4"/>
      <c r="B1787" s="4" t="s">
        <v>1802</v>
      </c>
      <c r="C1787" s="4" t="s">
        <v>2947</v>
      </c>
      <c r="D1787" s="4" t="s">
        <v>1812</v>
      </c>
      <c r="E1787" s="5">
        <v>48.3641275995966</v>
      </c>
    </row>
    <row r="1788" ht="14.25" customHeight="1">
      <c r="A1788" s="4"/>
      <c r="B1788" s="4" t="s">
        <v>1802</v>
      </c>
      <c r="C1788" s="4" t="s">
        <v>2948</v>
      </c>
      <c r="D1788" s="4" t="s">
        <v>2949</v>
      </c>
      <c r="E1788" s="5">
        <v>32.4770056803575</v>
      </c>
    </row>
    <row r="1789" ht="14.25" customHeight="1">
      <c r="A1789" s="4"/>
      <c r="B1789" s="4" t="s">
        <v>1802</v>
      </c>
      <c r="C1789" s="4" t="s">
        <v>2950</v>
      </c>
      <c r="D1789" s="4" t="s">
        <v>2951</v>
      </c>
      <c r="E1789" s="5">
        <v>3.153206712383</v>
      </c>
    </row>
    <row r="1790" ht="14.25" customHeight="1">
      <c r="A1790" s="4"/>
      <c r="B1790" s="4" t="s">
        <v>1802</v>
      </c>
      <c r="C1790" s="4" t="s">
        <v>2952</v>
      </c>
      <c r="D1790" s="4" t="s">
        <v>2953</v>
      </c>
      <c r="E1790" s="5">
        <v>0.444220942233989</v>
      </c>
    </row>
    <row r="1791" ht="14.25" customHeight="1">
      <c r="A1791" s="4"/>
      <c r="B1791" s="4" t="s">
        <v>1802</v>
      </c>
      <c r="C1791" s="4" t="s">
        <v>2954</v>
      </c>
      <c r="D1791" s="4" t="s">
        <v>2955</v>
      </c>
      <c r="E1791" s="5">
        <v>9.82759072823804</v>
      </c>
    </row>
    <row r="1792" ht="14.25" customHeight="1">
      <c r="A1792" s="4"/>
      <c r="B1792" s="4" t="s">
        <v>1802</v>
      </c>
      <c r="C1792" s="4" t="s">
        <v>2956</v>
      </c>
      <c r="D1792" s="4" t="s">
        <v>1812</v>
      </c>
      <c r="E1792" s="5">
        <v>48.3641275995966</v>
      </c>
    </row>
    <row r="1793" ht="14.25" customHeight="1">
      <c r="A1793" s="4"/>
      <c r="B1793" s="4" t="s">
        <v>1802</v>
      </c>
      <c r="C1793" s="4" t="s">
        <v>834</v>
      </c>
      <c r="D1793" s="4" t="s">
        <v>1812</v>
      </c>
      <c r="E1793" s="5">
        <v>48.3641275995966</v>
      </c>
    </row>
    <row r="1794" ht="14.25" customHeight="1">
      <c r="A1794" s="4"/>
      <c r="B1794" s="4" t="s">
        <v>1802</v>
      </c>
      <c r="C1794" s="4" t="s">
        <v>2957</v>
      </c>
      <c r="D1794" s="4" t="s">
        <v>1812</v>
      </c>
      <c r="E1794" s="5">
        <v>48.3641275995966</v>
      </c>
    </row>
    <row r="1795" ht="14.25" customHeight="1">
      <c r="A1795" s="4"/>
      <c r="B1795" s="4" t="s">
        <v>1802</v>
      </c>
      <c r="C1795" s="4" t="s">
        <v>2958</v>
      </c>
      <c r="D1795" s="4" t="s">
        <v>1812</v>
      </c>
      <c r="E1795" s="5">
        <v>48.3641275995966</v>
      </c>
    </row>
    <row r="1796" ht="14.25" customHeight="1">
      <c r="A1796" s="4"/>
      <c r="B1796" s="4" t="s">
        <v>1802</v>
      </c>
      <c r="C1796" s="4" t="s">
        <v>2959</v>
      </c>
      <c r="D1796" s="4" t="s">
        <v>1812</v>
      </c>
      <c r="E1796" s="5">
        <v>48.3641275995966</v>
      </c>
    </row>
    <row r="1797" ht="14.25" customHeight="1">
      <c r="A1797" s="4"/>
      <c r="B1797" s="4" t="s">
        <v>1802</v>
      </c>
      <c r="C1797" s="4" t="s">
        <v>2960</v>
      </c>
      <c r="D1797" s="4" t="s">
        <v>1812</v>
      </c>
      <c r="E1797" s="5">
        <v>48.3641275995966</v>
      </c>
    </row>
    <row r="1798" ht="14.25" customHeight="1">
      <c r="A1798" s="4"/>
      <c r="B1798" s="4" t="s">
        <v>1802</v>
      </c>
      <c r="C1798" s="4" t="s">
        <v>2961</v>
      </c>
      <c r="D1798" s="4" t="s">
        <v>2962</v>
      </c>
      <c r="E1798" s="5">
        <v>31.4208019228163</v>
      </c>
    </row>
    <row r="1799" ht="14.25" customHeight="1">
      <c r="A1799" s="4"/>
      <c r="B1799" s="4" t="s">
        <v>1802</v>
      </c>
      <c r="C1799" s="4" t="s">
        <v>2963</v>
      </c>
      <c r="D1799" s="4" t="s">
        <v>2964</v>
      </c>
      <c r="E1799" s="5">
        <v>26.6831734975603</v>
      </c>
    </row>
    <row r="1800" ht="14.25" customHeight="1">
      <c r="A1800" s="4"/>
      <c r="B1800" s="4" t="s">
        <v>1802</v>
      </c>
      <c r="C1800" s="4" t="s">
        <v>2965</v>
      </c>
      <c r="D1800" s="4" t="s">
        <v>2966</v>
      </c>
      <c r="E1800" s="5">
        <v>7.87938101740656</v>
      </c>
    </row>
    <row r="1801" ht="14.25" customHeight="1">
      <c r="A1801" s="4"/>
      <c r="B1801" s="4" t="s">
        <v>1802</v>
      </c>
      <c r="C1801" s="4" t="s">
        <v>2967</v>
      </c>
      <c r="D1801" s="4" t="s">
        <v>1837</v>
      </c>
      <c r="E1801" s="5">
        <v>9.672825519919328</v>
      </c>
    </row>
    <row r="1802" ht="14.25" customHeight="1">
      <c r="A1802" s="4"/>
      <c r="B1802" s="4" t="s">
        <v>1802</v>
      </c>
      <c r="C1802" s="4" t="s">
        <v>2968</v>
      </c>
      <c r="D1802" s="4" t="s">
        <v>1837</v>
      </c>
      <c r="E1802" s="5">
        <v>9.672825519919328</v>
      </c>
    </row>
    <row r="1803" ht="14.25" customHeight="1">
      <c r="A1803" s="4"/>
      <c r="B1803" s="4" t="s">
        <v>1802</v>
      </c>
      <c r="C1803" s="4" t="s">
        <v>2969</v>
      </c>
      <c r="D1803" s="4" t="s">
        <v>1812</v>
      </c>
      <c r="E1803" s="5">
        <v>48.3641275995966</v>
      </c>
    </row>
    <row r="1804" ht="14.25" customHeight="1">
      <c r="A1804" s="4"/>
      <c r="B1804" s="4" t="s">
        <v>1802</v>
      </c>
      <c r="C1804" s="4" t="s">
        <v>2970</v>
      </c>
      <c r="D1804" s="4" t="s">
        <v>1812</v>
      </c>
      <c r="E1804" s="5">
        <v>48.3641275995966</v>
      </c>
    </row>
    <row r="1805" ht="14.25" customHeight="1">
      <c r="A1805" s="4"/>
      <c r="B1805" s="4" t="s">
        <v>1802</v>
      </c>
      <c r="C1805" s="4" t="s">
        <v>2971</v>
      </c>
      <c r="D1805" s="4" t="s">
        <v>2105</v>
      </c>
      <c r="E1805" s="5">
        <v>29.018476559758</v>
      </c>
    </row>
    <row r="1806" ht="14.25" customHeight="1">
      <c r="A1806" s="4"/>
      <c r="B1806" s="4" t="s">
        <v>1802</v>
      </c>
      <c r="C1806" s="4" t="s">
        <v>2972</v>
      </c>
      <c r="D1806" s="4" t="s">
        <v>2973</v>
      </c>
      <c r="E1806" s="5">
        <v>8.19085731270752</v>
      </c>
    </row>
    <row r="1807" ht="14.25" customHeight="1">
      <c r="A1807" s="4"/>
      <c r="B1807" s="4" t="s">
        <v>1802</v>
      </c>
      <c r="C1807" s="4" t="s">
        <v>2974</v>
      </c>
      <c r="D1807" s="4" t="s">
        <v>2975</v>
      </c>
      <c r="E1807" s="5">
        <v>43.1989139330637</v>
      </c>
    </row>
    <row r="1808" ht="14.25" customHeight="1">
      <c r="A1808" s="4"/>
      <c r="B1808" s="4" t="s">
        <v>1802</v>
      </c>
      <c r="C1808" s="4" t="s">
        <v>2976</v>
      </c>
      <c r="D1808" s="4" t="s">
        <v>1812</v>
      </c>
      <c r="E1808" s="5">
        <v>48.3641275995966</v>
      </c>
    </row>
    <row r="1809" ht="14.25" customHeight="1">
      <c r="A1809" s="4"/>
      <c r="B1809" s="4" t="s">
        <v>1802</v>
      </c>
      <c r="C1809" s="4" t="s">
        <v>2977</v>
      </c>
      <c r="D1809" s="4" t="s">
        <v>2978</v>
      </c>
      <c r="E1809" s="5">
        <v>21.9698821022867</v>
      </c>
    </row>
    <row r="1810" ht="14.25" customHeight="1">
      <c r="A1810" s="4"/>
      <c r="B1810" s="4" t="s">
        <v>1802</v>
      </c>
      <c r="C1810" s="4" t="s">
        <v>2979</v>
      </c>
      <c r="D1810" s="4" t="s">
        <v>2980</v>
      </c>
      <c r="E1810" s="5">
        <v>10.5934850529052</v>
      </c>
    </row>
    <row r="1811" ht="14.25" customHeight="1">
      <c r="A1811" s="4"/>
      <c r="B1811" s="4" t="s">
        <v>1802</v>
      </c>
      <c r="C1811" s="4" t="s">
        <v>2981</v>
      </c>
      <c r="D1811" s="4" t="s">
        <v>2982</v>
      </c>
      <c r="E1811" s="5">
        <v>36.7188519410973</v>
      </c>
    </row>
    <row r="1812" ht="14.25" customHeight="1">
      <c r="A1812" s="4"/>
      <c r="B1812" s="4" t="s">
        <v>1802</v>
      </c>
      <c r="C1812" s="4" t="s">
        <v>2983</v>
      </c>
      <c r="D1812" s="4" t="s">
        <v>1812</v>
      </c>
      <c r="E1812" s="5">
        <v>48.3641275995966</v>
      </c>
    </row>
    <row r="1813" ht="14.25" customHeight="1">
      <c r="A1813" s="4"/>
      <c r="B1813" s="4" t="s">
        <v>1802</v>
      </c>
      <c r="C1813" s="4" t="s">
        <v>2984</v>
      </c>
      <c r="D1813" s="4" t="s">
        <v>2985</v>
      </c>
      <c r="E1813" s="5">
        <v>6.31502177384504</v>
      </c>
    </row>
    <row r="1814" ht="14.25" customHeight="1">
      <c r="A1814" s="4"/>
      <c r="B1814" s="4" t="s">
        <v>1802</v>
      </c>
      <c r="C1814" s="4" t="s">
        <v>2986</v>
      </c>
      <c r="D1814" s="4" t="s">
        <v>1812</v>
      </c>
      <c r="E1814" s="5">
        <v>48.3641275995966</v>
      </c>
    </row>
    <row r="1815" ht="14.25" customHeight="1">
      <c r="A1815" s="4"/>
      <c r="B1815" s="4" t="s">
        <v>1802</v>
      </c>
      <c r="C1815" s="4" t="s">
        <v>2987</v>
      </c>
      <c r="D1815" s="4" t="s">
        <v>2988</v>
      </c>
      <c r="E1815" s="5">
        <v>19.4681320483024</v>
      </c>
    </row>
    <row r="1816" ht="14.25" customHeight="1">
      <c r="A1816" s="4"/>
      <c r="B1816" s="4" t="s">
        <v>1802</v>
      </c>
      <c r="C1816" s="4" t="s">
        <v>2989</v>
      </c>
      <c r="D1816" s="4" t="s">
        <v>2990</v>
      </c>
      <c r="E1816" s="5">
        <v>6.19060833274837</v>
      </c>
    </row>
    <row r="1817" ht="14.25" customHeight="1">
      <c r="A1817" s="4"/>
      <c r="B1817" s="4" t="s">
        <v>1802</v>
      </c>
      <c r="C1817" s="4" t="s">
        <v>2991</v>
      </c>
      <c r="D1817" s="4" t="s">
        <v>1821</v>
      </c>
      <c r="E1817" s="5">
        <v>19.3456510398386</v>
      </c>
    </row>
    <row r="1818" ht="14.25" customHeight="1">
      <c r="A1818" s="4"/>
      <c r="B1818" s="4" t="s">
        <v>1802</v>
      </c>
      <c r="C1818" s="4" t="s">
        <v>2992</v>
      </c>
      <c r="D1818" s="4" t="s">
        <v>1837</v>
      </c>
      <c r="E1818" s="5">
        <v>9.672825519919328</v>
      </c>
    </row>
    <row r="1819" ht="14.25" customHeight="1">
      <c r="A1819" s="4"/>
      <c r="B1819" s="4" t="s">
        <v>1802</v>
      </c>
      <c r="C1819" s="4" t="s">
        <v>2993</v>
      </c>
      <c r="D1819" s="4" t="s">
        <v>2994</v>
      </c>
      <c r="E1819" s="5">
        <v>8.32439246873042</v>
      </c>
    </row>
    <row r="1820" ht="14.25" customHeight="1">
      <c r="A1820" s="4"/>
      <c r="B1820" s="4" t="s">
        <v>1802</v>
      </c>
      <c r="C1820" s="4" t="s">
        <v>2995</v>
      </c>
      <c r="D1820" s="4" t="s">
        <v>1821</v>
      </c>
      <c r="E1820" s="5">
        <v>19.3456510398386</v>
      </c>
    </row>
    <row r="1821" ht="14.25" customHeight="1">
      <c r="A1821" s="4"/>
      <c r="B1821" s="4" t="s">
        <v>1802</v>
      </c>
      <c r="C1821" s="4" t="s">
        <v>2996</v>
      </c>
      <c r="D1821" s="4" t="s">
        <v>2997</v>
      </c>
      <c r="E1821" s="5">
        <v>39.9588034046242</v>
      </c>
    </row>
    <row r="1822" ht="14.25" customHeight="1">
      <c r="A1822" s="4"/>
      <c r="B1822" s="4" t="s">
        <v>1802</v>
      </c>
      <c r="C1822" s="4" t="s">
        <v>2998</v>
      </c>
      <c r="D1822" s="4" t="s">
        <v>1812</v>
      </c>
      <c r="E1822" s="5">
        <v>48.3641275995966</v>
      </c>
    </row>
    <row r="1823" ht="14.25" customHeight="1">
      <c r="A1823" s="4"/>
      <c r="B1823" s="4" t="s">
        <v>1802</v>
      </c>
      <c r="C1823" s="4" t="s">
        <v>2999</v>
      </c>
      <c r="D1823" s="4" t="s">
        <v>3000</v>
      </c>
      <c r="E1823" s="5">
        <v>47.8293345929685</v>
      </c>
    </row>
    <row r="1824" ht="14.25" customHeight="1">
      <c r="A1824" s="4"/>
      <c r="B1824" s="4" t="s">
        <v>1802</v>
      </c>
      <c r="C1824" s="4" t="s">
        <v>3001</v>
      </c>
      <c r="D1824" s="4" t="s">
        <v>1837</v>
      </c>
      <c r="E1824" s="5">
        <v>9.672825519919328</v>
      </c>
    </row>
    <row r="1825" ht="14.25" customHeight="1">
      <c r="A1825" s="4"/>
      <c r="B1825" s="4" t="s">
        <v>1802</v>
      </c>
      <c r="C1825" s="4" t="s">
        <v>3002</v>
      </c>
      <c r="D1825" s="4" t="s">
        <v>3003</v>
      </c>
      <c r="E1825" s="5">
        <v>9.80293573368849</v>
      </c>
    </row>
    <row r="1826" ht="14.25" customHeight="1">
      <c r="A1826" s="4"/>
      <c r="B1826" s="4" t="s">
        <v>1802</v>
      </c>
      <c r="C1826" s="4" t="s">
        <v>3004</v>
      </c>
      <c r="D1826" s="4" t="s">
        <v>1812</v>
      </c>
      <c r="E1826" s="5">
        <v>48.3641275995966</v>
      </c>
    </row>
    <row r="1827" ht="14.25" customHeight="1">
      <c r="A1827" s="4"/>
      <c r="B1827" s="4" t="s">
        <v>1802</v>
      </c>
      <c r="C1827" s="4" t="s">
        <v>3005</v>
      </c>
      <c r="D1827" s="4" t="s">
        <v>1812</v>
      </c>
      <c r="E1827" s="5">
        <v>48.3641275995966</v>
      </c>
    </row>
    <row r="1828" ht="14.25" customHeight="1">
      <c r="A1828" s="4"/>
      <c r="B1828" s="4" t="s">
        <v>1802</v>
      </c>
      <c r="C1828" s="4" t="s">
        <v>3006</v>
      </c>
      <c r="D1828" s="4" t="s">
        <v>3007</v>
      </c>
      <c r="E1828" s="5">
        <v>9.687506047882271</v>
      </c>
    </row>
    <row r="1829" ht="14.25" customHeight="1">
      <c r="A1829" s="4"/>
      <c r="B1829" s="4" t="s">
        <v>1802</v>
      </c>
      <c r="C1829" s="4" t="s">
        <v>3008</v>
      </c>
      <c r="D1829" s="4" t="s">
        <v>3009</v>
      </c>
      <c r="E1829" s="5">
        <v>1.42729340871626</v>
      </c>
    </row>
    <row r="1830" ht="14.25" customHeight="1">
      <c r="A1830" s="4"/>
      <c r="B1830" s="4" t="s">
        <v>1802</v>
      </c>
      <c r="C1830" s="4" t="s">
        <v>3010</v>
      </c>
      <c r="D1830" s="4" t="s">
        <v>3011</v>
      </c>
      <c r="E1830" s="5">
        <v>37.7293903638618</v>
      </c>
    </row>
    <row r="1831" ht="14.25" customHeight="1">
      <c r="A1831" s="4"/>
      <c r="B1831" s="4" t="s">
        <v>1802</v>
      </c>
      <c r="C1831" s="4" t="s">
        <v>404</v>
      </c>
      <c r="D1831" s="4" t="s">
        <v>3012</v>
      </c>
      <c r="E1831" s="5">
        <v>1.3541955727886998</v>
      </c>
    </row>
    <row r="1832" ht="14.25" customHeight="1">
      <c r="A1832" s="4"/>
      <c r="B1832" s="4" t="s">
        <v>1802</v>
      </c>
      <c r="C1832" s="4" t="s">
        <v>3013</v>
      </c>
      <c r="D1832" s="4" t="s">
        <v>1812</v>
      </c>
      <c r="E1832" s="5">
        <v>48.3641275995966</v>
      </c>
    </row>
    <row r="1833" ht="14.25" customHeight="1">
      <c r="A1833" s="4"/>
      <c r="B1833" s="4" t="s">
        <v>1802</v>
      </c>
      <c r="C1833" s="4" t="s">
        <v>3014</v>
      </c>
      <c r="D1833" s="4" t="s">
        <v>3015</v>
      </c>
      <c r="E1833" s="5">
        <v>35.821845251636496</v>
      </c>
    </row>
    <row r="1834" ht="14.25" customHeight="1">
      <c r="A1834" s="4"/>
      <c r="B1834" s="4" t="s">
        <v>1802</v>
      </c>
      <c r="C1834" s="4" t="s">
        <v>3016</v>
      </c>
      <c r="D1834" s="4" t="s">
        <v>1837</v>
      </c>
      <c r="E1834" s="5">
        <v>9.672825519919328</v>
      </c>
    </row>
    <row r="1835" ht="14.25" customHeight="1">
      <c r="A1835" s="4"/>
      <c r="B1835" s="4" t="s">
        <v>1802</v>
      </c>
      <c r="C1835" s="4" t="s">
        <v>252</v>
      </c>
      <c r="D1835" s="4" t="s">
        <v>1812</v>
      </c>
      <c r="E1835" s="5">
        <v>48.3641275995966</v>
      </c>
    </row>
    <row r="1836" ht="14.25" customHeight="1">
      <c r="A1836" s="4"/>
      <c r="B1836" s="4" t="s">
        <v>1802</v>
      </c>
      <c r="C1836" s="4" t="s">
        <v>3017</v>
      </c>
      <c r="D1836" s="4" t="s">
        <v>2105</v>
      </c>
      <c r="E1836" s="5">
        <v>29.018476559758</v>
      </c>
    </row>
    <row r="1837" ht="14.25" customHeight="1">
      <c r="A1837" s="4"/>
      <c r="B1837" s="4" t="s">
        <v>1802</v>
      </c>
      <c r="C1837" s="4" t="s">
        <v>3018</v>
      </c>
      <c r="D1837" s="4" t="s">
        <v>1812</v>
      </c>
      <c r="E1837" s="5">
        <v>48.3641275995966</v>
      </c>
    </row>
    <row r="1838" ht="14.25" customHeight="1">
      <c r="A1838" s="4"/>
      <c r="B1838" s="4" t="s">
        <v>1802</v>
      </c>
      <c r="C1838" s="4" t="s">
        <v>3019</v>
      </c>
      <c r="D1838" s="4" t="s">
        <v>3020</v>
      </c>
      <c r="E1838" s="5">
        <v>17.0563487330195</v>
      </c>
    </row>
    <row r="1839" ht="14.25" customHeight="1">
      <c r="A1839" s="4"/>
      <c r="B1839" s="4" t="s">
        <v>1802</v>
      </c>
      <c r="C1839" s="4" t="s">
        <v>3021</v>
      </c>
      <c r="D1839" s="4" t="s">
        <v>1812</v>
      </c>
      <c r="E1839" s="5">
        <v>48.3641275995966</v>
      </c>
    </row>
    <row r="1840" ht="14.25" customHeight="1">
      <c r="A1840" s="4"/>
      <c r="B1840" s="4" t="s">
        <v>1802</v>
      </c>
      <c r="C1840" s="4" t="s">
        <v>3022</v>
      </c>
      <c r="D1840" s="4" t="s">
        <v>3023</v>
      </c>
      <c r="E1840" s="5">
        <v>1.58715455016869</v>
      </c>
    </row>
    <row r="1841" ht="14.25" customHeight="1">
      <c r="A1841" s="4"/>
      <c r="B1841" s="4" t="s">
        <v>1802</v>
      </c>
      <c r="C1841" s="4" t="s">
        <v>3024</v>
      </c>
      <c r="D1841" s="4" t="s">
        <v>1812</v>
      </c>
      <c r="E1841" s="5">
        <v>48.3641275995966</v>
      </c>
    </row>
    <row r="1842" ht="14.25" customHeight="1">
      <c r="A1842" s="4"/>
      <c r="B1842" s="4" t="s">
        <v>1802</v>
      </c>
      <c r="C1842" s="4" t="s">
        <v>3025</v>
      </c>
      <c r="D1842" s="4" t="s">
        <v>3026</v>
      </c>
      <c r="E1842" s="5">
        <v>19.3642078943983</v>
      </c>
    </row>
    <row r="1843" ht="14.25" customHeight="1">
      <c r="A1843" s="4"/>
      <c r="B1843" s="4" t="s">
        <v>1802</v>
      </c>
      <c r="C1843" s="4" t="s">
        <v>3027</v>
      </c>
      <c r="D1843" s="4" t="s">
        <v>1812</v>
      </c>
      <c r="E1843" s="5">
        <v>48.3641275995966</v>
      </c>
    </row>
    <row r="1844" ht="14.25" customHeight="1">
      <c r="A1844" s="4"/>
      <c r="B1844" s="4" t="s">
        <v>1802</v>
      </c>
      <c r="C1844" s="4" t="s">
        <v>3028</v>
      </c>
      <c r="D1844" s="4" t="s">
        <v>3029</v>
      </c>
      <c r="E1844" s="5">
        <v>40.9926801230367</v>
      </c>
    </row>
    <row r="1845" ht="14.25" customHeight="1">
      <c r="A1845" s="4"/>
      <c r="B1845" s="4" t="s">
        <v>1802</v>
      </c>
      <c r="C1845" s="4" t="s">
        <v>3030</v>
      </c>
      <c r="D1845" s="4" t="s">
        <v>1837</v>
      </c>
      <c r="E1845" s="5">
        <v>9.672825519919328</v>
      </c>
    </row>
    <row r="1846" ht="14.25" customHeight="1">
      <c r="A1846" s="4"/>
      <c r="B1846" s="4" t="s">
        <v>1802</v>
      </c>
      <c r="C1846" s="4" t="s">
        <v>3031</v>
      </c>
      <c r="D1846" s="4" t="s">
        <v>3032</v>
      </c>
      <c r="E1846" s="5">
        <v>23.3247843695116</v>
      </c>
    </row>
    <row r="1847" ht="14.25" customHeight="1">
      <c r="A1847" s="4"/>
      <c r="B1847" s="4" t="s">
        <v>1802</v>
      </c>
      <c r="C1847" s="4" t="s">
        <v>3033</v>
      </c>
      <c r="D1847" s="4" t="s">
        <v>1812</v>
      </c>
      <c r="E1847" s="5">
        <v>48.3641275995966</v>
      </c>
    </row>
    <row r="1848" ht="14.25" customHeight="1">
      <c r="A1848" s="4"/>
      <c r="B1848" s="4" t="s">
        <v>1802</v>
      </c>
      <c r="C1848" s="4" t="s">
        <v>3034</v>
      </c>
      <c r="D1848" s="4" t="s">
        <v>1812</v>
      </c>
      <c r="E1848" s="5">
        <v>48.3641275995966</v>
      </c>
    </row>
    <row r="1849" ht="14.25" customHeight="1">
      <c r="A1849" s="4"/>
      <c r="B1849" s="4" t="s">
        <v>1802</v>
      </c>
      <c r="C1849" s="4" t="s">
        <v>3035</v>
      </c>
      <c r="D1849" s="4" t="s">
        <v>3036</v>
      </c>
      <c r="E1849" s="5">
        <v>43.4363675153964</v>
      </c>
    </row>
    <row r="1850" ht="14.25" customHeight="1">
      <c r="A1850" s="4"/>
      <c r="B1850" s="4" t="s">
        <v>1802</v>
      </c>
      <c r="C1850" s="4" t="s">
        <v>3037</v>
      </c>
      <c r="D1850" s="4" t="s">
        <v>3038</v>
      </c>
      <c r="E1850" s="5">
        <v>23.9994748176476</v>
      </c>
    </row>
    <row r="1851" ht="14.25" customHeight="1">
      <c r="A1851" s="4"/>
      <c r="B1851" s="4" t="s">
        <v>1802</v>
      </c>
      <c r="C1851" s="4" t="s">
        <v>3039</v>
      </c>
      <c r="D1851" s="4" t="s">
        <v>1812</v>
      </c>
      <c r="E1851" s="5">
        <v>48.3641275995966</v>
      </c>
    </row>
    <row r="1852" ht="14.25" customHeight="1">
      <c r="A1852" s="4"/>
      <c r="B1852" s="4" t="s">
        <v>1802</v>
      </c>
      <c r="C1852" s="4" t="s">
        <v>3040</v>
      </c>
      <c r="D1852" s="4" t="s">
        <v>3041</v>
      </c>
      <c r="E1852" s="5">
        <v>9.6761615495664</v>
      </c>
    </row>
    <row r="1853" ht="14.25" customHeight="1">
      <c r="A1853" s="4"/>
      <c r="B1853" s="4" t="s">
        <v>1802</v>
      </c>
      <c r="C1853" s="4" t="s">
        <v>3042</v>
      </c>
      <c r="D1853" s="4" t="s">
        <v>1812</v>
      </c>
      <c r="E1853" s="5">
        <v>48.3641275995966</v>
      </c>
    </row>
    <row r="1854" ht="14.25" customHeight="1">
      <c r="A1854" s="4"/>
      <c r="B1854" s="4" t="s">
        <v>1802</v>
      </c>
      <c r="C1854" s="4" t="s">
        <v>3043</v>
      </c>
      <c r="D1854" s="4" t="s">
        <v>1812</v>
      </c>
      <c r="E1854" s="5">
        <v>48.3641275995966</v>
      </c>
    </row>
    <row r="1855" ht="14.25" customHeight="1">
      <c r="A1855" s="4"/>
      <c r="B1855" s="4" t="s">
        <v>1802</v>
      </c>
      <c r="C1855" s="4" t="s">
        <v>3044</v>
      </c>
      <c r="D1855" s="4" t="s">
        <v>1812</v>
      </c>
      <c r="E1855" s="5">
        <v>48.3641275995966</v>
      </c>
    </row>
    <row r="1856" ht="14.25" customHeight="1">
      <c r="A1856" s="4"/>
      <c r="B1856" s="4" t="s">
        <v>1802</v>
      </c>
      <c r="C1856" s="4" t="s">
        <v>3045</v>
      </c>
      <c r="D1856" s="4" t="s">
        <v>3046</v>
      </c>
      <c r="E1856" s="5">
        <v>8.45298531189211</v>
      </c>
    </row>
    <row r="1857" ht="14.25" customHeight="1">
      <c r="A1857" s="4"/>
      <c r="B1857" s="4" t="s">
        <v>1802</v>
      </c>
      <c r="C1857" s="4" t="s">
        <v>3047</v>
      </c>
      <c r="D1857" s="4" t="s">
        <v>3048</v>
      </c>
      <c r="E1857" s="5">
        <v>6.8780133814291995</v>
      </c>
    </row>
    <row r="1858" ht="14.25" customHeight="1">
      <c r="A1858" s="4"/>
      <c r="B1858" s="4" t="s">
        <v>1802</v>
      </c>
      <c r="C1858" s="4" t="s">
        <v>877</v>
      </c>
      <c r="D1858" s="4" t="s">
        <v>1812</v>
      </c>
      <c r="E1858" s="5">
        <v>48.3641275995966</v>
      </c>
    </row>
    <row r="1859" ht="14.25" customHeight="1">
      <c r="A1859" s="4"/>
      <c r="B1859" s="4" t="s">
        <v>1802</v>
      </c>
      <c r="C1859" s="4" t="s">
        <v>3049</v>
      </c>
      <c r="D1859" s="4" t="s">
        <v>3050</v>
      </c>
      <c r="E1859" s="5">
        <v>10.6401080719112</v>
      </c>
    </row>
    <row r="1860" ht="14.25" customHeight="1">
      <c r="A1860" s="4"/>
      <c r="B1860" s="4" t="s">
        <v>1802</v>
      </c>
      <c r="C1860" s="4" t="s">
        <v>3051</v>
      </c>
      <c r="D1860" s="4" t="s">
        <v>1837</v>
      </c>
      <c r="E1860" s="5">
        <v>9.672825519919328</v>
      </c>
    </row>
    <row r="1861" ht="14.25" customHeight="1">
      <c r="A1861" s="4"/>
      <c r="B1861" s="4" t="s">
        <v>1802</v>
      </c>
      <c r="C1861" s="4" t="s">
        <v>3052</v>
      </c>
      <c r="D1861" s="4" t="s">
        <v>3053</v>
      </c>
      <c r="E1861" s="5">
        <v>45.130972176016094</v>
      </c>
    </row>
    <row r="1862" ht="14.25" customHeight="1">
      <c r="A1862" s="4"/>
      <c r="B1862" s="4" t="s">
        <v>1802</v>
      </c>
      <c r="C1862" s="4" t="s">
        <v>3054</v>
      </c>
      <c r="D1862" s="4" t="s">
        <v>3055</v>
      </c>
      <c r="E1862" s="5">
        <v>40.6000758555996</v>
      </c>
    </row>
    <row r="1863" ht="14.25" customHeight="1">
      <c r="A1863" s="4"/>
      <c r="B1863" s="4" t="s">
        <v>1802</v>
      </c>
      <c r="C1863" s="4" t="s">
        <v>3056</v>
      </c>
      <c r="D1863" s="4" t="s">
        <v>1812</v>
      </c>
      <c r="E1863" s="5">
        <v>48.3641275995966</v>
      </c>
    </row>
    <row r="1864" ht="14.25" customHeight="1">
      <c r="A1864" s="4"/>
      <c r="B1864" s="4" t="s">
        <v>1802</v>
      </c>
      <c r="C1864" s="4" t="s">
        <v>3057</v>
      </c>
      <c r="D1864" s="4" t="s">
        <v>1951</v>
      </c>
      <c r="E1864" s="5">
        <v>38.6913020796773</v>
      </c>
    </row>
    <row r="1865" ht="14.25" customHeight="1">
      <c r="A1865" s="4"/>
      <c r="B1865" s="4" t="s">
        <v>1802</v>
      </c>
      <c r="C1865" s="4" t="s">
        <v>3058</v>
      </c>
      <c r="D1865" s="4" t="s">
        <v>3059</v>
      </c>
      <c r="E1865" s="5">
        <v>4.93219623983523</v>
      </c>
    </row>
    <row r="1866" ht="14.25" customHeight="1">
      <c r="A1866" s="4"/>
      <c r="B1866" s="4" t="s">
        <v>1802</v>
      </c>
      <c r="C1866" s="4" t="s">
        <v>3060</v>
      </c>
      <c r="D1866" s="4" t="s">
        <v>1812</v>
      </c>
      <c r="E1866" s="5">
        <v>48.3641275995966</v>
      </c>
    </row>
    <row r="1867" ht="14.25" customHeight="1">
      <c r="A1867" s="4"/>
      <c r="B1867" s="4" t="s">
        <v>1802</v>
      </c>
      <c r="C1867" s="4" t="s">
        <v>3061</v>
      </c>
      <c r="D1867" s="4" t="s">
        <v>3062</v>
      </c>
      <c r="E1867" s="5">
        <v>43.0878026218301</v>
      </c>
    </row>
    <row r="1868" ht="14.25" customHeight="1">
      <c r="A1868" s="4"/>
      <c r="B1868" s="4" t="s">
        <v>1802</v>
      </c>
      <c r="C1868" s="4" t="s">
        <v>3063</v>
      </c>
      <c r="D1868" s="4" t="s">
        <v>1812</v>
      </c>
      <c r="E1868" s="5">
        <v>48.3641275995966</v>
      </c>
    </row>
    <row r="1869" ht="14.25" customHeight="1">
      <c r="A1869" s="4"/>
      <c r="B1869" s="4" t="s">
        <v>1802</v>
      </c>
      <c r="C1869" s="4" t="s">
        <v>3064</v>
      </c>
      <c r="D1869" s="4" t="s">
        <v>3065</v>
      </c>
      <c r="E1869" s="5">
        <v>13.6538281188323</v>
      </c>
    </row>
    <row r="1870" ht="14.25" customHeight="1">
      <c r="A1870" s="4"/>
      <c r="B1870" s="4" t="s">
        <v>1802</v>
      </c>
      <c r="C1870" s="4" t="s">
        <v>3066</v>
      </c>
      <c r="D1870" s="4" t="s">
        <v>3067</v>
      </c>
      <c r="E1870" s="5">
        <v>9.34494189179375</v>
      </c>
    </row>
    <row r="1871" ht="14.25" customHeight="1">
      <c r="A1871" s="4"/>
      <c r="B1871" s="4" t="s">
        <v>1802</v>
      </c>
      <c r="C1871" s="4" t="s">
        <v>3068</v>
      </c>
      <c r="D1871" s="4" t="s">
        <v>1812</v>
      </c>
      <c r="E1871" s="5">
        <v>48.3641275995966</v>
      </c>
    </row>
    <row r="1872" ht="14.25" customHeight="1">
      <c r="A1872" s="4"/>
      <c r="B1872" s="4" t="s">
        <v>1802</v>
      </c>
      <c r="C1872" s="4" t="s">
        <v>3069</v>
      </c>
      <c r="D1872" s="4" t="s">
        <v>3070</v>
      </c>
      <c r="E1872" s="5">
        <v>10.8978774074299</v>
      </c>
    </row>
    <row r="1873" ht="14.25" customHeight="1">
      <c r="A1873" s="4"/>
      <c r="B1873" s="4" t="s">
        <v>1802</v>
      </c>
      <c r="C1873" s="4" t="s">
        <v>3071</v>
      </c>
      <c r="D1873" s="4" t="s">
        <v>1812</v>
      </c>
      <c r="E1873" s="5">
        <v>48.3641275995966</v>
      </c>
    </row>
    <row r="1874" ht="14.25" customHeight="1">
      <c r="A1874" s="4"/>
      <c r="B1874" s="4" t="s">
        <v>1802</v>
      </c>
      <c r="C1874" s="4" t="s">
        <v>3072</v>
      </c>
      <c r="D1874" s="4" t="s">
        <v>3073</v>
      </c>
      <c r="E1874" s="5">
        <v>27.3975438515183</v>
      </c>
    </row>
    <row r="1875" ht="14.25" customHeight="1">
      <c r="A1875" s="4"/>
      <c r="B1875" s="4" t="s">
        <v>1802</v>
      </c>
      <c r="C1875" s="4" t="s">
        <v>3074</v>
      </c>
      <c r="D1875" s="4" t="s">
        <v>1837</v>
      </c>
      <c r="E1875" s="5">
        <v>9.672825519919328</v>
      </c>
    </row>
    <row r="1876" ht="14.25" customHeight="1">
      <c r="A1876" s="4"/>
      <c r="B1876" s="4" t="s">
        <v>1802</v>
      </c>
      <c r="C1876" s="4" t="s">
        <v>3075</v>
      </c>
      <c r="D1876" s="4" t="s">
        <v>3076</v>
      </c>
      <c r="E1876" s="5">
        <v>9.428073015403381</v>
      </c>
    </row>
    <row r="1877" ht="14.25" customHeight="1">
      <c r="A1877" s="4"/>
      <c r="B1877" s="4" t="s">
        <v>1802</v>
      </c>
      <c r="C1877" s="4" t="s">
        <v>579</v>
      </c>
      <c r="D1877" s="4" t="s">
        <v>1812</v>
      </c>
      <c r="E1877" s="5">
        <v>48.3641275995966</v>
      </c>
    </row>
    <row r="1878" ht="14.25" customHeight="1">
      <c r="A1878" s="4"/>
      <c r="B1878" s="4" t="s">
        <v>1802</v>
      </c>
      <c r="C1878" s="4" t="s">
        <v>3077</v>
      </c>
      <c r="D1878" s="4" t="s">
        <v>3078</v>
      </c>
      <c r="E1878" s="5">
        <v>20.3192137206158</v>
      </c>
    </row>
    <row r="1879" ht="14.25" customHeight="1">
      <c r="A1879" s="4"/>
      <c r="B1879" s="4" t="s">
        <v>1802</v>
      </c>
      <c r="C1879" s="4" t="s">
        <v>3079</v>
      </c>
      <c r="D1879" s="4" t="s">
        <v>3080</v>
      </c>
      <c r="E1879" s="5">
        <v>37.2372524115307</v>
      </c>
    </row>
    <row r="1880" ht="14.25" customHeight="1">
      <c r="A1880" s="4"/>
      <c r="B1880" s="4" t="s">
        <v>1802</v>
      </c>
      <c r="C1880" s="4" t="s">
        <v>1575</v>
      </c>
      <c r="D1880" s="4" t="s">
        <v>1812</v>
      </c>
      <c r="E1880" s="5">
        <v>48.3641275995966</v>
      </c>
    </row>
    <row r="1881" ht="14.25" customHeight="1">
      <c r="A1881" s="4"/>
      <c r="B1881" s="4" t="s">
        <v>1802</v>
      </c>
      <c r="C1881" s="4" t="s">
        <v>3081</v>
      </c>
      <c r="D1881" s="4" t="s">
        <v>1812</v>
      </c>
      <c r="E1881" s="5">
        <v>48.3641275995966</v>
      </c>
    </row>
    <row r="1882" ht="14.25" customHeight="1">
      <c r="A1882" s="4"/>
      <c r="B1882" s="4" t="s">
        <v>1802</v>
      </c>
      <c r="C1882" s="4" t="s">
        <v>3082</v>
      </c>
      <c r="D1882" s="4" t="s">
        <v>1821</v>
      </c>
      <c r="E1882" s="5">
        <v>19.3456510398386</v>
      </c>
    </row>
    <row r="1883" ht="14.25" customHeight="1">
      <c r="A1883" s="4"/>
      <c r="B1883" s="4" t="s">
        <v>1802</v>
      </c>
      <c r="C1883" s="4" t="s">
        <v>3083</v>
      </c>
      <c r="D1883" s="4" t="s">
        <v>3084</v>
      </c>
      <c r="E1883" s="5">
        <v>28.9313265761415</v>
      </c>
    </row>
    <row r="1884" ht="14.25" customHeight="1">
      <c r="A1884" s="4"/>
      <c r="B1884" s="4" t="s">
        <v>1802</v>
      </c>
      <c r="C1884" s="4" t="s">
        <v>3085</v>
      </c>
      <c r="D1884" s="4" t="s">
        <v>1812</v>
      </c>
      <c r="E1884" s="5">
        <v>48.3641275995966</v>
      </c>
    </row>
    <row r="1885" ht="14.25" customHeight="1">
      <c r="A1885" s="4"/>
      <c r="B1885" s="4" t="s">
        <v>1802</v>
      </c>
      <c r="C1885" s="4" t="s">
        <v>3086</v>
      </c>
      <c r="D1885" s="4" t="s">
        <v>1812</v>
      </c>
      <c r="E1885" s="5">
        <v>48.3641275995966</v>
      </c>
    </row>
    <row r="1886" ht="14.25" customHeight="1">
      <c r="A1886" s="4"/>
      <c r="B1886" s="4" t="s">
        <v>1802</v>
      </c>
      <c r="C1886" s="4" t="s">
        <v>3087</v>
      </c>
      <c r="D1886" s="4" t="s">
        <v>3088</v>
      </c>
      <c r="E1886" s="5">
        <v>9.943898442920231</v>
      </c>
    </row>
    <row r="1887" ht="14.25" customHeight="1">
      <c r="A1887" s="4"/>
      <c r="B1887" s="4" t="s">
        <v>1802</v>
      </c>
      <c r="C1887" s="4" t="s">
        <v>3089</v>
      </c>
      <c r="D1887" s="4" t="s">
        <v>1837</v>
      </c>
      <c r="E1887" s="5">
        <v>9.672825519919328</v>
      </c>
    </row>
    <row r="1888" ht="14.25" customHeight="1">
      <c r="A1888" s="4"/>
      <c r="B1888" s="4" t="s">
        <v>1802</v>
      </c>
      <c r="C1888" s="4" t="s">
        <v>3090</v>
      </c>
      <c r="D1888" s="4" t="s">
        <v>3091</v>
      </c>
      <c r="E1888" s="5">
        <v>11.1547797432856</v>
      </c>
    </row>
    <row r="1889" ht="14.25" customHeight="1">
      <c r="A1889" s="4"/>
      <c r="B1889" s="4" t="s">
        <v>1802</v>
      </c>
      <c r="C1889" s="4" t="s">
        <v>3092</v>
      </c>
      <c r="D1889" s="4" t="s">
        <v>1821</v>
      </c>
      <c r="E1889" s="5">
        <v>19.3456510398386</v>
      </c>
    </row>
    <row r="1890" ht="14.25" customHeight="1">
      <c r="A1890" s="4"/>
      <c r="B1890" s="4" t="s">
        <v>1802</v>
      </c>
      <c r="C1890" s="4" t="s">
        <v>3093</v>
      </c>
      <c r="D1890" s="4" t="s">
        <v>1812</v>
      </c>
      <c r="E1890" s="5">
        <v>48.3641275995966</v>
      </c>
    </row>
    <row r="1891" ht="14.25" customHeight="1">
      <c r="A1891" s="4"/>
      <c r="B1891" s="4" t="s">
        <v>1802</v>
      </c>
      <c r="C1891" s="4" t="s">
        <v>3094</v>
      </c>
      <c r="D1891" s="4" t="s">
        <v>3095</v>
      </c>
      <c r="E1891" s="5">
        <v>29.778454253845403</v>
      </c>
    </row>
    <row r="1892" ht="14.25" customHeight="1">
      <c r="A1892" s="4"/>
      <c r="B1892" s="4" t="s">
        <v>1802</v>
      </c>
      <c r="C1892" s="4" t="s">
        <v>3096</v>
      </c>
      <c r="D1892" s="4" t="s">
        <v>1812</v>
      </c>
      <c r="E1892" s="5">
        <v>48.3641275995966</v>
      </c>
    </row>
    <row r="1893" ht="14.25" customHeight="1">
      <c r="A1893" s="4"/>
      <c r="B1893" s="4" t="s">
        <v>1802</v>
      </c>
      <c r="C1893" s="4" t="s">
        <v>7</v>
      </c>
      <c r="D1893" s="4" t="s">
        <v>1812</v>
      </c>
      <c r="E1893" s="5">
        <v>48.3641275995966</v>
      </c>
    </row>
    <row r="1894" ht="14.25" customHeight="1">
      <c r="A1894" s="4"/>
      <c r="B1894" s="4" t="s">
        <v>1802</v>
      </c>
      <c r="C1894" s="4" t="s">
        <v>3097</v>
      </c>
      <c r="D1894" s="4" t="s">
        <v>3098</v>
      </c>
      <c r="E1894" s="5">
        <v>43.2441468630019</v>
      </c>
    </row>
    <row r="1895" ht="14.25" customHeight="1">
      <c r="A1895" s="4"/>
      <c r="B1895" s="4" t="s">
        <v>1802</v>
      </c>
      <c r="C1895" s="4" t="s">
        <v>3099</v>
      </c>
      <c r="D1895" s="4" t="s">
        <v>3100</v>
      </c>
      <c r="E1895" s="5">
        <v>12.858273274898</v>
      </c>
    </row>
    <row r="1896" ht="14.25" customHeight="1">
      <c r="A1896" s="4"/>
      <c r="B1896" s="4" t="s">
        <v>1802</v>
      </c>
      <c r="C1896" s="4" t="s">
        <v>3101</v>
      </c>
      <c r="D1896" s="4" t="s">
        <v>3102</v>
      </c>
      <c r="E1896" s="5">
        <v>29.1766688060503</v>
      </c>
    </row>
    <row r="1897" ht="14.25" customHeight="1">
      <c r="A1897" s="4"/>
      <c r="B1897" s="4" t="s">
        <v>1802</v>
      </c>
      <c r="C1897" s="4" t="s">
        <v>3103</v>
      </c>
      <c r="D1897" s="4" t="s">
        <v>3104</v>
      </c>
      <c r="E1897" s="5">
        <v>2.56084160562204</v>
      </c>
    </row>
    <row r="1898" ht="14.25" customHeight="1">
      <c r="A1898" s="4"/>
      <c r="B1898" s="4" t="s">
        <v>1802</v>
      </c>
      <c r="C1898" s="4" t="s">
        <v>3105</v>
      </c>
      <c r="D1898" s="4" t="s">
        <v>1812</v>
      </c>
      <c r="E1898" s="5">
        <v>48.3641275995966</v>
      </c>
    </row>
    <row r="1899" ht="14.25" customHeight="1">
      <c r="A1899" s="4"/>
      <c r="B1899" s="4" t="s">
        <v>1802</v>
      </c>
      <c r="C1899" s="4" t="s">
        <v>3106</v>
      </c>
      <c r="D1899" s="4" t="s">
        <v>3107</v>
      </c>
      <c r="E1899" s="5">
        <v>4.5820890626080395</v>
      </c>
    </row>
    <row r="1900" ht="14.25" customHeight="1">
      <c r="A1900" s="4"/>
      <c r="B1900" s="4" t="s">
        <v>1802</v>
      </c>
      <c r="C1900" s="4" t="s">
        <v>763</v>
      </c>
      <c r="D1900" s="4" t="s">
        <v>1812</v>
      </c>
      <c r="E1900" s="5">
        <v>48.3641275995966</v>
      </c>
    </row>
    <row r="1901" ht="14.25" customHeight="1">
      <c r="A1901" s="4"/>
      <c r="B1901" s="4" t="s">
        <v>1802</v>
      </c>
      <c r="C1901" s="4" t="s">
        <v>3108</v>
      </c>
      <c r="D1901" s="4" t="s">
        <v>3109</v>
      </c>
      <c r="E1901" s="5">
        <v>34.9764179773815</v>
      </c>
    </row>
    <row r="1902" ht="14.25" customHeight="1">
      <c r="A1902" s="4"/>
      <c r="B1902" s="4" t="s">
        <v>1802</v>
      </c>
      <c r="C1902" s="4" t="s">
        <v>3110</v>
      </c>
      <c r="D1902" s="4" t="s">
        <v>1812</v>
      </c>
      <c r="E1902" s="5">
        <v>48.3641275995966</v>
      </c>
    </row>
    <row r="1903" ht="14.25" customHeight="1">
      <c r="A1903" s="4"/>
      <c r="B1903" s="4" t="s">
        <v>1802</v>
      </c>
      <c r="C1903" s="4" t="s">
        <v>3111</v>
      </c>
      <c r="D1903" s="4" t="s">
        <v>1812</v>
      </c>
      <c r="E1903" s="5">
        <v>48.3641275995966</v>
      </c>
    </row>
    <row r="1904" ht="14.25" customHeight="1">
      <c r="A1904" s="4"/>
      <c r="B1904" s="4" t="s">
        <v>1802</v>
      </c>
      <c r="C1904" s="4" t="s">
        <v>3112</v>
      </c>
      <c r="D1904" s="4" t="s">
        <v>1812</v>
      </c>
      <c r="E1904" s="5">
        <v>48.3641275995966</v>
      </c>
    </row>
    <row r="1905" ht="14.25" customHeight="1">
      <c r="A1905" s="4"/>
      <c r="B1905" s="4" t="s">
        <v>1802</v>
      </c>
      <c r="C1905" s="4" t="s">
        <v>3113</v>
      </c>
      <c r="D1905" s="4" t="s">
        <v>3114</v>
      </c>
      <c r="E1905" s="5">
        <v>10.2513320217785</v>
      </c>
    </row>
    <row r="1906" ht="14.25" customHeight="1">
      <c r="A1906" s="4"/>
      <c r="B1906" s="4" t="s">
        <v>1802</v>
      </c>
      <c r="C1906" s="4" t="s">
        <v>596</v>
      </c>
      <c r="D1906" s="4" t="s">
        <v>1812</v>
      </c>
      <c r="E1906" s="5">
        <v>48.3641275995966</v>
      </c>
    </row>
    <row r="1907" ht="14.25" customHeight="1">
      <c r="A1907" s="4"/>
      <c r="B1907" s="4" t="s">
        <v>1802</v>
      </c>
      <c r="C1907" s="4" t="s">
        <v>3115</v>
      </c>
      <c r="D1907" s="4" t="s">
        <v>3116</v>
      </c>
      <c r="E1907" s="5">
        <v>47.286031950653</v>
      </c>
    </row>
    <row r="1908" ht="14.25" customHeight="1">
      <c r="A1908" s="4"/>
      <c r="B1908" s="4" t="s">
        <v>1802</v>
      </c>
      <c r="C1908" s="4" t="s">
        <v>3117</v>
      </c>
      <c r="D1908" s="4" t="s">
        <v>3118</v>
      </c>
      <c r="E1908" s="5">
        <v>30.898472349633902</v>
      </c>
    </row>
    <row r="1909" ht="14.25" customHeight="1">
      <c r="A1909" s="4"/>
      <c r="B1909" s="4" t="s">
        <v>1802</v>
      </c>
      <c r="C1909" s="4" t="s">
        <v>3119</v>
      </c>
      <c r="D1909" s="4" t="s">
        <v>3120</v>
      </c>
      <c r="E1909" s="5">
        <v>10.0266101123198</v>
      </c>
    </row>
    <row r="1910" ht="14.25" customHeight="1">
      <c r="A1910" s="4"/>
      <c r="B1910" s="4" t="s">
        <v>1802</v>
      </c>
      <c r="C1910" s="4" t="s">
        <v>3121</v>
      </c>
      <c r="D1910" s="4" t="s">
        <v>1812</v>
      </c>
      <c r="E1910" s="5">
        <v>48.3641275995966</v>
      </c>
    </row>
    <row r="1911" ht="14.25" customHeight="1">
      <c r="A1911" s="4"/>
      <c r="B1911" s="4" t="s">
        <v>1802</v>
      </c>
      <c r="C1911" s="4" t="s">
        <v>3122</v>
      </c>
      <c r="D1911" s="4" t="s">
        <v>3123</v>
      </c>
      <c r="E1911" s="5">
        <v>2.06124033394014</v>
      </c>
    </row>
    <row r="1912" ht="14.25" customHeight="1">
      <c r="A1912" s="4"/>
      <c r="B1912" s="4" t="s">
        <v>1802</v>
      </c>
      <c r="C1912" s="4" t="s">
        <v>3124</v>
      </c>
      <c r="D1912" s="4" t="s">
        <v>3125</v>
      </c>
      <c r="E1912" s="5">
        <v>31.6137283160256</v>
      </c>
    </row>
    <row r="1913" ht="14.25" customHeight="1">
      <c r="A1913" s="4"/>
      <c r="B1913" s="4" t="s">
        <v>1802</v>
      </c>
      <c r="C1913" s="4" t="s">
        <v>3126</v>
      </c>
      <c r="D1913" s="4" t="s">
        <v>1837</v>
      </c>
      <c r="E1913" s="5">
        <v>9.672825519919328</v>
      </c>
    </row>
    <row r="1914" ht="14.25" customHeight="1">
      <c r="A1914" s="4"/>
      <c r="B1914" s="4" t="s">
        <v>1802</v>
      </c>
      <c r="C1914" s="4" t="s">
        <v>3127</v>
      </c>
      <c r="D1914" s="4" t="s">
        <v>3128</v>
      </c>
      <c r="E1914" s="5">
        <v>39.912065569671704</v>
      </c>
    </row>
    <row r="1915" ht="14.25" customHeight="1">
      <c r="A1915" s="4"/>
      <c r="B1915" s="4" t="s">
        <v>1802</v>
      </c>
      <c r="C1915" s="4" t="s">
        <v>3129</v>
      </c>
      <c r="D1915" s="4" t="s">
        <v>3130</v>
      </c>
      <c r="E1915" s="5">
        <v>1.2686754647223502</v>
      </c>
    </row>
    <row r="1916" ht="14.25" customHeight="1">
      <c r="A1916" s="4"/>
      <c r="B1916" s="4" t="s">
        <v>1802</v>
      </c>
      <c r="C1916" s="4" t="s">
        <v>3131</v>
      </c>
      <c r="D1916" s="4" t="s">
        <v>1812</v>
      </c>
      <c r="E1916" s="5">
        <v>48.3641275995966</v>
      </c>
    </row>
    <row r="1917" ht="14.25" customHeight="1">
      <c r="A1917" s="4"/>
      <c r="B1917" s="4" t="s">
        <v>1802</v>
      </c>
      <c r="C1917" s="4" t="s">
        <v>3132</v>
      </c>
      <c r="D1917" s="4" t="s">
        <v>3133</v>
      </c>
      <c r="E1917" s="5">
        <v>6.892370249471891</v>
      </c>
    </row>
    <row r="1918" ht="14.25" customHeight="1">
      <c r="A1918" s="4"/>
      <c r="B1918" s="4" t="s">
        <v>1802</v>
      </c>
      <c r="C1918" s="4" t="s">
        <v>3134</v>
      </c>
      <c r="D1918" s="4" t="s">
        <v>3135</v>
      </c>
      <c r="E1918" s="5">
        <v>9.82898444736281</v>
      </c>
    </row>
    <row r="1919" ht="14.25" customHeight="1">
      <c r="A1919" s="4"/>
      <c r="B1919" s="4" t="s">
        <v>1802</v>
      </c>
      <c r="C1919" s="4" t="s">
        <v>3136</v>
      </c>
      <c r="D1919" s="4" t="s">
        <v>1812</v>
      </c>
      <c r="E1919" s="5">
        <v>48.3641275995966</v>
      </c>
    </row>
    <row r="1920" ht="14.25" customHeight="1">
      <c r="A1920" s="4"/>
      <c r="B1920" s="4" t="s">
        <v>1802</v>
      </c>
      <c r="C1920" s="4" t="s">
        <v>3137</v>
      </c>
      <c r="D1920" s="4" t="s">
        <v>1837</v>
      </c>
      <c r="E1920" s="5">
        <v>9.672825519919328</v>
      </c>
    </row>
    <row r="1921" ht="14.25" customHeight="1">
      <c r="A1921" s="4"/>
      <c r="B1921" s="4" t="s">
        <v>1802</v>
      </c>
      <c r="C1921" s="4" t="s">
        <v>3138</v>
      </c>
      <c r="D1921" s="4" t="s">
        <v>3139</v>
      </c>
      <c r="E1921" s="5">
        <v>17.9717727459525</v>
      </c>
    </row>
    <row r="1922" ht="14.25" customHeight="1">
      <c r="A1922" s="4"/>
      <c r="B1922" s="4" t="s">
        <v>1802</v>
      </c>
      <c r="C1922" s="4" t="s">
        <v>3140</v>
      </c>
      <c r="D1922" s="4" t="s">
        <v>1812</v>
      </c>
      <c r="E1922" s="5">
        <v>48.3641275995966</v>
      </c>
    </row>
    <row r="1923" ht="14.25" customHeight="1">
      <c r="A1923" s="4"/>
      <c r="B1923" s="4" t="s">
        <v>1802</v>
      </c>
      <c r="C1923" s="4" t="s">
        <v>3141</v>
      </c>
      <c r="D1923" s="4" t="s">
        <v>3142</v>
      </c>
      <c r="E1923" s="5">
        <v>10.4705841836489</v>
      </c>
    </row>
    <row r="1924" ht="14.25" customHeight="1">
      <c r="A1924" s="4"/>
      <c r="B1924" s="4" t="s">
        <v>1802</v>
      </c>
      <c r="C1924" s="4" t="s">
        <v>3143</v>
      </c>
      <c r="D1924" s="4" t="s">
        <v>1812</v>
      </c>
      <c r="E1924" s="5">
        <v>48.3641275995966</v>
      </c>
    </row>
    <row r="1925" ht="14.25" customHeight="1">
      <c r="A1925" s="4"/>
      <c r="B1925" s="4" t="s">
        <v>1802</v>
      </c>
      <c r="C1925" s="4" t="s">
        <v>3144</v>
      </c>
      <c r="D1925" s="4" t="s">
        <v>3145</v>
      </c>
      <c r="E1925" s="5">
        <v>8.68643894415862</v>
      </c>
    </row>
    <row r="1926" ht="14.25" customHeight="1">
      <c r="A1926" s="4"/>
      <c r="B1926" s="4" t="s">
        <v>1802</v>
      </c>
      <c r="C1926" s="4" t="s">
        <v>3146</v>
      </c>
      <c r="D1926" s="4" t="s">
        <v>1812</v>
      </c>
      <c r="E1926" s="5">
        <v>48.3641275995966</v>
      </c>
    </row>
    <row r="1927" ht="14.25" customHeight="1">
      <c r="A1927" s="4"/>
      <c r="B1927" s="4" t="s">
        <v>1802</v>
      </c>
      <c r="C1927" s="4" t="s">
        <v>3147</v>
      </c>
      <c r="D1927" s="4" t="s">
        <v>1812</v>
      </c>
      <c r="E1927" s="5">
        <v>48.3641275995966</v>
      </c>
    </row>
    <row r="1928" ht="14.25" customHeight="1">
      <c r="A1928" s="4"/>
      <c r="B1928" s="4" t="s">
        <v>1802</v>
      </c>
      <c r="C1928" s="4" t="s">
        <v>3148</v>
      </c>
      <c r="D1928" s="4" t="s">
        <v>3149</v>
      </c>
      <c r="E1928" s="5">
        <v>19.5185927550298</v>
      </c>
    </row>
    <row r="1929" ht="14.25" customHeight="1">
      <c r="A1929" s="4"/>
      <c r="B1929" s="4" t="s">
        <v>1802</v>
      </c>
      <c r="C1929" s="4" t="s">
        <v>3150</v>
      </c>
      <c r="D1929" s="4" t="s">
        <v>1812</v>
      </c>
      <c r="E1929" s="5">
        <v>48.3641275995966</v>
      </c>
    </row>
    <row r="1930" ht="14.25" customHeight="1">
      <c r="A1930" s="4"/>
      <c r="B1930" s="4" t="s">
        <v>1802</v>
      </c>
      <c r="C1930" s="4" t="s">
        <v>3151</v>
      </c>
      <c r="D1930" s="4" t="s">
        <v>3152</v>
      </c>
      <c r="E1930" s="5">
        <v>23.7951507790015</v>
      </c>
    </row>
    <row r="1931" ht="14.25" customHeight="1">
      <c r="A1931" s="4"/>
      <c r="B1931" s="4" t="s">
        <v>1802</v>
      </c>
      <c r="C1931" s="4" t="s">
        <v>3153</v>
      </c>
      <c r="D1931" s="4" t="s">
        <v>3154</v>
      </c>
      <c r="E1931" s="5">
        <v>13.7230436218293</v>
      </c>
    </row>
    <row r="1932" ht="14.25" customHeight="1">
      <c r="A1932" s="4"/>
      <c r="B1932" s="4" t="s">
        <v>1802</v>
      </c>
      <c r="C1932" s="4" t="s">
        <v>3155</v>
      </c>
      <c r="D1932" s="4" t="s">
        <v>3156</v>
      </c>
      <c r="E1932" s="5">
        <v>32.881492885688</v>
      </c>
    </row>
    <row r="1933" ht="14.25" customHeight="1">
      <c r="A1933" s="4"/>
      <c r="B1933" s="4" t="s">
        <v>1802</v>
      </c>
      <c r="C1933" s="4" t="s">
        <v>3157</v>
      </c>
      <c r="D1933" s="4" t="s">
        <v>1812</v>
      </c>
      <c r="E1933" s="5">
        <v>48.3641275995966</v>
      </c>
    </row>
    <row r="1934" ht="14.25" customHeight="1">
      <c r="A1934" s="4"/>
      <c r="B1934" s="4" t="s">
        <v>1802</v>
      </c>
      <c r="C1934" s="4" t="s">
        <v>3158</v>
      </c>
      <c r="D1934" s="4" t="s">
        <v>3159</v>
      </c>
      <c r="E1934" s="5">
        <v>45.9573832098647</v>
      </c>
    </row>
    <row r="1935" ht="14.25" customHeight="1">
      <c r="A1935" s="4"/>
      <c r="B1935" s="4" t="s">
        <v>1802</v>
      </c>
      <c r="C1935" s="4" t="s">
        <v>3160</v>
      </c>
      <c r="D1935" s="4" t="s">
        <v>1812</v>
      </c>
      <c r="E1935" s="5">
        <v>48.3641275995966</v>
      </c>
    </row>
    <row r="1936" ht="14.25" customHeight="1">
      <c r="A1936" s="4"/>
      <c r="B1936" s="4" t="s">
        <v>1802</v>
      </c>
      <c r="C1936" s="4" t="s">
        <v>3161</v>
      </c>
      <c r="D1936" s="4" t="s">
        <v>3162</v>
      </c>
      <c r="E1936" s="5">
        <v>19.535237508461996</v>
      </c>
    </row>
    <row r="1937" ht="14.25" customHeight="1">
      <c r="A1937" s="4"/>
      <c r="B1937" s="4" t="s">
        <v>1802</v>
      </c>
      <c r="C1937" s="4" t="s">
        <v>3163</v>
      </c>
      <c r="D1937" s="4" t="s">
        <v>3164</v>
      </c>
      <c r="E1937" s="5">
        <v>44.789524681864506</v>
      </c>
    </row>
    <row r="1938" ht="14.25" customHeight="1">
      <c r="A1938" s="4"/>
      <c r="B1938" s="4" t="s">
        <v>1802</v>
      </c>
      <c r="C1938" s="4" t="s">
        <v>3165</v>
      </c>
      <c r="D1938" s="4" t="s">
        <v>3166</v>
      </c>
      <c r="E1938" s="5">
        <v>40.0075382735543</v>
      </c>
    </row>
    <row r="1939" ht="14.25" customHeight="1">
      <c r="A1939" s="4"/>
      <c r="B1939" s="4" t="s">
        <v>1802</v>
      </c>
      <c r="C1939" s="4" t="s">
        <v>3167</v>
      </c>
      <c r="D1939" s="4" t="s">
        <v>1812</v>
      </c>
      <c r="E1939" s="5">
        <v>48.3641275995966</v>
      </c>
    </row>
    <row r="1940" ht="14.25" customHeight="1">
      <c r="A1940" s="4"/>
      <c r="B1940" s="4" t="s">
        <v>1802</v>
      </c>
      <c r="C1940" s="4" t="s">
        <v>3168</v>
      </c>
      <c r="D1940" s="4" t="s">
        <v>3169</v>
      </c>
      <c r="E1940" s="5">
        <v>5.02930554597589</v>
      </c>
    </row>
    <row r="1941" ht="14.25" customHeight="1">
      <c r="A1941" s="4"/>
      <c r="B1941" s="4" t="s">
        <v>1802</v>
      </c>
      <c r="C1941" s="4" t="s">
        <v>3170</v>
      </c>
      <c r="D1941" s="4" t="s">
        <v>3171</v>
      </c>
      <c r="E1941" s="5">
        <v>0.532850813388398</v>
      </c>
    </row>
    <row r="1942" ht="14.25" customHeight="1">
      <c r="A1942" s="4"/>
      <c r="B1942" s="4" t="s">
        <v>1802</v>
      </c>
      <c r="C1942" s="4" t="s">
        <v>3172</v>
      </c>
      <c r="D1942" s="4" t="s">
        <v>1812</v>
      </c>
      <c r="E1942" s="5">
        <v>48.3641275995966</v>
      </c>
    </row>
    <row r="1943" ht="14.25" customHeight="1">
      <c r="A1943" s="4"/>
      <c r="B1943" s="4" t="s">
        <v>1802</v>
      </c>
      <c r="C1943" s="4" t="s">
        <v>3173</v>
      </c>
      <c r="D1943" s="4" t="s">
        <v>3174</v>
      </c>
      <c r="E1943" s="5">
        <v>24.00462639227</v>
      </c>
    </row>
    <row r="1944" ht="14.25" customHeight="1">
      <c r="A1944" s="4"/>
      <c r="B1944" s="4" t="s">
        <v>1802</v>
      </c>
      <c r="C1944" s="4" t="s">
        <v>3175</v>
      </c>
      <c r="D1944" s="4" t="s">
        <v>3176</v>
      </c>
      <c r="E1944" s="5">
        <v>48.3162562711895</v>
      </c>
    </row>
    <row r="1945" ht="14.25" customHeight="1">
      <c r="A1945" s="4"/>
      <c r="B1945" s="4" t="s">
        <v>1802</v>
      </c>
      <c r="C1945" s="4" t="s">
        <v>3177</v>
      </c>
      <c r="D1945" s="4" t="s">
        <v>3178</v>
      </c>
      <c r="E1945" s="5">
        <v>12.187760155098301</v>
      </c>
    </row>
    <row r="1946" ht="14.25" customHeight="1">
      <c r="A1946" s="4"/>
      <c r="B1946" s="4" t="s">
        <v>1802</v>
      </c>
      <c r="C1946" s="4" t="s">
        <v>3179</v>
      </c>
      <c r="D1946" s="4" t="s">
        <v>3180</v>
      </c>
      <c r="E1946" s="5">
        <v>19.486643630363</v>
      </c>
    </row>
    <row r="1947" ht="14.25" customHeight="1">
      <c r="A1947" s="4"/>
      <c r="B1947" s="4" t="s">
        <v>1802</v>
      </c>
      <c r="C1947" s="4" t="s">
        <v>3181</v>
      </c>
      <c r="D1947" s="4" t="s">
        <v>1812</v>
      </c>
      <c r="E1947" s="5">
        <v>48.3641275995966</v>
      </c>
    </row>
    <row r="1948" ht="14.25" customHeight="1">
      <c r="A1948" s="4"/>
      <c r="B1948" s="4" t="s">
        <v>1802</v>
      </c>
      <c r="C1948" s="4" t="s">
        <v>3182</v>
      </c>
      <c r="D1948" s="4" t="s">
        <v>2058</v>
      </c>
      <c r="E1948" s="5">
        <v>9.479369009520939</v>
      </c>
    </row>
    <row r="1949" ht="14.25" customHeight="1">
      <c r="A1949" s="4"/>
      <c r="B1949" s="4" t="s">
        <v>1802</v>
      </c>
      <c r="C1949" s="4" t="s">
        <v>3183</v>
      </c>
      <c r="D1949" s="4" t="s">
        <v>1812</v>
      </c>
      <c r="E1949" s="5">
        <v>48.3641275995966</v>
      </c>
    </row>
    <row r="1950" ht="14.25" customHeight="1">
      <c r="A1950" s="4"/>
      <c r="B1950" s="4" t="s">
        <v>1802</v>
      </c>
      <c r="C1950" s="4" t="s">
        <v>3184</v>
      </c>
      <c r="D1950" s="4" t="s">
        <v>1821</v>
      </c>
      <c r="E1950" s="5">
        <v>19.3456510398386</v>
      </c>
    </row>
    <row r="1951" ht="14.25" customHeight="1">
      <c r="A1951" s="4"/>
      <c r="B1951" s="4" t="s">
        <v>1802</v>
      </c>
      <c r="C1951" s="4" t="s">
        <v>3185</v>
      </c>
      <c r="D1951" s="4" t="s">
        <v>3186</v>
      </c>
      <c r="E1951" s="5">
        <v>15.796236591882701</v>
      </c>
    </row>
    <row r="1952" ht="14.25" customHeight="1">
      <c r="A1952" s="4"/>
      <c r="B1952" s="4" t="s">
        <v>1802</v>
      </c>
      <c r="C1952" s="4" t="s">
        <v>3187</v>
      </c>
      <c r="D1952" s="4" t="s">
        <v>1812</v>
      </c>
      <c r="E1952" s="5">
        <v>48.3641275995966</v>
      </c>
    </row>
    <row r="1953" ht="14.25" customHeight="1">
      <c r="A1953" s="4"/>
      <c r="B1953" s="4" t="s">
        <v>1802</v>
      </c>
      <c r="C1953" s="4" t="s">
        <v>3188</v>
      </c>
      <c r="D1953" s="4" t="s">
        <v>1812</v>
      </c>
      <c r="E1953" s="5">
        <v>48.3641275995966</v>
      </c>
    </row>
    <row r="1954" ht="14.25" customHeight="1">
      <c r="A1954" s="4"/>
      <c r="B1954" s="4" t="s">
        <v>1802</v>
      </c>
      <c r="C1954" s="4" t="s">
        <v>3189</v>
      </c>
      <c r="D1954" s="4" t="s">
        <v>1812</v>
      </c>
      <c r="E1954" s="5">
        <v>48.3641275995966</v>
      </c>
    </row>
    <row r="1955" ht="14.25" customHeight="1">
      <c r="A1955" s="4"/>
      <c r="B1955" s="4" t="s">
        <v>1802</v>
      </c>
      <c r="C1955" s="4" t="s">
        <v>3190</v>
      </c>
      <c r="D1955" s="4" t="s">
        <v>1812</v>
      </c>
      <c r="E1955" s="5">
        <v>48.3641275995966</v>
      </c>
    </row>
    <row r="1956" ht="14.25" customHeight="1">
      <c r="A1956" s="4"/>
      <c r="B1956" s="4" t="s">
        <v>1802</v>
      </c>
      <c r="C1956" s="4" t="s">
        <v>3191</v>
      </c>
      <c r="D1956" s="4" t="s">
        <v>3192</v>
      </c>
      <c r="E1956" s="5">
        <v>9.67901730388729</v>
      </c>
    </row>
    <row r="1957" ht="14.25" customHeight="1">
      <c r="A1957" s="4"/>
      <c r="B1957" s="4" t="s">
        <v>1802</v>
      </c>
      <c r="C1957" s="4" t="s">
        <v>3193</v>
      </c>
      <c r="D1957" s="4" t="s">
        <v>3194</v>
      </c>
      <c r="E1957" s="5">
        <v>9.517459236080429</v>
      </c>
    </row>
    <row r="1958" ht="14.25" customHeight="1">
      <c r="A1958" s="4"/>
      <c r="B1958" s="4" t="s">
        <v>1802</v>
      </c>
      <c r="C1958" s="4" t="s">
        <v>3195</v>
      </c>
      <c r="D1958" s="4" t="s">
        <v>2105</v>
      </c>
      <c r="E1958" s="5">
        <v>29.018476559758</v>
      </c>
    </row>
    <row r="1959" ht="14.25" customHeight="1">
      <c r="A1959" s="4"/>
      <c r="B1959" s="4" t="s">
        <v>1802</v>
      </c>
      <c r="C1959" s="4" t="s">
        <v>3196</v>
      </c>
      <c r="D1959" s="4" t="s">
        <v>3197</v>
      </c>
      <c r="E1959" s="5">
        <v>42.7912367097713</v>
      </c>
    </row>
    <row r="1960" ht="14.25" customHeight="1">
      <c r="A1960" s="4"/>
      <c r="B1960" s="4" t="s">
        <v>1802</v>
      </c>
      <c r="C1960" s="4" t="s">
        <v>3198</v>
      </c>
      <c r="D1960" s="4" t="s">
        <v>2062</v>
      </c>
      <c r="E1960" s="5">
        <v>9.86628203031772</v>
      </c>
    </row>
    <row r="1961" ht="14.25" customHeight="1">
      <c r="A1961" s="4"/>
      <c r="B1961" s="4" t="s">
        <v>1802</v>
      </c>
      <c r="C1961" s="4" t="s">
        <v>1517</v>
      </c>
      <c r="D1961" s="4" t="s">
        <v>1812</v>
      </c>
      <c r="E1961" s="5">
        <v>48.3641275995966</v>
      </c>
    </row>
    <row r="1962" ht="14.25" customHeight="1">
      <c r="A1962" s="4"/>
      <c r="B1962" s="4" t="s">
        <v>1802</v>
      </c>
      <c r="C1962" s="4" t="s">
        <v>3199</v>
      </c>
      <c r="D1962" s="4" t="s">
        <v>1812</v>
      </c>
      <c r="E1962" s="5">
        <v>48.3641275995966</v>
      </c>
    </row>
    <row r="1963" ht="14.25" customHeight="1">
      <c r="A1963" s="4"/>
      <c r="B1963" s="4" t="s">
        <v>1802</v>
      </c>
      <c r="C1963" s="4" t="s">
        <v>3200</v>
      </c>
      <c r="D1963" s="4" t="s">
        <v>1837</v>
      </c>
      <c r="E1963" s="5">
        <v>9.672825519919328</v>
      </c>
    </row>
    <row r="1964" ht="14.25" customHeight="1">
      <c r="A1964" s="4"/>
      <c r="B1964" s="4" t="s">
        <v>1802</v>
      </c>
      <c r="C1964" s="4" t="s">
        <v>3201</v>
      </c>
      <c r="D1964" s="4" t="s">
        <v>3202</v>
      </c>
      <c r="E1964" s="5">
        <v>8.50680846420656</v>
      </c>
    </row>
    <row r="1965" ht="14.25" customHeight="1">
      <c r="A1965" s="4"/>
      <c r="B1965" s="4" t="s">
        <v>1802</v>
      </c>
      <c r="C1965" s="4" t="s">
        <v>3203</v>
      </c>
      <c r="D1965" s="4" t="s">
        <v>1812</v>
      </c>
      <c r="E1965" s="5">
        <v>48.3641275995966</v>
      </c>
    </row>
    <row r="1966" ht="14.25" customHeight="1">
      <c r="A1966" s="4"/>
      <c r="B1966" s="4" t="s">
        <v>1802</v>
      </c>
      <c r="C1966" s="4" t="s">
        <v>3204</v>
      </c>
      <c r="D1966" s="4" t="s">
        <v>3205</v>
      </c>
      <c r="E1966" s="5">
        <v>17.4110859358548</v>
      </c>
    </row>
    <row r="1967" ht="14.25" customHeight="1">
      <c r="A1967" s="4"/>
      <c r="B1967" s="4" t="s">
        <v>1802</v>
      </c>
      <c r="C1967" s="4" t="s">
        <v>3206</v>
      </c>
      <c r="D1967" s="4" t="s">
        <v>3207</v>
      </c>
      <c r="E1967" s="5">
        <v>2.16453270614861</v>
      </c>
    </row>
    <row r="1968" ht="14.25" customHeight="1">
      <c r="A1968" s="4"/>
      <c r="B1968" s="4" t="s">
        <v>1802</v>
      </c>
      <c r="C1968" s="4" t="s">
        <v>3208</v>
      </c>
      <c r="D1968" s="4" t="s">
        <v>1812</v>
      </c>
      <c r="E1968" s="5">
        <v>48.3641275995966</v>
      </c>
    </row>
    <row r="1969" ht="14.25" customHeight="1">
      <c r="A1969" s="4"/>
      <c r="B1969" s="4" t="s">
        <v>1802</v>
      </c>
      <c r="C1969" s="4" t="s">
        <v>3209</v>
      </c>
      <c r="D1969" s="4" t="s">
        <v>1812</v>
      </c>
      <c r="E1969" s="5">
        <v>48.3641275995966</v>
      </c>
    </row>
    <row r="1970" ht="14.25" customHeight="1">
      <c r="A1970" s="4"/>
      <c r="B1970" s="4" t="s">
        <v>1802</v>
      </c>
      <c r="C1970" s="4" t="s">
        <v>450</v>
      </c>
      <c r="D1970" s="4" t="s">
        <v>3210</v>
      </c>
      <c r="E1970" s="5">
        <v>33.6427899234685</v>
      </c>
    </row>
    <row r="1971" ht="14.25" customHeight="1">
      <c r="A1971" s="4"/>
      <c r="B1971" s="4" t="s">
        <v>1802</v>
      </c>
      <c r="C1971" s="4" t="s">
        <v>3211</v>
      </c>
      <c r="D1971" s="4" t="s">
        <v>1812</v>
      </c>
      <c r="E1971" s="5">
        <v>48.3641275995966</v>
      </c>
    </row>
    <row r="1972" ht="14.25" customHeight="1">
      <c r="A1972" s="4"/>
      <c r="B1972" s="4" t="s">
        <v>1802</v>
      </c>
      <c r="C1972" s="4" t="s">
        <v>3212</v>
      </c>
      <c r="D1972" s="4" t="s">
        <v>1812</v>
      </c>
      <c r="E1972" s="5">
        <v>48.3641275995966</v>
      </c>
    </row>
    <row r="1973" ht="14.25" customHeight="1">
      <c r="A1973" s="4"/>
      <c r="B1973" s="4" t="s">
        <v>1802</v>
      </c>
      <c r="C1973" s="4" t="s">
        <v>3213</v>
      </c>
      <c r="D1973" s="4" t="s">
        <v>1837</v>
      </c>
      <c r="E1973" s="5">
        <v>9.672825519919328</v>
      </c>
    </row>
    <row r="1974" ht="14.25" customHeight="1">
      <c r="A1974" s="4"/>
      <c r="B1974" s="4" t="s">
        <v>1802</v>
      </c>
      <c r="C1974" s="4" t="s">
        <v>3214</v>
      </c>
      <c r="D1974" s="4" t="s">
        <v>3215</v>
      </c>
      <c r="E1974" s="5">
        <v>1.8528117993447601</v>
      </c>
    </row>
    <row r="1975" ht="14.25" customHeight="1">
      <c r="A1975" s="4"/>
      <c r="B1975" s="4" t="s">
        <v>1802</v>
      </c>
      <c r="C1975" s="4" t="s">
        <v>3216</v>
      </c>
      <c r="D1975" s="4" t="s">
        <v>3217</v>
      </c>
      <c r="E1975" s="5">
        <v>18.0422119340447</v>
      </c>
    </row>
    <row r="1976" ht="14.25" customHeight="1">
      <c r="A1976" s="4"/>
      <c r="B1976" s="4" t="s">
        <v>1802</v>
      </c>
      <c r="C1976" s="4" t="s">
        <v>3218</v>
      </c>
      <c r="D1976" s="4" t="s">
        <v>3219</v>
      </c>
      <c r="E1976" s="5">
        <v>16.8670189059985</v>
      </c>
    </row>
    <row r="1977" ht="14.25" customHeight="1">
      <c r="A1977" s="4"/>
      <c r="B1977" s="4" t="s">
        <v>1802</v>
      </c>
      <c r="C1977" s="4" t="s">
        <v>3220</v>
      </c>
      <c r="D1977" s="4" t="s">
        <v>3221</v>
      </c>
      <c r="E1977" s="5">
        <v>12.6387126976192</v>
      </c>
    </row>
    <row r="1978" ht="14.25" customHeight="1">
      <c r="A1978" s="4"/>
      <c r="B1978" s="4" t="s">
        <v>1802</v>
      </c>
      <c r="C1978" s="4" t="s">
        <v>3222</v>
      </c>
      <c r="D1978" s="4" t="s">
        <v>3223</v>
      </c>
      <c r="E1978" s="5">
        <v>0.802136357896805</v>
      </c>
    </row>
    <row r="1979" ht="14.25" customHeight="1">
      <c r="A1979" s="4"/>
      <c r="B1979" s="4" t="s">
        <v>1802</v>
      </c>
      <c r="C1979" s="4" t="s">
        <v>3224</v>
      </c>
      <c r="D1979" s="4" t="s">
        <v>3225</v>
      </c>
      <c r="E1979" s="5">
        <v>9.609930931742161</v>
      </c>
    </row>
    <row r="1980" ht="14.25" customHeight="1">
      <c r="A1980" s="4"/>
      <c r="B1980" s="4" t="s">
        <v>1802</v>
      </c>
      <c r="C1980" s="4" t="s">
        <v>3226</v>
      </c>
      <c r="D1980" s="4" t="s">
        <v>1837</v>
      </c>
      <c r="E1980" s="5">
        <v>9.672825519919328</v>
      </c>
    </row>
    <row r="1981" ht="14.25" customHeight="1">
      <c r="A1981" s="4"/>
      <c r="B1981" s="4" t="s">
        <v>1802</v>
      </c>
      <c r="C1981" s="4" t="s">
        <v>1535</v>
      </c>
      <c r="D1981" s="4" t="s">
        <v>3227</v>
      </c>
      <c r="E1981" s="5">
        <v>7.04563922450052</v>
      </c>
    </row>
    <row r="1982" ht="14.25" customHeight="1">
      <c r="A1982" s="4"/>
      <c r="B1982" s="4" t="s">
        <v>1802</v>
      </c>
      <c r="C1982" s="4" t="s">
        <v>3228</v>
      </c>
      <c r="D1982" s="4" t="s">
        <v>1812</v>
      </c>
      <c r="E1982" s="5">
        <v>48.3641275995966</v>
      </c>
    </row>
    <row r="1983" ht="14.25" customHeight="1">
      <c r="A1983" s="4"/>
      <c r="B1983" s="4" t="s">
        <v>1802</v>
      </c>
      <c r="C1983" s="4" t="s">
        <v>3229</v>
      </c>
      <c r="D1983" s="4" t="s">
        <v>1812</v>
      </c>
      <c r="E1983" s="5">
        <v>48.3641275995966</v>
      </c>
    </row>
    <row r="1984" ht="14.25" customHeight="1">
      <c r="A1984" s="4"/>
      <c r="B1984" s="4" t="s">
        <v>1802</v>
      </c>
      <c r="C1984" s="4" t="s">
        <v>3230</v>
      </c>
      <c r="D1984" s="4" t="s">
        <v>1812</v>
      </c>
      <c r="E1984" s="5">
        <v>48.3641275995966</v>
      </c>
    </row>
    <row r="1985" ht="14.25" customHeight="1">
      <c r="A1985" s="4"/>
      <c r="B1985" s="4" t="s">
        <v>1802</v>
      </c>
      <c r="C1985" s="4" t="s">
        <v>3231</v>
      </c>
      <c r="D1985" s="4" t="s">
        <v>3232</v>
      </c>
      <c r="E1985" s="5">
        <v>13.8265588729588</v>
      </c>
    </row>
    <row r="1986" ht="14.25" customHeight="1">
      <c r="A1986" s="4"/>
      <c r="B1986" s="4" t="s">
        <v>1802</v>
      </c>
      <c r="C1986" s="4" t="s">
        <v>3233</v>
      </c>
      <c r="D1986" s="4" t="s">
        <v>1812</v>
      </c>
      <c r="E1986" s="5">
        <v>48.3641275995966</v>
      </c>
    </row>
    <row r="1987" ht="14.25" customHeight="1">
      <c r="A1987" s="4"/>
      <c r="B1987" s="4" t="s">
        <v>1802</v>
      </c>
      <c r="C1987" s="4" t="s">
        <v>3234</v>
      </c>
      <c r="D1987" s="4" t="s">
        <v>3235</v>
      </c>
      <c r="E1987" s="5">
        <v>15.2563368360326</v>
      </c>
    </row>
    <row r="1988" ht="14.25" customHeight="1">
      <c r="A1988" s="4"/>
      <c r="B1988" s="4" t="s">
        <v>1802</v>
      </c>
      <c r="C1988" s="4" t="s">
        <v>159</v>
      </c>
      <c r="D1988" s="4" t="s">
        <v>1837</v>
      </c>
      <c r="E1988" s="5">
        <v>9.672825519919328</v>
      </c>
    </row>
    <row r="1989" ht="14.25" customHeight="1">
      <c r="A1989" s="4"/>
      <c r="B1989" s="4" t="s">
        <v>1802</v>
      </c>
      <c r="C1989" s="4" t="s">
        <v>3236</v>
      </c>
      <c r="D1989" s="4" t="s">
        <v>3237</v>
      </c>
      <c r="E1989" s="5">
        <v>48.0060336624666</v>
      </c>
    </row>
    <row r="1990" ht="14.25" customHeight="1">
      <c r="A1990" s="4"/>
      <c r="B1990" s="4" t="s">
        <v>1802</v>
      </c>
      <c r="C1990" s="4" t="s">
        <v>3238</v>
      </c>
      <c r="D1990" s="4" t="s">
        <v>1812</v>
      </c>
      <c r="E1990" s="5">
        <v>48.3641275995966</v>
      </c>
    </row>
    <row r="1991" ht="14.25" customHeight="1">
      <c r="A1991" s="4"/>
      <c r="B1991" s="4" t="s">
        <v>1802</v>
      </c>
      <c r="C1991" s="4" t="s">
        <v>3239</v>
      </c>
      <c r="D1991" s="4" t="s">
        <v>1812</v>
      </c>
      <c r="E1991" s="5">
        <v>48.3641275995966</v>
      </c>
    </row>
    <row r="1992" ht="14.25" customHeight="1">
      <c r="A1992" s="4"/>
      <c r="B1992" s="4" t="s">
        <v>1802</v>
      </c>
      <c r="C1992" s="4" t="s">
        <v>3240</v>
      </c>
      <c r="D1992" s="4" t="s">
        <v>3241</v>
      </c>
      <c r="E1992" s="5">
        <v>5.83080823279147</v>
      </c>
    </row>
    <row r="1993" ht="14.25" customHeight="1">
      <c r="A1993" s="4"/>
      <c r="B1993" s="4" t="s">
        <v>1802</v>
      </c>
      <c r="C1993" s="4" t="s">
        <v>3242</v>
      </c>
      <c r="D1993" s="4" t="s">
        <v>3243</v>
      </c>
      <c r="E1993" s="5">
        <v>5.321089834999911</v>
      </c>
    </row>
    <row r="1994" ht="14.25" customHeight="1">
      <c r="A1994" s="4"/>
      <c r="B1994" s="4" t="s">
        <v>1802</v>
      </c>
      <c r="C1994" s="4" t="s">
        <v>3244</v>
      </c>
      <c r="D1994" s="4" t="s">
        <v>1812</v>
      </c>
      <c r="E1994" s="5">
        <v>48.3641275995966</v>
      </c>
    </row>
    <row r="1995" ht="14.25" customHeight="1">
      <c r="A1995" s="4"/>
      <c r="B1995" s="4" t="s">
        <v>1802</v>
      </c>
      <c r="C1995" s="4" t="s">
        <v>3245</v>
      </c>
      <c r="D1995" s="4" t="s">
        <v>3246</v>
      </c>
      <c r="E1995" s="5">
        <v>9.20310623349544</v>
      </c>
    </row>
    <row r="1996" ht="14.25" customHeight="1">
      <c r="A1996" s="4"/>
      <c r="B1996" s="4" t="s">
        <v>1802</v>
      </c>
      <c r="C1996" s="4" t="s">
        <v>3247</v>
      </c>
      <c r="D1996" s="4" t="s">
        <v>1812</v>
      </c>
      <c r="E1996" s="5">
        <v>48.3641275995966</v>
      </c>
    </row>
    <row r="1997" ht="14.25" customHeight="1">
      <c r="A1997" s="4"/>
      <c r="B1997" s="4" t="s">
        <v>1802</v>
      </c>
      <c r="C1997" s="4" t="s">
        <v>3248</v>
      </c>
      <c r="D1997" s="4" t="s">
        <v>1812</v>
      </c>
      <c r="E1997" s="5">
        <v>48.3641275995966</v>
      </c>
    </row>
    <row r="1998" ht="14.25" customHeight="1">
      <c r="A1998" s="4"/>
      <c r="B1998" s="4" t="s">
        <v>1802</v>
      </c>
      <c r="C1998" s="4" t="s">
        <v>3249</v>
      </c>
      <c r="D1998" s="4" t="s">
        <v>1812</v>
      </c>
      <c r="E1998" s="5">
        <v>48.3641275995966</v>
      </c>
    </row>
    <row r="1999" ht="14.25" customHeight="1">
      <c r="A1999" s="4"/>
      <c r="B1999" s="4" t="s">
        <v>1802</v>
      </c>
      <c r="C1999" s="4" t="s">
        <v>3250</v>
      </c>
      <c r="D1999" s="4" t="s">
        <v>3251</v>
      </c>
      <c r="E1999" s="5">
        <v>43.6408846323026</v>
      </c>
    </row>
    <row r="2000" ht="14.25" customHeight="1">
      <c r="A2000" s="4"/>
      <c r="B2000" s="4" t="s">
        <v>1802</v>
      </c>
      <c r="C2000" s="4" t="s">
        <v>3252</v>
      </c>
      <c r="D2000" s="4" t="s">
        <v>3253</v>
      </c>
      <c r="E2000" s="5">
        <v>6.4630396381436395</v>
      </c>
    </row>
    <row r="2001" ht="14.25" customHeight="1">
      <c r="A2001" s="4"/>
      <c r="B2001" s="4" t="s">
        <v>1802</v>
      </c>
      <c r="C2001" s="4" t="s">
        <v>1363</v>
      </c>
      <c r="D2001" s="4" t="s">
        <v>1812</v>
      </c>
      <c r="E2001" s="5">
        <v>48.3641275995966</v>
      </c>
    </row>
    <row r="2002" ht="14.25" customHeight="1">
      <c r="A2002" s="4"/>
      <c r="B2002" s="4" t="s">
        <v>1802</v>
      </c>
      <c r="C2002" s="4" t="s">
        <v>1459</v>
      </c>
      <c r="D2002" s="4" t="s">
        <v>1812</v>
      </c>
      <c r="E2002" s="5">
        <v>48.3641275995966</v>
      </c>
    </row>
    <row r="2003" ht="14.25" customHeight="1">
      <c r="A2003" s="4"/>
      <c r="B2003" s="4" t="s">
        <v>1802</v>
      </c>
      <c r="C2003" s="4" t="s">
        <v>3254</v>
      </c>
      <c r="D2003" s="4" t="s">
        <v>1837</v>
      </c>
      <c r="E2003" s="5">
        <v>9.672825519919328</v>
      </c>
    </row>
    <row r="2004" ht="14.25" customHeight="1">
      <c r="A2004" s="4"/>
      <c r="B2004" s="4" t="s">
        <v>1802</v>
      </c>
      <c r="C2004" s="4" t="s">
        <v>3255</v>
      </c>
      <c r="D2004" s="4" t="s">
        <v>3256</v>
      </c>
      <c r="E2004" s="5">
        <v>21.6861937504259</v>
      </c>
    </row>
    <row r="2005" ht="14.25" customHeight="1">
      <c r="A2005" s="4"/>
      <c r="B2005" s="4" t="s">
        <v>1802</v>
      </c>
      <c r="C2005" s="4" t="s">
        <v>3257</v>
      </c>
      <c r="D2005" s="4" t="s">
        <v>1837</v>
      </c>
      <c r="E2005" s="5">
        <v>9.672825519919328</v>
      </c>
    </row>
    <row r="2006" ht="14.25" customHeight="1">
      <c r="A2006" s="4"/>
      <c r="B2006" s="4" t="s">
        <v>1802</v>
      </c>
      <c r="C2006" s="4" t="s">
        <v>3258</v>
      </c>
      <c r="D2006" s="4" t="s">
        <v>1812</v>
      </c>
      <c r="E2006" s="5">
        <v>48.3641275995966</v>
      </c>
    </row>
    <row r="2007" ht="14.25" customHeight="1">
      <c r="A2007" s="4"/>
      <c r="B2007" s="4" t="s">
        <v>1802</v>
      </c>
      <c r="C2007" s="4" t="s">
        <v>3259</v>
      </c>
      <c r="D2007" s="4" t="s">
        <v>3260</v>
      </c>
      <c r="E2007" s="5">
        <v>0.048751040620392705</v>
      </c>
    </row>
    <row r="2008" ht="14.25" customHeight="1">
      <c r="A2008" s="4"/>
      <c r="B2008" s="4" t="s">
        <v>1802</v>
      </c>
      <c r="C2008" s="4" t="s">
        <v>3261</v>
      </c>
      <c r="D2008" s="4" t="s">
        <v>1812</v>
      </c>
      <c r="E2008" s="5">
        <v>48.3641275995966</v>
      </c>
    </row>
    <row r="2009" ht="14.25" customHeight="1">
      <c r="A2009" s="4"/>
      <c r="B2009" s="4" t="s">
        <v>1802</v>
      </c>
      <c r="C2009" s="4" t="s">
        <v>191</v>
      </c>
      <c r="D2009" s="4" t="s">
        <v>1812</v>
      </c>
      <c r="E2009" s="5">
        <v>48.3641275995966</v>
      </c>
    </row>
    <row r="2010" ht="14.25" customHeight="1">
      <c r="A2010" s="4"/>
      <c r="B2010" s="4" t="s">
        <v>1802</v>
      </c>
      <c r="C2010" s="4" t="s">
        <v>3262</v>
      </c>
      <c r="D2010" s="4" t="s">
        <v>3263</v>
      </c>
      <c r="E2010" s="5">
        <v>7.43636087413308</v>
      </c>
    </row>
    <row r="2011" ht="14.25" customHeight="1">
      <c r="A2011" s="4"/>
      <c r="B2011" s="4" t="s">
        <v>1802</v>
      </c>
      <c r="C2011" s="4" t="s">
        <v>1465</v>
      </c>
      <c r="D2011" s="4" t="s">
        <v>1812</v>
      </c>
      <c r="E2011" s="5">
        <v>48.3641275995966</v>
      </c>
    </row>
    <row r="2012" ht="14.25" customHeight="1">
      <c r="A2012" s="4"/>
      <c r="B2012" s="4" t="s">
        <v>1802</v>
      </c>
      <c r="C2012" s="4" t="s">
        <v>3264</v>
      </c>
      <c r="D2012" s="4" t="s">
        <v>3265</v>
      </c>
      <c r="E2012" s="5">
        <v>15.491514733270801</v>
      </c>
    </row>
    <row r="2013" ht="14.25" customHeight="1">
      <c r="A2013" s="4"/>
      <c r="B2013" s="4" t="s">
        <v>1802</v>
      </c>
      <c r="C2013" s="4" t="s">
        <v>3266</v>
      </c>
      <c r="D2013" s="4" t="s">
        <v>1812</v>
      </c>
      <c r="E2013" s="5">
        <v>48.3641275995966</v>
      </c>
    </row>
    <row r="2014" ht="14.25" customHeight="1">
      <c r="A2014" s="4"/>
      <c r="B2014" s="4" t="s">
        <v>1802</v>
      </c>
      <c r="C2014" s="4" t="s">
        <v>3267</v>
      </c>
      <c r="D2014" s="4" t="s">
        <v>3268</v>
      </c>
      <c r="E2014" s="5">
        <v>6.77336402367219</v>
      </c>
    </row>
    <row r="2015" ht="14.25" customHeight="1">
      <c r="A2015" s="4"/>
      <c r="B2015" s="4" t="s">
        <v>1802</v>
      </c>
      <c r="C2015" s="4" t="s">
        <v>398</v>
      </c>
      <c r="D2015" s="4" t="s">
        <v>1812</v>
      </c>
      <c r="E2015" s="5">
        <v>48.3641275995966</v>
      </c>
    </row>
    <row r="2016" ht="14.25" customHeight="1">
      <c r="A2016" s="4"/>
      <c r="B2016" s="4" t="s">
        <v>1802</v>
      </c>
      <c r="C2016" s="4" t="s">
        <v>3269</v>
      </c>
      <c r="D2016" s="4" t="s">
        <v>3270</v>
      </c>
      <c r="E2016" s="5">
        <v>10.548495285845298</v>
      </c>
    </row>
    <row r="2017" ht="14.25" customHeight="1">
      <c r="A2017" s="4"/>
      <c r="B2017" s="4" t="s">
        <v>1802</v>
      </c>
      <c r="C2017" s="4" t="s">
        <v>3271</v>
      </c>
      <c r="D2017" s="4" t="s">
        <v>3272</v>
      </c>
      <c r="E2017" s="5">
        <v>16.4245737528657</v>
      </c>
    </row>
    <row r="2018" ht="14.25" customHeight="1">
      <c r="A2018" s="4"/>
      <c r="B2018" s="4" t="s">
        <v>1802</v>
      </c>
      <c r="C2018" s="4" t="s">
        <v>3273</v>
      </c>
      <c r="D2018" s="4" t="s">
        <v>3274</v>
      </c>
      <c r="E2018" s="5">
        <v>13.436395711023499</v>
      </c>
    </row>
    <row r="2019" ht="14.25" customHeight="1">
      <c r="A2019" s="4"/>
      <c r="B2019" s="4" t="s">
        <v>1802</v>
      </c>
      <c r="C2019" s="4" t="s">
        <v>3275</v>
      </c>
      <c r="D2019" s="4" t="s">
        <v>3276</v>
      </c>
      <c r="E2019" s="5">
        <v>47.9625442779572</v>
      </c>
    </row>
    <row r="2020" ht="14.25" customHeight="1">
      <c r="A2020" s="4"/>
      <c r="B2020" s="4" t="s">
        <v>1802</v>
      </c>
      <c r="C2020" s="4" t="s">
        <v>3277</v>
      </c>
      <c r="D2020" s="4" t="s">
        <v>1812</v>
      </c>
      <c r="E2020" s="5">
        <v>48.3641275995966</v>
      </c>
    </row>
    <row r="2021" ht="14.25" customHeight="1">
      <c r="A2021" s="4"/>
      <c r="B2021" s="4" t="s">
        <v>1802</v>
      </c>
      <c r="C2021" s="4" t="s">
        <v>3278</v>
      </c>
      <c r="D2021" s="4" t="s">
        <v>3279</v>
      </c>
      <c r="E2021" s="5">
        <v>19.3755604723207</v>
      </c>
    </row>
    <row r="2022" ht="14.25" customHeight="1">
      <c r="A2022" s="4"/>
      <c r="B2022" s="4" t="s">
        <v>1802</v>
      </c>
      <c r="C2022" s="4" t="s">
        <v>3280</v>
      </c>
      <c r="D2022" s="4" t="s">
        <v>3281</v>
      </c>
      <c r="E2022" s="5">
        <v>47.9442127666688</v>
      </c>
    </row>
    <row r="2023" ht="14.25" customHeight="1">
      <c r="A2023" s="4"/>
      <c r="B2023" s="4" t="s">
        <v>1802</v>
      </c>
      <c r="C2023" s="4" t="s">
        <v>3282</v>
      </c>
      <c r="D2023" s="4" t="s">
        <v>3283</v>
      </c>
      <c r="E2023" s="5">
        <v>15.6927893512838</v>
      </c>
    </row>
    <row r="2024" ht="14.25" customHeight="1">
      <c r="A2024" s="4"/>
      <c r="B2024" s="4" t="s">
        <v>1802</v>
      </c>
      <c r="C2024" s="4" t="s">
        <v>3284</v>
      </c>
      <c r="D2024" s="4" t="s">
        <v>1837</v>
      </c>
      <c r="E2024" s="5">
        <v>9.672825519919328</v>
      </c>
    </row>
    <row r="2025" ht="14.25" customHeight="1">
      <c r="A2025" s="4"/>
      <c r="B2025" s="4" t="s">
        <v>1802</v>
      </c>
      <c r="C2025" s="4" t="s">
        <v>3285</v>
      </c>
      <c r="D2025" s="4" t="s">
        <v>3286</v>
      </c>
      <c r="E2025" s="5">
        <v>42.372745853988505</v>
      </c>
    </row>
    <row r="2026" ht="14.25" customHeight="1">
      <c r="A2026" s="4"/>
      <c r="B2026" s="4" t="s">
        <v>1802</v>
      </c>
      <c r="C2026" s="4" t="s">
        <v>3287</v>
      </c>
      <c r="D2026" s="4" t="s">
        <v>1812</v>
      </c>
      <c r="E2026" s="5">
        <v>48.3641275995966</v>
      </c>
    </row>
    <row r="2027" ht="14.25" customHeight="1">
      <c r="A2027" s="4"/>
      <c r="B2027" s="4" t="s">
        <v>1802</v>
      </c>
      <c r="C2027" s="4" t="s">
        <v>3288</v>
      </c>
      <c r="D2027" s="4" t="s">
        <v>1812</v>
      </c>
      <c r="E2027" s="5">
        <v>48.3641275995966</v>
      </c>
    </row>
    <row r="2028" ht="14.25" customHeight="1">
      <c r="A2028" s="4"/>
      <c r="B2028" s="4" t="s">
        <v>1802</v>
      </c>
      <c r="C2028" s="4" t="s">
        <v>3289</v>
      </c>
      <c r="D2028" s="4" t="s">
        <v>1812</v>
      </c>
      <c r="E2028" s="5">
        <v>48.3641275995966</v>
      </c>
    </row>
    <row r="2029" ht="14.25" customHeight="1">
      <c r="A2029" s="4"/>
      <c r="B2029" s="4" t="s">
        <v>1802</v>
      </c>
      <c r="C2029" s="4" t="s">
        <v>3290</v>
      </c>
      <c r="D2029" s="4" t="s">
        <v>3291</v>
      </c>
      <c r="E2029" s="5">
        <v>9.54347962950307</v>
      </c>
    </row>
    <row r="2030" ht="14.25" customHeight="1">
      <c r="A2030" s="4"/>
      <c r="B2030" s="4" t="s">
        <v>1802</v>
      </c>
      <c r="C2030" s="4" t="s">
        <v>3292</v>
      </c>
      <c r="D2030" s="4" t="s">
        <v>3293</v>
      </c>
      <c r="E2030" s="5">
        <v>43.8200550526561</v>
      </c>
    </row>
    <row r="2031" ht="14.25" customHeight="1">
      <c r="A2031" s="4"/>
      <c r="B2031" s="4" t="s">
        <v>1802</v>
      </c>
      <c r="C2031" s="4" t="s">
        <v>3294</v>
      </c>
      <c r="D2031" s="4" t="s">
        <v>1812</v>
      </c>
      <c r="E2031" s="5">
        <v>48.3641275995966</v>
      </c>
    </row>
    <row r="2032" ht="14.25" customHeight="1">
      <c r="A2032" s="4"/>
      <c r="B2032" s="4" t="s">
        <v>1802</v>
      </c>
      <c r="C2032" s="4" t="s">
        <v>1428</v>
      </c>
      <c r="D2032" s="4" t="s">
        <v>1812</v>
      </c>
      <c r="E2032" s="5">
        <v>48.3641275995966</v>
      </c>
    </row>
    <row r="2033" ht="14.25" customHeight="1">
      <c r="A2033" s="4"/>
      <c r="B2033" s="4" t="s">
        <v>1802</v>
      </c>
      <c r="C2033" s="4" t="s">
        <v>3295</v>
      </c>
      <c r="D2033" s="4" t="s">
        <v>3296</v>
      </c>
      <c r="E2033" s="5">
        <v>43.63500568887191</v>
      </c>
    </row>
    <row r="2034" ht="14.25" customHeight="1">
      <c r="A2034" s="4"/>
      <c r="B2034" s="4" t="s">
        <v>1802</v>
      </c>
      <c r="C2034" s="4" t="s">
        <v>3297</v>
      </c>
      <c r="D2034" s="4" t="s">
        <v>1812</v>
      </c>
      <c r="E2034" s="5">
        <v>48.3641275995966</v>
      </c>
    </row>
    <row r="2035" ht="14.25" customHeight="1">
      <c r="A2035" s="4"/>
      <c r="B2035" s="4" t="s">
        <v>1802</v>
      </c>
      <c r="C2035" s="4" t="s">
        <v>3298</v>
      </c>
      <c r="D2035" s="4" t="s">
        <v>3299</v>
      </c>
      <c r="E2035" s="5">
        <v>3.52186828348802</v>
      </c>
    </row>
    <row r="2036" ht="14.25" customHeight="1">
      <c r="A2036" s="4"/>
      <c r="B2036" s="4" t="s">
        <v>1802</v>
      </c>
      <c r="C2036" s="4" t="s">
        <v>3300</v>
      </c>
      <c r="D2036" s="4" t="s">
        <v>3301</v>
      </c>
      <c r="E2036" s="5">
        <v>8.93208906300047</v>
      </c>
    </row>
    <row r="2037" ht="14.25" customHeight="1">
      <c r="A2037" s="4"/>
      <c r="B2037" s="4" t="s">
        <v>1802</v>
      </c>
      <c r="C2037" s="4" t="s">
        <v>3302</v>
      </c>
      <c r="D2037" s="4" t="s">
        <v>1812</v>
      </c>
      <c r="E2037" s="5">
        <v>48.3641275995966</v>
      </c>
    </row>
    <row r="2038" ht="14.25" customHeight="1">
      <c r="A2038" s="4"/>
      <c r="B2038" s="4" t="s">
        <v>1802</v>
      </c>
      <c r="C2038" s="4" t="s">
        <v>3303</v>
      </c>
      <c r="D2038" s="4" t="s">
        <v>1812</v>
      </c>
      <c r="E2038" s="5">
        <v>48.3641275995966</v>
      </c>
    </row>
    <row r="2039" ht="14.25" customHeight="1">
      <c r="A2039" s="4"/>
      <c r="B2039" s="4" t="s">
        <v>1802</v>
      </c>
      <c r="C2039" s="4" t="s">
        <v>1146</v>
      </c>
      <c r="D2039" s="4" t="s">
        <v>1812</v>
      </c>
      <c r="E2039" s="5">
        <v>48.3641275995966</v>
      </c>
    </row>
    <row r="2040" ht="14.25" customHeight="1">
      <c r="A2040" s="4"/>
      <c r="B2040" s="4" t="s">
        <v>1802</v>
      </c>
      <c r="C2040" s="4" t="s">
        <v>1256</v>
      </c>
      <c r="D2040" s="4" t="s">
        <v>1812</v>
      </c>
      <c r="E2040" s="5">
        <v>48.3641275995966</v>
      </c>
    </row>
    <row r="2041" ht="14.25" customHeight="1">
      <c r="A2041" s="4"/>
      <c r="B2041" s="4" t="s">
        <v>1802</v>
      </c>
      <c r="C2041" s="4" t="s">
        <v>3304</v>
      </c>
      <c r="D2041" s="4" t="s">
        <v>3305</v>
      </c>
      <c r="E2041" s="5">
        <v>22.9142149637343</v>
      </c>
    </row>
    <row r="2042" ht="14.25" customHeight="1">
      <c r="A2042" s="4"/>
      <c r="B2042" s="4" t="s">
        <v>1802</v>
      </c>
      <c r="C2042" s="4" t="s">
        <v>3306</v>
      </c>
      <c r="D2042" s="4" t="s">
        <v>3307</v>
      </c>
      <c r="E2042" s="5">
        <v>3.1806333096347403</v>
      </c>
    </row>
    <row r="2043" ht="14.25" customHeight="1">
      <c r="A2043" s="4"/>
      <c r="B2043" s="4" t="s">
        <v>1802</v>
      </c>
      <c r="C2043" s="4" t="s">
        <v>3308</v>
      </c>
      <c r="D2043" s="4" t="s">
        <v>1812</v>
      </c>
      <c r="E2043" s="5">
        <v>48.3641275995966</v>
      </c>
    </row>
    <row r="2044" ht="14.25" customHeight="1">
      <c r="A2044" s="4"/>
      <c r="B2044" s="4" t="s">
        <v>1802</v>
      </c>
      <c r="C2044" s="4" t="s">
        <v>3309</v>
      </c>
      <c r="D2044" s="4" t="s">
        <v>1812</v>
      </c>
      <c r="E2044" s="5">
        <v>48.3641275995966</v>
      </c>
    </row>
    <row r="2045" ht="14.25" customHeight="1">
      <c r="A2045" s="4"/>
      <c r="B2045" s="4" t="s">
        <v>1802</v>
      </c>
      <c r="C2045" s="4" t="s">
        <v>844</v>
      </c>
      <c r="D2045" s="4" t="s">
        <v>3310</v>
      </c>
      <c r="E2045" s="5">
        <v>2.9720723238610898</v>
      </c>
    </row>
    <row r="2046" ht="14.25" customHeight="1">
      <c r="A2046" s="4"/>
      <c r="B2046" s="4" t="s">
        <v>1802</v>
      </c>
      <c r="C2046" s="4" t="s">
        <v>3311</v>
      </c>
      <c r="D2046" s="4" t="s">
        <v>3312</v>
      </c>
      <c r="E2046" s="5">
        <v>1.0282857228786901</v>
      </c>
    </row>
    <row r="2047" ht="14.25" customHeight="1">
      <c r="A2047" s="4"/>
      <c r="B2047" s="4" t="s">
        <v>1802</v>
      </c>
      <c r="C2047" s="4" t="s">
        <v>3313</v>
      </c>
      <c r="D2047" s="4" t="s">
        <v>1812</v>
      </c>
      <c r="E2047" s="5">
        <v>48.3641275995966</v>
      </c>
    </row>
    <row r="2048" ht="14.25" customHeight="1">
      <c r="A2048" s="4"/>
      <c r="B2048" s="4" t="s">
        <v>1802</v>
      </c>
      <c r="C2048" s="4" t="s">
        <v>3314</v>
      </c>
      <c r="D2048" s="4" t="s">
        <v>1812</v>
      </c>
      <c r="E2048" s="5">
        <v>48.3641275995966</v>
      </c>
    </row>
    <row r="2049" ht="14.25" customHeight="1">
      <c r="A2049" s="4"/>
      <c r="B2049" s="4" t="s">
        <v>1802</v>
      </c>
      <c r="C2049" s="4" t="s">
        <v>3315</v>
      </c>
      <c r="D2049" s="4" t="s">
        <v>3316</v>
      </c>
      <c r="E2049" s="5">
        <v>21.4772070363172</v>
      </c>
    </row>
    <row r="2050" ht="14.25" customHeight="1">
      <c r="A2050" s="4"/>
      <c r="B2050" s="4" t="s">
        <v>1802</v>
      </c>
      <c r="C2050" s="4" t="s">
        <v>710</v>
      </c>
      <c r="D2050" s="4" t="s">
        <v>1812</v>
      </c>
      <c r="E2050" s="5">
        <v>48.3641275995966</v>
      </c>
    </row>
    <row r="2051" ht="14.25" customHeight="1">
      <c r="A2051" s="4"/>
      <c r="B2051" s="4" t="s">
        <v>1802</v>
      </c>
      <c r="C2051" s="4" t="s">
        <v>3317</v>
      </c>
      <c r="D2051" s="4" t="s">
        <v>3318</v>
      </c>
      <c r="E2051" s="5">
        <v>35.8738254926714</v>
      </c>
    </row>
    <row r="2052" ht="14.25" customHeight="1">
      <c r="A2052" s="4"/>
      <c r="B2052" s="4" t="s">
        <v>1802</v>
      </c>
      <c r="C2052" s="4" t="s">
        <v>3319</v>
      </c>
      <c r="D2052" s="4" t="s">
        <v>3320</v>
      </c>
      <c r="E2052" s="5">
        <v>48.3433709894479</v>
      </c>
    </row>
    <row r="2053" ht="14.25" customHeight="1">
      <c r="A2053" s="4"/>
      <c r="B2053" s="4" t="s">
        <v>1802</v>
      </c>
      <c r="C2053" s="4" t="s">
        <v>3321</v>
      </c>
      <c r="D2053" s="4" t="s">
        <v>3322</v>
      </c>
      <c r="E2053" s="5">
        <v>15.863433852667699</v>
      </c>
    </row>
    <row r="2054" ht="14.25" customHeight="1">
      <c r="A2054" s="4"/>
      <c r="B2054" s="4" t="s">
        <v>1802</v>
      </c>
      <c r="C2054" s="4" t="s">
        <v>3323</v>
      </c>
      <c r="D2054" s="4" t="s">
        <v>3324</v>
      </c>
      <c r="E2054" s="5">
        <v>2.78462224978739</v>
      </c>
    </row>
    <row r="2055" ht="14.25" customHeight="1">
      <c r="A2055" s="4"/>
      <c r="B2055" s="4" t="s">
        <v>1802</v>
      </c>
      <c r="C2055" s="4" t="s">
        <v>3325</v>
      </c>
      <c r="D2055" s="4" t="s">
        <v>3326</v>
      </c>
      <c r="E2055" s="5">
        <v>44.4154974624941</v>
      </c>
    </row>
    <row r="2056" ht="14.25" customHeight="1">
      <c r="A2056" s="4"/>
      <c r="B2056" s="4" t="s">
        <v>1802</v>
      </c>
      <c r="C2056" s="4" t="s">
        <v>3327</v>
      </c>
      <c r="D2056" s="4" t="s">
        <v>3328</v>
      </c>
      <c r="E2056" s="5">
        <v>24.1820637997983</v>
      </c>
    </row>
    <row r="2057" ht="14.25" customHeight="1">
      <c r="A2057" s="4"/>
      <c r="B2057" s="4" t="s">
        <v>1802</v>
      </c>
      <c r="C2057" s="4" t="s">
        <v>3329</v>
      </c>
      <c r="D2057" s="4" t="s">
        <v>3330</v>
      </c>
      <c r="E2057" s="5">
        <v>12.0602694805667</v>
      </c>
    </row>
    <row r="2058" ht="14.25" customHeight="1">
      <c r="A2058" s="4"/>
      <c r="B2058" s="4" t="s">
        <v>1802</v>
      </c>
      <c r="C2058" s="4" t="s">
        <v>3331</v>
      </c>
      <c r="D2058" s="4" t="s">
        <v>1812</v>
      </c>
      <c r="E2058" s="5">
        <v>48.3641275995966</v>
      </c>
    </row>
    <row r="2059" ht="14.25" customHeight="1">
      <c r="A2059" s="4"/>
      <c r="B2059" s="4" t="s">
        <v>1802</v>
      </c>
      <c r="C2059" s="4" t="s">
        <v>3332</v>
      </c>
      <c r="D2059" s="4" t="s">
        <v>1812</v>
      </c>
      <c r="E2059" s="5">
        <v>48.3641275995966</v>
      </c>
    </row>
    <row r="2060" ht="14.25" customHeight="1">
      <c r="A2060" s="4"/>
      <c r="B2060" s="4" t="s">
        <v>1802</v>
      </c>
      <c r="C2060" s="4" t="s">
        <v>302</v>
      </c>
      <c r="D2060" s="4" t="s">
        <v>1812</v>
      </c>
      <c r="E2060" s="5">
        <v>48.3641275995966</v>
      </c>
    </row>
    <row r="2061" ht="14.25" customHeight="1">
      <c r="A2061" s="4"/>
      <c r="B2061" s="4" t="s">
        <v>1802</v>
      </c>
      <c r="C2061" s="4" t="s">
        <v>3333</v>
      </c>
      <c r="D2061" s="4" t="s">
        <v>3334</v>
      </c>
      <c r="E2061" s="5">
        <v>35.0213213933129</v>
      </c>
    </row>
    <row r="2062" ht="14.25" customHeight="1">
      <c r="A2062" s="4"/>
      <c r="B2062" s="4" t="s">
        <v>1802</v>
      </c>
      <c r="C2062" s="4" t="s">
        <v>3335</v>
      </c>
      <c r="D2062" s="4" t="s">
        <v>1812</v>
      </c>
      <c r="E2062" s="5">
        <v>48.3641275995966</v>
      </c>
    </row>
    <row r="2063" ht="14.25" customHeight="1">
      <c r="A2063" s="4"/>
      <c r="B2063" s="4" t="s">
        <v>1802</v>
      </c>
      <c r="C2063" s="4" t="s">
        <v>3336</v>
      </c>
      <c r="D2063" s="4" t="s">
        <v>3337</v>
      </c>
      <c r="E2063" s="5">
        <v>17.9199669238544</v>
      </c>
    </row>
    <row r="2064" ht="14.25" customHeight="1">
      <c r="A2064" s="4"/>
      <c r="B2064" s="4" t="s">
        <v>1802</v>
      </c>
      <c r="C2064" s="4" t="s">
        <v>3338</v>
      </c>
      <c r="D2064" s="4" t="s">
        <v>1951</v>
      </c>
      <c r="E2064" s="5">
        <v>38.6913020796773</v>
      </c>
    </row>
    <row r="2065" ht="14.25" customHeight="1">
      <c r="A2065" s="4"/>
      <c r="B2065" s="4" t="s">
        <v>1802</v>
      </c>
      <c r="C2065" s="4" t="s">
        <v>3339</v>
      </c>
      <c r="D2065" s="4" t="s">
        <v>1812</v>
      </c>
      <c r="E2065" s="5">
        <v>48.3641275995966</v>
      </c>
    </row>
    <row r="2066" ht="14.25" customHeight="1">
      <c r="A2066" s="4"/>
      <c r="B2066" s="4" t="s">
        <v>1802</v>
      </c>
      <c r="C2066" s="4" t="s">
        <v>3340</v>
      </c>
      <c r="D2066" s="4" t="s">
        <v>3341</v>
      </c>
      <c r="E2066" s="5">
        <v>46.535075196201596</v>
      </c>
    </row>
    <row r="2067" ht="14.25" customHeight="1">
      <c r="A2067" s="4"/>
      <c r="B2067" s="4" t="s">
        <v>1802</v>
      </c>
      <c r="C2067" s="4" t="s">
        <v>1499</v>
      </c>
      <c r="D2067" s="4" t="s">
        <v>3342</v>
      </c>
      <c r="E2067" s="5">
        <v>40.7609009283214</v>
      </c>
    </row>
    <row r="2068" ht="14.25" customHeight="1">
      <c r="A2068" s="4"/>
      <c r="B2068" s="4" t="s">
        <v>1802</v>
      </c>
      <c r="C2068" s="4" t="s">
        <v>3343</v>
      </c>
      <c r="D2068" s="4" t="s">
        <v>3344</v>
      </c>
      <c r="E2068" s="5">
        <v>9.83129079351281</v>
      </c>
    </row>
    <row r="2069" ht="14.25" customHeight="1">
      <c r="A2069" s="4"/>
      <c r="B2069" s="4" t="s">
        <v>1802</v>
      </c>
      <c r="C2069" s="4" t="s">
        <v>3345</v>
      </c>
      <c r="D2069" s="4" t="s">
        <v>3346</v>
      </c>
      <c r="E2069" s="5">
        <v>43.7469635993619</v>
      </c>
    </row>
    <row r="2070" ht="14.25" customHeight="1">
      <c r="A2070" s="4"/>
      <c r="B2070" s="4" t="s">
        <v>1802</v>
      </c>
      <c r="C2070" s="4" t="s">
        <v>3347</v>
      </c>
      <c r="D2070" s="4" t="s">
        <v>3348</v>
      </c>
      <c r="E2070" s="5">
        <v>42.605609776109794</v>
      </c>
    </row>
    <row r="2071" ht="14.25" customHeight="1">
      <c r="A2071" s="4"/>
      <c r="B2071" s="4" t="s">
        <v>1802</v>
      </c>
      <c r="C2071" s="4" t="s">
        <v>3349</v>
      </c>
      <c r="D2071" s="4" t="s">
        <v>3350</v>
      </c>
      <c r="E2071" s="5">
        <v>22.8769110091375</v>
      </c>
    </row>
    <row r="2072" ht="14.25" customHeight="1">
      <c r="A2072" s="4"/>
      <c r="B2072" s="4" t="s">
        <v>1802</v>
      </c>
      <c r="C2072" s="4" t="s">
        <v>3351</v>
      </c>
      <c r="D2072" s="4" t="s">
        <v>3352</v>
      </c>
      <c r="E2072" s="5">
        <v>9.94325971394391</v>
      </c>
    </row>
    <row r="2073" ht="14.25" customHeight="1">
      <c r="A2073" s="4"/>
      <c r="B2073" s="4" t="s">
        <v>1802</v>
      </c>
      <c r="C2073" s="4" t="s">
        <v>3353</v>
      </c>
      <c r="D2073" s="4" t="s">
        <v>1812</v>
      </c>
      <c r="E2073" s="5">
        <v>48.3641275995966</v>
      </c>
    </row>
    <row r="2074" ht="14.25" customHeight="1">
      <c r="A2074" s="4"/>
      <c r="B2074" s="4" t="s">
        <v>1802</v>
      </c>
      <c r="C2074" s="4" t="s">
        <v>3354</v>
      </c>
      <c r="D2074" s="4" t="s">
        <v>1812</v>
      </c>
      <c r="E2074" s="5">
        <v>48.3641275995966</v>
      </c>
    </row>
    <row r="2075" ht="14.25" customHeight="1">
      <c r="A2075" s="4"/>
      <c r="B2075" s="4" t="s">
        <v>1802</v>
      </c>
      <c r="C2075" s="4" t="s">
        <v>3355</v>
      </c>
      <c r="D2075" s="4" t="s">
        <v>1812</v>
      </c>
      <c r="E2075" s="5">
        <v>48.3641275995966</v>
      </c>
    </row>
    <row r="2076" ht="14.25" customHeight="1">
      <c r="A2076" s="4"/>
      <c r="B2076" s="4" t="s">
        <v>1802</v>
      </c>
      <c r="C2076" s="4" t="s">
        <v>3356</v>
      </c>
      <c r="D2076" s="4" t="s">
        <v>3357</v>
      </c>
      <c r="E2076" s="5">
        <v>0.627044704141208</v>
      </c>
    </row>
    <row r="2077" ht="14.25" customHeight="1">
      <c r="A2077" s="4"/>
      <c r="B2077" s="4" t="s">
        <v>1802</v>
      </c>
      <c r="C2077" s="4" t="s">
        <v>3358</v>
      </c>
      <c r="D2077" s="4" t="s">
        <v>1821</v>
      </c>
      <c r="E2077" s="5">
        <v>19.3456510398386</v>
      </c>
    </row>
    <row r="2078" ht="14.25" customHeight="1">
      <c r="A2078" s="4"/>
      <c r="B2078" s="4" t="s">
        <v>1802</v>
      </c>
      <c r="C2078" s="4" t="s">
        <v>3359</v>
      </c>
      <c r="D2078" s="4" t="s">
        <v>3360</v>
      </c>
      <c r="E2078" s="5">
        <v>36.167416922451196</v>
      </c>
    </row>
    <row r="2079" ht="14.25" customHeight="1">
      <c r="A2079" s="4"/>
      <c r="B2079" s="4" t="s">
        <v>1802</v>
      </c>
      <c r="C2079" s="4" t="s">
        <v>3361</v>
      </c>
      <c r="D2079" s="4" t="s">
        <v>3362</v>
      </c>
      <c r="E2079" s="5">
        <v>9.879429467282101</v>
      </c>
    </row>
    <row r="2080" ht="14.25" customHeight="1">
      <c r="A2080" s="4"/>
      <c r="B2080" s="4" t="s">
        <v>1802</v>
      </c>
      <c r="C2080" s="4" t="s">
        <v>3363</v>
      </c>
      <c r="D2080" s="4" t="s">
        <v>1812</v>
      </c>
      <c r="E2080" s="5">
        <v>48.3641275995966</v>
      </c>
    </row>
    <row r="2081" ht="14.25" customHeight="1">
      <c r="A2081" s="4"/>
      <c r="B2081" s="4" t="s">
        <v>1802</v>
      </c>
      <c r="C2081" s="4" t="s">
        <v>3364</v>
      </c>
      <c r="D2081" s="4" t="s">
        <v>1812</v>
      </c>
      <c r="E2081" s="5">
        <v>48.3641275995966</v>
      </c>
    </row>
    <row r="2082" ht="14.25" customHeight="1">
      <c r="A2082" s="4"/>
      <c r="B2082" s="4" t="s">
        <v>1802</v>
      </c>
      <c r="C2082" s="4" t="s">
        <v>3365</v>
      </c>
      <c r="D2082" s="4" t="s">
        <v>3366</v>
      </c>
      <c r="E2082" s="5">
        <v>0.7339209132363179</v>
      </c>
    </row>
    <row r="2083" ht="14.25" customHeight="1">
      <c r="A2083" s="4"/>
      <c r="B2083" s="4" t="s">
        <v>1802</v>
      </c>
      <c r="C2083" s="4" t="s">
        <v>3367</v>
      </c>
      <c r="D2083" s="4" t="s">
        <v>1812</v>
      </c>
      <c r="E2083" s="5">
        <v>48.3641275995966</v>
      </c>
    </row>
    <row r="2084" ht="14.25" customHeight="1">
      <c r="A2084" s="4"/>
      <c r="B2084" s="4" t="s">
        <v>1802</v>
      </c>
      <c r="C2084" s="4" t="s">
        <v>1524</v>
      </c>
      <c r="D2084" s="4" t="s">
        <v>1812</v>
      </c>
      <c r="E2084" s="5">
        <v>48.3641275995966</v>
      </c>
    </row>
    <row r="2085" ht="14.25" customHeight="1">
      <c r="A2085" s="4"/>
      <c r="B2085" s="4" t="s">
        <v>1802</v>
      </c>
      <c r="C2085" s="4" t="s">
        <v>3368</v>
      </c>
      <c r="D2085" s="4" t="s">
        <v>1812</v>
      </c>
      <c r="E2085" s="5">
        <v>48.3641275995966</v>
      </c>
    </row>
    <row r="2086" ht="14.25" customHeight="1">
      <c r="A2086" s="4"/>
      <c r="B2086" s="4" t="s">
        <v>1802</v>
      </c>
      <c r="C2086" s="4" t="s">
        <v>3369</v>
      </c>
      <c r="D2086" s="4" t="s">
        <v>2062</v>
      </c>
      <c r="E2086" s="5">
        <v>9.86628203031772</v>
      </c>
    </row>
    <row r="2087" ht="14.25" customHeight="1">
      <c r="A2087" s="4"/>
      <c r="B2087" s="4" t="s">
        <v>1802</v>
      </c>
      <c r="C2087" s="4" t="s">
        <v>3370</v>
      </c>
      <c r="D2087" s="4" t="s">
        <v>1812</v>
      </c>
      <c r="E2087" s="5">
        <v>48.3641275995966</v>
      </c>
    </row>
    <row r="2088" ht="14.25" customHeight="1">
      <c r="A2088" s="4"/>
      <c r="B2088" s="4" t="s">
        <v>1802</v>
      </c>
      <c r="C2088" s="4" t="s">
        <v>3371</v>
      </c>
      <c r="D2088" s="4" t="s">
        <v>1812</v>
      </c>
      <c r="E2088" s="5">
        <v>48.3641275995966</v>
      </c>
    </row>
    <row r="2089" ht="14.25" customHeight="1">
      <c r="A2089" s="4"/>
      <c r="B2089" s="4" t="s">
        <v>1802</v>
      </c>
      <c r="C2089" s="4" t="s">
        <v>3372</v>
      </c>
      <c r="D2089" s="4" t="s">
        <v>1812</v>
      </c>
      <c r="E2089" s="5">
        <v>48.3641275995966</v>
      </c>
    </row>
    <row r="2090" ht="14.25" customHeight="1">
      <c r="A2090" s="4"/>
      <c r="B2090" s="4" t="s">
        <v>1802</v>
      </c>
      <c r="C2090" s="4" t="s">
        <v>3373</v>
      </c>
      <c r="D2090" s="4" t="s">
        <v>1837</v>
      </c>
      <c r="E2090" s="5">
        <v>9.672825519919328</v>
      </c>
    </row>
    <row r="2091" ht="14.25" customHeight="1">
      <c r="A2091" s="4"/>
      <c r="B2091" s="4" t="s">
        <v>1802</v>
      </c>
      <c r="C2091" s="4" t="s">
        <v>3374</v>
      </c>
      <c r="D2091" s="4" t="s">
        <v>3375</v>
      </c>
      <c r="E2091" s="5">
        <v>3.08102029224019</v>
      </c>
    </row>
    <row r="2092" ht="14.25" customHeight="1">
      <c r="A2092" s="4"/>
      <c r="B2092" s="4" t="s">
        <v>1802</v>
      </c>
      <c r="C2092" s="4" t="s">
        <v>3376</v>
      </c>
      <c r="D2092" s="4" t="s">
        <v>3377</v>
      </c>
      <c r="E2092" s="5">
        <v>8.62179514828122</v>
      </c>
    </row>
    <row r="2093" ht="14.25" customHeight="1">
      <c r="A2093" s="4"/>
      <c r="B2093" s="4" t="s">
        <v>1802</v>
      </c>
      <c r="C2093" s="4" t="s">
        <v>3378</v>
      </c>
      <c r="D2093" s="4" t="s">
        <v>3379</v>
      </c>
      <c r="E2093" s="5">
        <v>8.99128838224059</v>
      </c>
    </row>
    <row r="2094" ht="14.25" customHeight="1">
      <c r="A2094" s="4"/>
      <c r="B2094" s="4" t="s">
        <v>1802</v>
      </c>
      <c r="C2094" s="4" t="s">
        <v>3380</v>
      </c>
      <c r="D2094" s="4" t="s">
        <v>1821</v>
      </c>
      <c r="E2094" s="5">
        <v>19.3456510398386</v>
      </c>
    </row>
    <row r="2095" ht="14.25" customHeight="1">
      <c r="A2095" s="4"/>
      <c r="B2095" s="4" t="s">
        <v>1802</v>
      </c>
      <c r="C2095" s="4" t="s">
        <v>3381</v>
      </c>
      <c r="D2095" s="4" t="s">
        <v>3382</v>
      </c>
      <c r="E2095" s="5">
        <v>44.12439164931</v>
      </c>
    </row>
    <row r="2096" ht="14.25" customHeight="1">
      <c r="A2096" s="4"/>
      <c r="B2096" s="4" t="s">
        <v>1802</v>
      </c>
      <c r="C2096" s="4" t="s">
        <v>3383</v>
      </c>
      <c r="D2096" s="4" t="s">
        <v>1812</v>
      </c>
      <c r="E2096" s="5">
        <v>48.3641275995966</v>
      </c>
    </row>
    <row r="2097" ht="14.25" customHeight="1">
      <c r="A2097" s="4"/>
      <c r="B2097" s="4" t="s">
        <v>1802</v>
      </c>
      <c r="C2097" s="4" t="s">
        <v>3384</v>
      </c>
      <c r="D2097" s="4" t="s">
        <v>3385</v>
      </c>
      <c r="E2097" s="5">
        <v>21.0199877619114</v>
      </c>
    </row>
    <row r="2098" ht="14.25" customHeight="1">
      <c r="A2098" s="4"/>
      <c r="B2098" s="4" t="s">
        <v>1802</v>
      </c>
      <c r="C2098" s="4" t="s">
        <v>3386</v>
      </c>
      <c r="D2098" s="4" t="s">
        <v>3387</v>
      </c>
      <c r="E2098" s="5">
        <v>31.4579130889498</v>
      </c>
    </row>
    <row r="2099" ht="14.25" customHeight="1">
      <c r="A2099" s="4"/>
      <c r="B2099" s="4" t="s">
        <v>1802</v>
      </c>
      <c r="C2099" s="4" t="s">
        <v>3388</v>
      </c>
      <c r="D2099" s="4" t="s">
        <v>3389</v>
      </c>
      <c r="E2099" s="5">
        <v>8.11185556303454</v>
      </c>
    </row>
    <row r="2100" ht="14.25" customHeight="1">
      <c r="A2100" s="4"/>
      <c r="B2100" s="4" t="s">
        <v>1802</v>
      </c>
      <c r="C2100" s="4" t="s">
        <v>3390</v>
      </c>
      <c r="D2100" s="4" t="s">
        <v>3391</v>
      </c>
      <c r="E2100" s="5">
        <v>7.03167011118989</v>
      </c>
    </row>
    <row r="2101" ht="14.25" customHeight="1">
      <c r="A2101" s="4"/>
      <c r="B2101" s="4" t="s">
        <v>1802</v>
      </c>
      <c r="C2101" s="4" t="s">
        <v>348</v>
      </c>
      <c r="D2101" s="4" t="s">
        <v>3392</v>
      </c>
      <c r="E2101" s="5">
        <v>43.9990869417773</v>
      </c>
    </row>
    <row r="2102" ht="14.25" customHeight="1">
      <c r="A2102" s="4"/>
      <c r="B2102" s="4" t="s">
        <v>1802</v>
      </c>
      <c r="C2102" s="4" t="s">
        <v>3393</v>
      </c>
      <c r="D2102" s="4" t="s">
        <v>1812</v>
      </c>
      <c r="E2102" s="5">
        <v>48.3641275995966</v>
      </c>
    </row>
    <row r="2103" ht="14.25" customHeight="1">
      <c r="A2103" s="4"/>
      <c r="B2103" s="4" t="s">
        <v>1802</v>
      </c>
      <c r="C2103" s="4" t="s">
        <v>3394</v>
      </c>
      <c r="D2103" s="4" t="s">
        <v>3395</v>
      </c>
      <c r="E2103" s="5">
        <v>10.9269851775935</v>
      </c>
    </row>
    <row r="2104" ht="14.25" customHeight="1">
      <c r="A2104" s="4"/>
      <c r="B2104" s="4" t="s">
        <v>1802</v>
      </c>
      <c r="C2104" s="4" t="s">
        <v>3396</v>
      </c>
      <c r="D2104" s="4" t="s">
        <v>3397</v>
      </c>
      <c r="E2104" s="5">
        <v>47.2429331728129</v>
      </c>
    </row>
    <row r="2105" ht="14.25" customHeight="1">
      <c r="A2105" s="4"/>
      <c r="B2105" s="4" t="s">
        <v>1802</v>
      </c>
      <c r="C2105" s="4" t="s">
        <v>3398</v>
      </c>
      <c r="D2105" s="4" t="s">
        <v>1812</v>
      </c>
      <c r="E2105" s="5">
        <v>48.3641275995966</v>
      </c>
    </row>
    <row r="2106" ht="14.25" customHeight="1">
      <c r="A2106" s="4"/>
      <c r="B2106" s="4" t="s">
        <v>1802</v>
      </c>
      <c r="C2106" s="4" t="s">
        <v>3399</v>
      </c>
      <c r="D2106" s="4" t="s">
        <v>3400</v>
      </c>
      <c r="E2106" s="5">
        <v>12.7278291216418</v>
      </c>
    </row>
    <row r="2107" ht="14.25" customHeight="1">
      <c r="A2107" s="4"/>
      <c r="B2107" s="4" t="s">
        <v>1802</v>
      </c>
      <c r="C2107" s="4" t="s">
        <v>3401</v>
      </c>
      <c r="D2107" s="4" t="s">
        <v>1812</v>
      </c>
      <c r="E2107" s="5">
        <v>48.3641275995966</v>
      </c>
    </row>
    <row r="2108" ht="14.25" customHeight="1">
      <c r="A2108" s="4"/>
      <c r="B2108" s="4" t="s">
        <v>1802</v>
      </c>
      <c r="C2108" s="4" t="s">
        <v>3402</v>
      </c>
      <c r="D2108" s="4" t="s">
        <v>1837</v>
      </c>
      <c r="E2108" s="5">
        <v>9.672825519919328</v>
      </c>
    </row>
    <row r="2109" ht="14.25" customHeight="1">
      <c r="A2109" s="4"/>
      <c r="B2109" s="4" t="s">
        <v>1802</v>
      </c>
      <c r="C2109" s="4" t="s">
        <v>3403</v>
      </c>
      <c r="D2109" s="4" t="s">
        <v>3404</v>
      </c>
      <c r="E2109" s="5">
        <v>12.3925907254057</v>
      </c>
    </row>
    <row r="2110" ht="14.25" customHeight="1">
      <c r="A2110" s="4"/>
      <c r="B2110" s="4" t="s">
        <v>1802</v>
      </c>
      <c r="C2110" s="4" t="s">
        <v>3405</v>
      </c>
      <c r="D2110" s="4" t="s">
        <v>1812</v>
      </c>
      <c r="E2110" s="5">
        <v>48.3641275995966</v>
      </c>
    </row>
    <row r="2111" ht="14.25" customHeight="1">
      <c r="A2111" s="4"/>
      <c r="B2111" s="4" t="s">
        <v>1802</v>
      </c>
      <c r="C2111" s="4" t="s">
        <v>3406</v>
      </c>
      <c r="D2111" s="4" t="s">
        <v>3407</v>
      </c>
      <c r="E2111" s="5">
        <v>39.2251235738688</v>
      </c>
    </row>
    <row r="2112" ht="14.25" customHeight="1">
      <c r="A2112" s="4"/>
      <c r="B2112" s="4" t="s">
        <v>1802</v>
      </c>
      <c r="C2112" s="4" t="s">
        <v>3408</v>
      </c>
      <c r="D2112" s="4" t="s">
        <v>3409</v>
      </c>
      <c r="E2112" s="5">
        <v>4.77613314489394</v>
      </c>
    </row>
    <row r="2113" ht="14.25" customHeight="1">
      <c r="A2113" s="4"/>
      <c r="B2113" s="4" t="s">
        <v>1802</v>
      </c>
      <c r="C2113" s="4" t="s">
        <v>3410</v>
      </c>
      <c r="D2113" s="4" t="s">
        <v>3411</v>
      </c>
      <c r="E2113" s="5">
        <v>19.479082203319898</v>
      </c>
    </row>
    <row r="2114" ht="14.25" customHeight="1">
      <c r="A2114" s="4"/>
      <c r="B2114" s="4" t="s">
        <v>1802</v>
      </c>
      <c r="C2114" s="4" t="s">
        <v>3412</v>
      </c>
      <c r="D2114" s="4" t="s">
        <v>1812</v>
      </c>
      <c r="E2114" s="5">
        <v>48.3641275995966</v>
      </c>
    </row>
    <row r="2115" ht="14.25" customHeight="1">
      <c r="A2115" s="4"/>
      <c r="B2115" s="4" t="s">
        <v>1802</v>
      </c>
      <c r="C2115" s="4" t="s">
        <v>3413</v>
      </c>
      <c r="D2115" s="4" t="s">
        <v>3414</v>
      </c>
      <c r="E2115" s="5">
        <v>30.449865528694</v>
      </c>
    </row>
    <row r="2116" ht="14.25" customHeight="1">
      <c r="A2116" s="4"/>
      <c r="B2116" s="4" t="s">
        <v>1802</v>
      </c>
      <c r="C2116" s="4" t="s">
        <v>560</v>
      </c>
      <c r="D2116" s="4" t="s">
        <v>3415</v>
      </c>
      <c r="E2116" s="5">
        <v>40.797622310542096</v>
      </c>
    </row>
    <row r="2117" ht="14.25" customHeight="1">
      <c r="A2117" s="4"/>
      <c r="B2117" s="4" t="s">
        <v>1802</v>
      </c>
      <c r="C2117" s="4" t="s">
        <v>3416</v>
      </c>
      <c r="D2117" s="4" t="s">
        <v>2105</v>
      </c>
      <c r="E2117" s="5">
        <v>29.018476559758</v>
      </c>
    </row>
    <row r="2118" ht="14.25" customHeight="1">
      <c r="A2118" s="4"/>
      <c r="B2118" s="4" t="s">
        <v>1802</v>
      </c>
      <c r="C2118" s="4" t="s">
        <v>3417</v>
      </c>
      <c r="D2118" s="4" t="s">
        <v>1812</v>
      </c>
      <c r="E2118" s="5">
        <v>48.3641275995966</v>
      </c>
    </row>
    <row r="2119" ht="14.25" customHeight="1">
      <c r="A2119" s="4"/>
      <c r="B2119" s="4" t="s">
        <v>1802</v>
      </c>
      <c r="C2119" s="4" t="s">
        <v>3418</v>
      </c>
      <c r="D2119" s="4" t="s">
        <v>1812</v>
      </c>
      <c r="E2119" s="5">
        <v>48.3641275995966</v>
      </c>
    </row>
    <row r="2120" ht="14.25" customHeight="1">
      <c r="A2120" s="4"/>
      <c r="B2120" s="4" t="s">
        <v>1802</v>
      </c>
      <c r="C2120" s="4" t="s">
        <v>3419</v>
      </c>
      <c r="D2120" s="4" t="s">
        <v>1837</v>
      </c>
      <c r="E2120" s="5">
        <v>9.672825519919328</v>
      </c>
    </row>
    <row r="2121" ht="14.25" customHeight="1">
      <c r="A2121" s="4"/>
      <c r="B2121" s="4" t="s">
        <v>1802</v>
      </c>
      <c r="C2121" s="4" t="s">
        <v>3420</v>
      </c>
      <c r="D2121" s="4" t="s">
        <v>3421</v>
      </c>
      <c r="E2121" s="5">
        <v>34.8366236277601</v>
      </c>
    </row>
    <row r="2122" ht="14.25" customHeight="1">
      <c r="A2122" s="4"/>
      <c r="B2122" s="4" t="s">
        <v>1802</v>
      </c>
      <c r="C2122" s="4" t="s">
        <v>3422</v>
      </c>
      <c r="D2122" s="4" t="s">
        <v>3423</v>
      </c>
      <c r="E2122" s="5">
        <v>48.001196581191</v>
      </c>
    </row>
    <row r="2123" ht="14.25" customHeight="1">
      <c r="A2123" s="4"/>
      <c r="B2123" s="4" t="s">
        <v>1802</v>
      </c>
      <c r="C2123" s="4" t="s">
        <v>3424</v>
      </c>
      <c r="D2123" s="4" t="s">
        <v>1837</v>
      </c>
      <c r="E2123" s="5">
        <v>9.672825519919328</v>
      </c>
    </row>
    <row r="2124" ht="14.25" customHeight="1">
      <c r="A2124" s="4"/>
      <c r="B2124" s="4" t="s">
        <v>1802</v>
      </c>
      <c r="C2124" s="4" t="s">
        <v>3425</v>
      </c>
      <c r="D2124" s="4" t="s">
        <v>3426</v>
      </c>
      <c r="E2124" s="5">
        <v>32.1185713730789</v>
      </c>
    </row>
    <row r="2125" ht="14.25" customHeight="1">
      <c r="A2125" s="4"/>
      <c r="B2125" s="4" t="s">
        <v>1802</v>
      </c>
      <c r="C2125" s="4" t="s">
        <v>3427</v>
      </c>
      <c r="D2125" s="4" t="s">
        <v>3428</v>
      </c>
      <c r="E2125" s="5">
        <v>47.805384456280095</v>
      </c>
    </row>
    <row r="2126" ht="14.25" customHeight="1">
      <c r="A2126" s="4"/>
      <c r="B2126" s="4" t="s">
        <v>1802</v>
      </c>
      <c r="C2126" s="4" t="s">
        <v>3429</v>
      </c>
      <c r="D2126" s="4" t="s">
        <v>3430</v>
      </c>
      <c r="E2126" s="5">
        <v>9.09859218370522</v>
      </c>
    </row>
    <row r="2127" ht="14.25" customHeight="1">
      <c r="A2127" s="4"/>
      <c r="B2127" s="4" t="s">
        <v>1802</v>
      </c>
      <c r="C2127" s="4" t="s">
        <v>3431</v>
      </c>
      <c r="D2127" s="4" t="s">
        <v>1812</v>
      </c>
      <c r="E2127" s="5">
        <v>48.3641275995966</v>
      </c>
    </row>
    <row r="2128" ht="14.25" customHeight="1">
      <c r="A2128" s="4"/>
      <c r="B2128" s="4" t="s">
        <v>1802</v>
      </c>
      <c r="C2128" s="4" t="s">
        <v>3432</v>
      </c>
      <c r="D2128" s="4" t="s">
        <v>3433</v>
      </c>
      <c r="E2128" s="5">
        <v>45.026424037532806</v>
      </c>
    </row>
    <row r="2129" ht="14.25" customHeight="1">
      <c r="A2129" s="4"/>
      <c r="B2129" s="4" t="s">
        <v>1802</v>
      </c>
      <c r="C2129" s="4" t="s">
        <v>3434</v>
      </c>
      <c r="D2129" s="4" t="s">
        <v>3435</v>
      </c>
      <c r="E2129" s="5">
        <v>12.348021087958701</v>
      </c>
    </row>
    <row r="2130" ht="14.25" customHeight="1">
      <c r="A2130" s="4"/>
      <c r="B2130" s="4" t="s">
        <v>1802</v>
      </c>
      <c r="C2130" s="4" t="s">
        <v>3436</v>
      </c>
      <c r="D2130" s="4" t="s">
        <v>3437</v>
      </c>
      <c r="E2130" s="5">
        <v>9.653657996669828</v>
      </c>
    </row>
    <row r="2131" ht="14.25" customHeight="1">
      <c r="A2131" s="4"/>
      <c r="B2131" s="4" t="s">
        <v>1802</v>
      </c>
      <c r="C2131" s="4" t="s">
        <v>3438</v>
      </c>
      <c r="D2131" s="4" t="s">
        <v>1812</v>
      </c>
      <c r="E2131" s="5">
        <v>48.3641275995966</v>
      </c>
    </row>
    <row r="2132" ht="14.25" customHeight="1">
      <c r="A2132" s="4"/>
      <c r="B2132" s="4" t="s">
        <v>1802</v>
      </c>
      <c r="C2132" s="4" t="s">
        <v>3439</v>
      </c>
      <c r="D2132" s="4" t="s">
        <v>3440</v>
      </c>
      <c r="E2132" s="5">
        <v>45.474032965206</v>
      </c>
    </row>
    <row r="2133" ht="14.25" customHeight="1">
      <c r="A2133" s="4"/>
      <c r="B2133" s="4" t="s">
        <v>1802</v>
      </c>
      <c r="C2133" s="4" t="s">
        <v>3441</v>
      </c>
      <c r="D2133" s="4" t="s">
        <v>3442</v>
      </c>
      <c r="E2133" s="5">
        <v>9.63951924080517</v>
      </c>
    </row>
    <row r="2134" ht="14.25" customHeight="1">
      <c r="A2134" s="4"/>
      <c r="B2134" s="4" t="s">
        <v>1802</v>
      </c>
      <c r="C2134" s="4" t="s">
        <v>3443</v>
      </c>
      <c r="D2134" s="4" t="s">
        <v>3444</v>
      </c>
      <c r="E2134" s="5">
        <v>0.703033937428413</v>
      </c>
    </row>
    <row r="2135" ht="14.25" customHeight="1">
      <c r="A2135" s="4"/>
      <c r="B2135" s="4" t="s">
        <v>1802</v>
      </c>
      <c r="C2135" s="4" t="s">
        <v>3445</v>
      </c>
      <c r="D2135" s="4" t="s">
        <v>1812</v>
      </c>
      <c r="E2135" s="5">
        <v>48.3641275995966</v>
      </c>
    </row>
    <row r="2136" ht="14.25" customHeight="1">
      <c r="A2136" s="4"/>
      <c r="B2136" s="4" t="s">
        <v>1802</v>
      </c>
      <c r="C2136" s="4" t="s">
        <v>3446</v>
      </c>
      <c r="D2136" s="4" t="s">
        <v>3447</v>
      </c>
      <c r="E2136" s="5">
        <v>11.6528742898836</v>
      </c>
    </row>
    <row r="2137" ht="14.25" customHeight="1">
      <c r="A2137" s="4"/>
      <c r="B2137" s="4" t="s">
        <v>1802</v>
      </c>
      <c r="C2137" s="4" t="s">
        <v>3448</v>
      </c>
      <c r="D2137" s="4" t="s">
        <v>1812</v>
      </c>
      <c r="E2137" s="5">
        <v>48.3641275995966</v>
      </c>
    </row>
    <row r="2138" ht="14.25" customHeight="1">
      <c r="A2138" s="4"/>
      <c r="B2138" s="4" t="s">
        <v>1802</v>
      </c>
      <c r="C2138" s="4" t="s">
        <v>3449</v>
      </c>
      <c r="D2138" s="4" t="s">
        <v>3450</v>
      </c>
      <c r="E2138" s="5">
        <v>9.11358667337492</v>
      </c>
    </row>
    <row r="2139" ht="14.25" customHeight="1">
      <c r="A2139" s="4"/>
      <c r="B2139" s="4" t="s">
        <v>1802</v>
      </c>
      <c r="C2139" s="4" t="s">
        <v>3451</v>
      </c>
      <c r="D2139" s="4" t="s">
        <v>1812</v>
      </c>
      <c r="E2139" s="5">
        <v>48.3641275995966</v>
      </c>
    </row>
    <row r="2140" ht="14.25" customHeight="1">
      <c r="A2140" s="4"/>
      <c r="B2140" s="4" t="s">
        <v>1802</v>
      </c>
      <c r="C2140" s="4" t="s">
        <v>3452</v>
      </c>
      <c r="D2140" s="4" t="s">
        <v>3453</v>
      </c>
      <c r="E2140" s="5">
        <v>1.09292963210601</v>
      </c>
    </row>
    <row r="2141" ht="14.25" customHeight="1">
      <c r="A2141" s="4"/>
      <c r="B2141" s="4" t="s">
        <v>1802</v>
      </c>
      <c r="C2141" s="4" t="s">
        <v>3454</v>
      </c>
      <c r="D2141" s="4" t="s">
        <v>1812</v>
      </c>
      <c r="E2141" s="5">
        <v>48.3641275995966</v>
      </c>
    </row>
    <row r="2142" ht="14.25" customHeight="1">
      <c r="A2142" s="4"/>
      <c r="B2142" s="4" t="s">
        <v>1802</v>
      </c>
      <c r="C2142" s="4" t="s">
        <v>3455</v>
      </c>
      <c r="D2142" s="4" t="s">
        <v>1812</v>
      </c>
      <c r="E2142" s="5">
        <v>48.3641275995966</v>
      </c>
    </row>
    <row r="2143" ht="14.25" customHeight="1">
      <c r="A2143" s="4"/>
      <c r="B2143" s="4" t="s">
        <v>1802</v>
      </c>
      <c r="C2143" s="4" t="s">
        <v>3456</v>
      </c>
      <c r="D2143" s="4" t="s">
        <v>3457</v>
      </c>
      <c r="E2143" s="5">
        <v>21.2248182402642</v>
      </c>
    </row>
    <row r="2144" ht="14.25" customHeight="1">
      <c r="A2144" s="4"/>
      <c r="B2144" s="4" t="s">
        <v>1802</v>
      </c>
      <c r="C2144" s="4" t="s">
        <v>3458</v>
      </c>
      <c r="D2144" s="4" t="s">
        <v>1812</v>
      </c>
      <c r="E2144" s="5">
        <v>48.3641275995966</v>
      </c>
    </row>
    <row r="2145" ht="14.25" customHeight="1">
      <c r="A2145" s="4"/>
      <c r="B2145" s="4" t="s">
        <v>1802</v>
      </c>
      <c r="C2145" s="4" t="s">
        <v>3459</v>
      </c>
      <c r="D2145" s="4" t="s">
        <v>3460</v>
      </c>
      <c r="E2145" s="5">
        <v>8.90939590887716</v>
      </c>
    </row>
    <row r="2146" ht="14.25" customHeight="1">
      <c r="A2146" s="4"/>
      <c r="B2146" s="4" t="s">
        <v>1802</v>
      </c>
      <c r="C2146" s="4" t="s">
        <v>3461</v>
      </c>
      <c r="D2146" s="4" t="s">
        <v>3462</v>
      </c>
      <c r="E2146" s="5">
        <v>46.7306759171468</v>
      </c>
    </row>
    <row r="2147" ht="14.25" customHeight="1">
      <c r="A2147" s="4"/>
      <c r="B2147" s="4" t="s">
        <v>1802</v>
      </c>
      <c r="C2147" s="4" t="s">
        <v>3463</v>
      </c>
      <c r="D2147" s="4" t="s">
        <v>3464</v>
      </c>
      <c r="E2147" s="5">
        <v>38.2648109973428</v>
      </c>
    </row>
    <row r="2148" ht="14.25" customHeight="1">
      <c r="A2148" s="4"/>
      <c r="B2148" s="4" t="s">
        <v>1802</v>
      </c>
      <c r="C2148" s="4" t="s">
        <v>3465</v>
      </c>
      <c r="D2148" s="4" t="s">
        <v>3466</v>
      </c>
      <c r="E2148" s="5">
        <v>46.4381624381615</v>
      </c>
    </row>
    <row r="2149" ht="14.25" customHeight="1">
      <c r="A2149" s="4"/>
      <c r="B2149" s="4" t="s">
        <v>1802</v>
      </c>
      <c r="C2149" s="4" t="s">
        <v>3467</v>
      </c>
      <c r="D2149" s="4" t="s">
        <v>1812</v>
      </c>
      <c r="E2149" s="5">
        <v>48.3641275995966</v>
      </c>
    </row>
    <row r="2150" ht="14.25" customHeight="1">
      <c r="A2150" s="4"/>
      <c r="B2150" s="4" t="s">
        <v>1802</v>
      </c>
      <c r="C2150" s="4" t="s">
        <v>3468</v>
      </c>
      <c r="D2150" s="4" t="s">
        <v>3469</v>
      </c>
      <c r="E2150" s="5">
        <v>3.6628322136238</v>
      </c>
    </row>
    <row r="2151" ht="14.25" customHeight="1">
      <c r="A2151" s="4"/>
      <c r="B2151" s="4" t="s">
        <v>1802</v>
      </c>
      <c r="C2151" s="4" t="s">
        <v>3470</v>
      </c>
      <c r="D2151" s="4" t="s">
        <v>1812</v>
      </c>
      <c r="E2151" s="5">
        <v>48.3641275995966</v>
      </c>
    </row>
    <row r="2152" ht="14.25" customHeight="1">
      <c r="A2152" s="4"/>
      <c r="B2152" s="4" t="s">
        <v>1802</v>
      </c>
      <c r="C2152" s="4" t="s">
        <v>3471</v>
      </c>
      <c r="D2152" s="4" t="s">
        <v>3472</v>
      </c>
      <c r="E2152" s="5">
        <v>41.500663480094204</v>
      </c>
    </row>
    <row r="2153" ht="14.25" customHeight="1">
      <c r="A2153" s="4"/>
      <c r="B2153" s="4" t="s">
        <v>1802</v>
      </c>
      <c r="C2153" s="4" t="s">
        <v>3473</v>
      </c>
      <c r="D2153" s="4" t="s">
        <v>1821</v>
      </c>
      <c r="E2153" s="5">
        <v>19.3456510398386</v>
      </c>
    </row>
    <row r="2154" ht="14.25" customHeight="1">
      <c r="A2154" s="4"/>
      <c r="B2154" s="4" t="s">
        <v>1802</v>
      </c>
      <c r="C2154" s="4" t="s">
        <v>3474</v>
      </c>
      <c r="D2154" s="4" t="s">
        <v>1837</v>
      </c>
      <c r="E2154" s="5">
        <v>9.672825519919328</v>
      </c>
    </row>
    <row r="2155" ht="14.25" customHeight="1">
      <c r="A2155" s="4"/>
      <c r="B2155" s="4" t="s">
        <v>1802</v>
      </c>
      <c r="C2155" s="4" t="s">
        <v>3475</v>
      </c>
      <c r="D2155" s="4" t="s">
        <v>1812</v>
      </c>
      <c r="E2155" s="5">
        <v>48.3641275995966</v>
      </c>
    </row>
    <row r="2156" ht="14.25" customHeight="1">
      <c r="A2156" s="4"/>
      <c r="B2156" s="4" t="s">
        <v>1802</v>
      </c>
      <c r="C2156" s="4" t="s">
        <v>3476</v>
      </c>
      <c r="D2156" s="4" t="s">
        <v>3477</v>
      </c>
      <c r="E2156" s="5">
        <v>8.892397704336119</v>
      </c>
    </row>
    <row r="2157" ht="14.25" customHeight="1">
      <c r="A2157" s="4"/>
      <c r="B2157" s="4" t="s">
        <v>1802</v>
      </c>
      <c r="C2157" s="4" t="s">
        <v>679</v>
      </c>
      <c r="D2157" s="4" t="s">
        <v>1812</v>
      </c>
      <c r="E2157" s="5">
        <v>48.3641275995966</v>
      </c>
    </row>
    <row r="2158" ht="14.25" customHeight="1">
      <c r="A2158" s="4"/>
      <c r="B2158" s="4" t="s">
        <v>1802</v>
      </c>
      <c r="C2158" s="4" t="s">
        <v>3478</v>
      </c>
      <c r="D2158" s="4" t="s">
        <v>1812</v>
      </c>
      <c r="E2158" s="5">
        <v>48.3641275995966</v>
      </c>
    </row>
    <row r="2159" ht="14.25" customHeight="1">
      <c r="A2159" s="4"/>
      <c r="B2159" s="4" t="s">
        <v>1802</v>
      </c>
      <c r="C2159" s="4" t="s">
        <v>3479</v>
      </c>
      <c r="D2159" s="4" t="s">
        <v>3480</v>
      </c>
      <c r="E2159" s="5">
        <v>12.4544677917483</v>
      </c>
    </row>
    <row r="2160" ht="14.25" customHeight="1">
      <c r="A2160" s="4"/>
      <c r="B2160" s="4" t="s">
        <v>1802</v>
      </c>
      <c r="C2160" s="4" t="s">
        <v>3481</v>
      </c>
      <c r="D2160" s="4" t="s">
        <v>3482</v>
      </c>
      <c r="E2160" s="5">
        <v>8.47544856290057</v>
      </c>
    </row>
    <row r="2161" ht="14.25" customHeight="1">
      <c r="A2161" s="4"/>
      <c r="B2161" s="4" t="s">
        <v>1802</v>
      </c>
      <c r="C2161" s="4" t="s">
        <v>3483</v>
      </c>
      <c r="D2161" s="4" t="s">
        <v>3484</v>
      </c>
      <c r="E2161" s="5">
        <v>10.429831937934201</v>
      </c>
    </row>
    <row r="2162" ht="14.25" customHeight="1">
      <c r="A2162" s="4"/>
      <c r="B2162" s="4" t="s">
        <v>1802</v>
      </c>
      <c r="C2162" s="4" t="s">
        <v>3485</v>
      </c>
      <c r="D2162" s="4" t="s">
        <v>3486</v>
      </c>
      <c r="E2162" s="5">
        <v>11.8255656163329</v>
      </c>
    </row>
    <row r="2163" ht="14.25" customHeight="1">
      <c r="A2163" s="4"/>
      <c r="B2163" s="4" t="s">
        <v>1802</v>
      </c>
      <c r="C2163" s="4" t="s">
        <v>3487</v>
      </c>
      <c r="D2163" s="4" t="s">
        <v>3488</v>
      </c>
      <c r="E2163" s="5">
        <v>29.2042675046999</v>
      </c>
    </row>
    <row r="2164" ht="14.25" customHeight="1">
      <c r="A2164" s="4"/>
      <c r="B2164" s="4" t="s">
        <v>1802</v>
      </c>
      <c r="C2164" s="4" t="s">
        <v>3489</v>
      </c>
      <c r="D2164" s="4" t="s">
        <v>3490</v>
      </c>
      <c r="E2164" s="5">
        <v>1.26243431772436</v>
      </c>
    </row>
    <row r="2165" ht="14.25" customHeight="1">
      <c r="A2165" s="4"/>
      <c r="B2165" s="4" t="s">
        <v>1802</v>
      </c>
      <c r="C2165" s="4" t="s">
        <v>3491</v>
      </c>
      <c r="D2165" s="4" t="s">
        <v>3492</v>
      </c>
      <c r="E2165" s="5">
        <v>32.6261099597914</v>
      </c>
    </row>
    <row r="2166" ht="14.25" customHeight="1">
      <c r="A2166" s="4"/>
      <c r="B2166" s="4" t="s">
        <v>1802</v>
      </c>
      <c r="C2166" s="4" t="s">
        <v>3493</v>
      </c>
      <c r="D2166" s="4" t="s">
        <v>1812</v>
      </c>
      <c r="E2166" s="5">
        <v>48.3641275995966</v>
      </c>
    </row>
    <row r="2167" ht="14.25" customHeight="1">
      <c r="A2167" s="4"/>
      <c r="B2167" s="4" t="s">
        <v>1802</v>
      </c>
      <c r="C2167" s="4" t="s">
        <v>683</v>
      </c>
      <c r="D2167" s="4" t="s">
        <v>1812</v>
      </c>
      <c r="E2167" s="5">
        <v>48.3641275995966</v>
      </c>
    </row>
    <row r="2168" ht="14.25" customHeight="1">
      <c r="A2168" s="4"/>
      <c r="B2168" s="4" t="s">
        <v>1802</v>
      </c>
      <c r="C2168" s="4" t="s">
        <v>3494</v>
      </c>
      <c r="D2168" s="4" t="s">
        <v>2360</v>
      </c>
      <c r="E2168" s="5">
        <v>2.9018476559758</v>
      </c>
    </row>
    <row r="2169" ht="14.25" customHeight="1">
      <c r="A2169" s="4"/>
      <c r="B2169" s="4" t="s">
        <v>1802</v>
      </c>
      <c r="C2169" s="4" t="s">
        <v>3495</v>
      </c>
      <c r="D2169" s="4" t="s">
        <v>1812</v>
      </c>
      <c r="E2169" s="5">
        <v>48.3641275995966</v>
      </c>
    </row>
    <row r="2170" ht="14.25" customHeight="1">
      <c r="A2170" s="4"/>
      <c r="B2170" s="4" t="s">
        <v>1802</v>
      </c>
      <c r="C2170" s="4" t="s">
        <v>3496</v>
      </c>
      <c r="D2170" s="4" t="s">
        <v>3497</v>
      </c>
      <c r="E2170" s="5">
        <v>3.46808874945997</v>
      </c>
    </row>
    <row r="2171" ht="14.25" customHeight="1">
      <c r="A2171" s="4"/>
      <c r="B2171" s="4" t="s">
        <v>1802</v>
      </c>
      <c r="C2171" s="4" t="s">
        <v>3498</v>
      </c>
      <c r="D2171" s="4" t="s">
        <v>1812</v>
      </c>
      <c r="E2171" s="5">
        <v>48.3641275995966</v>
      </c>
    </row>
    <row r="2172" ht="14.25" customHeight="1">
      <c r="A2172" s="4"/>
      <c r="B2172" s="4" t="s">
        <v>1802</v>
      </c>
      <c r="C2172" s="4" t="s">
        <v>3499</v>
      </c>
      <c r="D2172" s="4" t="s">
        <v>1821</v>
      </c>
      <c r="E2172" s="5">
        <v>19.3456510398386</v>
      </c>
    </row>
    <row r="2173" ht="14.25" customHeight="1">
      <c r="A2173" s="4"/>
      <c r="B2173" s="4" t="s">
        <v>1802</v>
      </c>
      <c r="C2173" s="4" t="s">
        <v>3500</v>
      </c>
      <c r="D2173" s="4" t="s">
        <v>1812</v>
      </c>
      <c r="E2173" s="5">
        <v>48.3641275995966</v>
      </c>
    </row>
    <row r="2174" ht="14.25" customHeight="1">
      <c r="A2174" s="4"/>
      <c r="B2174" s="4" t="s">
        <v>1802</v>
      </c>
      <c r="C2174" s="4" t="s">
        <v>3501</v>
      </c>
      <c r="D2174" s="4" t="s">
        <v>1812</v>
      </c>
      <c r="E2174" s="5">
        <v>48.3641275995966</v>
      </c>
    </row>
    <row r="2175" ht="14.25" customHeight="1">
      <c r="A2175" s="4"/>
      <c r="B2175" s="4" t="s">
        <v>1802</v>
      </c>
      <c r="C2175" s="4" t="s">
        <v>3502</v>
      </c>
      <c r="D2175" s="4" t="s">
        <v>3503</v>
      </c>
      <c r="E2175" s="5">
        <v>19.3685628937274</v>
      </c>
    </row>
    <row r="2176" ht="14.25" customHeight="1">
      <c r="A2176" s="4"/>
      <c r="B2176" s="4" t="s">
        <v>1802</v>
      </c>
      <c r="C2176" s="4" t="s">
        <v>3504</v>
      </c>
      <c r="D2176" s="4" t="s">
        <v>1812</v>
      </c>
      <c r="E2176" s="5">
        <v>48.3641275995966</v>
      </c>
    </row>
    <row r="2177" ht="14.25" customHeight="1">
      <c r="A2177" s="4"/>
      <c r="B2177" s="4" t="s">
        <v>1802</v>
      </c>
      <c r="C2177" s="4" t="s">
        <v>3505</v>
      </c>
      <c r="D2177" s="4" t="s">
        <v>3506</v>
      </c>
      <c r="E2177" s="5">
        <v>9.398549108563241</v>
      </c>
    </row>
    <row r="2178" ht="14.25" customHeight="1">
      <c r="A2178" s="4"/>
      <c r="B2178" s="4" t="s">
        <v>1802</v>
      </c>
      <c r="C2178" s="4" t="s">
        <v>3507</v>
      </c>
      <c r="D2178" s="4" t="s">
        <v>1812</v>
      </c>
      <c r="E2178" s="5">
        <v>48.3641275995966</v>
      </c>
    </row>
    <row r="2179" ht="14.25" customHeight="1">
      <c r="A2179" s="4"/>
      <c r="B2179" s="4" t="s">
        <v>1802</v>
      </c>
      <c r="C2179" s="4" t="s">
        <v>3508</v>
      </c>
      <c r="D2179" s="4" t="s">
        <v>3509</v>
      </c>
      <c r="E2179" s="5">
        <v>14.5860253868846</v>
      </c>
    </row>
    <row r="2180" ht="14.25" customHeight="1">
      <c r="A2180" s="4"/>
      <c r="B2180" s="4" t="s">
        <v>1802</v>
      </c>
      <c r="C2180" s="4" t="s">
        <v>3510</v>
      </c>
      <c r="D2180" s="4" t="s">
        <v>1812</v>
      </c>
      <c r="E2180" s="5">
        <v>48.3641275995966</v>
      </c>
    </row>
    <row r="2181" ht="14.25" customHeight="1">
      <c r="A2181" s="4"/>
      <c r="B2181" s="4" t="s">
        <v>1802</v>
      </c>
      <c r="C2181" s="4" t="s">
        <v>3511</v>
      </c>
      <c r="D2181" s="4" t="s">
        <v>1812</v>
      </c>
      <c r="E2181" s="5">
        <v>48.3641275995966</v>
      </c>
    </row>
    <row r="2182" ht="14.25" customHeight="1">
      <c r="A2182" s="4"/>
      <c r="B2182" s="4" t="s">
        <v>1802</v>
      </c>
      <c r="C2182" s="4" t="s">
        <v>3512</v>
      </c>
      <c r="D2182" s="4" t="s">
        <v>1812</v>
      </c>
      <c r="E2182" s="5">
        <v>48.3641275995966</v>
      </c>
    </row>
    <row r="2183" ht="14.25" customHeight="1">
      <c r="A2183" s="4"/>
      <c r="B2183" s="4" t="s">
        <v>1802</v>
      </c>
      <c r="C2183" s="4" t="s">
        <v>3513</v>
      </c>
      <c r="D2183" s="4" t="s">
        <v>1812</v>
      </c>
      <c r="E2183" s="5">
        <v>48.3641275995966</v>
      </c>
    </row>
    <row r="2184" ht="14.25" customHeight="1">
      <c r="A2184" s="4"/>
      <c r="B2184" s="4" t="s">
        <v>1802</v>
      </c>
      <c r="C2184" s="4" t="s">
        <v>312</v>
      </c>
      <c r="D2184" s="4" t="s">
        <v>3514</v>
      </c>
      <c r="E2184" s="5">
        <v>14.903101184799</v>
      </c>
    </row>
    <row r="2185" ht="14.25" customHeight="1">
      <c r="A2185" s="4"/>
      <c r="B2185" s="4" t="s">
        <v>1802</v>
      </c>
      <c r="C2185" s="4" t="s">
        <v>3515</v>
      </c>
      <c r="D2185" s="4" t="s">
        <v>3516</v>
      </c>
      <c r="E2185" s="5">
        <v>39.366895974044596</v>
      </c>
    </row>
    <row r="2186" ht="14.25" customHeight="1">
      <c r="A2186" s="4"/>
      <c r="B2186" s="4" t="s">
        <v>1802</v>
      </c>
      <c r="C2186" s="4" t="s">
        <v>3517</v>
      </c>
      <c r="D2186" s="4" t="s">
        <v>1812</v>
      </c>
      <c r="E2186" s="5">
        <v>48.3641275995966</v>
      </c>
    </row>
    <row r="2187" ht="14.25" customHeight="1">
      <c r="A2187" s="4"/>
      <c r="B2187" s="4" t="s">
        <v>1802</v>
      </c>
      <c r="C2187" s="4" t="s">
        <v>3518</v>
      </c>
      <c r="D2187" s="4" t="s">
        <v>3519</v>
      </c>
      <c r="E2187" s="5">
        <v>25.5042775459914</v>
      </c>
    </row>
    <row r="2188" ht="14.25" customHeight="1">
      <c r="A2188" s="4"/>
      <c r="B2188" s="4" t="s">
        <v>1802</v>
      </c>
      <c r="C2188" s="4" t="s">
        <v>3520</v>
      </c>
      <c r="D2188" s="4" t="s">
        <v>3521</v>
      </c>
      <c r="E2188" s="5">
        <v>39.10513220202581</v>
      </c>
    </row>
    <row r="2189" ht="14.25" customHeight="1">
      <c r="A2189" s="4"/>
      <c r="B2189" s="4" t="s">
        <v>1802</v>
      </c>
      <c r="C2189" s="4" t="s">
        <v>1485</v>
      </c>
      <c r="D2189" s="4" t="s">
        <v>1812</v>
      </c>
      <c r="E2189" s="5">
        <v>48.3641275995966</v>
      </c>
    </row>
    <row r="2190" ht="14.25" customHeight="1">
      <c r="A2190" s="4"/>
      <c r="B2190" s="4" t="s">
        <v>1802</v>
      </c>
      <c r="C2190" s="4" t="s">
        <v>3522</v>
      </c>
      <c r="D2190" s="4" t="s">
        <v>1821</v>
      </c>
      <c r="E2190" s="5">
        <v>19.3456510398386</v>
      </c>
    </row>
    <row r="2191" ht="14.25" customHeight="1">
      <c r="A2191" s="4"/>
      <c r="B2191" s="4" t="s">
        <v>1802</v>
      </c>
      <c r="C2191" s="4" t="s">
        <v>3523</v>
      </c>
      <c r="D2191" s="4" t="s">
        <v>3524</v>
      </c>
      <c r="E2191" s="5">
        <v>0.195249055097363</v>
      </c>
    </row>
    <row r="2192" ht="14.25" customHeight="1">
      <c r="A2192" s="4"/>
      <c r="B2192" s="4" t="s">
        <v>1802</v>
      </c>
      <c r="C2192" s="4" t="s">
        <v>483</v>
      </c>
      <c r="D2192" s="4" t="s">
        <v>3525</v>
      </c>
      <c r="E2192" s="5">
        <v>4.4704118671520305</v>
      </c>
    </row>
    <row r="2193" ht="14.25" customHeight="1">
      <c r="A2193" s="4"/>
      <c r="B2193" s="4" t="s">
        <v>1802</v>
      </c>
      <c r="C2193" s="4" t="s">
        <v>3526</v>
      </c>
      <c r="D2193" s="4" t="s">
        <v>1812</v>
      </c>
      <c r="E2193" s="5">
        <v>48.3641275995966</v>
      </c>
    </row>
    <row r="2194" ht="14.25" customHeight="1">
      <c r="A2194" s="4"/>
      <c r="B2194" s="4" t="s">
        <v>1802</v>
      </c>
      <c r="C2194" s="4" t="s">
        <v>3527</v>
      </c>
      <c r="D2194" s="4" t="s">
        <v>3528</v>
      </c>
      <c r="E2194" s="5">
        <v>9.06642585388536</v>
      </c>
    </row>
    <row r="2195" ht="14.25" customHeight="1">
      <c r="A2195" s="4"/>
      <c r="B2195" s="4" t="s">
        <v>1802</v>
      </c>
      <c r="C2195" s="4" t="s">
        <v>3529</v>
      </c>
      <c r="D2195" s="4" t="s">
        <v>1812</v>
      </c>
      <c r="E2195" s="5">
        <v>48.3641275995966</v>
      </c>
    </row>
    <row r="2196" ht="14.25" customHeight="1">
      <c r="A2196" s="4"/>
      <c r="B2196" s="4" t="s">
        <v>1802</v>
      </c>
      <c r="C2196" s="4" t="s">
        <v>3530</v>
      </c>
      <c r="D2196" s="4" t="s">
        <v>1812</v>
      </c>
      <c r="E2196" s="5">
        <v>48.3641275995966</v>
      </c>
    </row>
    <row r="2197" ht="14.25" customHeight="1">
      <c r="A2197" s="4"/>
      <c r="B2197" s="4" t="s">
        <v>1802</v>
      </c>
      <c r="C2197" s="4" t="s">
        <v>3531</v>
      </c>
      <c r="D2197" s="4" t="s">
        <v>1812</v>
      </c>
      <c r="E2197" s="5">
        <v>48.3641275995966</v>
      </c>
    </row>
    <row r="2198" ht="14.25" customHeight="1">
      <c r="A2198" s="4"/>
      <c r="B2198" s="4" t="s">
        <v>1802</v>
      </c>
      <c r="C2198" s="4" t="s">
        <v>3532</v>
      </c>
      <c r="D2198" s="4" t="s">
        <v>3533</v>
      </c>
      <c r="E2198" s="5">
        <v>14.044476790559001</v>
      </c>
    </row>
    <row r="2199" ht="14.25" customHeight="1">
      <c r="A2199" s="4"/>
      <c r="B2199" s="4" t="s">
        <v>1802</v>
      </c>
      <c r="C2199" s="4" t="s">
        <v>3534</v>
      </c>
      <c r="D2199" s="4" t="s">
        <v>1812</v>
      </c>
      <c r="E2199" s="5">
        <v>48.3641275995966</v>
      </c>
    </row>
    <row r="2200" ht="14.25" customHeight="1">
      <c r="A2200" s="4"/>
      <c r="B2200" s="4" t="s">
        <v>1802</v>
      </c>
      <c r="C2200" s="4" t="s">
        <v>3535</v>
      </c>
      <c r="D2200" s="4" t="s">
        <v>1812</v>
      </c>
      <c r="E2200" s="5">
        <v>48.3641275995966</v>
      </c>
    </row>
    <row r="2201" ht="14.25" customHeight="1">
      <c r="A2201" s="4"/>
      <c r="B2201" s="4" t="s">
        <v>1802</v>
      </c>
      <c r="C2201" s="4" t="s">
        <v>3536</v>
      </c>
      <c r="D2201" s="4" t="s">
        <v>1812</v>
      </c>
      <c r="E2201" s="5">
        <v>48.3641275995966</v>
      </c>
    </row>
    <row r="2202" ht="14.25" customHeight="1">
      <c r="A2202" s="4"/>
      <c r="B2202" s="4" t="s">
        <v>1802</v>
      </c>
      <c r="C2202" s="4" t="s">
        <v>3537</v>
      </c>
      <c r="D2202" s="4" t="s">
        <v>1812</v>
      </c>
      <c r="E2202" s="5">
        <v>48.3641275995966</v>
      </c>
    </row>
    <row r="2203" ht="14.25" customHeight="1">
      <c r="A2203" s="4"/>
      <c r="B2203" s="4" t="s">
        <v>1802</v>
      </c>
      <c r="C2203" s="4" t="s">
        <v>3538</v>
      </c>
      <c r="D2203" s="4" t="s">
        <v>1812</v>
      </c>
      <c r="E2203" s="5">
        <v>48.3641275995966</v>
      </c>
    </row>
    <row r="2204" ht="14.25" customHeight="1">
      <c r="A2204" s="4"/>
      <c r="B2204" s="4" t="s">
        <v>1802</v>
      </c>
      <c r="C2204" s="4" t="s">
        <v>3539</v>
      </c>
      <c r="D2204" s="4" t="s">
        <v>1812</v>
      </c>
      <c r="E2204" s="5">
        <v>48.3641275995966</v>
      </c>
    </row>
    <row r="2205" ht="14.25" customHeight="1">
      <c r="A2205" s="4"/>
      <c r="B2205" s="4" t="s">
        <v>1802</v>
      </c>
      <c r="C2205" s="4" t="s">
        <v>3540</v>
      </c>
      <c r="D2205" s="4" t="s">
        <v>3541</v>
      </c>
      <c r="E2205" s="5">
        <v>21.224215904174898</v>
      </c>
    </row>
    <row r="2206" ht="14.25" customHeight="1">
      <c r="A2206" s="4"/>
      <c r="B2206" s="4" t="s">
        <v>1802</v>
      </c>
      <c r="C2206" s="4" t="s">
        <v>3542</v>
      </c>
      <c r="D2206" s="4" t="s">
        <v>3543</v>
      </c>
      <c r="E2206" s="5">
        <v>6.09486867378529</v>
      </c>
    </row>
    <row r="2207" ht="14.25" customHeight="1">
      <c r="A2207" s="4"/>
      <c r="B2207" s="4" t="s">
        <v>1802</v>
      </c>
      <c r="C2207" s="4" t="s">
        <v>3544</v>
      </c>
      <c r="D2207" s="4" t="s">
        <v>3545</v>
      </c>
      <c r="E2207" s="5">
        <v>46.7021938819164</v>
      </c>
    </row>
    <row r="2208" ht="14.25" customHeight="1">
      <c r="A2208" s="4"/>
      <c r="B2208" s="4" t="s">
        <v>1802</v>
      </c>
      <c r="C2208" s="4" t="s">
        <v>3546</v>
      </c>
      <c r="D2208" s="4" t="s">
        <v>1812</v>
      </c>
      <c r="E2208" s="5">
        <v>48.3641275995966</v>
      </c>
    </row>
    <row r="2209" ht="14.25" customHeight="1">
      <c r="A2209" s="4"/>
      <c r="B2209" s="4" t="s">
        <v>1802</v>
      </c>
      <c r="C2209" s="4" t="s">
        <v>3547</v>
      </c>
      <c r="D2209" s="4" t="s">
        <v>1812</v>
      </c>
      <c r="E2209" s="5">
        <v>48.3641275995966</v>
      </c>
    </row>
    <row r="2210" ht="14.25" customHeight="1">
      <c r="A2210" s="4"/>
      <c r="B2210" s="4" t="s">
        <v>1802</v>
      </c>
      <c r="C2210" s="4" t="s">
        <v>3548</v>
      </c>
      <c r="D2210" s="4" t="s">
        <v>3549</v>
      </c>
      <c r="E2210" s="5">
        <v>40.648064409640696</v>
      </c>
    </row>
    <row r="2211" ht="14.25" customHeight="1">
      <c r="A2211" s="4"/>
      <c r="B2211" s="4" t="s">
        <v>1802</v>
      </c>
      <c r="C2211" s="4" t="s">
        <v>3550</v>
      </c>
      <c r="D2211" s="4" t="s">
        <v>1837</v>
      </c>
      <c r="E2211" s="5">
        <v>9.672825519919328</v>
      </c>
    </row>
    <row r="2212" ht="14.25" customHeight="1">
      <c r="A2212" s="4"/>
      <c r="B2212" s="4" t="s">
        <v>1802</v>
      </c>
      <c r="C2212" s="4" t="s">
        <v>3551</v>
      </c>
      <c r="D2212" s="4" t="s">
        <v>3552</v>
      </c>
      <c r="E2212" s="5">
        <v>9.122827440099309</v>
      </c>
    </row>
    <row r="2213" ht="14.25" customHeight="1">
      <c r="A2213" s="4"/>
      <c r="B2213" s="4" t="s">
        <v>1802</v>
      </c>
      <c r="C2213" s="4" t="s">
        <v>3553</v>
      </c>
      <c r="D2213" s="4" t="s">
        <v>3554</v>
      </c>
      <c r="E2213" s="5">
        <v>21.899044374963797</v>
      </c>
    </row>
    <row r="2214" ht="14.25" customHeight="1">
      <c r="A2214" s="4"/>
      <c r="B2214" s="4" t="s">
        <v>1802</v>
      </c>
      <c r="C2214" s="4" t="s">
        <v>3555</v>
      </c>
      <c r="D2214" s="4" t="s">
        <v>3556</v>
      </c>
      <c r="E2214" s="5">
        <v>12.499990759826499</v>
      </c>
    </row>
    <row r="2215" ht="14.25" customHeight="1">
      <c r="A2215" s="4"/>
      <c r="B2215" s="4" t="s">
        <v>1802</v>
      </c>
      <c r="C2215" s="4" t="s">
        <v>3557</v>
      </c>
      <c r="D2215" s="4" t="s">
        <v>1812</v>
      </c>
      <c r="E2215" s="5">
        <v>48.3641275995966</v>
      </c>
    </row>
    <row r="2216" ht="14.25" customHeight="1">
      <c r="A2216" s="4"/>
      <c r="B2216" s="4" t="s">
        <v>1802</v>
      </c>
      <c r="C2216" s="4" t="s">
        <v>3558</v>
      </c>
      <c r="D2216" s="4" t="s">
        <v>3559</v>
      </c>
      <c r="E2216" s="5">
        <v>48.0617791614238</v>
      </c>
    </row>
    <row r="2217" ht="14.25" customHeight="1">
      <c r="A2217" s="4"/>
      <c r="B2217" s="4" t="s">
        <v>1802</v>
      </c>
      <c r="C2217" s="4" t="s">
        <v>3560</v>
      </c>
      <c r="D2217" s="4" t="s">
        <v>1812</v>
      </c>
      <c r="E2217" s="5">
        <v>48.3641275995966</v>
      </c>
    </row>
    <row r="2218" ht="14.25" customHeight="1">
      <c r="A2218" s="4"/>
      <c r="B2218" s="4" t="s">
        <v>1802</v>
      </c>
      <c r="C2218" s="4" t="s">
        <v>3561</v>
      </c>
      <c r="D2218" s="4" t="s">
        <v>1812</v>
      </c>
      <c r="E2218" s="5">
        <v>48.3641275995966</v>
      </c>
    </row>
    <row r="2219" ht="14.25" customHeight="1">
      <c r="A2219" s="4"/>
      <c r="B2219" s="4" t="s">
        <v>1802</v>
      </c>
      <c r="C2219" s="4" t="s">
        <v>3562</v>
      </c>
      <c r="D2219" s="4" t="s">
        <v>3563</v>
      </c>
      <c r="E2219" s="5">
        <v>10.6019012979122</v>
      </c>
    </row>
    <row r="2220" ht="14.25" customHeight="1">
      <c r="A2220" s="4"/>
      <c r="B2220" s="4" t="s">
        <v>1802</v>
      </c>
      <c r="C2220" s="4" t="s">
        <v>3564</v>
      </c>
      <c r="D2220" s="4" t="s">
        <v>3565</v>
      </c>
      <c r="E2220" s="5">
        <v>48.3542388934999</v>
      </c>
    </row>
    <row r="2221" ht="14.25" customHeight="1">
      <c r="A2221" s="4"/>
      <c r="B2221" s="4" t="s">
        <v>1802</v>
      </c>
      <c r="C2221" s="4" t="s">
        <v>3566</v>
      </c>
      <c r="D2221" s="4" t="s">
        <v>3567</v>
      </c>
      <c r="E2221" s="5">
        <v>15.8361400287374</v>
      </c>
    </row>
    <row r="2222" ht="14.25" customHeight="1">
      <c r="A2222" s="4"/>
      <c r="B2222" s="4" t="s">
        <v>1802</v>
      </c>
      <c r="C2222" s="4" t="s">
        <v>3568</v>
      </c>
      <c r="D2222" s="4" t="s">
        <v>3569</v>
      </c>
      <c r="E2222" s="5">
        <v>32.5797678943828</v>
      </c>
    </row>
    <row r="2223" ht="14.25" customHeight="1">
      <c r="A2223" s="4"/>
      <c r="B2223" s="4" t="s">
        <v>1802</v>
      </c>
      <c r="C2223" s="4" t="s">
        <v>3570</v>
      </c>
      <c r="D2223" s="4" t="s">
        <v>3571</v>
      </c>
      <c r="E2223" s="5">
        <v>0.206320988879906</v>
      </c>
    </row>
    <row r="2224" ht="14.25" customHeight="1">
      <c r="A2224" s="4"/>
      <c r="B2224" s="4" t="s">
        <v>1802</v>
      </c>
      <c r="C2224" s="4" t="s">
        <v>3572</v>
      </c>
      <c r="D2224" s="4" t="s">
        <v>3573</v>
      </c>
      <c r="E2224" s="5">
        <v>38.4928297389631</v>
      </c>
    </row>
    <row r="2225" ht="14.25" customHeight="1">
      <c r="A2225" s="4"/>
      <c r="B2225" s="4" t="s">
        <v>1802</v>
      </c>
      <c r="C2225" s="4" t="s">
        <v>3574</v>
      </c>
      <c r="D2225" s="4" t="s">
        <v>3575</v>
      </c>
      <c r="E2225" s="5">
        <v>44.0629471292165</v>
      </c>
    </row>
    <row r="2226" ht="14.25" customHeight="1">
      <c r="A2226" s="4"/>
      <c r="B2226" s="4" t="s">
        <v>1802</v>
      </c>
      <c r="C2226" s="4" t="s">
        <v>3576</v>
      </c>
      <c r="D2226" s="4" t="s">
        <v>1812</v>
      </c>
      <c r="E2226" s="5">
        <v>48.3641275995966</v>
      </c>
    </row>
    <row r="2227" ht="14.25" customHeight="1">
      <c r="A2227" s="4"/>
      <c r="B2227" s="4" t="s">
        <v>1802</v>
      </c>
      <c r="C2227" s="4" t="s">
        <v>3577</v>
      </c>
      <c r="D2227" s="4" t="s">
        <v>1837</v>
      </c>
      <c r="E2227" s="5">
        <v>9.672825519919328</v>
      </c>
    </row>
    <row r="2228" ht="14.25" customHeight="1">
      <c r="A2228" s="4"/>
      <c r="B2228" s="4" t="s">
        <v>1802</v>
      </c>
      <c r="C2228" s="4" t="s">
        <v>3578</v>
      </c>
      <c r="D2228" s="4" t="s">
        <v>3579</v>
      </c>
      <c r="E2228" s="5">
        <v>18.677914910623997</v>
      </c>
    </row>
    <row r="2229" ht="14.25" customHeight="1">
      <c r="A2229" s="4"/>
      <c r="B2229" s="4" t="s">
        <v>1802</v>
      </c>
      <c r="C2229" s="4" t="s">
        <v>3580</v>
      </c>
      <c r="D2229" s="4" t="s">
        <v>3581</v>
      </c>
      <c r="E2229" s="5">
        <v>9.81845754578474</v>
      </c>
    </row>
    <row r="2230" ht="14.25" customHeight="1">
      <c r="A2230" s="4"/>
      <c r="B2230" s="4" t="s">
        <v>1802</v>
      </c>
      <c r="C2230" s="4" t="s">
        <v>3582</v>
      </c>
      <c r="D2230" s="4" t="s">
        <v>1812</v>
      </c>
      <c r="E2230" s="5">
        <v>48.3641275995966</v>
      </c>
    </row>
    <row r="2231" ht="14.25" customHeight="1">
      <c r="A2231" s="4"/>
      <c r="B2231" s="4" t="s">
        <v>1802</v>
      </c>
      <c r="C2231" s="4" t="s">
        <v>3583</v>
      </c>
      <c r="D2231" s="4" t="s">
        <v>3584</v>
      </c>
      <c r="E2231" s="5">
        <v>9.92890036364027</v>
      </c>
    </row>
    <row r="2232" ht="14.25" customHeight="1">
      <c r="A2232" s="4"/>
      <c r="B2232" s="4" t="s">
        <v>1802</v>
      </c>
      <c r="C2232" s="4" t="s">
        <v>3585</v>
      </c>
      <c r="D2232" s="4" t="s">
        <v>1812</v>
      </c>
      <c r="E2232" s="5">
        <v>48.3641275995966</v>
      </c>
    </row>
    <row r="2233" ht="14.25" customHeight="1">
      <c r="A2233" s="4"/>
      <c r="B2233" s="4" t="s">
        <v>1802</v>
      </c>
      <c r="C2233" s="4" t="s">
        <v>3586</v>
      </c>
      <c r="D2233" s="4" t="s">
        <v>3587</v>
      </c>
      <c r="E2233" s="5">
        <v>43.6829209278981</v>
      </c>
    </row>
    <row r="2234" ht="14.25" customHeight="1">
      <c r="A2234" s="4"/>
      <c r="B2234" s="4" t="s">
        <v>1802</v>
      </c>
      <c r="C2234" s="4" t="s">
        <v>3588</v>
      </c>
      <c r="D2234" s="4" t="s">
        <v>1837</v>
      </c>
      <c r="E2234" s="5">
        <v>9.672825519919328</v>
      </c>
    </row>
    <row r="2235" ht="14.25" customHeight="1">
      <c r="A2235" s="4"/>
      <c r="B2235" s="4" t="s">
        <v>1802</v>
      </c>
      <c r="C2235" s="4" t="s">
        <v>3589</v>
      </c>
      <c r="D2235" s="4" t="s">
        <v>3590</v>
      </c>
      <c r="E2235" s="5">
        <v>22.8563991047525</v>
      </c>
    </row>
    <row r="2236" ht="14.25" customHeight="1">
      <c r="A2236" s="4"/>
      <c r="B2236" s="4" t="s">
        <v>1802</v>
      </c>
      <c r="C2236" s="4" t="s">
        <v>3591</v>
      </c>
      <c r="D2236" s="4" t="s">
        <v>3592</v>
      </c>
      <c r="E2236" s="5">
        <v>9.860870050971341</v>
      </c>
    </row>
    <row r="2237" ht="14.25" customHeight="1">
      <c r="A2237" s="4"/>
      <c r="B2237" s="4" t="s">
        <v>1802</v>
      </c>
      <c r="C2237" s="4" t="s">
        <v>363</v>
      </c>
      <c r="D2237" s="4" t="s">
        <v>3593</v>
      </c>
      <c r="E2237" s="5">
        <v>9.68050718598734</v>
      </c>
    </row>
    <row r="2238" ht="14.25" customHeight="1">
      <c r="A2238" s="4"/>
      <c r="B2238" s="4" t="s">
        <v>1802</v>
      </c>
      <c r="C2238" s="4" t="s">
        <v>3594</v>
      </c>
      <c r="D2238" s="4" t="s">
        <v>1812</v>
      </c>
      <c r="E2238" s="5">
        <v>48.3641275995966</v>
      </c>
    </row>
    <row r="2239" ht="14.25" customHeight="1">
      <c r="A2239" s="4"/>
      <c r="B2239" s="4" t="s">
        <v>1802</v>
      </c>
      <c r="C2239" s="4" t="s">
        <v>3595</v>
      </c>
      <c r="D2239" s="4" t="s">
        <v>3596</v>
      </c>
      <c r="E2239" s="5">
        <v>29.159123710468197</v>
      </c>
    </row>
    <row r="2240" ht="14.25" customHeight="1">
      <c r="A2240" s="4"/>
      <c r="B2240" s="4" t="s">
        <v>1802</v>
      </c>
      <c r="C2240" s="4" t="s">
        <v>3597</v>
      </c>
      <c r="D2240" s="4" t="s">
        <v>3598</v>
      </c>
      <c r="E2240" s="5">
        <v>47.2484735011197</v>
      </c>
    </row>
    <row r="2241" ht="14.25" customHeight="1">
      <c r="A2241" s="4"/>
      <c r="B2241" s="4" t="s">
        <v>1802</v>
      </c>
      <c r="C2241" s="4" t="s">
        <v>3599</v>
      </c>
      <c r="D2241" s="4" t="s">
        <v>1812</v>
      </c>
      <c r="E2241" s="5">
        <v>48.3641275995966</v>
      </c>
    </row>
    <row r="2242" ht="14.25" customHeight="1">
      <c r="A2242" s="4"/>
      <c r="B2242" s="4" t="s">
        <v>1802</v>
      </c>
      <c r="C2242" s="4" t="s">
        <v>3600</v>
      </c>
      <c r="D2242" s="4" t="s">
        <v>1837</v>
      </c>
      <c r="E2242" s="5">
        <v>9.672825519919328</v>
      </c>
    </row>
    <row r="2243" ht="14.25" customHeight="1">
      <c r="A2243" s="4"/>
      <c r="B2243" s="4" t="s">
        <v>1802</v>
      </c>
      <c r="C2243" s="4" t="s">
        <v>3601</v>
      </c>
      <c r="D2243" s="4" t="s">
        <v>1812</v>
      </c>
      <c r="E2243" s="5">
        <v>48.3641275995966</v>
      </c>
    </row>
    <row r="2244" ht="14.25" customHeight="1">
      <c r="A2244" s="4"/>
      <c r="B2244" s="4" t="s">
        <v>1802</v>
      </c>
      <c r="C2244" s="4" t="s">
        <v>3602</v>
      </c>
      <c r="D2244" s="4" t="s">
        <v>3603</v>
      </c>
      <c r="E2244" s="5">
        <v>46.511554453206195</v>
      </c>
    </row>
    <row r="2245" ht="14.25" customHeight="1">
      <c r="A2245" s="4"/>
      <c r="B2245" s="4" t="s">
        <v>1802</v>
      </c>
      <c r="C2245" s="4" t="s">
        <v>3604</v>
      </c>
      <c r="D2245" s="4" t="s">
        <v>1812</v>
      </c>
      <c r="E2245" s="5">
        <v>48.3641275995966</v>
      </c>
    </row>
    <row r="2246" ht="14.25" customHeight="1">
      <c r="A2246" s="4"/>
      <c r="B2246" s="4" t="s">
        <v>1802</v>
      </c>
      <c r="C2246" s="4" t="s">
        <v>3605</v>
      </c>
      <c r="D2246" s="4" t="s">
        <v>1812</v>
      </c>
      <c r="E2246" s="5">
        <v>48.3641275995966</v>
      </c>
    </row>
    <row r="2247" ht="14.25" customHeight="1">
      <c r="A2247" s="4"/>
      <c r="B2247" s="4" t="s">
        <v>1802</v>
      </c>
      <c r="C2247" s="4" t="s">
        <v>3606</v>
      </c>
      <c r="D2247" s="4" t="s">
        <v>3328</v>
      </c>
      <c r="E2247" s="5">
        <v>24.1820637997983</v>
      </c>
    </row>
    <row r="2248" ht="14.25" customHeight="1">
      <c r="A2248" s="4"/>
      <c r="B2248" s="4" t="s">
        <v>1802</v>
      </c>
      <c r="C2248" s="4" t="s">
        <v>3607</v>
      </c>
      <c r="D2248" s="4" t="s">
        <v>1812</v>
      </c>
      <c r="E2248" s="5">
        <v>48.3641275995966</v>
      </c>
    </row>
    <row r="2249" ht="14.25" customHeight="1">
      <c r="A2249" s="4"/>
      <c r="B2249" s="4" t="s">
        <v>1802</v>
      </c>
      <c r="C2249" s="4" t="s">
        <v>3608</v>
      </c>
      <c r="D2249" s="4" t="s">
        <v>3609</v>
      </c>
      <c r="E2249" s="5">
        <v>15.2364551653666</v>
      </c>
    </row>
    <row r="2250" ht="14.25" customHeight="1">
      <c r="A2250" s="4"/>
      <c r="B2250" s="4" t="s">
        <v>1802</v>
      </c>
      <c r="C2250" s="4" t="s">
        <v>3610</v>
      </c>
      <c r="D2250" s="4" t="s">
        <v>3611</v>
      </c>
      <c r="E2250" s="5">
        <v>6.17565258207851</v>
      </c>
    </row>
    <row r="2251" ht="14.25" customHeight="1">
      <c r="A2251" s="4"/>
      <c r="B2251" s="4" t="s">
        <v>1802</v>
      </c>
      <c r="C2251" s="4" t="s">
        <v>3612</v>
      </c>
      <c r="D2251" s="4" t="s">
        <v>1812</v>
      </c>
      <c r="E2251" s="5">
        <v>48.3641275995966</v>
      </c>
    </row>
    <row r="2252" ht="14.25" customHeight="1">
      <c r="A2252" s="4"/>
      <c r="B2252" s="4" t="s">
        <v>1802</v>
      </c>
      <c r="C2252" s="4" t="s">
        <v>3613</v>
      </c>
      <c r="D2252" s="4" t="s">
        <v>1837</v>
      </c>
      <c r="E2252" s="5">
        <v>9.672825519919328</v>
      </c>
    </row>
    <row r="2253" ht="14.25" customHeight="1">
      <c r="A2253" s="4"/>
      <c r="B2253" s="4" t="s">
        <v>1802</v>
      </c>
      <c r="C2253" s="4" t="s">
        <v>3614</v>
      </c>
      <c r="D2253" s="4" t="s">
        <v>1812</v>
      </c>
      <c r="E2253" s="5">
        <v>48.3641275995966</v>
      </c>
    </row>
    <row r="2254" ht="14.25" customHeight="1">
      <c r="A2254" s="4"/>
      <c r="B2254" s="4" t="s">
        <v>1802</v>
      </c>
      <c r="C2254" s="4" t="s">
        <v>3615</v>
      </c>
      <c r="D2254" s="4" t="s">
        <v>1812</v>
      </c>
      <c r="E2254" s="5">
        <v>48.3641275995966</v>
      </c>
    </row>
    <row r="2255" ht="14.25" customHeight="1">
      <c r="A2255" s="4"/>
      <c r="B2255" s="4" t="s">
        <v>1802</v>
      </c>
      <c r="C2255" s="4" t="s">
        <v>3616</v>
      </c>
      <c r="D2255" s="4" t="s">
        <v>1821</v>
      </c>
      <c r="E2255" s="5">
        <v>19.3456510398386</v>
      </c>
    </row>
    <row r="2256" ht="14.25" customHeight="1">
      <c r="A2256" s="4"/>
      <c r="B2256" s="4" t="s">
        <v>1802</v>
      </c>
      <c r="C2256" s="4" t="s">
        <v>3617</v>
      </c>
      <c r="D2256" s="4" t="s">
        <v>1812</v>
      </c>
      <c r="E2256" s="5">
        <v>48.3641275995966</v>
      </c>
    </row>
    <row r="2257" ht="14.25" customHeight="1">
      <c r="A2257" s="4"/>
      <c r="B2257" s="4" t="s">
        <v>1802</v>
      </c>
      <c r="C2257" s="4" t="s">
        <v>3618</v>
      </c>
      <c r="D2257" s="4" t="s">
        <v>3619</v>
      </c>
      <c r="E2257" s="5">
        <v>47.688960895119095</v>
      </c>
    </row>
    <row r="2258" ht="14.25" customHeight="1">
      <c r="A2258" s="4"/>
      <c r="B2258" s="4" t="s">
        <v>1802</v>
      </c>
      <c r="C2258" s="4" t="s">
        <v>3620</v>
      </c>
      <c r="D2258" s="4" t="s">
        <v>3621</v>
      </c>
      <c r="E2258" s="5">
        <v>9.719920524775521</v>
      </c>
    </row>
    <row r="2259" ht="14.25" customHeight="1">
      <c r="A2259" s="4"/>
      <c r="B2259" s="4" t="s">
        <v>1802</v>
      </c>
      <c r="C2259" s="4" t="s">
        <v>3622</v>
      </c>
      <c r="D2259" s="4" t="s">
        <v>1812</v>
      </c>
      <c r="E2259" s="5">
        <v>48.3641275995966</v>
      </c>
    </row>
    <row r="2260" ht="14.25" customHeight="1">
      <c r="A2260" s="4"/>
      <c r="B2260" s="4" t="s">
        <v>1802</v>
      </c>
      <c r="C2260" s="4" t="s">
        <v>3623</v>
      </c>
      <c r="D2260" s="4" t="s">
        <v>1812</v>
      </c>
      <c r="E2260" s="5">
        <v>48.3641275995966</v>
      </c>
    </row>
    <row r="2261" ht="14.25" customHeight="1">
      <c r="A2261" s="4"/>
      <c r="B2261" s="4" t="s">
        <v>1802</v>
      </c>
      <c r="C2261" s="4" t="s">
        <v>3624</v>
      </c>
      <c r="D2261" s="4" t="s">
        <v>3625</v>
      </c>
      <c r="E2261" s="5">
        <v>9.17022274295844</v>
      </c>
    </row>
    <row r="2262" ht="14.25" customHeight="1">
      <c r="A2262" s="4"/>
      <c r="B2262" s="4" t="s">
        <v>1802</v>
      </c>
      <c r="C2262" s="4" t="s">
        <v>3626</v>
      </c>
      <c r="D2262" s="4" t="s">
        <v>3627</v>
      </c>
      <c r="E2262" s="5">
        <v>20.557644356750203</v>
      </c>
    </row>
    <row r="2263" ht="14.25" customHeight="1">
      <c r="A2263" s="4"/>
      <c r="B2263" s="4" t="s">
        <v>1802</v>
      </c>
      <c r="C2263" s="4" t="s">
        <v>3628</v>
      </c>
      <c r="D2263" s="4" t="s">
        <v>3629</v>
      </c>
      <c r="E2263" s="5">
        <v>46.043282720710195</v>
      </c>
    </row>
    <row r="2264" ht="14.25" customHeight="1">
      <c r="A2264" s="4"/>
      <c r="B2264" s="4" t="s">
        <v>1802</v>
      </c>
      <c r="C2264" s="4" t="s">
        <v>3630</v>
      </c>
      <c r="D2264" s="4" t="s">
        <v>3631</v>
      </c>
      <c r="E2264" s="5">
        <v>9.710201833722689</v>
      </c>
    </row>
    <row r="2265" ht="14.25" customHeight="1">
      <c r="A2265" s="4"/>
      <c r="B2265" s="4" t="s">
        <v>1802</v>
      </c>
      <c r="C2265" s="4" t="s">
        <v>3632</v>
      </c>
      <c r="D2265" s="4" t="s">
        <v>3633</v>
      </c>
      <c r="E2265" s="5">
        <v>9.755665604699852</v>
      </c>
    </row>
    <row r="2266" ht="14.25" customHeight="1">
      <c r="A2266" s="4"/>
      <c r="B2266" s="4" t="s">
        <v>1802</v>
      </c>
      <c r="C2266" s="4" t="s">
        <v>3634</v>
      </c>
      <c r="D2266" s="4" t="s">
        <v>3635</v>
      </c>
      <c r="E2266" s="5">
        <v>20.3597403473859</v>
      </c>
    </row>
    <row r="2267" ht="14.25" customHeight="1">
      <c r="A2267" s="4"/>
      <c r="B2267" s="4" t="s">
        <v>1802</v>
      </c>
      <c r="C2267" s="4" t="s">
        <v>3636</v>
      </c>
      <c r="D2267" s="4" t="s">
        <v>1812</v>
      </c>
      <c r="E2267" s="5">
        <v>48.3641275995966</v>
      </c>
    </row>
    <row r="2268" ht="14.25" customHeight="1">
      <c r="A2268" s="4"/>
      <c r="B2268" s="4" t="s">
        <v>1802</v>
      </c>
      <c r="C2268" s="4" t="s">
        <v>3637</v>
      </c>
      <c r="D2268" s="4" t="s">
        <v>3638</v>
      </c>
      <c r="E2268" s="5">
        <v>7.3239811877556695</v>
      </c>
    </row>
    <row r="2269" ht="14.25" customHeight="1">
      <c r="A2269" s="4"/>
      <c r="B2269" s="4" t="s">
        <v>1802</v>
      </c>
      <c r="C2269" s="4" t="s">
        <v>3639</v>
      </c>
      <c r="D2269" s="4" t="s">
        <v>3640</v>
      </c>
      <c r="E2269" s="5">
        <v>8.7055429679274</v>
      </c>
    </row>
    <row r="2270" ht="14.25" customHeight="1">
      <c r="A2270" s="4"/>
      <c r="B2270" s="4" t="s">
        <v>1802</v>
      </c>
      <c r="C2270" s="4" t="s">
        <v>3641</v>
      </c>
      <c r="D2270" s="4" t="s">
        <v>3642</v>
      </c>
      <c r="E2270" s="5">
        <v>17.644565050920402</v>
      </c>
    </row>
    <row r="2271" ht="14.25" customHeight="1">
      <c r="A2271" s="4"/>
      <c r="B2271" s="4" t="s">
        <v>1802</v>
      </c>
      <c r="C2271" s="4" t="s">
        <v>3643</v>
      </c>
      <c r="D2271" s="4" t="s">
        <v>3644</v>
      </c>
      <c r="E2271" s="5">
        <v>6.819384337694561</v>
      </c>
    </row>
    <row r="2272" ht="14.25" customHeight="1">
      <c r="A2272" s="4"/>
      <c r="B2272" s="4" t="s">
        <v>1802</v>
      </c>
      <c r="C2272" s="4" t="s">
        <v>822</v>
      </c>
      <c r="D2272" s="4" t="s">
        <v>1812</v>
      </c>
      <c r="E2272" s="5">
        <v>48.3641275995966</v>
      </c>
    </row>
    <row r="2273" ht="14.25" customHeight="1">
      <c r="A2273" s="4"/>
      <c r="B2273" s="4" t="s">
        <v>1802</v>
      </c>
      <c r="C2273" s="4" t="s">
        <v>3645</v>
      </c>
      <c r="D2273" s="4" t="s">
        <v>3646</v>
      </c>
      <c r="E2273" s="5">
        <v>34.6622782896906</v>
      </c>
    </row>
    <row r="2274" ht="14.25" customHeight="1">
      <c r="A2274" s="4"/>
      <c r="B2274" s="4" t="s">
        <v>1802</v>
      </c>
      <c r="C2274" s="4" t="s">
        <v>3647</v>
      </c>
      <c r="D2274" s="4" t="s">
        <v>3648</v>
      </c>
      <c r="E2274" s="5">
        <v>1.6534687873370801</v>
      </c>
    </row>
    <row r="2275" ht="14.25" customHeight="1">
      <c r="A2275" s="4"/>
      <c r="B2275" s="4" t="s">
        <v>1802</v>
      </c>
      <c r="C2275" s="4" t="s">
        <v>3649</v>
      </c>
      <c r="D2275" s="4" t="s">
        <v>1812</v>
      </c>
      <c r="E2275" s="5">
        <v>48.3641275995966</v>
      </c>
    </row>
    <row r="2276" ht="14.25" customHeight="1">
      <c r="A2276" s="4"/>
      <c r="B2276" s="4" t="s">
        <v>1802</v>
      </c>
      <c r="C2276" s="4" t="s">
        <v>3650</v>
      </c>
      <c r="D2276" s="4" t="s">
        <v>1812</v>
      </c>
      <c r="E2276" s="5">
        <v>48.3641275995966</v>
      </c>
    </row>
    <row r="2277" ht="14.25" customHeight="1">
      <c r="A2277" s="4"/>
      <c r="B2277" s="4" t="s">
        <v>1802</v>
      </c>
      <c r="C2277" s="4" t="s">
        <v>3651</v>
      </c>
      <c r="D2277" s="4" t="s">
        <v>1812</v>
      </c>
      <c r="E2277" s="5">
        <v>48.3641275995966</v>
      </c>
    </row>
    <row r="2278" ht="14.25" customHeight="1">
      <c r="A2278" s="4"/>
      <c r="B2278" s="4" t="s">
        <v>1802</v>
      </c>
      <c r="C2278" s="4" t="s">
        <v>3652</v>
      </c>
      <c r="D2278" s="4" t="s">
        <v>1837</v>
      </c>
      <c r="E2278" s="5">
        <v>9.672825519919328</v>
      </c>
    </row>
    <row r="2279" ht="14.25" customHeight="1">
      <c r="A2279" s="4"/>
      <c r="B2279" s="4" t="s">
        <v>1802</v>
      </c>
      <c r="C2279" s="4" t="s">
        <v>3653</v>
      </c>
      <c r="D2279" s="4" t="s">
        <v>1812</v>
      </c>
      <c r="E2279" s="5">
        <v>48.3641275995966</v>
      </c>
    </row>
    <row r="2280" ht="14.25" customHeight="1">
      <c r="A2280" s="4"/>
      <c r="B2280" s="4" t="s">
        <v>1802</v>
      </c>
      <c r="C2280" s="4" t="s">
        <v>3654</v>
      </c>
      <c r="D2280" s="4" t="s">
        <v>1821</v>
      </c>
      <c r="E2280" s="5">
        <v>19.3456510398386</v>
      </c>
    </row>
    <row r="2281" ht="14.25" customHeight="1">
      <c r="A2281" s="4"/>
      <c r="B2281" s="4" t="s">
        <v>1802</v>
      </c>
      <c r="C2281" s="4" t="s">
        <v>3655</v>
      </c>
      <c r="D2281" s="4" t="s">
        <v>1812</v>
      </c>
      <c r="E2281" s="5">
        <v>48.3641275995966</v>
      </c>
    </row>
    <row r="2282" ht="14.25" customHeight="1">
      <c r="A2282" s="4"/>
      <c r="B2282" s="4" t="s">
        <v>1802</v>
      </c>
      <c r="C2282" s="4" t="s">
        <v>1154</v>
      </c>
      <c r="D2282" s="4" t="s">
        <v>1812</v>
      </c>
      <c r="E2282" s="5">
        <v>48.3641275995966</v>
      </c>
    </row>
    <row r="2283" ht="14.25" customHeight="1">
      <c r="A2283" s="4"/>
      <c r="B2283" s="4" t="s">
        <v>1802</v>
      </c>
      <c r="C2283" s="4" t="s">
        <v>3656</v>
      </c>
      <c r="D2283" s="4" t="s">
        <v>1812</v>
      </c>
      <c r="E2283" s="5">
        <v>48.3641275995966</v>
      </c>
    </row>
    <row r="2284" ht="14.25" customHeight="1">
      <c r="A2284" s="4"/>
      <c r="B2284" s="4" t="s">
        <v>1802</v>
      </c>
      <c r="C2284" s="4" t="s">
        <v>3657</v>
      </c>
      <c r="D2284" s="4" t="s">
        <v>1812</v>
      </c>
      <c r="E2284" s="5">
        <v>48.3641275995966</v>
      </c>
    </row>
    <row r="2285" ht="14.25" customHeight="1">
      <c r="A2285" s="4"/>
      <c r="B2285" s="4" t="s">
        <v>1802</v>
      </c>
      <c r="C2285" s="4" t="s">
        <v>3658</v>
      </c>
      <c r="D2285" s="4" t="s">
        <v>1837</v>
      </c>
      <c r="E2285" s="5">
        <v>9.672825519919328</v>
      </c>
    </row>
    <row r="2286" ht="14.25" customHeight="1">
      <c r="A2286" s="4"/>
      <c r="B2286" s="4" t="s">
        <v>1802</v>
      </c>
      <c r="C2286" s="4" t="s">
        <v>3659</v>
      </c>
      <c r="D2286" s="4" t="s">
        <v>1812</v>
      </c>
      <c r="E2286" s="5">
        <v>48.3641275995966</v>
      </c>
    </row>
    <row r="2287" ht="14.25" customHeight="1">
      <c r="A2287" s="4"/>
      <c r="B2287" s="4" t="s">
        <v>1802</v>
      </c>
      <c r="C2287" s="4" t="s">
        <v>3660</v>
      </c>
      <c r="D2287" s="4" t="s">
        <v>1812</v>
      </c>
      <c r="E2287" s="5">
        <v>48.3641275995966</v>
      </c>
    </row>
    <row r="2288" ht="14.25" customHeight="1">
      <c r="A2288" s="4"/>
      <c r="B2288" s="4" t="s">
        <v>1802</v>
      </c>
      <c r="C2288" s="4" t="s">
        <v>3661</v>
      </c>
      <c r="D2288" s="4" t="s">
        <v>3662</v>
      </c>
      <c r="E2288" s="5">
        <v>9.05751180460979</v>
      </c>
    </row>
    <row r="2289" ht="14.25" customHeight="1">
      <c r="A2289" s="4"/>
      <c r="B2289" s="4" t="s">
        <v>1802</v>
      </c>
      <c r="C2289" s="4" t="s">
        <v>3663</v>
      </c>
      <c r="D2289" s="4" t="s">
        <v>3664</v>
      </c>
      <c r="E2289" s="5">
        <v>9.67282738116441</v>
      </c>
    </row>
    <row r="2290" ht="14.25" customHeight="1">
      <c r="A2290" s="4"/>
      <c r="B2290" s="4" t="s">
        <v>1802</v>
      </c>
      <c r="C2290" s="4" t="s">
        <v>3665</v>
      </c>
      <c r="D2290" s="4" t="s">
        <v>3666</v>
      </c>
      <c r="E2290" s="5">
        <v>41.965211091397</v>
      </c>
    </row>
    <row r="2291" ht="14.25" customHeight="1">
      <c r="A2291" s="4"/>
      <c r="B2291" s="4" t="s">
        <v>1802</v>
      </c>
      <c r="C2291" s="4" t="s">
        <v>3667</v>
      </c>
      <c r="D2291" s="4" t="s">
        <v>1812</v>
      </c>
      <c r="E2291" s="5">
        <v>48.3641275995966</v>
      </c>
    </row>
    <row r="2292" ht="14.25" customHeight="1">
      <c r="A2292" s="4"/>
      <c r="B2292" s="4" t="s">
        <v>1802</v>
      </c>
      <c r="C2292" s="4" t="s">
        <v>3668</v>
      </c>
      <c r="D2292" s="4" t="s">
        <v>1812</v>
      </c>
      <c r="E2292" s="5">
        <v>48.3641275995966</v>
      </c>
    </row>
    <row r="2293" ht="14.25" customHeight="1">
      <c r="A2293" s="4"/>
      <c r="B2293" s="4" t="s">
        <v>1802</v>
      </c>
      <c r="C2293" s="4" t="s">
        <v>3669</v>
      </c>
      <c r="D2293" s="4" t="s">
        <v>1812</v>
      </c>
      <c r="E2293" s="5">
        <v>48.3641275995966</v>
      </c>
    </row>
    <row r="2294" ht="14.25" customHeight="1">
      <c r="A2294" s="4"/>
      <c r="B2294" s="4" t="s">
        <v>1802</v>
      </c>
      <c r="C2294" s="4" t="s">
        <v>3670</v>
      </c>
      <c r="D2294" s="4" t="s">
        <v>1812</v>
      </c>
      <c r="E2294" s="5">
        <v>48.3641275995966</v>
      </c>
    </row>
    <row r="2295" ht="14.25" customHeight="1">
      <c r="A2295" s="4"/>
      <c r="B2295" s="4" t="s">
        <v>1802</v>
      </c>
      <c r="C2295" s="4" t="s">
        <v>3671</v>
      </c>
      <c r="D2295" s="4" t="s">
        <v>3672</v>
      </c>
      <c r="E2295" s="5">
        <v>24.028479613088</v>
      </c>
    </row>
    <row r="2296" ht="14.25" customHeight="1">
      <c r="A2296" s="4"/>
      <c r="B2296" s="4" t="s">
        <v>1802</v>
      </c>
      <c r="C2296" s="4" t="s">
        <v>3673</v>
      </c>
      <c r="D2296" s="4" t="s">
        <v>1812</v>
      </c>
      <c r="E2296" s="5">
        <v>48.3641275995966</v>
      </c>
    </row>
    <row r="2297" ht="14.25" customHeight="1">
      <c r="A2297" s="4"/>
      <c r="B2297" s="4" t="s">
        <v>1802</v>
      </c>
      <c r="C2297" s="4" t="s">
        <v>3674</v>
      </c>
      <c r="D2297" s="4" t="s">
        <v>3675</v>
      </c>
      <c r="E2297" s="5">
        <v>18.1994735983012</v>
      </c>
    </row>
    <row r="2298" ht="14.25" customHeight="1">
      <c r="A2298" s="4"/>
      <c r="B2298" s="4" t="s">
        <v>1802</v>
      </c>
      <c r="C2298" s="4" t="s">
        <v>3676</v>
      </c>
      <c r="D2298" s="4" t="s">
        <v>1837</v>
      </c>
      <c r="E2298" s="5">
        <v>9.672825519919328</v>
      </c>
    </row>
    <row r="2299" ht="14.25" customHeight="1">
      <c r="A2299" s="4"/>
      <c r="B2299" s="4" t="s">
        <v>1802</v>
      </c>
      <c r="C2299" s="4" t="s">
        <v>3677</v>
      </c>
      <c r="D2299" s="4" t="s">
        <v>1812</v>
      </c>
      <c r="E2299" s="5">
        <v>48.3641275995966</v>
      </c>
    </row>
    <row r="2300" ht="14.25" customHeight="1">
      <c r="A2300" s="4"/>
      <c r="B2300" s="4" t="s">
        <v>1802</v>
      </c>
      <c r="C2300" s="4" t="s">
        <v>3678</v>
      </c>
      <c r="D2300" s="4" t="s">
        <v>1812</v>
      </c>
      <c r="E2300" s="5">
        <v>48.3641275995966</v>
      </c>
    </row>
    <row r="2301" ht="14.25" customHeight="1">
      <c r="A2301" s="4"/>
      <c r="B2301" s="4" t="s">
        <v>1802</v>
      </c>
      <c r="C2301" s="4" t="s">
        <v>3679</v>
      </c>
      <c r="D2301" s="4" t="s">
        <v>1837</v>
      </c>
      <c r="E2301" s="5">
        <v>9.672825519919328</v>
      </c>
    </row>
    <row r="2302" ht="14.25" customHeight="1">
      <c r="A2302" s="4"/>
      <c r="B2302" s="4" t="s">
        <v>1802</v>
      </c>
      <c r="C2302" s="4" t="s">
        <v>3680</v>
      </c>
      <c r="D2302" s="4" t="s">
        <v>1812</v>
      </c>
      <c r="E2302" s="5">
        <v>48.3641275995966</v>
      </c>
    </row>
    <row r="2303" ht="14.25" customHeight="1">
      <c r="A2303" s="4"/>
      <c r="B2303" s="4" t="s">
        <v>1802</v>
      </c>
      <c r="C2303" s="4" t="s">
        <v>3681</v>
      </c>
      <c r="D2303" s="4" t="s">
        <v>3682</v>
      </c>
      <c r="E2303" s="5">
        <v>24.1976624328945</v>
      </c>
    </row>
    <row r="2304" ht="14.25" customHeight="1">
      <c r="A2304" s="4"/>
      <c r="B2304" s="4" t="s">
        <v>1802</v>
      </c>
      <c r="C2304" s="4" t="s">
        <v>1087</v>
      </c>
      <c r="D2304" s="4" t="s">
        <v>3683</v>
      </c>
      <c r="E2304" s="5">
        <v>1.04867911609523</v>
      </c>
    </row>
    <row r="2305" ht="14.25" customHeight="1">
      <c r="A2305" s="4"/>
      <c r="B2305" s="4" t="s">
        <v>1802</v>
      </c>
      <c r="C2305" s="4" t="s">
        <v>385</v>
      </c>
      <c r="D2305" s="4" t="s">
        <v>1812</v>
      </c>
      <c r="E2305" s="5">
        <v>48.3641275995966</v>
      </c>
    </row>
    <row r="2306" ht="14.25" customHeight="1">
      <c r="A2306" s="4"/>
      <c r="B2306" s="4" t="s">
        <v>1802</v>
      </c>
      <c r="C2306" s="4" t="s">
        <v>3684</v>
      </c>
      <c r="D2306" s="4" t="s">
        <v>3685</v>
      </c>
      <c r="E2306" s="5">
        <v>0.562005305417838</v>
      </c>
    </row>
    <row r="2307" ht="14.25" customHeight="1">
      <c r="A2307" s="4"/>
      <c r="B2307" s="4" t="s">
        <v>1802</v>
      </c>
      <c r="C2307" s="4" t="s">
        <v>3686</v>
      </c>
      <c r="D2307" s="4" t="s">
        <v>3687</v>
      </c>
      <c r="E2307" s="5">
        <v>9.524672648343321</v>
      </c>
    </row>
    <row r="2308" ht="14.25" customHeight="1">
      <c r="A2308" s="4"/>
      <c r="B2308" s="4" t="s">
        <v>1802</v>
      </c>
      <c r="C2308" s="4" t="s">
        <v>3688</v>
      </c>
      <c r="D2308" s="4" t="s">
        <v>1812</v>
      </c>
      <c r="E2308" s="5">
        <v>48.3641275995966</v>
      </c>
    </row>
    <row r="2309" ht="14.25" customHeight="1">
      <c r="A2309" s="4"/>
      <c r="B2309" s="4" t="s">
        <v>1802</v>
      </c>
      <c r="C2309" s="4" t="s">
        <v>1451</v>
      </c>
      <c r="D2309" s="4" t="s">
        <v>1812</v>
      </c>
      <c r="E2309" s="5">
        <v>48.3641275995966</v>
      </c>
    </row>
    <row r="2310" ht="14.25" customHeight="1">
      <c r="A2310" s="4"/>
      <c r="B2310" s="4" t="s">
        <v>1802</v>
      </c>
      <c r="C2310" s="4" t="s">
        <v>3689</v>
      </c>
      <c r="D2310" s="4" t="s">
        <v>3690</v>
      </c>
      <c r="E2310" s="5">
        <v>42.780105000179596</v>
      </c>
    </row>
    <row r="2311" ht="14.25" customHeight="1">
      <c r="A2311" s="4"/>
      <c r="B2311" s="4" t="s">
        <v>1802</v>
      </c>
      <c r="C2311" s="4" t="s">
        <v>3691</v>
      </c>
      <c r="D2311" s="4" t="s">
        <v>1812</v>
      </c>
      <c r="E2311" s="5">
        <v>48.3641275995966</v>
      </c>
    </row>
    <row r="2312" ht="14.25" customHeight="1">
      <c r="A2312" s="4"/>
      <c r="B2312" s="4" t="s">
        <v>1802</v>
      </c>
      <c r="C2312" s="4" t="s">
        <v>3692</v>
      </c>
      <c r="D2312" s="4" t="s">
        <v>1837</v>
      </c>
      <c r="E2312" s="5">
        <v>9.672825519919328</v>
      </c>
    </row>
    <row r="2313" ht="14.25" customHeight="1">
      <c r="A2313" s="4"/>
      <c r="B2313" s="4" t="s">
        <v>1802</v>
      </c>
      <c r="C2313" s="4" t="s">
        <v>3693</v>
      </c>
      <c r="D2313" s="4" t="s">
        <v>3694</v>
      </c>
      <c r="E2313" s="5">
        <v>46.0858516018934</v>
      </c>
    </row>
    <row r="2314" ht="14.25" customHeight="1">
      <c r="A2314" s="4"/>
      <c r="B2314" s="4" t="s">
        <v>1802</v>
      </c>
      <c r="C2314" s="4" t="s">
        <v>3695</v>
      </c>
      <c r="D2314" s="4" t="s">
        <v>3696</v>
      </c>
      <c r="E2314" s="5">
        <v>8.02227257774542</v>
      </c>
    </row>
    <row r="2315" ht="14.25" customHeight="1">
      <c r="A2315" s="4"/>
      <c r="B2315" s="4" t="s">
        <v>1802</v>
      </c>
      <c r="C2315" s="4" t="s">
        <v>3697</v>
      </c>
      <c r="D2315" s="4" t="s">
        <v>1812</v>
      </c>
      <c r="E2315" s="5">
        <v>48.3641275995966</v>
      </c>
    </row>
    <row r="2316" ht="14.25" customHeight="1">
      <c r="A2316" s="4"/>
      <c r="B2316" s="4" t="s">
        <v>1802</v>
      </c>
      <c r="C2316" s="4" t="s">
        <v>3698</v>
      </c>
      <c r="D2316" s="4" t="s">
        <v>1812</v>
      </c>
      <c r="E2316" s="5">
        <v>48.3641275995966</v>
      </c>
    </row>
    <row r="2317" ht="14.25" customHeight="1">
      <c r="A2317" s="4"/>
      <c r="B2317" s="4" t="s">
        <v>1802</v>
      </c>
      <c r="C2317" s="4" t="s">
        <v>3699</v>
      </c>
      <c r="D2317" s="4" t="s">
        <v>3700</v>
      </c>
      <c r="E2317" s="5">
        <v>0.348423315855191</v>
      </c>
    </row>
    <row r="2318" ht="14.25" customHeight="1">
      <c r="A2318" s="4"/>
      <c r="B2318" s="4" t="s">
        <v>1802</v>
      </c>
      <c r="C2318" s="4" t="s">
        <v>3701</v>
      </c>
      <c r="D2318" s="4" t="s">
        <v>3702</v>
      </c>
      <c r="E2318" s="5">
        <v>31.9889035095323</v>
      </c>
    </row>
    <row r="2319" ht="14.25" customHeight="1">
      <c r="A2319" s="4"/>
      <c r="B2319" s="4" t="s">
        <v>1802</v>
      </c>
      <c r="C2319" s="4" t="s">
        <v>3703</v>
      </c>
      <c r="D2319" s="4" t="s">
        <v>3704</v>
      </c>
      <c r="E2319" s="5">
        <v>46.067026701149004</v>
      </c>
    </row>
    <row r="2320" ht="14.25" customHeight="1">
      <c r="A2320" s="4"/>
      <c r="B2320" s="4" t="s">
        <v>1802</v>
      </c>
      <c r="C2320" s="4" t="s">
        <v>3705</v>
      </c>
      <c r="D2320" s="4" t="s">
        <v>1812</v>
      </c>
      <c r="E2320" s="5">
        <v>48.3641275995966</v>
      </c>
    </row>
    <row r="2321" ht="14.25" customHeight="1">
      <c r="A2321" s="4"/>
      <c r="B2321" s="4" t="s">
        <v>1802</v>
      </c>
      <c r="C2321" s="4" t="s">
        <v>3706</v>
      </c>
      <c r="D2321" s="4" t="s">
        <v>3707</v>
      </c>
      <c r="E2321" s="5">
        <v>6.278312859318721</v>
      </c>
    </row>
    <row r="2322" ht="14.25" customHeight="1">
      <c r="A2322" s="4"/>
      <c r="B2322" s="4" t="s">
        <v>1802</v>
      </c>
      <c r="C2322" s="4" t="s">
        <v>3708</v>
      </c>
      <c r="D2322" s="4" t="s">
        <v>3709</v>
      </c>
      <c r="E2322" s="5">
        <v>17.7946757017424</v>
      </c>
    </row>
    <row r="2323" ht="14.25" customHeight="1">
      <c r="A2323" s="4"/>
      <c r="B2323" s="4" t="s">
        <v>1802</v>
      </c>
      <c r="C2323" s="4" t="s">
        <v>1633</v>
      </c>
      <c r="D2323" s="4" t="s">
        <v>1812</v>
      </c>
      <c r="E2323" s="5">
        <v>48.3641275995966</v>
      </c>
    </row>
    <row r="2324" ht="14.25" customHeight="1">
      <c r="A2324" s="4"/>
      <c r="B2324" s="4" t="s">
        <v>1802</v>
      </c>
      <c r="C2324" s="4" t="s">
        <v>3710</v>
      </c>
      <c r="D2324" s="4" t="s">
        <v>3711</v>
      </c>
      <c r="E2324" s="5">
        <v>48.256311911101</v>
      </c>
    </row>
    <row r="2325" ht="14.25" customHeight="1">
      <c r="A2325" s="4"/>
      <c r="B2325" s="4" t="s">
        <v>1802</v>
      </c>
      <c r="C2325" s="4" t="s">
        <v>129</v>
      </c>
      <c r="D2325" s="4" t="s">
        <v>3712</v>
      </c>
      <c r="E2325" s="5">
        <v>47.803469540843395</v>
      </c>
    </row>
    <row r="2326" ht="14.25" customHeight="1">
      <c r="A2326" s="4"/>
      <c r="B2326" s="4" t="s">
        <v>1802</v>
      </c>
      <c r="C2326" s="4" t="s">
        <v>3713</v>
      </c>
      <c r="D2326" s="4" t="s">
        <v>1812</v>
      </c>
      <c r="E2326" s="5">
        <v>48.3641275995966</v>
      </c>
    </row>
    <row r="2327" ht="14.25" customHeight="1">
      <c r="A2327" s="4"/>
      <c r="B2327" s="4" t="s">
        <v>1802</v>
      </c>
      <c r="C2327" s="4" t="s">
        <v>3714</v>
      </c>
      <c r="D2327" s="4" t="s">
        <v>3715</v>
      </c>
      <c r="E2327" s="5">
        <v>17.863939599105098</v>
      </c>
    </row>
    <row r="2328" ht="14.25" customHeight="1">
      <c r="A2328" s="4"/>
      <c r="B2328" s="4" t="s">
        <v>1802</v>
      </c>
      <c r="C2328" s="4" t="s">
        <v>3716</v>
      </c>
      <c r="D2328" s="4" t="s">
        <v>3717</v>
      </c>
      <c r="E2328" s="5">
        <v>16.754944585841</v>
      </c>
    </row>
    <row r="2329" ht="14.25" customHeight="1">
      <c r="A2329" s="4"/>
      <c r="B2329" s="4" t="s">
        <v>1802</v>
      </c>
      <c r="C2329" s="4" t="s">
        <v>3718</v>
      </c>
      <c r="D2329" s="4" t="s">
        <v>3719</v>
      </c>
      <c r="E2329" s="5">
        <v>1.3793794357960598</v>
      </c>
    </row>
    <row r="2330" ht="14.25" customHeight="1">
      <c r="A2330" s="4"/>
      <c r="B2330" s="4" t="s">
        <v>1802</v>
      </c>
      <c r="C2330" s="4" t="s">
        <v>3720</v>
      </c>
      <c r="D2330" s="4" t="s">
        <v>3721</v>
      </c>
      <c r="E2330" s="5">
        <v>41.9672452930744</v>
      </c>
    </row>
    <row r="2331" ht="14.25" customHeight="1">
      <c r="A2331" s="4"/>
      <c r="B2331" s="4" t="s">
        <v>1802</v>
      </c>
      <c r="C2331" s="4" t="s">
        <v>3722</v>
      </c>
      <c r="D2331" s="4" t="s">
        <v>1812</v>
      </c>
      <c r="E2331" s="5">
        <v>48.3641275995966</v>
      </c>
    </row>
    <row r="2332" ht="14.25" customHeight="1">
      <c r="A2332" s="4"/>
      <c r="B2332" s="4" t="s">
        <v>1802</v>
      </c>
      <c r="C2332" s="4" t="s">
        <v>3723</v>
      </c>
      <c r="D2332" s="4" t="s">
        <v>1821</v>
      </c>
      <c r="E2332" s="5">
        <v>19.3456510398386</v>
      </c>
    </row>
    <row r="2333" ht="14.25" customHeight="1">
      <c r="A2333" s="4"/>
      <c r="B2333" s="4" t="s">
        <v>1802</v>
      </c>
      <c r="C2333" s="4" t="s">
        <v>3724</v>
      </c>
      <c r="D2333" s="4" t="s">
        <v>3725</v>
      </c>
      <c r="E2333" s="5">
        <v>15.8637729839959</v>
      </c>
    </row>
    <row r="2334" ht="14.25" customHeight="1">
      <c r="A2334" s="4"/>
      <c r="B2334" s="4" t="s">
        <v>1802</v>
      </c>
      <c r="C2334" s="4" t="s">
        <v>3726</v>
      </c>
      <c r="D2334" s="4" t="s">
        <v>3727</v>
      </c>
      <c r="E2334" s="5">
        <v>18.7471109894547</v>
      </c>
    </row>
    <row r="2335" ht="14.25" customHeight="1">
      <c r="A2335" s="4"/>
      <c r="B2335" s="4" t="s">
        <v>1802</v>
      </c>
      <c r="C2335" s="4" t="s">
        <v>3728</v>
      </c>
      <c r="D2335" s="4" t="s">
        <v>3729</v>
      </c>
      <c r="E2335" s="5">
        <v>24.8302197316096</v>
      </c>
    </row>
    <row r="2336" ht="14.25" customHeight="1">
      <c r="A2336" s="4"/>
      <c r="B2336" s="4" t="s">
        <v>1802</v>
      </c>
      <c r="C2336" s="4" t="s">
        <v>3730</v>
      </c>
      <c r="D2336" s="4" t="s">
        <v>3731</v>
      </c>
      <c r="E2336" s="5">
        <v>10.0790439301673</v>
      </c>
    </row>
    <row r="2337" ht="14.25" customHeight="1">
      <c r="A2337" s="4"/>
      <c r="B2337" s="4" t="s">
        <v>1802</v>
      </c>
      <c r="C2337" s="4" t="s">
        <v>878</v>
      </c>
      <c r="D2337" s="4" t="s">
        <v>1812</v>
      </c>
      <c r="E2337" s="5">
        <v>48.3641275995966</v>
      </c>
    </row>
    <row r="2338" ht="14.25" customHeight="1">
      <c r="A2338" s="4"/>
      <c r="B2338" s="4" t="s">
        <v>1802</v>
      </c>
      <c r="C2338" s="4" t="s">
        <v>3732</v>
      </c>
      <c r="D2338" s="4" t="s">
        <v>1812</v>
      </c>
      <c r="E2338" s="5">
        <v>48.3641275995966</v>
      </c>
    </row>
    <row r="2339" ht="14.25" customHeight="1">
      <c r="A2339" s="4"/>
      <c r="B2339" s="4" t="s">
        <v>1802</v>
      </c>
      <c r="C2339" s="4" t="s">
        <v>3733</v>
      </c>
      <c r="D2339" s="4" t="s">
        <v>1812</v>
      </c>
      <c r="E2339" s="5">
        <v>48.3641275995966</v>
      </c>
    </row>
    <row r="2340" ht="14.25" customHeight="1">
      <c r="A2340" s="4"/>
      <c r="B2340" s="4" t="s">
        <v>1802</v>
      </c>
      <c r="C2340" s="4" t="s">
        <v>3734</v>
      </c>
      <c r="D2340" s="4" t="s">
        <v>3735</v>
      </c>
      <c r="E2340" s="5">
        <v>10.001204943721598</v>
      </c>
    </row>
    <row r="2341" ht="14.25" customHeight="1">
      <c r="A2341" s="4"/>
      <c r="B2341" s="4" t="s">
        <v>1802</v>
      </c>
      <c r="C2341" s="4" t="s">
        <v>1637</v>
      </c>
      <c r="D2341" s="4" t="s">
        <v>3736</v>
      </c>
      <c r="E2341" s="5">
        <v>35.205457656243105</v>
      </c>
    </row>
    <row r="2342" ht="14.25" customHeight="1">
      <c r="A2342" s="4"/>
      <c r="B2342" s="4" t="s">
        <v>1802</v>
      </c>
      <c r="C2342" s="4" t="s">
        <v>3737</v>
      </c>
      <c r="D2342" s="4" t="s">
        <v>1812</v>
      </c>
      <c r="E2342" s="5">
        <v>48.3641275995966</v>
      </c>
    </row>
    <row r="2343" ht="14.25" customHeight="1">
      <c r="A2343" s="4"/>
      <c r="B2343" s="4" t="s">
        <v>1802</v>
      </c>
      <c r="C2343" s="4" t="s">
        <v>3738</v>
      </c>
      <c r="D2343" s="4" t="s">
        <v>1812</v>
      </c>
      <c r="E2343" s="5">
        <v>48.3641275995966</v>
      </c>
    </row>
    <row r="2344" ht="14.25" customHeight="1">
      <c r="A2344" s="4"/>
      <c r="B2344" s="4" t="s">
        <v>1802</v>
      </c>
      <c r="C2344" s="4" t="s">
        <v>3739</v>
      </c>
      <c r="D2344" s="4" t="s">
        <v>1812</v>
      </c>
      <c r="E2344" s="5">
        <v>48.3641275995966</v>
      </c>
    </row>
    <row r="2345" ht="14.25" customHeight="1">
      <c r="A2345" s="4"/>
      <c r="B2345" s="4" t="s">
        <v>1802</v>
      </c>
      <c r="C2345" s="4" t="s">
        <v>3740</v>
      </c>
      <c r="D2345" s="4" t="s">
        <v>3741</v>
      </c>
      <c r="E2345" s="5">
        <v>9.786723521155809</v>
      </c>
    </row>
    <row r="2346" ht="14.25" customHeight="1">
      <c r="A2346" s="4"/>
      <c r="B2346" s="4" t="s">
        <v>1802</v>
      </c>
      <c r="C2346" s="4" t="s">
        <v>3742</v>
      </c>
      <c r="D2346" s="4" t="s">
        <v>1951</v>
      </c>
      <c r="E2346" s="5">
        <v>38.6913020796773</v>
      </c>
    </row>
    <row r="2347" ht="14.25" customHeight="1">
      <c r="A2347" s="4"/>
      <c r="B2347" s="4" t="s">
        <v>1802</v>
      </c>
      <c r="C2347" s="4" t="s">
        <v>3743</v>
      </c>
      <c r="D2347" s="4" t="s">
        <v>1837</v>
      </c>
      <c r="E2347" s="5">
        <v>9.672825519919328</v>
      </c>
    </row>
    <row r="2348" ht="14.25" customHeight="1">
      <c r="A2348" s="4"/>
      <c r="B2348" s="4" t="s">
        <v>1802</v>
      </c>
      <c r="C2348" s="4" t="s">
        <v>3744</v>
      </c>
      <c r="D2348" s="4" t="s">
        <v>3745</v>
      </c>
      <c r="E2348" s="5">
        <v>10.744566110008101</v>
      </c>
    </row>
    <row r="2349" ht="14.25" customHeight="1">
      <c r="A2349" s="4"/>
      <c r="B2349" s="4" t="s">
        <v>1802</v>
      </c>
      <c r="C2349" s="4" t="s">
        <v>3746</v>
      </c>
      <c r="D2349" s="4" t="s">
        <v>1837</v>
      </c>
      <c r="E2349" s="5">
        <v>9.672825519919328</v>
      </c>
    </row>
    <row r="2350" ht="14.25" customHeight="1">
      <c r="A2350" s="4"/>
      <c r="B2350" s="4" t="s">
        <v>1802</v>
      </c>
      <c r="C2350" s="4" t="s">
        <v>3747</v>
      </c>
      <c r="D2350" s="4" t="s">
        <v>3748</v>
      </c>
      <c r="E2350" s="5">
        <v>7.99635993878278</v>
      </c>
    </row>
    <row r="2351" ht="14.25" customHeight="1">
      <c r="A2351" s="4"/>
      <c r="B2351" s="4" t="s">
        <v>1802</v>
      </c>
      <c r="C2351" s="4" t="s">
        <v>3749</v>
      </c>
      <c r="D2351" s="4" t="s">
        <v>1821</v>
      </c>
      <c r="E2351" s="5">
        <v>19.3456510398386</v>
      </c>
    </row>
    <row r="2352" ht="14.25" customHeight="1">
      <c r="A2352" s="4"/>
      <c r="B2352" s="4" t="s">
        <v>1802</v>
      </c>
      <c r="C2352" s="4" t="s">
        <v>3750</v>
      </c>
      <c r="D2352" s="4" t="s">
        <v>3751</v>
      </c>
      <c r="E2352" s="5">
        <v>47.0733845501151</v>
      </c>
    </row>
    <row r="2353" ht="14.25" customHeight="1">
      <c r="A2353" s="4"/>
      <c r="B2353" s="4" t="s">
        <v>1802</v>
      </c>
      <c r="C2353" s="4" t="s">
        <v>3752</v>
      </c>
      <c r="D2353" s="4" t="s">
        <v>3753</v>
      </c>
      <c r="E2353" s="5">
        <v>17.419395608378498</v>
      </c>
    </row>
    <row r="2354" ht="14.25" customHeight="1">
      <c r="A2354" s="4"/>
      <c r="B2354" s="4" t="s">
        <v>1802</v>
      </c>
      <c r="C2354" s="4" t="s">
        <v>3754</v>
      </c>
      <c r="D2354" s="4" t="s">
        <v>3755</v>
      </c>
      <c r="E2354" s="5">
        <v>33.991516796813</v>
      </c>
    </row>
    <row r="2355" ht="14.25" customHeight="1">
      <c r="A2355" s="4"/>
      <c r="B2355" s="4" t="s">
        <v>1802</v>
      </c>
      <c r="C2355" s="4" t="s">
        <v>3756</v>
      </c>
      <c r="D2355" s="4" t="s">
        <v>1812</v>
      </c>
      <c r="E2355" s="5">
        <v>48.3641275995966</v>
      </c>
    </row>
    <row r="2356" ht="14.25" customHeight="1">
      <c r="A2356" s="4"/>
      <c r="B2356" s="4" t="s">
        <v>1802</v>
      </c>
      <c r="C2356" s="4" t="s">
        <v>636</v>
      </c>
      <c r="D2356" s="4" t="s">
        <v>1812</v>
      </c>
      <c r="E2356" s="5">
        <v>48.3641275995966</v>
      </c>
    </row>
    <row r="2357" ht="14.25" customHeight="1">
      <c r="A2357" s="4"/>
      <c r="B2357" s="4" t="s">
        <v>1802</v>
      </c>
      <c r="C2357" s="4" t="s">
        <v>3757</v>
      </c>
      <c r="D2357" s="4" t="s">
        <v>3758</v>
      </c>
      <c r="E2357" s="5">
        <v>44.4605576813055</v>
      </c>
    </row>
    <row r="2358" ht="14.25" customHeight="1">
      <c r="A2358" s="4"/>
      <c r="B2358" s="4" t="s">
        <v>1802</v>
      </c>
      <c r="C2358" s="4" t="s">
        <v>3759</v>
      </c>
      <c r="D2358" s="4" t="s">
        <v>3760</v>
      </c>
      <c r="E2358" s="5">
        <v>4.8436902698776905</v>
      </c>
    </row>
    <row r="2359" ht="14.25" customHeight="1">
      <c r="A2359" s="4"/>
      <c r="B2359" s="4" t="s">
        <v>1802</v>
      </c>
      <c r="C2359" s="4" t="s">
        <v>3761</v>
      </c>
      <c r="D2359" s="4" t="s">
        <v>3762</v>
      </c>
      <c r="E2359" s="5">
        <v>2.39591033132423</v>
      </c>
    </row>
    <row r="2360" ht="14.25" customHeight="1">
      <c r="A2360" s="4"/>
      <c r="B2360" s="4" t="s">
        <v>1802</v>
      </c>
      <c r="C2360" s="4" t="s">
        <v>3763</v>
      </c>
      <c r="D2360" s="4" t="s">
        <v>3764</v>
      </c>
      <c r="E2360" s="5">
        <v>25.9249051450619</v>
      </c>
    </row>
    <row r="2361" ht="14.25" customHeight="1">
      <c r="A2361" s="4"/>
      <c r="B2361" s="4" t="s">
        <v>1802</v>
      </c>
      <c r="C2361" s="4" t="s">
        <v>1029</v>
      </c>
      <c r="D2361" s="4" t="s">
        <v>3765</v>
      </c>
      <c r="E2361" s="5">
        <v>44.6533647289794</v>
      </c>
    </row>
    <row r="2362" ht="14.25" customHeight="1">
      <c r="A2362" s="4"/>
      <c r="B2362" s="4" t="s">
        <v>1802</v>
      </c>
      <c r="C2362" s="4" t="s">
        <v>3766</v>
      </c>
      <c r="D2362" s="4" t="s">
        <v>3767</v>
      </c>
      <c r="E2362" s="5">
        <v>9.36418174228821</v>
      </c>
    </row>
    <row r="2363" ht="14.25" customHeight="1">
      <c r="A2363" s="4"/>
      <c r="B2363" s="4" t="s">
        <v>1802</v>
      </c>
      <c r="C2363" s="4" t="s">
        <v>3768</v>
      </c>
      <c r="D2363" s="4" t="s">
        <v>3769</v>
      </c>
      <c r="E2363" s="5">
        <v>9.69736339357185</v>
      </c>
    </row>
    <row r="2364" ht="14.25" customHeight="1">
      <c r="A2364" s="4"/>
      <c r="B2364" s="4" t="s">
        <v>1802</v>
      </c>
      <c r="C2364" s="4" t="s">
        <v>3770</v>
      </c>
      <c r="D2364" s="4" t="s">
        <v>1812</v>
      </c>
      <c r="E2364" s="5">
        <v>48.3641275995966</v>
      </c>
    </row>
    <row r="2365" ht="14.25" customHeight="1">
      <c r="A2365" s="4"/>
      <c r="B2365" s="4" t="s">
        <v>1802</v>
      </c>
      <c r="C2365" s="4" t="s">
        <v>3771</v>
      </c>
      <c r="D2365" s="4" t="s">
        <v>1812</v>
      </c>
      <c r="E2365" s="5">
        <v>48.3641275995966</v>
      </c>
    </row>
    <row r="2366" ht="14.25" customHeight="1">
      <c r="A2366" s="4"/>
      <c r="B2366" s="4" t="s">
        <v>1802</v>
      </c>
      <c r="C2366" s="4" t="s">
        <v>3772</v>
      </c>
      <c r="D2366" s="4" t="s">
        <v>1812</v>
      </c>
      <c r="E2366" s="5">
        <v>48.3641275995966</v>
      </c>
    </row>
    <row r="2367" ht="14.25" customHeight="1">
      <c r="A2367" s="4"/>
      <c r="B2367" s="4" t="s">
        <v>1802</v>
      </c>
      <c r="C2367" s="4" t="s">
        <v>3773</v>
      </c>
      <c r="D2367" s="4" t="s">
        <v>1812</v>
      </c>
      <c r="E2367" s="5">
        <v>48.3641275995966</v>
      </c>
    </row>
    <row r="2368" ht="14.25" customHeight="1">
      <c r="A2368" s="4"/>
      <c r="B2368" s="4" t="s">
        <v>1802</v>
      </c>
      <c r="C2368" s="4" t="s">
        <v>3774</v>
      </c>
      <c r="D2368" s="4" t="s">
        <v>1812</v>
      </c>
      <c r="E2368" s="5">
        <v>48.3641275995966</v>
      </c>
    </row>
    <row r="2369" ht="14.25" customHeight="1">
      <c r="A2369" s="4"/>
      <c r="B2369" s="4" t="s">
        <v>1802</v>
      </c>
      <c r="C2369" s="4" t="s">
        <v>1422</v>
      </c>
      <c r="D2369" s="4" t="s">
        <v>3775</v>
      </c>
      <c r="E2369" s="5">
        <v>0.10509575998588301</v>
      </c>
    </row>
    <row r="2370" ht="14.25" customHeight="1">
      <c r="A2370" s="4"/>
      <c r="B2370" s="4" t="s">
        <v>1802</v>
      </c>
      <c r="C2370" s="4" t="s">
        <v>3776</v>
      </c>
      <c r="D2370" s="4" t="s">
        <v>1812</v>
      </c>
      <c r="E2370" s="5">
        <v>48.3641275995966</v>
      </c>
    </row>
    <row r="2371" ht="14.25" customHeight="1">
      <c r="A2371" s="4"/>
      <c r="B2371" s="4" t="s">
        <v>1802</v>
      </c>
      <c r="C2371" s="4" t="s">
        <v>3777</v>
      </c>
      <c r="D2371" s="4" t="s">
        <v>1812</v>
      </c>
      <c r="E2371" s="5">
        <v>48.3641275995966</v>
      </c>
    </row>
    <row r="2372" ht="14.25" customHeight="1">
      <c r="A2372" s="4"/>
      <c r="B2372" s="4" t="s">
        <v>1802</v>
      </c>
      <c r="C2372" s="4" t="s">
        <v>3778</v>
      </c>
      <c r="D2372" s="4" t="s">
        <v>3779</v>
      </c>
      <c r="E2372" s="5">
        <v>9.87019200383798</v>
      </c>
    </row>
    <row r="2373" ht="14.25" customHeight="1">
      <c r="A2373" s="4"/>
      <c r="B2373" s="4" t="s">
        <v>1802</v>
      </c>
      <c r="C2373" s="4" t="s">
        <v>3780</v>
      </c>
      <c r="D2373" s="4" t="s">
        <v>1812</v>
      </c>
      <c r="E2373" s="5">
        <v>48.3641275995966</v>
      </c>
    </row>
    <row r="2374" ht="14.25" customHeight="1">
      <c r="A2374" s="4"/>
      <c r="B2374" s="4" t="s">
        <v>1802</v>
      </c>
      <c r="C2374" s="4" t="s">
        <v>3781</v>
      </c>
      <c r="D2374" s="4" t="s">
        <v>3782</v>
      </c>
      <c r="E2374" s="5">
        <v>10.3918100144571</v>
      </c>
    </row>
    <row r="2375" ht="14.25" customHeight="1">
      <c r="A2375" s="4"/>
      <c r="B2375" s="4" t="s">
        <v>1802</v>
      </c>
      <c r="C2375" s="4" t="s">
        <v>3783</v>
      </c>
      <c r="D2375" s="4" t="s">
        <v>3784</v>
      </c>
      <c r="E2375" s="5">
        <v>17.8096701790991</v>
      </c>
    </row>
    <row r="2376" ht="14.25" customHeight="1">
      <c r="A2376" s="4"/>
      <c r="B2376" s="4" t="s">
        <v>1802</v>
      </c>
      <c r="C2376" s="4" t="s">
        <v>3785</v>
      </c>
      <c r="D2376" s="4" t="s">
        <v>1812</v>
      </c>
      <c r="E2376" s="5">
        <v>48.3641275995966</v>
      </c>
    </row>
    <row r="2377" ht="14.25" customHeight="1">
      <c r="A2377" s="4"/>
      <c r="B2377" s="4" t="s">
        <v>1802</v>
      </c>
      <c r="C2377" s="4" t="s">
        <v>3786</v>
      </c>
      <c r="D2377" s="4" t="s">
        <v>1812</v>
      </c>
      <c r="E2377" s="5">
        <v>48.3641275995966</v>
      </c>
    </row>
    <row r="2378" ht="14.25" customHeight="1">
      <c r="A2378" s="4"/>
      <c r="B2378" s="4" t="s">
        <v>1802</v>
      </c>
      <c r="C2378" s="4" t="s">
        <v>3787</v>
      </c>
      <c r="D2378" s="4" t="s">
        <v>1812</v>
      </c>
      <c r="E2378" s="5">
        <v>48.3641275995966</v>
      </c>
    </row>
    <row r="2379" ht="14.25" customHeight="1">
      <c r="A2379" s="4"/>
      <c r="B2379" s="4" t="s">
        <v>1802</v>
      </c>
      <c r="C2379" s="4" t="s">
        <v>3788</v>
      </c>
      <c r="D2379" s="4" t="s">
        <v>1812</v>
      </c>
      <c r="E2379" s="5">
        <v>48.3641275995966</v>
      </c>
    </row>
    <row r="2380" ht="14.25" customHeight="1">
      <c r="A2380" s="4"/>
      <c r="B2380" s="4" t="s">
        <v>1802</v>
      </c>
      <c r="C2380" s="4" t="s">
        <v>3789</v>
      </c>
      <c r="D2380" s="4" t="s">
        <v>1812</v>
      </c>
      <c r="E2380" s="5">
        <v>48.3641275995966</v>
      </c>
    </row>
    <row r="2381" ht="14.25" customHeight="1">
      <c r="A2381" s="4"/>
      <c r="B2381" s="4" t="s">
        <v>1802</v>
      </c>
      <c r="C2381" s="4" t="s">
        <v>3790</v>
      </c>
      <c r="D2381" s="4" t="s">
        <v>1812</v>
      </c>
      <c r="E2381" s="5">
        <v>48.3641275995966</v>
      </c>
    </row>
    <row r="2382" ht="14.25" customHeight="1">
      <c r="A2382" s="4"/>
      <c r="B2382" s="4" t="s">
        <v>1802</v>
      </c>
      <c r="C2382" s="4" t="s">
        <v>3791</v>
      </c>
      <c r="D2382" s="4" t="s">
        <v>1812</v>
      </c>
      <c r="E2382" s="5">
        <v>48.3641275995966</v>
      </c>
    </row>
    <row r="2383" ht="14.25" customHeight="1">
      <c r="A2383" s="4"/>
      <c r="B2383" s="4" t="s">
        <v>1802</v>
      </c>
      <c r="C2383" s="4" t="s">
        <v>3792</v>
      </c>
      <c r="D2383" s="4" t="s">
        <v>1837</v>
      </c>
      <c r="E2383" s="5">
        <v>9.672825519919328</v>
      </c>
    </row>
    <row r="2384" ht="14.25" customHeight="1">
      <c r="A2384" s="4"/>
      <c r="B2384" s="4" t="s">
        <v>1802</v>
      </c>
      <c r="C2384" s="4" t="s">
        <v>3793</v>
      </c>
      <c r="D2384" s="4" t="s">
        <v>3794</v>
      </c>
      <c r="E2384" s="5">
        <v>8.8737585577258</v>
      </c>
    </row>
    <row r="2385" ht="14.25" customHeight="1">
      <c r="A2385" s="4"/>
      <c r="B2385" s="4" t="s">
        <v>1802</v>
      </c>
      <c r="C2385" s="4" t="s">
        <v>3795</v>
      </c>
      <c r="D2385" s="4" t="s">
        <v>1812</v>
      </c>
      <c r="E2385" s="5">
        <v>48.3641275995966</v>
      </c>
    </row>
    <row r="2386" ht="14.25" customHeight="1">
      <c r="A2386" s="4"/>
      <c r="B2386" s="4" t="s">
        <v>1802</v>
      </c>
      <c r="C2386" s="4" t="s">
        <v>3796</v>
      </c>
      <c r="D2386" s="4" t="s">
        <v>1812</v>
      </c>
      <c r="E2386" s="5">
        <v>48.3641275995966</v>
      </c>
    </row>
    <row r="2387" ht="14.25" customHeight="1">
      <c r="A2387" s="4"/>
      <c r="B2387" s="4" t="s">
        <v>1802</v>
      </c>
      <c r="C2387" s="4" t="s">
        <v>3797</v>
      </c>
      <c r="D2387" s="4" t="s">
        <v>3798</v>
      </c>
      <c r="E2387" s="5">
        <v>48.3300541788995</v>
      </c>
    </row>
    <row r="2388" ht="14.25" customHeight="1">
      <c r="A2388" s="4"/>
      <c r="B2388" s="4" t="s">
        <v>1802</v>
      </c>
      <c r="C2388" s="4" t="s">
        <v>3799</v>
      </c>
      <c r="D2388" s="4" t="s">
        <v>3800</v>
      </c>
      <c r="E2388" s="5">
        <v>9.70038089475722</v>
      </c>
    </row>
    <row r="2389" ht="14.25" customHeight="1">
      <c r="A2389" s="4"/>
      <c r="B2389" s="4" t="s">
        <v>1802</v>
      </c>
      <c r="C2389" s="4" t="s">
        <v>3801</v>
      </c>
      <c r="D2389" s="4" t="s">
        <v>1812</v>
      </c>
      <c r="E2389" s="5">
        <v>48.3641275995966</v>
      </c>
    </row>
    <row r="2390" ht="14.25" customHeight="1">
      <c r="A2390" s="4"/>
      <c r="B2390" s="4" t="s">
        <v>1802</v>
      </c>
      <c r="C2390" s="4" t="s">
        <v>3802</v>
      </c>
      <c r="D2390" s="4" t="s">
        <v>1812</v>
      </c>
      <c r="E2390" s="5">
        <v>48.3641275995966</v>
      </c>
    </row>
    <row r="2391" ht="14.25" customHeight="1">
      <c r="A2391" s="4"/>
      <c r="B2391" s="4" t="s">
        <v>1802</v>
      </c>
      <c r="C2391" s="4" t="s">
        <v>3803</v>
      </c>
      <c r="D2391" s="4" t="s">
        <v>1812</v>
      </c>
      <c r="E2391" s="5">
        <v>48.3641275995966</v>
      </c>
    </row>
    <row r="2392" ht="14.25" customHeight="1">
      <c r="A2392" s="4"/>
      <c r="B2392" s="4" t="s">
        <v>1802</v>
      </c>
      <c r="C2392" s="4" t="s">
        <v>3804</v>
      </c>
      <c r="D2392" s="4" t="s">
        <v>3805</v>
      </c>
      <c r="E2392" s="5">
        <v>9.692171170959169</v>
      </c>
    </row>
    <row r="2393" ht="14.25" customHeight="1">
      <c r="A2393" s="4"/>
      <c r="B2393" s="4" t="s">
        <v>1802</v>
      </c>
      <c r="C2393" s="4" t="s">
        <v>3806</v>
      </c>
      <c r="D2393" s="4" t="s">
        <v>3807</v>
      </c>
      <c r="E2393" s="5">
        <v>39.085477723296705</v>
      </c>
    </row>
    <row r="2394" ht="14.25" customHeight="1">
      <c r="A2394" s="4"/>
      <c r="B2394" s="4" t="s">
        <v>1802</v>
      </c>
      <c r="C2394" s="4" t="s">
        <v>3808</v>
      </c>
      <c r="D2394" s="4" t="s">
        <v>1812</v>
      </c>
      <c r="E2394" s="5">
        <v>48.3641275995966</v>
      </c>
    </row>
    <row r="2395" ht="14.25" customHeight="1">
      <c r="A2395" s="4"/>
      <c r="B2395" s="4" t="s">
        <v>1802</v>
      </c>
      <c r="C2395" s="4" t="s">
        <v>3809</v>
      </c>
      <c r="D2395" s="4" t="s">
        <v>3810</v>
      </c>
      <c r="E2395" s="5">
        <v>3.26602452207648</v>
      </c>
    </row>
    <row r="2396" ht="14.25" customHeight="1">
      <c r="A2396" s="4"/>
      <c r="B2396" s="4" t="s">
        <v>1802</v>
      </c>
      <c r="C2396" s="4" t="s">
        <v>1611</v>
      </c>
      <c r="D2396" s="4" t="s">
        <v>3811</v>
      </c>
      <c r="E2396" s="5">
        <v>47.661837689860995</v>
      </c>
    </row>
    <row r="2397" ht="14.25" customHeight="1">
      <c r="A2397" s="4"/>
      <c r="B2397" s="4" t="s">
        <v>1802</v>
      </c>
      <c r="C2397" s="4" t="s">
        <v>1520</v>
      </c>
      <c r="D2397" s="4" t="s">
        <v>3812</v>
      </c>
      <c r="E2397" s="5">
        <v>26.3404426555274</v>
      </c>
    </row>
    <row r="2398" ht="14.25" customHeight="1">
      <c r="A2398" s="4"/>
      <c r="B2398" s="4" t="s">
        <v>1802</v>
      </c>
      <c r="C2398" s="4" t="s">
        <v>3813</v>
      </c>
      <c r="D2398" s="4" t="s">
        <v>1812</v>
      </c>
      <c r="E2398" s="5">
        <v>48.3641275995966</v>
      </c>
    </row>
    <row r="2399" ht="14.25" customHeight="1">
      <c r="A2399" s="4"/>
      <c r="B2399" s="4" t="s">
        <v>1802</v>
      </c>
      <c r="C2399" s="4" t="s">
        <v>3814</v>
      </c>
      <c r="D2399" s="4" t="s">
        <v>3815</v>
      </c>
      <c r="E2399" s="5">
        <v>13.443448576969</v>
      </c>
    </row>
    <row r="2400" ht="14.25" customHeight="1">
      <c r="A2400" s="4"/>
      <c r="B2400" s="4" t="s">
        <v>1802</v>
      </c>
      <c r="C2400" s="4" t="s">
        <v>3816</v>
      </c>
      <c r="D2400" s="4" t="s">
        <v>3817</v>
      </c>
      <c r="E2400" s="5">
        <v>36.736253220038</v>
      </c>
    </row>
    <row r="2401" ht="14.25" customHeight="1">
      <c r="A2401" s="4"/>
      <c r="B2401" s="4" t="s">
        <v>1802</v>
      </c>
      <c r="C2401" s="4" t="s">
        <v>3818</v>
      </c>
      <c r="D2401" s="4" t="s">
        <v>1812</v>
      </c>
      <c r="E2401" s="5">
        <v>48.3641275995966</v>
      </c>
    </row>
    <row r="2402" ht="14.25" customHeight="1">
      <c r="A2402" s="4"/>
      <c r="B2402" s="4" t="s">
        <v>1802</v>
      </c>
      <c r="C2402" s="4" t="s">
        <v>3819</v>
      </c>
      <c r="D2402" s="4" t="s">
        <v>3820</v>
      </c>
      <c r="E2402" s="5">
        <v>0.17152731332857798</v>
      </c>
    </row>
    <row r="2403" ht="14.25" customHeight="1">
      <c r="A2403" s="4"/>
      <c r="B2403" s="4" t="s">
        <v>1802</v>
      </c>
      <c r="C2403" s="4" t="s">
        <v>3821</v>
      </c>
      <c r="D2403" s="4" t="s">
        <v>1837</v>
      </c>
      <c r="E2403" s="5">
        <v>9.672825519919328</v>
      </c>
    </row>
    <row r="2404" ht="14.25" customHeight="1">
      <c r="A2404" s="4"/>
      <c r="B2404" s="4" t="s">
        <v>1802</v>
      </c>
      <c r="C2404" s="4" t="s">
        <v>3822</v>
      </c>
      <c r="D2404" s="4" t="s">
        <v>1812</v>
      </c>
      <c r="E2404" s="5">
        <v>48.3641275995966</v>
      </c>
    </row>
    <row r="2405" ht="14.25" customHeight="1">
      <c r="A2405" s="4"/>
      <c r="B2405" s="4" t="s">
        <v>1802</v>
      </c>
      <c r="C2405" s="4" t="s">
        <v>655</v>
      </c>
      <c r="D2405" s="4" t="s">
        <v>1812</v>
      </c>
      <c r="E2405" s="5">
        <v>48.3641275995966</v>
      </c>
    </row>
    <row r="2406" ht="14.25" customHeight="1">
      <c r="A2406" s="4"/>
      <c r="B2406" s="4" t="s">
        <v>1802</v>
      </c>
      <c r="C2406" s="4" t="s">
        <v>3823</v>
      </c>
      <c r="D2406" s="4" t="s">
        <v>1812</v>
      </c>
      <c r="E2406" s="5">
        <v>48.3641275995966</v>
      </c>
    </row>
    <row r="2407" ht="14.25" customHeight="1">
      <c r="A2407" s="4"/>
      <c r="B2407" s="4" t="s">
        <v>1802</v>
      </c>
      <c r="C2407" s="4" t="s">
        <v>3824</v>
      </c>
      <c r="D2407" s="4" t="s">
        <v>3825</v>
      </c>
      <c r="E2407" s="5">
        <v>9.46320086614162</v>
      </c>
    </row>
    <row r="2408" ht="14.25" customHeight="1">
      <c r="A2408" s="4"/>
      <c r="B2408" s="4" t="s">
        <v>1802</v>
      </c>
      <c r="C2408" s="4" t="s">
        <v>3826</v>
      </c>
      <c r="D2408" s="4" t="s">
        <v>1812</v>
      </c>
      <c r="E2408" s="5">
        <v>48.3641275995966</v>
      </c>
    </row>
    <row r="2409" ht="14.25" customHeight="1">
      <c r="A2409" s="4"/>
      <c r="B2409" s="4" t="s">
        <v>1802</v>
      </c>
      <c r="C2409" s="4" t="s">
        <v>3827</v>
      </c>
      <c r="D2409" s="4" t="s">
        <v>3828</v>
      </c>
      <c r="E2409" s="5">
        <v>8.88215620374109</v>
      </c>
    </row>
    <row r="2410" ht="14.25" customHeight="1">
      <c r="A2410" s="4"/>
      <c r="B2410" s="4" t="s">
        <v>1802</v>
      </c>
      <c r="C2410" s="4" t="s">
        <v>3829</v>
      </c>
      <c r="D2410" s="4" t="s">
        <v>3830</v>
      </c>
      <c r="E2410" s="5">
        <v>19.345718825645697</v>
      </c>
    </row>
    <row r="2411" ht="14.25" customHeight="1">
      <c r="A2411" s="4"/>
      <c r="B2411" s="4" t="s">
        <v>1802</v>
      </c>
      <c r="C2411" s="4" t="s">
        <v>3831</v>
      </c>
      <c r="D2411" s="4" t="s">
        <v>1837</v>
      </c>
      <c r="E2411" s="5">
        <v>9.672825519919328</v>
      </c>
    </row>
    <row r="2412" ht="14.25" customHeight="1">
      <c r="A2412" s="4"/>
      <c r="B2412" s="4" t="s">
        <v>1802</v>
      </c>
      <c r="C2412" s="4" t="s">
        <v>3832</v>
      </c>
      <c r="D2412" s="4" t="s">
        <v>3833</v>
      </c>
      <c r="E2412" s="5">
        <v>30.115540666085803</v>
      </c>
    </row>
    <row r="2413" ht="14.25" customHeight="1">
      <c r="A2413" s="4"/>
      <c r="B2413" s="4" t="s">
        <v>1802</v>
      </c>
      <c r="C2413" s="4" t="s">
        <v>3834</v>
      </c>
      <c r="D2413" s="4" t="s">
        <v>1812</v>
      </c>
      <c r="E2413" s="5">
        <v>48.3641275995966</v>
      </c>
    </row>
    <row r="2414" ht="14.25" customHeight="1">
      <c r="A2414" s="4"/>
      <c r="B2414" s="4" t="s">
        <v>1802</v>
      </c>
      <c r="C2414" s="4" t="s">
        <v>3835</v>
      </c>
      <c r="D2414" s="4" t="s">
        <v>1812</v>
      </c>
      <c r="E2414" s="5">
        <v>48.3641275995966</v>
      </c>
    </row>
    <row r="2415" ht="14.25" customHeight="1">
      <c r="A2415" s="4"/>
      <c r="B2415" s="4" t="s">
        <v>1802</v>
      </c>
      <c r="C2415" s="4" t="s">
        <v>3836</v>
      </c>
      <c r="D2415" s="4" t="s">
        <v>1812</v>
      </c>
      <c r="E2415" s="5">
        <v>48.3641275995966</v>
      </c>
    </row>
    <row r="2416" ht="14.25" customHeight="1">
      <c r="A2416" s="4"/>
      <c r="B2416" s="4" t="s">
        <v>1802</v>
      </c>
      <c r="C2416" s="4" t="s">
        <v>3837</v>
      </c>
      <c r="D2416" s="4" t="s">
        <v>1812</v>
      </c>
      <c r="E2416" s="5">
        <v>48.3641275995966</v>
      </c>
    </row>
    <row r="2417" ht="14.25" customHeight="1">
      <c r="A2417" s="4"/>
      <c r="B2417" s="4" t="s">
        <v>1802</v>
      </c>
      <c r="C2417" s="4" t="s">
        <v>3838</v>
      </c>
      <c r="D2417" s="4" t="s">
        <v>3839</v>
      </c>
      <c r="E2417" s="5">
        <v>42.261696947804104</v>
      </c>
    </row>
    <row r="2418" ht="14.25" customHeight="1">
      <c r="A2418" s="4"/>
      <c r="B2418" s="4" t="s">
        <v>1802</v>
      </c>
      <c r="C2418" s="4" t="s">
        <v>3840</v>
      </c>
      <c r="D2418" s="4" t="s">
        <v>2105</v>
      </c>
      <c r="E2418" s="5">
        <v>29.018476559758</v>
      </c>
    </row>
    <row r="2419" ht="14.25" customHeight="1">
      <c r="A2419" s="4"/>
      <c r="B2419" s="4" t="s">
        <v>1802</v>
      </c>
      <c r="C2419" s="4" t="s">
        <v>3841</v>
      </c>
      <c r="D2419" s="4" t="s">
        <v>3842</v>
      </c>
      <c r="E2419" s="5">
        <v>0.967282551991933</v>
      </c>
    </row>
    <row r="2420" ht="14.25" customHeight="1">
      <c r="A2420" s="4"/>
      <c r="B2420" s="4" t="s">
        <v>1802</v>
      </c>
      <c r="C2420" s="4" t="s">
        <v>3843</v>
      </c>
      <c r="D2420" s="4" t="s">
        <v>1812</v>
      </c>
      <c r="E2420" s="5">
        <v>48.3641275995966</v>
      </c>
    </row>
    <row r="2421" ht="14.25" customHeight="1">
      <c r="A2421" s="4"/>
      <c r="B2421" s="4" t="s">
        <v>1802</v>
      </c>
      <c r="C2421" s="4" t="s">
        <v>3844</v>
      </c>
      <c r="D2421" s="4" t="s">
        <v>3845</v>
      </c>
      <c r="E2421" s="5">
        <v>48.2838008142607</v>
      </c>
    </row>
    <row r="2422" ht="14.25" customHeight="1">
      <c r="A2422" s="4"/>
      <c r="B2422" s="4" t="s">
        <v>1802</v>
      </c>
      <c r="C2422" s="4" t="s">
        <v>812</v>
      </c>
      <c r="D2422" s="4" t="s">
        <v>1812</v>
      </c>
      <c r="E2422" s="5">
        <v>48.3641275995966</v>
      </c>
    </row>
    <row r="2423" ht="14.25" customHeight="1">
      <c r="A2423" s="4"/>
      <c r="B2423" s="4" t="s">
        <v>1802</v>
      </c>
      <c r="C2423" s="4" t="s">
        <v>3846</v>
      </c>
      <c r="D2423" s="4" t="s">
        <v>1812</v>
      </c>
      <c r="E2423" s="5">
        <v>48.3641275995966</v>
      </c>
    </row>
    <row r="2424" ht="14.25" customHeight="1">
      <c r="A2424" s="4"/>
      <c r="B2424" s="4" t="s">
        <v>1802</v>
      </c>
      <c r="C2424" s="4" t="s">
        <v>3847</v>
      </c>
      <c r="D2424" s="4" t="s">
        <v>1812</v>
      </c>
      <c r="E2424" s="5">
        <v>48.3641275995966</v>
      </c>
    </row>
    <row r="2425" ht="14.25" customHeight="1">
      <c r="A2425" s="4"/>
      <c r="B2425" s="4" t="s">
        <v>1802</v>
      </c>
      <c r="C2425" s="4" t="s">
        <v>3848</v>
      </c>
      <c r="D2425" s="4" t="s">
        <v>1812</v>
      </c>
      <c r="E2425" s="5">
        <v>48.3641275995966</v>
      </c>
    </row>
    <row r="2426" ht="14.25" customHeight="1">
      <c r="A2426" s="4"/>
      <c r="B2426" s="4" t="s">
        <v>1802</v>
      </c>
      <c r="C2426" s="4" t="s">
        <v>3849</v>
      </c>
      <c r="D2426" s="4" t="s">
        <v>3850</v>
      </c>
      <c r="E2426" s="5">
        <v>31.8713970120906</v>
      </c>
    </row>
    <row r="2427" ht="14.25" customHeight="1">
      <c r="A2427" s="4"/>
      <c r="B2427" s="4" t="s">
        <v>1802</v>
      </c>
      <c r="C2427" s="4" t="s">
        <v>3851</v>
      </c>
      <c r="D2427" s="4" t="s">
        <v>1812</v>
      </c>
      <c r="E2427" s="5">
        <v>48.3641275995966</v>
      </c>
    </row>
    <row r="2428" ht="14.25" customHeight="1">
      <c r="A2428" s="4"/>
      <c r="B2428" s="4" t="s">
        <v>1802</v>
      </c>
      <c r="C2428" s="4" t="s">
        <v>3852</v>
      </c>
      <c r="D2428" s="4" t="s">
        <v>3853</v>
      </c>
      <c r="E2428" s="5">
        <v>34.7060415803613</v>
      </c>
    </row>
    <row r="2429" ht="14.25" customHeight="1">
      <c r="A2429" s="4"/>
      <c r="B2429" s="4" t="s">
        <v>1802</v>
      </c>
      <c r="C2429" s="4" t="s">
        <v>3854</v>
      </c>
      <c r="D2429" s="4" t="s">
        <v>1812</v>
      </c>
      <c r="E2429" s="5">
        <v>48.3641275995966</v>
      </c>
    </row>
    <row r="2430" ht="14.25" customHeight="1">
      <c r="A2430" s="4"/>
      <c r="B2430" s="4" t="s">
        <v>1802</v>
      </c>
      <c r="C2430" s="4" t="s">
        <v>3855</v>
      </c>
      <c r="D2430" s="4" t="s">
        <v>1812</v>
      </c>
      <c r="E2430" s="5">
        <v>48.3641275995966</v>
      </c>
    </row>
    <row r="2431" ht="14.25" customHeight="1">
      <c r="A2431" s="4"/>
      <c r="B2431" s="4" t="s">
        <v>1802</v>
      </c>
      <c r="C2431" s="4" t="s">
        <v>3856</v>
      </c>
      <c r="D2431" s="4" t="s">
        <v>3857</v>
      </c>
      <c r="E2431" s="5">
        <v>46.323114682383704</v>
      </c>
    </row>
    <row r="2432" ht="14.25" customHeight="1">
      <c r="A2432" s="4"/>
      <c r="B2432" s="4" t="s">
        <v>1802</v>
      </c>
      <c r="C2432" s="4" t="s">
        <v>3858</v>
      </c>
      <c r="D2432" s="4" t="s">
        <v>1812</v>
      </c>
      <c r="E2432" s="5">
        <v>48.3641275995966</v>
      </c>
    </row>
    <row r="2433" ht="14.25" customHeight="1">
      <c r="A2433" s="4"/>
      <c r="B2433" s="4" t="s">
        <v>1802</v>
      </c>
      <c r="C2433" s="4" t="s">
        <v>3859</v>
      </c>
      <c r="D2433" s="4" t="s">
        <v>1812</v>
      </c>
      <c r="E2433" s="5">
        <v>48.3641275995966</v>
      </c>
    </row>
    <row r="2434" ht="14.25" customHeight="1">
      <c r="A2434" s="4"/>
      <c r="B2434" s="4" t="s">
        <v>1802</v>
      </c>
      <c r="C2434" s="4" t="s">
        <v>3860</v>
      </c>
      <c r="D2434" s="4" t="s">
        <v>3861</v>
      </c>
      <c r="E2434" s="5">
        <v>3.92074624993676</v>
      </c>
    </row>
    <row r="2435" ht="14.25" customHeight="1">
      <c r="A2435" s="4"/>
      <c r="B2435" s="4" t="s">
        <v>1802</v>
      </c>
      <c r="C2435" s="4" t="s">
        <v>3862</v>
      </c>
      <c r="D2435" s="4" t="s">
        <v>3863</v>
      </c>
      <c r="E2435" s="5">
        <v>16.550448084960898</v>
      </c>
    </row>
    <row r="2436" ht="14.25" customHeight="1">
      <c r="A2436" s="4"/>
      <c r="B2436" s="4" t="s">
        <v>1802</v>
      </c>
      <c r="C2436" s="4" t="s">
        <v>3864</v>
      </c>
      <c r="D2436" s="4" t="s">
        <v>3865</v>
      </c>
      <c r="E2436" s="5">
        <v>47.870588991496895</v>
      </c>
    </row>
    <row r="2437" ht="14.25" customHeight="1">
      <c r="A2437" s="4"/>
      <c r="B2437" s="4" t="s">
        <v>1802</v>
      </c>
      <c r="C2437" s="4" t="s">
        <v>3866</v>
      </c>
      <c r="D2437" s="4" t="s">
        <v>1812</v>
      </c>
      <c r="E2437" s="5">
        <v>48.3641275995966</v>
      </c>
    </row>
    <row r="2438" ht="14.25" customHeight="1">
      <c r="A2438" s="4"/>
      <c r="B2438" s="4" t="s">
        <v>1802</v>
      </c>
      <c r="C2438" s="4" t="s">
        <v>3867</v>
      </c>
      <c r="D2438" s="4" t="s">
        <v>3868</v>
      </c>
      <c r="E2438" s="5">
        <v>28.6651579334884</v>
      </c>
    </row>
    <row r="2439" ht="14.25" customHeight="1">
      <c r="A2439" s="4"/>
      <c r="B2439" s="4" t="s">
        <v>1802</v>
      </c>
      <c r="C2439" s="4" t="s">
        <v>3869</v>
      </c>
      <c r="D2439" s="4" t="s">
        <v>1821</v>
      </c>
      <c r="E2439" s="5">
        <v>19.3456510398386</v>
      </c>
    </row>
    <row r="2440" ht="14.25" customHeight="1">
      <c r="A2440" s="4"/>
      <c r="B2440" s="4" t="s">
        <v>1802</v>
      </c>
      <c r="C2440" s="4" t="s">
        <v>3870</v>
      </c>
      <c r="D2440" s="4" t="s">
        <v>1837</v>
      </c>
      <c r="E2440" s="5">
        <v>9.672825519919328</v>
      </c>
    </row>
    <row r="2441" ht="14.25" customHeight="1">
      <c r="A2441" s="4"/>
      <c r="B2441" s="4" t="s">
        <v>1802</v>
      </c>
      <c r="C2441" s="4" t="s">
        <v>3871</v>
      </c>
      <c r="D2441" s="4" t="s">
        <v>3872</v>
      </c>
      <c r="E2441" s="5">
        <v>9.906376389281009</v>
      </c>
    </row>
    <row r="2442" ht="14.25" customHeight="1">
      <c r="A2442" s="4"/>
      <c r="B2442" s="4" t="s">
        <v>1802</v>
      </c>
      <c r="C2442" s="4" t="s">
        <v>3873</v>
      </c>
      <c r="D2442" s="4" t="s">
        <v>1837</v>
      </c>
      <c r="E2442" s="5">
        <v>9.672825519919328</v>
      </c>
    </row>
    <row r="2443" ht="14.25" customHeight="1">
      <c r="A2443" s="4"/>
      <c r="B2443" s="4" t="s">
        <v>1802</v>
      </c>
      <c r="C2443" s="4" t="s">
        <v>3874</v>
      </c>
      <c r="D2443" s="4" t="s">
        <v>3875</v>
      </c>
      <c r="E2443" s="5">
        <v>44.076158892968195</v>
      </c>
    </row>
    <row r="2444" ht="14.25" customHeight="1">
      <c r="A2444" s="4"/>
      <c r="B2444" s="4" t="s">
        <v>1802</v>
      </c>
      <c r="C2444" s="4" t="s">
        <v>773</v>
      </c>
      <c r="D2444" s="4" t="s">
        <v>1812</v>
      </c>
      <c r="E2444" s="5">
        <v>48.3641275995966</v>
      </c>
    </row>
    <row r="2445" ht="14.25" customHeight="1">
      <c r="A2445" s="4"/>
      <c r="B2445" s="4" t="s">
        <v>1802</v>
      </c>
      <c r="C2445" s="4" t="s">
        <v>3876</v>
      </c>
      <c r="D2445" s="4" t="s">
        <v>3877</v>
      </c>
      <c r="E2445" s="5">
        <v>16.9860182419615</v>
      </c>
    </row>
    <row r="2446" ht="14.25" customHeight="1">
      <c r="A2446" s="4"/>
      <c r="B2446" s="4" t="s">
        <v>1802</v>
      </c>
      <c r="C2446" s="4" t="s">
        <v>3878</v>
      </c>
      <c r="D2446" s="4" t="s">
        <v>3879</v>
      </c>
      <c r="E2446" s="5">
        <v>9.57609726472013</v>
      </c>
    </row>
    <row r="2447" ht="14.25" customHeight="1">
      <c r="A2447" s="4"/>
      <c r="B2447" s="4" t="s">
        <v>1802</v>
      </c>
      <c r="C2447" s="4" t="s">
        <v>3880</v>
      </c>
      <c r="D2447" s="4" t="s">
        <v>1812</v>
      </c>
      <c r="E2447" s="5">
        <v>48.3641275995966</v>
      </c>
    </row>
    <row r="2448" ht="14.25" customHeight="1">
      <c r="A2448" s="4"/>
      <c r="B2448" s="4" t="s">
        <v>1802</v>
      </c>
      <c r="C2448" s="4" t="s">
        <v>3881</v>
      </c>
      <c r="D2448" s="4" t="s">
        <v>3882</v>
      </c>
      <c r="E2448" s="5">
        <v>19.476733964356</v>
      </c>
    </row>
    <row r="2449" ht="14.25" customHeight="1">
      <c r="A2449" s="4"/>
      <c r="B2449" s="4" t="s">
        <v>1802</v>
      </c>
      <c r="C2449" s="4" t="s">
        <v>3883</v>
      </c>
      <c r="D2449" s="4" t="s">
        <v>3884</v>
      </c>
      <c r="E2449" s="5">
        <v>48.1902736719465</v>
      </c>
    </row>
    <row r="2450" ht="14.25" customHeight="1">
      <c r="A2450" s="4"/>
      <c r="B2450" s="4" t="s">
        <v>1802</v>
      </c>
      <c r="C2450" s="4" t="s">
        <v>3885</v>
      </c>
      <c r="D2450" s="4" t="s">
        <v>3886</v>
      </c>
      <c r="E2450" s="5">
        <v>9.71127488113585</v>
      </c>
    </row>
    <row r="2451" ht="14.25" customHeight="1">
      <c r="A2451" s="4"/>
      <c r="B2451" s="4" t="s">
        <v>1802</v>
      </c>
      <c r="C2451" s="4" t="s">
        <v>3887</v>
      </c>
      <c r="D2451" s="4" t="s">
        <v>3888</v>
      </c>
      <c r="E2451" s="5">
        <v>2.20528091123073</v>
      </c>
    </row>
    <row r="2452" ht="14.25" customHeight="1">
      <c r="A2452" s="4"/>
      <c r="B2452" s="4" t="s">
        <v>1802</v>
      </c>
      <c r="C2452" s="4" t="s">
        <v>3889</v>
      </c>
      <c r="D2452" s="4" t="s">
        <v>3890</v>
      </c>
      <c r="E2452" s="5">
        <v>18.999076479108503</v>
      </c>
    </row>
    <row r="2453" ht="14.25" customHeight="1">
      <c r="A2453" s="4"/>
      <c r="B2453" s="4" t="s">
        <v>1802</v>
      </c>
      <c r="C2453" s="4" t="s">
        <v>3891</v>
      </c>
      <c r="D2453" s="4" t="s">
        <v>1812</v>
      </c>
      <c r="E2453" s="5">
        <v>48.3641275995966</v>
      </c>
    </row>
    <row r="2454" ht="14.25" customHeight="1">
      <c r="A2454" s="4"/>
      <c r="B2454" s="4" t="s">
        <v>1802</v>
      </c>
      <c r="C2454" s="4" t="s">
        <v>3892</v>
      </c>
      <c r="D2454" s="4" t="s">
        <v>3893</v>
      </c>
      <c r="E2454" s="5">
        <v>0.149805554101109</v>
      </c>
    </row>
    <row r="2455" ht="14.25" customHeight="1">
      <c r="A2455" s="4"/>
      <c r="B2455" s="4" t="s">
        <v>1802</v>
      </c>
      <c r="C2455" s="4" t="s">
        <v>3894</v>
      </c>
      <c r="D2455" s="4" t="s">
        <v>1837</v>
      </c>
      <c r="E2455" s="5">
        <v>9.672825519919328</v>
      </c>
    </row>
    <row r="2456" ht="14.25" customHeight="1">
      <c r="A2456" s="4"/>
      <c r="B2456" s="4" t="s">
        <v>1802</v>
      </c>
      <c r="C2456" s="4" t="s">
        <v>3895</v>
      </c>
      <c r="D2456" s="4" t="s">
        <v>1812</v>
      </c>
      <c r="E2456" s="5">
        <v>48.3641275995966</v>
      </c>
    </row>
    <row r="2457" ht="14.25" customHeight="1">
      <c r="A2457" s="4"/>
      <c r="B2457" s="4" t="s">
        <v>1802</v>
      </c>
      <c r="C2457" s="4" t="s">
        <v>3896</v>
      </c>
      <c r="D2457" s="4" t="s">
        <v>2990</v>
      </c>
      <c r="E2457" s="5">
        <v>6.19060833274837</v>
      </c>
    </row>
    <row r="2458" ht="14.25" customHeight="1">
      <c r="A2458" s="4"/>
      <c r="B2458" s="4" t="s">
        <v>1802</v>
      </c>
      <c r="C2458" s="4" t="s">
        <v>3897</v>
      </c>
      <c r="D2458" s="4" t="s">
        <v>1909</v>
      </c>
      <c r="E2458" s="5">
        <v>11.6073906239032</v>
      </c>
    </row>
    <row r="2459" ht="14.25" customHeight="1">
      <c r="A2459" s="4"/>
      <c r="B2459" s="4" t="s">
        <v>1802</v>
      </c>
      <c r="C2459" s="4" t="s">
        <v>3898</v>
      </c>
      <c r="D2459" s="4" t="s">
        <v>3899</v>
      </c>
      <c r="E2459" s="5">
        <v>40.6751517750795</v>
      </c>
    </row>
    <row r="2460" ht="14.25" customHeight="1">
      <c r="A2460" s="4"/>
      <c r="B2460" s="4" t="s">
        <v>1802</v>
      </c>
      <c r="C2460" s="4" t="s">
        <v>3900</v>
      </c>
      <c r="D2460" s="4" t="s">
        <v>1812</v>
      </c>
      <c r="E2460" s="5">
        <v>48.3641275995966</v>
      </c>
    </row>
    <row r="2461" ht="14.25" customHeight="1">
      <c r="A2461" s="4"/>
      <c r="B2461" s="4" t="s">
        <v>1802</v>
      </c>
      <c r="C2461" s="4" t="s">
        <v>3901</v>
      </c>
      <c r="D2461" s="4" t="s">
        <v>3902</v>
      </c>
      <c r="E2461" s="5">
        <v>27.4903489563349</v>
      </c>
    </row>
    <row r="2462" ht="14.25" customHeight="1">
      <c r="A2462" s="4"/>
      <c r="B2462" s="4" t="s">
        <v>1802</v>
      </c>
      <c r="C2462" s="4" t="s">
        <v>3903</v>
      </c>
      <c r="D2462" s="4" t="s">
        <v>1837</v>
      </c>
      <c r="E2462" s="5">
        <v>9.672825519919328</v>
      </c>
    </row>
    <row r="2463" ht="14.25" customHeight="1">
      <c r="A2463" s="4"/>
      <c r="B2463" s="4" t="s">
        <v>1802</v>
      </c>
      <c r="C2463" s="4" t="s">
        <v>258</v>
      </c>
      <c r="D2463" s="4" t="s">
        <v>1812</v>
      </c>
      <c r="E2463" s="5">
        <v>48.3641275995966</v>
      </c>
    </row>
    <row r="2464" ht="14.25" customHeight="1">
      <c r="A2464" s="4"/>
      <c r="B2464" s="4" t="s">
        <v>1802</v>
      </c>
      <c r="C2464" s="4" t="s">
        <v>3904</v>
      </c>
      <c r="D2464" s="4" t="s">
        <v>1812</v>
      </c>
      <c r="E2464" s="5">
        <v>48.3641275995966</v>
      </c>
    </row>
    <row r="2465" ht="14.25" customHeight="1">
      <c r="A2465" s="4"/>
      <c r="B2465" s="4" t="s">
        <v>1802</v>
      </c>
      <c r="C2465" s="4" t="s">
        <v>3905</v>
      </c>
      <c r="D2465" s="4" t="s">
        <v>3906</v>
      </c>
      <c r="E2465" s="5">
        <v>10.511575867735699</v>
      </c>
    </row>
    <row r="2466" ht="14.25" customHeight="1">
      <c r="A2466" s="4"/>
      <c r="B2466" s="4" t="s">
        <v>1802</v>
      </c>
      <c r="C2466" s="4" t="s">
        <v>3907</v>
      </c>
      <c r="D2466" s="4" t="s">
        <v>1812</v>
      </c>
      <c r="E2466" s="5">
        <v>48.3641275995966</v>
      </c>
    </row>
    <row r="2467" ht="14.25" customHeight="1">
      <c r="A2467" s="4"/>
      <c r="B2467" s="4" t="s">
        <v>1802</v>
      </c>
      <c r="C2467" s="4" t="s">
        <v>3908</v>
      </c>
      <c r="D2467" s="4" t="s">
        <v>3909</v>
      </c>
      <c r="E2467" s="5">
        <v>3.8691302079677303</v>
      </c>
    </row>
    <row r="2468" ht="14.25" customHeight="1">
      <c r="A2468" s="4"/>
      <c r="B2468" s="4" t="s">
        <v>1802</v>
      </c>
      <c r="C2468" s="4" t="s">
        <v>3910</v>
      </c>
      <c r="D2468" s="4" t="s">
        <v>3911</v>
      </c>
      <c r="E2468" s="5">
        <v>5.54024728088656</v>
      </c>
    </row>
    <row r="2469" ht="14.25" customHeight="1">
      <c r="A2469" s="4"/>
      <c r="B2469" s="4" t="s">
        <v>1802</v>
      </c>
      <c r="C2469" s="4" t="s">
        <v>3912</v>
      </c>
      <c r="D2469" s="4" t="s">
        <v>1812</v>
      </c>
      <c r="E2469" s="5">
        <v>48.3641275995966</v>
      </c>
    </row>
    <row r="2470" ht="14.25" customHeight="1">
      <c r="A2470" s="4"/>
      <c r="B2470" s="4" t="s">
        <v>1802</v>
      </c>
      <c r="C2470" s="4" t="s">
        <v>3913</v>
      </c>
      <c r="D2470" s="4" t="s">
        <v>3914</v>
      </c>
      <c r="E2470" s="5">
        <v>9.02200779766481</v>
      </c>
    </row>
    <row r="2471" ht="14.25" customHeight="1">
      <c r="A2471" s="4"/>
      <c r="B2471" s="4" t="s">
        <v>1802</v>
      </c>
      <c r="C2471" s="4" t="s">
        <v>3915</v>
      </c>
      <c r="D2471" s="4" t="s">
        <v>1812</v>
      </c>
      <c r="E2471" s="5">
        <v>48.3641275995966</v>
      </c>
    </row>
    <row r="2472" ht="14.25" customHeight="1">
      <c r="A2472" s="4"/>
      <c r="B2472" s="4" t="s">
        <v>1802</v>
      </c>
      <c r="C2472" s="4" t="s">
        <v>1741</v>
      </c>
      <c r="D2472" s="4" t="s">
        <v>1812</v>
      </c>
      <c r="E2472" s="5">
        <v>48.3641275995966</v>
      </c>
    </row>
    <row r="2473" ht="14.25" customHeight="1">
      <c r="A2473" s="4"/>
      <c r="B2473" s="4" t="s">
        <v>1802</v>
      </c>
      <c r="C2473" s="4" t="s">
        <v>3916</v>
      </c>
      <c r="D2473" s="4" t="s">
        <v>3917</v>
      </c>
      <c r="E2473" s="5">
        <v>39.1640897035342</v>
      </c>
    </row>
    <row r="2474" ht="14.25" customHeight="1">
      <c r="A2474" s="4"/>
      <c r="B2474" s="4" t="s">
        <v>1802</v>
      </c>
      <c r="C2474" s="4" t="s">
        <v>3918</v>
      </c>
      <c r="D2474" s="4" t="s">
        <v>3919</v>
      </c>
      <c r="E2474" s="5">
        <v>44.968170311644606</v>
      </c>
    </row>
    <row r="2475" ht="14.25" customHeight="1">
      <c r="A2475" s="4"/>
      <c r="B2475" s="4" t="s">
        <v>1802</v>
      </c>
      <c r="C2475" s="4" t="s">
        <v>3920</v>
      </c>
      <c r="D2475" s="4" t="s">
        <v>3921</v>
      </c>
      <c r="E2475" s="5">
        <v>46.367911286334106</v>
      </c>
    </row>
    <row r="2476" ht="14.25" customHeight="1">
      <c r="A2476" s="4"/>
      <c r="B2476" s="4" t="s">
        <v>1802</v>
      </c>
      <c r="C2476" s="4" t="s">
        <v>3922</v>
      </c>
      <c r="D2476" s="4" t="s">
        <v>3923</v>
      </c>
      <c r="E2476" s="5">
        <v>9.55462719585775</v>
      </c>
    </row>
    <row r="2477" ht="14.25" customHeight="1">
      <c r="A2477" s="4"/>
      <c r="B2477" s="4" t="s">
        <v>1802</v>
      </c>
      <c r="C2477" s="4" t="s">
        <v>3924</v>
      </c>
      <c r="D2477" s="4" t="s">
        <v>3925</v>
      </c>
      <c r="E2477" s="5">
        <v>29.319247009855</v>
      </c>
    </row>
    <row r="2478" ht="14.25" customHeight="1">
      <c r="A2478" s="4"/>
      <c r="B2478" s="4" t="s">
        <v>1802</v>
      </c>
      <c r="C2478" s="4" t="s">
        <v>3926</v>
      </c>
      <c r="D2478" s="4" t="s">
        <v>3927</v>
      </c>
      <c r="E2478" s="5">
        <v>9.484427007890218</v>
      </c>
    </row>
    <row r="2479" ht="14.25" customHeight="1">
      <c r="A2479" s="4"/>
      <c r="B2479" s="4" t="s">
        <v>1802</v>
      </c>
      <c r="C2479" s="4" t="s">
        <v>3928</v>
      </c>
      <c r="D2479" s="4" t="s">
        <v>3929</v>
      </c>
      <c r="E2479" s="5">
        <v>28.2453165784415</v>
      </c>
    </row>
    <row r="2480" ht="14.25" customHeight="1">
      <c r="A2480" s="4"/>
      <c r="B2480" s="4" t="s">
        <v>1802</v>
      </c>
      <c r="C2480" s="4" t="s">
        <v>3930</v>
      </c>
      <c r="D2480" s="4" t="s">
        <v>3931</v>
      </c>
      <c r="E2480" s="5">
        <v>9.695262548925658</v>
      </c>
    </row>
    <row r="2481" ht="14.25" customHeight="1">
      <c r="A2481" s="4"/>
      <c r="B2481" s="4" t="s">
        <v>1802</v>
      </c>
      <c r="C2481" s="4" t="s">
        <v>3932</v>
      </c>
      <c r="D2481" s="4" t="s">
        <v>3933</v>
      </c>
      <c r="E2481" s="5">
        <v>44.4503472788727</v>
      </c>
    </row>
    <row r="2482" ht="14.25" customHeight="1">
      <c r="A2482" s="4"/>
      <c r="B2482" s="4" t="s">
        <v>1802</v>
      </c>
      <c r="C2482" s="4" t="s">
        <v>3934</v>
      </c>
      <c r="D2482" s="4" t="s">
        <v>1812</v>
      </c>
      <c r="E2482" s="5">
        <v>48.3641275995966</v>
      </c>
    </row>
    <row r="2483" ht="14.25" customHeight="1">
      <c r="A2483" s="4"/>
      <c r="B2483" s="4" t="s">
        <v>1802</v>
      </c>
      <c r="C2483" s="4" t="s">
        <v>3935</v>
      </c>
      <c r="D2483" s="4" t="s">
        <v>1812</v>
      </c>
      <c r="E2483" s="5">
        <v>48.3641275995966</v>
      </c>
    </row>
    <row r="2484" ht="14.25" customHeight="1">
      <c r="A2484" s="4"/>
      <c r="B2484" s="4" t="s">
        <v>1802</v>
      </c>
      <c r="C2484" s="4" t="s">
        <v>3936</v>
      </c>
      <c r="D2484" s="4" t="s">
        <v>3937</v>
      </c>
      <c r="E2484" s="5">
        <v>9.7815454810292</v>
      </c>
    </row>
    <row r="2485" ht="14.25" customHeight="1">
      <c r="A2485" s="4"/>
      <c r="B2485" s="4" t="s">
        <v>1802</v>
      </c>
      <c r="C2485" s="4" t="s">
        <v>3938</v>
      </c>
      <c r="D2485" s="4" t="s">
        <v>1812</v>
      </c>
      <c r="E2485" s="5">
        <v>48.3641275995966</v>
      </c>
    </row>
    <row r="2486" ht="14.25" customHeight="1">
      <c r="A2486" s="4"/>
      <c r="B2486" s="4" t="s">
        <v>1802</v>
      </c>
      <c r="C2486" s="4" t="s">
        <v>3939</v>
      </c>
      <c r="D2486" s="4" t="s">
        <v>3940</v>
      </c>
      <c r="E2486" s="5">
        <v>43.666093399783996</v>
      </c>
    </row>
    <row r="2487" ht="14.25" customHeight="1">
      <c r="A2487" s="4"/>
      <c r="B2487" s="4" t="s">
        <v>1802</v>
      </c>
      <c r="C2487" s="4" t="s">
        <v>3941</v>
      </c>
      <c r="D2487" s="4" t="s">
        <v>1837</v>
      </c>
      <c r="E2487" s="5">
        <v>9.672825519919328</v>
      </c>
    </row>
    <row r="2488" ht="14.25" customHeight="1">
      <c r="A2488" s="4"/>
      <c r="B2488" s="4" t="s">
        <v>1802</v>
      </c>
      <c r="C2488" s="4" t="s">
        <v>3942</v>
      </c>
      <c r="D2488" s="4" t="s">
        <v>3943</v>
      </c>
      <c r="E2488" s="5">
        <v>19.4697827429886</v>
      </c>
    </row>
    <row r="2489" ht="14.25" customHeight="1">
      <c r="A2489" s="4"/>
      <c r="B2489" s="4" t="s">
        <v>1802</v>
      </c>
      <c r="C2489" s="4" t="s">
        <v>3944</v>
      </c>
      <c r="D2489" s="4" t="s">
        <v>3945</v>
      </c>
      <c r="E2489" s="5">
        <v>11.567923886190298</v>
      </c>
    </row>
    <row r="2490" ht="14.25" customHeight="1">
      <c r="A2490" s="4"/>
      <c r="B2490" s="4" t="s">
        <v>1802</v>
      </c>
      <c r="C2490" s="4" t="s">
        <v>3946</v>
      </c>
      <c r="D2490" s="4" t="s">
        <v>3947</v>
      </c>
      <c r="E2490" s="5">
        <v>39.6596391988969</v>
      </c>
    </row>
    <row r="2491" ht="14.25" customHeight="1">
      <c r="A2491" s="4"/>
      <c r="B2491" s="4" t="s">
        <v>1802</v>
      </c>
      <c r="C2491" s="4" t="s">
        <v>3948</v>
      </c>
      <c r="D2491" s="4" t="s">
        <v>3949</v>
      </c>
      <c r="E2491" s="5">
        <v>47.8789335468545</v>
      </c>
    </row>
    <row r="2492" ht="14.25" customHeight="1">
      <c r="A2492" s="4"/>
      <c r="B2492" s="4" t="s">
        <v>1802</v>
      </c>
      <c r="C2492" s="4" t="s">
        <v>3950</v>
      </c>
      <c r="D2492" s="4" t="s">
        <v>3951</v>
      </c>
      <c r="E2492" s="5">
        <v>0.5846893276837181</v>
      </c>
    </row>
    <row r="2493" ht="14.25" customHeight="1">
      <c r="A2493" s="4"/>
      <c r="B2493" s="4" t="s">
        <v>1802</v>
      </c>
      <c r="C2493" s="4" t="s">
        <v>1002</v>
      </c>
      <c r="D2493" s="4" t="s">
        <v>1812</v>
      </c>
      <c r="E2493" s="5">
        <v>48.3641275995966</v>
      </c>
    </row>
    <row r="2494" ht="14.25" customHeight="1">
      <c r="A2494" s="4"/>
      <c r="B2494" s="4" t="s">
        <v>1802</v>
      </c>
      <c r="C2494" s="4" t="s">
        <v>3952</v>
      </c>
      <c r="D2494" s="4" t="s">
        <v>1812</v>
      </c>
      <c r="E2494" s="5">
        <v>48.3641275995966</v>
      </c>
    </row>
    <row r="2495" ht="14.25" customHeight="1">
      <c r="A2495" s="4"/>
      <c r="B2495" s="4" t="s">
        <v>1802</v>
      </c>
      <c r="C2495" s="4" t="s">
        <v>3953</v>
      </c>
      <c r="D2495" s="4" t="s">
        <v>1812</v>
      </c>
      <c r="E2495" s="5">
        <v>48.3641275995966</v>
      </c>
    </row>
    <row r="2496" ht="14.25" customHeight="1">
      <c r="A2496" s="4"/>
      <c r="B2496" s="4" t="s">
        <v>1802</v>
      </c>
      <c r="C2496" s="4" t="s">
        <v>3954</v>
      </c>
      <c r="D2496" s="4" t="s">
        <v>1812</v>
      </c>
      <c r="E2496" s="5">
        <v>48.3641275995966</v>
      </c>
    </row>
    <row r="2497" ht="14.25" customHeight="1">
      <c r="A2497" s="4"/>
      <c r="B2497" s="4" t="s">
        <v>1802</v>
      </c>
      <c r="C2497" s="4" t="s">
        <v>396</v>
      </c>
      <c r="D2497" s="4" t="s">
        <v>2801</v>
      </c>
      <c r="E2497" s="5">
        <v>6.38406484314676</v>
      </c>
    </row>
    <row r="2498" ht="14.25" customHeight="1">
      <c r="A2498" s="4"/>
      <c r="B2498" s="4" t="s">
        <v>1802</v>
      </c>
      <c r="C2498" s="4" t="s">
        <v>3955</v>
      </c>
      <c r="D2498" s="4" t="s">
        <v>3956</v>
      </c>
      <c r="E2498" s="5">
        <v>35.68027280552</v>
      </c>
    </row>
    <row r="2499" ht="14.25" customHeight="1">
      <c r="A2499" s="4"/>
      <c r="B2499" s="4" t="s">
        <v>1802</v>
      </c>
      <c r="C2499" s="4" t="s">
        <v>3957</v>
      </c>
      <c r="D2499" s="4" t="s">
        <v>3958</v>
      </c>
      <c r="E2499" s="5">
        <v>44.769182026779696</v>
      </c>
    </row>
    <row r="2500" ht="14.25" customHeight="1">
      <c r="A2500" s="4"/>
      <c r="B2500" s="4" t="s">
        <v>1802</v>
      </c>
      <c r="C2500" s="4" t="s">
        <v>3959</v>
      </c>
      <c r="D2500" s="4" t="s">
        <v>1837</v>
      </c>
      <c r="E2500" s="5">
        <v>9.672825519919328</v>
      </c>
    </row>
    <row r="2501" ht="14.25" customHeight="1">
      <c r="A2501" s="4"/>
      <c r="B2501" s="4" t="s">
        <v>1802</v>
      </c>
      <c r="C2501" s="4" t="s">
        <v>3960</v>
      </c>
      <c r="D2501" s="4" t="s">
        <v>3961</v>
      </c>
      <c r="E2501" s="5">
        <v>46.942304266499</v>
      </c>
    </row>
    <row r="2502" ht="14.25" customHeight="1">
      <c r="A2502" s="4"/>
      <c r="B2502" s="4" t="s">
        <v>1802</v>
      </c>
      <c r="C2502" s="4" t="s">
        <v>3962</v>
      </c>
      <c r="D2502" s="4" t="s">
        <v>3963</v>
      </c>
      <c r="E2502" s="5">
        <v>47.4225978259854</v>
      </c>
    </row>
    <row r="2503" ht="14.25" customHeight="1">
      <c r="A2503" s="4"/>
      <c r="B2503" s="4" t="s">
        <v>1802</v>
      </c>
      <c r="C2503" s="4" t="s">
        <v>3964</v>
      </c>
      <c r="D2503" s="4" t="s">
        <v>1984</v>
      </c>
      <c r="E2503" s="5">
        <v>19.539107550237</v>
      </c>
    </row>
    <row r="2504" ht="14.25" customHeight="1">
      <c r="A2504" s="4"/>
      <c r="B2504" s="4" t="s">
        <v>1802</v>
      </c>
      <c r="C2504" s="4" t="s">
        <v>3965</v>
      </c>
      <c r="D2504" s="4" t="s">
        <v>3966</v>
      </c>
      <c r="E2504" s="5">
        <v>20.9919131754367</v>
      </c>
    </row>
    <row r="2505" ht="14.25" customHeight="1">
      <c r="A2505" s="4"/>
      <c r="B2505" s="4" t="s">
        <v>1802</v>
      </c>
      <c r="C2505" s="4" t="s">
        <v>3967</v>
      </c>
      <c r="D2505" s="4" t="s">
        <v>3968</v>
      </c>
      <c r="E2505" s="5">
        <v>34.2418023405144</v>
      </c>
    </row>
    <row r="2506" ht="14.25" customHeight="1">
      <c r="A2506" s="4"/>
      <c r="B2506" s="4" t="s">
        <v>1802</v>
      </c>
      <c r="C2506" s="4" t="s">
        <v>3969</v>
      </c>
      <c r="D2506" s="4" t="s">
        <v>1812</v>
      </c>
      <c r="E2506" s="5">
        <v>48.3641275995966</v>
      </c>
    </row>
    <row r="2507" ht="14.25" customHeight="1">
      <c r="A2507" s="4"/>
      <c r="B2507" s="4" t="s">
        <v>1802</v>
      </c>
      <c r="C2507" s="4" t="s">
        <v>3970</v>
      </c>
      <c r="D2507" s="4" t="s">
        <v>3971</v>
      </c>
      <c r="E2507" s="5">
        <v>46.268892832983205</v>
      </c>
    </row>
    <row r="2508" ht="14.25" customHeight="1">
      <c r="A2508" s="4"/>
      <c r="B2508" s="4" t="s">
        <v>1802</v>
      </c>
      <c r="C2508" s="4" t="s">
        <v>3972</v>
      </c>
      <c r="D2508" s="4" t="s">
        <v>3973</v>
      </c>
      <c r="E2508" s="5">
        <v>14.4540735089757</v>
      </c>
    </row>
    <row r="2509" ht="14.25" customHeight="1">
      <c r="A2509" s="4"/>
      <c r="B2509" s="4" t="s">
        <v>1802</v>
      </c>
      <c r="C2509" s="4" t="s">
        <v>3974</v>
      </c>
      <c r="D2509" s="4" t="s">
        <v>1909</v>
      </c>
      <c r="E2509" s="5">
        <v>11.6073906239032</v>
      </c>
    </row>
    <row r="2510" ht="14.25" customHeight="1">
      <c r="A2510" s="4"/>
      <c r="B2510" s="4" t="s">
        <v>1802</v>
      </c>
      <c r="C2510" s="4" t="s">
        <v>3975</v>
      </c>
      <c r="D2510" s="4" t="s">
        <v>3976</v>
      </c>
      <c r="E2510" s="5">
        <v>9.87936859715838</v>
      </c>
    </row>
    <row r="2511" ht="14.25" customHeight="1">
      <c r="A2511" s="4"/>
      <c r="B2511" s="4" t="s">
        <v>1802</v>
      </c>
      <c r="C2511" s="4" t="s">
        <v>3977</v>
      </c>
      <c r="D2511" s="4" t="s">
        <v>1812</v>
      </c>
      <c r="E2511" s="5">
        <v>48.3641275995966</v>
      </c>
    </row>
    <row r="2512" ht="14.25" customHeight="1">
      <c r="A2512" s="4"/>
      <c r="B2512" s="4" t="s">
        <v>1802</v>
      </c>
      <c r="C2512" s="4" t="s">
        <v>3978</v>
      </c>
      <c r="D2512" s="4" t="s">
        <v>1905</v>
      </c>
      <c r="E2512" s="5">
        <v>10.059738540716099</v>
      </c>
    </row>
    <row r="2513" ht="14.25" customHeight="1">
      <c r="A2513" s="4"/>
      <c r="B2513" s="4" t="s">
        <v>1802</v>
      </c>
      <c r="C2513" s="4" t="s">
        <v>3979</v>
      </c>
      <c r="D2513" s="4" t="s">
        <v>1837</v>
      </c>
      <c r="E2513" s="5">
        <v>9.672825519919328</v>
      </c>
    </row>
    <row r="2514" ht="14.25" customHeight="1">
      <c r="A2514" s="4"/>
      <c r="B2514" s="4" t="s">
        <v>1802</v>
      </c>
      <c r="C2514" s="4" t="s">
        <v>3980</v>
      </c>
      <c r="D2514" s="4" t="s">
        <v>3981</v>
      </c>
      <c r="E2514" s="5">
        <v>34.6168506145008</v>
      </c>
    </row>
    <row r="2515" ht="14.25" customHeight="1">
      <c r="A2515" s="4"/>
      <c r="B2515" s="4" t="s">
        <v>1802</v>
      </c>
      <c r="C2515" s="4" t="s">
        <v>17</v>
      </c>
      <c r="D2515" s="4" t="s">
        <v>1812</v>
      </c>
      <c r="E2515" s="5">
        <v>48.3641275995966</v>
      </c>
    </row>
    <row r="2516" ht="14.25" customHeight="1">
      <c r="A2516" s="4"/>
      <c r="B2516" s="4" t="s">
        <v>1802</v>
      </c>
      <c r="C2516" s="4" t="s">
        <v>3982</v>
      </c>
      <c r="D2516" s="4" t="s">
        <v>1812</v>
      </c>
      <c r="E2516" s="5">
        <v>48.3641275995966</v>
      </c>
    </row>
    <row r="2517" ht="14.25" customHeight="1">
      <c r="A2517" s="4"/>
      <c r="B2517" s="4" t="s">
        <v>1802</v>
      </c>
      <c r="C2517" s="4" t="s">
        <v>3983</v>
      </c>
      <c r="D2517" s="4" t="s">
        <v>3984</v>
      </c>
      <c r="E2517" s="5">
        <v>24.0327543499354</v>
      </c>
    </row>
    <row r="2518" ht="14.25" customHeight="1">
      <c r="A2518" s="4"/>
      <c r="B2518" s="4" t="s">
        <v>1802</v>
      </c>
      <c r="C2518" s="4" t="s">
        <v>3985</v>
      </c>
      <c r="D2518" s="4" t="s">
        <v>3986</v>
      </c>
      <c r="E2518" s="5">
        <v>24.173900968440403</v>
      </c>
    </row>
    <row r="2519" ht="14.25" customHeight="1">
      <c r="A2519" s="4"/>
      <c r="B2519" s="4" t="s">
        <v>1802</v>
      </c>
      <c r="C2519" s="4" t="s">
        <v>3987</v>
      </c>
      <c r="D2519" s="4" t="s">
        <v>1812</v>
      </c>
      <c r="E2519" s="5">
        <v>48.3641275995966</v>
      </c>
    </row>
    <row r="2520" ht="14.25" customHeight="1">
      <c r="A2520" s="4"/>
      <c r="B2520" s="4" t="s">
        <v>1802</v>
      </c>
      <c r="C2520" s="4" t="s">
        <v>3988</v>
      </c>
      <c r="D2520" s="4" t="s">
        <v>2400</v>
      </c>
      <c r="E2520" s="5">
        <v>47.3245618390358</v>
      </c>
    </row>
    <row r="2521" ht="14.25" customHeight="1">
      <c r="A2521" s="4"/>
      <c r="B2521" s="4" t="s">
        <v>1802</v>
      </c>
      <c r="C2521" s="4" t="s">
        <v>1652</v>
      </c>
      <c r="D2521" s="4" t="s">
        <v>1812</v>
      </c>
      <c r="E2521" s="5">
        <v>48.3641275995966</v>
      </c>
    </row>
    <row r="2522" ht="14.25" customHeight="1">
      <c r="A2522" s="4"/>
      <c r="B2522" s="4" t="s">
        <v>1802</v>
      </c>
      <c r="C2522" s="4" t="s">
        <v>3989</v>
      </c>
      <c r="D2522" s="4" t="s">
        <v>1812</v>
      </c>
      <c r="E2522" s="5">
        <v>48.3641275995966</v>
      </c>
    </row>
    <row r="2523" ht="14.25" customHeight="1">
      <c r="A2523" s="4"/>
      <c r="B2523" s="4" t="s">
        <v>1802</v>
      </c>
      <c r="C2523" s="4" t="s">
        <v>3990</v>
      </c>
      <c r="D2523" s="4" t="s">
        <v>3991</v>
      </c>
      <c r="E2523" s="5">
        <v>41.3048269842145</v>
      </c>
    </row>
    <row r="2524" ht="14.25" customHeight="1">
      <c r="A2524" s="4"/>
      <c r="B2524" s="4" t="s">
        <v>1802</v>
      </c>
      <c r="C2524" s="4" t="s">
        <v>3992</v>
      </c>
      <c r="D2524" s="4" t="s">
        <v>3993</v>
      </c>
      <c r="E2524" s="5">
        <v>40.62586718366121</v>
      </c>
    </row>
    <row r="2525" ht="14.25" customHeight="1">
      <c r="A2525" s="4"/>
      <c r="B2525" s="4" t="s">
        <v>1802</v>
      </c>
      <c r="C2525" s="4" t="s">
        <v>3994</v>
      </c>
      <c r="D2525" s="4" t="s">
        <v>1812</v>
      </c>
      <c r="E2525" s="5">
        <v>48.3641275995966</v>
      </c>
    </row>
    <row r="2526" ht="14.25" customHeight="1">
      <c r="A2526" s="4"/>
      <c r="B2526" s="4" t="s">
        <v>1802</v>
      </c>
      <c r="C2526" s="4" t="s">
        <v>3995</v>
      </c>
      <c r="D2526" s="4" t="s">
        <v>3996</v>
      </c>
      <c r="E2526" s="5">
        <v>9.0198280639188</v>
      </c>
    </row>
    <row r="2527" ht="14.25" customHeight="1">
      <c r="A2527" s="4"/>
      <c r="B2527" s="4" t="s">
        <v>1802</v>
      </c>
      <c r="C2527" s="4" t="s">
        <v>3997</v>
      </c>
      <c r="D2527" s="4" t="s">
        <v>2105</v>
      </c>
      <c r="E2527" s="5">
        <v>29.018476559758</v>
      </c>
    </row>
    <row r="2528" ht="14.25" customHeight="1">
      <c r="A2528" s="4"/>
      <c r="B2528" s="4" t="s">
        <v>1802</v>
      </c>
      <c r="C2528" s="4" t="s">
        <v>3998</v>
      </c>
      <c r="D2528" s="4" t="s">
        <v>1812</v>
      </c>
      <c r="E2528" s="5">
        <v>48.3641275995966</v>
      </c>
    </row>
    <row r="2529" ht="14.25" customHeight="1">
      <c r="A2529" s="4"/>
      <c r="B2529" s="4" t="s">
        <v>1802</v>
      </c>
      <c r="C2529" s="4" t="s">
        <v>448</v>
      </c>
      <c r="D2529" s="4" t="s">
        <v>1812</v>
      </c>
      <c r="E2529" s="5">
        <v>48.3641275995966</v>
      </c>
    </row>
    <row r="2530" ht="14.25" customHeight="1">
      <c r="A2530" s="4"/>
      <c r="B2530" s="4" t="s">
        <v>1802</v>
      </c>
      <c r="C2530" s="4" t="s">
        <v>3999</v>
      </c>
      <c r="D2530" s="4" t="s">
        <v>1812</v>
      </c>
      <c r="E2530" s="5">
        <v>48.3641275995966</v>
      </c>
    </row>
    <row r="2531" ht="14.25" customHeight="1">
      <c r="A2531" s="4"/>
      <c r="B2531" s="4" t="s">
        <v>1802</v>
      </c>
      <c r="C2531" s="4" t="s">
        <v>4000</v>
      </c>
      <c r="D2531" s="4" t="s">
        <v>4001</v>
      </c>
      <c r="E2531" s="5">
        <v>15.8120192857175</v>
      </c>
    </row>
    <row r="2532" ht="14.25" customHeight="1">
      <c r="A2532" s="4"/>
      <c r="B2532" s="4" t="s">
        <v>1802</v>
      </c>
      <c r="C2532" s="4" t="s">
        <v>4002</v>
      </c>
      <c r="D2532" s="4" t="s">
        <v>1812</v>
      </c>
      <c r="E2532" s="5">
        <v>48.3641275995966</v>
      </c>
    </row>
    <row r="2533" ht="14.25" customHeight="1">
      <c r="A2533" s="4"/>
      <c r="B2533" s="4" t="s">
        <v>1802</v>
      </c>
      <c r="C2533" s="4" t="s">
        <v>4003</v>
      </c>
      <c r="D2533" s="4" t="s">
        <v>4004</v>
      </c>
      <c r="E2533" s="5">
        <v>45.8850522214708</v>
      </c>
    </row>
    <row r="2534" ht="14.25" customHeight="1">
      <c r="A2534" s="4"/>
      <c r="B2534" s="4" t="s">
        <v>1802</v>
      </c>
      <c r="C2534" s="4" t="s">
        <v>4005</v>
      </c>
      <c r="D2534" s="4" t="s">
        <v>1812</v>
      </c>
      <c r="E2534" s="5">
        <v>48.3641275995966</v>
      </c>
    </row>
    <row r="2535" ht="14.25" customHeight="1">
      <c r="A2535" s="4"/>
      <c r="B2535" s="4" t="s">
        <v>1802</v>
      </c>
      <c r="C2535" s="4" t="s">
        <v>4006</v>
      </c>
      <c r="D2535" s="4" t="s">
        <v>4007</v>
      </c>
      <c r="E2535" s="5">
        <v>33.3449808791773</v>
      </c>
    </row>
    <row r="2536" ht="14.25" customHeight="1">
      <c r="A2536" s="4"/>
      <c r="B2536" s="4" t="s">
        <v>1802</v>
      </c>
      <c r="C2536" s="4" t="s">
        <v>4008</v>
      </c>
      <c r="D2536" s="4" t="s">
        <v>1812</v>
      </c>
      <c r="E2536" s="5">
        <v>48.3641275995966</v>
      </c>
    </row>
    <row r="2537" ht="14.25" customHeight="1">
      <c r="A2537" s="4"/>
      <c r="B2537" s="4" t="s">
        <v>1802</v>
      </c>
      <c r="C2537" s="4" t="s">
        <v>4009</v>
      </c>
      <c r="D2537" s="4" t="s">
        <v>4010</v>
      </c>
      <c r="E2537" s="5">
        <v>29.3000559468173</v>
      </c>
    </row>
    <row r="2538" ht="14.25" customHeight="1">
      <c r="A2538" s="4"/>
      <c r="B2538" s="4" t="s">
        <v>1802</v>
      </c>
      <c r="C2538" s="4" t="s">
        <v>4011</v>
      </c>
      <c r="D2538" s="4" t="s">
        <v>1812</v>
      </c>
      <c r="E2538" s="5">
        <v>48.3641275995966</v>
      </c>
    </row>
    <row r="2539" ht="14.25" customHeight="1">
      <c r="A2539" s="4"/>
      <c r="B2539" s="4" t="s">
        <v>1802</v>
      </c>
      <c r="C2539" s="4" t="s">
        <v>4012</v>
      </c>
      <c r="D2539" s="4" t="s">
        <v>1951</v>
      </c>
      <c r="E2539" s="5">
        <v>38.6913020796773</v>
      </c>
    </row>
    <row r="2540" ht="14.25" customHeight="1">
      <c r="A2540" s="4"/>
      <c r="B2540" s="4" t="s">
        <v>1802</v>
      </c>
      <c r="C2540" s="4" t="s">
        <v>4013</v>
      </c>
      <c r="D2540" s="4" t="s">
        <v>4014</v>
      </c>
      <c r="E2540" s="5">
        <v>10.311537851263799</v>
      </c>
    </row>
    <row r="2541" ht="14.25" customHeight="1">
      <c r="A2541" s="4"/>
      <c r="B2541" s="4" t="s">
        <v>1802</v>
      </c>
      <c r="C2541" s="4" t="s">
        <v>153</v>
      </c>
      <c r="D2541" s="4" t="s">
        <v>1812</v>
      </c>
      <c r="E2541" s="5">
        <v>48.3641275995966</v>
      </c>
    </row>
    <row r="2542" ht="14.25" customHeight="1">
      <c r="A2542" s="4"/>
      <c r="B2542" s="4" t="s">
        <v>1802</v>
      </c>
      <c r="C2542" s="4" t="s">
        <v>84</v>
      </c>
      <c r="D2542" s="4" t="s">
        <v>1812</v>
      </c>
      <c r="E2542" s="5">
        <v>48.3641275995966</v>
      </c>
    </row>
    <row r="2543" ht="14.25" customHeight="1">
      <c r="A2543" s="4"/>
      <c r="B2543" s="4" t="s">
        <v>1802</v>
      </c>
      <c r="C2543" s="4" t="s">
        <v>4015</v>
      </c>
      <c r="D2543" s="4" t="s">
        <v>4016</v>
      </c>
      <c r="E2543" s="5">
        <v>11.6011095810567</v>
      </c>
    </row>
    <row r="2544" ht="14.25" customHeight="1">
      <c r="A2544" s="4"/>
      <c r="B2544" s="4" t="s">
        <v>1802</v>
      </c>
      <c r="C2544" s="4" t="s">
        <v>4017</v>
      </c>
      <c r="D2544" s="4" t="s">
        <v>1812</v>
      </c>
      <c r="E2544" s="5">
        <v>48.3641275995966</v>
      </c>
    </row>
    <row r="2545" ht="14.25" customHeight="1">
      <c r="A2545" s="4"/>
      <c r="B2545" s="4" t="s">
        <v>1802</v>
      </c>
      <c r="C2545" s="4" t="s">
        <v>4018</v>
      </c>
      <c r="D2545" s="4" t="s">
        <v>1812</v>
      </c>
      <c r="E2545" s="5">
        <v>48.3641275995966</v>
      </c>
    </row>
    <row r="2546" ht="14.25" customHeight="1">
      <c r="A2546" s="4"/>
      <c r="B2546" s="4" t="s">
        <v>1802</v>
      </c>
      <c r="C2546" s="4" t="s">
        <v>4019</v>
      </c>
      <c r="D2546" s="4" t="s">
        <v>4020</v>
      </c>
      <c r="E2546" s="5">
        <v>10.3759613746566</v>
      </c>
    </row>
    <row r="2547" ht="14.25" customHeight="1">
      <c r="A2547" s="4"/>
      <c r="B2547" s="4" t="s">
        <v>1802</v>
      </c>
      <c r="C2547" s="4" t="s">
        <v>4021</v>
      </c>
      <c r="D2547" s="4" t="s">
        <v>1812</v>
      </c>
      <c r="E2547" s="5">
        <v>48.3641275995966</v>
      </c>
    </row>
    <row r="2548" ht="14.25" customHeight="1">
      <c r="A2548" s="4"/>
      <c r="B2548" s="4" t="s">
        <v>1802</v>
      </c>
      <c r="C2548" s="4" t="s">
        <v>4022</v>
      </c>
      <c r="D2548" s="4" t="s">
        <v>4023</v>
      </c>
      <c r="E2548" s="5">
        <v>5.05349166247353</v>
      </c>
    </row>
    <row r="2549" ht="14.25" customHeight="1">
      <c r="A2549" s="4"/>
      <c r="B2549" s="4" t="s">
        <v>1802</v>
      </c>
      <c r="C2549" s="4" t="s">
        <v>4024</v>
      </c>
      <c r="D2549" s="4" t="s">
        <v>4025</v>
      </c>
      <c r="E2549" s="5">
        <v>7.54200243136747</v>
      </c>
    </row>
    <row r="2550" ht="14.25" customHeight="1">
      <c r="A2550" s="4"/>
      <c r="B2550" s="4" t="s">
        <v>1802</v>
      </c>
      <c r="C2550" s="4" t="s">
        <v>4026</v>
      </c>
      <c r="D2550" s="4" t="s">
        <v>1812</v>
      </c>
      <c r="E2550" s="5">
        <v>48.3641275995966</v>
      </c>
    </row>
    <row r="2551" ht="14.25" customHeight="1">
      <c r="A2551" s="4"/>
      <c r="B2551" s="4" t="s">
        <v>1802</v>
      </c>
      <c r="C2551" s="4" t="s">
        <v>4027</v>
      </c>
      <c r="D2551" s="4" t="s">
        <v>1812</v>
      </c>
      <c r="E2551" s="5">
        <v>48.3641275995966</v>
      </c>
    </row>
    <row r="2552" ht="14.25" customHeight="1">
      <c r="A2552" s="4"/>
      <c r="B2552" s="4" t="s">
        <v>1802</v>
      </c>
      <c r="C2552" s="4" t="s">
        <v>4028</v>
      </c>
      <c r="D2552" s="4" t="s">
        <v>1812</v>
      </c>
      <c r="E2552" s="5">
        <v>48.3641275995966</v>
      </c>
    </row>
    <row r="2553" ht="14.25" customHeight="1">
      <c r="A2553" s="4"/>
      <c r="B2553" s="4" t="s">
        <v>1802</v>
      </c>
      <c r="C2553" s="4" t="s">
        <v>4029</v>
      </c>
      <c r="D2553" s="4" t="s">
        <v>1812</v>
      </c>
      <c r="E2553" s="5">
        <v>48.3641275995966</v>
      </c>
    </row>
    <row r="2554" ht="14.25" customHeight="1">
      <c r="A2554" s="4"/>
      <c r="B2554" s="4" t="s">
        <v>1802</v>
      </c>
      <c r="C2554" s="4" t="s">
        <v>4030</v>
      </c>
      <c r="D2554" s="4" t="s">
        <v>4031</v>
      </c>
      <c r="E2554" s="5">
        <v>2.8087162614853898</v>
      </c>
    </row>
    <row r="2555" ht="14.25" customHeight="1">
      <c r="A2555" s="4"/>
      <c r="B2555" s="4" t="s">
        <v>1802</v>
      </c>
      <c r="C2555" s="4" t="s">
        <v>4032</v>
      </c>
      <c r="D2555" s="4" t="s">
        <v>4033</v>
      </c>
      <c r="E2555" s="5">
        <v>26.052708137965602</v>
      </c>
    </row>
    <row r="2556" ht="14.25" customHeight="1">
      <c r="A2556" s="4"/>
      <c r="B2556" s="4" t="s">
        <v>1802</v>
      </c>
      <c r="C2556" s="4" t="s">
        <v>4034</v>
      </c>
      <c r="D2556" s="4" t="s">
        <v>4035</v>
      </c>
      <c r="E2556" s="5">
        <v>9.75692747033457</v>
      </c>
    </row>
    <row r="2557" ht="14.25" customHeight="1">
      <c r="A2557" s="4"/>
      <c r="B2557" s="4" t="s">
        <v>1802</v>
      </c>
      <c r="C2557" s="4" t="s">
        <v>4036</v>
      </c>
      <c r="D2557" s="4" t="s">
        <v>4037</v>
      </c>
      <c r="E2557" s="5">
        <v>0.44411125496264103</v>
      </c>
    </row>
    <row r="2558" ht="14.25" customHeight="1">
      <c r="A2558" s="4"/>
      <c r="B2558" s="4" t="s">
        <v>1802</v>
      </c>
      <c r="C2558" s="4" t="s">
        <v>4038</v>
      </c>
      <c r="D2558" s="4" t="s">
        <v>4039</v>
      </c>
      <c r="E2558" s="5">
        <v>40.0026052143712</v>
      </c>
    </row>
    <row r="2559" ht="14.25" customHeight="1">
      <c r="A2559" s="4"/>
      <c r="B2559" s="4" t="s">
        <v>1802</v>
      </c>
      <c r="C2559" s="4" t="s">
        <v>4040</v>
      </c>
      <c r="D2559" s="4" t="s">
        <v>4041</v>
      </c>
      <c r="E2559" s="5">
        <v>18.600672185988003</v>
      </c>
    </row>
    <row r="2560" ht="14.25" customHeight="1">
      <c r="A2560" s="4"/>
      <c r="B2560" s="4" t="s">
        <v>1802</v>
      </c>
      <c r="C2560" s="4" t="s">
        <v>4042</v>
      </c>
      <c r="D2560" s="4" t="s">
        <v>4043</v>
      </c>
      <c r="E2560" s="5">
        <v>10.2086580024112</v>
      </c>
    </row>
    <row r="2561" ht="14.25" customHeight="1">
      <c r="A2561" s="4"/>
      <c r="B2561" s="4" t="s">
        <v>1802</v>
      </c>
      <c r="C2561" s="4" t="s">
        <v>4044</v>
      </c>
      <c r="D2561" s="4" t="s">
        <v>1812</v>
      </c>
      <c r="E2561" s="5">
        <v>48.3641275995966</v>
      </c>
    </row>
    <row r="2562" ht="14.25" customHeight="1">
      <c r="A2562" s="4"/>
      <c r="B2562" s="4" t="s">
        <v>1802</v>
      </c>
      <c r="C2562" s="4" t="s">
        <v>4045</v>
      </c>
      <c r="D2562" s="4" t="s">
        <v>4046</v>
      </c>
      <c r="E2562" s="5">
        <v>42.7233825595644</v>
      </c>
    </row>
    <row r="2563" ht="14.25" customHeight="1">
      <c r="A2563" s="4"/>
      <c r="B2563" s="4" t="s">
        <v>1802</v>
      </c>
      <c r="C2563" s="4" t="s">
        <v>1313</v>
      </c>
      <c r="D2563" s="4" t="s">
        <v>1821</v>
      </c>
      <c r="E2563" s="5">
        <v>19.3456510398386</v>
      </c>
    </row>
    <row r="2564" ht="14.25" customHeight="1">
      <c r="A2564" s="4"/>
      <c r="B2564" s="4" t="s">
        <v>1802</v>
      </c>
      <c r="C2564" s="4" t="s">
        <v>4047</v>
      </c>
      <c r="D2564" s="4" t="s">
        <v>4048</v>
      </c>
      <c r="E2564" s="5">
        <v>5.129492383730369</v>
      </c>
    </row>
    <row r="2565" ht="14.25" customHeight="1">
      <c r="A2565" s="4"/>
      <c r="B2565" s="4" t="s">
        <v>1802</v>
      </c>
      <c r="C2565" s="4" t="s">
        <v>4049</v>
      </c>
      <c r="D2565" s="4" t="s">
        <v>4050</v>
      </c>
      <c r="E2565" s="5">
        <v>35.1622960226536</v>
      </c>
    </row>
    <row r="2566" ht="14.25" customHeight="1">
      <c r="A2566" s="4"/>
      <c r="B2566" s="4" t="s">
        <v>1802</v>
      </c>
      <c r="C2566" s="4" t="s">
        <v>4051</v>
      </c>
      <c r="D2566" s="4" t="s">
        <v>1812</v>
      </c>
      <c r="E2566" s="5">
        <v>48.3641275995966</v>
      </c>
    </row>
    <row r="2567" ht="14.25" customHeight="1">
      <c r="A2567" s="4"/>
      <c r="B2567" s="4" t="s">
        <v>1802</v>
      </c>
      <c r="C2567" s="4" t="s">
        <v>4052</v>
      </c>
      <c r="D2567" s="4" t="s">
        <v>1837</v>
      </c>
      <c r="E2567" s="5">
        <v>9.672825519919328</v>
      </c>
    </row>
    <row r="2568" ht="14.25" customHeight="1">
      <c r="A2568" s="4"/>
      <c r="B2568" s="4" t="s">
        <v>1802</v>
      </c>
      <c r="C2568" s="4" t="s">
        <v>4053</v>
      </c>
      <c r="D2568" s="4" t="s">
        <v>4054</v>
      </c>
      <c r="E2568" s="5">
        <v>40.687904272962506</v>
      </c>
    </row>
    <row r="2569" ht="14.25" customHeight="1">
      <c r="A2569" s="4"/>
      <c r="B2569" s="4" t="s">
        <v>1802</v>
      </c>
      <c r="C2569" s="4" t="s">
        <v>4055</v>
      </c>
      <c r="D2569" s="4" t="s">
        <v>1812</v>
      </c>
      <c r="E2569" s="5">
        <v>48.3641275995966</v>
      </c>
    </row>
    <row r="2570" ht="14.25" customHeight="1">
      <c r="A2570" s="4"/>
      <c r="B2570" s="4" t="s">
        <v>1802</v>
      </c>
      <c r="C2570" s="4" t="s">
        <v>274</v>
      </c>
      <c r="D2570" s="4" t="s">
        <v>4056</v>
      </c>
      <c r="E2570" s="5">
        <v>4.73907946902976</v>
      </c>
    </row>
    <row r="2571" ht="14.25" customHeight="1">
      <c r="A2571" s="4"/>
      <c r="B2571" s="4" t="s">
        <v>1802</v>
      </c>
      <c r="C2571" s="4" t="s">
        <v>4057</v>
      </c>
      <c r="D2571" s="4" t="s">
        <v>1812</v>
      </c>
      <c r="E2571" s="5">
        <v>48.3641275995966</v>
      </c>
    </row>
    <row r="2572" ht="14.25" customHeight="1">
      <c r="A2572" s="4"/>
      <c r="B2572" s="4" t="s">
        <v>1802</v>
      </c>
      <c r="C2572" s="4" t="s">
        <v>4058</v>
      </c>
      <c r="D2572" s="4" t="s">
        <v>1812</v>
      </c>
      <c r="E2572" s="5">
        <v>48.3641275995966</v>
      </c>
    </row>
    <row r="2573" ht="14.25" customHeight="1">
      <c r="A2573" s="4"/>
      <c r="B2573" s="4" t="s">
        <v>1802</v>
      </c>
      <c r="C2573" s="4" t="s">
        <v>4059</v>
      </c>
      <c r="D2573" s="4" t="s">
        <v>4060</v>
      </c>
      <c r="E2573" s="5">
        <v>19.3446727633466</v>
      </c>
    </row>
    <row r="2574" ht="14.25" customHeight="1">
      <c r="A2574" s="4"/>
      <c r="B2574" s="4" t="s">
        <v>1802</v>
      </c>
      <c r="C2574" s="4" t="s">
        <v>4061</v>
      </c>
      <c r="D2574" s="4" t="s">
        <v>4062</v>
      </c>
      <c r="E2574" s="5">
        <v>46.253996429678104</v>
      </c>
    </row>
    <row r="2575" ht="14.25" customHeight="1">
      <c r="A2575" s="4"/>
      <c r="B2575" s="4" t="s">
        <v>1802</v>
      </c>
      <c r="C2575" s="4" t="s">
        <v>4063</v>
      </c>
      <c r="D2575" s="4" t="s">
        <v>4064</v>
      </c>
      <c r="E2575" s="5">
        <v>19.4322161034957</v>
      </c>
    </row>
    <row r="2576" ht="14.25" customHeight="1">
      <c r="A2576" s="4"/>
      <c r="B2576" s="4" t="s">
        <v>1802</v>
      </c>
      <c r="C2576" s="4" t="s">
        <v>792</v>
      </c>
      <c r="D2576" s="4" t="s">
        <v>1812</v>
      </c>
      <c r="E2576" s="5">
        <v>48.3641275995966</v>
      </c>
    </row>
    <row r="2577" ht="14.25" customHeight="1">
      <c r="A2577" s="4"/>
      <c r="B2577" s="4" t="s">
        <v>1802</v>
      </c>
      <c r="C2577" s="4" t="s">
        <v>4065</v>
      </c>
      <c r="D2577" s="4" t="s">
        <v>1812</v>
      </c>
      <c r="E2577" s="5">
        <v>48.3641275995966</v>
      </c>
    </row>
    <row r="2578" ht="14.25" customHeight="1">
      <c r="A2578" s="4"/>
      <c r="B2578" s="4" t="s">
        <v>1802</v>
      </c>
      <c r="C2578" s="4" t="s">
        <v>4066</v>
      </c>
      <c r="D2578" s="4" t="s">
        <v>4067</v>
      </c>
      <c r="E2578" s="5">
        <v>39.88160366716</v>
      </c>
    </row>
    <row r="2579" ht="14.25" customHeight="1">
      <c r="A2579" s="4"/>
      <c r="B2579" s="4" t="s">
        <v>1802</v>
      </c>
      <c r="C2579" s="4" t="s">
        <v>4068</v>
      </c>
      <c r="D2579" s="4" t="s">
        <v>1812</v>
      </c>
      <c r="E2579" s="5">
        <v>48.3641275995966</v>
      </c>
    </row>
    <row r="2580" ht="14.25" customHeight="1">
      <c r="A2580" s="4"/>
      <c r="B2580" s="4" t="s">
        <v>1802</v>
      </c>
      <c r="C2580" s="4" t="s">
        <v>1407</v>
      </c>
      <c r="D2580" s="4" t="s">
        <v>4069</v>
      </c>
      <c r="E2580" s="5">
        <v>6.369442736402441</v>
      </c>
    </row>
    <row r="2581" ht="14.25" customHeight="1">
      <c r="A2581" s="4"/>
      <c r="B2581" s="4" t="s">
        <v>1802</v>
      </c>
      <c r="C2581" s="4" t="s">
        <v>4070</v>
      </c>
      <c r="D2581" s="4" t="s">
        <v>4071</v>
      </c>
      <c r="E2581" s="5">
        <v>8.87872802716068</v>
      </c>
    </row>
    <row r="2582" ht="14.25" customHeight="1">
      <c r="A2582" s="4"/>
      <c r="B2582" s="4" t="s">
        <v>1802</v>
      </c>
      <c r="C2582" s="4" t="s">
        <v>4072</v>
      </c>
      <c r="D2582" s="4" t="s">
        <v>4073</v>
      </c>
      <c r="E2582" s="5">
        <v>32.9314828330175</v>
      </c>
    </row>
    <row r="2583" ht="14.25" customHeight="1">
      <c r="A2583" s="4"/>
      <c r="B2583" s="4" t="s">
        <v>1802</v>
      </c>
      <c r="C2583" s="4" t="s">
        <v>4074</v>
      </c>
      <c r="D2583" s="4" t="s">
        <v>1812</v>
      </c>
      <c r="E2583" s="5">
        <v>48.3641275995966</v>
      </c>
    </row>
    <row r="2584" ht="14.25" customHeight="1">
      <c r="A2584" s="4"/>
      <c r="B2584" s="4" t="s">
        <v>1802</v>
      </c>
      <c r="C2584" s="4" t="s">
        <v>4075</v>
      </c>
      <c r="D2584" s="4" t="s">
        <v>1984</v>
      </c>
      <c r="E2584" s="5">
        <v>19.539107550237</v>
      </c>
    </row>
    <row r="2585" ht="14.25" customHeight="1">
      <c r="A2585" s="4"/>
      <c r="B2585" s="4" t="s">
        <v>1802</v>
      </c>
      <c r="C2585" s="4" t="s">
        <v>4076</v>
      </c>
      <c r="D2585" s="4" t="s">
        <v>1812</v>
      </c>
      <c r="E2585" s="5">
        <v>48.3641275995966</v>
      </c>
    </row>
    <row r="2586" ht="14.25" customHeight="1">
      <c r="A2586" s="4"/>
      <c r="B2586" s="4" t="s">
        <v>1802</v>
      </c>
      <c r="C2586" s="4" t="s">
        <v>4077</v>
      </c>
      <c r="D2586" s="4" t="s">
        <v>4078</v>
      </c>
      <c r="E2586" s="5">
        <v>12.845850768540899</v>
      </c>
    </row>
    <row r="2587" ht="14.25" customHeight="1">
      <c r="A2587" s="4"/>
      <c r="B2587" s="4" t="s">
        <v>1802</v>
      </c>
      <c r="C2587" s="4" t="s">
        <v>4079</v>
      </c>
      <c r="D2587" s="4" t="s">
        <v>4080</v>
      </c>
      <c r="E2587" s="5">
        <v>5.43762346544543</v>
      </c>
    </row>
    <row r="2588" ht="14.25" customHeight="1">
      <c r="A2588" s="4"/>
      <c r="B2588" s="4" t="s">
        <v>1802</v>
      </c>
      <c r="C2588" s="4" t="s">
        <v>4081</v>
      </c>
      <c r="D2588" s="4" t="s">
        <v>1951</v>
      </c>
      <c r="E2588" s="5">
        <v>38.6913020796773</v>
      </c>
    </row>
    <row r="2589" ht="14.25" customHeight="1">
      <c r="A2589" s="4"/>
      <c r="B2589" s="4" t="s">
        <v>1802</v>
      </c>
      <c r="C2589" s="4" t="s">
        <v>4082</v>
      </c>
      <c r="D2589" s="4" t="s">
        <v>4083</v>
      </c>
      <c r="E2589" s="5">
        <v>43.3838516477784</v>
      </c>
    </row>
    <row r="2590" ht="14.25" customHeight="1">
      <c r="A2590" s="4"/>
      <c r="B2590" s="4" t="s">
        <v>1802</v>
      </c>
      <c r="C2590" s="4" t="s">
        <v>4084</v>
      </c>
      <c r="D2590" s="4" t="s">
        <v>4085</v>
      </c>
      <c r="E2590" s="5">
        <v>35.6433547554213</v>
      </c>
    </row>
    <row r="2591" ht="14.25" customHeight="1">
      <c r="A2591" s="4"/>
      <c r="B2591" s="4" t="s">
        <v>1802</v>
      </c>
      <c r="C2591" s="4" t="s">
        <v>1774</v>
      </c>
      <c r="D2591" s="4" t="s">
        <v>1812</v>
      </c>
      <c r="E2591" s="5">
        <v>48.3641275995966</v>
      </c>
    </row>
    <row r="2592" ht="14.25" customHeight="1">
      <c r="A2592" s="4"/>
      <c r="B2592" s="4" t="s">
        <v>1802</v>
      </c>
      <c r="C2592" s="4" t="s">
        <v>4086</v>
      </c>
      <c r="D2592" s="4" t="s">
        <v>4087</v>
      </c>
      <c r="E2592" s="5">
        <v>0.561768347065878</v>
      </c>
    </row>
    <row r="2593" ht="14.25" customHeight="1">
      <c r="A2593" s="4"/>
      <c r="B2593" s="4" t="s">
        <v>1802</v>
      </c>
      <c r="C2593" s="4" t="s">
        <v>4088</v>
      </c>
      <c r="D2593" s="4" t="s">
        <v>1812</v>
      </c>
      <c r="E2593" s="5">
        <v>48.3641275995966</v>
      </c>
    </row>
    <row r="2594" ht="14.25" customHeight="1">
      <c r="A2594" s="4"/>
      <c r="B2594" s="4" t="s">
        <v>1802</v>
      </c>
      <c r="C2594" s="4" t="s">
        <v>4089</v>
      </c>
      <c r="D2594" s="4" t="s">
        <v>4090</v>
      </c>
      <c r="E2594" s="5">
        <v>4.57136073703675</v>
      </c>
    </row>
    <row r="2595" ht="14.25" customHeight="1">
      <c r="A2595" s="4"/>
      <c r="B2595" s="4" t="s">
        <v>1802</v>
      </c>
      <c r="C2595" s="4" t="s">
        <v>4091</v>
      </c>
      <c r="D2595" s="4" t="s">
        <v>4092</v>
      </c>
      <c r="E2595" s="5">
        <v>16.2364797163754</v>
      </c>
    </row>
    <row r="2596" ht="14.25" customHeight="1">
      <c r="A2596" s="4"/>
      <c r="B2596" s="4" t="s">
        <v>1802</v>
      </c>
      <c r="C2596" s="4" t="s">
        <v>4093</v>
      </c>
      <c r="D2596" s="4" t="s">
        <v>4094</v>
      </c>
      <c r="E2596" s="5">
        <v>40.7102464032589</v>
      </c>
    </row>
    <row r="2597" ht="14.25" customHeight="1">
      <c r="A2597" s="4"/>
      <c r="B2597" s="4" t="s">
        <v>1802</v>
      </c>
      <c r="C2597" s="4" t="s">
        <v>4095</v>
      </c>
      <c r="D2597" s="4" t="s">
        <v>1812</v>
      </c>
      <c r="E2597" s="5">
        <v>48.3641275995966</v>
      </c>
    </row>
    <row r="2598" ht="14.25" customHeight="1">
      <c r="A2598" s="4"/>
      <c r="B2598" s="4" t="s">
        <v>1802</v>
      </c>
      <c r="C2598" s="4" t="s">
        <v>4096</v>
      </c>
      <c r="D2598" s="4" t="s">
        <v>4097</v>
      </c>
      <c r="E2598" s="5">
        <v>12.767438168114</v>
      </c>
    </row>
    <row r="2599" ht="14.25" customHeight="1">
      <c r="A2599" s="4"/>
      <c r="B2599" s="4" t="s">
        <v>1802</v>
      </c>
      <c r="C2599" s="4" t="s">
        <v>4098</v>
      </c>
      <c r="D2599" s="4" t="s">
        <v>4099</v>
      </c>
      <c r="E2599" s="5">
        <v>2.60658948869141</v>
      </c>
    </row>
    <row r="2600" ht="14.25" customHeight="1">
      <c r="A2600" s="4"/>
      <c r="B2600" s="4" t="s">
        <v>1802</v>
      </c>
      <c r="C2600" s="4" t="s">
        <v>4100</v>
      </c>
      <c r="D2600" s="4" t="s">
        <v>4101</v>
      </c>
      <c r="E2600" s="5">
        <v>10.199723749796801</v>
      </c>
    </row>
    <row r="2601" ht="14.25" customHeight="1">
      <c r="A2601" s="4"/>
      <c r="B2601" s="4" t="s">
        <v>1802</v>
      </c>
      <c r="C2601" s="4" t="s">
        <v>4102</v>
      </c>
      <c r="D2601" s="4" t="s">
        <v>1812</v>
      </c>
      <c r="E2601" s="5">
        <v>48.3641275995966</v>
      </c>
    </row>
    <row r="2602" ht="14.25" customHeight="1">
      <c r="A2602" s="4"/>
      <c r="B2602" s="4" t="s">
        <v>1802</v>
      </c>
      <c r="C2602" s="4" t="s">
        <v>1694</v>
      </c>
      <c r="D2602" s="4" t="s">
        <v>1812</v>
      </c>
      <c r="E2602" s="5">
        <v>48.3641275995966</v>
      </c>
    </row>
    <row r="2603" ht="14.25" customHeight="1">
      <c r="A2603" s="4"/>
      <c r="B2603" s="4" t="s">
        <v>1802</v>
      </c>
      <c r="C2603" s="4" t="s">
        <v>4103</v>
      </c>
      <c r="D2603" s="4" t="s">
        <v>1812</v>
      </c>
      <c r="E2603" s="5">
        <v>48.3641275995966</v>
      </c>
    </row>
    <row r="2604" ht="14.25" customHeight="1">
      <c r="A2604" s="4"/>
      <c r="B2604" s="4" t="s">
        <v>1802</v>
      </c>
      <c r="C2604" s="4" t="s">
        <v>4104</v>
      </c>
      <c r="D2604" s="4" t="s">
        <v>4105</v>
      </c>
      <c r="E2604" s="5">
        <v>18.3889444279226</v>
      </c>
    </row>
    <row r="2605" ht="14.25" customHeight="1">
      <c r="A2605" s="4"/>
      <c r="B2605" s="4" t="s">
        <v>1802</v>
      </c>
      <c r="C2605" s="4" t="s">
        <v>4106</v>
      </c>
      <c r="D2605" s="4" t="s">
        <v>4107</v>
      </c>
      <c r="E2605" s="5">
        <v>8.71842016684991</v>
      </c>
    </row>
    <row r="2606" ht="14.25" customHeight="1">
      <c r="A2606" s="4"/>
      <c r="B2606" s="4" t="s">
        <v>1802</v>
      </c>
      <c r="C2606" s="4" t="s">
        <v>4108</v>
      </c>
      <c r="D2606" s="4" t="s">
        <v>4109</v>
      </c>
      <c r="E2606" s="5">
        <v>25.1571799259073</v>
      </c>
    </row>
    <row r="2607" ht="14.25" customHeight="1">
      <c r="A2607" s="4"/>
      <c r="B2607" s="4" t="s">
        <v>1802</v>
      </c>
      <c r="C2607" s="4" t="s">
        <v>4110</v>
      </c>
      <c r="D2607" s="4" t="s">
        <v>1812</v>
      </c>
      <c r="E2607" s="5">
        <v>48.3641275995966</v>
      </c>
    </row>
    <row r="2608" ht="14.25" customHeight="1">
      <c r="A2608" s="4"/>
      <c r="B2608" s="4" t="s">
        <v>1802</v>
      </c>
      <c r="C2608" s="4" t="s">
        <v>4111</v>
      </c>
      <c r="D2608" s="4" t="s">
        <v>1812</v>
      </c>
      <c r="E2608" s="5">
        <v>48.3641275995966</v>
      </c>
    </row>
    <row r="2609" ht="14.25" customHeight="1">
      <c r="A2609" s="4"/>
      <c r="B2609" s="4" t="s">
        <v>1802</v>
      </c>
      <c r="C2609" s="4" t="s">
        <v>4112</v>
      </c>
      <c r="D2609" s="4" t="s">
        <v>1812</v>
      </c>
      <c r="E2609" s="5">
        <v>48.3641275995966</v>
      </c>
    </row>
    <row r="2610" ht="14.25" customHeight="1">
      <c r="A2610" s="4"/>
      <c r="B2610" s="4" t="s">
        <v>1802</v>
      </c>
      <c r="C2610" s="4" t="s">
        <v>4113</v>
      </c>
      <c r="D2610" s="4" t="s">
        <v>1837</v>
      </c>
      <c r="E2610" s="5">
        <v>9.672825519919328</v>
      </c>
    </row>
    <row r="2611" ht="14.25" customHeight="1">
      <c r="A2611" s="4"/>
      <c r="B2611" s="4" t="s">
        <v>1802</v>
      </c>
      <c r="C2611" s="4" t="s">
        <v>4114</v>
      </c>
      <c r="D2611" s="4" t="s">
        <v>1812</v>
      </c>
      <c r="E2611" s="5">
        <v>48.3641275995966</v>
      </c>
    </row>
    <row r="2612" ht="14.25" customHeight="1">
      <c r="A2612" s="4"/>
      <c r="B2612" s="4" t="s">
        <v>1802</v>
      </c>
      <c r="C2612" s="4" t="s">
        <v>1254</v>
      </c>
      <c r="D2612" s="4" t="s">
        <v>1812</v>
      </c>
      <c r="E2612" s="5">
        <v>48.3641275995966</v>
      </c>
    </row>
    <row r="2613" ht="14.25" customHeight="1">
      <c r="A2613" s="4"/>
      <c r="B2613" s="4" t="s">
        <v>1802</v>
      </c>
      <c r="C2613" s="4" t="s">
        <v>4115</v>
      </c>
      <c r="D2613" s="4" t="s">
        <v>4116</v>
      </c>
      <c r="E2613" s="5">
        <v>9.71790656293472</v>
      </c>
    </row>
    <row r="2614" ht="14.25" customHeight="1">
      <c r="A2614" s="4"/>
      <c r="B2614" s="4" t="s">
        <v>1802</v>
      </c>
      <c r="C2614" s="4" t="s">
        <v>4117</v>
      </c>
      <c r="D2614" s="4" t="s">
        <v>4118</v>
      </c>
      <c r="E2614" s="5">
        <v>11.589157514498199</v>
      </c>
    </row>
    <row r="2615" ht="14.25" customHeight="1">
      <c r="A2615" s="4"/>
      <c r="B2615" s="4" t="s">
        <v>1802</v>
      </c>
      <c r="C2615" s="4" t="s">
        <v>4119</v>
      </c>
      <c r="D2615" s="4" t="s">
        <v>4120</v>
      </c>
      <c r="E2615" s="5">
        <v>39.4086267419707</v>
      </c>
    </row>
    <row r="2616" ht="14.25" customHeight="1">
      <c r="A2616" s="4"/>
      <c r="B2616" s="4" t="s">
        <v>1802</v>
      </c>
      <c r="C2616" s="4" t="s">
        <v>4121</v>
      </c>
      <c r="D2616" s="4" t="s">
        <v>4122</v>
      </c>
      <c r="E2616" s="5">
        <v>46.4581952433857</v>
      </c>
    </row>
    <row r="2617" ht="14.25" customHeight="1">
      <c r="A2617" s="4"/>
      <c r="B2617" s="4" t="s">
        <v>1802</v>
      </c>
      <c r="C2617" s="4" t="s">
        <v>4123</v>
      </c>
      <c r="D2617" s="4" t="s">
        <v>4124</v>
      </c>
      <c r="E2617" s="5">
        <v>33.9131934622829</v>
      </c>
    </row>
    <row r="2618" ht="14.25" customHeight="1">
      <c r="A2618" s="4"/>
      <c r="B2618" s="4" t="s">
        <v>1802</v>
      </c>
      <c r="C2618" s="4" t="s">
        <v>4125</v>
      </c>
      <c r="D2618" s="4" t="s">
        <v>4126</v>
      </c>
      <c r="E2618" s="5">
        <v>5.66645542215591</v>
      </c>
    </row>
    <row r="2619" ht="14.25" customHeight="1">
      <c r="A2619" s="4"/>
      <c r="B2619" s="4" t="s">
        <v>1802</v>
      </c>
      <c r="C2619" s="4" t="s">
        <v>4127</v>
      </c>
      <c r="D2619" s="4" t="s">
        <v>4128</v>
      </c>
      <c r="E2619" s="5">
        <v>25.6920850796563</v>
      </c>
    </row>
    <row r="2620" ht="14.25" customHeight="1">
      <c r="A2620" s="4"/>
      <c r="B2620" s="4" t="s">
        <v>1802</v>
      </c>
      <c r="C2620" s="4" t="s">
        <v>1669</v>
      </c>
      <c r="D2620" s="4" t="s">
        <v>1812</v>
      </c>
      <c r="E2620" s="5">
        <v>48.3641275995966</v>
      </c>
    </row>
    <row r="2621" ht="14.25" customHeight="1">
      <c r="A2621" s="4"/>
      <c r="B2621" s="4" t="s">
        <v>1802</v>
      </c>
      <c r="C2621" s="4" t="s">
        <v>4129</v>
      </c>
      <c r="D2621" s="4" t="s">
        <v>1812</v>
      </c>
      <c r="E2621" s="5">
        <v>48.3641275995966</v>
      </c>
    </row>
    <row r="2622" ht="14.25" customHeight="1">
      <c r="A2622" s="4"/>
      <c r="B2622" s="4" t="s">
        <v>1802</v>
      </c>
      <c r="C2622" s="4" t="s">
        <v>4130</v>
      </c>
      <c r="D2622" s="4" t="s">
        <v>1812</v>
      </c>
      <c r="E2622" s="5">
        <v>48.3641275995966</v>
      </c>
    </row>
    <row r="2623" ht="14.25" customHeight="1">
      <c r="A2623" s="4"/>
      <c r="B2623" s="4" t="s">
        <v>1802</v>
      </c>
      <c r="C2623" s="4" t="s">
        <v>4131</v>
      </c>
      <c r="D2623" s="4" t="s">
        <v>4132</v>
      </c>
      <c r="E2623" s="5">
        <v>3.87468250693133</v>
      </c>
    </row>
    <row r="2624" ht="14.25" customHeight="1">
      <c r="A2624" s="4"/>
      <c r="B2624" s="4" t="s">
        <v>1802</v>
      </c>
      <c r="C2624" s="4" t="s">
        <v>4133</v>
      </c>
      <c r="D2624" s="4" t="s">
        <v>4134</v>
      </c>
      <c r="E2624" s="5">
        <v>48.010244578845096</v>
      </c>
    </row>
    <row r="2625" ht="14.25" customHeight="1">
      <c r="A2625" s="4"/>
      <c r="B2625" s="4" t="s">
        <v>1802</v>
      </c>
      <c r="C2625" s="4" t="s">
        <v>4135</v>
      </c>
      <c r="D2625" s="4" t="s">
        <v>4136</v>
      </c>
      <c r="E2625" s="5">
        <v>40.7170122706189</v>
      </c>
    </row>
    <row r="2626" ht="14.25" customHeight="1">
      <c r="A2626" s="4"/>
      <c r="B2626" s="4" t="s">
        <v>1802</v>
      </c>
      <c r="C2626" s="4" t="s">
        <v>1418</v>
      </c>
      <c r="D2626" s="4" t="s">
        <v>1812</v>
      </c>
      <c r="E2626" s="5">
        <v>48.3641275995966</v>
      </c>
    </row>
    <row r="2627" ht="14.25" customHeight="1">
      <c r="A2627" s="4"/>
      <c r="B2627" s="4" t="s">
        <v>1802</v>
      </c>
      <c r="C2627" s="4" t="s">
        <v>4137</v>
      </c>
      <c r="D2627" s="4" t="s">
        <v>4138</v>
      </c>
      <c r="E2627" s="5">
        <v>33.8548893197176</v>
      </c>
    </row>
    <row r="2628" ht="14.25" customHeight="1">
      <c r="A2628" s="4"/>
      <c r="B2628" s="4" t="s">
        <v>1802</v>
      </c>
      <c r="C2628" s="4" t="s">
        <v>4139</v>
      </c>
      <c r="D2628" s="4" t="s">
        <v>1812</v>
      </c>
      <c r="E2628" s="5">
        <v>48.3641275995966</v>
      </c>
    </row>
    <row r="2629" ht="14.25" customHeight="1">
      <c r="A2629" s="4"/>
      <c r="B2629" s="4" t="s">
        <v>1802</v>
      </c>
      <c r="C2629" s="4" t="s">
        <v>4140</v>
      </c>
      <c r="D2629" s="4" t="s">
        <v>1812</v>
      </c>
      <c r="E2629" s="5">
        <v>48.3641275995966</v>
      </c>
    </row>
    <row r="2630" ht="14.25" customHeight="1">
      <c r="A2630" s="4"/>
      <c r="B2630" s="4" t="s">
        <v>1802</v>
      </c>
      <c r="C2630" s="4" t="s">
        <v>4141</v>
      </c>
      <c r="D2630" s="4" t="s">
        <v>1812</v>
      </c>
      <c r="E2630" s="5">
        <v>48.3641275995966</v>
      </c>
    </row>
    <row r="2631" ht="14.25" customHeight="1">
      <c r="A2631" s="4"/>
      <c r="B2631" s="4" t="s">
        <v>1802</v>
      </c>
      <c r="C2631" s="4" t="s">
        <v>4142</v>
      </c>
      <c r="D2631" s="4" t="s">
        <v>4143</v>
      </c>
      <c r="E2631" s="5">
        <v>12.1556419788061</v>
      </c>
    </row>
    <row r="2632" ht="14.25" customHeight="1">
      <c r="A2632" s="4"/>
      <c r="B2632" s="4" t="s">
        <v>1802</v>
      </c>
      <c r="C2632" s="4" t="s">
        <v>4144</v>
      </c>
      <c r="D2632" s="4" t="s">
        <v>4145</v>
      </c>
      <c r="E2632" s="5">
        <v>23.4132397062055</v>
      </c>
    </row>
    <row r="2633" ht="14.25" customHeight="1">
      <c r="A2633" s="4"/>
      <c r="B2633" s="4" t="s">
        <v>1802</v>
      </c>
      <c r="C2633" s="4" t="s">
        <v>4146</v>
      </c>
      <c r="D2633" s="4" t="s">
        <v>4147</v>
      </c>
      <c r="E2633" s="5">
        <v>16.8165599188499</v>
      </c>
    </row>
    <row r="2634" ht="14.25" customHeight="1">
      <c r="A2634" s="4"/>
      <c r="B2634" s="4" t="s">
        <v>1802</v>
      </c>
      <c r="C2634" s="4" t="s">
        <v>4148</v>
      </c>
      <c r="D2634" s="4" t="s">
        <v>4149</v>
      </c>
      <c r="E2634" s="5">
        <v>36.612045262221</v>
      </c>
    </row>
    <row r="2635" ht="14.25" customHeight="1">
      <c r="A2635" s="4"/>
      <c r="B2635" s="4" t="s">
        <v>1802</v>
      </c>
      <c r="C2635" s="4" t="s">
        <v>4150</v>
      </c>
      <c r="D2635" s="4" t="s">
        <v>4151</v>
      </c>
      <c r="E2635" s="5">
        <v>7.10451440343793</v>
      </c>
    </row>
    <row r="2636" ht="14.25" customHeight="1">
      <c r="A2636" s="4"/>
      <c r="B2636" s="4" t="s">
        <v>1802</v>
      </c>
      <c r="C2636" s="4" t="s">
        <v>4152</v>
      </c>
      <c r="D2636" s="4" t="s">
        <v>4153</v>
      </c>
      <c r="E2636" s="5">
        <v>19.5648443181902</v>
      </c>
    </row>
    <row r="2637" ht="14.25" customHeight="1">
      <c r="A2637" s="4"/>
      <c r="B2637" s="4" t="s">
        <v>1802</v>
      </c>
      <c r="C2637" s="4" t="s">
        <v>4154</v>
      </c>
      <c r="D2637" s="4" t="s">
        <v>1812</v>
      </c>
      <c r="E2637" s="5">
        <v>48.3641275995966</v>
      </c>
    </row>
    <row r="2638" ht="14.25" customHeight="1">
      <c r="A2638" s="4"/>
      <c r="B2638" s="4" t="s">
        <v>1802</v>
      </c>
      <c r="C2638" s="4" t="s">
        <v>4155</v>
      </c>
      <c r="D2638" s="4" t="s">
        <v>1821</v>
      </c>
      <c r="E2638" s="5">
        <v>19.3456510398386</v>
      </c>
    </row>
    <row r="2639" ht="14.25" customHeight="1">
      <c r="A2639" s="4"/>
      <c r="B2639" s="4" t="s">
        <v>1802</v>
      </c>
      <c r="C2639" s="4" t="s">
        <v>127</v>
      </c>
      <c r="D2639" s="4" t="s">
        <v>1812</v>
      </c>
      <c r="E2639" s="5">
        <v>48.3641275995966</v>
      </c>
    </row>
    <row r="2640" ht="14.25" customHeight="1">
      <c r="A2640" s="4"/>
      <c r="B2640" s="4" t="s">
        <v>1802</v>
      </c>
      <c r="C2640" s="4" t="s">
        <v>4156</v>
      </c>
      <c r="D2640" s="4" t="s">
        <v>4157</v>
      </c>
      <c r="E2640" s="5">
        <v>48.318225887072195</v>
      </c>
    </row>
    <row r="2641" ht="14.25" customHeight="1">
      <c r="A2641" s="4"/>
      <c r="B2641" s="4" t="s">
        <v>1802</v>
      </c>
      <c r="C2641" s="4" t="s">
        <v>4158</v>
      </c>
      <c r="D2641" s="4" t="s">
        <v>1812</v>
      </c>
      <c r="E2641" s="5">
        <v>48.3641275995966</v>
      </c>
    </row>
    <row r="2642" ht="14.25" customHeight="1">
      <c r="A2642" s="4"/>
      <c r="B2642" s="4" t="s">
        <v>1802</v>
      </c>
      <c r="C2642" s="4" t="s">
        <v>4159</v>
      </c>
      <c r="D2642" s="4" t="s">
        <v>4160</v>
      </c>
      <c r="E2642" s="5">
        <v>13.541955727887</v>
      </c>
    </row>
    <row r="2643" ht="14.25" customHeight="1">
      <c r="A2643" s="4"/>
      <c r="B2643" s="4" t="s">
        <v>1802</v>
      </c>
      <c r="C2643" s="4" t="s">
        <v>4161</v>
      </c>
      <c r="D2643" s="4" t="s">
        <v>1837</v>
      </c>
      <c r="E2643" s="5">
        <v>9.672825519919328</v>
      </c>
    </row>
    <row r="2644" ht="14.25" customHeight="1">
      <c r="A2644" s="4"/>
      <c r="B2644" s="4" t="s">
        <v>1802</v>
      </c>
      <c r="C2644" s="4" t="s">
        <v>4162</v>
      </c>
      <c r="D2644" s="4" t="s">
        <v>4163</v>
      </c>
      <c r="E2644" s="5">
        <v>2.8141727606771</v>
      </c>
    </row>
    <row r="2645" ht="14.25" customHeight="1">
      <c r="A2645" s="4"/>
      <c r="B2645" s="4" t="s">
        <v>1802</v>
      </c>
      <c r="C2645" s="4" t="s">
        <v>4164</v>
      </c>
      <c r="D2645" s="4" t="s">
        <v>4165</v>
      </c>
      <c r="E2645" s="5">
        <v>11.861824006351</v>
      </c>
    </row>
    <row r="2646" ht="14.25" customHeight="1">
      <c r="A2646" s="4"/>
      <c r="B2646" s="4" t="s">
        <v>1802</v>
      </c>
      <c r="C2646" s="4" t="s">
        <v>4166</v>
      </c>
      <c r="D2646" s="4" t="s">
        <v>1837</v>
      </c>
      <c r="E2646" s="5">
        <v>9.672825519919328</v>
      </c>
    </row>
    <row r="2647" ht="14.25" customHeight="1">
      <c r="A2647" s="4"/>
      <c r="B2647" s="4" t="s">
        <v>1802</v>
      </c>
      <c r="C2647" s="4" t="s">
        <v>4167</v>
      </c>
      <c r="D2647" s="4" t="s">
        <v>1837</v>
      </c>
      <c r="E2647" s="5">
        <v>9.672825519919328</v>
      </c>
    </row>
    <row r="2648" ht="14.25" customHeight="1">
      <c r="A2648" s="4"/>
      <c r="B2648" s="4" t="s">
        <v>1802</v>
      </c>
      <c r="C2648" s="4" t="s">
        <v>4168</v>
      </c>
      <c r="D2648" s="4" t="s">
        <v>1812</v>
      </c>
      <c r="E2648" s="5">
        <v>48.3641275995966</v>
      </c>
    </row>
    <row r="2649" ht="14.25" customHeight="1">
      <c r="A2649" s="4"/>
      <c r="B2649" s="4" t="s">
        <v>1802</v>
      </c>
      <c r="C2649" s="4" t="s">
        <v>4169</v>
      </c>
      <c r="D2649" s="4" t="s">
        <v>4170</v>
      </c>
      <c r="E2649" s="5">
        <v>7.93173825878325</v>
      </c>
    </row>
    <row r="2650" ht="14.25" customHeight="1">
      <c r="A2650" s="4"/>
      <c r="B2650" s="4" t="s">
        <v>1802</v>
      </c>
      <c r="C2650" s="4" t="s">
        <v>4171</v>
      </c>
      <c r="D2650" s="4" t="s">
        <v>1812</v>
      </c>
      <c r="E2650" s="5">
        <v>48.3641275995966</v>
      </c>
    </row>
    <row r="2651" ht="14.25" customHeight="1">
      <c r="A2651" s="4"/>
      <c r="B2651" s="4" t="s">
        <v>1802</v>
      </c>
      <c r="C2651" s="4" t="s">
        <v>4172</v>
      </c>
      <c r="D2651" s="4" t="s">
        <v>1812</v>
      </c>
      <c r="E2651" s="5">
        <v>48.3641275995966</v>
      </c>
    </row>
    <row r="2652" ht="14.25" customHeight="1">
      <c r="A2652" s="4"/>
      <c r="B2652" s="4" t="s">
        <v>1802</v>
      </c>
      <c r="C2652" s="4" t="s">
        <v>4173</v>
      </c>
      <c r="D2652" s="4" t="s">
        <v>3909</v>
      </c>
      <c r="E2652" s="5">
        <v>3.8691302079677303</v>
      </c>
    </row>
    <row r="2653" ht="14.25" customHeight="1">
      <c r="A2653" s="4"/>
      <c r="B2653" s="4" t="s">
        <v>1802</v>
      </c>
      <c r="C2653" s="4" t="s">
        <v>4174</v>
      </c>
      <c r="D2653" s="4" t="s">
        <v>2105</v>
      </c>
      <c r="E2653" s="5">
        <v>29.018476559758</v>
      </c>
    </row>
    <row r="2654" ht="14.25" customHeight="1">
      <c r="A2654" s="4"/>
      <c r="B2654" s="4" t="s">
        <v>1802</v>
      </c>
      <c r="C2654" s="4" t="s">
        <v>4175</v>
      </c>
      <c r="D2654" s="4" t="s">
        <v>4176</v>
      </c>
      <c r="E2654" s="5">
        <v>47.333031229872105</v>
      </c>
    </row>
    <row r="2655" ht="14.25" customHeight="1">
      <c r="A2655" s="4"/>
      <c r="B2655" s="4" t="s">
        <v>1802</v>
      </c>
      <c r="C2655" s="4" t="s">
        <v>4177</v>
      </c>
      <c r="D2655" s="4" t="s">
        <v>1812</v>
      </c>
      <c r="E2655" s="5">
        <v>48.3641275995966</v>
      </c>
    </row>
    <row r="2656" ht="14.25" customHeight="1">
      <c r="A2656" s="4"/>
      <c r="B2656" s="4" t="s">
        <v>1802</v>
      </c>
      <c r="C2656" s="4" t="s">
        <v>4178</v>
      </c>
      <c r="D2656" s="4" t="s">
        <v>4179</v>
      </c>
      <c r="E2656" s="5">
        <v>24.970752540476</v>
      </c>
    </row>
    <row r="2657" ht="14.25" customHeight="1">
      <c r="A2657" s="4"/>
      <c r="B2657" s="4" t="s">
        <v>1802</v>
      </c>
      <c r="C2657" s="4" t="s">
        <v>4180</v>
      </c>
      <c r="D2657" s="4" t="s">
        <v>4181</v>
      </c>
      <c r="E2657" s="5">
        <v>31.1464981741402</v>
      </c>
    </row>
    <row r="2658" ht="14.25" customHeight="1">
      <c r="A2658" s="4"/>
      <c r="B2658" s="4" t="s">
        <v>1802</v>
      </c>
      <c r="C2658" s="4" t="s">
        <v>4182</v>
      </c>
      <c r="D2658" s="4" t="s">
        <v>1812</v>
      </c>
      <c r="E2658" s="5">
        <v>48.3641275995966</v>
      </c>
    </row>
    <row r="2659" ht="14.25" customHeight="1">
      <c r="A2659" s="4"/>
      <c r="B2659" s="4" t="s">
        <v>1802</v>
      </c>
      <c r="C2659" s="4" t="s">
        <v>4183</v>
      </c>
      <c r="D2659" s="4" t="s">
        <v>1837</v>
      </c>
      <c r="E2659" s="5">
        <v>9.672825519919328</v>
      </c>
    </row>
    <row r="2660" ht="14.25" customHeight="1">
      <c r="A2660" s="4"/>
      <c r="B2660" s="4" t="s">
        <v>1802</v>
      </c>
      <c r="C2660" s="4" t="s">
        <v>4184</v>
      </c>
      <c r="D2660" s="4" t="s">
        <v>1812</v>
      </c>
      <c r="E2660" s="5">
        <v>48.3641275995966</v>
      </c>
    </row>
    <row r="2661" ht="14.25" customHeight="1">
      <c r="A2661" s="4"/>
      <c r="B2661" s="4" t="s">
        <v>1802</v>
      </c>
      <c r="C2661" s="4" t="s">
        <v>4185</v>
      </c>
      <c r="D2661" s="4" t="s">
        <v>1812</v>
      </c>
      <c r="E2661" s="5">
        <v>48.3641275995966</v>
      </c>
    </row>
    <row r="2662" ht="14.25" customHeight="1">
      <c r="A2662" s="4"/>
      <c r="B2662" s="4" t="s">
        <v>1802</v>
      </c>
      <c r="C2662" s="4" t="s">
        <v>1238</v>
      </c>
      <c r="D2662" s="4" t="s">
        <v>1812</v>
      </c>
      <c r="E2662" s="5">
        <v>48.3641275995966</v>
      </c>
    </row>
    <row r="2663" ht="14.25" customHeight="1">
      <c r="A2663" s="4"/>
      <c r="B2663" s="4" t="s">
        <v>1802</v>
      </c>
      <c r="C2663" s="4" t="s">
        <v>4186</v>
      </c>
      <c r="D2663" s="4" t="s">
        <v>4187</v>
      </c>
      <c r="E2663" s="5">
        <v>27.5953472829395</v>
      </c>
    </row>
    <row r="2664" ht="14.25" customHeight="1">
      <c r="A2664" s="4"/>
      <c r="B2664" s="4" t="s">
        <v>1802</v>
      </c>
      <c r="C2664" s="4" t="s">
        <v>1091</v>
      </c>
      <c r="D2664" s="4" t="s">
        <v>1812</v>
      </c>
      <c r="E2664" s="5">
        <v>48.3641275995966</v>
      </c>
    </row>
    <row r="2665" ht="14.25" customHeight="1">
      <c r="A2665" s="4"/>
      <c r="B2665" s="4" t="s">
        <v>1802</v>
      </c>
      <c r="C2665" s="4" t="s">
        <v>4188</v>
      </c>
      <c r="D2665" s="4" t="s">
        <v>4189</v>
      </c>
      <c r="E2665" s="5">
        <v>13.834084800865</v>
      </c>
    </row>
    <row r="2666" ht="14.25" customHeight="1">
      <c r="A2666" s="4"/>
      <c r="B2666" s="4" t="s">
        <v>1802</v>
      </c>
      <c r="C2666" s="4" t="s">
        <v>4190</v>
      </c>
      <c r="D2666" s="4" t="s">
        <v>1812</v>
      </c>
      <c r="E2666" s="5">
        <v>48.3641275995966</v>
      </c>
    </row>
    <row r="2667" ht="14.25" customHeight="1">
      <c r="A2667" s="4"/>
      <c r="B2667" s="4" t="s">
        <v>1802</v>
      </c>
      <c r="C2667" s="4" t="s">
        <v>4191</v>
      </c>
      <c r="D2667" s="4" t="s">
        <v>1812</v>
      </c>
      <c r="E2667" s="5">
        <v>48.3641275995966</v>
      </c>
    </row>
    <row r="2668" ht="14.25" customHeight="1">
      <c r="A2668" s="4"/>
      <c r="B2668" s="4" t="s">
        <v>1802</v>
      </c>
      <c r="C2668" s="4" t="s">
        <v>4192</v>
      </c>
      <c r="D2668" s="4" t="s">
        <v>4193</v>
      </c>
      <c r="E2668" s="5">
        <v>19.229248171767203</v>
      </c>
    </row>
    <row r="2669" ht="14.25" customHeight="1">
      <c r="A2669" s="4"/>
      <c r="B2669" s="4" t="s">
        <v>1802</v>
      </c>
      <c r="C2669" s="4" t="s">
        <v>4194</v>
      </c>
      <c r="D2669" s="4" t="s">
        <v>1837</v>
      </c>
      <c r="E2669" s="5">
        <v>9.672825519919328</v>
      </c>
    </row>
    <row r="2670" ht="14.25" customHeight="1">
      <c r="A2670" s="4"/>
      <c r="B2670" s="4" t="s">
        <v>1802</v>
      </c>
      <c r="C2670" s="4" t="s">
        <v>4195</v>
      </c>
      <c r="D2670" s="4" t="s">
        <v>4196</v>
      </c>
      <c r="E2670" s="5">
        <v>43.9676186043325</v>
      </c>
    </row>
    <row r="2671" ht="14.25" customHeight="1">
      <c r="A2671" s="4"/>
      <c r="B2671" s="4" t="s">
        <v>1802</v>
      </c>
      <c r="C2671" s="4" t="s">
        <v>4197</v>
      </c>
      <c r="D2671" s="4" t="s">
        <v>4198</v>
      </c>
      <c r="E2671" s="5">
        <v>44.0220626941813</v>
      </c>
    </row>
    <row r="2672" ht="14.25" customHeight="1">
      <c r="A2672" s="4"/>
      <c r="B2672" s="4" t="s">
        <v>1802</v>
      </c>
      <c r="C2672" s="4" t="s">
        <v>4199</v>
      </c>
      <c r="D2672" s="4" t="s">
        <v>1812</v>
      </c>
      <c r="E2672" s="5">
        <v>48.3641275995966</v>
      </c>
    </row>
    <row r="2673" ht="14.25" customHeight="1">
      <c r="A2673" s="4"/>
      <c r="B2673" s="4" t="s">
        <v>1802</v>
      </c>
      <c r="C2673" s="4" t="s">
        <v>4200</v>
      </c>
      <c r="D2673" s="4" t="s">
        <v>4201</v>
      </c>
      <c r="E2673" s="5">
        <v>43.8005792403423</v>
      </c>
    </row>
    <row r="2674" ht="14.25" customHeight="1">
      <c r="A2674" s="4"/>
      <c r="B2674" s="4" t="s">
        <v>1802</v>
      </c>
      <c r="C2674" s="4" t="s">
        <v>4202</v>
      </c>
      <c r="D2674" s="4" t="s">
        <v>1812</v>
      </c>
      <c r="E2674" s="5">
        <v>48.3641275995966</v>
      </c>
    </row>
    <row r="2675" ht="14.25" customHeight="1">
      <c r="A2675" s="4"/>
      <c r="B2675" s="4" t="s">
        <v>1802</v>
      </c>
      <c r="C2675" s="4" t="s">
        <v>4203</v>
      </c>
      <c r="D2675" s="4" t="s">
        <v>1812</v>
      </c>
      <c r="E2675" s="5">
        <v>48.3641275995966</v>
      </c>
    </row>
    <row r="2676" ht="14.25" customHeight="1">
      <c r="A2676" s="4"/>
      <c r="B2676" s="4" t="s">
        <v>1802</v>
      </c>
      <c r="C2676" s="4" t="s">
        <v>4204</v>
      </c>
      <c r="D2676" s="4" t="s">
        <v>4205</v>
      </c>
      <c r="E2676" s="5">
        <v>9.910587912941171</v>
      </c>
    </row>
    <row r="2677" ht="14.25" customHeight="1">
      <c r="A2677" s="4"/>
      <c r="B2677" s="4" t="s">
        <v>1802</v>
      </c>
      <c r="C2677" s="4" t="s">
        <v>4206</v>
      </c>
      <c r="D2677" s="4" t="s">
        <v>1812</v>
      </c>
      <c r="E2677" s="5">
        <v>48.3641275995966</v>
      </c>
    </row>
    <row r="2678" ht="14.25" customHeight="1">
      <c r="A2678" s="4"/>
      <c r="B2678" s="4" t="s">
        <v>1802</v>
      </c>
      <c r="C2678" s="4" t="s">
        <v>4207</v>
      </c>
      <c r="D2678" s="4" t="s">
        <v>1812</v>
      </c>
      <c r="E2678" s="5">
        <v>48.3641275995966</v>
      </c>
    </row>
    <row r="2679" ht="14.25" customHeight="1">
      <c r="A2679" s="4"/>
      <c r="B2679" s="4" t="s">
        <v>1802</v>
      </c>
      <c r="C2679" s="4" t="s">
        <v>4208</v>
      </c>
      <c r="D2679" s="4" t="s">
        <v>3640</v>
      </c>
      <c r="E2679" s="5">
        <v>8.7055429679274</v>
      </c>
    </row>
    <row r="2680" ht="14.25" customHeight="1">
      <c r="A2680" s="4"/>
      <c r="B2680" s="4" t="s">
        <v>1802</v>
      </c>
      <c r="C2680" s="4" t="s">
        <v>4209</v>
      </c>
      <c r="D2680" s="4" t="s">
        <v>1812</v>
      </c>
      <c r="E2680" s="5">
        <v>48.3641275995966</v>
      </c>
    </row>
    <row r="2681" ht="14.25" customHeight="1">
      <c r="A2681" s="4"/>
      <c r="B2681" s="4" t="s">
        <v>1802</v>
      </c>
      <c r="C2681" s="4" t="s">
        <v>4210</v>
      </c>
      <c r="D2681" s="4" t="s">
        <v>1837</v>
      </c>
      <c r="E2681" s="5">
        <v>9.672825519919328</v>
      </c>
    </row>
    <row r="2682" ht="14.25" customHeight="1">
      <c r="A2682" s="4"/>
      <c r="B2682" s="4" t="s">
        <v>1802</v>
      </c>
      <c r="C2682" s="4" t="s">
        <v>4211</v>
      </c>
      <c r="D2682" s="4" t="s">
        <v>1812</v>
      </c>
      <c r="E2682" s="5">
        <v>48.3641275995966</v>
      </c>
    </row>
    <row r="2683" ht="14.25" customHeight="1">
      <c r="A2683" s="4"/>
      <c r="B2683" s="4" t="s">
        <v>1802</v>
      </c>
      <c r="C2683" s="4" t="s">
        <v>4212</v>
      </c>
      <c r="D2683" s="4" t="s">
        <v>4213</v>
      </c>
      <c r="E2683" s="5">
        <v>1.28779930431555</v>
      </c>
    </row>
    <row r="2684" ht="14.25" customHeight="1">
      <c r="A2684" s="4"/>
      <c r="B2684" s="4" t="s">
        <v>1802</v>
      </c>
      <c r="C2684" s="4" t="s">
        <v>4214</v>
      </c>
      <c r="D2684" s="4" t="s">
        <v>4215</v>
      </c>
      <c r="E2684" s="5">
        <v>48.1997528981962</v>
      </c>
    </row>
    <row r="2685" ht="14.25" customHeight="1">
      <c r="A2685" s="4"/>
      <c r="B2685" s="4" t="s">
        <v>1802</v>
      </c>
      <c r="C2685" s="4" t="s">
        <v>4216</v>
      </c>
      <c r="D2685" s="4" t="s">
        <v>1812</v>
      </c>
      <c r="E2685" s="5">
        <v>48.3641275995966</v>
      </c>
    </row>
    <row r="2686" ht="14.25" customHeight="1">
      <c r="A2686" s="4"/>
      <c r="B2686" s="4" t="s">
        <v>1802</v>
      </c>
      <c r="C2686" s="4" t="s">
        <v>4217</v>
      </c>
      <c r="D2686" s="4" t="s">
        <v>4218</v>
      </c>
      <c r="E2686" s="5">
        <v>43.1768949032837</v>
      </c>
    </row>
    <row r="2687" ht="14.25" customHeight="1">
      <c r="A2687" s="4"/>
      <c r="B2687" s="4" t="s">
        <v>1802</v>
      </c>
      <c r="C2687" s="4" t="s">
        <v>4219</v>
      </c>
      <c r="D2687" s="4" t="s">
        <v>4220</v>
      </c>
      <c r="E2687" s="5">
        <v>11.752855187124899</v>
      </c>
    </row>
    <row r="2688" ht="14.25" customHeight="1">
      <c r="A2688" s="4"/>
      <c r="B2688" s="4" t="s">
        <v>1802</v>
      </c>
      <c r="C2688" s="4" t="s">
        <v>4221</v>
      </c>
      <c r="D2688" s="4" t="s">
        <v>4222</v>
      </c>
      <c r="E2688" s="5">
        <v>6.78897056114846</v>
      </c>
    </row>
    <row r="2689" ht="14.25" customHeight="1">
      <c r="A2689" s="4"/>
      <c r="B2689" s="4" t="s">
        <v>1802</v>
      </c>
      <c r="C2689" s="4" t="s">
        <v>4223</v>
      </c>
      <c r="D2689" s="4" t="s">
        <v>1812</v>
      </c>
      <c r="E2689" s="5">
        <v>48.3641275995966</v>
      </c>
    </row>
    <row r="2690" ht="14.25" customHeight="1">
      <c r="A2690" s="4"/>
      <c r="B2690" s="4" t="s">
        <v>1802</v>
      </c>
      <c r="C2690" s="4" t="s">
        <v>4224</v>
      </c>
      <c r="D2690" s="4" t="s">
        <v>4225</v>
      </c>
      <c r="E2690" s="5">
        <v>8.96734850997032</v>
      </c>
    </row>
    <row r="2691" ht="14.25" customHeight="1">
      <c r="A2691" s="4"/>
      <c r="B2691" s="4" t="s">
        <v>1802</v>
      </c>
      <c r="C2691" s="4" t="s">
        <v>4226</v>
      </c>
      <c r="D2691" s="4" t="s">
        <v>1812</v>
      </c>
      <c r="E2691" s="5">
        <v>48.3641275995966</v>
      </c>
    </row>
    <row r="2692" ht="14.25" customHeight="1">
      <c r="A2692" s="4"/>
      <c r="B2692" s="4" t="s">
        <v>1802</v>
      </c>
      <c r="C2692" s="4" t="s">
        <v>4227</v>
      </c>
      <c r="D2692" s="4" t="s">
        <v>1812</v>
      </c>
      <c r="E2692" s="5">
        <v>48.3641275995966</v>
      </c>
    </row>
    <row r="2693" ht="14.25" customHeight="1">
      <c r="A2693" s="4"/>
      <c r="B2693" s="4" t="s">
        <v>1802</v>
      </c>
      <c r="C2693" s="4" t="s">
        <v>4228</v>
      </c>
      <c r="D2693" s="4" t="s">
        <v>1812</v>
      </c>
      <c r="E2693" s="5">
        <v>48.3641275995966</v>
      </c>
    </row>
    <row r="2694" ht="14.25" customHeight="1">
      <c r="A2694" s="4"/>
      <c r="B2694" s="4" t="s">
        <v>1802</v>
      </c>
      <c r="C2694" s="4" t="s">
        <v>4229</v>
      </c>
      <c r="D2694" s="4" t="s">
        <v>4230</v>
      </c>
      <c r="E2694" s="5">
        <v>47.2700856951963</v>
      </c>
    </row>
    <row r="2695" ht="14.25" customHeight="1">
      <c r="A2695" s="4"/>
      <c r="B2695" s="4" t="s">
        <v>1802</v>
      </c>
      <c r="C2695" s="4" t="s">
        <v>4231</v>
      </c>
      <c r="D2695" s="4" t="s">
        <v>4232</v>
      </c>
      <c r="E2695" s="5">
        <v>3.5399479773713103</v>
      </c>
    </row>
    <row r="2696" ht="14.25" customHeight="1">
      <c r="A2696" s="4"/>
      <c r="B2696" s="4" t="s">
        <v>1802</v>
      </c>
      <c r="C2696" s="4" t="s">
        <v>4233</v>
      </c>
      <c r="D2696" s="4" t="s">
        <v>4234</v>
      </c>
      <c r="E2696" s="5">
        <v>20.180306354289403</v>
      </c>
    </row>
    <row r="2697" ht="14.25" customHeight="1">
      <c r="A2697" s="4"/>
      <c r="B2697" s="4" t="s">
        <v>1802</v>
      </c>
      <c r="C2697" s="4" t="s">
        <v>4235</v>
      </c>
      <c r="D2697" s="4" t="s">
        <v>4236</v>
      </c>
      <c r="E2697" s="5">
        <v>18.8729266625252</v>
      </c>
    </row>
    <row r="2698" ht="14.25" customHeight="1">
      <c r="A2698" s="4"/>
      <c r="B2698" s="4" t="s">
        <v>1802</v>
      </c>
      <c r="C2698" s="4" t="s">
        <v>4237</v>
      </c>
      <c r="D2698" s="4" t="s">
        <v>1812</v>
      </c>
      <c r="E2698" s="5">
        <v>48.3641275995966</v>
      </c>
    </row>
    <row r="2699" ht="14.25" customHeight="1">
      <c r="A2699" s="4"/>
      <c r="B2699" s="4" t="s">
        <v>1802</v>
      </c>
      <c r="C2699" s="4" t="s">
        <v>4238</v>
      </c>
      <c r="D2699" s="4" t="s">
        <v>4239</v>
      </c>
      <c r="E2699" s="5">
        <v>9.72487161899973</v>
      </c>
    </row>
    <row r="2700" ht="14.25" customHeight="1">
      <c r="A2700" s="4"/>
      <c r="B2700" s="4" t="s">
        <v>1802</v>
      </c>
      <c r="C2700" s="4" t="s">
        <v>4240</v>
      </c>
      <c r="D2700" s="4" t="s">
        <v>4241</v>
      </c>
      <c r="E2700" s="5">
        <v>19.6425683044133</v>
      </c>
    </row>
    <row r="2701" ht="14.25" customHeight="1">
      <c r="A2701" s="4"/>
      <c r="B2701" s="4" t="s">
        <v>1802</v>
      </c>
      <c r="C2701" s="4" t="s">
        <v>4242</v>
      </c>
      <c r="D2701" s="4" t="s">
        <v>4243</v>
      </c>
      <c r="E2701" s="5">
        <v>17.480218087629602</v>
      </c>
    </row>
    <row r="2702" ht="14.25" customHeight="1">
      <c r="A2702" s="4"/>
      <c r="B2702" s="4" t="s">
        <v>1802</v>
      </c>
      <c r="C2702" s="4" t="s">
        <v>4244</v>
      </c>
      <c r="D2702" s="4" t="s">
        <v>4245</v>
      </c>
      <c r="E2702" s="5">
        <v>48.3426915759008</v>
      </c>
    </row>
    <row r="2703" ht="14.25" customHeight="1">
      <c r="A2703" s="4"/>
      <c r="B2703" s="4" t="s">
        <v>1802</v>
      </c>
      <c r="C2703" s="4" t="s">
        <v>4246</v>
      </c>
      <c r="D2703" s="4" t="s">
        <v>4247</v>
      </c>
      <c r="E2703" s="5">
        <v>9.91783367416969</v>
      </c>
    </row>
    <row r="2704" ht="14.25" customHeight="1">
      <c r="A2704" s="4"/>
      <c r="B2704" s="4" t="s">
        <v>1802</v>
      </c>
      <c r="C2704" s="4" t="s">
        <v>4248</v>
      </c>
      <c r="D2704" s="4" t="s">
        <v>4249</v>
      </c>
      <c r="E2704" s="5">
        <v>41.5282915595082</v>
      </c>
    </row>
    <row r="2705" ht="14.25" customHeight="1">
      <c r="A2705" s="4"/>
      <c r="B2705" s="4" t="s">
        <v>1802</v>
      </c>
      <c r="C2705" s="4" t="s">
        <v>4250</v>
      </c>
      <c r="D2705" s="4" t="s">
        <v>4251</v>
      </c>
      <c r="E2705" s="5">
        <v>10.6219180280562</v>
      </c>
    </row>
    <row r="2706" ht="14.25" customHeight="1">
      <c r="A2706" s="4"/>
      <c r="B2706" s="4" t="s">
        <v>1802</v>
      </c>
      <c r="C2706" s="4" t="s">
        <v>895</v>
      </c>
      <c r="D2706" s="4" t="s">
        <v>1812</v>
      </c>
      <c r="E2706" s="5">
        <v>48.3641275995966</v>
      </c>
    </row>
    <row r="2707" ht="14.25" customHeight="1">
      <c r="A2707" s="4"/>
      <c r="B2707" s="4" t="s">
        <v>1802</v>
      </c>
      <c r="C2707" s="4" t="s">
        <v>4252</v>
      </c>
      <c r="D2707" s="4" t="s">
        <v>1812</v>
      </c>
      <c r="E2707" s="5">
        <v>48.3641275995966</v>
      </c>
    </row>
    <row r="2708" ht="14.25" customHeight="1">
      <c r="A2708" s="4"/>
      <c r="B2708" s="4" t="s">
        <v>1802</v>
      </c>
      <c r="C2708" s="4" t="s">
        <v>4253</v>
      </c>
      <c r="D2708" s="4" t="s">
        <v>4254</v>
      </c>
      <c r="E2708" s="5">
        <v>0.00866847003712383</v>
      </c>
    </row>
    <row r="2709" ht="14.25" customHeight="1">
      <c r="A2709" s="4"/>
      <c r="B2709" s="4" t="s">
        <v>1802</v>
      </c>
      <c r="C2709" s="4" t="s">
        <v>932</v>
      </c>
      <c r="D2709" s="4" t="s">
        <v>1812</v>
      </c>
      <c r="E2709" s="5">
        <v>48.3641275995966</v>
      </c>
    </row>
    <row r="2710" ht="14.25" customHeight="1">
      <c r="A2710" s="4"/>
      <c r="B2710" s="4" t="s">
        <v>1802</v>
      </c>
      <c r="C2710" s="4" t="s">
        <v>4255</v>
      </c>
      <c r="D2710" s="4" t="s">
        <v>1812</v>
      </c>
      <c r="E2710" s="5">
        <v>48.3641275995966</v>
      </c>
    </row>
    <row r="2711" ht="14.25" customHeight="1">
      <c r="A2711" s="4"/>
      <c r="B2711" s="4" t="s">
        <v>1802</v>
      </c>
      <c r="C2711" s="4" t="s">
        <v>4256</v>
      </c>
      <c r="D2711" s="4" t="s">
        <v>1837</v>
      </c>
      <c r="E2711" s="5">
        <v>9.672825519919328</v>
      </c>
    </row>
    <row r="2712" ht="14.25" customHeight="1">
      <c r="A2712" s="4"/>
      <c r="B2712" s="4" t="s">
        <v>1802</v>
      </c>
      <c r="C2712" s="4" t="s">
        <v>4257</v>
      </c>
      <c r="D2712" s="4" t="s">
        <v>2683</v>
      </c>
      <c r="E2712" s="5">
        <v>1.93456510398386</v>
      </c>
    </row>
    <row r="2713" ht="14.25" customHeight="1">
      <c r="A2713" s="4"/>
      <c r="B2713" s="4" t="s">
        <v>1802</v>
      </c>
      <c r="C2713" s="4" t="s">
        <v>4258</v>
      </c>
      <c r="D2713" s="4" t="s">
        <v>4259</v>
      </c>
      <c r="E2713" s="5">
        <v>2.92936617092773</v>
      </c>
    </row>
    <row r="2714" ht="14.25" customHeight="1">
      <c r="A2714" s="4"/>
      <c r="B2714" s="4" t="s">
        <v>1802</v>
      </c>
      <c r="C2714" s="4" t="s">
        <v>4260</v>
      </c>
      <c r="D2714" s="4" t="s">
        <v>1812</v>
      </c>
      <c r="E2714" s="5">
        <v>48.3641275995966</v>
      </c>
    </row>
    <row r="2715" ht="14.25" customHeight="1">
      <c r="A2715" s="4"/>
      <c r="B2715" s="4" t="s">
        <v>1802</v>
      </c>
      <c r="C2715" s="4" t="s">
        <v>4261</v>
      </c>
      <c r="D2715" s="4" t="s">
        <v>4262</v>
      </c>
      <c r="E2715" s="5">
        <v>48.339163676473596</v>
      </c>
    </row>
    <row r="2716" ht="14.25" customHeight="1">
      <c r="A2716" s="4"/>
      <c r="B2716" s="4" t="s">
        <v>1802</v>
      </c>
      <c r="C2716" s="4" t="s">
        <v>4263</v>
      </c>
      <c r="D2716" s="4" t="s">
        <v>4264</v>
      </c>
      <c r="E2716" s="5">
        <v>44.5342803007415</v>
      </c>
    </row>
    <row r="2717" ht="14.25" customHeight="1">
      <c r="A2717" s="4"/>
      <c r="B2717" s="4" t="s">
        <v>1802</v>
      </c>
      <c r="C2717" s="4" t="s">
        <v>1007</v>
      </c>
      <c r="D2717" s="4" t="s">
        <v>4265</v>
      </c>
      <c r="E2717" s="5">
        <v>2.8643590178642</v>
      </c>
    </row>
    <row r="2718" ht="14.25" customHeight="1">
      <c r="A2718" s="4"/>
      <c r="B2718" s="4" t="s">
        <v>1802</v>
      </c>
      <c r="C2718" s="4" t="s">
        <v>4266</v>
      </c>
      <c r="D2718" s="4" t="s">
        <v>2062</v>
      </c>
      <c r="E2718" s="5">
        <v>9.86628203031772</v>
      </c>
    </row>
    <row r="2719" ht="14.25" customHeight="1">
      <c r="A2719" s="4"/>
      <c r="B2719" s="4" t="s">
        <v>1802</v>
      </c>
      <c r="C2719" s="4" t="s">
        <v>4267</v>
      </c>
      <c r="D2719" s="4" t="s">
        <v>1812</v>
      </c>
      <c r="E2719" s="5">
        <v>48.3641275995966</v>
      </c>
    </row>
    <row r="2720" ht="14.25" customHeight="1">
      <c r="A2720" s="4"/>
      <c r="B2720" s="4" t="s">
        <v>1802</v>
      </c>
      <c r="C2720" s="4" t="s">
        <v>4268</v>
      </c>
      <c r="D2720" s="4" t="s">
        <v>1837</v>
      </c>
      <c r="E2720" s="5">
        <v>9.672825519919328</v>
      </c>
    </row>
    <row r="2721" ht="14.25" customHeight="1">
      <c r="A2721" s="4"/>
      <c r="B2721" s="4" t="s">
        <v>1802</v>
      </c>
      <c r="C2721" s="4" t="s">
        <v>4269</v>
      </c>
      <c r="D2721" s="4" t="s">
        <v>4270</v>
      </c>
      <c r="E2721" s="5">
        <v>42.8138465198474</v>
      </c>
    </row>
    <row r="2722" ht="14.25" customHeight="1">
      <c r="A2722" s="4"/>
      <c r="B2722" s="4" t="s">
        <v>1802</v>
      </c>
      <c r="C2722" s="4" t="s">
        <v>4271</v>
      </c>
      <c r="D2722" s="4" t="s">
        <v>1812</v>
      </c>
      <c r="E2722" s="5">
        <v>48.3641275995966</v>
      </c>
    </row>
    <row r="2723" ht="14.25" customHeight="1">
      <c r="A2723" s="4"/>
      <c r="B2723" s="4" t="s">
        <v>1802</v>
      </c>
      <c r="C2723" s="4" t="s">
        <v>4272</v>
      </c>
      <c r="D2723" s="4" t="s">
        <v>4273</v>
      </c>
      <c r="E2723" s="5">
        <v>10.190458464404601</v>
      </c>
    </row>
    <row r="2724" ht="14.25" customHeight="1">
      <c r="A2724" s="4"/>
      <c r="B2724" s="4" t="s">
        <v>1802</v>
      </c>
      <c r="C2724" s="4" t="s">
        <v>4274</v>
      </c>
      <c r="D2724" s="4" t="s">
        <v>1812</v>
      </c>
      <c r="E2724" s="5">
        <v>48.3641275995966</v>
      </c>
    </row>
    <row r="2725" ht="14.25" customHeight="1">
      <c r="A2725" s="4"/>
      <c r="B2725" s="4" t="s">
        <v>1802</v>
      </c>
      <c r="C2725" s="4" t="s">
        <v>232</v>
      </c>
      <c r="D2725" s="4" t="s">
        <v>4275</v>
      </c>
      <c r="E2725" s="5">
        <v>1.5446560713685802</v>
      </c>
    </row>
    <row r="2726" ht="14.25" customHeight="1">
      <c r="A2726" s="4"/>
      <c r="B2726" s="4" t="s">
        <v>1802</v>
      </c>
      <c r="C2726" s="4" t="s">
        <v>4276</v>
      </c>
      <c r="D2726" s="4" t="s">
        <v>1812</v>
      </c>
      <c r="E2726" s="5">
        <v>48.3641275995966</v>
      </c>
    </row>
    <row r="2727" ht="14.25" customHeight="1">
      <c r="A2727" s="4"/>
      <c r="B2727" s="4" t="s">
        <v>1802</v>
      </c>
      <c r="C2727" s="4" t="s">
        <v>4277</v>
      </c>
      <c r="D2727" s="4" t="s">
        <v>1812</v>
      </c>
      <c r="E2727" s="5">
        <v>48.3641275995966</v>
      </c>
    </row>
    <row r="2728" ht="14.25" customHeight="1">
      <c r="A2728" s="4"/>
      <c r="B2728" s="4" t="s">
        <v>1802</v>
      </c>
      <c r="C2728" s="4" t="s">
        <v>1019</v>
      </c>
      <c r="D2728" s="4" t="s">
        <v>1812</v>
      </c>
      <c r="E2728" s="5">
        <v>48.3641275995966</v>
      </c>
    </row>
    <row r="2729" ht="14.25" customHeight="1">
      <c r="A2729" s="4"/>
      <c r="B2729" s="4" t="s">
        <v>1802</v>
      </c>
      <c r="C2729" s="4" t="s">
        <v>4278</v>
      </c>
      <c r="D2729" s="4" t="s">
        <v>1812</v>
      </c>
      <c r="E2729" s="5">
        <v>48.3641275995966</v>
      </c>
    </row>
    <row r="2730" ht="14.25" customHeight="1">
      <c r="A2730" s="4"/>
      <c r="B2730" s="4" t="s">
        <v>1802</v>
      </c>
      <c r="C2730" s="4" t="s">
        <v>4279</v>
      </c>
      <c r="D2730" s="4" t="s">
        <v>4280</v>
      </c>
      <c r="E2730" s="5">
        <v>42.9923796962475</v>
      </c>
    </row>
    <row r="2731" ht="14.25" customHeight="1">
      <c r="A2731" s="4"/>
      <c r="B2731" s="4" t="s">
        <v>1802</v>
      </c>
      <c r="C2731" s="4" t="s">
        <v>4281</v>
      </c>
      <c r="D2731" s="4" t="s">
        <v>4282</v>
      </c>
      <c r="E2731" s="5">
        <v>4.78829340076268</v>
      </c>
    </row>
    <row r="2732" ht="14.25" customHeight="1">
      <c r="A2732" s="4"/>
      <c r="B2732" s="4" t="s">
        <v>1802</v>
      </c>
      <c r="C2732" s="4" t="s">
        <v>4283</v>
      </c>
      <c r="D2732" s="4" t="s">
        <v>2864</v>
      </c>
      <c r="E2732" s="5">
        <v>5.8036953119516</v>
      </c>
    </row>
    <row r="2733" ht="14.25" customHeight="1">
      <c r="A2733" s="4"/>
      <c r="B2733" s="4" t="s">
        <v>1802</v>
      </c>
      <c r="C2733" s="4" t="s">
        <v>4284</v>
      </c>
      <c r="D2733" s="4" t="s">
        <v>1821</v>
      </c>
      <c r="E2733" s="5">
        <v>19.3456510398386</v>
      </c>
    </row>
    <row r="2734" ht="14.25" customHeight="1">
      <c r="A2734" s="4"/>
      <c r="B2734" s="4" t="s">
        <v>1802</v>
      </c>
      <c r="C2734" s="4" t="s">
        <v>4285</v>
      </c>
      <c r="D2734" s="4" t="s">
        <v>4286</v>
      </c>
      <c r="E2734" s="5">
        <v>28.8794370043529</v>
      </c>
    </row>
    <row r="2735" ht="14.25" customHeight="1">
      <c r="A2735" s="4"/>
      <c r="B2735" s="4" t="s">
        <v>1802</v>
      </c>
      <c r="C2735" s="4" t="s">
        <v>4287</v>
      </c>
      <c r="D2735" s="4" t="s">
        <v>4288</v>
      </c>
      <c r="E2735" s="5">
        <v>2.72924273475089</v>
      </c>
    </row>
    <row r="2736" ht="14.25" customHeight="1">
      <c r="A2736" s="4"/>
      <c r="B2736" s="4" t="s">
        <v>1802</v>
      </c>
      <c r="C2736" s="4" t="s">
        <v>4289</v>
      </c>
      <c r="D2736" s="4" t="s">
        <v>1812</v>
      </c>
      <c r="E2736" s="5">
        <v>48.3641275995966</v>
      </c>
    </row>
    <row r="2737" ht="14.25" customHeight="1">
      <c r="A2737" s="4"/>
      <c r="B2737" s="4" t="s">
        <v>1802</v>
      </c>
      <c r="C2737" s="4" t="s">
        <v>4290</v>
      </c>
      <c r="D2737" s="4" t="s">
        <v>1837</v>
      </c>
      <c r="E2737" s="5">
        <v>9.672825519919328</v>
      </c>
    </row>
    <row r="2738" ht="14.25" customHeight="1">
      <c r="A2738" s="4"/>
      <c r="B2738" s="4" t="s">
        <v>1802</v>
      </c>
      <c r="C2738" s="4" t="s">
        <v>4291</v>
      </c>
      <c r="D2738" s="4" t="s">
        <v>1837</v>
      </c>
      <c r="E2738" s="5">
        <v>9.672825519919328</v>
      </c>
    </row>
    <row r="2739" ht="14.25" customHeight="1">
      <c r="A2739" s="4"/>
      <c r="B2739" s="4" t="s">
        <v>1802</v>
      </c>
      <c r="C2739" s="4" t="s">
        <v>970</v>
      </c>
      <c r="D2739" s="4" t="s">
        <v>1812</v>
      </c>
      <c r="E2739" s="5">
        <v>48.3641275995966</v>
      </c>
    </row>
    <row r="2740" ht="14.25" customHeight="1">
      <c r="A2740" s="4"/>
      <c r="B2740" s="4" t="s">
        <v>1802</v>
      </c>
      <c r="C2740" s="4" t="s">
        <v>4292</v>
      </c>
      <c r="D2740" s="4" t="s">
        <v>4293</v>
      </c>
      <c r="E2740" s="5">
        <v>9.82201688305559</v>
      </c>
    </row>
    <row r="2741" ht="14.25" customHeight="1">
      <c r="A2741" s="4"/>
      <c r="B2741" s="4" t="s">
        <v>1802</v>
      </c>
      <c r="C2741" s="4" t="s">
        <v>4294</v>
      </c>
      <c r="D2741" s="4" t="s">
        <v>4295</v>
      </c>
      <c r="E2741" s="5">
        <v>8.67392497132551</v>
      </c>
    </row>
    <row r="2742" ht="14.25" customHeight="1">
      <c r="A2742" s="4"/>
      <c r="B2742" s="4" t="s">
        <v>1802</v>
      </c>
      <c r="C2742" s="4" t="s">
        <v>4296</v>
      </c>
      <c r="D2742" s="4" t="s">
        <v>1812</v>
      </c>
      <c r="E2742" s="5">
        <v>48.3641275995966</v>
      </c>
    </row>
    <row r="2743" ht="14.25" customHeight="1">
      <c r="A2743" s="4"/>
      <c r="B2743" s="4" t="s">
        <v>1802</v>
      </c>
      <c r="C2743" s="4" t="s">
        <v>4297</v>
      </c>
      <c r="D2743" s="4" t="s">
        <v>4298</v>
      </c>
      <c r="E2743" s="5">
        <v>10.795807391954801</v>
      </c>
    </row>
    <row r="2744" ht="14.25" customHeight="1">
      <c r="A2744" s="4"/>
      <c r="B2744" s="4" t="s">
        <v>1802</v>
      </c>
      <c r="C2744" s="4" t="s">
        <v>4299</v>
      </c>
      <c r="D2744" s="4" t="s">
        <v>1812</v>
      </c>
      <c r="E2744" s="5">
        <v>48.3641275995966</v>
      </c>
    </row>
    <row r="2745" ht="14.25" customHeight="1">
      <c r="A2745" s="4"/>
      <c r="B2745" s="4" t="s">
        <v>1802</v>
      </c>
      <c r="C2745" s="4" t="s">
        <v>4300</v>
      </c>
      <c r="D2745" s="4" t="s">
        <v>1837</v>
      </c>
      <c r="E2745" s="5">
        <v>9.672825519919328</v>
      </c>
    </row>
    <row r="2746" ht="14.25" customHeight="1">
      <c r="A2746" s="4"/>
      <c r="B2746" s="4" t="s">
        <v>1802</v>
      </c>
      <c r="C2746" s="4" t="s">
        <v>4301</v>
      </c>
      <c r="D2746" s="4" t="s">
        <v>1812</v>
      </c>
      <c r="E2746" s="5">
        <v>48.3641275995966</v>
      </c>
    </row>
    <row r="2747" ht="14.25" customHeight="1">
      <c r="A2747" s="4"/>
      <c r="B2747" s="4" t="s">
        <v>1802</v>
      </c>
      <c r="C2747" s="4" t="s">
        <v>4302</v>
      </c>
      <c r="D2747" s="4" t="s">
        <v>4303</v>
      </c>
      <c r="E2747" s="5">
        <v>5.00137030995992</v>
      </c>
    </row>
    <row r="2748" ht="14.25" customHeight="1">
      <c r="A2748" s="4"/>
      <c r="B2748" s="4" t="s">
        <v>1802</v>
      </c>
      <c r="C2748" s="4" t="s">
        <v>4304</v>
      </c>
      <c r="D2748" s="4" t="s">
        <v>1812</v>
      </c>
      <c r="E2748" s="5">
        <v>48.3641275995966</v>
      </c>
    </row>
    <row r="2749" ht="14.25" customHeight="1">
      <c r="A2749" s="4"/>
      <c r="B2749" s="4" t="s">
        <v>1802</v>
      </c>
      <c r="C2749" s="4" t="s">
        <v>4305</v>
      </c>
      <c r="D2749" s="4" t="s">
        <v>1812</v>
      </c>
      <c r="E2749" s="5">
        <v>48.3641275995966</v>
      </c>
    </row>
    <row r="2750" ht="14.25" customHeight="1">
      <c r="A2750" s="4"/>
      <c r="B2750" s="4" t="s">
        <v>1802</v>
      </c>
      <c r="C2750" s="4" t="s">
        <v>554</v>
      </c>
      <c r="D2750" s="4" t="s">
        <v>1812</v>
      </c>
      <c r="E2750" s="5">
        <v>48.3641275995966</v>
      </c>
    </row>
    <row r="2751" ht="14.25" customHeight="1">
      <c r="A2751" s="4"/>
      <c r="B2751" s="4" t="s">
        <v>1802</v>
      </c>
      <c r="C2751" s="4" t="s">
        <v>4306</v>
      </c>
      <c r="D2751" s="4" t="s">
        <v>1812</v>
      </c>
      <c r="E2751" s="5">
        <v>48.3641275995966</v>
      </c>
    </row>
    <row r="2752" ht="14.25" customHeight="1">
      <c r="A2752" s="4"/>
      <c r="B2752" s="4" t="s">
        <v>1802</v>
      </c>
      <c r="C2752" s="4" t="s">
        <v>4307</v>
      </c>
      <c r="D2752" s="4" t="s">
        <v>1812</v>
      </c>
      <c r="E2752" s="5">
        <v>48.3641275995966</v>
      </c>
    </row>
    <row r="2753" ht="14.25" customHeight="1">
      <c r="A2753" s="4"/>
      <c r="B2753" s="4" t="s">
        <v>1802</v>
      </c>
      <c r="C2753" s="4" t="s">
        <v>1283</v>
      </c>
      <c r="D2753" s="4" t="s">
        <v>4308</v>
      </c>
      <c r="E2753" s="5">
        <v>45.8409185549097</v>
      </c>
    </row>
    <row r="2754" ht="14.25" customHeight="1">
      <c r="A2754" s="4"/>
      <c r="B2754" s="4" t="s">
        <v>1802</v>
      </c>
      <c r="C2754" s="4" t="s">
        <v>4309</v>
      </c>
      <c r="D2754" s="4" t="s">
        <v>4310</v>
      </c>
      <c r="E2754" s="5">
        <v>41.0375277619738</v>
      </c>
    </row>
    <row r="2755" ht="14.25" customHeight="1">
      <c r="A2755" s="4"/>
      <c r="B2755" s="4" t="s">
        <v>1802</v>
      </c>
      <c r="C2755" s="4" t="s">
        <v>4311</v>
      </c>
      <c r="D2755" s="4" t="s">
        <v>1812</v>
      </c>
      <c r="E2755" s="5">
        <v>48.3641275995966</v>
      </c>
    </row>
    <row r="2756" ht="14.25" customHeight="1">
      <c r="A2756" s="4"/>
      <c r="B2756" s="4" t="s">
        <v>1802</v>
      </c>
      <c r="C2756" s="4" t="s">
        <v>4312</v>
      </c>
      <c r="D2756" s="4" t="s">
        <v>4313</v>
      </c>
      <c r="E2756" s="5">
        <v>46.6822210824991</v>
      </c>
    </row>
    <row r="2757" ht="14.25" customHeight="1">
      <c r="A2757" s="4"/>
      <c r="B2757" s="4" t="s">
        <v>1802</v>
      </c>
      <c r="C2757" s="4" t="s">
        <v>657</v>
      </c>
      <c r="D2757" s="4" t="s">
        <v>4314</v>
      </c>
      <c r="E2757" s="5">
        <v>26.6723104626556</v>
      </c>
    </row>
    <row r="2758" ht="14.25" customHeight="1">
      <c r="A2758" s="4"/>
      <c r="B2758" s="4" t="s">
        <v>1802</v>
      </c>
      <c r="C2758" s="4" t="s">
        <v>4315</v>
      </c>
      <c r="D2758" s="4" t="s">
        <v>1812</v>
      </c>
      <c r="E2758" s="5">
        <v>48.3641275995966</v>
      </c>
    </row>
    <row r="2759" ht="14.25" customHeight="1">
      <c r="A2759" s="4"/>
      <c r="B2759" s="4" t="s">
        <v>1802</v>
      </c>
      <c r="C2759" s="4" t="s">
        <v>4316</v>
      </c>
      <c r="D2759" s="4" t="s">
        <v>1812</v>
      </c>
      <c r="E2759" s="5">
        <v>48.3641275995966</v>
      </c>
    </row>
    <row r="2760" ht="14.25" customHeight="1">
      <c r="A2760" s="4"/>
      <c r="B2760" s="4" t="s">
        <v>1802</v>
      </c>
      <c r="C2760" s="4" t="s">
        <v>4317</v>
      </c>
      <c r="D2760" s="4" t="s">
        <v>4318</v>
      </c>
      <c r="E2760" s="5">
        <v>48.1715574881636</v>
      </c>
    </row>
    <row r="2761" ht="14.25" customHeight="1">
      <c r="A2761" s="4"/>
      <c r="B2761" s="4" t="s">
        <v>1802</v>
      </c>
      <c r="C2761" s="4" t="s">
        <v>4319</v>
      </c>
      <c r="D2761" s="4" t="s">
        <v>1837</v>
      </c>
      <c r="E2761" s="5">
        <v>9.672825519919328</v>
      </c>
    </row>
    <row r="2762" ht="14.25" customHeight="1">
      <c r="A2762" s="4"/>
      <c r="B2762" s="4" t="s">
        <v>1802</v>
      </c>
      <c r="C2762" s="4" t="s">
        <v>4320</v>
      </c>
      <c r="D2762" s="4" t="s">
        <v>4321</v>
      </c>
      <c r="E2762" s="5">
        <v>9.46460202527029</v>
      </c>
    </row>
    <row r="2763" ht="14.25" customHeight="1">
      <c r="A2763" s="4"/>
      <c r="B2763" s="4" t="s">
        <v>1802</v>
      </c>
      <c r="C2763" s="4" t="s">
        <v>4322</v>
      </c>
      <c r="D2763" s="4" t="s">
        <v>1812</v>
      </c>
      <c r="E2763" s="5">
        <v>48.3641275995966</v>
      </c>
    </row>
    <row r="2764" ht="14.25" customHeight="1">
      <c r="A2764" s="4"/>
      <c r="B2764" s="4" t="s">
        <v>1802</v>
      </c>
      <c r="C2764" s="4" t="s">
        <v>4323</v>
      </c>
      <c r="D2764" s="4" t="s">
        <v>1837</v>
      </c>
      <c r="E2764" s="5">
        <v>9.672825519919328</v>
      </c>
    </row>
    <row r="2765" ht="14.25" customHeight="1">
      <c r="A2765" s="4"/>
      <c r="B2765" s="4" t="s">
        <v>1802</v>
      </c>
      <c r="C2765" s="4" t="s">
        <v>4324</v>
      </c>
      <c r="D2765" s="4" t="s">
        <v>1812</v>
      </c>
      <c r="E2765" s="5">
        <v>48.3641275995966</v>
      </c>
    </row>
    <row r="2766" ht="14.25" customHeight="1">
      <c r="A2766" s="4"/>
      <c r="B2766" s="4" t="s">
        <v>1802</v>
      </c>
      <c r="C2766" s="4" t="s">
        <v>4325</v>
      </c>
      <c r="D2766" s="4" t="s">
        <v>1984</v>
      </c>
      <c r="E2766" s="5">
        <v>19.539107550237</v>
      </c>
    </row>
    <row r="2767" ht="14.25" customHeight="1">
      <c r="A2767" s="4"/>
      <c r="B2767" s="4" t="s">
        <v>1802</v>
      </c>
      <c r="C2767" s="4" t="s">
        <v>4326</v>
      </c>
      <c r="D2767" s="4" t="s">
        <v>4327</v>
      </c>
      <c r="E2767" s="5">
        <v>32.1327592932137</v>
      </c>
    </row>
    <row r="2768" ht="14.25" customHeight="1">
      <c r="A2768" s="4"/>
      <c r="B2768" s="4" t="s">
        <v>1802</v>
      </c>
      <c r="C2768" s="4" t="s">
        <v>4328</v>
      </c>
      <c r="D2768" s="4" t="s">
        <v>4329</v>
      </c>
      <c r="E2768" s="5">
        <v>42.0112225231391</v>
      </c>
    </row>
    <row r="2769" ht="14.25" customHeight="1">
      <c r="A2769" s="4"/>
      <c r="B2769" s="4" t="s">
        <v>1802</v>
      </c>
      <c r="C2769" s="4" t="s">
        <v>4330</v>
      </c>
      <c r="D2769" s="4" t="s">
        <v>4331</v>
      </c>
      <c r="E2769" s="5">
        <v>2.29496217366104</v>
      </c>
    </row>
    <row r="2770" ht="14.25" customHeight="1">
      <c r="A2770" s="4"/>
      <c r="B2770" s="4" t="s">
        <v>1802</v>
      </c>
      <c r="C2770" s="4" t="s">
        <v>4332</v>
      </c>
      <c r="D2770" s="4" t="s">
        <v>1812</v>
      </c>
      <c r="E2770" s="5">
        <v>48.3641275995966</v>
      </c>
    </row>
    <row r="2771" ht="14.25" customHeight="1">
      <c r="A2771" s="4"/>
      <c r="B2771" s="4" t="s">
        <v>1802</v>
      </c>
      <c r="C2771" s="4" t="s">
        <v>4333</v>
      </c>
      <c r="D2771" s="4" t="s">
        <v>4334</v>
      </c>
      <c r="E2771" s="5">
        <v>44.422870715188395</v>
      </c>
    </row>
    <row r="2772" ht="14.25" customHeight="1">
      <c r="A2772" s="4"/>
      <c r="B2772" s="4" t="s">
        <v>1802</v>
      </c>
      <c r="C2772" s="4" t="s">
        <v>4335</v>
      </c>
      <c r="D2772" s="4" t="s">
        <v>1812</v>
      </c>
      <c r="E2772" s="5">
        <v>48.3641275995966</v>
      </c>
    </row>
    <row r="2773" ht="14.25" customHeight="1">
      <c r="A2773" s="4"/>
      <c r="B2773" s="4" t="s">
        <v>1802</v>
      </c>
      <c r="C2773" s="4" t="s">
        <v>4336</v>
      </c>
      <c r="D2773" s="4" t="s">
        <v>4337</v>
      </c>
      <c r="E2773" s="5">
        <v>9.73332192531412</v>
      </c>
    </row>
    <row r="2774" ht="14.25" customHeight="1">
      <c r="A2774" s="4"/>
      <c r="B2774" s="4" t="s">
        <v>1802</v>
      </c>
      <c r="C2774" s="4" t="s">
        <v>4338</v>
      </c>
      <c r="D2774" s="4" t="s">
        <v>4339</v>
      </c>
      <c r="E2774" s="5">
        <v>9.85876731799697</v>
      </c>
    </row>
    <row r="2775" ht="14.25" customHeight="1">
      <c r="A2775" s="4"/>
      <c r="B2775" s="4" t="s">
        <v>1802</v>
      </c>
      <c r="C2775" s="4" t="s">
        <v>4340</v>
      </c>
      <c r="D2775" s="4" t="s">
        <v>1812</v>
      </c>
      <c r="E2775" s="5">
        <v>48.3641275995966</v>
      </c>
    </row>
    <row r="2776" ht="14.25" customHeight="1">
      <c r="A2776" s="4"/>
      <c r="B2776" s="4" t="s">
        <v>1802</v>
      </c>
      <c r="C2776" s="4" t="s">
        <v>4341</v>
      </c>
      <c r="D2776" s="4" t="s">
        <v>1837</v>
      </c>
      <c r="E2776" s="5">
        <v>9.672825519919328</v>
      </c>
    </row>
    <row r="2777" ht="14.25" customHeight="1">
      <c r="A2777" s="4"/>
      <c r="B2777" s="4" t="s">
        <v>1802</v>
      </c>
      <c r="C2777" s="4" t="s">
        <v>4342</v>
      </c>
      <c r="D2777" s="4" t="s">
        <v>4343</v>
      </c>
      <c r="E2777" s="5">
        <v>37.4401955228615</v>
      </c>
    </row>
    <row r="2778" ht="14.25" customHeight="1">
      <c r="A2778" s="4"/>
      <c r="B2778" s="4" t="s">
        <v>1802</v>
      </c>
      <c r="C2778" s="4" t="s">
        <v>4344</v>
      </c>
      <c r="D2778" s="4" t="s">
        <v>4345</v>
      </c>
      <c r="E2778" s="5">
        <v>23.7986641852327</v>
      </c>
    </row>
    <row r="2779" ht="14.25" customHeight="1">
      <c r="A2779" s="4"/>
      <c r="B2779" s="4" t="s">
        <v>1802</v>
      </c>
      <c r="C2779" s="4" t="s">
        <v>4346</v>
      </c>
      <c r="D2779" s="4" t="s">
        <v>4347</v>
      </c>
      <c r="E2779" s="5">
        <v>18.418925649447</v>
      </c>
    </row>
    <row r="2780" ht="14.25" customHeight="1">
      <c r="A2780" s="4"/>
      <c r="B2780" s="4" t="s">
        <v>1802</v>
      </c>
      <c r="C2780" s="4" t="s">
        <v>4348</v>
      </c>
      <c r="D2780" s="4" t="s">
        <v>1837</v>
      </c>
      <c r="E2780" s="5">
        <v>9.672825519919328</v>
      </c>
    </row>
    <row r="2781" ht="14.25" customHeight="1">
      <c r="A2781" s="4"/>
      <c r="B2781" s="4" t="s">
        <v>1802</v>
      </c>
      <c r="C2781" s="4" t="s">
        <v>4349</v>
      </c>
      <c r="D2781" s="4" t="s">
        <v>1812</v>
      </c>
      <c r="E2781" s="5">
        <v>48.3641275995966</v>
      </c>
    </row>
    <row r="2782" ht="14.25" customHeight="1">
      <c r="A2782" s="4"/>
      <c r="B2782" s="4" t="s">
        <v>1802</v>
      </c>
      <c r="C2782" s="4" t="s">
        <v>4350</v>
      </c>
      <c r="D2782" s="4" t="s">
        <v>4351</v>
      </c>
      <c r="E2782" s="5">
        <v>3.92388010235767</v>
      </c>
    </row>
    <row r="2783" ht="14.25" customHeight="1">
      <c r="A2783" s="4"/>
      <c r="B2783" s="4" t="s">
        <v>1802</v>
      </c>
      <c r="C2783" s="4" t="s">
        <v>4352</v>
      </c>
      <c r="D2783" s="4" t="s">
        <v>4353</v>
      </c>
      <c r="E2783" s="5">
        <v>11.9297587789746</v>
      </c>
    </row>
    <row r="2784" ht="14.25" customHeight="1">
      <c r="A2784" s="4"/>
      <c r="B2784" s="4" t="s">
        <v>1802</v>
      </c>
      <c r="C2784" s="4" t="s">
        <v>4354</v>
      </c>
      <c r="D2784" s="4" t="s">
        <v>1812</v>
      </c>
      <c r="E2784" s="5">
        <v>48.3641275995966</v>
      </c>
    </row>
    <row r="2785" ht="14.25" customHeight="1">
      <c r="A2785" s="4"/>
      <c r="B2785" s="4" t="s">
        <v>1802</v>
      </c>
      <c r="C2785" s="4" t="s">
        <v>4355</v>
      </c>
      <c r="D2785" s="4" t="s">
        <v>1837</v>
      </c>
      <c r="E2785" s="5">
        <v>9.672825519919328</v>
      </c>
    </row>
    <row r="2786" ht="14.25" customHeight="1">
      <c r="A2786" s="4"/>
      <c r="B2786" s="4" t="s">
        <v>1802</v>
      </c>
      <c r="C2786" s="4" t="s">
        <v>4356</v>
      </c>
      <c r="D2786" s="4" t="s">
        <v>4357</v>
      </c>
      <c r="E2786" s="5">
        <v>46.1539768917175</v>
      </c>
    </row>
    <row r="2787" ht="14.25" customHeight="1">
      <c r="A2787" s="4"/>
      <c r="B2787" s="4" t="s">
        <v>1802</v>
      </c>
      <c r="C2787" s="4" t="s">
        <v>4358</v>
      </c>
      <c r="D2787" s="4" t="s">
        <v>1812</v>
      </c>
      <c r="E2787" s="5">
        <v>48.3641275995966</v>
      </c>
    </row>
    <row r="2788" ht="14.25" customHeight="1">
      <c r="A2788" s="4"/>
      <c r="B2788" s="4" t="s">
        <v>1802</v>
      </c>
      <c r="C2788" s="4" t="s">
        <v>4359</v>
      </c>
      <c r="D2788" s="4" t="s">
        <v>1812</v>
      </c>
      <c r="E2788" s="5">
        <v>48.3641275995966</v>
      </c>
    </row>
    <row r="2789" ht="14.25" customHeight="1">
      <c r="A2789" s="4"/>
      <c r="B2789" s="4" t="s">
        <v>1802</v>
      </c>
      <c r="C2789" s="4" t="s">
        <v>4360</v>
      </c>
      <c r="D2789" s="4" t="s">
        <v>1812</v>
      </c>
      <c r="E2789" s="5">
        <v>48.3641275995966</v>
      </c>
    </row>
    <row r="2790" ht="14.25" customHeight="1">
      <c r="A2790" s="4"/>
      <c r="B2790" s="4" t="s">
        <v>1802</v>
      </c>
      <c r="C2790" s="4" t="s">
        <v>528</v>
      </c>
      <c r="D2790" s="4" t="s">
        <v>1812</v>
      </c>
      <c r="E2790" s="5">
        <v>48.3641275995966</v>
      </c>
    </row>
    <row r="2791" ht="14.25" customHeight="1">
      <c r="A2791" s="4"/>
      <c r="B2791" s="4" t="s">
        <v>1802</v>
      </c>
      <c r="C2791" s="4" t="s">
        <v>4361</v>
      </c>
      <c r="D2791" s="4" t="s">
        <v>1812</v>
      </c>
      <c r="E2791" s="5">
        <v>48.3641275995966</v>
      </c>
    </row>
    <row r="2792" ht="14.25" customHeight="1">
      <c r="A2792" s="4"/>
      <c r="B2792" s="4" t="s">
        <v>1802</v>
      </c>
      <c r="C2792" s="4" t="s">
        <v>4362</v>
      </c>
      <c r="D2792" s="4" t="s">
        <v>4363</v>
      </c>
      <c r="E2792" s="5">
        <v>9.819477232416641</v>
      </c>
    </row>
    <row r="2793" ht="14.25" customHeight="1">
      <c r="A2793" s="4"/>
      <c r="B2793" s="4" t="s">
        <v>1802</v>
      </c>
      <c r="C2793" s="4" t="s">
        <v>4364</v>
      </c>
      <c r="D2793" s="4" t="s">
        <v>4365</v>
      </c>
      <c r="E2793" s="5">
        <v>45.0155495939377</v>
      </c>
    </row>
    <row r="2794" ht="14.25" customHeight="1">
      <c r="A2794" s="4"/>
      <c r="B2794" s="4" t="s">
        <v>1802</v>
      </c>
      <c r="C2794" s="4" t="s">
        <v>4366</v>
      </c>
      <c r="D2794" s="4" t="s">
        <v>1812</v>
      </c>
      <c r="E2794" s="5">
        <v>48.3641275995966</v>
      </c>
    </row>
    <row r="2795" ht="14.25" customHeight="1">
      <c r="A2795" s="4"/>
      <c r="B2795" s="4" t="s">
        <v>1802</v>
      </c>
      <c r="C2795" s="4" t="s">
        <v>4367</v>
      </c>
      <c r="D2795" s="4" t="s">
        <v>1812</v>
      </c>
      <c r="E2795" s="5">
        <v>48.3641275995966</v>
      </c>
    </row>
    <row r="2796" ht="14.25" customHeight="1">
      <c r="A2796" s="4"/>
      <c r="B2796" s="4" t="s">
        <v>1802</v>
      </c>
      <c r="C2796" s="4" t="s">
        <v>4368</v>
      </c>
      <c r="D2796" s="4" t="s">
        <v>4369</v>
      </c>
      <c r="E2796" s="5">
        <v>23.565344677519104</v>
      </c>
    </row>
    <row r="2797" ht="14.25" customHeight="1">
      <c r="A2797" s="4"/>
      <c r="B2797" s="4" t="s">
        <v>1802</v>
      </c>
      <c r="C2797" s="4" t="s">
        <v>4370</v>
      </c>
      <c r="D2797" s="4" t="s">
        <v>2181</v>
      </c>
      <c r="E2797" s="5">
        <v>7.738260415935461</v>
      </c>
    </row>
    <row r="2798" ht="14.25" customHeight="1">
      <c r="A2798" s="4"/>
      <c r="B2798" s="4" t="s">
        <v>1802</v>
      </c>
      <c r="C2798" s="4" t="s">
        <v>4371</v>
      </c>
      <c r="D2798" s="4" t="s">
        <v>4372</v>
      </c>
      <c r="E2798" s="5">
        <v>9.65776299132145</v>
      </c>
    </row>
    <row r="2799" ht="14.25" customHeight="1">
      <c r="A2799" s="4"/>
      <c r="B2799" s="4" t="s">
        <v>1802</v>
      </c>
      <c r="C2799" s="4" t="s">
        <v>4373</v>
      </c>
      <c r="D2799" s="4" t="s">
        <v>2062</v>
      </c>
      <c r="E2799" s="5">
        <v>9.86628203031772</v>
      </c>
    </row>
    <row r="2800" ht="14.25" customHeight="1">
      <c r="A2800" s="4"/>
      <c r="B2800" s="4" t="s">
        <v>1802</v>
      </c>
      <c r="C2800" s="4" t="s">
        <v>4374</v>
      </c>
      <c r="D2800" s="4" t="s">
        <v>2834</v>
      </c>
      <c r="E2800" s="5">
        <v>0.193456510398386</v>
      </c>
    </row>
    <row r="2801" ht="14.25" customHeight="1">
      <c r="A2801" s="4"/>
      <c r="B2801" s="4" t="s">
        <v>1802</v>
      </c>
      <c r="C2801" s="4" t="s">
        <v>4375</v>
      </c>
      <c r="D2801" s="4" t="s">
        <v>4376</v>
      </c>
      <c r="E2801" s="5">
        <v>26.5366674734116</v>
      </c>
    </row>
    <row r="2802" ht="14.25" customHeight="1">
      <c r="A2802" s="4"/>
      <c r="B2802" s="4" t="s">
        <v>1802</v>
      </c>
      <c r="C2802" s="4" t="s">
        <v>4377</v>
      </c>
      <c r="D2802" s="4" t="s">
        <v>1812</v>
      </c>
      <c r="E2802" s="5">
        <v>48.3641275995966</v>
      </c>
    </row>
    <row r="2803" ht="14.25" customHeight="1">
      <c r="A2803" s="4"/>
      <c r="B2803" s="4" t="s">
        <v>1802</v>
      </c>
      <c r="C2803" s="4" t="s">
        <v>1066</v>
      </c>
      <c r="D2803" s="4" t="s">
        <v>1812</v>
      </c>
      <c r="E2803" s="5">
        <v>48.3641275995966</v>
      </c>
    </row>
    <row r="2804" ht="14.25" customHeight="1">
      <c r="A2804" s="4"/>
      <c r="B2804" s="4" t="s">
        <v>1802</v>
      </c>
      <c r="C2804" s="4" t="s">
        <v>4378</v>
      </c>
      <c r="D2804" s="4" t="s">
        <v>4379</v>
      </c>
      <c r="E2804" s="5">
        <v>23.4677609359508</v>
      </c>
    </row>
    <row r="2805" ht="14.25" customHeight="1">
      <c r="A2805" s="4"/>
      <c r="B2805" s="4" t="s">
        <v>1802</v>
      </c>
      <c r="C2805" s="4" t="s">
        <v>4380</v>
      </c>
      <c r="D2805" s="4" t="s">
        <v>1812</v>
      </c>
      <c r="E2805" s="5">
        <v>48.3641275995966</v>
      </c>
    </row>
    <row r="2806" ht="14.25" customHeight="1">
      <c r="A2806" s="4"/>
      <c r="B2806" s="4" t="s">
        <v>1802</v>
      </c>
      <c r="C2806" s="4" t="s">
        <v>558</v>
      </c>
      <c r="D2806" s="4" t="s">
        <v>1812</v>
      </c>
      <c r="E2806" s="5">
        <v>48.3641275995966</v>
      </c>
    </row>
    <row r="2807" ht="14.25" customHeight="1">
      <c r="A2807" s="4"/>
      <c r="B2807" s="4" t="s">
        <v>1802</v>
      </c>
      <c r="C2807" s="4" t="s">
        <v>4381</v>
      </c>
      <c r="D2807" s="4" t="s">
        <v>3842</v>
      </c>
      <c r="E2807" s="5">
        <v>0.967282551991933</v>
      </c>
    </row>
    <row r="2808" ht="14.25" customHeight="1">
      <c r="A2808" s="4"/>
      <c r="B2808" s="4" t="s">
        <v>1802</v>
      </c>
      <c r="C2808" s="4" t="s">
        <v>4382</v>
      </c>
      <c r="D2808" s="4" t="s">
        <v>1812</v>
      </c>
      <c r="E2808" s="5">
        <v>48.3641275995966</v>
      </c>
    </row>
    <row r="2809" ht="14.25" customHeight="1">
      <c r="A2809" s="4"/>
      <c r="B2809" s="4" t="s">
        <v>1802</v>
      </c>
      <c r="C2809" s="4" t="s">
        <v>4383</v>
      </c>
      <c r="D2809" s="4" t="s">
        <v>4384</v>
      </c>
      <c r="E2809" s="5">
        <v>9.14083242667027</v>
      </c>
    </row>
    <row r="2810" ht="14.25" customHeight="1">
      <c r="A2810" s="4"/>
      <c r="B2810" s="4" t="s">
        <v>1802</v>
      </c>
      <c r="C2810" s="4" t="s">
        <v>4385</v>
      </c>
      <c r="D2810" s="4" t="s">
        <v>4386</v>
      </c>
      <c r="E2810" s="5">
        <v>21.7219895887285</v>
      </c>
    </row>
    <row r="2811" ht="14.25" customHeight="1">
      <c r="A2811" s="4"/>
      <c r="B2811" s="4" t="s">
        <v>1802</v>
      </c>
      <c r="C2811" s="4" t="s">
        <v>4387</v>
      </c>
      <c r="D2811" s="4" t="s">
        <v>4388</v>
      </c>
      <c r="E2811" s="5">
        <v>48.2962120652557</v>
      </c>
    </row>
    <row r="2812" ht="14.25" customHeight="1">
      <c r="A2812" s="4"/>
      <c r="B2812" s="4" t="s">
        <v>1802</v>
      </c>
      <c r="C2812" s="4" t="s">
        <v>4389</v>
      </c>
      <c r="D2812" s="4" t="s">
        <v>4390</v>
      </c>
      <c r="E2812" s="5">
        <v>4.63969522478311</v>
      </c>
    </row>
    <row r="2813" ht="14.25" customHeight="1">
      <c r="A2813" s="4"/>
      <c r="B2813" s="4" t="s">
        <v>1802</v>
      </c>
      <c r="C2813" s="4" t="s">
        <v>4391</v>
      </c>
      <c r="D2813" s="4" t="s">
        <v>1812</v>
      </c>
      <c r="E2813" s="5">
        <v>48.3641275995966</v>
      </c>
    </row>
    <row r="2814" ht="14.25" customHeight="1">
      <c r="A2814" s="4"/>
      <c r="B2814" s="4" t="s">
        <v>1802</v>
      </c>
      <c r="C2814" s="4" t="s">
        <v>4392</v>
      </c>
      <c r="D2814" s="4" t="s">
        <v>4393</v>
      </c>
      <c r="E2814" s="5">
        <v>3.01323092410995</v>
      </c>
    </row>
    <row r="2815" ht="14.25" customHeight="1">
      <c r="A2815" s="4"/>
      <c r="B2815" s="4" t="s">
        <v>1802</v>
      </c>
      <c r="C2815" s="4" t="s">
        <v>4394</v>
      </c>
      <c r="D2815" s="4" t="s">
        <v>1812</v>
      </c>
      <c r="E2815" s="5">
        <v>48.3641275995966</v>
      </c>
    </row>
    <row r="2816" ht="14.25" customHeight="1">
      <c r="A2816" s="4"/>
      <c r="B2816" s="4" t="s">
        <v>1802</v>
      </c>
      <c r="C2816" s="4" t="s">
        <v>4395</v>
      </c>
      <c r="D2816" s="4" t="s">
        <v>1812</v>
      </c>
      <c r="E2816" s="5">
        <v>48.3641275995966</v>
      </c>
    </row>
    <row r="2817" ht="14.25" customHeight="1">
      <c r="A2817" s="4"/>
      <c r="B2817" s="4" t="s">
        <v>1802</v>
      </c>
      <c r="C2817" s="4" t="s">
        <v>1383</v>
      </c>
      <c r="D2817" s="4" t="s">
        <v>1812</v>
      </c>
      <c r="E2817" s="5">
        <v>48.3641275995966</v>
      </c>
    </row>
    <row r="2818" ht="14.25" customHeight="1">
      <c r="A2818" s="4"/>
      <c r="B2818" s="4" t="s">
        <v>1802</v>
      </c>
      <c r="C2818" s="4" t="s">
        <v>4396</v>
      </c>
      <c r="D2818" s="4" t="s">
        <v>4397</v>
      </c>
      <c r="E2818" s="5">
        <v>47.8999043138443</v>
      </c>
    </row>
    <row r="2819" ht="14.25" customHeight="1">
      <c r="A2819" s="4"/>
      <c r="B2819" s="4" t="s">
        <v>1802</v>
      </c>
      <c r="C2819" s="4" t="s">
        <v>4398</v>
      </c>
      <c r="D2819" s="4" t="s">
        <v>1812</v>
      </c>
      <c r="E2819" s="5">
        <v>48.3641275995966</v>
      </c>
    </row>
    <row r="2820" ht="14.25" customHeight="1">
      <c r="A2820" s="4"/>
      <c r="B2820" s="4" t="s">
        <v>1802</v>
      </c>
      <c r="C2820" s="4" t="s">
        <v>4399</v>
      </c>
      <c r="D2820" s="4" t="s">
        <v>4400</v>
      </c>
      <c r="E2820" s="5">
        <v>4.187599311359159</v>
      </c>
    </row>
    <row r="2821" ht="14.25" customHeight="1">
      <c r="A2821" s="4"/>
      <c r="B2821" s="4" t="s">
        <v>1802</v>
      </c>
      <c r="C2821" s="4" t="s">
        <v>4401</v>
      </c>
      <c r="D2821" s="4" t="s">
        <v>1812</v>
      </c>
      <c r="E2821" s="5">
        <v>48.3641275995966</v>
      </c>
    </row>
    <row r="2822" ht="14.25" customHeight="1">
      <c r="A2822" s="4"/>
      <c r="B2822" s="4" t="s">
        <v>1802</v>
      </c>
      <c r="C2822" s="4" t="s">
        <v>135</v>
      </c>
      <c r="D2822" s="4" t="s">
        <v>1812</v>
      </c>
      <c r="E2822" s="5">
        <v>48.3641275995966</v>
      </c>
    </row>
    <row r="2823" ht="14.25" customHeight="1">
      <c r="A2823" s="4"/>
      <c r="B2823" s="4" t="s">
        <v>1802</v>
      </c>
      <c r="C2823" s="4" t="s">
        <v>4402</v>
      </c>
      <c r="D2823" s="4" t="s">
        <v>1812</v>
      </c>
      <c r="E2823" s="5">
        <v>48.3641275995966</v>
      </c>
    </row>
    <row r="2824" ht="14.25" customHeight="1">
      <c r="A2824" s="4"/>
      <c r="B2824" s="4" t="s">
        <v>1802</v>
      </c>
      <c r="C2824" s="4" t="s">
        <v>4403</v>
      </c>
      <c r="D2824" s="4" t="s">
        <v>1812</v>
      </c>
      <c r="E2824" s="5">
        <v>48.3641275995966</v>
      </c>
    </row>
    <row r="2825" ht="14.25" customHeight="1">
      <c r="A2825" s="4"/>
      <c r="B2825" s="4" t="s">
        <v>1802</v>
      </c>
      <c r="C2825" s="4" t="s">
        <v>4404</v>
      </c>
      <c r="D2825" s="4" t="s">
        <v>4405</v>
      </c>
      <c r="E2825" s="5">
        <v>4.11738846360787</v>
      </c>
    </row>
    <row r="2826" ht="14.25" customHeight="1">
      <c r="A2826" s="4"/>
      <c r="B2826" s="4" t="s">
        <v>1802</v>
      </c>
      <c r="C2826" s="4" t="s">
        <v>4406</v>
      </c>
      <c r="D2826" s="4" t="s">
        <v>1812</v>
      </c>
      <c r="E2826" s="5">
        <v>48.3641275995966</v>
      </c>
    </row>
    <row r="2827" ht="14.25" customHeight="1">
      <c r="A2827" s="4"/>
      <c r="B2827" s="4" t="s">
        <v>1802</v>
      </c>
      <c r="C2827" s="4" t="s">
        <v>4407</v>
      </c>
      <c r="D2827" s="4" t="s">
        <v>1812</v>
      </c>
      <c r="E2827" s="5">
        <v>48.3641275995966</v>
      </c>
    </row>
    <row r="2828" ht="14.25" customHeight="1">
      <c r="A2828" s="4"/>
      <c r="B2828" s="4" t="s">
        <v>1802</v>
      </c>
      <c r="C2828" s="4" t="s">
        <v>4408</v>
      </c>
      <c r="D2828" s="4" t="s">
        <v>4409</v>
      </c>
      <c r="E2828" s="5">
        <v>9.72332003510643</v>
      </c>
    </row>
    <row r="2829" ht="14.25" customHeight="1">
      <c r="A2829" s="4"/>
      <c r="B2829" s="4" t="s">
        <v>1802</v>
      </c>
      <c r="C2829" s="4" t="s">
        <v>4410</v>
      </c>
      <c r="D2829" s="4" t="s">
        <v>4411</v>
      </c>
      <c r="E2829" s="5">
        <v>46.914105379168</v>
      </c>
    </row>
    <row r="2830" ht="14.25" customHeight="1">
      <c r="A2830" s="4"/>
      <c r="B2830" s="4" t="s">
        <v>1802</v>
      </c>
      <c r="C2830" s="4" t="s">
        <v>4412</v>
      </c>
      <c r="D2830" s="4" t="s">
        <v>4413</v>
      </c>
      <c r="E2830" s="5">
        <v>13.961227117794602</v>
      </c>
    </row>
    <row r="2831" ht="14.25" customHeight="1">
      <c r="A2831" s="4"/>
      <c r="B2831" s="4" t="s">
        <v>1802</v>
      </c>
      <c r="C2831" s="4" t="s">
        <v>4414</v>
      </c>
      <c r="D2831" s="4" t="s">
        <v>4415</v>
      </c>
      <c r="E2831" s="5">
        <v>2.73304298954415</v>
      </c>
    </row>
    <row r="2832" ht="14.25" customHeight="1">
      <c r="A2832" s="4"/>
      <c r="B2832" s="4" t="s">
        <v>1802</v>
      </c>
      <c r="C2832" s="4" t="s">
        <v>4416</v>
      </c>
      <c r="D2832" s="4" t="s">
        <v>1837</v>
      </c>
      <c r="E2832" s="5">
        <v>9.672825519919328</v>
      </c>
    </row>
    <row r="2833" ht="14.25" customHeight="1">
      <c r="A2833" s="4"/>
      <c r="B2833" s="4" t="s">
        <v>1802</v>
      </c>
      <c r="C2833" s="4" t="s">
        <v>4417</v>
      </c>
      <c r="D2833" s="4" t="s">
        <v>1812</v>
      </c>
      <c r="E2833" s="5">
        <v>48.3641275995966</v>
      </c>
    </row>
    <row r="2834" ht="14.25" customHeight="1">
      <c r="A2834" s="4"/>
      <c r="B2834" s="4" t="s">
        <v>1802</v>
      </c>
      <c r="C2834" s="4" t="s">
        <v>4418</v>
      </c>
      <c r="D2834" s="4" t="s">
        <v>1812</v>
      </c>
      <c r="E2834" s="5">
        <v>48.3641275995966</v>
      </c>
    </row>
    <row r="2835" ht="14.25" customHeight="1">
      <c r="A2835" s="4"/>
      <c r="B2835" s="4" t="s">
        <v>1802</v>
      </c>
      <c r="C2835" s="4" t="s">
        <v>4419</v>
      </c>
      <c r="D2835" s="4" t="s">
        <v>4420</v>
      </c>
      <c r="E2835" s="5">
        <v>21.8605856750176</v>
      </c>
    </row>
    <row r="2836" ht="14.25" customHeight="1">
      <c r="A2836" s="4"/>
      <c r="B2836" s="4" t="s">
        <v>1802</v>
      </c>
      <c r="C2836" s="4" t="s">
        <v>4421</v>
      </c>
      <c r="D2836" s="4" t="s">
        <v>4422</v>
      </c>
      <c r="E2836" s="5">
        <v>46.260765541683796</v>
      </c>
    </row>
    <row r="2837" ht="14.25" customHeight="1">
      <c r="A2837" s="4"/>
      <c r="B2837" s="4" t="s">
        <v>1802</v>
      </c>
      <c r="C2837" s="4" t="s">
        <v>4423</v>
      </c>
      <c r="D2837" s="4" t="s">
        <v>1812</v>
      </c>
      <c r="E2837" s="5">
        <v>48.3641275995966</v>
      </c>
    </row>
    <row r="2838" ht="14.25" customHeight="1">
      <c r="A2838" s="4"/>
      <c r="B2838" s="4" t="s">
        <v>1802</v>
      </c>
      <c r="C2838" s="4" t="s">
        <v>4424</v>
      </c>
      <c r="D2838" s="4" t="s">
        <v>1812</v>
      </c>
      <c r="E2838" s="5">
        <v>48.3641275995966</v>
      </c>
    </row>
    <row r="2839" ht="14.25" customHeight="1">
      <c r="A2839" s="4"/>
      <c r="B2839" s="4" t="s">
        <v>1802</v>
      </c>
      <c r="C2839" s="4" t="s">
        <v>4425</v>
      </c>
      <c r="D2839" s="4" t="s">
        <v>1821</v>
      </c>
      <c r="E2839" s="5">
        <v>19.3456510398386</v>
      </c>
    </row>
    <row r="2840" ht="14.25" customHeight="1">
      <c r="A2840" s="4"/>
      <c r="B2840" s="4" t="s">
        <v>1802</v>
      </c>
      <c r="C2840" s="4" t="s">
        <v>4426</v>
      </c>
      <c r="D2840" s="4" t="s">
        <v>4427</v>
      </c>
      <c r="E2840" s="5">
        <v>2.111047575883</v>
      </c>
    </row>
    <row r="2841" ht="14.25" customHeight="1">
      <c r="A2841" s="4"/>
      <c r="B2841" s="4" t="s">
        <v>1802</v>
      </c>
      <c r="C2841" s="4" t="s">
        <v>4428</v>
      </c>
      <c r="D2841" s="4" t="s">
        <v>1812</v>
      </c>
      <c r="E2841" s="5">
        <v>48.3641275995966</v>
      </c>
    </row>
    <row r="2842" ht="14.25" customHeight="1">
      <c r="A2842" s="4"/>
      <c r="B2842" s="4" t="s">
        <v>1802</v>
      </c>
      <c r="C2842" s="4" t="s">
        <v>4429</v>
      </c>
      <c r="D2842" s="4" t="s">
        <v>4430</v>
      </c>
      <c r="E2842" s="5">
        <v>10.9160315264186</v>
      </c>
    </row>
    <row r="2843" ht="14.25" customHeight="1">
      <c r="A2843" s="4"/>
      <c r="B2843" s="4" t="s">
        <v>1802</v>
      </c>
      <c r="C2843" s="4" t="s">
        <v>1721</v>
      </c>
      <c r="D2843" s="4" t="s">
        <v>1812</v>
      </c>
      <c r="E2843" s="5">
        <v>48.3641275995966</v>
      </c>
    </row>
    <row r="2844" ht="14.25" customHeight="1">
      <c r="A2844" s="4"/>
      <c r="B2844" s="4" t="s">
        <v>1802</v>
      </c>
      <c r="C2844" s="4" t="s">
        <v>4431</v>
      </c>
      <c r="D2844" s="4" t="s">
        <v>4432</v>
      </c>
      <c r="E2844" s="5">
        <v>9.746669419527121</v>
      </c>
    </row>
    <row r="2845" ht="14.25" customHeight="1">
      <c r="A2845" s="4"/>
      <c r="B2845" s="4" t="s">
        <v>1802</v>
      </c>
      <c r="C2845" s="4" t="s">
        <v>4433</v>
      </c>
      <c r="D2845" s="4" t="s">
        <v>4434</v>
      </c>
      <c r="E2845" s="5">
        <v>26.027108453067502</v>
      </c>
    </row>
    <row r="2846" ht="14.25" customHeight="1">
      <c r="A2846" s="4"/>
      <c r="B2846" s="4" t="s">
        <v>1802</v>
      </c>
      <c r="C2846" s="4" t="s">
        <v>4435</v>
      </c>
      <c r="D2846" s="4" t="s">
        <v>1837</v>
      </c>
      <c r="E2846" s="5">
        <v>9.672825519919328</v>
      </c>
    </row>
    <row r="2847" ht="14.25" customHeight="1">
      <c r="A2847" s="4"/>
      <c r="B2847" s="4" t="s">
        <v>1802</v>
      </c>
      <c r="C2847" s="4" t="s">
        <v>1796</v>
      </c>
      <c r="D2847" s="4" t="s">
        <v>1812</v>
      </c>
      <c r="E2847" s="5">
        <v>48.3641275995966</v>
      </c>
    </row>
    <row r="2848" ht="14.25" customHeight="1">
      <c r="A2848" s="4"/>
      <c r="B2848" s="4" t="s">
        <v>1802</v>
      </c>
      <c r="C2848" s="4" t="s">
        <v>4436</v>
      </c>
      <c r="D2848" s="4" t="s">
        <v>1812</v>
      </c>
      <c r="E2848" s="5">
        <v>48.3641275995966</v>
      </c>
    </row>
    <row r="2849" ht="14.25" customHeight="1">
      <c r="A2849" s="4"/>
      <c r="B2849" s="4" t="s">
        <v>1802</v>
      </c>
      <c r="C2849" s="4" t="s">
        <v>4437</v>
      </c>
      <c r="D2849" s="4" t="s">
        <v>4438</v>
      </c>
      <c r="E2849" s="5">
        <v>19.4020325314975</v>
      </c>
    </row>
    <row r="2850" ht="14.25" customHeight="1">
      <c r="A2850" s="4"/>
      <c r="B2850" s="4" t="s">
        <v>1802</v>
      </c>
      <c r="C2850" s="4" t="s">
        <v>4439</v>
      </c>
      <c r="D2850" s="4" t="s">
        <v>4440</v>
      </c>
      <c r="E2850" s="5">
        <v>32.3788790874575</v>
      </c>
    </row>
    <row r="2851" ht="14.25" customHeight="1">
      <c r="A2851" s="4"/>
      <c r="B2851" s="4" t="s">
        <v>1802</v>
      </c>
      <c r="C2851" s="4" t="s">
        <v>4441</v>
      </c>
      <c r="D2851" s="4" t="s">
        <v>4442</v>
      </c>
      <c r="E2851" s="5">
        <v>29.0437226117305</v>
      </c>
    </row>
    <row r="2852" ht="14.25" customHeight="1">
      <c r="A2852" s="4"/>
      <c r="B2852" s="4" t="s">
        <v>1802</v>
      </c>
      <c r="C2852" s="4" t="s">
        <v>4443</v>
      </c>
      <c r="D2852" s="4" t="s">
        <v>4444</v>
      </c>
      <c r="E2852" s="5">
        <v>38.4170476988806</v>
      </c>
    </row>
    <row r="2853" ht="14.25" customHeight="1">
      <c r="A2853" s="4"/>
      <c r="B2853" s="4" t="s">
        <v>1802</v>
      </c>
      <c r="C2853" s="4" t="s">
        <v>4445</v>
      </c>
      <c r="D2853" s="4" t="s">
        <v>1812</v>
      </c>
      <c r="E2853" s="5">
        <v>48.3641275995966</v>
      </c>
    </row>
    <row r="2854" ht="14.25" customHeight="1">
      <c r="A2854" s="4"/>
      <c r="B2854" s="4" t="s">
        <v>1802</v>
      </c>
      <c r="C2854" s="4" t="s">
        <v>4446</v>
      </c>
      <c r="D2854" s="4" t="s">
        <v>1951</v>
      </c>
      <c r="E2854" s="5">
        <v>38.6913020796773</v>
      </c>
    </row>
    <row r="2855" ht="14.25" customHeight="1">
      <c r="A2855" s="4"/>
      <c r="B2855" s="4" t="s">
        <v>1802</v>
      </c>
      <c r="C2855" s="4" t="s">
        <v>1434</v>
      </c>
      <c r="D2855" s="4" t="s">
        <v>4447</v>
      </c>
      <c r="E2855" s="5">
        <v>44.6550894359794</v>
      </c>
    </row>
    <row r="2856" ht="14.25" customHeight="1">
      <c r="A2856" s="4"/>
      <c r="B2856" s="4" t="s">
        <v>1802</v>
      </c>
      <c r="C2856" s="4" t="s">
        <v>4448</v>
      </c>
      <c r="D2856" s="4" t="s">
        <v>4449</v>
      </c>
      <c r="E2856" s="5">
        <v>47.2504158362972</v>
      </c>
    </row>
    <row r="2857" ht="14.25" customHeight="1">
      <c r="A2857" s="4"/>
      <c r="B2857" s="4" t="s">
        <v>1802</v>
      </c>
      <c r="C2857" s="4" t="s">
        <v>4450</v>
      </c>
      <c r="D2857" s="4" t="s">
        <v>1812</v>
      </c>
      <c r="E2857" s="5">
        <v>48.3641275995966</v>
      </c>
    </row>
    <row r="2858" ht="14.25" customHeight="1">
      <c r="A2858" s="4"/>
      <c r="B2858" s="4" t="s">
        <v>1802</v>
      </c>
      <c r="C2858" s="4" t="s">
        <v>4451</v>
      </c>
      <c r="D2858" s="4" t="s">
        <v>1812</v>
      </c>
      <c r="E2858" s="5">
        <v>48.3641275995966</v>
      </c>
    </row>
    <row r="2859" ht="14.25" customHeight="1">
      <c r="A2859" s="4"/>
      <c r="B2859" s="4" t="s">
        <v>1802</v>
      </c>
      <c r="C2859" s="4" t="s">
        <v>4452</v>
      </c>
      <c r="D2859" s="4" t="s">
        <v>4453</v>
      </c>
      <c r="E2859" s="5">
        <v>34.1431658244728</v>
      </c>
    </row>
    <row r="2860" ht="14.25" customHeight="1">
      <c r="A2860" s="4"/>
      <c r="B2860" s="4" t="s">
        <v>1802</v>
      </c>
      <c r="C2860" s="4" t="s">
        <v>4454</v>
      </c>
      <c r="D2860" s="4" t="s">
        <v>4455</v>
      </c>
      <c r="E2860" s="5">
        <v>26.0884162193654</v>
      </c>
    </row>
    <row r="2861" ht="14.25" customHeight="1">
      <c r="A2861" s="4"/>
      <c r="B2861" s="4" t="s">
        <v>1802</v>
      </c>
      <c r="C2861" s="4" t="s">
        <v>4456</v>
      </c>
      <c r="D2861" s="4" t="s">
        <v>1837</v>
      </c>
      <c r="E2861" s="5">
        <v>9.672825519919328</v>
      </c>
    </row>
    <row r="2862" ht="14.25" customHeight="1">
      <c r="A2862" s="4"/>
      <c r="B2862" s="4" t="s">
        <v>1802</v>
      </c>
      <c r="C2862" s="4" t="s">
        <v>826</v>
      </c>
      <c r="D2862" s="4" t="s">
        <v>1812</v>
      </c>
      <c r="E2862" s="5">
        <v>48.3641275995966</v>
      </c>
    </row>
    <row r="2863" ht="14.25" customHeight="1">
      <c r="A2863" s="4"/>
      <c r="B2863" s="4" t="s">
        <v>1802</v>
      </c>
      <c r="C2863" s="4" t="s">
        <v>4457</v>
      </c>
      <c r="D2863" s="4" t="s">
        <v>4458</v>
      </c>
      <c r="E2863" s="5">
        <v>6.50237572823291</v>
      </c>
    </row>
    <row r="2864" ht="14.25" customHeight="1">
      <c r="A2864" s="4"/>
      <c r="B2864" s="4" t="s">
        <v>1802</v>
      </c>
      <c r="C2864" s="4" t="s">
        <v>4459</v>
      </c>
      <c r="D2864" s="4" t="s">
        <v>1812</v>
      </c>
      <c r="E2864" s="5">
        <v>48.3641275995966</v>
      </c>
    </row>
    <row r="2865" ht="14.25" customHeight="1">
      <c r="A2865" s="4"/>
      <c r="B2865" s="4" t="s">
        <v>1802</v>
      </c>
      <c r="C2865" s="4" t="s">
        <v>4460</v>
      </c>
      <c r="D2865" s="4" t="s">
        <v>4461</v>
      </c>
      <c r="E2865" s="5">
        <v>8.55964171558353</v>
      </c>
    </row>
    <row r="2866" ht="14.25" customHeight="1">
      <c r="A2866" s="4"/>
      <c r="B2866" s="4" t="s">
        <v>1802</v>
      </c>
      <c r="C2866" s="4" t="s">
        <v>4462</v>
      </c>
      <c r="D2866" s="4" t="s">
        <v>4463</v>
      </c>
      <c r="E2866" s="5">
        <v>35.9837662474602</v>
      </c>
    </row>
    <row r="2867" ht="14.25" customHeight="1">
      <c r="A2867" s="4"/>
      <c r="B2867" s="4" t="s">
        <v>1802</v>
      </c>
      <c r="C2867" s="4" t="s">
        <v>4464</v>
      </c>
      <c r="D2867" s="4" t="s">
        <v>4465</v>
      </c>
      <c r="E2867" s="5">
        <v>27.0839114557741</v>
      </c>
    </row>
    <row r="2868" ht="14.25" customHeight="1">
      <c r="A2868" s="4"/>
      <c r="B2868" s="4" t="s">
        <v>1802</v>
      </c>
      <c r="C2868" s="4" t="s">
        <v>4466</v>
      </c>
      <c r="D2868" s="4" t="s">
        <v>4467</v>
      </c>
      <c r="E2868" s="5">
        <v>9.548169251437528</v>
      </c>
    </row>
    <row r="2869" ht="14.25" customHeight="1">
      <c r="A2869" s="4"/>
      <c r="B2869" s="4" t="s">
        <v>1802</v>
      </c>
      <c r="C2869" s="4" t="s">
        <v>4468</v>
      </c>
      <c r="D2869" s="4" t="s">
        <v>4469</v>
      </c>
      <c r="E2869" s="5">
        <v>9.975449827772639</v>
      </c>
    </row>
    <row r="2870" ht="14.25" customHeight="1">
      <c r="A2870" s="4"/>
      <c r="B2870" s="4" t="s">
        <v>1802</v>
      </c>
      <c r="C2870" s="4" t="s">
        <v>4470</v>
      </c>
      <c r="D2870" s="4" t="s">
        <v>4471</v>
      </c>
      <c r="E2870" s="5">
        <v>8.628741482533261</v>
      </c>
    </row>
    <row r="2871" ht="14.25" customHeight="1">
      <c r="A2871" s="4"/>
      <c r="B2871" s="4" t="s">
        <v>1802</v>
      </c>
      <c r="C2871" s="4" t="s">
        <v>4472</v>
      </c>
      <c r="D2871" s="4" t="s">
        <v>1812</v>
      </c>
      <c r="E2871" s="5">
        <v>48.3641275995966</v>
      </c>
    </row>
    <row r="2872" ht="14.25" customHeight="1">
      <c r="A2872" s="4"/>
      <c r="B2872" s="4" t="s">
        <v>1802</v>
      </c>
      <c r="C2872" s="4" t="s">
        <v>4473</v>
      </c>
      <c r="D2872" s="4" t="s">
        <v>1812</v>
      </c>
      <c r="E2872" s="5">
        <v>48.3641275995966</v>
      </c>
    </row>
    <row r="2873" ht="14.25" customHeight="1">
      <c r="A2873" s="4"/>
      <c r="B2873" s="4" t="s">
        <v>1802</v>
      </c>
      <c r="C2873" s="4" t="s">
        <v>4474</v>
      </c>
      <c r="D2873" s="4" t="s">
        <v>4475</v>
      </c>
      <c r="E2873" s="5">
        <v>0.847080315611552</v>
      </c>
    </row>
    <row r="2874" ht="14.25" customHeight="1">
      <c r="A2874" s="4"/>
      <c r="B2874" s="4" t="s">
        <v>1802</v>
      </c>
      <c r="C2874" s="4" t="s">
        <v>4476</v>
      </c>
      <c r="D2874" s="4" t="s">
        <v>4477</v>
      </c>
      <c r="E2874" s="5">
        <v>21.407136465379402</v>
      </c>
    </row>
    <row r="2875" ht="14.25" customHeight="1">
      <c r="A2875" s="4"/>
      <c r="B2875" s="4" t="s">
        <v>1802</v>
      </c>
      <c r="C2875" s="4" t="s">
        <v>4478</v>
      </c>
      <c r="D2875" s="4" t="s">
        <v>1812</v>
      </c>
      <c r="E2875" s="5">
        <v>48.3641275995966</v>
      </c>
    </row>
    <row r="2876" ht="14.25" customHeight="1">
      <c r="A2876" s="4"/>
      <c r="B2876" s="4" t="s">
        <v>1802</v>
      </c>
      <c r="C2876" s="4" t="s">
        <v>4479</v>
      </c>
      <c r="D2876" s="4" t="s">
        <v>1812</v>
      </c>
      <c r="E2876" s="5">
        <v>48.3641275995966</v>
      </c>
    </row>
    <row r="2877" ht="14.25" customHeight="1">
      <c r="A2877" s="4"/>
      <c r="B2877" s="4" t="s">
        <v>1802</v>
      </c>
      <c r="C2877" s="4" t="s">
        <v>4480</v>
      </c>
      <c r="D2877" s="4" t="s">
        <v>4481</v>
      </c>
      <c r="E2877" s="5">
        <v>19.4957046001439</v>
      </c>
    </row>
    <row r="2878" ht="14.25" customHeight="1">
      <c r="A2878" s="4"/>
      <c r="B2878" s="4" t="s">
        <v>1802</v>
      </c>
      <c r="C2878" s="4" t="s">
        <v>4482</v>
      </c>
      <c r="D2878" s="4" t="s">
        <v>4483</v>
      </c>
      <c r="E2878" s="5">
        <v>8.4827707760538</v>
      </c>
    </row>
    <row r="2879" ht="14.25" customHeight="1">
      <c r="A2879" s="4"/>
      <c r="B2879" s="4" t="s">
        <v>1802</v>
      </c>
      <c r="C2879" s="4" t="s">
        <v>4484</v>
      </c>
      <c r="D2879" s="4" t="s">
        <v>1812</v>
      </c>
      <c r="E2879" s="5">
        <v>48.3641275995966</v>
      </c>
    </row>
    <row r="2880" ht="14.25" customHeight="1">
      <c r="A2880" s="4"/>
      <c r="B2880" s="4" t="s">
        <v>1802</v>
      </c>
      <c r="C2880" s="4" t="s">
        <v>964</v>
      </c>
      <c r="D2880" s="4" t="s">
        <v>4485</v>
      </c>
      <c r="E2880" s="5">
        <v>41.472622017256995</v>
      </c>
    </row>
    <row r="2881" ht="14.25" customHeight="1">
      <c r="A2881" s="4"/>
      <c r="B2881" s="4" t="s">
        <v>1802</v>
      </c>
      <c r="C2881" s="4" t="s">
        <v>1798</v>
      </c>
      <c r="D2881" s="4" t="s">
        <v>1812</v>
      </c>
      <c r="E2881" s="5">
        <v>48.3641275995966</v>
      </c>
    </row>
    <row r="2882" ht="14.25" customHeight="1">
      <c r="A2882" s="4"/>
      <c r="B2882" s="4" t="s">
        <v>1802</v>
      </c>
      <c r="C2882" s="4" t="s">
        <v>4486</v>
      </c>
      <c r="D2882" s="4" t="s">
        <v>4487</v>
      </c>
      <c r="E2882" s="5">
        <v>15.4765208318709</v>
      </c>
    </row>
    <row r="2883" ht="14.25" customHeight="1">
      <c r="A2883" s="4"/>
      <c r="B2883" s="4" t="s">
        <v>1802</v>
      </c>
      <c r="C2883" s="4" t="s">
        <v>4488</v>
      </c>
      <c r="D2883" s="4" t="s">
        <v>1812</v>
      </c>
      <c r="E2883" s="5">
        <v>48.3641275995966</v>
      </c>
    </row>
    <row r="2884" ht="14.25" customHeight="1">
      <c r="A2884" s="4"/>
      <c r="B2884" s="4" t="s">
        <v>1802</v>
      </c>
      <c r="C2884" s="4" t="s">
        <v>4489</v>
      </c>
      <c r="D2884" s="4" t="s">
        <v>1812</v>
      </c>
      <c r="E2884" s="5">
        <v>48.3641275995966</v>
      </c>
    </row>
    <row r="2885" ht="14.25" customHeight="1">
      <c r="A2885" s="4"/>
      <c r="B2885" s="4" t="s">
        <v>1802</v>
      </c>
      <c r="C2885" s="4" t="s">
        <v>4490</v>
      </c>
      <c r="D2885" s="4" t="s">
        <v>1812</v>
      </c>
      <c r="E2885" s="5">
        <v>48.3641275995966</v>
      </c>
    </row>
    <row r="2886" ht="14.25" customHeight="1">
      <c r="A2886" s="4"/>
      <c r="B2886" s="4" t="s">
        <v>1802</v>
      </c>
      <c r="C2886" s="4" t="s">
        <v>4491</v>
      </c>
      <c r="D2886" s="4" t="s">
        <v>4492</v>
      </c>
      <c r="E2886" s="5">
        <v>6.4904300875253105</v>
      </c>
    </row>
    <row r="2887" ht="14.25" customHeight="1">
      <c r="A2887" s="4"/>
      <c r="B2887" s="4" t="s">
        <v>1802</v>
      </c>
      <c r="C2887" s="4" t="s">
        <v>4493</v>
      </c>
      <c r="D2887" s="4" t="s">
        <v>4494</v>
      </c>
      <c r="E2887" s="5">
        <v>10.8372760487504</v>
      </c>
    </row>
    <row r="2888" ht="14.25" customHeight="1">
      <c r="A2888" s="4"/>
      <c r="B2888" s="4" t="s">
        <v>1802</v>
      </c>
      <c r="C2888" s="4" t="s">
        <v>4495</v>
      </c>
      <c r="D2888" s="4" t="s">
        <v>4496</v>
      </c>
      <c r="E2888" s="5">
        <v>37.5375260619473</v>
      </c>
    </row>
    <row r="2889" ht="14.25" customHeight="1">
      <c r="A2889" s="4"/>
      <c r="B2889" s="4" t="s">
        <v>1802</v>
      </c>
      <c r="C2889" s="4" t="s">
        <v>4497</v>
      </c>
      <c r="D2889" s="4" t="s">
        <v>4498</v>
      </c>
      <c r="E2889" s="5">
        <v>39.902172724926</v>
      </c>
    </row>
    <row r="2890" ht="14.25" customHeight="1">
      <c r="A2890" s="4"/>
      <c r="B2890" s="4" t="s">
        <v>1802</v>
      </c>
      <c r="C2890" s="4" t="s">
        <v>4499</v>
      </c>
      <c r="D2890" s="4" t="s">
        <v>4500</v>
      </c>
      <c r="E2890" s="5">
        <v>19.3247504855987</v>
      </c>
    </row>
    <row r="2891" ht="14.25" customHeight="1">
      <c r="A2891" s="4"/>
      <c r="B2891" s="4" t="s">
        <v>1802</v>
      </c>
      <c r="C2891" s="4" t="s">
        <v>4501</v>
      </c>
      <c r="D2891" s="4" t="s">
        <v>2683</v>
      </c>
      <c r="E2891" s="5">
        <v>1.93456510398386</v>
      </c>
    </row>
    <row r="2892" ht="14.25" customHeight="1">
      <c r="A2892" s="4"/>
      <c r="B2892" s="4" t="s">
        <v>1802</v>
      </c>
      <c r="C2892" s="4" t="s">
        <v>4502</v>
      </c>
      <c r="D2892" s="4" t="s">
        <v>4503</v>
      </c>
      <c r="E2892" s="5">
        <v>24.9402366198862</v>
      </c>
    </row>
    <row r="2893" ht="14.25" customHeight="1">
      <c r="A2893" s="4"/>
      <c r="B2893" s="4" t="s">
        <v>1802</v>
      </c>
      <c r="C2893" s="4" t="s">
        <v>4504</v>
      </c>
      <c r="D2893" s="4" t="s">
        <v>4505</v>
      </c>
      <c r="E2893" s="5">
        <v>9.01233543399891</v>
      </c>
    </row>
    <row r="2894" ht="14.25" customHeight="1">
      <c r="A2894" s="4"/>
      <c r="B2894" s="4" t="s">
        <v>1802</v>
      </c>
      <c r="C2894" s="4" t="s">
        <v>4506</v>
      </c>
      <c r="D2894" s="4" t="s">
        <v>2834</v>
      </c>
      <c r="E2894" s="5">
        <v>0.193456510398386</v>
      </c>
    </row>
    <row r="2895" ht="14.25" customHeight="1">
      <c r="A2895" s="4"/>
      <c r="B2895" s="4" t="s">
        <v>1802</v>
      </c>
      <c r="C2895" s="4" t="s">
        <v>4507</v>
      </c>
      <c r="D2895" s="4" t="s">
        <v>1812</v>
      </c>
      <c r="E2895" s="5">
        <v>48.3641275995966</v>
      </c>
    </row>
    <row r="2896" ht="14.25" customHeight="1">
      <c r="A2896" s="4"/>
      <c r="B2896" s="4" t="s">
        <v>1802</v>
      </c>
      <c r="C2896" s="4" t="s">
        <v>4508</v>
      </c>
      <c r="D2896" s="4" t="s">
        <v>1821</v>
      </c>
      <c r="E2896" s="5">
        <v>19.3456510398386</v>
      </c>
    </row>
    <row r="2897" ht="14.25" customHeight="1">
      <c r="A2897" s="4"/>
      <c r="B2897" s="4" t="s">
        <v>1802</v>
      </c>
      <c r="C2897" s="4" t="s">
        <v>4509</v>
      </c>
      <c r="D2897" s="4" t="s">
        <v>4510</v>
      </c>
      <c r="E2897" s="5">
        <v>7.82089146448164</v>
      </c>
    </row>
    <row r="2898" ht="14.25" customHeight="1">
      <c r="A2898" s="4"/>
      <c r="B2898" s="4" t="s">
        <v>1802</v>
      </c>
      <c r="C2898" s="4" t="s">
        <v>4511</v>
      </c>
      <c r="D2898" s="4" t="s">
        <v>4512</v>
      </c>
      <c r="E2898" s="5">
        <v>2.3169693896237797</v>
      </c>
    </row>
    <row r="2899" ht="14.25" customHeight="1">
      <c r="A2899" s="4"/>
      <c r="B2899" s="4" t="s">
        <v>1802</v>
      </c>
      <c r="C2899" s="4" t="s">
        <v>1151</v>
      </c>
      <c r="D2899" s="4" t="s">
        <v>4513</v>
      </c>
      <c r="E2899" s="5">
        <v>3.22132849777127</v>
      </c>
    </row>
    <row r="2900" ht="14.25" customHeight="1">
      <c r="A2900" s="4"/>
      <c r="B2900" s="4" t="s">
        <v>1802</v>
      </c>
      <c r="C2900" s="4" t="s">
        <v>4514</v>
      </c>
      <c r="D2900" s="4" t="s">
        <v>4515</v>
      </c>
      <c r="E2900" s="5">
        <v>6.64987972975633</v>
      </c>
    </row>
    <row r="2901" ht="14.25" customHeight="1">
      <c r="A2901" s="4"/>
      <c r="B2901" s="4" t="s">
        <v>1802</v>
      </c>
      <c r="C2901" s="4" t="s">
        <v>4516</v>
      </c>
      <c r="D2901" s="4" t="s">
        <v>1812</v>
      </c>
      <c r="E2901" s="5">
        <v>48.3641275995966</v>
      </c>
    </row>
    <row r="2902" ht="14.25" customHeight="1">
      <c r="A2902" s="4"/>
      <c r="B2902" s="4" t="s">
        <v>1802</v>
      </c>
      <c r="C2902" s="4" t="s">
        <v>4517</v>
      </c>
      <c r="D2902" s="4" t="s">
        <v>1812</v>
      </c>
      <c r="E2902" s="5">
        <v>48.3641275995966</v>
      </c>
    </row>
    <row r="2903" ht="14.25" customHeight="1">
      <c r="A2903" s="4"/>
      <c r="B2903" s="4" t="s">
        <v>1802</v>
      </c>
      <c r="C2903" s="4" t="s">
        <v>4518</v>
      </c>
      <c r="D2903" s="4" t="s">
        <v>4519</v>
      </c>
      <c r="E2903" s="5">
        <v>45.061677169994496</v>
      </c>
    </row>
    <row r="2904" ht="14.25" customHeight="1">
      <c r="A2904" s="4"/>
      <c r="B2904" s="4" t="s">
        <v>1802</v>
      </c>
      <c r="C2904" s="4" t="s">
        <v>1054</v>
      </c>
      <c r="D2904" s="4" t="s">
        <v>1812</v>
      </c>
      <c r="E2904" s="5">
        <v>48.3641275995966</v>
      </c>
    </row>
    <row r="2905" ht="14.25" customHeight="1">
      <c r="A2905" s="4"/>
      <c r="B2905" s="4" t="s">
        <v>1802</v>
      </c>
      <c r="C2905" s="4" t="s">
        <v>4520</v>
      </c>
      <c r="D2905" s="4" t="s">
        <v>3050</v>
      </c>
      <c r="E2905" s="5">
        <v>10.6401080719112</v>
      </c>
    </row>
    <row r="2906" ht="14.25" customHeight="1">
      <c r="A2906" s="4"/>
      <c r="B2906" s="4" t="s">
        <v>1802</v>
      </c>
      <c r="C2906" s="4" t="s">
        <v>4521</v>
      </c>
      <c r="D2906" s="4" t="s">
        <v>4522</v>
      </c>
      <c r="E2906" s="5">
        <v>2.42225396716512</v>
      </c>
    </row>
    <row r="2907" ht="14.25" customHeight="1">
      <c r="A2907" s="4"/>
      <c r="B2907" s="4" t="s">
        <v>1802</v>
      </c>
      <c r="C2907" s="4" t="s">
        <v>4523</v>
      </c>
      <c r="D2907" s="4" t="s">
        <v>1812</v>
      </c>
      <c r="E2907" s="5">
        <v>48.3641275995966</v>
      </c>
    </row>
    <row r="2908" ht="14.25" customHeight="1">
      <c r="A2908" s="4"/>
      <c r="B2908" s="4" t="s">
        <v>1802</v>
      </c>
      <c r="C2908" s="4" t="s">
        <v>4524</v>
      </c>
      <c r="D2908" s="4" t="s">
        <v>1812</v>
      </c>
      <c r="E2908" s="5">
        <v>48.3641275995966</v>
      </c>
    </row>
    <row r="2909" ht="14.25" customHeight="1">
      <c r="A2909" s="4"/>
      <c r="B2909" s="4" t="s">
        <v>1802</v>
      </c>
      <c r="C2909" s="4" t="s">
        <v>4525</v>
      </c>
      <c r="D2909" s="4" t="s">
        <v>4526</v>
      </c>
      <c r="E2909" s="5">
        <v>37.4283550143649</v>
      </c>
    </row>
    <row r="2910" ht="14.25" customHeight="1">
      <c r="A2910" s="4"/>
      <c r="B2910" s="4" t="s">
        <v>1802</v>
      </c>
      <c r="C2910" s="4" t="s">
        <v>966</v>
      </c>
      <c r="D2910" s="4" t="s">
        <v>4527</v>
      </c>
      <c r="E2910" s="5">
        <v>46.8587098278118</v>
      </c>
    </row>
    <row r="2911" ht="14.25" customHeight="1">
      <c r="A2911" s="4"/>
      <c r="B2911" s="4" t="s">
        <v>1802</v>
      </c>
      <c r="C2911" s="4" t="s">
        <v>4528</v>
      </c>
      <c r="D2911" s="4" t="s">
        <v>4529</v>
      </c>
      <c r="E2911" s="5">
        <v>43.76299713627</v>
      </c>
    </row>
    <row r="2912" ht="14.25" customHeight="1">
      <c r="A2912" s="4"/>
      <c r="B2912" s="4" t="s">
        <v>1802</v>
      </c>
      <c r="C2912" s="4" t="s">
        <v>4530</v>
      </c>
      <c r="D2912" s="4" t="s">
        <v>4531</v>
      </c>
      <c r="E2912" s="5">
        <v>11.020993427683202</v>
      </c>
    </row>
    <row r="2913" ht="14.25" customHeight="1">
      <c r="A2913" s="4"/>
      <c r="B2913" s="4" t="s">
        <v>1802</v>
      </c>
      <c r="C2913" s="4" t="s">
        <v>4532</v>
      </c>
      <c r="D2913" s="4" t="s">
        <v>4533</v>
      </c>
      <c r="E2913" s="5">
        <v>48.3034636080708</v>
      </c>
    </row>
    <row r="2914" ht="14.25" customHeight="1">
      <c r="A2914" s="4"/>
      <c r="B2914" s="4" t="s">
        <v>1802</v>
      </c>
      <c r="C2914" s="4" t="s">
        <v>940</v>
      </c>
      <c r="D2914" s="4" t="s">
        <v>1812</v>
      </c>
      <c r="E2914" s="5">
        <v>48.3641275995966</v>
      </c>
    </row>
    <row r="2915" ht="14.25" customHeight="1">
      <c r="A2915" s="4"/>
      <c r="B2915" s="4" t="s">
        <v>1802</v>
      </c>
      <c r="C2915" s="4" t="s">
        <v>4534</v>
      </c>
      <c r="D2915" s="4" t="s">
        <v>4535</v>
      </c>
      <c r="E2915" s="5">
        <v>47.2597688131753</v>
      </c>
    </row>
    <row r="2916" ht="14.25" customHeight="1">
      <c r="A2916" s="4"/>
      <c r="B2916" s="4" t="s">
        <v>1802</v>
      </c>
      <c r="C2916" s="4" t="s">
        <v>1631</v>
      </c>
      <c r="D2916" s="4" t="s">
        <v>1812</v>
      </c>
      <c r="E2916" s="5">
        <v>48.3641275995966</v>
      </c>
    </row>
    <row r="2917" ht="14.25" customHeight="1">
      <c r="A2917" s="4"/>
      <c r="B2917" s="4" t="s">
        <v>1802</v>
      </c>
      <c r="C2917" s="4" t="s">
        <v>4536</v>
      </c>
      <c r="D2917" s="4" t="s">
        <v>4537</v>
      </c>
      <c r="E2917" s="5">
        <v>20.757134346212602</v>
      </c>
    </row>
    <row r="2918" ht="14.25" customHeight="1">
      <c r="A2918" s="4"/>
      <c r="B2918" s="4" t="s">
        <v>1802</v>
      </c>
      <c r="C2918" s="4" t="s">
        <v>4538</v>
      </c>
      <c r="D2918" s="4" t="s">
        <v>1812</v>
      </c>
      <c r="E2918" s="5">
        <v>48.3641275995966</v>
      </c>
    </row>
    <row r="2919" ht="14.25" customHeight="1">
      <c r="A2919" s="4"/>
      <c r="B2919" s="4" t="s">
        <v>1802</v>
      </c>
      <c r="C2919" s="4" t="s">
        <v>4539</v>
      </c>
      <c r="D2919" s="4" t="s">
        <v>4540</v>
      </c>
      <c r="E2919" s="5">
        <v>0.573515460681366</v>
      </c>
    </row>
    <row r="2920" ht="14.25" customHeight="1">
      <c r="A2920" s="4"/>
      <c r="B2920" s="4" t="s">
        <v>1802</v>
      </c>
      <c r="C2920" s="4" t="s">
        <v>4541</v>
      </c>
      <c r="D2920" s="4" t="s">
        <v>4542</v>
      </c>
      <c r="E2920" s="5">
        <v>4.1908721236873</v>
      </c>
    </row>
    <row r="2921" ht="14.25" customHeight="1">
      <c r="A2921" s="4"/>
      <c r="B2921" s="4" t="s">
        <v>1802</v>
      </c>
      <c r="C2921" s="4" t="s">
        <v>4543</v>
      </c>
      <c r="D2921" s="4" t="s">
        <v>1812</v>
      </c>
      <c r="E2921" s="5">
        <v>48.3641275995966</v>
      </c>
    </row>
    <row r="2922" ht="14.25" customHeight="1">
      <c r="A2922" s="4"/>
      <c r="B2922" s="4" t="s">
        <v>1802</v>
      </c>
      <c r="C2922" s="4" t="s">
        <v>4544</v>
      </c>
      <c r="D2922" s="4" t="s">
        <v>4545</v>
      </c>
      <c r="E2922" s="5">
        <v>1.3433576359367199</v>
      </c>
    </row>
    <row r="2923" ht="14.25" customHeight="1">
      <c r="A2923" s="4"/>
      <c r="B2923" s="4" t="s">
        <v>1802</v>
      </c>
      <c r="C2923" s="4" t="s">
        <v>4546</v>
      </c>
      <c r="D2923" s="4" t="s">
        <v>1812</v>
      </c>
      <c r="E2923" s="5">
        <v>48.3641275995966</v>
      </c>
    </row>
    <row r="2924" ht="14.25" customHeight="1">
      <c r="A2924" s="4"/>
      <c r="B2924" s="4" t="s">
        <v>1802</v>
      </c>
      <c r="C2924" s="4" t="s">
        <v>4547</v>
      </c>
      <c r="D2924" s="4" t="s">
        <v>1812</v>
      </c>
      <c r="E2924" s="5">
        <v>48.3641275995966</v>
      </c>
    </row>
    <row r="2925" ht="14.25" customHeight="1">
      <c r="A2925" s="4"/>
      <c r="B2925" s="4" t="s">
        <v>1802</v>
      </c>
      <c r="C2925" s="4" t="s">
        <v>4548</v>
      </c>
      <c r="D2925" s="4" t="s">
        <v>4549</v>
      </c>
      <c r="E2925" s="5">
        <v>9.01041594929384</v>
      </c>
    </row>
    <row r="2926" ht="14.25" customHeight="1">
      <c r="A2926" s="4"/>
      <c r="B2926" s="4" t="s">
        <v>1802</v>
      </c>
      <c r="C2926" s="4" t="s">
        <v>1717</v>
      </c>
      <c r="D2926" s="4" t="s">
        <v>4550</v>
      </c>
      <c r="E2926" s="5">
        <v>46.829200532736095</v>
      </c>
    </row>
    <row r="2927" ht="14.25" customHeight="1">
      <c r="A2927" s="4"/>
      <c r="B2927" s="4" t="s">
        <v>1802</v>
      </c>
      <c r="C2927" s="4" t="s">
        <v>4551</v>
      </c>
      <c r="D2927" s="4" t="s">
        <v>4552</v>
      </c>
      <c r="E2927" s="5">
        <v>47.223126817133</v>
      </c>
    </row>
    <row r="2928" ht="14.25" customHeight="1">
      <c r="A2928" s="4"/>
      <c r="B2928" s="4" t="s">
        <v>1802</v>
      </c>
      <c r="C2928" s="4" t="s">
        <v>4553</v>
      </c>
      <c r="D2928" s="4" t="s">
        <v>4554</v>
      </c>
      <c r="E2928" s="5">
        <v>9.98254662335029</v>
      </c>
    </row>
    <row r="2929" ht="14.25" customHeight="1">
      <c r="A2929" s="4"/>
      <c r="B2929" s="4" t="s">
        <v>1802</v>
      </c>
      <c r="C2929" s="4" t="s">
        <v>4555</v>
      </c>
      <c r="D2929" s="4" t="s">
        <v>1812</v>
      </c>
      <c r="E2929" s="5">
        <v>48.3641275995966</v>
      </c>
    </row>
    <row r="2930" ht="14.25" customHeight="1">
      <c r="A2930" s="4"/>
      <c r="B2930" s="4" t="s">
        <v>1802</v>
      </c>
      <c r="C2930" s="4" t="s">
        <v>4556</v>
      </c>
      <c r="D2930" s="4" t="s">
        <v>4557</v>
      </c>
      <c r="E2930" s="5">
        <v>10.1164475377366</v>
      </c>
    </row>
    <row r="2931" ht="14.25" customHeight="1">
      <c r="A2931" s="4"/>
      <c r="B2931" s="4" t="s">
        <v>1802</v>
      </c>
      <c r="C2931" s="4" t="s">
        <v>4558</v>
      </c>
      <c r="D2931" s="4" t="s">
        <v>1837</v>
      </c>
      <c r="E2931" s="5">
        <v>9.672825519919328</v>
      </c>
    </row>
    <row r="2932" ht="14.25" customHeight="1">
      <c r="A2932" s="4"/>
      <c r="B2932" s="4" t="s">
        <v>1802</v>
      </c>
      <c r="C2932" s="4" t="s">
        <v>4559</v>
      </c>
      <c r="D2932" s="4" t="s">
        <v>4560</v>
      </c>
      <c r="E2932" s="5">
        <v>6.96550323417955</v>
      </c>
    </row>
    <row r="2933" ht="14.25" customHeight="1">
      <c r="A2933" s="4"/>
      <c r="B2933" s="4" t="s">
        <v>1802</v>
      </c>
      <c r="C2933" s="4" t="s">
        <v>4561</v>
      </c>
      <c r="D2933" s="4" t="s">
        <v>1812</v>
      </c>
      <c r="E2933" s="5">
        <v>48.3641275995966</v>
      </c>
    </row>
    <row r="2934" ht="14.25" customHeight="1">
      <c r="A2934" s="4"/>
      <c r="B2934" s="4" t="s">
        <v>1802</v>
      </c>
      <c r="C2934" s="4" t="s">
        <v>4562</v>
      </c>
      <c r="D2934" s="4" t="s">
        <v>1812</v>
      </c>
      <c r="E2934" s="5">
        <v>48.3641275995966</v>
      </c>
    </row>
    <row r="2935" ht="14.25" customHeight="1">
      <c r="A2935" s="4"/>
      <c r="B2935" s="4" t="s">
        <v>1802</v>
      </c>
      <c r="C2935" s="4" t="s">
        <v>4563</v>
      </c>
      <c r="D2935" s="4" t="s">
        <v>1837</v>
      </c>
      <c r="E2935" s="5">
        <v>9.672825519919328</v>
      </c>
    </row>
    <row r="2936" ht="14.25" customHeight="1">
      <c r="A2936" s="4"/>
      <c r="B2936" s="4" t="s">
        <v>1802</v>
      </c>
      <c r="C2936" s="4" t="s">
        <v>4564</v>
      </c>
      <c r="D2936" s="4" t="s">
        <v>1837</v>
      </c>
      <c r="E2936" s="5">
        <v>9.672825519919328</v>
      </c>
    </row>
    <row r="2937" ht="14.25" customHeight="1">
      <c r="A2937" s="4"/>
      <c r="B2937" s="4" t="s">
        <v>1802</v>
      </c>
      <c r="C2937" s="4" t="s">
        <v>4565</v>
      </c>
      <c r="D2937" s="4" t="s">
        <v>4566</v>
      </c>
      <c r="E2937" s="5">
        <v>9.5204876697407</v>
      </c>
    </row>
    <row r="2938" ht="14.25" customHeight="1">
      <c r="A2938" s="4"/>
      <c r="B2938" s="4" t="s">
        <v>1802</v>
      </c>
      <c r="C2938" s="4" t="s">
        <v>4567</v>
      </c>
      <c r="D2938" s="4" t="s">
        <v>4568</v>
      </c>
      <c r="E2938" s="5">
        <v>40.1738038299894</v>
      </c>
    </row>
    <row r="2939" ht="14.25" customHeight="1">
      <c r="A2939" s="4"/>
      <c r="B2939" s="4" t="s">
        <v>1802</v>
      </c>
      <c r="C2939" s="4" t="s">
        <v>4569</v>
      </c>
      <c r="D2939" s="4" t="s">
        <v>1812</v>
      </c>
      <c r="E2939" s="5">
        <v>48.3641275995966</v>
      </c>
    </row>
    <row r="2940" ht="14.25" customHeight="1">
      <c r="A2940" s="4"/>
      <c r="B2940" s="4" t="s">
        <v>1802</v>
      </c>
      <c r="C2940" s="4" t="s">
        <v>4570</v>
      </c>
      <c r="D2940" s="4" t="s">
        <v>4571</v>
      </c>
      <c r="E2940" s="5">
        <v>17.2843085813674</v>
      </c>
    </row>
    <row r="2941" ht="14.25" customHeight="1">
      <c r="A2941" s="4"/>
      <c r="B2941" s="4" t="s">
        <v>1802</v>
      </c>
      <c r="C2941" s="4" t="s">
        <v>4572</v>
      </c>
      <c r="D2941" s="4" t="s">
        <v>4573</v>
      </c>
      <c r="E2941" s="5">
        <v>24.812855131875402</v>
      </c>
    </row>
    <row r="2942" ht="14.25" customHeight="1">
      <c r="A2942" s="4"/>
      <c r="B2942" s="4" t="s">
        <v>1802</v>
      </c>
      <c r="C2942" s="4" t="s">
        <v>4574</v>
      </c>
      <c r="D2942" s="4" t="s">
        <v>1812</v>
      </c>
      <c r="E2942" s="5">
        <v>48.3641275995966</v>
      </c>
    </row>
    <row r="2943" ht="14.25" customHeight="1">
      <c r="A2943" s="4"/>
      <c r="B2943" s="4" t="s">
        <v>1802</v>
      </c>
      <c r="C2943" s="4" t="s">
        <v>4575</v>
      </c>
      <c r="D2943" s="4" t="s">
        <v>1812</v>
      </c>
      <c r="E2943" s="5">
        <v>48.3641275995966</v>
      </c>
    </row>
    <row r="2944" ht="14.25" customHeight="1">
      <c r="A2944" s="4"/>
      <c r="B2944" s="4" t="s">
        <v>1802</v>
      </c>
      <c r="C2944" s="4" t="s">
        <v>4576</v>
      </c>
      <c r="D2944" s="4" t="s">
        <v>4577</v>
      </c>
      <c r="E2944" s="5">
        <v>46.6921036781867</v>
      </c>
    </row>
    <row r="2945" ht="14.25" customHeight="1">
      <c r="A2945" s="4"/>
      <c r="B2945" s="4" t="s">
        <v>1802</v>
      </c>
      <c r="C2945" s="4" t="s">
        <v>4578</v>
      </c>
      <c r="D2945" s="4" t="s">
        <v>4579</v>
      </c>
      <c r="E2945" s="5">
        <v>29.0379158559366</v>
      </c>
    </row>
    <row r="2946" ht="14.25" customHeight="1">
      <c r="A2946" s="4"/>
      <c r="B2946" s="4" t="s">
        <v>1802</v>
      </c>
      <c r="C2946" s="4" t="s">
        <v>4580</v>
      </c>
      <c r="D2946" s="4" t="s">
        <v>4581</v>
      </c>
      <c r="E2946" s="5">
        <v>22.247498695814397</v>
      </c>
    </row>
    <row r="2947" ht="14.25" customHeight="1">
      <c r="A2947" s="4"/>
      <c r="B2947" s="4" t="s">
        <v>1802</v>
      </c>
      <c r="C2947" s="4" t="s">
        <v>4582</v>
      </c>
      <c r="D2947" s="4" t="s">
        <v>4583</v>
      </c>
      <c r="E2947" s="5">
        <v>15.426139469879699</v>
      </c>
    </row>
    <row r="2948" ht="14.25" customHeight="1">
      <c r="A2948" s="4"/>
      <c r="B2948" s="4" t="s">
        <v>1802</v>
      </c>
      <c r="C2948" s="4" t="s">
        <v>4584</v>
      </c>
      <c r="D2948" s="4" t="s">
        <v>1837</v>
      </c>
      <c r="E2948" s="5">
        <v>9.672825519919328</v>
      </c>
    </row>
    <row r="2949" ht="14.25" customHeight="1">
      <c r="A2949" s="4"/>
      <c r="B2949" s="4" t="s">
        <v>1802</v>
      </c>
      <c r="C2949" s="4" t="s">
        <v>4585</v>
      </c>
      <c r="D2949" s="4" t="s">
        <v>1812</v>
      </c>
      <c r="E2949" s="5">
        <v>48.3641275995966</v>
      </c>
    </row>
    <row r="2950" ht="14.25" customHeight="1">
      <c r="A2950" s="4"/>
      <c r="B2950" s="4" t="s">
        <v>1802</v>
      </c>
      <c r="C2950" s="4" t="s">
        <v>4586</v>
      </c>
      <c r="D2950" s="4" t="s">
        <v>4587</v>
      </c>
      <c r="E2950" s="5">
        <v>28.0515083494521</v>
      </c>
    </row>
    <row r="2951" ht="14.25" customHeight="1">
      <c r="A2951" s="4"/>
      <c r="B2951" s="4" t="s">
        <v>1802</v>
      </c>
      <c r="C2951" s="4" t="s">
        <v>4588</v>
      </c>
      <c r="D2951" s="4" t="s">
        <v>1812</v>
      </c>
      <c r="E2951" s="5">
        <v>48.3641275995966</v>
      </c>
    </row>
    <row r="2952" ht="14.25" customHeight="1">
      <c r="A2952" s="4"/>
      <c r="B2952" s="4" t="s">
        <v>1802</v>
      </c>
      <c r="C2952" s="4" t="s">
        <v>4589</v>
      </c>
      <c r="D2952" s="4" t="s">
        <v>3328</v>
      </c>
      <c r="E2952" s="5">
        <v>24.1820637997983</v>
      </c>
    </row>
    <row r="2953" ht="14.25" customHeight="1">
      <c r="A2953" s="4"/>
      <c r="B2953" s="4" t="s">
        <v>1802</v>
      </c>
      <c r="C2953" s="4" t="s">
        <v>4590</v>
      </c>
      <c r="D2953" s="4" t="s">
        <v>1812</v>
      </c>
      <c r="E2953" s="5">
        <v>48.3641275995966</v>
      </c>
    </row>
    <row r="2954" ht="14.25" customHeight="1">
      <c r="A2954" s="4"/>
      <c r="B2954" s="4" t="s">
        <v>1802</v>
      </c>
      <c r="C2954" s="4" t="s">
        <v>4591</v>
      </c>
      <c r="D2954" s="4" t="s">
        <v>4592</v>
      </c>
      <c r="E2954" s="5">
        <v>17.3612326328222</v>
      </c>
    </row>
    <row r="2955" ht="14.25" customHeight="1">
      <c r="A2955" s="4"/>
      <c r="B2955" s="4" t="s">
        <v>1802</v>
      </c>
      <c r="C2955" s="4" t="s">
        <v>4593</v>
      </c>
      <c r="D2955" s="4" t="s">
        <v>2062</v>
      </c>
      <c r="E2955" s="5">
        <v>9.86628203031772</v>
      </c>
    </row>
    <row r="2956" ht="14.25" customHeight="1">
      <c r="A2956" s="4"/>
      <c r="B2956" s="4" t="s">
        <v>1802</v>
      </c>
      <c r="C2956" s="4" t="s">
        <v>4594</v>
      </c>
      <c r="D2956" s="4" t="s">
        <v>4595</v>
      </c>
      <c r="E2956" s="5">
        <v>37.964306402419</v>
      </c>
    </row>
    <row r="2957" ht="14.25" customHeight="1">
      <c r="A2957" s="4"/>
      <c r="B2957" s="4" t="s">
        <v>1802</v>
      </c>
      <c r="C2957" s="4" t="s">
        <v>4596</v>
      </c>
      <c r="D2957" s="4" t="s">
        <v>4597</v>
      </c>
      <c r="E2957" s="5">
        <v>34.2967427766396</v>
      </c>
    </row>
    <row r="2958" ht="14.25" customHeight="1">
      <c r="A2958" s="4"/>
      <c r="B2958" s="4" t="s">
        <v>1802</v>
      </c>
      <c r="C2958" s="4" t="s">
        <v>632</v>
      </c>
      <c r="D2958" s="4" t="s">
        <v>1812</v>
      </c>
      <c r="E2958" s="5">
        <v>48.3641275995966</v>
      </c>
    </row>
    <row r="2959" ht="14.25" customHeight="1">
      <c r="A2959" s="4"/>
      <c r="B2959" s="4" t="s">
        <v>1802</v>
      </c>
      <c r="C2959" s="4" t="s">
        <v>4598</v>
      </c>
      <c r="D2959" s="4" t="s">
        <v>4599</v>
      </c>
      <c r="E2959" s="5">
        <v>3.1478986982177597</v>
      </c>
    </row>
    <row r="2960" ht="14.25" customHeight="1">
      <c r="A2960" s="4"/>
      <c r="B2960" s="4" t="s">
        <v>1802</v>
      </c>
      <c r="C2960" s="4" t="s">
        <v>1493</v>
      </c>
      <c r="D2960" s="4" t="s">
        <v>1812</v>
      </c>
      <c r="E2960" s="5">
        <v>48.3641275995966</v>
      </c>
    </row>
    <row r="2961" ht="14.25" customHeight="1">
      <c r="A2961" s="4"/>
      <c r="B2961" s="4" t="s">
        <v>1802</v>
      </c>
      <c r="C2961" s="4" t="s">
        <v>4600</v>
      </c>
      <c r="D2961" s="4" t="s">
        <v>1812</v>
      </c>
      <c r="E2961" s="5">
        <v>48.3641275995966</v>
      </c>
    </row>
    <row r="2962" ht="14.25" customHeight="1">
      <c r="A2962" s="4"/>
      <c r="B2962" s="4" t="s">
        <v>1802</v>
      </c>
      <c r="C2962" s="4" t="s">
        <v>4601</v>
      </c>
      <c r="D2962" s="4" t="s">
        <v>4602</v>
      </c>
      <c r="E2962" s="5">
        <v>33.0865717755919</v>
      </c>
    </row>
    <row r="2963" ht="14.25" customHeight="1">
      <c r="A2963" s="4"/>
      <c r="B2963" s="4" t="s">
        <v>1802</v>
      </c>
      <c r="C2963" s="4" t="s">
        <v>4603</v>
      </c>
      <c r="D2963" s="4" t="s">
        <v>4604</v>
      </c>
      <c r="E2963" s="5">
        <v>7.096875957597581</v>
      </c>
    </row>
    <row r="2964" ht="14.25" customHeight="1">
      <c r="A2964" s="4"/>
      <c r="B2964" s="4" t="s">
        <v>1802</v>
      </c>
      <c r="C2964" s="4" t="s">
        <v>4605</v>
      </c>
      <c r="D2964" s="4" t="s">
        <v>1812</v>
      </c>
      <c r="E2964" s="5">
        <v>48.3641275995966</v>
      </c>
    </row>
    <row r="2965" ht="14.25" customHeight="1">
      <c r="A2965" s="4"/>
      <c r="B2965" s="4" t="s">
        <v>1802</v>
      </c>
      <c r="C2965" s="4" t="s">
        <v>4606</v>
      </c>
      <c r="D2965" s="4" t="s">
        <v>4607</v>
      </c>
      <c r="E2965" s="5">
        <v>17.3858145655926</v>
      </c>
    </row>
    <row r="2966" ht="14.25" customHeight="1">
      <c r="A2966" s="4"/>
      <c r="B2966" s="4" t="s">
        <v>1802</v>
      </c>
      <c r="C2966" s="4" t="s">
        <v>4608</v>
      </c>
      <c r="D2966" s="4" t="s">
        <v>4609</v>
      </c>
      <c r="E2966" s="5">
        <v>2.55969375913121</v>
      </c>
    </row>
    <row r="2967" ht="14.25" customHeight="1">
      <c r="A2967" s="4"/>
      <c r="B2967" s="4" t="s">
        <v>1802</v>
      </c>
      <c r="C2967" s="4" t="s">
        <v>4610</v>
      </c>
      <c r="D2967" s="4" t="s">
        <v>1812</v>
      </c>
      <c r="E2967" s="5">
        <v>48.3641275995966</v>
      </c>
    </row>
    <row r="2968" ht="14.25" customHeight="1">
      <c r="A2968" s="4"/>
      <c r="B2968" s="4" t="s">
        <v>1802</v>
      </c>
      <c r="C2968" s="4" t="s">
        <v>4611</v>
      </c>
      <c r="D2968" s="4" t="s">
        <v>4612</v>
      </c>
      <c r="E2968" s="5">
        <v>8.08520955064325</v>
      </c>
    </row>
    <row r="2969" ht="14.25" customHeight="1">
      <c r="A2969" s="4"/>
      <c r="B2969" s="4" t="s">
        <v>1802</v>
      </c>
      <c r="C2969" s="4" t="s">
        <v>4613</v>
      </c>
      <c r="D2969" s="4" t="s">
        <v>1812</v>
      </c>
      <c r="E2969" s="5">
        <v>48.3641275995966</v>
      </c>
    </row>
    <row r="2970" ht="14.25" customHeight="1">
      <c r="A2970" s="4"/>
      <c r="B2970" s="4" t="s">
        <v>1802</v>
      </c>
      <c r="C2970" s="4" t="s">
        <v>4614</v>
      </c>
      <c r="D2970" s="4" t="s">
        <v>1812</v>
      </c>
      <c r="E2970" s="5">
        <v>48.3641275995966</v>
      </c>
    </row>
    <row r="2971" ht="14.25" customHeight="1">
      <c r="A2971" s="4"/>
      <c r="B2971" s="4" t="s">
        <v>1802</v>
      </c>
      <c r="C2971" s="4" t="s">
        <v>103</v>
      </c>
      <c r="D2971" s="4" t="s">
        <v>1812</v>
      </c>
      <c r="E2971" s="5">
        <v>48.3641275995966</v>
      </c>
    </row>
    <row r="2972" ht="14.25" customHeight="1">
      <c r="A2972" s="4"/>
      <c r="B2972" s="4" t="s">
        <v>1802</v>
      </c>
      <c r="C2972" s="4" t="s">
        <v>1573</v>
      </c>
      <c r="D2972" s="4" t="s">
        <v>1812</v>
      </c>
      <c r="E2972" s="5">
        <v>48.3641275995966</v>
      </c>
    </row>
    <row r="2973" ht="14.25" customHeight="1">
      <c r="A2973" s="4"/>
      <c r="B2973" s="4" t="s">
        <v>1802</v>
      </c>
      <c r="C2973" s="4" t="s">
        <v>4615</v>
      </c>
      <c r="D2973" s="4" t="s">
        <v>4616</v>
      </c>
      <c r="E2973" s="5">
        <v>18.7762396658111</v>
      </c>
    </row>
    <row r="2974" ht="14.25" customHeight="1">
      <c r="A2974" s="4"/>
      <c r="B2974" s="4" t="s">
        <v>1802</v>
      </c>
      <c r="C2974" s="4" t="s">
        <v>4617</v>
      </c>
      <c r="D2974" s="4" t="s">
        <v>2105</v>
      </c>
      <c r="E2974" s="5">
        <v>29.018476559758</v>
      </c>
    </row>
    <row r="2975" ht="14.25" customHeight="1">
      <c r="A2975" s="4"/>
      <c r="B2975" s="4" t="s">
        <v>1802</v>
      </c>
      <c r="C2975" s="4" t="s">
        <v>927</v>
      </c>
      <c r="D2975" s="4" t="s">
        <v>4618</v>
      </c>
      <c r="E2975" s="5">
        <v>45.8547338554387</v>
      </c>
    </row>
    <row r="2976" ht="14.25" customHeight="1">
      <c r="A2976" s="4"/>
      <c r="B2976" s="4" t="s">
        <v>1802</v>
      </c>
      <c r="C2976" s="4" t="s">
        <v>589</v>
      </c>
      <c r="D2976" s="4" t="s">
        <v>1812</v>
      </c>
      <c r="E2976" s="5">
        <v>48.3641275995966</v>
      </c>
    </row>
    <row r="2977" ht="14.25" customHeight="1">
      <c r="A2977" s="4"/>
      <c r="B2977" s="4" t="s">
        <v>1802</v>
      </c>
      <c r="C2977" s="4" t="s">
        <v>4619</v>
      </c>
      <c r="D2977" s="4" t="s">
        <v>4620</v>
      </c>
      <c r="E2977" s="5">
        <v>20.2931989997653</v>
      </c>
    </row>
    <row r="2978" ht="14.25" customHeight="1">
      <c r="A2978" s="4"/>
      <c r="B2978" s="4" t="s">
        <v>1802</v>
      </c>
      <c r="C2978" s="4" t="s">
        <v>4621</v>
      </c>
      <c r="D2978" s="4" t="s">
        <v>1837</v>
      </c>
      <c r="E2978" s="5">
        <v>9.672825519919328</v>
      </c>
    </row>
    <row r="2979" ht="14.25" customHeight="1">
      <c r="A2979" s="4"/>
      <c r="B2979" s="4" t="s">
        <v>1802</v>
      </c>
      <c r="C2979" s="4" t="s">
        <v>4622</v>
      </c>
      <c r="D2979" s="4" t="s">
        <v>1812</v>
      </c>
      <c r="E2979" s="5">
        <v>48.3641275995966</v>
      </c>
    </row>
    <row r="2980" ht="14.25" customHeight="1">
      <c r="A2980" s="4"/>
      <c r="B2980" s="4" t="s">
        <v>1802</v>
      </c>
      <c r="C2980" s="4" t="s">
        <v>1692</v>
      </c>
      <c r="D2980" s="4" t="s">
        <v>4623</v>
      </c>
      <c r="E2980" s="5">
        <v>1.43550574882016</v>
      </c>
    </row>
    <row r="2981" ht="14.25" customHeight="1">
      <c r="A2981" s="4"/>
      <c r="B2981" s="4" t="s">
        <v>1802</v>
      </c>
      <c r="C2981" s="4" t="s">
        <v>4624</v>
      </c>
      <c r="D2981" s="4" t="s">
        <v>4625</v>
      </c>
      <c r="E2981" s="5">
        <v>41.0539703440712</v>
      </c>
    </row>
    <row r="2982" ht="14.25" customHeight="1">
      <c r="A2982" s="4"/>
      <c r="B2982" s="4" t="s">
        <v>1802</v>
      </c>
      <c r="C2982" s="4" t="s">
        <v>4626</v>
      </c>
      <c r="D2982" s="4" t="s">
        <v>4627</v>
      </c>
      <c r="E2982" s="5">
        <v>43.6278744330666</v>
      </c>
    </row>
    <row r="2983" ht="14.25" customHeight="1">
      <c r="A2983" s="4"/>
      <c r="B2983" s="4" t="s">
        <v>1802</v>
      </c>
      <c r="C2983" s="4" t="s">
        <v>4628</v>
      </c>
      <c r="D2983" s="4" t="s">
        <v>1812</v>
      </c>
      <c r="E2983" s="5">
        <v>48.3641275995966</v>
      </c>
    </row>
    <row r="2984" ht="14.25" customHeight="1">
      <c r="A2984" s="4"/>
      <c r="B2984" s="4" t="s">
        <v>1802</v>
      </c>
      <c r="C2984" s="4" t="s">
        <v>4629</v>
      </c>
      <c r="D2984" s="4" t="s">
        <v>1812</v>
      </c>
      <c r="E2984" s="5">
        <v>48.3641275995966</v>
      </c>
    </row>
    <row r="2985" ht="14.25" customHeight="1">
      <c r="A2985" s="4"/>
      <c r="B2985" s="4" t="s">
        <v>1802</v>
      </c>
      <c r="C2985" s="4" t="s">
        <v>4630</v>
      </c>
      <c r="D2985" s="4" t="s">
        <v>4631</v>
      </c>
      <c r="E2985" s="5">
        <v>8.316797700976531</v>
      </c>
    </row>
    <row r="2986" ht="14.25" customHeight="1">
      <c r="A2986" s="4"/>
      <c r="B2986" s="4" t="s">
        <v>1802</v>
      </c>
      <c r="C2986" s="4" t="s">
        <v>4632</v>
      </c>
      <c r="D2986" s="4" t="s">
        <v>4633</v>
      </c>
      <c r="E2986" s="5">
        <v>47.8801947567843</v>
      </c>
    </row>
    <row r="2987" ht="14.25" customHeight="1">
      <c r="A2987" s="4"/>
      <c r="B2987" s="4" t="s">
        <v>1802</v>
      </c>
      <c r="C2987" s="4" t="s">
        <v>4634</v>
      </c>
      <c r="D2987" s="4" t="s">
        <v>1812</v>
      </c>
      <c r="E2987" s="5">
        <v>48.3641275995966</v>
      </c>
    </row>
    <row r="2988" ht="14.25" customHeight="1">
      <c r="A2988" s="4"/>
      <c r="B2988" s="4" t="s">
        <v>1802</v>
      </c>
      <c r="C2988" s="4" t="s">
        <v>4635</v>
      </c>
      <c r="D2988" s="4" t="s">
        <v>1812</v>
      </c>
      <c r="E2988" s="5">
        <v>48.3641275995966</v>
      </c>
    </row>
    <row r="2989" ht="14.25" customHeight="1">
      <c r="A2989" s="4"/>
      <c r="B2989" s="4" t="s">
        <v>1802</v>
      </c>
      <c r="C2989" s="4" t="s">
        <v>4636</v>
      </c>
      <c r="D2989" s="4" t="s">
        <v>4637</v>
      </c>
      <c r="E2989" s="5">
        <v>9.539060258205371</v>
      </c>
    </row>
    <row r="2990" ht="14.25" customHeight="1">
      <c r="A2990" s="4"/>
      <c r="B2990" s="4" t="s">
        <v>1802</v>
      </c>
      <c r="C2990" s="4" t="s">
        <v>4638</v>
      </c>
      <c r="D2990" s="4" t="s">
        <v>1812</v>
      </c>
      <c r="E2990" s="5">
        <v>48.3641275995966</v>
      </c>
    </row>
    <row r="2991" ht="14.25" customHeight="1">
      <c r="A2991" s="4"/>
      <c r="B2991" s="4" t="s">
        <v>1802</v>
      </c>
      <c r="C2991" s="4" t="s">
        <v>4639</v>
      </c>
      <c r="D2991" s="4" t="s">
        <v>1812</v>
      </c>
      <c r="E2991" s="5">
        <v>48.3641275995966</v>
      </c>
    </row>
    <row r="2992" ht="14.25" customHeight="1">
      <c r="A2992" s="4"/>
      <c r="B2992" s="4" t="s">
        <v>1802</v>
      </c>
      <c r="C2992" s="4" t="s">
        <v>4640</v>
      </c>
      <c r="D2992" s="4" t="s">
        <v>4641</v>
      </c>
      <c r="E2992" s="5">
        <v>19.5032334266697</v>
      </c>
    </row>
    <row r="2993" ht="14.25" customHeight="1">
      <c r="A2993" s="4"/>
      <c r="B2993" s="4" t="s">
        <v>1802</v>
      </c>
      <c r="C2993" s="4" t="s">
        <v>4642</v>
      </c>
      <c r="D2993" s="4" t="s">
        <v>1812</v>
      </c>
      <c r="E2993" s="5">
        <v>48.3641275995966</v>
      </c>
    </row>
    <row r="2994" ht="14.25" customHeight="1">
      <c r="A2994" s="4"/>
      <c r="B2994" s="4" t="s">
        <v>1802</v>
      </c>
      <c r="C2994" s="4" t="s">
        <v>4643</v>
      </c>
      <c r="D2994" s="4" t="s">
        <v>1812</v>
      </c>
      <c r="E2994" s="5">
        <v>48.3641275995966</v>
      </c>
    </row>
    <row r="2995" ht="14.25" customHeight="1">
      <c r="A2995" s="4"/>
      <c r="B2995" s="4" t="s">
        <v>1802</v>
      </c>
      <c r="C2995" s="4" t="s">
        <v>4644</v>
      </c>
      <c r="D2995" s="4" t="s">
        <v>1837</v>
      </c>
      <c r="E2995" s="5">
        <v>9.672825519919328</v>
      </c>
    </row>
    <row r="2996" ht="14.25" customHeight="1">
      <c r="A2996" s="4"/>
      <c r="B2996" s="4" t="s">
        <v>1802</v>
      </c>
      <c r="C2996" s="4" t="s">
        <v>4645</v>
      </c>
      <c r="D2996" s="4" t="s">
        <v>1837</v>
      </c>
      <c r="E2996" s="5">
        <v>9.672825519919328</v>
      </c>
    </row>
    <row r="2997" ht="14.25" customHeight="1">
      <c r="A2997" s="4"/>
      <c r="B2997" s="4" t="s">
        <v>1802</v>
      </c>
      <c r="C2997" s="4" t="s">
        <v>4646</v>
      </c>
      <c r="D2997" s="4" t="s">
        <v>1812</v>
      </c>
      <c r="E2997" s="5">
        <v>48.3641275995966</v>
      </c>
    </row>
    <row r="2998" ht="14.25" customHeight="1">
      <c r="A2998" s="4"/>
      <c r="B2998" s="4" t="s">
        <v>1802</v>
      </c>
      <c r="C2998" s="4" t="s">
        <v>4647</v>
      </c>
      <c r="D2998" s="4" t="s">
        <v>1837</v>
      </c>
      <c r="E2998" s="5">
        <v>9.672825519919328</v>
      </c>
    </row>
    <row r="2999" ht="14.25" customHeight="1">
      <c r="A2999" s="4"/>
      <c r="B2999" s="4" t="s">
        <v>1802</v>
      </c>
      <c r="C2999" s="4" t="s">
        <v>4648</v>
      </c>
      <c r="D2999" s="4" t="s">
        <v>1812</v>
      </c>
      <c r="E2999" s="5">
        <v>48.3641275995966</v>
      </c>
    </row>
    <row r="3000" ht="14.25" customHeight="1">
      <c r="A3000" s="4"/>
      <c r="B3000" s="4" t="s">
        <v>1802</v>
      </c>
      <c r="C3000" s="4" t="s">
        <v>4649</v>
      </c>
      <c r="D3000" s="4" t="s">
        <v>4650</v>
      </c>
      <c r="E3000" s="5">
        <v>35.1703935904266</v>
      </c>
    </row>
    <row r="3001" ht="14.25" customHeight="1">
      <c r="A3001" s="4"/>
      <c r="B3001" s="4" t="s">
        <v>1802</v>
      </c>
      <c r="C3001" s="4" t="s">
        <v>4651</v>
      </c>
      <c r="D3001" s="4" t="s">
        <v>4652</v>
      </c>
      <c r="E3001" s="5">
        <v>9.831377012823449</v>
      </c>
    </row>
    <row r="3002" ht="14.25" customHeight="1">
      <c r="A3002" s="4"/>
      <c r="B3002" s="4" t="s">
        <v>1802</v>
      </c>
      <c r="C3002" s="4" t="s">
        <v>4653</v>
      </c>
      <c r="D3002" s="4" t="s">
        <v>4654</v>
      </c>
      <c r="E3002" s="5">
        <v>44.2325759894013</v>
      </c>
    </row>
    <row r="3003" ht="14.25" customHeight="1">
      <c r="A3003" s="4"/>
      <c r="B3003" s="4" t="s">
        <v>1802</v>
      </c>
      <c r="C3003" s="4" t="s">
        <v>4655</v>
      </c>
      <c r="D3003" s="4" t="s">
        <v>1812</v>
      </c>
      <c r="E3003" s="5">
        <v>48.3641275995966</v>
      </c>
    </row>
    <row r="3004" ht="14.25" customHeight="1">
      <c r="A3004" s="4"/>
      <c r="B3004" s="4" t="s">
        <v>1802</v>
      </c>
      <c r="C3004" s="4" t="s">
        <v>4656</v>
      </c>
      <c r="D3004" s="4" t="s">
        <v>2062</v>
      </c>
      <c r="E3004" s="5">
        <v>9.86628203031772</v>
      </c>
    </row>
    <row r="3005" ht="14.25" customHeight="1">
      <c r="A3005" s="4"/>
      <c r="B3005" s="4" t="s">
        <v>1802</v>
      </c>
      <c r="C3005" s="4" t="s">
        <v>954</v>
      </c>
      <c r="D3005" s="4" t="s">
        <v>1812</v>
      </c>
      <c r="E3005" s="5">
        <v>48.3641275995966</v>
      </c>
    </row>
    <row r="3006" ht="14.25" customHeight="1">
      <c r="A3006" s="4"/>
      <c r="B3006" s="4" t="s">
        <v>1802</v>
      </c>
      <c r="C3006" s="4" t="s">
        <v>4657</v>
      </c>
      <c r="D3006" s="4" t="s">
        <v>4658</v>
      </c>
      <c r="E3006" s="5">
        <v>8.20578037977657</v>
      </c>
    </row>
    <row r="3007" ht="14.25" customHeight="1">
      <c r="A3007" s="4"/>
      <c r="B3007" s="4" t="s">
        <v>1802</v>
      </c>
      <c r="C3007" s="4" t="s">
        <v>4659</v>
      </c>
      <c r="D3007" s="4" t="s">
        <v>1821</v>
      </c>
      <c r="E3007" s="5">
        <v>19.3456510398386</v>
      </c>
    </row>
    <row r="3008" ht="14.25" customHeight="1">
      <c r="A3008" s="4"/>
      <c r="B3008" s="4" t="s">
        <v>1802</v>
      </c>
      <c r="C3008" s="4" t="s">
        <v>4660</v>
      </c>
      <c r="D3008" s="4" t="s">
        <v>4661</v>
      </c>
      <c r="E3008" s="5">
        <v>48.2739780776947</v>
      </c>
    </row>
    <row r="3009" ht="14.25" customHeight="1">
      <c r="A3009" s="4"/>
      <c r="B3009" s="4" t="s">
        <v>1802</v>
      </c>
      <c r="C3009" s="4" t="s">
        <v>4662</v>
      </c>
      <c r="D3009" s="4" t="s">
        <v>1812</v>
      </c>
      <c r="E3009" s="5">
        <v>48.3641275995966</v>
      </c>
    </row>
    <row r="3010" ht="14.25" customHeight="1">
      <c r="A3010" s="4"/>
      <c r="B3010" s="4" t="s">
        <v>1802</v>
      </c>
      <c r="C3010" s="4" t="s">
        <v>4663</v>
      </c>
      <c r="D3010" s="4" t="s">
        <v>4664</v>
      </c>
      <c r="E3010" s="5">
        <v>41.034721924891805</v>
      </c>
    </row>
    <row r="3011" ht="14.25" customHeight="1">
      <c r="A3011" s="4"/>
      <c r="B3011" s="4" t="s">
        <v>1802</v>
      </c>
      <c r="C3011" s="4" t="s">
        <v>4665</v>
      </c>
      <c r="D3011" s="4" t="s">
        <v>1812</v>
      </c>
      <c r="E3011" s="5">
        <v>48.3641275995966</v>
      </c>
    </row>
    <row r="3012" ht="14.25" customHeight="1">
      <c r="A3012" s="4"/>
      <c r="B3012" s="4" t="s">
        <v>1802</v>
      </c>
      <c r="C3012" s="4" t="s">
        <v>4666</v>
      </c>
      <c r="D3012" s="4" t="s">
        <v>4667</v>
      </c>
      <c r="E3012" s="5">
        <v>41.7073316253836</v>
      </c>
    </row>
    <row r="3013" ht="14.25" customHeight="1">
      <c r="A3013" s="4"/>
      <c r="B3013" s="4" t="s">
        <v>1802</v>
      </c>
      <c r="C3013" s="4" t="s">
        <v>4668</v>
      </c>
      <c r="D3013" s="4" t="s">
        <v>1812</v>
      </c>
      <c r="E3013" s="5">
        <v>48.3641275995966</v>
      </c>
    </row>
    <row r="3014" ht="14.25" customHeight="1">
      <c r="A3014" s="4"/>
      <c r="B3014" s="4" t="s">
        <v>1802</v>
      </c>
      <c r="C3014" s="4" t="s">
        <v>4669</v>
      </c>
      <c r="D3014" s="4" t="s">
        <v>4670</v>
      </c>
      <c r="E3014" s="5">
        <v>30.6983968395187</v>
      </c>
    </row>
    <row r="3015" ht="14.25" customHeight="1">
      <c r="A3015" s="4"/>
      <c r="B3015" s="4" t="s">
        <v>1802</v>
      </c>
      <c r="C3015" s="4" t="s">
        <v>4671</v>
      </c>
      <c r="D3015" s="4" t="s">
        <v>4672</v>
      </c>
      <c r="E3015" s="5">
        <v>46.1833098160813</v>
      </c>
    </row>
    <row r="3016" ht="14.25" customHeight="1">
      <c r="A3016" s="4"/>
      <c r="B3016" s="4" t="s">
        <v>1802</v>
      </c>
      <c r="C3016" s="4" t="s">
        <v>4673</v>
      </c>
      <c r="D3016" s="4" t="s">
        <v>1812</v>
      </c>
      <c r="E3016" s="5">
        <v>48.3641275995966</v>
      </c>
    </row>
    <row r="3017" ht="14.25" customHeight="1">
      <c r="A3017" s="4"/>
      <c r="B3017" s="4" t="s">
        <v>1802</v>
      </c>
      <c r="C3017" s="4" t="s">
        <v>4674</v>
      </c>
      <c r="D3017" s="4" t="s">
        <v>4675</v>
      </c>
      <c r="E3017" s="5">
        <v>5.29873090627703</v>
      </c>
    </row>
    <row r="3018" ht="14.25" customHeight="1">
      <c r="A3018" s="4"/>
      <c r="B3018" s="4" t="s">
        <v>1802</v>
      </c>
      <c r="C3018" s="4" t="s">
        <v>4676</v>
      </c>
      <c r="D3018" s="4" t="s">
        <v>4677</v>
      </c>
      <c r="E3018" s="5">
        <v>20.1196824929745</v>
      </c>
    </row>
    <row r="3019" ht="14.25" customHeight="1">
      <c r="A3019" s="4"/>
      <c r="B3019" s="4" t="s">
        <v>1802</v>
      </c>
      <c r="C3019" s="4" t="s">
        <v>4678</v>
      </c>
      <c r="D3019" s="4" t="s">
        <v>4679</v>
      </c>
      <c r="E3019" s="5">
        <v>3.16362755832078</v>
      </c>
    </row>
    <row r="3020" ht="14.25" customHeight="1">
      <c r="A3020" s="4"/>
      <c r="B3020" s="4" t="s">
        <v>1802</v>
      </c>
      <c r="C3020" s="4" t="s">
        <v>4680</v>
      </c>
      <c r="D3020" s="4" t="s">
        <v>4681</v>
      </c>
      <c r="E3020" s="5">
        <v>46.5023044637478</v>
      </c>
    </row>
    <row r="3021" ht="14.25" customHeight="1">
      <c r="A3021" s="4"/>
      <c r="B3021" s="4" t="s">
        <v>1802</v>
      </c>
      <c r="C3021" s="4" t="s">
        <v>4682</v>
      </c>
      <c r="D3021" s="4" t="s">
        <v>4683</v>
      </c>
      <c r="E3021" s="5">
        <v>6.9712723750155705</v>
      </c>
    </row>
    <row r="3022" ht="14.25" customHeight="1">
      <c r="A3022" s="4"/>
      <c r="B3022" s="4" t="s">
        <v>1802</v>
      </c>
      <c r="C3022" s="4" t="s">
        <v>4684</v>
      </c>
      <c r="D3022" s="4" t="s">
        <v>4685</v>
      </c>
      <c r="E3022" s="5">
        <v>3.3598370169672203</v>
      </c>
    </row>
    <row r="3023" ht="14.25" customHeight="1">
      <c r="A3023" s="4"/>
      <c r="B3023" s="4" t="s">
        <v>1802</v>
      </c>
      <c r="C3023" s="4" t="s">
        <v>4686</v>
      </c>
      <c r="D3023" s="4" t="s">
        <v>1821</v>
      </c>
      <c r="E3023" s="5">
        <v>19.3456510398386</v>
      </c>
    </row>
    <row r="3024" ht="14.25" customHeight="1">
      <c r="A3024" s="4"/>
      <c r="B3024" s="4" t="s">
        <v>1802</v>
      </c>
      <c r="C3024" s="4" t="s">
        <v>4687</v>
      </c>
      <c r="D3024" s="4" t="s">
        <v>1812</v>
      </c>
      <c r="E3024" s="5">
        <v>48.3641275995966</v>
      </c>
    </row>
    <row r="3025" ht="14.25" customHeight="1">
      <c r="A3025" s="4"/>
      <c r="B3025" s="4" t="s">
        <v>1802</v>
      </c>
      <c r="C3025" s="4" t="s">
        <v>4688</v>
      </c>
      <c r="D3025" s="4" t="s">
        <v>1837</v>
      </c>
      <c r="E3025" s="5">
        <v>9.672825519919328</v>
      </c>
    </row>
    <row r="3026" ht="14.25" customHeight="1">
      <c r="A3026" s="4"/>
      <c r="B3026" s="4" t="s">
        <v>1802</v>
      </c>
      <c r="C3026" s="4" t="s">
        <v>4689</v>
      </c>
      <c r="D3026" s="4" t="s">
        <v>4690</v>
      </c>
      <c r="E3026" s="5">
        <v>11.8352340446948</v>
      </c>
    </row>
    <row r="3027" ht="14.25" customHeight="1">
      <c r="A3027" s="4"/>
      <c r="B3027" s="4" t="s">
        <v>1802</v>
      </c>
      <c r="C3027" s="4" t="s">
        <v>4691</v>
      </c>
      <c r="D3027" s="4" t="s">
        <v>4692</v>
      </c>
      <c r="E3027" s="5">
        <v>12.013122937718599</v>
      </c>
    </row>
    <row r="3028" ht="14.25" customHeight="1">
      <c r="A3028" s="4"/>
      <c r="B3028" s="4" t="s">
        <v>1802</v>
      </c>
      <c r="C3028" s="4" t="s">
        <v>4693</v>
      </c>
      <c r="D3028" s="4" t="s">
        <v>4694</v>
      </c>
      <c r="E3028" s="5">
        <v>25.5327182345439</v>
      </c>
    </row>
    <row r="3029" ht="14.25" customHeight="1">
      <c r="A3029" s="4"/>
      <c r="B3029" s="4" t="s">
        <v>1802</v>
      </c>
      <c r="C3029" s="4" t="s">
        <v>4695</v>
      </c>
      <c r="D3029" s="4" t="s">
        <v>1812</v>
      </c>
      <c r="E3029" s="5">
        <v>48.3641275995966</v>
      </c>
    </row>
    <row r="3030" ht="14.25" customHeight="1">
      <c r="A3030" s="4"/>
      <c r="B3030" s="4" t="s">
        <v>1802</v>
      </c>
      <c r="C3030" s="4" t="s">
        <v>4696</v>
      </c>
      <c r="D3030" s="4" t="s">
        <v>4697</v>
      </c>
      <c r="E3030" s="5">
        <v>18.4874829371376</v>
      </c>
    </row>
    <row r="3031" ht="14.25" customHeight="1">
      <c r="A3031" s="4"/>
      <c r="B3031" s="4" t="s">
        <v>1802</v>
      </c>
      <c r="C3031" s="4" t="s">
        <v>1119</v>
      </c>
      <c r="D3031" s="4" t="s">
        <v>4698</v>
      </c>
      <c r="E3031" s="5">
        <v>36.9194164362048</v>
      </c>
    </row>
    <row r="3032" ht="14.25" customHeight="1">
      <c r="A3032" s="4"/>
      <c r="B3032" s="4" t="s">
        <v>1802</v>
      </c>
      <c r="C3032" s="4" t="s">
        <v>4699</v>
      </c>
      <c r="D3032" s="4" t="s">
        <v>1837</v>
      </c>
      <c r="E3032" s="5">
        <v>9.672825519919328</v>
      </c>
    </row>
    <row r="3033" ht="14.25" customHeight="1">
      <c r="A3033" s="4"/>
      <c r="B3033" s="4" t="s">
        <v>1802</v>
      </c>
      <c r="C3033" s="4" t="s">
        <v>4700</v>
      </c>
      <c r="D3033" s="4" t="s">
        <v>4701</v>
      </c>
      <c r="E3033" s="5">
        <v>42.5834985796072</v>
      </c>
    </row>
    <row r="3034" ht="14.25" customHeight="1">
      <c r="A3034" s="4"/>
      <c r="B3034" s="4" t="s">
        <v>1802</v>
      </c>
      <c r="C3034" s="4" t="s">
        <v>1241</v>
      </c>
      <c r="D3034" s="4" t="s">
        <v>1812</v>
      </c>
      <c r="E3034" s="5">
        <v>48.3641275995966</v>
      </c>
    </row>
    <row r="3035" ht="14.25" customHeight="1">
      <c r="A3035" s="4"/>
      <c r="B3035" s="4" t="s">
        <v>1802</v>
      </c>
      <c r="C3035" s="4" t="s">
        <v>4702</v>
      </c>
      <c r="D3035" s="4" t="s">
        <v>4703</v>
      </c>
      <c r="E3035" s="5">
        <v>33.2583802889067</v>
      </c>
    </row>
    <row r="3036" ht="14.25" customHeight="1">
      <c r="A3036" s="4"/>
      <c r="B3036" s="4" t="s">
        <v>1802</v>
      </c>
      <c r="C3036" s="4" t="s">
        <v>4704</v>
      </c>
      <c r="D3036" s="4" t="s">
        <v>1812</v>
      </c>
      <c r="E3036" s="5">
        <v>48.3641275995966</v>
      </c>
    </row>
    <row r="3037" ht="14.25" customHeight="1">
      <c r="A3037" s="4"/>
      <c r="B3037" s="4" t="s">
        <v>1802</v>
      </c>
      <c r="C3037" s="4" t="s">
        <v>4705</v>
      </c>
      <c r="D3037" s="4" t="s">
        <v>4706</v>
      </c>
      <c r="E3037" s="5">
        <v>38.6713672649602</v>
      </c>
    </row>
    <row r="3038" ht="14.25" customHeight="1">
      <c r="A3038" s="4"/>
      <c r="B3038" s="4" t="s">
        <v>1802</v>
      </c>
      <c r="C3038" s="4" t="s">
        <v>4707</v>
      </c>
      <c r="D3038" s="4" t="s">
        <v>4708</v>
      </c>
      <c r="E3038" s="5">
        <v>0.0848510221815786</v>
      </c>
    </row>
    <row r="3039" ht="14.25" customHeight="1">
      <c r="A3039" s="4"/>
      <c r="B3039" s="4" t="s">
        <v>1802</v>
      </c>
      <c r="C3039" s="4" t="s">
        <v>4709</v>
      </c>
      <c r="D3039" s="4" t="s">
        <v>1812</v>
      </c>
      <c r="E3039" s="5">
        <v>48.3641275995966</v>
      </c>
    </row>
    <row r="3040" ht="14.25" customHeight="1">
      <c r="A3040" s="4"/>
      <c r="B3040" s="4" t="s">
        <v>1802</v>
      </c>
      <c r="C3040" s="4" t="s">
        <v>1362</v>
      </c>
      <c r="D3040" s="4" t="s">
        <v>1812</v>
      </c>
      <c r="E3040" s="5">
        <v>48.3641275995966</v>
      </c>
    </row>
    <row r="3041" ht="14.25" customHeight="1">
      <c r="A3041" s="4"/>
      <c r="B3041" s="4" t="s">
        <v>1802</v>
      </c>
      <c r="C3041" s="4" t="s">
        <v>4710</v>
      </c>
      <c r="D3041" s="4" t="s">
        <v>4711</v>
      </c>
      <c r="E3041" s="5">
        <v>35.403606629973</v>
      </c>
    </row>
    <row r="3042" ht="14.25" customHeight="1">
      <c r="A3042" s="4"/>
      <c r="B3042" s="4" t="s">
        <v>1802</v>
      </c>
      <c r="C3042" s="4" t="s">
        <v>4712</v>
      </c>
      <c r="D3042" s="4" t="s">
        <v>4713</v>
      </c>
      <c r="E3042" s="5">
        <v>0.588849141075627</v>
      </c>
    </row>
    <row r="3043" ht="14.25" customHeight="1">
      <c r="A3043" s="4"/>
      <c r="B3043" s="4" t="s">
        <v>1802</v>
      </c>
      <c r="C3043" s="4" t="s">
        <v>4714</v>
      </c>
      <c r="D3043" s="4" t="s">
        <v>4715</v>
      </c>
      <c r="E3043" s="5">
        <v>43.63206857204089</v>
      </c>
    </row>
    <row r="3044" ht="14.25" customHeight="1">
      <c r="A3044" s="4"/>
      <c r="B3044" s="4" t="s">
        <v>1802</v>
      </c>
      <c r="C3044" s="4" t="s">
        <v>4716</v>
      </c>
      <c r="D3044" s="4" t="s">
        <v>1812</v>
      </c>
      <c r="E3044" s="5">
        <v>48.3641275995966</v>
      </c>
    </row>
    <row r="3045" ht="14.25" customHeight="1">
      <c r="A3045" s="4"/>
      <c r="B3045" s="4" t="s">
        <v>1802</v>
      </c>
      <c r="C3045" s="4" t="s">
        <v>4717</v>
      </c>
      <c r="D3045" s="4" t="s">
        <v>4718</v>
      </c>
      <c r="E3045" s="5">
        <v>9.640830255487879</v>
      </c>
    </row>
    <row r="3046" ht="14.25" customHeight="1">
      <c r="A3046" s="4"/>
      <c r="B3046" s="4" t="s">
        <v>1802</v>
      </c>
      <c r="C3046" s="4" t="s">
        <v>1083</v>
      </c>
      <c r="D3046" s="4" t="s">
        <v>4719</v>
      </c>
      <c r="E3046" s="5">
        <v>8.15236118549253</v>
      </c>
    </row>
    <row r="3047" ht="14.25" customHeight="1">
      <c r="A3047" s="4"/>
      <c r="B3047" s="4" t="s">
        <v>1802</v>
      </c>
      <c r="C3047" s="4" t="s">
        <v>4720</v>
      </c>
      <c r="D3047" s="4" t="s">
        <v>4721</v>
      </c>
      <c r="E3047" s="5">
        <v>14.148921653393199</v>
      </c>
    </row>
    <row r="3048" ht="14.25" customHeight="1">
      <c r="A3048" s="4"/>
      <c r="B3048" s="4" t="s">
        <v>1802</v>
      </c>
      <c r="C3048" s="4" t="s">
        <v>4722</v>
      </c>
      <c r="D3048" s="4" t="s">
        <v>1812</v>
      </c>
      <c r="E3048" s="5">
        <v>48.3641275995966</v>
      </c>
    </row>
    <row r="3049" ht="14.25" customHeight="1">
      <c r="A3049" s="4"/>
      <c r="B3049" s="4" t="s">
        <v>1802</v>
      </c>
      <c r="C3049" s="4" t="s">
        <v>4723</v>
      </c>
      <c r="D3049" s="4" t="s">
        <v>4724</v>
      </c>
      <c r="E3049" s="5">
        <v>10.8713667499489</v>
      </c>
    </row>
    <row r="3050" ht="14.25" customHeight="1">
      <c r="A3050" s="4"/>
      <c r="B3050" s="4" t="s">
        <v>1802</v>
      </c>
      <c r="C3050" s="4" t="s">
        <v>4725</v>
      </c>
      <c r="D3050" s="4" t="s">
        <v>4726</v>
      </c>
      <c r="E3050" s="5">
        <v>19.4697147622501</v>
      </c>
    </row>
    <row r="3051" ht="14.25" customHeight="1">
      <c r="A3051" s="4"/>
      <c r="B3051" s="4" t="s">
        <v>1802</v>
      </c>
      <c r="C3051" s="4" t="s">
        <v>4727</v>
      </c>
      <c r="D3051" s="4" t="s">
        <v>4728</v>
      </c>
      <c r="E3051" s="5">
        <v>9.34861936391624</v>
      </c>
    </row>
    <row r="3052" ht="14.25" customHeight="1">
      <c r="A3052" s="4"/>
      <c r="B3052" s="4" t="s">
        <v>1802</v>
      </c>
      <c r="C3052" s="4" t="s">
        <v>4729</v>
      </c>
      <c r="D3052" s="4" t="s">
        <v>1812</v>
      </c>
      <c r="E3052" s="5">
        <v>48.3641275995966</v>
      </c>
    </row>
    <row r="3053" ht="14.25" customHeight="1">
      <c r="A3053" s="4"/>
      <c r="B3053" s="4" t="s">
        <v>1802</v>
      </c>
      <c r="C3053" s="4" t="s">
        <v>304</v>
      </c>
      <c r="D3053" s="4" t="s">
        <v>1812</v>
      </c>
      <c r="E3053" s="5">
        <v>48.3641275995966</v>
      </c>
    </row>
    <row r="3054" ht="14.25" customHeight="1">
      <c r="A3054" s="4"/>
      <c r="B3054" s="4" t="s">
        <v>1802</v>
      </c>
      <c r="C3054" s="4" t="s">
        <v>4730</v>
      </c>
      <c r="D3054" s="4" t="s">
        <v>1812</v>
      </c>
      <c r="E3054" s="5">
        <v>48.3641275995966</v>
      </c>
    </row>
    <row r="3055" ht="14.25" customHeight="1">
      <c r="A3055" s="4"/>
      <c r="B3055" s="4" t="s">
        <v>1802</v>
      </c>
      <c r="C3055" s="4" t="s">
        <v>4731</v>
      </c>
      <c r="D3055" s="4" t="s">
        <v>1812</v>
      </c>
      <c r="E3055" s="5">
        <v>48.3641275995966</v>
      </c>
    </row>
    <row r="3056" ht="14.25" customHeight="1">
      <c r="A3056" s="4"/>
      <c r="B3056" s="4" t="s">
        <v>1802</v>
      </c>
      <c r="C3056" s="4" t="s">
        <v>4732</v>
      </c>
      <c r="D3056" s="4" t="s">
        <v>1812</v>
      </c>
      <c r="E3056" s="5">
        <v>48.3641275995966</v>
      </c>
    </row>
    <row r="3057" ht="14.25" customHeight="1">
      <c r="A3057" s="4"/>
      <c r="B3057" s="4" t="s">
        <v>1802</v>
      </c>
      <c r="C3057" s="4" t="s">
        <v>4733</v>
      </c>
      <c r="D3057" s="4" t="s">
        <v>4734</v>
      </c>
      <c r="E3057" s="5">
        <v>47.5711668790351</v>
      </c>
    </row>
    <row r="3058" ht="14.25" customHeight="1">
      <c r="A3058" s="4"/>
      <c r="B3058" s="4" t="s">
        <v>1802</v>
      </c>
      <c r="C3058" s="4" t="s">
        <v>4735</v>
      </c>
      <c r="D3058" s="4" t="s">
        <v>1812</v>
      </c>
      <c r="E3058" s="5">
        <v>48.3641275995966</v>
      </c>
    </row>
    <row r="3059" ht="14.25" customHeight="1">
      <c r="A3059" s="4"/>
      <c r="B3059" s="4" t="s">
        <v>1802</v>
      </c>
      <c r="C3059" s="4" t="s">
        <v>4736</v>
      </c>
      <c r="D3059" s="4" t="s">
        <v>1812</v>
      </c>
      <c r="E3059" s="5">
        <v>48.3641275995966</v>
      </c>
    </row>
    <row r="3060" ht="14.25" customHeight="1">
      <c r="A3060" s="4"/>
      <c r="B3060" s="4" t="s">
        <v>1802</v>
      </c>
      <c r="C3060" s="4" t="s">
        <v>4737</v>
      </c>
      <c r="D3060" s="4" t="s">
        <v>4738</v>
      </c>
      <c r="E3060" s="5">
        <v>40.4817438558336</v>
      </c>
    </row>
    <row r="3061" ht="14.25" customHeight="1">
      <c r="A3061" s="4"/>
      <c r="B3061" s="4" t="s">
        <v>1802</v>
      </c>
      <c r="C3061" s="4" t="s">
        <v>4739</v>
      </c>
      <c r="D3061" s="4" t="s">
        <v>1812</v>
      </c>
      <c r="E3061" s="5">
        <v>48.3641275995966</v>
      </c>
    </row>
    <row r="3062" ht="14.25" customHeight="1">
      <c r="A3062" s="4"/>
      <c r="B3062" s="4" t="s">
        <v>1802</v>
      </c>
      <c r="C3062" s="4" t="s">
        <v>4740</v>
      </c>
      <c r="D3062" s="4" t="s">
        <v>4741</v>
      </c>
      <c r="E3062" s="5">
        <v>9.66939603452739</v>
      </c>
    </row>
    <row r="3063" ht="14.25" customHeight="1">
      <c r="A3063" s="4"/>
      <c r="B3063" s="4" t="s">
        <v>1802</v>
      </c>
      <c r="C3063" s="4" t="s">
        <v>4742</v>
      </c>
      <c r="D3063" s="4" t="s">
        <v>1812</v>
      </c>
      <c r="E3063" s="5">
        <v>48.3641275995966</v>
      </c>
    </row>
    <row r="3064" ht="14.25" customHeight="1">
      <c r="A3064" s="4"/>
      <c r="B3064" s="4" t="s">
        <v>1802</v>
      </c>
      <c r="C3064" s="4" t="s">
        <v>4743</v>
      </c>
      <c r="D3064" s="4" t="s">
        <v>1812</v>
      </c>
      <c r="E3064" s="5">
        <v>48.3641275995966</v>
      </c>
    </row>
    <row r="3065" ht="14.25" customHeight="1">
      <c r="A3065" s="4"/>
      <c r="B3065" s="4" t="s">
        <v>1802</v>
      </c>
      <c r="C3065" s="4" t="s">
        <v>4744</v>
      </c>
      <c r="D3065" s="4" t="s">
        <v>1812</v>
      </c>
      <c r="E3065" s="5">
        <v>48.3641275995966</v>
      </c>
    </row>
    <row r="3066" ht="14.25" customHeight="1">
      <c r="A3066" s="4"/>
      <c r="B3066" s="4" t="s">
        <v>1802</v>
      </c>
      <c r="C3066" s="4" t="s">
        <v>119</v>
      </c>
      <c r="D3066" s="4" t="s">
        <v>4745</v>
      </c>
      <c r="E3066" s="5">
        <v>12.8792867893184</v>
      </c>
    </row>
    <row r="3067" ht="14.25" customHeight="1">
      <c r="A3067" s="4"/>
      <c r="B3067" s="4" t="s">
        <v>1802</v>
      </c>
      <c r="C3067" s="4" t="s">
        <v>4746</v>
      </c>
      <c r="D3067" s="4" t="s">
        <v>1812</v>
      </c>
      <c r="E3067" s="5">
        <v>48.3641275995966</v>
      </c>
    </row>
    <row r="3068" ht="14.25" customHeight="1">
      <c r="A3068" s="4"/>
      <c r="B3068" s="4" t="s">
        <v>1802</v>
      </c>
      <c r="C3068" s="4" t="s">
        <v>4747</v>
      </c>
      <c r="D3068" s="4" t="s">
        <v>4748</v>
      </c>
      <c r="E3068" s="5">
        <v>2.70839114557741</v>
      </c>
    </row>
    <row r="3069" ht="14.25" customHeight="1">
      <c r="A3069" s="4"/>
      <c r="B3069" s="4" t="s">
        <v>1802</v>
      </c>
      <c r="C3069" s="4" t="s">
        <v>4749</v>
      </c>
      <c r="D3069" s="4" t="s">
        <v>4750</v>
      </c>
      <c r="E3069" s="5">
        <v>34.8221718717096</v>
      </c>
    </row>
    <row r="3070" ht="14.25" customHeight="1">
      <c r="A3070" s="4"/>
      <c r="B3070" s="4" t="s">
        <v>1802</v>
      </c>
      <c r="C3070" s="4" t="s">
        <v>4751</v>
      </c>
      <c r="D3070" s="4" t="s">
        <v>4752</v>
      </c>
      <c r="E3070" s="5">
        <v>2.59323107623113</v>
      </c>
    </row>
    <row r="3071" ht="14.25" customHeight="1">
      <c r="A3071" s="4"/>
      <c r="B3071" s="4" t="s">
        <v>1802</v>
      </c>
      <c r="C3071" s="4" t="s">
        <v>4753</v>
      </c>
      <c r="D3071" s="4" t="s">
        <v>4754</v>
      </c>
      <c r="E3071" s="5">
        <v>48.3070994894847</v>
      </c>
    </row>
    <row r="3072" ht="14.25" customHeight="1">
      <c r="A3072" s="4"/>
      <c r="B3072" s="4" t="s">
        <v>1802</v>
      </c>
      <c r="C3072" s="4" t="s">
        <v>4755</v>
      </c>
      <c r="D3072" s="4" t="s">
        <v>1812</v>
      </c>
      <c r="E3072" s="5">
        <v>48.3641275995966</v>
      </c>
    </row>
    <row r="3073" ht="14.25" customHeight="1">
      <c r="A3073" s="4"/>
      <c r="B3073" s="4" t="s">
        <v>1802</v>
      </c>
      <c r="C3073" s="4" t="s">
        <v>4756</v>
      </c>
      <c r="D3073" s="4" t="s">
        <v>2181</v>
      </c>
      <c r="E3073" s="5">
        <v>7.738260415935461</v>
      </c>
    </row>
    <row r="3074" ht="14.25" customHeight="1">
      <c r="A3074" s="4"/>
      <c r="B3074" s="4" t="s">
        <v>1802</v>
      </c>
      <c r="C3074" s="4" t="s">
        <v>4757</v>
      </c>
      <c r="D3074" s="4" t="s">
        <v>1812</v>
      </c>
      <c r="E3074" s="5">
        <v>48.3641275995966</v>
      </c>
    </row>
    <row r="3075" ht="14.25" customHeight="1">
      <c r="A3075" s="4"/>
      <c r="B3075" s="4" t="s">
        <v>1802</v>
      </c>
      <c r="C3075" s="4" t="s">
        <v>4758</v>
      </c>
      <c r="D3075" s="4" t="s">
        <v>1812</v>
      </c>
      <c r="E3075" s="5">
        <v>48.3641275995966</v>
      </c>
    </row>
    <row r="3076" ht="14.25" customHeight="1">
      <c r="A3076" s="4"/>
      <c r="B3076" s="4" t="s">
        <v>1802</v>
      </c>
      <c r="C3076" s="4" t="s">
        <v>4759</v>
      </c>
      <c r="D3076" s="4" t="s">
        <v>4760</v>
      </c>
      <c r="E3076" s="5">
        <v>34.845352176810096</v>
      </c>
    </row>
    <row r="3077" ht="14.25" customHeight="1">
      <c r="A3077" s="4"/>
      <c r="B3077" s="4" t="s">
        <v>1802</v>
      </c>
      <c r="C3077" s="4" t="s">
        <v>1179</v>
      </c>
      <c r="D3077" s="4" t="s">
        <v>4761</v>
      </c>
      <c r="E3077" s="5">
        <v>43.3562818356605</v>
      </c>
    </row>
    <row r="3078" ht="14.25" customHeight="1">
      <c r="A3078" s="4"/>
      <c r="B3078" s="4" t="s">
        <v>1802</v>
      </c>
      <c r="C3078" s="4" t="s">
        <v>4762</v>
      </c>
      <c r="D3078" s="4" t="s">
        <v>4763</v>
      </c>
      <c r="E3078" s="5">
        <v>4.73257049656399</v>
      </c>
    </row>
    <row r="3079" ht="14.25" customHeight="1">
      <c r="A3079" s="4"/>
      <c r="B3079" s="4" t="s">
        <v>1802</v>
      </c>
      <c r="C3079" s="4" t="s">
        <v>4764</v>
      </c>
      <c r="D3079" s="4" t="s">
        <v>4765</v>
      </c>
      <c r="E3079" s="5">
        <v>43.9264370502917</v>
      </c>
    </row>
    <row r="3080" ht="14.25" customHeight="1">
      <c r="A3080" s="4"/>
      <c r="B3080" s="4" t="s">
        <v>1802</v>
      </c>
      <c r="C3080" s="4" t="s">
        <v>4766</v>
      </c>
      <c r="D3080" s="4" t="s">
        <v>4767</v>
      </c>
      <c r="E3080" s="5">
        <v>9.27802368647251</v>
      </c>
    </row>
    <row r="3081" ht="14.25" customHeight="1">
      <c r="A3081" s="4"/>
      <c r="B3081" s="4" t="s">
        <v>1802</v>
      </c>
      <c r="C3081" s="4" t="s">
        <v>4768</v>
      </c>
      <c r="D3081" s="4" t="s">
        <v>4769</v>
      </c>
      <c r="E3081" s="5">
        <v>47.9220430759297</v>
      </c>
    </row>
    <row r="3082" ht="14.25" customHeight="1">
      <c r="A3082" s="4"/>
      <c r="B3082" s="4" t="s">
        <v>1802</v>
      </c>
      <c r="C3082" s="4" t="s">
        <v>4770</v>
      </c>
      <c r="D3082" s="4" t="s">
        <v>1812</v>
      </c>
      <c r="E3082" s="5">
        <v>48.3641275995966</v>
      </c>
    </row>
    <row r="3083" ht="14.25" customHeight="1">
      <c r="A3083" s="4"/>
      <c r="B3083" s="4" t="s">
        <v>1802</v>
      </c>
      <c r="C3083" s="4" t="s">
        <v>4771</v>
      </c>
      <c r="D3083" s="4" t="s">
        <v>1812</v>
      </c>
      <c r="E3083" s="5">
        <v>48.3641275995966</v>
      </c>
    </row>
    <row r="3084" ht="14.25" customHeight="1">
      <c r="A3084" s="4"/>
      <c r="B3084" s="4" t="s">
        <v>1802</v>
      </c>
      <c r="C3084" s="4" t="s">
        <v>4772</v>
      </c>
      <c r="D3084" s="4" t="s">
        <v>4773</v>
      </c>
      <c r="E3084" s="5">
        <v>10.0491116168988</v>
      </c>
    </row>
    <row r="3085" ht="14.25" customHeight="1">
      <c r="A3085" s="4"/>
      <c r="B3085" s="4" t="s">
        <v>1802</v>
      </c>
      <c r="C3085" s="4" t="s">
        <v>4774</v>
      </c>
      <c r="D3085" s="4" t="s">
        <v>4775</v>
      </c>
      <c r="E3085" s="5">
        <v>8.92119290623559</v>
      </c>
    </row>
    <row r="3086" ht="14.25" customHeight="1">
      <c r="A3086" s="4"/>
      <c r="B3086" s="4" t="s">
        <v>1802</v>
      </c>
      <c r="C3086" s="4" t="s">
        <v>4776</v>
      </c>
      <c r="D3086" s="4" t="s">
        <v>4777</v>
      </c>
      <c r="E3086" s="5">
        <v>8.56993509927343</v>
      </c>
    </row>
    <row r="3087" ht="14.25" customHeight="1">
      <c r="A3087" s="4"/>
      <c r="B3087" s="4" t="s">
        <v>1802</v>
      </c>
      <c r="C3087" s="4" t="s">
        <v>4778</v>
      </c>
      <c r="D3087" s="4" t="s">
        <v>1812</v>
      </c>
      <c r="E3087" s="5">
        <v>48.3641275995966</v>
      </c>
    </row>
    <row r="3088" ht="14.25" customHeight="1">
      <c r="A3088" s="4"/>
      <c r="B3088" s="4" t="s">
        <v>1802</v>
      </c>
      <c r="C3088" s="4" t="s">
        <v>4779</v>
      </c>
      <c r="D3088" s="4" t="s">
        <v>1812</v>
      </c>
      <c r="E3088" s="5">
        <v>48.3641275995966</v>
      </c>
    </row>
    <row r="3089" ht="14.25" customHeight="1">
      <c r="A3089" s="4"/>
      <c r="B3089" s="4" t="s">
        <v>1802</v>
      </c>
      <c r="C3089" s="4" t="s">
        <v>4780</v>
      </c>
      <c r="D3089" s="4" t="s">
        <v>4781</v>
      </c>
      <c r="E3089" s="5">
        <v>9.51825764884862</v>
      </c>
    </row>
    <row r="3090" ht="14.25" customHeight="1">
      <c r="A3090" s="4"/>
      <c r="B3090" s="4" t="s">
        <v>1802</v>
      </c>
      <c r="C3090" s="4" t="s">
        <v>4782</v>
      </c>
      <c r="D3090" s="4" t="s">
        <v>4783</v>
      </c>
      <c r="E3090" s="5">
        <v>45.714794185761704</v>
      </c>
    </row>
    <row r="3091" ht="14.25" customHeight="1">
      <c r="A3091" s="4"/>
      <c r="B3091" s="4" t="s">
        <v>1802</v>
      </c>
      <c r="C3091" s="4" t="s">
        <v>4784</v>
      </c>
      <c r="D3091" s="4" t="s">
        <v>4785</v>
      </c>
      <c r="E3091" s="5">
        <v>9.86870084415114</v>
      </c>
    </row>
    <row r="3092" ht="14.25" customHeight="1">
      <c r="A3092" s="4"/>
      <c r="B3092" s="4" t="s">
        <v>1802</v>
      </c>
      <c r="C3092" s="4" t="s">
        <v>4786</v>
      </c>
      <c r="D3092" s="4" t="s">
        <v>1812</v>
      </c>
      <c r="E3092" s="5">
        <v>48.3641275995966</v>
      </c>
    </row>
    <row r="3093" ht="14.25" customHeight="1">
      <c r="A3093" s="4"/>
      <c r="B3093" s="4" t="s">
        <v>1802</v>
      </c>
      <c r="C3093" s="4" t="s">
        <v>4787</v>
      </c>
      <c r="D3093" s="4" t="s">
        <v>4788</v>
      </c>
      <c r="E3093" s="5">
        <v>24.2844583706481</v>
      </c>
    </row>
    <row r="3094" ht="14.25" customHeight="1">
      <c r="A3094" s="4"/>
      <c r="B3094" s="4" t="s">
        <v>1802</v>
      </c>
      <c r="C3094" s="4" t="s">
        <v>4789</v>
      </c>
      <c r="D3094" s="4" t="s">
        <v>4790</v>
      </c>
      <c r="E3094" s="5">
        <v>11.220477603106401</v>
      </c>
    </row>
    <row r="3095" ht="14.25" customHeight="1">
      <c r="A3095" s="4"/>
      <c r="B3095" s="4" t="s">
        <v>1802</v>
      </c>
      <c r="C3095" s="4" t="s">
        <v>4791</v>
      </c>
      <c r="D3095" s="4" t="s">
        <v>1812</v>
      </c>
      <c r="E3095" s="5">
        <v>48.3641275995966</v>
      </c>
    </row>
    <row r="3096" ht="14.25" customHeight="1">
      <c r="A3096" s="4"/>
      <c r="B3096" s="4" t="s">
        <v>1802</v>
      </c>
      <c r="C3096" s="4" t="s">
        <v>4792</v>
      </c>
      <c r="D3096" s="4" t="s">
        <v>1812</v>
      </c>
      <c r="E3096" s="5">
        <v>48.3641275995966</v>
      </c>
    </row>
    <row r="3097" ht="14.25" customHeight="1">
      <c r="A3097" s="4"/>
      <c r="B3097" s="4" t="s">
        <v>1802</v>
      </c>
      <c r="C3097" s="4" t="s">
        <v>4793</v>
      </c>
      <c r="D3097" s="4" t="s">
        <v>4794</v>
      </c>
      <c r="E3097" s="5">
        <v>37.4923834378307</v>
      </c>
    </row>
    <row r="3098" ht="14.25" customHeight="1">
      <c r="A3098" s="4"/>
      <c r="B3098" s="4" t="s">
        <v>1802</v>
      </c>
      <c r="C3098" s="4" t="s">
        <v>4795</v>
      </c>
      <c r="D3098" s="4" t="s">
        <v>1812</v>
      </c>
      <c r="E3098" s="5">
        <v>48.3641275995966</v>
      </c>
    </row>
    <row r="3099" ht="14.25" customHeight="1">
      <c r="A3099" s="4"/>
      <c r="B3099" s="4" t="s">
        <v>1802</v>
      </c>
      <c r="C3099" s="4" t="s">
        <v>4796</v>
      </c>
      <c r="D3099" s="4" t="s">
        <v>1812</v>
      </c>
      <c r="E3099" s="5">
        <v>48.3641275995966</v>
      </c>
    </row>
    <row r="3100" ht="14.25" customHeight="1">
      <c r="A3100" s="4"/>
      <c r="B3100" s="4" t="s">
        <v>1802</v>
      </c>
      <c r="C3100" s="4" t="s">
        <v>4797</v>
      </c>
      <c r="D3100" s="4" t="s">
        <v>4798</v>
      </c>
      <c r="E3100" s="5">
        <v>20.151469272419998</v>
      </c>
    </row>
    <row r="3101" ht="14.25" customHeight="1">
      <c r="A3101" s="4"/>
      <c r="B3101" s="4" t="s">
        <v>1802</v>
      </c>
      <c r="C3101" s="4" t="s">
        <v>1645</v>
      </c>
      <c r="D3101" s="4" t="s">
        <v>1812</v>
      </c>
      <c r="E3101" s="5">
        <v>48.3641275995966</v>
      </c>
    </row>
    <row r="3102" ht="14.25" customHeight="1">
      <c r="A3102" s="4"/>
      <c r="B3102" s="4" t="s">
        <v>1802</v>
      </c>
      <c r="C3102" s="4" t="s">
        <v>1327</v>
      </c>
      <c r="D3102" s="4" t="s">
        <v>1812</v>
      </c>
      <c r="E3102" s="5">
        <v>48.3641275995966</v>
      </c>
    </row>
    <row r="3103" ht="14.25" customHeight="1">
      <c r="A3103" s="4"/>
      <c r="B3103" s="4" t="s">
        <v>1802</v>
      </c>
      <c r="C3103" s="4" t="s">
        <v>4799</v>
      </c>
      <c r="D3103" s="4" t="s">
        <v>1812</v>
      </c>
      <c r="E3103" s="5">
        <v>48.3641275995966</v>
      </c>
    </row>
    <row r="3104" ht="14.25" customHeight="1">
      <c r="A3104" s="4"/>
      <c r="B3104" s="4" t="s">
        <v>1802</v>
      </c>
      <c r="C3104" s="4" t="s">
        <v>1021</v>
      </c>
      <c r="D3104" s="4" t="s">
        <v>1812</v>
      </c>
      <c r="E3104" s="5">
        <v>48.3641275995966</v>
      </c>
    </row>
    <row r="3105" ht="14.25" customHeight="1">
      <c r="A3105" s="4"/>
      <c r="B3105" s="4" t="s">
        <v>1802</v>
      </c>
      <c r="C3105" s="4" t="s">
        <v>580</v>
      </c>
      <c r="D3105" s="4" t="s">
        <v>1812</v>
      </c>
      <c r="E3105" s="5">
        <v>48.3641275995966</v>
      </c>
    </row>
    <row r="3106" ht="14.25" customHeight="1">
      <c r="A3106" s="4"/>
      <c r="B3106" s="4" t="s">
        <v>1802</v>
      </c>
      <c r="C3106" s="4" t="s">
        <v>4800</v>
      </c>
      <c r="D3106" s="4" t="s">
        <v>1812</v>
      </c>
      <c r="E3106" s="5">
        <v>48.3641275995966</v>
      </c>
    </row>
    <row r="3107" ht="14.25" customHeight="1">
      <c r="A3107" s="4"/>
      <c r="B3107" s="4" t="s">
        <v>1802</v>
      </c>
      <c r="C3107" s="4" t="s">
        <v>4801</v>
      </c>
      <c r="D3107" s="4" t="s">
        <v>1821</v>
      </c>
      <c r="E3107" s="5">
        <v>19.3456510398386</v>
      </c>
    </row>
    <row r="3108" ht="14.25" customHeight="1">
      <c r="A3108" s="4"/>
      <c r="B3108" s="4" t="s">
        <v>1802</v>
      </c>
      <c r="C3108" s="4" t="s">
        <v>4802</v>
      </c>
      <c r="D3108" s="4" t="s">
        <v>4803</v>
      </c>
      <c r="E3108" s="5">
        <v>19.7533597212277</v>
      </c>
    </row>
    <row r="3109" ht="14.25" customHeight="1">
      <c r="A3109" s="4"/>
      <c r="B3109" s="4" t="s">
        <v>1802</v>
      </c>
      <c r="C3109" s="4" t="s">
        <v>4804</v>
      </c>
      <c r="D3109" s="4" t="s">
        <v>1812</v>
      </c>
      <c r="E3109" s="5">
        <v>48.3641275995966</v>
      </c>
    </row>
    <row r="3110" ht="14.25" customHeight="1">
      <c r="A3110" s="4"/>
      <c r="B3110" s="4" t="s">
        <v>1802</v>
      </c>
      <c r="C3110" s="4" t="s">
        <v>4805</v>
      </c>
      <c r="D3110" s="4" t="s">
        <v>4806</v>
      </c>
      <c r="E3110" s="5">
        <v>35.047814030960396</v>
      </c>
    </row>
    <row r="3111" ht="14.25" customHeight="1">
      <c r="A3111" s="4"/>
      <c r="B3111" s="4" t="s">
        <v>1802</v>
      </c>
      <c r="C3111" s="4" t="s">
        <v>4807</v>
      </c>
      <c r="D3111" s="4" t="s">
        <v>4808</v>
      </c>
      <c r="E3111" s="5">
        <v>5.82108448094184</v>
      </c>
    </row>
    <row r="3112" ht="14.25" customHeight="1">
      <c r="A3112" s="4"/>
      <c r="B3112" s="4" t="s">
        <v>1802</v>
      </c>
      <c r="C3112" s="4" t="s">
        <v>4809</v>
      </c>
      <c r="D3112" s="4" t="s">
        <v>4810</v>
      </c>
      <c r="E3112" s="5">
        <v>1.53968314673676</v>
      </c>
    </row>
    <row r="3113" ht="14.25" customHeight="1">
      <c r="A3113" s="4"/>
      <c r="B3113" s="4" t="s">
        <v>1802</v>
      </c>
      <c r="C3113" s="4" t="s">
        <v>4811</v>
      </c>
      <c r="D3113" s="4" t="s">
        <v>1812</v>
      </c>
      <c r="E3113" s="5">
        <v>48.3641275995966</v>
      </c>
    </row>
    <row r="3114" ht="14.25" customHeight="1">
      <c r="A3114" s="4"/>
      <c r="B3114" s="4" t="s">
        <v>1802</v>
      </c>
      <c r="C3114" s="4" t="s">
        <v>4812</v>
      </c>
      <c r="D3114" s="4" t="s">
        <v>1812</v>
      </c>
      <c r="E3114" s="5">
        <v>48.3641275995966</v>
      </c>
    </row>
    <row r="3115" ht="14.25" customHeight="1">
      <c r="A3115" s="4"/>
      <c r="B3115" s="4" t="s">
        <v>1802</v>
      </c>
      <c r="C3115" s="4" t="s">
        <v>4813</v>
      </c>
      <c r="D3115" s="4" t="s">
        <v>1812</v>
      </c>
      <c r="E3115" s="5">
        <v>48.3641275995966</v>
      </c>
    </row>
    <row r="3116" ht="14.25" customHeight="1">
      <c r="A3116" s="4"/>
      <c r="B3116" s="4" t="s">
        <v>1802</v>
      </c>
      <c r="C3116" s="4" t="s">
        <v>4814</v>
      </c>
      <c r="D3116" s="4" t="s">
        <v>4815</v>
      </c>
      <c r="E3116" s="5">
        <v>9.750244392144511</v>
      </c>
    </row>
    <row r="3117" ht="14.25" customHeight="1">
      <c r="A3117" s="4"/>
      <c r="B3117" s="4" t="s">
        <v>1802</v>
      </c>
      <c r="C3117" s="4" t="s">
        <v>4816</v>
      </c>
      <c r="D3117" s="4" t="s">
        <v>4817</v>
      </c>
      <c r="E3117" s="5">
        <v>40.8307730070916</v>
      </c>
    </row>
    <row r="3118" ht="14.25" customHeight="1">
      <c r="A3118" s="4"/>
      <c r="B3118" s="4" t="s">
        <v>1802</v>
      </c>
      <c r="C3118" s="4" t="s">
        <v>4818</v>
      </c>
      <c r="D3118" s="4" t="s">
        <v>1812</v>
      </c>
      <c r="E3118" s="5">
        <v>48.3641275995966</v>
      </c>
    </row>
    <row r="3119" ht="14.25" customHeight="1">
      <c r="A3119" s="4"/>
      <c r="B3119" s="4" t="s">
        <v>1802</v>
      </c>
      <c r="C3119" s="4" t="s">
        <v>4819</v>
      </c>
      <c r="D3119" s="4" t="s">
        <v>4820</v>
      </c>
      <c r="E3119" s="5">
        <v>0.7243715976207861</v>
      </c>
    </row>
    <row r="3120" ht="14.25" customHeight="1">
      <c r="A3120" s="4"/>
      <c r="B3120" s="4" t="s">
        <v>1802</v>
      </c>
      <c r="C3120" s="4" t="s">
        <v>4821</v>
      </c>
      <c r="D3120" s="4" t="s">
        <v>4822</v>
      </c>
      <c r="E3120" s="5">
        <v>1.32861498495274</v>
      </c>
    </row>
    <row r="3121" ht="14.25" customHeight="1">
      <c r="A3121" s="4"/>
      <c r="B3121" s="4" t="s">
        <v>1802</v>
      </c>
      <c r="C3121" s="4" t="s">
        <v>4823</v>
      </c>
      <c r="D3121" s="4" t="s">
        <v>1812</v>
      </c>
      <c r="E3121" s="5">
        <v>48.3641275995966</v>
      </c>
    </row>
    <row r="3122" ht="14.25" customHeight="1">
      <c r="A3122" s="4"/>
      <c r="B3122" s="4" t="s">
        <v>1802</v>
      </c>
      <c r="C3122" s="4" t="s">
        <v>4824</v>
      </c>
      <c r="D3122" s="4" t="s">
        <v>4825</v>
      </c>
      <c r="E3122" s="5">
        <v>8.649096936372711</v>
      </c>
    </row>
    <row r="3123" ht="14.25" customHeight="1">
      <c r="A3123" s="4"/>
      <c r="B3123" s="4" t="s">
        <v>1802</v>
      </c>
      <c r="C3123" s="4" t="s">
        <v>4826</v>
      </c>
      <c r="D3123" s="4" t="s">
        <v>4827</v>
      </c>
      <c r="E3123" s="5">
        <v>24.6654055032344</v>
      </c>
    </row>
    <row r="3124" ht="14.25" customHeight="1">
      <c r="A3124" s="4"/>
      <c r="B3124" s="4" t="s">
        <v>1802</v>
      </c>
      <c r="C3124" s="4" t="s">
        <v>4828</v>
      </c>
      <c r="D3124" s="4" t="s">
        <v>2062</v>
      </c>
      <c r="E3124" s="5">
        <v>9.86628203031772</v>
      </c>
    </row>
    <row r="3125" ht="14.25" customHeight="1">
      <c r="A3125" s="4"/>
      <c r="B3125" s="4" t="s">
        <v>1802</v>
      </c>
      <c r="C3125" s="4" t="s">
        <v>570</v>
      </c>
      <c r="D3125" s="4" t="s">
        <v>1812</v>
      </c>
      <c r="E3125" s="5">
        <v>48.3641275995966</v>
      </c>
    </row>
    <row r="3126" ht="14.25" customHeight="1">
      <c r="A3126" s="4"/>
      <c r="B3126" s="4" t="s">
        <v>1802</v>
      </c>
      <c r="C3126" s="4" t="s">
        <v>4829</v>
      </c>
      <c r="D3126" s="4" t="s">
        <v>1812</v>
      </c>
      <c r="E3126" s="5">
        <v>48.3641275995966</v>
      </c>
    </row>
    <row r="3127" ht="14.25" customHeight="1">
      <c r="A3127" s="4"/>
      <c r="B3127" s="4" t="s">
        <v>1802</v>
      </c>
      <c r="C3127" s="4" t="s">
        <v>4830</v>
      </c>
      <c r="D3127" s="4" t="s">
        <v>1821</v>
      </c>
      <c r="E3127" s="5">
        <v>19.3456510398386</v>
      </c>
    </row>
    <row r="3128" ht="14.25" customHeight="1">
      <c r="A3128" s="4"/>
      <c r="B3128" s="4" t="s">
        <v>1802</v>
      </c>
      <c r="C3128" s="4" t="s">
        <v>4831</v>
      </c>
      <c r="D3128" s="4" t="s">
        <v>4832</v>
      </c>
      <c r="E3128" s="5">
        <v>10.4924044092659</v>
      </c>
    </row>
    <row r="3129" ht="14.25" customHeight="1">
      <c r="A3129" s="4"/>
      <c r="B3129" s="4" t="s">
        <v>1802</v>
      </c>
      <c r="C3129" s="4" t="s">
        <v>4833</v>
      </c>
      <c r="D3129" s="4" t="s">
        <v>4834</v>
      </c>
      <c r="E3129" s="5">
        <v>47.376831105539594</v>
      </c>
    </row>
    <row r="3130" ht="14.25" customHeight="1">
      <c r="A3130" s="4"/>
      <c r="B3130" s="4" t="s">
        <v>1802</v>
      </c>
      <c r="C3130" s="4" t="s">
        <v>4835</v>
      </c>
      <c r="D3130" s="4" t="s">
        <v>4836</v>
      </c>
      <c r="E3130" s="5">
        <v>40.664591504370996</v>
      </c>
    </row>
    <row r="3131" ht="14.25" customHeight="1">
      <c r="A3131" s="4"/>
      <c r="B3131" s="4" t="s">
        <v>1802</v>
      </c>
      <c r="C3131" s="4" t="s">
        <v>4837</v>
      </c>
      <c r="D3131" s="4" t="s">
        <v>4838</v>
      </c>
      <c r="E3131" s="5">
        <v>36.9967065933412</v>
      </c>
    </row>
    <row r="3132" ht="14.25" customHeight="1">
      <c r="A3132" s="4"/>
      <c r="B3132" s="4" t="s">
        <v>1802</v>
      </c>
      <c r="C3132" s="4" t="s">
        <v>4839</v>
      </c>
      <c r="D3132" s="4" t="s">
        <v>4840</v>
      </c>
      <c r="E3132" s="5">
        <v>0.143453102400011</v>
      </c>
    </row>
    <row r="3133" ht="14.25" customHeight="1">
      <c r="A3133" s="4"/>
      <c r="B3133" s="4" t="s">
        <v>1802</v>
      </c>
      <c r="C3133" s="4" t="s">
        <v>4841</v>
      </c>
      <c r="D3133" s="4" t="s">
        <v>1812</v>
      </c>
      <c r="E3133" s="5">
        <v>48.3641275995966</v>
      </c>
    </row>
    <row r="3134" ht="14.25" customHeight="1">
      <c r="A3134" s="4"/>
      <c r="B3134" s="4" t="s">
        <v>1802</v>
      </c>
      <c r="C3134" s="4" t="s">
        <v>4842</v>
      </c>
      <c r="D3134" s="4" t="s">
        <v>3909</v>
      </c>
      <c r="E3134" s="5">
        <v>3.8691302079677303</v>
      </c>
    </row>
    <row r="3135" ht="14.25" customHeight="1">
      <c r="A3135" s="4"/>
      <c r="B3135" s="4" t="s">
        <v>1802</v>
      </c>
      <c r="C3135" s="4" t="s">
        <v>4843</v>
      </c>
      <c r="D3135" s="4" t="s">
        <v>1812</v>
      </c>
      <c r="E3135" s="5">
        <v>48.3641275995966</v>
      </c>
    </row>
    <row r="3136" ht="14.25" customHeight="1">
      <c r="A3136" s="4"/>
      <c r="B3136" s="4" t="s">
        <v>1802</v>
      </c>
      <c r="C3136" s="4" t="s">
        <v>4844</v>
      </c>
      <c r="D3136" s="4" t="s">
        <v>4845</v>
      </c>
      <c r="E3136" s="5">
        <v>48.006517602338995</v>
      </c>
    </row>
    <row r="3137" ht="14.25" customHeight="1">
      <c r="A3137" s="4"/>
      <c r="B3137" s="4" t="s">
        <v>1802</v>
      </c>
      <c r="C3137" s="4" t="s">
        <v>4846</v>
      </c>
      <c r="D3137" s="4" t="s">
        <v>4847</v>
      </c>
      <c r="E3137" s="5">
        <v>10.887677098713201</v>
      </c>
    </row>
    <row r="3138" ht="14.25" customHeight="1">
      <c r="A3138" s="4"/>
      <c r="B3138" s="4" t="s">
        <v>1802</v>
      </c>
      <c r="C3138" s="4" t="s">
        <v>4848</v>
      </c>
      <c r="D3138" s="4" t="s">
        <v>4849</v>
      </c>
      <c r="E3138" s="5">
        <v>25.6017422909398</v>
      </c>
    </row>
    <row r="3139" ht="14.25" customHeight="1">
      <c r="A3139" s="4"/>
      <c r="B3139" s="4" t="s">
        <v>1802</v>
      </c>
      <c r="C3139" s="4" t="s">
        <v>4850</v>
      </c>
      <c r="D3139" s="4" t="s">
        <v>3050</v>
      </c>
      <c r="E3139" s="5">
        <v>10.6401080719112</v>
      </c>
    </row>
    <row r="3140" ht="14.25" customHeight="1">
      <c r="A3140" s="4"/>
      <c r="B3140" s="4" t="s">
        <v>1802</v>
      </c>
      <c r="C3140" s="4" t="s">
        <v>4851</v>
      </c>
      <c r="D3140" s="4" t="s">
        <v>4852</v>
      </c>
      <c r="E3140" s="5">
        <v>9.721039571696421</v>
      </c>
    </row>
    <row r="3141" ht="14.25" customHeight="1">
      <c r="A3141" s="4"/>
      <c r="B3141" s="4" t="s">
        <v>1802</v>
      </c>
      <c r="C3141" s="4" t="s">
        <v>4853</v>
      </c>
      <c r="D3141" s="4" t="s">
        <v>4854</v>
      </c>
      <c r="E3141" s="5">
        <v>48.1766369660673</v>
      </c>
    </row>
    <row r="3142" ht="14.25" customHeight="1">
      <c r="A3142" s="4"/>
      <c r="B3142" s="4" t="s">
        <v>1802</v>
      </c>
      <c r="C3142" s="4" t="s">
        <v>1596</v>
      </c>
      <c r="D3142" s="4" t="s">
        <v>1812</v>
      </c>
      <c r="E3142" s="5">
        <v>48.3641275995966</v>
      </c>
    </row>
    <row r="3143" ht="14.25" customHeight="1">
      <c r="A3143" s="4"/>
      <c r="B3143" s="4" t="s">
        <v>1802</v>
      </c>
      <c r="C3143" s="4" t="s">
        <v>4855</v>
      </c>
      <c r="D3143" s="4" t="s">
        <v>4856</v>
      </c>
      <c r="E3143" s="5">
        <v>5.18682764727446</v>
      </c>
    </row>
    <row r="3144" ht="14.25" customHeight="1">
      <c r="A3144" s="4"/>
      <c r="B3144" s="4" t="s">
        <v>1802</v>
      </c>
      <c r="C3144" s="4" t="s">
        <v>4857</v>
      </c>
      <c r="D3144" s="4" t="s">
        <v>4858</v>
      </c>
      <c r="E3144" s="5">
        <v>11.6233420974922</v>
      </c>
    </row>
    <row r="3145" ht="14.25" customHeight="1">
      <c r="A3145" s="4"/>
      <c r="B3145" s="4" t="s">
        <v>1802</v>
      </c>
      <c r="C3145" s="4" t="s">
        <v>4859</v>
      </c>
      <c r="D3145" s="4" t="s">
        <v>1812</v>
      </c>
      <c r="E3145" s="5">
        <v>48.3641275995966</v>
      </c>
    </row>
    <row r="3146" ht="14.25" customHeight="1">
      <c r="A3146" s="4"/>
      <c r="B3146" s="4" t="s">
        <v>1802</v>
      </c>
      <c r="C3146" s="4" t="s">
        <v>4860</v>
      </c>
      <c r="D3146" s="4" t="s">
        <v>1812</v>
      </c>
      <c r="E3146" s="5">
        <v>48.3641275995966</v>
      </c>
    </row>
    <row r="3147" ht="14.25" customHeight="1">
      <c r="A3147" s="4"/>
      <c r="B3147" s="4" t="s">
        <v>1802</v>
      </c>
      <c r="C3147" s="4" t="s">
        <v>4861</v>
      </c>
      <c r="D3147" s="4" t="s">
        <v>1812</v>
      </c>
      <c r="E3147" s="5">
        <v>48.3641275995966</v>
      </c>
    </row>
    <row r="3148" ht="14.25" customHeight="1">
      <c r="A3148" s="4"/>
      <c r="B3148" s="4" t="s">
        <v>1802</v>
      </c>
      <c r="C3148" s="4" t="s">
        <v>4862</v>
      </c>
      <c r="D3148" s="4" t="s">
        <v>1812</v>
      </c>
      <c r="E3148" s="5">
        <v>48.3641275995966</v>
      </c>
    </row>
    <row r="3149" ht="14.25" customHeight="1">
      <c r="A3149" s="4"/>
      <c r="B3149" s="4" t="s">
        <v>1802</v>
      </c>
      <c r="C3149" s="4" t="s">
        <v>4863</v>
      </c>
      <c r="D3149" s="4" t="s">
        <v>4864</v>
      </c>
      <c r="E3149" s="5">
        <v>0.141165159498864</v>
      </c>
    </row>
    <row r="3150" ht="14.25" customHeight="1">
      <c r="A3150" s="4"/>
      <c r="B3150" s="4" t="s">
        <v>1802</v>
      </c>
      <c r="C3150" s="4" t="s">
        <v>4865</v>
      </c>
      <c r="D3150" s="4" t="s">
        <v>4866</v>
      </c>
      <c r="E3150" s="5">
        <v>10.3028566197569</v>
      </c>
    </row>
    <row r="3151" ht="14.25" customHeight="1">
      <c r="A3151" s="4"/>
      <c r="B3151" s="4" t="s">
        <v>1802</v>
      </c>
      <c r="C3151" s="4" t="s">
        <v>4867</v>
      </c>
      <c r="D3151" s="4" t="s">
        <v>4868</v>
      </c>
      <c r="E3151" s="5">
        <v>9.13684643866032</v>
      </c>
    </row>
    <row r="3152" ht="14.25" customHeight="1">
      <c r="A3152" s="4"/>
      <c r="B3152" s="4" t="s">
        <v>1802</v>
      </c>
      <c r="C3152" s="4" t="s">
        <v>4869</v>
      </c>
      <c r="D3152" s="4" t="s">
        <v>4870</v>
      </c>
      <c r="E3152" s="5">
        <v>8.073095238573801</v>
      </c>
    </row>
    <row r="3153" ht="14.25" customHeight="1">
      <c r="A3153" s="4"/>
      <c r="B3153" s="4" t="s">
        <v>1802</v>
      </c>
      <c r="C3153" s="4" t="s">
        <v>4871</v>
      </c>
      <c r="D3153" s="4" t="s">
        <v>4872</v>
      </c>
      <c r="E3153" s="5">
        <v>8.31784746976267</v>
      </c>
    </row>
    <row r="3154" ht="14.25" customHeight="1">
      <c r="A3154" s="4"/>
      <c r="B3154" s="4" t="s">
        <v>1802</v>
      </c>
      <c r="C3154" s="4" t="s">
        <v>4873</v>
      </c>
      <c r="D3154" s="4" t="s">
        <v>1812</v>
      </c>
      <c r="E3154" s="5">
        <v>48.3641275995966</v>
      </c>
    </row>
    <row r="3155" ht="14.25" customHeight="1">
      <c r="A3155" s="4"/>
      <c r="B3155" s="4" t="s">
        <v>1802</v>
      </c>
      <c r="C3155" s="4" t="s">
        <v>4874</v>
      </c>
      <c r="D3155" s="4" t="s">
        <v>4875</v>
      </c>
      <c r="E3155" s="5">
        <v>4.92629437670968</v>
      </c>
    </row>
    <row r="3156" ht="14.25" customHeight="1">
      <c r="A3156" s="4"/>
      <c r="B3156" s="4" t="s">
        <v>1802</v>
      </c>
      <c r="C3156" s="4" t="s">
        <v>4876</v>
      </c>
      <c r="D3156" s="4" t="s">
        <v>4877</v>
      </c>
      <c r="E3156" s="5">
        <v>3.45772536951225</v>
      </c>
    </row>
    <row r="3157" ht="14.25" customHeight="1">
      <c r="A3157" s="4"/>
      <c r="B3157" s="4" t="s">
        <v>1802</v>
      </c>
      <c r="C3157" s="4" t="s">
        <v>4878</v>
      </c>
      <c r="D3157" s="4" t="s">
        <v>4879</v>
      </c>
      <c r="E3157" s="5">
        <v>32.9695624370009</v>
      </c>
    </row>
    <row r="3158" ht="14.25" customHeight="1">
      <c r="A3158" s="4"/>
      <c r="B3158" s="4" t="s">
        <v>1802</v>
      </c>
      <c r="C3158" s="4" t="s">
        <v>4880</v>
      </c>
      <c r="D3158" s="4" t="s">
        <v>4881</v>
      </c>
      <c r="E3158" s="5">
        <v>21.6108762906534</v>
      </c>
    </row>
    <row r="3159" ht="14.25" customHeight="1">
      <c r="A3159" s="4"/>
      <c r="B3159" s="4" t="s">
        <v>1802</v>
      </c>
      <c r="C3159" s="4" t="s">
        <v>4882</v>
      </c>
      <c r="D3159" s="4" t="s">
        <v>1812</v>
      </c>
      <c r="E3159" s="5">
        <v>48.3641275995966</v>
      </c>
    </row>
    <row r="3160" ht="14.25" customHeight="1">
      <c r="A3160" s="4"/>
      <c r="B3160" s="4" t="s">
        <v>1802</v>
      </c>
      <c r="C3160" s="4" t="s">
        <v>4883</v>
      </c>
      <c r="D3160" s="4" t="s">
        <v>1812</v>
      </c>
      <c r="E3160" s="5">
        <v>48.3641275995966</v>
      </c>
    </row>
    <row r="3161" ht="14.25" customHeight="1">
      <c r="A3161" s="4"/>
      <c r="B3161" s="4" t="s">
        <v>1802</v>
      </c>
      <c r="C3161" s="4" t="s">
        <v>4884</v>
      </c>
      <c r="D3161" s="4" t="s">
        <v>4885</v>
      </c>
      <c r="E3161" s="5">
        <v>8.99473405983264</v>
      </c>
    </row>
    <row r="3162" ht="14.25" customHeight="1">
      <c r="A3162" s="4"/>
      <c r="B3162" s="4" t="s">
        <v>1802</v>
      </c>
      <c r="C3162" s="4" t="s">
        <v>4886</v>
      </c>
      <c r="D3162" s="4" t="s">
        <v>1812</v>
      </c>
      <c r="E3162" s="5">
        <v>48.3641275995966</v>
      </c>
    </row>
    <row r="3163" ht="14.25" customHeight="1">
      <c r="A3163" s="4"/>
      <c r="B3163" s="4" t="s">
        <v>1802</v>
      </c>
      <c r="C3163" s="4" t="s">
        <v>4887</v>
      </c>
      <c r="D3163" s="4" t="s">
        <v>4888</v>
      </c>
      <c r="E3163" s="5">
        <v>39.2333014893539</v>
      </c>
    </row>
    <row r="3164" ht="14.25" customHeight="1">
      <c r="A3164" s="4"/>
      <c r="B3164" s="4" t="s">
        <v>1802</v>
      </c>
      <c r="C3164" s="4" t="s">
        <v>4889</v>
      </c>
      <c r="D3164" s="4" t="s">
        <v>2058</v>
      </c>
      <c r="E3164" s="5">
        <v>9.479369009520939</v>
      </c>
    </row>
    <row r="3165" ht="14.25" customHeight="1">
      <c r="A3165" s="4"/>
      <c r="B3165" s="4" t="s">
        <v>1802</v>
      </c>
      <c r="C3165" s="4" t="s">
        <v>4890</v>
      </c>
      <c r="D3165" s="4" t="s">
        <v>4891</v>
      </c>
      <c r="E3165" s="5">
        <v>21.7924044454445</v>
      </c>
    </row>
    <row r="3166" ht="14.25" customHeight="1">
      <c r="A3166" s="4"/>
      <c r="B3166" s="4" t="s">
        <v>1802</v>
      </c>
      <c r="C3166" s="4" t="s">
        <v>4892</v>
      </c>
      <c r="D3166" s="4" t="s">
        <v>4893</v>
      </c>
      <c r="E3166" s="5">
        <v>39.6741860239757</v>
      </c>
    </row>
    <row r="3167" ht="14.25" customHeight="1">
      <c r="A3167" s="4"/>
      <c r="B3167" s="4" t="s">
        <v>1802</v>
      </c>
      <c r="C3167" s="4" t="s">
        <v>4894</v>
      </c>
      <c r="D3167" s="4" t="s">
        <v>1812</v>
      </c>
      <c r="E3167" s="5">
        <v>48.3641275995966</v>
      </c>
    </row>
    <row r="3168" ht="14.25" customHeight="1">
      <c r="A3168" s="4"/>
      <c r="B3168" s="4" t="s">
        <v>1802</v>
      </c>
      <c r="C3168" s="4" t="s">
        <v>4895</v>
      </c>
      <c r="D3168" s="4" t="s">
        <v>1812</v>
      </c>
      <c r="E3168" s="5">
        <v>48.3641275995966</v>
      </c>
    </row>
    <row r="3169" ht="14.25" customHeight="1">
      <c r="A3169" s="4"/>
      <c r="B3169" s="4" t="s">
        <v>1802</v>
      </c>
      <c r="C3169" s="4" t="s">
        <v>4896</v>
      </c>
      <c r="D3169" s="4" t="s">
        <v>4897</v>
      </c>
      <c r="E3169" s="5">
        <v>8.32115989642114</v>
      </c>
    </row>
    <row r="3170" ht="14.25" customHeight="1">
      <c r="A3170" s="4"/>
      <c r="B3170" s="4" t="s">
        <v>1802</v>
      </c>
      <c r="C3170" s="4" t="s">
        <v>1686</v>
      </c>
      <c r="D3170" s="4" t="s">
        <v>1812</v>
      </c>
      <c r="E3170" s="5">
        <v>48.3641275995966</v>
      </c>
    </row>
    <row r="3171" ht="14.25" customHeight="1">
      <c r="A3171" s="4"/>
      <c r="B3171" s="4" t="s">
        <v>1802</v>
      </c>
      <c r="C3171" s="4" t="s">
        <v>117</v>
      </c>
      <c r="D3171" s="4" t="s">
        <v>1812</v>
      </c>
      <c r="E3171" s="5">
        <v>48.3641275995966</v>
      </c>
    </row>
    <row r="3172" ht="14.25" customHeight="1">
      <c r="A3172" s="4"/>
      <c r="B3172" s="4" t="s">
        <v>1802</v>
      </c>
      <c r="C3172" s="4" t="s">
        <v>4898</v>
      </c>
      <c r="D3172" s="4" t="s">
        <v>4899</v>
      </c>
      <c r="E3172" s="5">
        <v>5.05395175926289</v>
      </c>
    </row>
    <row r="3173" ht="14.25" customHeight="1">
      <c r="A3173" s="4"/>
      <c r="B3173" s="4" t="s">
        <v>1802</v>
      </c>
      <c r="C3173" s="4" t="s">
        <v>4900</v>
      </c>
      <c r="D3173" s="4" t="s">
        <v>4901</v>
      </c>
      <c r="E3173" s="5">
        <v>47.7461505214326</v>
      </c>
    </row>
    <row r="3174" ht="14.25" customHeight="1">
      <c r="A3174" s="4"/>
      <c r="B3174" s="4" t="s">
        <v>1802</v>
      </c>
      <c r="C3174" s="4" t="s">
        <v>4902</v>
      </c>
      <c r="D3174" s="4" t="s">
        <v>1812</v>
      </c>
      <c r="E3174" s="5">
        <v>48.3641275995966</v>
      </c>
    </row>
    <row r="3175" ht="14.25" customHeight="1">
      <c r="A3175" s="4"/>
      <c r="B3175" s="4" t="s">
        <v>1802</v>
      </c>
      <c r="C3175" s="4" t="s">
        <v>4903</v>
      </c>
      <c r="D3175" s="4" t="s">
        <v>4904</v>
      </c>
      <c r="E3175" s="5">
        <v>6.29302710219304</v>
      </c>
    </row>
    <row r="3176" ht="14.25" customHeight="1">
      <c r="A3176" s="4"/>
      <c r="B3176" s="4" t="s">
        <v>1802</v>
      </c>
      <c r="C3176" s="4" t="s">
        <v>4905</v>
      </c>
      <c r="D3176" s="4" t="s">
        <v>4906</v>
      </c>
      <c r="E3176" s="5">
        <v>12.646968962410702</v>
      </c>
    </row>
    <row r="3177" ht="14.25" customHeight="1">
      <c r="A3177" s="4"/>
      <c r="B3177" s="4" t="s">
        <v>1802</v>
      </c>
      <c r="C3177" s="4" t="s">
        <v>4907</v>
      </c>
      <c r="D3177" s="4" t="s">
        <v>4908</v>
      </c>
      <c r="E3177" s="5">
        <v>43.8403865566352</v>
      </c>
    </row>
    <row r="3178" ht="14.25" customHeight="1">
      <c r="A3178" s="4"/>
      <c r="B3178" s="4" t="s">
        <v>1802</v>
      </c>
      <c r="C3178" s="4" t="s">
        <v>4909</v>
      </c>
      <c r="D3178" s="4" t="s">
        <v>1837</v>
      </c>
      <c r="E3178" s="5">
        <v>9.672825519919328</v>
      </c>
    </row>
    <row r="3179" ht="14.25" customHeight="1">
      <c r="A3179" s="4"/>
      <c r="B3179" s="4" t="s">
        <v>1802</v>
      </c>
      <c r="C3179" s="4" t="s">
        <v>4910</v>
      </c>
      <c r="D3179" s="4" t="s">
        <v>4911</v>
      </c>
      <c r="E3179" s="5">
        <v>46.6577918869939</v>
      </c>
    </row>
    <row r="3180" ht="14.25" customHeight="1">
      <c r="A3180" s="4"/>
      <c r="B3180" s="4" t="s">
        <v>1802</v>
      </c>
      <c r="C3180" s="4" t="s">
        <v>4912</v>
      </c>
      <c r="D3180" s="4" t="s">
        <v>4913</v>
      </c>
      <c r="E3180" s="5">
        <v>48.2324805678892</v>
      </c>
    </row>
    <row r="3181" ht="14.25" customHeight="1">
      <c r="A3181" s="4"/>
      <c r="B3181" s="4" t="s">
        <v>1802</v>
      </c>
      <c r="C3181" s="4" t="s">
        <v>4914</v>
      </c>
      <c r="D3181" s="4" t="s">
        <v>4915</v>
      </c>
      <c r="E3181" s="5">
        <v>44.4073511689487</v>
      </c>
    </row>
    <row r="3182" ht="14.25" customHeight="1">
      <c r="A3182" s="4"/>
      <c r="B3182" s="4" t="s">
        <v>1802</v>
      </c>
      <c r="C3182" s="4" t="s">
        <v>4916</v>
      </c>
      <c r="D3182" s="4" t="s">
        <v>4917</v>
      </c>
      <c r="E3182" s="5">
        <v>12.125012270808101</v>
      </c>
    </row>
    <row r="3183" ht="14.25" customHeight="1">
      <c r="A3183" s="4"/>
      <c r="B3183" s="4" t="s">
        <v>1802</v>
      </c>
      <c r="C3183" s="4" t="s">
        <v>4918</v>
      </c>
      <c r="D3183" s="4" t="s">
        <v>1837</v>
      </c>
      <c r="E3183" s="5">
        <v>9.672825519919328</v>
      </c>
    </row>
    <row r="3184" ht="14.25" customHeight="1">
      <c r="A3184" s="4"/>
      <c r="B3184" s="4" t="s">
        <v>1802</v>
      </c>
      <c r="C3184" s="4" t="s">
        <v>4919</v>
      </c>
      <c r="D3184" s="4" t="s">
        <v>4920</v>
      </c>
      <c r="E3184" s="5">
        <v>8.56816659578326</v>
      </c>
    </row>
    <row r="3185" ht="14.25" customHeight="1">
      <c r="A3185" s="4"/>
      <c r="B3185" s="4" t="s">
        <v>1802</v>
      </c>
      <c r="C3185" s="4" t="s">
        <v>4921</v>
      </c>
      <c r="D3185" s="4" t="s">
        <v>1812</v>
      </c>
      <c r="E3185" s="5">
        <v>48.3641275995966</v>
      </c>
    </row>
    <row r="3186" ht="14.25" customHeight="1">
      <c r="A3186" s="4"/>
      <c r="B3186" s="4" t="s">
        <v>1802</v>
      </c>
      <c r="C3186" s="4" t="s">
        <v>4922</v>
      </c>
      <c r="D3186" s="4" t="s">
        <v>4923</v>
      </c>
      <c r="E3186" s="5">
        <v>9.85358877117936</v>
      </c>
    </row>
    <row r="3187" ht="14.25" customHeight="1">
      <c r="A3187" s="4"/>
      <c r="B3187" s="4" t="s">
        <v>1802</v>
      </c>
      <c r="C3187" s="4" t="s">
        <v>4924</v>
      </c>
      <c r="D3187" s="4" t="s">
        <v>4925</v>
      </c>
      <c r="E3187" s="5">
        <v>2.5270698663791</v>
      </c>
    </row>
    <row r="3188" ht="14.25" customHeight="1">
      <c r="A3188" s="4"/>
      <c r="B3188" s="4" t="s">
        <v>1802</v>
      </c>
      <c r="C3188" s="4" t="s">
        <v>4926</v>
      </c>
      <c r="D3188" s="4" t="s">
        <v>1821</v>
      </c>
      <c r="E3188" s="5">
        <v>19.3456510398386</v>
      </c>
    </row>
    <row r="3189" ht="14.25" customHeight="1">
      <c r="A3189" s="4"/>
      <c r="B3189" s="4" t="s">
        <v>1802</v>
      </c>
      <c r="C3189" s="4" t="s">
        <v>323</v>
      </c>
      <c r="D3189" s="4" t="s">
        <v>1812</v>
      </c>
      <c r="E3189" s="5">
        <v>48.3641275995966</v>
      </c>
    </row>
    <row r="3190" ht="14.25" customHeight="1">
      <c r="A3190" s="4"/>
      <c r="B3190" s="4" t="s">
        <v>1802</v>
      </c>
      <c r="C3190" s="4" t="s">
        <v>4927</v>
      </c>
      <c r="D3190" s="4" t="s">
        <v>4928</v>
      </c>
      <c r="E3190" s="5">
        <v>11.3496888484603</v>
      </c>
    </row>
    <row r="3191" ht="14.25" customHeight="1">
      <c r="A3191" s="4"/>
      <c r="B3191" s="4" t="s">
        <v>1802</v>
      </c>
      <c r="C3191" s="4" t="s">
        <v>1476</v>
      </c>
      <c r="D3191" s="4" t="s">
        <v>1812</v>
      </c>
      <c r="E3191" s="5">
        <v>48.3641275995966</v>
      </c>
    </row>
    <row r="3192" ht="14.25" customHeight="1">
      <c r="A3192" s="4"/>
      <c r="B3192" s="4" t="s">
        <v>1802</v>
      </c>
      <c r="C3192" s="4" t="s">
        <v>360</v>
      </c>
      <c r="D3192" s="4" t="s">
        <v>1812</v>
      </c>
      <c r="E3192" s="5">
        <v>48.3641275995966</v>
      </c>
    </row>
    <row r="3193" ht="14.25" customHeight="1">
      <c r="A3193" s="4"/>
      <c r="B3193" s="4" t="s">
        <v>1802</v>
      </c>
      <c r="C3193" s="4" t="s">
        <v>4929</v>
      </c>
      <c r="D3193" s="4" t="s">
        <v>1812</v>
      </c>
      <c r="E3193" s="5">
        <v>48.3641275995966</v>
      </c>
    </row>
    <row r="3194" ht="14.25" customHeight="1">
      <c r="A3194" s="4"/>
      <c r="B3194" s="4" t="s">
        <v>1802</v>
      </c>
      <c r="C3194" s="4" t="s">
        <v>4930</v>
      </c>
      <c r="D3194" s="4" t="s">
        <v>1812</v>
      </c>
      <c r="E3194" s="5">
        <v>48.3641275995966</v>
      </c>
    </row>
    <row r="3195" ht="14.25" customHeight="1">
      <c r="A3195" s="4"/>
      <c r="B3195" s="4" t="s">
        <v>1802</v>
      </c>
      <c r="C3195" s="4" t="s">
        <v>4931</v>
      </c>
      <c r="D3195" s="4" t="s">
        <v>1812</v>
      </c>
      <c r="E3195" s="5">
        <v>48.3641275995966</v>
      </c>
    </row>
    <row r="3196" ht="14.25" customHeight="1">
      <c r="A3196" s="4"/>
      <c r="B3196" s="4" t="s">
        <v>1802</v>
      </c>
      <c r="C3196" s="4" t="s">
        <v>4932</v>
      </c>
      <c r="D3196" s="4" t="s">
        <v>1812</v>
      </c>
      <c r="E3196" s="5">
        <v>48.3641275995966</v>
      </c>
    </row>
    <row r="3197" ht="14.25" customHeight="1">
      <c r="A3197" s="4"/>
      <c r="B3197" s="4" t="s">
        <v>1802</v>
      </c>
      <c r="C3197" s="4" t="s">
        <v>4933</v>
      </c>
      <c r="D3197" s="4" t="s">
        <v>4934</v>
      </c>
      <c r="E3197" s="5">
        <v>20.7615741363695</v>
      </c>
    </row>
    <row r="3198" ht="14.25" customHeight="1">
      <c r="A3198" s="4"/>
      <c r="B3198" s="4" t="s">
        <v>1802</v>
      </c>
      <c r="C3198" s="4" t="s">
        <v>4935</v>
      </c>
      <c r="D3198" s="4" t="s">
        <v>1812</v>
      </c>
      <c r="E3198" s="5">
        <v>48.3641275995966</v>
      </c>
    </row>
    <row r="3199" ht="14.25" customHeight="1">
      <c r="A3199" s="4"/>
      <c r="B3199" s="4" t="s">
        <v>1802</v>
      </c>
      <c r="C3199" s="4" t="s">
        <v>4936</v>
      </c>
      <c r="D3199" s="4" t="s">
        <v>4937</v>
      </c>
      <c r="E3199" s="5">
        <v>1.4968885918924202</v>
      </c>
    </row>
    <row r="3200" ht="14.25" customHeight="1">
      <c r="A3200" s="4"/>
      <c r="B3200" s="4" t="s">
        <v>1802</v>
      </c>
      <c r="C3200" s="4" t="s">
        <v>4938</v>
      </c>
      <c r="D3200" s="4" t="s">
        <v>4939</v>
      </c>
      <c r="E3200" s="5">
        <v>4.73439243439005</v>
      </c>
    </row>
    <row r="3201" ht="14.25" customHeight="1">
      <c r="A3201" s="4"/>
      <c r="B3201" s="4" t="s">
        <v>1802</v>
      </c>
      <c r="C3201" s="4" t="s">
        <v>4940</v>
      </c>
      <c r="D3201" s="4" t="s">
        <v>1812</v>
      </c>
      <c r="E3201" s="5">
        <v>48.3641275995966</v>
      </c>
    </row>
    <row r="3202" ht="14.25" customHeight="1">
      <c r="A3202" s="4"/>
      <c r="B3202" s="4" t="s">
        <v>1802</v>
      </c>
      <c r="C3202" s="4" t="s">
        <v>4941</v>
      </c>
      <c r="D3202" s="4" t="s">
        <v>4942</v>
      </c>
      <c r="E3202" s="5">
        <v>46.255349768340494</v>
      </c>
    </row>
    <row r="3203" ht="14.25" customHeight="1">
      <c r="A3203" s="4"/>
      <c r="B3203" s="4" t="s">
        <v>1802</v>
      </c>
      <c r="C3203" s="4" t="s">
        <v>1372</v>
      </c>
      <c r="D3203" s="4" t="s">
        <v>1812</v>
      </c>
      <c r="E3203" s="5">
        <v>48.3641275995966</v>
      </c>
    </row>
    <row r="3204" ht="14.25" customHeight="1">
      <c r="A3204" s="4"/>
      <c r="B3204" s="4" t="s">
        <v>1802</v>
      </c>
      <c r="C3204" s="4" t="s">
        <v>4943</v>
      </c>
      <c r="D3204" s="4" t="s">
        <v>1837</v>
      </c>
      <c r="E3204" s="5">
        <v>9.672825519919328</v>
      </c>
    </row>
    <row r="3205" ht="14.25" customHeight="1">
      <c r="A3205" s="4"/>
      <c r="B3205" s="4" t="s">
        <v>1802</v>
      </c>
      <c r="C3205" s="4" t="s">
        <v>4944</v>
      </c>
      <c r="D3205" s="4" t="s">
        <v>1812</v>
      </c>
      <c r="E3205" s="5">
        <v>48.3641275995966</v>
      </c>
    </row>
    <row r="3206" ht="14.25" customHeight="1">
      <c r="A3206" s="4"/>
      <c r="B3206" s="4" t="s">
        <v>1802</v>
      </c>
      <c r="C3206" s="4" t="s">
        <v>4945</v>
      </c>
      <c r="D3206" s="4" t="s">
        <v>1812</v>
      </c>
      <c r="E3206" s="5">
        <v>48.3641275995966</v>
      </c>
    </row>
    <row r="3207" ht="14.25" customHeight="1">
      <c r="A3207" s="4"/>
      <c r="B3207" s="4" t="s">
        <v>1802</v>
      </c>
      <c r="C3207" s="4" t="s">
        <v>4946</v>
      </c>
      <c r="D3207" s="4" t="s">
        <v>4947</v>
      </c>
      <c r="E3207" s="5">
        <v>23.5272187322237</v>
      </c>
    </row>
    <row r="3208" ht="14.25" customHeight="1">
      <c r="A3208" s="4"/>
      <c r="B3208" s="4" t="s">
        <v>1802</v>
      </c>
      <c r="C3208" s="4" t="s">
        <v>4948</v>
      </c>
      <c r="D3208" s="4" t="s">
        <v>1812</v>
      </c>
      <c r="E3208" s="5">
        <v>48.3641275995966</v>
      </c>
    </row>
    <row r="3209" ht="14.25" customHeight="1">
      <c r="A3209" s="4"/>
      <c r="B3209" s="4" t="s">
        <v>1802</v>
      </c>
      <c r="C3209" s="4" t="s">
        <v>4949</v>
      </c>
      <c r="D3209" s="4" t="s">
        <v>4950</v>
      </c>
      <c r="E3209" s="5">
        <v>2.2082967897648698</v>
      </c>
    </row>
    <row r="3210" ht="14.25" customHeight="1">
      <c r="A3210" s="4"/>
      <c r="B3210" s="4" t="s">
        <v>1802</v>
      </c>
      <c r="C3210" s="4" t="s">
        <v>4951</v>
      </c>
      <c r="D3210" s="4" t="s">
        <v>1812</v>
      </c>
      <c r="E3210" s="5">
        <v>48.3641275995966</v>
      </c>
    </row>
    <row r="3211" ht="14.25" customHeight="1">
      <c r="A3211" s="4"/>
      <c r="B3211" s="4" t="s">
        <v>1802</v>
      </c>
      <c r="C3211" s="4" t="s">
        <v>4952</v>
      </c>
      <c r="D3211" s="4" t="s">
        <v>1812</v>
      </c>
      <c r="E3211" s="5">
        <v>48.3641275995966</v>
      </c>
    </row>
    <row r="3212" ht="14.25" customHeight="1">
      <c r="A3212" s="4"/>
      <c r="B3212" s="4" t="s">
        <v>1802</v>
      </c>
      <c r="C3212" s="4" t="s">
        <v>4953</v>
      </c>
      <c r="D3212" s="4" t="s">
        <v>4954</v>
      </c>
      <c r="E3212" s="5">
        <v>43.700181644246804</v>
      </c>
    </row>
    <row r="3213" ht="14.25" customHeight="1">
      <c r="A3213" s="4"/>
      <c r="B3213" s="4" t="s">
        <v>1802</v>
      </c>
      <c r="C3213" s="4" t="s">
        <v>4955</v>
      </c>
      <c r="D3213" s="4" t="s">
        <v>1837</v>
      </c>
      <c r="E3213" s="5">
        <v>9.672825519919328</v>
      </c>
    </row>
    <row r="3214" ht="14.25" customHeight="1">
      <c r="A3214" s="4"/>
      <c r="B3214" s="4" t="s">
        <v>1802</v>
      </c>
      <c r="C3214" s="4" t="s">
        <v>4956</v>
      </c>
      <c r="D3214" s="4" t="s">
        <v>1812</v>
      </c>
      <c r="E3214" s="5">
        <v>48.3641275995966</v>
      </c>
    </row>
    <row r="3215" ht="14.25" customHeight="1">
      <c r="A3215" s="4"/>
      <c r="B3215" s="4" t="s">
        <v>1802</v>
      </c>
      <c r="C3215" s="4" t="s">
        <v>369</v>
      </c>
      <c r="D3215" s="4" t="s">
        <v>4957</v>
      </c>
      <c r="E3215" s="5">
        <v>46.441845328195</v>
      </c>
    </row>
    <row r="3216" ht="14.25" customHeight="1">
      <c r="A3216" s="4"/>
      <c r="B3216" s="4" t="s">
        <v>1802</v>
      </c>
      <c r="C3216" s="4" t="s">
        <v>4958</v>
      </c>
      <c r="D3216" s="4" t="s">
        <v>4959</v>
      </c>
      <c r="E3216" s="5">
        <v>12.8205618808475</v>
      </c>
    </row>
    <row r="3217" ht="14.25" customHeight="1">
      <c r="A3217" s="4"/>
      <c r="B3217" s="4" t="s">
        <v>1802</v>
      </c>
      <c r="C3217" s="4" t="s">
        <v>4960</v>
      </c>
      <c r="D3217" s="4" t="s">
        <v>1812</v>
      </c>
      <c r="E3217" s="5">
        <v>48.3641275995966</v>
      </c>
    </row>
    <row r="3218" ht="14.25" customHeight="1">
      <c r="A3218" s="4"/>
      <c r="B3218" s="4" t="s">
        <v>1802</v>
      </c>
      <c r="C3218" s="4" t="s">
        <v>4961</v>
      </c>
      <c r="D3218" s="4" t="s">
        <v>4962</v>
      </c>
      <c r="E3218" s="5">
        <v>8.04166766900938</v>
      </c>
    </row>
    <row r="3219" ht="14.25" customHeight="1">
      <c r="A3219" s="4"/>
      <c r="B3219" s="4" t="s">
        <v>1802</v>
      </c>
      <c r="C3219" s="4" t="s">
        <v>4963</v>
      </c>
      <c r="D3219" s="4" t="s">
        <v>1812</v>
      </c>
      <c r="E3219" s="5">
        <v>48.3641275995966</v>
      </c>
    </row>
    <row r="3220" ht="14.25" customHeight="1">
      <c r="A3220" s="4"/>
      <c r="B3220" s="4" t="s">
        <v>1802</v>
      </c>
      <c r="C3220" s="4" t="s">
        <v>4964</v>
      </c>
      <c r="D3220" s="4" t="s">
        <v>4965</v>
      </c>
      <c r="E3220" s="5">
        <v>13.7552552911819</v>
      </c>
    </row>
    <row r="3221" ht="14.25" customHeight="1">
      <c r="A3221" s="4"/>
      <c r="B3221" s="4" t="s">
        <v>1802</v>
      </c>
      <c r="C3221" s="4" t="s">
        <v>4966</v>
      </c>
      <c r="D3221" s="4" t="s">
        <v>1837</v>
      </c>
      <c r="E3221" s="5">
        <v>9.672825519919328</v>
      </c>
    </row>
    <row r="3222" ht="14.25" customHeight="1">
      <c r="A3222" s="4"/>
      <c r="B3222" s="4" t="s">
        <v>1802</v>
      </c>
      <c r="C3222" s="4" t="s">
        <v>1265</v>
      </c>
      <c r="D3222" s="4" t="s">
        <v>1812</v>
      </c>
      <c r="E3222" s="5">
        <v>48.3641275995966</v>
      </c>
    </row>
    <row r="3223" ht="14.25" customHeight="1">
      <c r="A3223" s="4"/>
      <c r="B3223" s="4" t="s">
        <v>1802</v>
      </c>
      <c r="C3223" s="4" t="s">
        <v>4967</v>
      </c>
      <c r="D3223" s="4" t="s">
        <v>1812</v>
      </c>
      <c r="E3223" s="5">
        <v>48.3641275995966</v>
      </c>
    </row>
    <row r="3224" ht="14.25" customHeight="1">
      <c r="A3224" s="4"/>
      <c r="B3224" s="4" t="s">
        <v>1802</v>
      </c>
      <c r="C3224" s="4" t="s">
        <v>4968</v>
      </c>
      <c r="D3224" s="4" t="s">
        <v>1909</v>
      </c>
      <c r="E3224" s="5">
        <v>11.6073906239032</v>
      </c>
    </row>
    <row r="3225" ht="14.25" customHeight="1">
      <c r="A3225" s="4"/>
      <c r="B3225" s="4" t="s">
        <v>1802</v>
      </c>
      <c r="C3225" s="4" t="s">
        <v>4969</v>
      </c>
      <c r="D3225" s="4" t="s">
        <v>4970</v>
      </c>
      <c r="E3225" s="5">
        <v>36.2685163737774</v>
      </c>
    </row>
    <row r="3226" ht="14.25" customHeight="1">
      <c r="A3226" s="4"/>
      <c r="B3226" s="4" t="s">
        <v>1802</v>
      </c>
      <c r="C3226" s="4" t="s">
        <v>4971</v>
      </c>
      <c r="D3226" s="4" t="s">
        <v>4972</v>
      </c>
      <c r="E3226" s="5">
        <v>4.1776911462414805</v>
      </c>
    </row>
    <row r="3227" ht="14.25" customHeight="1">
      <c r="A3227" s="4"/>
      <c r="B3227" s="4" t="s">
        <v>1802</v>
      </c>
      <c r="C3227" s="4" t="s">
        <v>4973</v>
      </c>
      <c r="D3227" s="4" t="s">
        <v>1812</v>
      </c>
      <c r="E3227" s="5">
        <v>48.3641275995966</v>
      </c>
    </row>
    <row r="3228" ht="14.25" customHeight="1">
      <c r="A3228" s="4"/>
      <c r="B3228" s="4" t="s">
        <v>1802</v>
      </c>
      <c r="C3228" s="4" t="s">
        <v>4974</v>
      </c>
      <c r="D3228" s="4" t="s">
        <v>1812</v>
      </c>
      <c r="E3228" s="5">
        <v>48.3641275995966</v>
      </c>
    </row>
    <row r="3229" ht="14.25" customHeight="1">
      <c r="A3229" s="4"/>
      <c r="B3229" s="4" t="s">
        <v>1802</v>
      </c>
      <c r="C3229" s="4" t="s">
        <v>1743</v>
      </c>
      <c r="D3229" s="4" t="s">
        <v>4975</v>
      </c>
      <c r="E3229" s="5">
        <v>32.6724839237935</v>
      </c>
    </row>
    <row r="3230" ht="14.25" customHeight="1">
      <c r="A3230" s="4"/>
      <c r="B3230" s="4" t="s">
        <v>1802</v>
      </c>
      <c r="C3230" s="4" t="s">
        <v>4976</v>
      </c>
      <c r="D3230" s="4" t="s">
        <v>4977</v>
      </c>
      <c r="E3230" s="5">
        <v>22.3938571960149</v>
      </c>
    </row>
    <row r="3231" ht="14.25" customHeight="1">
      <c r="A3231" s="4"/>
      <c r="B3231" s="4" t="s">
        <v>1802</v>
      </c>
      <c r="C3231" s="4" t="s">
        <v>4978</v>
      </c>
      <c r="D3231" s="4" t="s">
        <v>4979</v>
      </c>
      <c r="E3231" s="5">
        <v>15.9354604396127</v>
      </c>
    </row>
    <row r="3232" ht="14.25" customHeight="1">
      <c r="A3232" s="4"/>
      <c r="B3232" s="4" t="s">
        <v>1802</v>
      </c>
      <c r="C3232" s="4" t="s">
        <v>4980</v>
      </c>
      <c r="D3232" s="4" t="s">
        <v>4981</v>
      </c>
      <c r="E3232" s="5">
        <v>6.958610112310461</v>
      </c>
    </row>
    <row r="3233" ht="14.25" customHeight="1">
      <c r="A3233" s="4"/>
      <c r="B3233" s="4" t="s">
        <v>1802</v>
      </c>
      <c r="C3233" s="4" t="s">
        <v>4982</v>
      </c>
      <c r="D3233" s="4" t="s">
        <v>1812</v>
      </c>
      <c r="E3233" s="5">
        <v>48.3641275995966</v>
      </c>
    </row>
    <row r="3234" ht="14.25" customHeight="1">
      <c r="A3234" s="4"/>
      <c r="B3234" s="4" t="s">
        <v>1802</v>
      </c>
      <c r="C3234" s="4" t="s">
        <v>4983</v>
      </c>
      <c r="D3234" s="4" t="s">
        <v>1837</v>
      </c>
      <c r="E3234" s="5">
        <v>9.672825519919328</v>
      </c>
    </row>
    <row r="3235" ht="14.25" customHeight="1">
      <c r="A3235" s="4"/>
      <c r="B3235" s="4" t="s">
        <v>1802</v>
      </c>
      <c r="C3235" s="4" t="s">
        <v>4984</v>
      </c>
      <c r="D3235" s="4" t="s">
        <v>4985</v>
      </c>
      <c r="E3235" s="5">
        <v>30.3525915579721</v>
      </c>
    </row>
    <row r="3236" ht="14.25" customHeight="1">
      <c r="A3236" s="4"/>
      <c r="B3236" s="4" t="s">
        <v>1802</v>
      </c>
      <c r="C3236" s="4" t="s">
        <v>4986</v>
      </c>
      <c r="D3236" s="4" t="s">
        <v>4987</v>
      </c>
      <c r="E3236" s="5">
        <v>9.869636241588001</v>
      </c>
    </row>
    <row r="3237" ht="14.25" customHeight="1">
      <c r="A3237" s="4"/>
      <c r="B3237" s="4" t="s">
        <v>1802</v>
      </c>
      <c r="C3237" s="4" t="s">
        <v>4988</v>
      </c>
      <c r="D3237" s="4" t="s">
        <v>4989</v>
      </c>
      <c r="E3237" s="5">
        <v>48.1629561649964</v>
      </c>
    </row>
    <row r="3238" ht="14.25" customHeight="1">
      <c r="A3238" s="4"/>
      <c r="B3238" s="4" t="s">
        <v>1802</v>
      </c>
      <c r="C3238" s="4" t="s">
        <v>4990</v>
      </c>
      <c r="D3238" s="4" t="s">
        <v>1812</v>
      </c>
      <c r="E3238" s="5">
        <v>48.3641275995966</v>
      </c>
    </row>
    <row r="3239" ht="14.25" customHeight="1">
      <c r="A3239" s="4"/>
      <c r="B3239" s="4" t="s">
        <v>1802</v>
      </c>
      <c r="C3239" s="4" t="s">
        <v>346</v>
      </c>
      <c r="D3239" s="4" t="s">
        <v>4991</v>
      </c>
      <c r="E3239" s="5">
        <v>42.5470161649163</v>
      </c>
    </row>
    <row r="3240" ht="14.25" customHeight="1">
      <c r="A3240" s="4"/>
      <c r="B3240" s="4" t="s">
        <v>1802</v>
      </c>
      <c r="C3240" s="4" t="s">
        <v>4992</v>
      </c>
      <c r="D3240" s="4" t="s">
        <v>4993</v>
      </c>
      <c r="E3240" s="5">
        <v>47.4551945565131</v>
      </c>
    </row>
    <row r="3241" ht="14.25" customHeight="1">
      <c r="A3241" s="4"/>
      <c r="B3241" s="4" t="s">
        <v>1802</v>
      </c>
      <c r="C3241" s="4" t="s">
        <v>4994</v>
      </c>
      <c r="D3241" s="4" t="s">
        <v>1812</v>
      </c>
      <c r="E3241" s="5">
        <v>48.3641275995966</v>
      </c>
    </row>
    <row r="3242" ht="14.25" customHeight="1">
      <c r="A3242" s="4"/>
      <c r="B3242" s="4" t="s">
        <v>1802</v>
      </c>
      <c r="C3242" s="4" t="s">
        <v>4995</v>
      </c>
      <c r="D3242" s="4" t="s">
        <v>1812</v>
      </c>
      <c r="E3242" s="5">
        <v>48.3641275995966</v>
      </c>
    </row>
    <row r="3243" ht="14.25" customHeight="1">
      <c r="A3243" s="4"/>
      <c r="B3243" s="4" t="s">
        <v>1802</v>
      </c>
      <c r="C3243" s="4" t="s">
        <v>4996</v>
      </c>
      <c r="D3243" s="4" t="s">
        <v>1812</v>
      </c>
      <c r="E3243" s="5">
        <v>48.3641275995966</v>
      </c>
    </row>
    <row r="3244" ht="14.25" customHeight="1">
      <c r="A3244" s="4"/>
      <c r="B3244" s="4" t="s">
        <v>1802</v>
      </c>
      <c r="C3244" s="4" t="s">
        <v>4997</v>
      </c>
      <c r="D3244" s="4" t="s">
        <v>4998</v>
      </c>
      <c r="E3244" s="5">
        <v>10.2662663453374</v>
      </c>
    </row>
    <row r="3245" ht="14.25" customHeight="1">
      <c r="A3245" s="4"/>
      <c r="B3245" s="4" t="s">
        <v>1802</v>
      </c>
      <c r="C3245" s="4" t="s">
        <v>4999</v>
      </c>
      <c r="D3245" s="4" t="s">
        <v>5000</v>
      </c>
      <c r="E3245" s="5">
        <v>34.0892354923397</v>
      </c>
    </row>
    <row r="3246" ht="14.25" customHeight="1">
      <c r="A3246" s="4"/>
      <c r="B3246" s="4" t="s">
        <v>1802</v>
      </c>
      <c r="C3246" s="4" t="s">
        <v>5001</v>
      </c>
      <c r="D3246" s="4" t="s">
        <v>1812</v>
      </c>
      <c r="E3246" s="5">
        <v>48.3641275995966</v>
      </c>
    </row>
    <row r="3247" ht="14.25" customHeight="1">
      <c r="A3247" s="4"/>
      <c r="B3247" s="4" t="s">
        <v>1802</v>
      </c>
      <c r="C3247" s="4" t="s">
        <v>5002</v>
      </c>
      <c r="D3247" s="4" t="s">
        <v>1812</v>
      </c>
      <c r="E3247" s="5">
        <v>48.3641275995966</v>
      </c>
    </row>
    <row r="3248" ht="14.25" customHeight="1">
      <c r="A3248" s="4"/>
      <c r="B3248" s="4" t="s">
        <v>1802</v>
      </c>
      <c r="C3248" s="4" t="s">
        <v>5003</v>
      </c>
      <c r="D3248" s="4" t="s">
        <v>5004</v>
      </c>
      <c r="E3248" s="5">
        <v>41.5710693064796</v>
      </c>
    </row>
    <row r="3249" ht="14.25" customHeight="1">
      <c r="A3249" s="4"/>
      <c r="B3249" s="4" t="s">
        <v>1802</v>
      </c>
      <c r="C3249" s="4" t="s">
        <v>5005</v>
      </c>
      <c r="D3249" s="4" t="s">
        <v>4487</v>
      </c>
      <c r="E3249" s="5">
        <v>15.4765208318709</v>
      </c>
    </row>
    <row r="3250" ht="14.25" customHeight="1">
      <c r="A3250" s="4"/>
      <c r="B3250" s="4" t="s">
        <v>1802</v>
      </c>
      <c r="C3250" s="4" t="s">
        <v>5006</v>
      </c>
      <c r="D3250" s="4" t="s">
        <v>1821</v>
      </c>
      <c r="E3250" s="5">
        <v>19.3456510398386</v>
      </c>
    </row>
    <row r="3251" ht="14.25" customHeight="1">
      <c r="A3251" s="4"/>
      <c r="B3251" s="4" t="s">
        <v>1802</v>
      </c>
      <c r="C3251" s="4" t="s">
        <v>5007</v>
      </c>
      <c r="D3251" s="4" t="s">
        <v>1812</v>
      </c>
      <c r="E3251" s="5">
        <v>48.3641275995966</v>
      </c>
    </row>
    <row r="3252" ht="14.25" customHeight="1">
      <c r="A3252" s="4"/>
      <c r="B3252" s="4" t="s">
        <v>1802</v>
      </c>
      <c r="C3252" s="4" t="s">
        <v>5008</v>
      </c>
      <c r="D3252" s="4" t="s">
        <v>1812</v>
      </c>
      <c r="E3252" s="5">
        <v>48.3641275995966</v>
      </c>
    </row>
    <row r="3253" ht="14.25" customHeight="1">
      <c r="A3253" s="4"/>
      <c r="B3253" s="4" t="s">
        <v>1802</v>
      </c>
      <c r="C3253" s="4" t="s">
        <v>5009</v>
      </c>
      <c r="D3253" s="4" t="s">
        <v>2834</v>
      </c>
      <c r="E3253" s="5">
        <v>0.193456510398386</v>
      </c>
    </row>
    <row r="3254" ht="14.25" customHeight="1">
      <c r="A3254" s="4"/>
      <c r="B3254" s="4" t="s">
        <v>1802</v>
      </c>
      <c r="C3254" s="4" t="s">
        <v>5010</v>
      </c>
      <c r="D3254" s="4" t="s">
        <v>5011</v>
      </c>
      <c r="E3254" s="5">
        <v>7.144582719671311</v>
      </c>
    </row>
    <row r="3255" ht="14.25" customHeight="1">
      <c r="A3255" s="4"/>
      <c r="B3255" s="4" t="s">
        <v>1802</v>
      </c>
      <c r="C3255" s="4" t="s">
        <v>5012</v>
      </c>
      <c r="D3255" s="4" t="s">
        <v>5013</v>
      </c>
      <c r="E3255" s="5">
        <v>41.944878377803995</v>
      </c>
    </row>
    <row r="3256" ht="14.25" customHeight="1">
      <c r="A3256" s="4"/>
      <c r="B3256" s="4" t="s">
        <v>1802</v>
      </c>
      <c r="C3256" s="4" t="s">
        <v>5014</v>
      </c>
      <c r="D3256" s="4" t="s">
        <v>1812</v>
      </c>
      <c r="E3256" s="5">
        <v>48.3641275995966</v>
      </c>
    </row>
    <row r="3257" ht="14.25" customHeight="1">
      <c r="A3257" s="4"/>
      <c r="B3257" s="4" t="s">
        <v>1802</v>
      </c>
      <c r="C3257" s="4" t="s">
        <v>5015</v>
      </c>
      <c r="D3257" s="4" t="s">
        <v>5016</v>
      </c>
      <c r="E3257" s="5">
        <v>4.27600958366376</v>
      </c>
    </row>
    <row r="3258" ht="14.25" customHeight="1">
      <c r="A3258" s="4"/>
      <c r="B3258" s="4" t="s">
        <v>1802</v>
      </c>
      <c r="C3258" s="4" t="s">
        <v>1171</v>
      </c>
      <c r="D3258" s="4" t="s">
        <v>1812</v>
      </c>
      <c r="E3258" s="5">
        <v>48.3641275995966</v>
      </c>
    </row>
    <row r="3259" ht="14.25" customHeight="1">
      <c r="A3259" s="4"/>
      <c r="B3259" s="4" t="s">
        <v>1802</v>
      </c>
      <c r="C3259" s="4" t="s">
        <v>5017</v>
      </c>
      <c r="D3259" s="4" t="s">
        <v>5018</v>
      </c>
      <c r="E3259" s="5">
        <v>19.504556343033098</v>
      </c>
    </row>
    <row r="3260" ht="14.25" customHeight="1">
      <c r="A3260" s="4"/>
      <c r="B3260" s="4" t="s">
        <v>1802</v>
      </c>
      <c r="C3260" s="4" t="s">
        <v>5019</v>
      </c>
      <c r="D3260" s="4" t="s">
        <v>5020</v>
      </c>
      <c r="E3260" s="5">
        <v>43.1698376639677</v>
      </c>
    </row>
    <row r="3261" ht="14.25" customHeight="1">
      <c r="A3261" s="4"/>
      <c r="B3261" s="4" t="s">
        <v>1802</v>
      </c>
      <c r="C3261" s="4" t="s">
        <v>5021</v>
      </c>
      <c r="D3261" s="4" t="s">
        <v>5022</v>
      </c>
      <c r="E3261" s="5">
        <v>22.8861111911216</v>
      </c>
    </row>
    <row r="3262" ht="14.25" customHeight="1">
      <c r="A3262" s="4"/>
      <c r="B3262" s="4" t="s">
        <v>1802</v>
      </c>
      <c r="C3262" s="4" t="s">
        <v>5023</v>
      </c>
      <c r="D3262" s="4" t="s">
        <v>1812</v>
      </c>
      <c r="E3262" s="5">
        <v>48.3641275995966</v>
      </c>
    </row>
    <row r="3263" ht="14.25" customHeight="1">
      <c r="A3263" s="4"/>
      <c r="B3263" s="4" t="s">
        <v>1802</v>
      </c>
      <c r="C3263" s="4" t="s">
        <v>5024</v>
      </c>
      <c r="D3263" s="4" t="s">
        <v>1812</v>
      </c>
      <c r="E3263" s="5">
        <v>48.3641275995966</v>
      </c>
    </row>
    <row r="3264" ht="14.25" customHeight="1">
      <c r="A3264" s="4"/>
      <c r="B3264" s="4" t="s">
        <v>1802</v>
      </c>
      <c r="C3264" s="4" t="s">
        <v>5025</v>
      </c>
      <c r="D3264" s="4" t="s">
        <v>5026</v>
      </c>
      <c r="E3264" s="5">
        <v>32.6245253642743</v>
      </c>
    </row>
    <row r="3265" ht="14.25" customHeight="1">
      <c r="A3265" s="4"/>
      <c r="B3265" s="4" t="s">
        <v>1802</v>
      </c>
      <c r="C3265" s="4" t="s">
        <v>5027</v>
      </c>
      <c r="D3265" s="4" t="s">
        <v>5028</v>
      </c>
      <c r="E3265" s="5">
        <v>47.936980097999395</v>
      </c>
    </row>
    <row r="3266" ht="14.25" customHeight="1">
      <c r="A3266" s="4"/>
      <c r="B3266" s="4" t="s">
        <v>1802</v>
      </c>
      <c r="C3266" s="4" t="s">
        <v>5029</v>
      </c>
      <c r="D3266" s="4" t="s">
        <v>5030</v>
      </c>
      <c r="E3266" s="5">
        <v>10.033273690093601</v>
      </c>
    </row>
    <row r="3267" ht="14.25" customHeight="1">
      <c r="A3267" s="4"/>
      <c r="B3267" s="4" t="s">
        <v>1802</v>
      </c>
      <c r="C3267" s="4" t="s">
        <v>5031</v>
      </c>
      <c r="D3267" s="4" t="s">
        <v>1812</v>
      </c>
      <c r="E3267" s="5">
        <v>48.3641275995966</v>
      </c>
    </row>
    <row r="3268" ht="14.25" customHeight="1">
      <c r="A3268" s="4"/>
      <c r="B3268" s="4" t="s">
        <v>1802</v>
      </c>
      <c r="C3268" s="4" t="s">
        <v>5032</v>
      </c>
      <c r="D3268" s="4" t="s">
        <v>1812</v>
      </c>
      <c r="E3268" s="5">
        <v>48.3641275995966</v>
      </c>
    </row>
    <row r="3269" ht="14.25" customHeight="1">
      <c r="A3269" s="4"/>
      <c r="B3269" s="4" t="s">
        <v>1802</v>
      </c>
      <c r="C3269" s="4" t="s">
        <v>5033</v>
      </c>
      <c r="D3269" s="4" t="s">
        <v>5034</v>
      </c>
      <c r="E3269" s="5">
        <v>35.7846846075714</v>
      </c>
    </row>
    <row r="3270" ht="14.25" customHeight="1">
      <c r="A3270" s="4"/>
      <c r="B3270" s="4" t="s">
        <v>1802</v>
      </c>
      <c r="C3270" s="4" t="s">
        <v>5035</v>
      </c>
      <c r="D3270" s="4" t="s">
        <v>5036</v>
      </c>
      <c r="E3270" s="5">
        <v>3.1892415217776398</v>
      </c>
    </row>
    <row r="3271" ht="14.25" customHeight="1">
      <c r="A3271" s="4"/>
      <c r="B3271" s="4" t="s">
        <v>1802</v>
      </c>
      <c r="C3271" s="4" t="s">
        <v>5037</v>
      </c>
      <c r="D3271" s="4" t="s">
        <v>5038</v>
      </c>
      <c r="E3271" s="5">
        <v>39.9591997394812</v>
      </c>
    </row>
    <row r="3272" ht="14.25" customHeight="1">
      <c r="A3272" s="4"/>
      <c r="B3272" s="4" t="s">
        <v>1802</v>
      </c>
      <c r="C3272" s="4" t="s">
        <v>5039</v>
      </c>
      <c r="D3272" s="4" t="s">
        <v>1821</v>
      </c>
      <c r="E3272" s="5">
        <v>19.3456510398386</v>
      </c>
    </row>
    <row r="3273" ht="14.25" customHeight="1">
      <c r="A3273" s="4"/>
      <c r="B3273" s="4" t="s">
        <v>1802</v>
      </c>
      <c r="C3273" s="4" t="s">
        <v>5040</v>
      </c>
      <c r="D3273" s="4" t="s">
        <v>5041</v>
      </c>
      <c r="E3273" s="5">
        <v>2.19910299076198</v>
      </c>
    </row>
    <row r="3274" ht="14.25" customHeight="1">
      <c r="A3274" s="4"/>
      <c r="B3274" s="4" t="s">
        <v>1802</v>
      </c>
      <c r="C3274" s="4" t="s">
        <v>5042</v>
      </c>
      <c r="D3274" s="4" t="s">
        <v>1812</v>
      </c>
      <c r="E3274" s="5">
        <v>48.3641275995966</v>
      </c>
    </row>
    <row r="3275" ht="14.25" customHeight="1">
      <c r="A3275" s="4"/>
      <c r="B3275" s="4" t="s">
        <v>1802</v>
      </c>
      <c r="C3275" s="4" t="s">
        <v>5043</v>
      </c>
      <c r="D3275" s="4" t="s">
        <v>1812</v>
      </c>
      <c r="E3275" s="5">
        <v>48.3641275995966</v>
      </c>
    </row>
    <row r="3276" ht="14.25" customHeight="1">
      <c r="A3276" s="4"/>
      <c r="B3276" s="4" t="s">
        <v>1802</v>
      </c>
      <c r="C3276" s="4" t="s">
        <v>5044</v>
      </c>
      <c r="D3276" s="4" t="s">
        <v>5045</v>
      </c>
      <c r="E3276" s="5">
        <v>47.5903015580031</v>
      </c>
    </row>
    <row r="3277" ht="14.25" customHeight="1">
      <c r="A3277" s="4"/>
      <c r="B3277" s="4" t="s">
        <v>1802</v>
      </c>
      <c r="C3277" s="4" t="s">
        <v>5046</v>
      </c>
      <c r="D3277" s="4" t="s">
        <v>1812</v>
      </c>
      <c r="E3277" s="5">
        <v>48.3641275995966</v>
      </c>
    </row>
    <row r="3278" ht="14.25" customHeight="1">
      <c r="A3278" s="4"/>
      <c r="B3278" s="4" t="s">
        <v>1802</v>
      </c>
      <c r="C3278" s="4" t="s">
        <v>5047</v>
      </c>
      <c r="D3278" s="4" t="s">
        <v>5048</v>
      </c>
      <c r="E3278" s="5">
        <v>42.138013357333506</v>
      </c>
    </row>
    <row r="3279" ht="14.25" customHeight="1">
      <c r="A3279" s="4"/>
      <c r="B3279" s="4" t="s">
        <v>1802</v>
      </c>
      <c r="C3279" s="4" t="s">
        <v>5049</v>
      </c>
      <c r="D3279" s="4" t="s">
        <v>5050</v>
      </c>
      <c r="E3279" s="5">
        <v>47.1561144972486</v>
      </c>
    </row>
    <row r="3280" ht="14.25" customHeight="1">
      <c r="A3280" s="4"/>
      <c r="B3280" s="4" t="s">
        <v>1802</v>
      </c>
      <c r="C3280" s="4" t="s">
        <v>5051</v>
      </c>
      <c r="D3280" s="4" t="s">
        <v>5052</v>
      </c>
      <c r="E3280" s="5">
        <v>11.7211172149072</v>
      </c>
    </row>
    <row r="3281" ht="14.25" customHeight="1">
      <c r="A3281" s="4"/>
      <c r="B3281" s="4" t="s">
        <v>1802</v>
      </c>
      <c r="C3281" s="4" t="s">
        <v>5053</v>
      </c>
      <c r="D3281" s="4" t="s">
        <v>1837</v>
      </c>
      <c r="E3281" s="5">
        <v>9.672825519919328</v>
      </c>
    </row>
    <row r="3282" ht="14.25" customHeight="1">
      <c r="A3282" s="4"/>
      <c r="B3282" s="4" t="s">
        <v>1802</v>
      </c>
      <c r="C3282" s="4" t="s">
        <v>5054</v>
      </c>
      <c r="D3282" s="4" t="s">
        <v>1812</v>
      </c>
      <c r="E3282" s="5">
        <v>48.3641275995966</v>
      </c>
    </row>
    <row r="3283" ht="14.25" customHeight="1">
      <c r="A3283" s="4"/>
      <c r="B3283" s="4" t="s">
        <v>1802</v>
      </c>
      <c r="C3283" s="4" t="s">
        <v>5055</v>
      </c>
      <c r="D3283" s="4" t="s">
        <v>1812</v>
      </c>
      <c r="E3283" s="5">
        <v>48.3641275995966</v>
      </c>
    </row>
    <row r="3284" ht="14.25" customHeight="1">
      <c r="A3284" s="4"/>
      <c r="B3284" s="4" t="s">
        <v>1802</v>
      </c>
      <c r="C3284" s="4" t="s">
        <v>5056</v>
      </c>
      <c r="D3284" s="4" t="s">
        <v>1812</v>
      </c>
      <c r="E3284" s="5">
        <v>48.3641275995966</v>
      </c>
    </row>
    <row r="3285" ht="14.25" customHeight="1">
      <c r="A3285" s="4"/>
      <c r="B3285" s="4" t="s">
        <v>1802</v>
      </c>
      <c r="C3285" s="4" t="s">
        <v>5057</v>
      </c>
      <c r="D3285" s="4" t="s">
        <v>5058</v>
      </c>
      <c r="E3285" s="5">
        <v>0.187896922511799</v>
      </c>
    </row>
    <row r="3286" ht="14.25" customHeight="1">
      <c r="A3286" s="4"/>
      <c r="B3286" s="4" t="s">
        <v>1802</v>
      </c>
      <c r="C3286" s="4" t="s">
        <v>5059</v>
      </c>
      <c r="D3286" s="4" t="s">
        <v>1837</v>
      </c>
      <c r="E3286" s="5">
        <v>9.672825519919328</v>
      </c>
    </row>
    <row r="3287" ht="14.25" customHeight="1">
      <c r="A3287" s="4"/>
      <c r="B3287" s="4" t="s">
        <v>1802</v>
      </c>
      <c r="C3287" s="4" t="s">
        <v>5060</v>
      </c>
      <c r="D3287" s="4" t="s">
        <v>5061</v>
      </c>
      <c r="E3287" s="5">
        <v>8.16439230322786</v>
      </c>
    </row>
    <row r="3288" ht="14.25" customHeight="1">
      <c r="A3288" s="4"/>
      <c r="B3288" s="4" t="s">
        <v>1802</v>
      </c>
      <c r="C3288" s="4" t="s">
        <v>5062</v>
      </c>
      <c r="D3288" s="4" t="s">
        <v>1837</v>
      </c>
      <c r="E3288" s="5">
        <v>9.672825519919328</v>
      </c>
    </row>
    <row r="3289" ht="14.25" customHeight="1">
      <c r="A3289" s="4"/>
      <c r="B3289" s="4" t="s">
        <v>1802</v>
      </c>
      <c r="C3289" s="4" t="s">
        <v>5063</v>
      </c>
      <c r="D3289" s="4" t="s">
        <v>1812</v>
      </c>
      <c r="E3289" s="5">
        <v>48.3641275995966</v>
      </c>
    </row>
    <row r="3290" ht="14.25" customHeight="1">
      <c r="A3290" s="4"/>
      <c r="B3290" s="4" t="s">
        <v>1802</v>
      </c>
      <c r="C3290" s="4" t="s">
        <v>5064</v>
      </c>
      <c r="D3290" s="4" t="s">
        <v>1812</v>
      </c>
      <c r="E3290" s="5">
        <v>48.3641275995966</v>
      </c>
    </row>
    <row r="3291" ht="14.25" customHeight="1">
      <c r="A3291" s="4"/>
      <c r="B3291" s="4" t="s">
        <v>1802</v>
      </c>
      <c r="C3291" s="4" t="s">
        <v>5065</v>
      </c>
      <c r="D3291" s="4" t="s">
        <v>5066</v>
      </c>
      <c r="E3291" s="5">
        <v>12.816462903609999</v>
      </c>
    </row>
    <row r="3292" ht="14.25" customHeight="1">
      <c r="A3292" s="4"/>
      <c r="B3292" s="4" t="s">
        <v>1802</v>
      </c>
      <c r="C3292" s="4" t="s">
        <v>5067</v>
      </c>
      <c r="D3292" s="4" t="s">
        <v>5068</v>
      </c>
      <c r="E3292" s="5">
        <v>35.5810297631941</v>
      </c>
    </row>
    <row r="3293" ht="14.25" customHeight="1">
      <c r="A3293" s="4"/>
      <c r="B3293" s="4" t="s">
        <v>1802</v>
      </c>
      <c r="C3293" s="4" t="s">
        <v>5069</v>
      </c>
      <c r="D3293" s="4" t="s">
        <v>5070</v>
      </c>
      <c r="E3293" s="5">
        <v>8.93801076672677</v>
      </c>
    </row>
    <row r="3294" ht="14.25" customHeight="1">
      <c r="A3294" s="4"/>
      <c r="B3294" s="4" t="s">
        <v>1802</v>
      </c>
      <c r="C3294" s="4" t="s">
        <v>5071</v>
      </c>
      <c r="D3294" s="4" t="s">
        <v>5072</v>
      </c>
      <c r="E3294" s="5">
        <v>8.96916846816413</v>
      </c>
    </row>
    <row r="3295" ht="14.25" customHeight="1">
      <c r="A3295" s="4"/>
      <c r="B3295" s="4" t="s">
        <v>1802</v>
      </c>
      <c r="C3295" s="4" t="s">
        <v>5073</v>
      </c>
      <c r="D3295" s="4" t="s">
        <v>1812</v>
      </c>
      <c r="E3295" s="5">
        <v>48.3641275995966</v>
      </c>
    </row>
    <row r="3296" ht="14.25" customHeight="1">
      <c r="A3296" s="4"/>
      <c r="B3296" s="4" t="s">
        <v>1802</v>
      </c>
      <c r="C3296" s="4" t="s">
        <v>5074</v>
      </c>
      <c r="D3296" s="4" t="s">
        <v>1812</v>
      </c>
      <c r="E3296" s="5">
        <v>48.3641275995966</v>
      </c>
    </row>
    <row r="3297" ht="14.25" customHeight="1">
      <c r="A3297" s="4"/>
      <c r="B3297" s="4" t="s">
        <v>1802</v>
      </c>
      <c r="C3297" s="4" t="s">
        <v>5075</v>
      </c>
      <c r="D3297" s="4" t="s">
        <v>5076</v>
      </c>
      <c r="E3297" s="5">
        <v>44.0229140703407</v>
      </c>
    </row>
    <row r="3298" ht="14.25" customHeight="1">
      <c r="A3298" s="4"/>
      <c r="B3298" s="4" t="s">
        <v>1802</v>
      </c>
      <c r="C3298" s="4" t="s">
        <v>1436</v>
      </c>
      <c r="D3298" s="4" t="s">
        <v>1812</v>
      </c>
      <c r="E3298" s="5">
        <v>48.3641275995966</v>
      </c>
    </row>
    <row r="3299" ht="14.25" customHeight="1">
      <c r="A3299" s="4"/>
      <c r="B3299" s="4" t="s">
        <v>1802</v>
      </c>
      <c r="C3299" s="4" t="s">
        <v>5077</v>
      </c>
      <c r="D3299" s="4" t="s">
        <v>1812</v>
      </c>
      <c r="E3299" s="5">
        <v>48.3641275995966</v>
      </c>
    </row>
    <row r="3300" ht="14.25" customHeight="1">
      <c r="A3300" s="4"/>
      <c r="B3300" s="4" t="s">
        <v>1802</v>
      </c>
      <c r="C3300" s="4" t="s">
        <v>5078</v>
      </c>
      <c r="D3300" s="4" t="s">
        <v>5079</v>
      </c>
      <c r="E3300" s="5">
        <v>10.6131447540203</v>
      </c>
    </row>
    <row r="3301" ht="14.25" customHeight="1">
      <c r="A3301" s="4"/>
      <c r="B3301" s="4" t="s">
        <v>1802</v>
      </c>
      <c r="C3301" s="4" t="s">
        <v>5080</v>
      </c>
      <c r="D3301" s="4" t="s">
        <v>2683</v>
      </c>
      <c r="E3301" s="5">
        <v>1.93456510398386</v>
      </c>
    </row>
    <row r="3302" ht="14.25" customHeight="1">
      <c r="A3302" s="4"/>
      <c r="B3302" s="4" t="s">
        <v>1802</v>
      </c>
      <c r="C3302" s="4" t="s">
        <v>5081</v>
      </c>
      <c r="D3302" s="4" t="s">
        <v>1812</v>
      </c>
      <c r="E3302" s="5">
        <v>48.3641275995966</v>
      </c>
    </row>
    <row r="3303" ht="14.25" customHeight="1">
      <c r="A3303" s="4"/>
      <c r="B3303" s="4" t="s">
        <v>1802</v>
      </c>
      <c r="C3303" s="4" t="s">
        <v>5082</v>
      </c>
      <c r="D3303" s="4" t="s">
        <v>1812</v>
      </c>
      <c r="E3303" s="5">
        <v>48.3641275995966</v>
      </c>
    </row>
    <row r="3304" ht="14.25" customHeight="1">
      <c r="A3304" s="4"/>
      <c r="B3304" s="4" t="s">
        <v>1802</v>
      </c>
      <c r="C3304" s="4" t="s">
        <v>5083</v>
      </c>
      <c r="D3304" s="4" t="s">
        <v>5084</v>
      </c>
      <c r="E3304" s="5">
        <v>13.4689558728183</v>
      </c>
    </row>
    <row r="3305" ht="14.25" customHeight="1">
      <c r="A3305" s="4"/>
      <c r="B3305" s="4" t="s">
        <v>1802</v>
      </c>
      <c r="C3305" s="4" t="s">
        <v>5085</v>
      </c>
      <c r="D3305" s="4" t="s">
        <v>1821</v>
      </c>
      <c r="E3305" s="5">
        <v>19.3456510398386</v>
      </c>
    </row>
    <row r="3306" ht="14.25" customHeight="1">
      <c r="A3306" s="4"/>
      <c r="B3306" s="4" t="s">
        <v>1802</v>
      </c>
      <c r="C3306" s="4" t="s">
        <v>5086</v>
      </c>
      <c r="D3306" s="4" t="s">
        <v>1812</v>
      </c>
      <c r="E3306" s="5">
        <v>48.3641275995966</v>
      </c>
    </row>
    <row r="3307" ht="14.25" customHeight="1">
      <c r="A3307" s="4"/>
      <c r="B3307" s="4" t="s">
        <v>1802</v>
      </c>
      <c r="C3307" s="4" t="s">
        <v>5087</v>
      </c>
      <c r="D3307" s="4" t="s">
        <v>5088</v>
      </c>
      <c r="E3307" s="5">
        <v>19.3482789987316</v>
      </c>
    </row>
    <row r="3308" ht="14.25" customHeight="1">
      <c r="A3308" s="4"/>
      <c r="B3308" s="4" t="s">
        <v>1802</v>
      </c>
      <c r="C3308" s="4" t="s">
        <v>5089</v>
      </c>
      <c r="D3308" s="4" t="s">
        <v>1812</v>
      </c>
      <c r="E3308" s="5">
        <v>48.3641275995966</v>
      </c>
    </row>
    <row r="3309" ht="14.25" customHeight="1">
      <c r="A3309" s="4"/>
      <c r="B3309" s="4" t="s">
        <v>1802</v>
      </c>
      <c r="C3309" s="4" t="s">
        <v>440</v>
      </c>
      <c r="D3309" s="4" t="s">
        <v>1812</v>
      </c>
      <c r="E3309" s="5">
        <v>48.3641275995966</v>
      </c>
    </row>
    <row r="3310" ht="14.25" customHeight="1">
      <c r="A3310" s="4"/>
      <c r="B3310" s="4" t="s">
        <v>1802</v>
      </c>
      <c r="C3310" s="4" t="s">
        <v>5090</v>
      </c>
      <c r="D3310" s="4" t="s">
        <v>1812</v>
      </c>
      <c r="E3310" s="5">
        <v>48.3641275995966</v>
      </c>
    </row>
    <row r="3311" ht="14.25" customHeight="1">
      <c r="A3311" s="4"/>
      <c r="B3311" s="4" t="s">
        <v>1802</v>
      </c>
      <c r="C3311" s="4" t="s">
        <v>5091</v>
      </c>
      <c r="D3311" s="4" t="s">
        <v>5092</v>
      </c>
      <c r="E3311" s="5">
        <v>7.25208768109754</v>
      </c>
    </row>
    <row r="3312" ht="14.25" customHeight="1">
      <c r="A3312" s="4"/>
      <c r="B3312" s="4" t="s">
        <v>1802</v>
      </c>
      <c r="C3312" s="4" t="s">
        <v>5093</v>
      </c>
      <c r="D3312" s="4" t="s">
        <v>1812</v>
      </c>
      <c r="E3312" s="5">
        <v>48.3641275995966</v>
      </c>
    </row>
    <row r="3313" ht="14.25" customHeight="1">
      <c r="A3313" s="4"/>
      <c r="B3313" s="4" t="s">
        <v>1802</v>
      </c>
      <c r="C3313" s="4" t="s">
        <v>5094</v>
      </c>
      <c r="D3313" s="4" t="s">
        <v>5095</v>
      </c>
      <c r="E3313" s="5">
        <v>47.2897888326137</v>
      </c>
    </row>
    <row r="3314" ht="14.25" customHeight="1">
      <c r="A3314" s="4"/>
      <c r="B3314" s="4" t="s">
        <v>1802</v>
      </c>
      <c r="C3314" s="4" t="s">
        <v>5096</v>
      </c>
      <c r="D3314" s="4" t="s">
        <v>5097</v>
      </c>
      <c r="E3314" s="5">
        <v>45.816443451643906</v>
      </c>
    </row>
    <row r="3315" ht="14.25" customHeight="1">
      <c r="A3315" s="4"/>
      <c r="B3315" s="4" t="s">
        <v>1802</v>
      </c>
      <c r="C3315" s="4" t="s">
        <v>1469</v>
      </c>
      <c r="D3315" s="4" t="s">
        <v>5098</v>
      </c>
      <c r="E3315" s="5">
        <v>6.82422419694288</v>
      </c>
    </row>
    <row r="3316" ht="14.25" customHeight="1">
      <c r="A3316" s="4"/>
      <c r="B3316" s="4" t="s">
        <v>1802</v>
      </c>
      <c r="C3316" s="4" t="s">
        <v>5099</v>
      </c>
      <c r="D3316" s="4" t="s">
        <v>5100</v>
      </c>
      <c r="E3316" s="5">
        <v>46.1554284931342</v>
      </c>
    </row>
    <row r="3317" ht="14.25" customHeight="1">
      <c r="A3317" s="4"/>
      <c r="B3317" s="4" t="s">
        <v>1802</v>
      </c>
      <c r="C3317" s="4" t="s">
        <v>5101</v>
      </c>
      <c r="D3317" s="4" t="s">
        <v>1837</v>
      </c>
      <c r="E3317" s="5">
        <v>9.672825519919328</v>
      </c>
    </row>
    <row r="3318" ht="14.25" customHeight="1">
      <c r="A3318" s="4"/>
      <c r="B3318" s="4" t="s">
        <v>1802</v>
      </c>
      <c r="C3318" s="4" t="s">
        <v>5102</v>
      </c>
      <c r="D3318" s="4" t="s">
        <v>1812</v>
      </c>
      <c r="E3318" s="5">
        <v>48.3641275995966</v>
      </c>
    </row>
    <row r="3319" ht="14.25" customHeight="1">
      <c r="A3319" s="4"/>
      <c r="B3319" s="4" t="s">
        <v>1802</v>
      </c>
      <c r="C3319" s="4" t="s">
        <v>5103</v>
      </c>
      <c r="D3319" s="4" t="s">
        <v>5104</v>
      </c>
      <c r="E3319" s="5">
        <v>4.758000355455501</v>
      </c>
    </row>
    <row r="3320" ht="14.25" customHeight="1">
      <c r="A3320" s="4"/>
      <c r="B3320" s="4" t="s">
        <v>1802</v>
      </c>
      <c r="C3320" s="4" t="s">
        <v>5105</v>
      </c>
      <c r="D3320" s="4" t="s">
        <v>5106</v>
      </c>
      <c r="E3320" s="5">
        <v>6.30326210571953</v>
      </c>
    </row>
    <row r="3321" ht="14.25" customHeight="1">
      <c r="A3321" s="4"/>
      <c r="B3321" s="4" t="s">
        <v>1802</v>
      </c>
      <c r="C3321" s="4" t="s">
        <v>5107</v>
      </c>
      <c r="D3321" s="4" t="s">
        <v>1812</v>
      </c>
      <c r="E3321" s="5">
        <v>48.3641275995966</v>
      </c>
    </row>
    <row r="3322" ht="14.25" customHeight="1">
      <c r="A3322" s="4"/>
      <c r="B3322" s="4" t="s">
        <v>1802</v>
      </c>
      <c r="C3322" s="4" t="s">
        <v>5108</v>
      </c>
      <c r="D3322" s="4" t="s">
        <v>1837</v>
      </c>
      <c r="E3322" s="5">
        <v>9.672825519919328</v>
      </c>
    </row>
    <row r="3323" ht="14.25" customHeight="1">
      <c r="A3323" s="4"/>
      <c r="B3323" s="4" t="s">
        <v>1802</v>
      </c>
      <c r="C3323" s="4" t="s">
        <v>417</v>
      </c>
      <c r="D3323" s="4" t="s">
        <v>5109</v>
      </c>
      <c r="E3323" s="5">
        <v>42.364982188041104</v>
      </c>
    </row>
    <row r="3324" ht="14.25" customHeight="1">
      <c r="A3324" s="4"/>
      <c r="B3324" s="4" t="s">
        <v>1802</v>
      </c>
      <c r="C3324" s="4" t="s">
        <v>5110</v>
      </c>
      <c r="D3324" s="4" t="s">
        <v>5111</v>
      </c>
      <c r="E3324" s="5">
        <v>33.0011623995355</v>
      </c>
    </row>
    <row r="3325" ht="14.25" customHeight="1">
      <c r="A3325" s="4"/>
      <c r="B3325" s="4" t="s">
        <v>1802</v>
      </c>
      <c r="C3325" s="4" t="s">
        <v>5112</v>
      </c>
      <c r="D3325" s="4" t="s">
        <v>1837</v>
      </c>
      <c r="E3325" s="5">
        <v>9.672825519919328</v>
      </c>
    </row>
    <row r="3326" ht="14.25" customHeight="1">
      <c r="A3326" s="4"/>
      <c r="B3326" s="4" t="s">
        <v>1802</v>
      </c>
      <c r="C3326" s="4" t="s">
        <v>5113</v>
      </c>
      <c r="D3326" s="4" t="s">
        <v>1812</v>
      </c>
      <c r="E3326" s="5">
        <v>48.3641275995966</v>
      </c>
    </row>
    <row r="3327" ht="14.25" customHeight="1">
      <c r="A3327" s="4"/>
      <c r="B3327" s="4" t="s">
        <v>1802</v>
      </c>
      <c r="C3327" s="4" t="s">
        <v>5114</v>
      </c>
      <c r="D3327" s="4" t="s">
        <v>2683</v>
      </c>
      <c r="E3327" s="5">
        <v>1.93456510398386</v>
      </c>
    </row>
    <row r="3328" ht="14.25" customHeight="1">
      <c r="A3328" s="4"/>
      <c r="B3328" s="4" t="s">
        <v>1802</v>
      </c>
      <c r="C3328" s="4" t="s">
        <v>5115</v>
      </c>
      <c r="D3328" s="4" t="s">
        <v>5116</v>
      </c>
      <c r="E3328" s="5">
        <v>17.849680600530398</v>
      </c>
    </row>
    <row r="3329" ht="14.25" customHeight="1">
      <c r="A3329" s="4"/>
      <c r="B3329" s="4" t="s">
        <v>1802</v>
      </c>
      <c r="C3329" s="4" t="s">
        <v>291</v>
      </c>
      <c r="D3329" s="4" t="s">
        <v>1812</v>
      </c>
      <c r="E3329" s="5">
        <v>48.3641275995966</v>
      </c>
    </row>
    <row r="3330" ht="14.25" customHeight="1">
      <c r="A3330" s="4"/>
      <c r="B3330" s="4" t="s">
        <v>1802</v>
      </c>
      <c r="C3330" s="4" t="s">
        <v>5117</v>
      </c>
      <c r="D3330" s="4" t="s">
        <v>1812</v>
      </c>
      <c r="E3330" s="5">
        <v>48.3641275995966</v>
      </c>
    </row>
    <row r="3331" ht="14.25" customHeight="1">
      <c r="A3331" s="4"/>
      <c r="B3331" s="4" t="s">
        <v>1802</v>
      </c>
      <c r="C3331" s="4" t="s">
        <v>544</v>
      </c>
      <c r="D3331" s="4" t="s">
        <v>5118</v>
      </c>
      <c r="E3331" s="5">
        <v>25.9874611216707</v>
      </c>
    </row>
    <row r="3332" ht="14.25" customHeight="1">
      <c r="A3332" s="4"/>
      <c r="B3332" s="4" t="s">
        <v>1802</v>
      </c>
      <c r="C3332" s="4" t="s">
        <v>5119</v>
      </c>
      <c r="D3332" s="4" t="s">
        <v>1837</v>
      </c>
      <c r="E3332" s="5">
        <v>9.672825519919328</v>
      </c>
    </row>
    <row r="3333" ht="14.25" customHeight="1">
      <c r="A3333" s="4"/>
      <c r="B3333" s="4" t="s">
        <v>1802</v>
      </c>
      <c r="C3333" s="4" t="s">
        <v>5120</v>
      </c>
      <c r="D3333" s="4" t="s">
        <v>5121</v>
      </c>
      <c r="E3333" s="5">
        <v>7.00932375493496</v>
      </c>
    </row>
    <row r="3334" ht="14.25" customHeight="1">
      <c r="A3334" s="4"/>
      <c r="B3334" s="4" t="s">
        <v>1802</v>
      </c>
      <c r="C3334" s="4" t="s">
        <v>5122</v>
      </c>
      <c r="D3334" s="4" t="s">
        <v>5123</v>
      </c>
      <c r="E3334" s="5">
        <v>27.1015000457965</v>
      </c>
    </row>
    <row r="3335" ht="14.25" customHeight="1">
      <c r="A3335" s="4"/>
      <c r="B3335" s="4" t="s">
        <v>1802</v>
      </c>
      <c r="C3335" s="4" t="s">
        <v>5124</v>
      </c>
      <c r="D3335" s="4" t="s">
        <v>5125</v>
      </c>
      <c r="E3335" s="5">
        <v>48.022501875349704</v>
      </c>
    </row>
    <row r="3336" ht="14.25" customHeight="1">
      <c r="A3336" s="4"/>
      <c r="B3336" s="4" t="s">
        <v>1802</v>
      </c>
      <c r="C3336" s="4" t="s">
        <v>5126</v>
      </c>
      <c r="D3336" s="4" t="s">
        <v>5127</v>
      </c>
      <c r="E3336" s="5">
        <v>45.927000870791204</v>
      </c>
    </row>
    <row r="3337" ht="14.25" customHeight="1">
      <c r="A3337" s="4"/>
      <c r="B3337" s="4" t="s">
        <v>1802</v>
      </c>
      <c r="C3337" s="4" t="s">
        <v>5128</v>
      </c>
      <c r="D3337" s="4" t="s">
        <v>5129</v>
      </c>
      <c r="E3337" s="5">
        <v>15.1804547796089</v>
      </c>
    </row>
    <row r="3338" ht="14.25" customHeight="1">
      <c r="A3338" s="4"/>
      <c r="B3338" s="4" t="s">
        <v>1802</v>
      </c>
      <c r="C3338" s="4" t="s">
        <v>5130</v>
      </c>
      <c r="D3338" s="4" t="s">
        <v>1984</v>
      </c>
      <c r="E3338" s="5">
        <v>19.539107550237</v>
      </c>
    </row>
    <row r="3339" ht="14.25" customHeight="1">
      <c r="A3339" s="4"/>
      <c r="B3339" s="4" t="s">
        <v>1802</v>
      </c>
      <c r="C3339" s="4" t="s">
        <v>5131</v>
      </c>
      <c r="D3339" s="4" t="s">
        <v>1812</v>
      </c>
      <c r="E3339" s="5">
        <v>48.3641275995966</v>
      </c>
    </row>
    <row r="3340" ht="14.25" customHeight="1">
      <c r="A3340" s="4"/>
      <c r="B3340" s="4" t="s">
        <v>1802</v>
      </c>
      <c r="C3340" s="4" t="s">
        <v>5132</v>
      </c>
      <c r="D3340" s="4" t="s">
        <v>1837</v>
      </c>
      <c r="E3340" s="5">
        <v>9.672825519919328</v>
      </c>
    </row>
    <row r="3341" ht="14.25" customHeight="1">
      <c r="A3341" s="4"/>
      <c r="B3341" s="4" t="s">
        <v>1802</v>
      </c>
      <c r="C3341" s="4" t="s">
        <v>5133</v>
      </c>
      <c r="D3341" s="4" t="s">
        <v>5134</v>
      </c>
      <c r="E3341" s="5">
        <v>26.477699209666103</v>
      </c>
    </row>
    <row r="3342" ht="14.25" customHeight="1">
      <c r="A3342" s="4"/>
      <c r="B3342" s="4" t="s">
        <v>1802</v>
      </c>
      <c r="C3342" s="4" t="s">
        <v>5135</v>
      </c>
      <c r="D3342" s="4" t="s">
        <v>5136</v>
      </c>
      <c r="E3342" s="5">
        <v>43.81497466200081</v>
      </c>
    </row>
    <row r="3343" ht="14.25" customHeight="1">
      <c r="A3343" s="4"/>
      <c r="B3343" s="4" t="s">
        <v>1802</v>
      </c>
      <c r="C3343" s="4" t="s">
        <v>5137</v>
      </c>
      <c r="D3343" s="4" t="s">
        <v>5138</v>
      </c>
      <c r="E3343" s="5">
        <v>44.0064870278749</v>
      </c>
    </row>
    <row r="3344" ht="14.25" customHeight="1">
      <c r="A3344" s="4"/>
      <c r="B3344" s="4" t="s">
        <v>1802</v>
      </c>
      <c r="C3344" s="4" t="s">
        <v>5139</v>
      </c>
      <c r="D3344" s="4" t="s">
        <v>5140</v>
      </c>
      <c r="E3344" s="5">
        <v>14.7870047764633</v>
      </c>
    </row>
    <row r="3345" ht="14.25" customHeight="1">
      <c r="A3345" s="4"/>
      <c r="B3345" s="4" t="s">
        <v>1802</v>
      </c>
      <c r="C3345" s="4" t="s">
        <v>5141</v>
      </c>
      <c r="D3345" s="4" t="s">
        <v>5142</v>
      </c>
      <c r="E3345" s="5">
        <v>44.6762322016045</v>
      </c>
    </row>
    <row r="3346" ht="14.25" customHeight="1">
      <c r="A3346" s="4"/>
      <c r="B3346" s="4" t="s">
        <v>1802</v>
      </c>
      <c r="C3346" s="4" t="s">
        <v>5143</v>
      </c>
      <c r="D3346" s="4" t="s">
        <v>5144</v>
      </c>
      <c r="E3346" s="5">
        <v>47.8437152520149</v>
      </c>
    </row>
    <row r="3347" ht="14.25" customHeight="1">
      <c r="A3347" s="4"/>
      <c r="B3347" s="4" t="s">
        <v>1802</v>
      </c>
      <c r="C3347" s="4" t="s">
        <v>5145</v>
      </c>
      <c r="D3347" s="4" t="s">
        <v>1812</v>
      </c>
      <c r="E3347" s="5">
        <v>48.3641275995966</v>
      </c>
    </row>
    <row r="3348" ht="14.25" customHeight="1">
      <c r="A3348" s="4"/>
      <c r="B3348" s="4" t="s">
        <v>1802</v>
      </c>
      <c r="C3348" s="4" t="s">
        <v>5146</v>
      </c>
      <c r="D3348" s="4" t="s">
        <v>5147</v>
      </c>
      <c r="E3348" s="5">
        <v>15.530070835541299</v>
      </c>
    </row>
    <row r="3349" ht="14.25" customHeight="1">
      <c r="A3349" s="4"/>
      <c r="B3349" s="4" t="s">
        <v>1802</v>
      </c>
      <c r="C3349" s="4" t="s">
        <v>5148</v>
      </c>
      <c r="D3349" s="4" t="s">
        <v>5149</v>
      </c>
      <c r="E3349" s="5">
        <v>37.870344512660395</v>
      </c>
    </row>
    <row r="3350" ht="14.25" customHeight="1">
      <c r="A3350" s="4"/>
      <c r="B3350" s="4" t="s">
        <v>1802</v>
      </c>
      <c r="C3350" s="4" t="s">
        <v>5150</v>
      </c>
      <c r="D3350" s="4" t="s">
        <v>1837</v>
      </c>
      <c r="E3350" s="5">
        <v>9.672825519919328</v>
      </c>
    </row>
    <row r="3351" ht="14.25" customHeight="1">
      <c r="A3351" s="4"/>
      <c r="B3351" s="4" t="s">
        <v>1802</v>
      </c>
      <c r="C3351" s="4" t="s">
        <v>5151</v>
      </c>
      <c r="D3351" s="4" t="s">
        <v>5152</v>
      </c>
      <c r="E3351" s="5">
        <v>27.7773271886043</v>
      </c>
    </row>
    <row r="3352" ht="14.25" customHeight="1">
      <c r="A3352" s="4"/>
      <c r="B3352" s="4" t="s">
        <v>1802</v>
      </c>
      <c r="C3352" s="4" t="s">
        <v>5153</v>
      </c>
      <c r="D3352" s="4" t="s">
        <v>1821</v>
      </c>
      <c r="E3352" s="5">
        <v>19.3456510398386</v>
      </c>
    </row>
    <row r="3353" ht="14.25" customHeight="1">
      <c r="A3353" s="4"/>
      <c r="B3353" s="4" t="s">
        <v>1802</v>
      </c>
      <c r="C3353" s="4" t="s">
        <v>5154</v>
      </c>
      <c r="D3353" s="4" t="s">
        <v>5155</v>
      </c>
      <c r="E3353" s="5">
        <v>4.77488398415206</v>
      </c>
    </row>
    <row r="3354" ht="14.25" customHeight="1">
      <c r="A3354" s="4"/>
      <c r="B3354" s="4" t="s">
        <v>1802</v>
      </c>
      <c r="C3354" s="4" t="s">
        <v>5156</v>
      </c>
      <c r="D3354" s="4" t="s">
        <v>2093</v>
      </c>
      <c r="E3354" s="5">
        <v>12.5746731758951</v>
      </c>
    </row>
    <row r="3355" ht="14.25" customHeight="1">
      <c r="A3355" s="4"/>
      <c r="B3355" s="4" t="s">
        <v>1802</v>
      </c>
      <c r="C3355" s="4" t="s">
        <v>5157</v>
      </c>
      <c r="D3355" s="4" t="s">
        <v>1812</v>
      </c>
      <c r="E3355" s="5">
        <v>48.3641275995966</v>
      </c>
    </row>
    <row r="3356" ht="14.25" customHeight="1">
      <c r="A3356" s="4"/>
      <c r="B3356" s="4" t="s">
        <v>1802</v>
      </c>
      <c r="C3356" s="4" t="s">
        <v>5158</v>
      </c>
      <c r="D3356" s="4" t="s">
        <v>1812</v>
      </c>
      <c r="E3356" s="5">
        <v>48.3641275995966</v>
      </c>
    </row>
    <row r="3357" ht="14.25" customHeight="1">
      <c r="A3357" s="4"/>
      <c r="B3357" s="4" t="s">
        <v>1802</v>
      </c>
      <c r="C3357" s="4" t="s">
        <v>610</v>
      </c>
      <c r="D3357" s="4" t="s">
        <v>1812</v>
      </c>
      <c r="E3357" s="5">
        <v>48.3641275995966</v>
      </c>
    </row>
    <row r="3358" ht="14.25" customHeight="1">
      <c r="A3358" s="4"/>
      <c r="B3358" s="4" t="s">
        <v>1802</v>
      </c>
      <c r="C3358" s="4" t="s">
        <v>1069</v>
      </c>
      <c r="D3358" s="4" t="s">
        <v>1812</v>
      </c>
      <c r="E3358" s="5">
        <v>48.3641275995966</v>
      </c>
    </row>
    <row r="3359" ht="14.25" customHeight="1">
      <c r="A3359" s="4"/>
      <c r="B3359" s="4" t="s">
        <v>1802</v>
      </c>
      <c r="C3359" s="4" t="s">
        <v>5159</v>
      </c>
      <c r="D3359" s="4" t="s">
        <v>5160</v>
      </c>
      <c r="E3359" s="5">
        <v>47.087768292670106</v>
      </c>
    </row>
    <row r="3360" ht="14.25" customHeight="1">
      <c r="A3360" s="4"/>
      <c r="B3360" s="4" t="s">
        <v>1802</v>
      </c>
      <c r="C3360" s="4" t="s">
        <v>5161</v>
      </c>
      <c r="D3360" s="4" t="s">
        <v>5162</v>
      </c>
      <c r="E3360" s="5">
        <v>42.6575105973699</v>
      </c>
    </row>
    <row r="3361" ht="14.25" customHeight="1">
      <c r="A3361" s="4"/>
      <c r="B3361" s="4" t="s">
        <v>1802</v>
      </c>
      <c r="C3361" s="4" t="s">
        <v>5163</v>
      </c>
      <c r="D3361" s="4" t="s">
        <v>1812</v>
      </c>
      <c r="E3361" s="5">
        <v>48.3641275995966</v>
      </c>
    </row>
    <row r="3362" ht="14.25" customHeight="1">
      <c r="A3362" s="4"/>
      <c r="B3362" s="4" t="s">
        <v>1802</v>
      </c>
      <c r="C3362" s="4" t="s">
        <v>5164</v>
      </c>
      <c r="D3362" s="4" t="s">
        <v>1812</v>
      </c>
      <c r="E3362" s="5">
        <v>48.3641275995966</v>
      </c>
    </row>
    <row r="3363" ht="14.25" customHeight="1">
      <c r="A3363" s="4"/>
      <c r="B3363" s="4" t="s">
        <v>1802</v>
      </c>
      <c r="C3363" s="4" t="s">
        <v>457</v>
      </c>
      <c r="D3363" s="4" t="s">
        <v>1812</v>
      </c>
      <c r="E3363" s="5">
        <v>48.3641275995966</v>
      </c>
    </row>
    <row r="3364" ht="14.25" customHeight="1">
      <c r="A3364" s="4"/>
      <c r="B3364" s="4" t="s">
        <v>1802</v>
      </c>
      <c r="C3364" s="4" t="s">
        <v>5165</v>
      </c>
      <c r="D3364" s="4" t="s">
        <v>5166</v>
      </c>
      <c r="E3364" s="5">
        <v>15.1319822639684</v>
      </c>
    </row>
    <row r="3365" ht="14.25" customHeight="1">
      <c r="A3365" s="4"/>
      <c r="B3365" s="4" t="s">
        <v>1802</v>
      </c>
      <c r="C3365" s="4" t="s">
        <v>5167</v>
      </c>
      <c r="D3365" s="4" t="s">
        <v>1812</v>
      </c>
      <c r="E3365" s="5">
        <v>48.3641275995966</v>
      </c>
    </row>
    <row r="3366" ht="14.25" customHeight="1">
      <c r="A3366" s="4"/>
      <c r="B3366" s="4" t="s">
        <v>1802</v>
      </c>
      <c r="C3366" s="4" t="s">
        <v>5168</v>
      </c>
      <c r="D3366" s="4" t="s">
        <v>5169</v>
      </c>
      <c r="E3366" s="5">
        <v>45.8391367216287</v>
      </c>
    </row>
    <row r="3367" ht="14.25" customHeight="1">
      <c r="A3367" s="4"/>
      <c r="B3367" s="4" t="s">
        <v>1802</v>
      </c>
      <c r="C3367" s="4" t="s">
        <v>5170</v>
      </c>
      <c r="D3367" s="4" t="s">
        <v>5171</v>
      </c>
      <c r="E3367" s="5">
        <v>4.77338518136755</v>
      </c>
    </row>
    <row r="3368" ht="14.25" customHeight="1">
      <c r="A3368" s="4"/>
      <c r="B3368" s="4" t="s">
        <v>1802</v>
      </c>
      <c r="C3368" s="4" t="s">
        <v>5172</v>
      </c>
      <c r="D3368" s="4" t="s">
        <v>1837</v>
      </c>
      <c r="E3368" s="5">
        <v>9.672825519919328</v>
      </c>
    </row>
    <row r="3369" ht="14.25" customHeight="1">
      <c r="A3369" s="4"/>
      <c r="B3369" s="4" t="s">
        <v>1802</v>
      </c>
      <c r="C3369" s="4" t="s">
        <v>5173</v>
      </c>
      <c r="D3369" s="4" t="s">
        <v>1812</v>
      </c>
      <c r="E3369" s="5">
        <v>48.3641275995966</v>
      </c>
    </row>
    <row r="3370" ht="14.25" customHeight="1">
      <c r="A3370" s="4"/>
      <c r="B3370" s="4" t="s">
        <v>1802</v>
      </c>
      <c r="C3370" s="4" t="s">
        <v>5174</v>
      </c>
      <c r="D3370" s="4" t="s">
        <v>1812</v>
      </c>
      <c r="E3370" s="5">
        <v>48.3641275995966</v>
      </c>
    </row>
    <row r="3371" ht="14.25" customHeight="1">
      <c r="A3371" s="4"/>
      <c r="B3371" s="4" t="s">
        <v>1802</v>
      </c>
      <c r="C3371" s="4" t="s">
        <v>5175</v>
      </c>
      <c r="D3371" s="4" t="s">
        <v>5176</v>
      </c>
      <c r="E3371" s="5">
        <v>9.92111452453017</v>
      </c>
    </row>
    <row r="3372" ht="14.25" customHeight="1">
      <c r="A3372" s="4"/>
      <c r="B3372" s="4" t="s">
        <v>1802</v>
      </c>
      <c r="C3372" s="4" t="s">
        <v>5177</v>
      </c>
      <c r="D3372" s="4" t="s">
        <v>5178</v>
      </c>
      <c r="E3372" s="5">
        <v>42.0047030188921</v>
      </c>
    </row>
    <row r="3373" ht="14.25" customHeight="1">
      <c r="A3373" s="4"/>
      <c r="B3373" s="4" t="s">
        <v>1802</v>
      </c>
      <c r="C3373" s="4" t="s">
        <v>1613</v>
      </c>
      <c r="D3373" s="4" t="s">
        <v>1812</v>
      </c>
      <c r="E3373" s="5">
        <v>48.3641275995966</v>
      </c>
    </row>
    <row r="3374" ht="14.25" customHeight="1">
      <c r="A3374" s="4"/>
      <c r="B3374" s="4" t="s">
        <v>1802</v>
      </c>
      <c r="C3374" s="4" t="s">
        <v>5179</v>
      </c>
      <c r="D3374" s="4" t="s">
        <v>1812</v>
      </c>
      <c r="E3374" s="5">
        <v>48.3641275995966</v>
      </c>
    </row>
    <row r="3375" ht="14.25" customHeight="1">
      <c r="A3375" s="4"/>
      <c r="B3375" s="4" t="s">
        <v>1802</v>
      </c>
      <c r="C3375" s="4" t="s">
        <v>5180</v>
      </c>
      <c r="D3375" s="4" t="s">
        <v>5181</v>
      </c>
      <c r="E3375" s="5">
        <v>7.58531422161199</v>
      </c>
    </row>
    <row r="3376" ht="14.25" customHeight="1">
      <c r="A3376" s="4"/>
      <c r="B3376" s="4" t="s">
        <v>1802</v>
      </c>
      <c r="C3376" s="4" t="s">
        <v>5182</v>
      </c>
      <c r="D3376" s="4" t="s">
        <v>1909</v>
      </c>
      <c r="E3376" s="5">
        <v>11.6073906239032</v>
      </c>
    </row>
    <row r="3377" ht="14.25" customHeight="1">
      <c r="A3377" s="4"/>
      <c r="B3377" s="4" t="s">
        <v>1802</v>
      </c>
      <c r="C3377" s="4" t="s">
        <v>5183</v>
      </c>
      <c r="D3377" s="4" t="s">
        <v>5184</v>
      </c>
      <c r="E3377" s="5">
        <v>12.9280408769008</v>
      </c>
    </row>
    <row r="3378" ht="14.25" customHeight="1">
      <c r="A3378" s="4"/>
      <c r="B3378" s="4" t="s">
        <v>1802</v>
      </c>
      <c r="C3378" s="4" t="s">
        <v>5185</v>
      </c>
      <c r="D3378" s="4" t="s">
        <v>1812</v>
      </c>
      <c r="E3378" s="5">
        <v>48.3641275995966</v>
      </c>
    </row>
    <row r="3379" ht="14.25" customHeight="1">
      <c r="A3379" s="4"/>
      <c r="B3379" s="4" t="s">
        <v>1802</v>
      </c>
      <c r="C3379" s="4" t="s">
        <v>5186</v>
      </c>
      <c r="D3379" s="4" t="s">
        <v>5187</v>
      </c>
      <c r="E3379" s="5">
        <v>11.5929345461615</v>
      </c>
    </row>
    <row r="3380" ht="14.25" customHeight="1">
      <c r="A3380" s="4"/>
      <c r="B3380" s="4" t="s">
        <v>1802</v>
      </c>
      <c r="C3380" s="4" t="s">
        <v>5188</v>
      </c>
      <c r="D3380" s="4" t="s">
        <v>1821</v>
      </c>
      <c r="E3380" s="5">
        <v>19.3456510398386</v>
      </c>
    </row>
    <row r="3381" ht="14.25" customHeight="1">
      <c r="A3381" s="4"/>
      <c r="B3381" s="4" t="s">
        <v>1802</v>
      </c>
      <c r="C3381" s="4" t="s">
        <v>5189</v>
      </c>
      <c r="D3381" s="4" t="s">
        <v>1812</v>
      </c>
      <c r="E3381" s="5">
        <v>48.3641275995966</v>
      </c>
    </row>
    <row r="3382" ht="14.25" customHeight="1">
      <c r="A3382" s="4"/>
      <c r="B3382" s="4" t="s">
        <v>1802</v>
      </c>
      <c r="C3382" s="4" t="s">
        <v>5190</v>
      </c>
      <c r="D3382" s="4" t="s">
        <v>1812</v>
      </c>
      <c r="E3382" s="5">
        <v>48.3641275995966</v>
      </c>
    </row>
    <row r="3383" ht="14.25" customHeight="1">
      <c r="A3383" s="4"/>
      <c r="B3383" s="4" t="s">
        <v>1802</v>
      </c>
      <c r="C3383" s="4" t="s">
        <v>5191</v>
      </c>
      <c r="D3383" s="4" t="s">
        <v>1812</v>
      </c>
      <c r="E3383" s="5">
        <v>48.3641275995966</v>
      </c>
    </row>
    <row r="3384" ht="14.25" customHeight="1">
      <c r="A3384" s="4"/>
      <c r="B3384" s="4" t="s">
        <v>1802</v>
      </c>
      <c r="C3384" s="4" t="s">
        <v>5192</v>
      </c>
      <c r="D3384" s="4" t="s">
        <v>5193</v>
      </c>
      <c r="E3384" s="5">
        <v>14.1272831072021</v>
      </c>
    </row>
    <row r="3385" ht="14.25" customHeight="1">
      <c r="A3385" s="4"/>
      <c r="B3385" s="4" t="s">
        <v>1802</v>
      </c>
      <c r="C3385" s="4" t="s">
        <v>5194</v>
      </c>
      <c r="D3385" s="4" t="s">
        <v>5195</v>
      </c>
      <c r="E3385" s="5">
        <v>35.4412372343557</v>
      </c>
    </row>
    <row r="3386" ht="14.25" customHeight="1">
      <c r="A3386" s="4"/>
      <c r="B3386" s="4" t="s">
        <v>1802</v>
      </c>
      <c r="C3386" s="4" t="s">
        <v>5196</v>
      </c>
      <c r="D3386" s="4" t="s">
        <v>1812</v>
      </c>
      <c r="E3386" s="5">
        <v>48.3641275995966</v>
      </c>
    </row>
    <row r="3387" ht="14.25" customHeight="1">
      <c r="A3387" s="4"/>
      <c r="B3387" s="4" t="s">
        <v>1802</v>
      </c>
      <c r="C3387" s="4" t="s">
        <v>1075</v>
      </c>
      <c r="D3387" s="4" t="s">
        <v>5197</v>
      </c>
      <c r="E3387" s="5">
        <v>1.57639810132401</v>
      </c>
    </row>
    <row r="3388" ht="14.25" customHeight="1">
      <c r="A3388" s="4"/>
      <c r="B3388" s="4" t="s">
        <v>1802</v>
      </c>
      <c r="C3388" s="4" t="s">
        <v>5198</v>
      </c>
      <c r="D3388" s="4" t="s">
        <v>5199</v>
      </c>
      <c r="E3388" s="5">
        <v>6.951021283338511</v>
      </c>
    </row>
    <row r="3389" ht="14.25" customHeight="1">
      <c r="A3389" s="4"/>
      <c r="B3389" s="4" t="s">
        <v>1802</v>
      </c>
      <c r="C3389" s="4" t="s">
        <v>5200</v>
      </c>
      <c r="D3389" s="4" t="s">
        <v>5201</v>
      </c>
      <c r="E3389" s="5">
        <v>6.362344483169689</v>
      </c>
    </row>
    <row r="3390" ht="14.25" customHeight="1">
      <c r="A3390" s="4"/>
      <c r="B3390" s="4" t="s">
        <v>1802</v>
      </c>
      <c r="C3390" s="4" t="s">
        <v>5202</v>
      </c>
      <c r="D3390" s="4" t="s">
        <v>1812</v>
      </c>
      <c r="E3390" s="5">
        <v>48.3641275995966</v>
      </c>
    </row>
    <row r="3391" ht="14.25" customHeight="1">
      <c r="A3391" s="4"/>
      <c r="B3391" s="4" t="s">
        <v>1802</v>
      </c>
      <c r="C3391" s="4" t="s">
        <v>5203</v>
      </c>
      <c r="D3391" s="4" t="s">
        <v>5204</v>
      </c>
      <c r="E3391" s="5">
        <v>6.2610265025333804</v>
      </c>
    </row>
    <row r="3392" ht="14.25" customHeight="1">
      <c r="A3392" s="4"/>
      <c r="B3392" s="4" t="s">
        <v>1802</v>
      </c>
      <c r="C3392" s="4" t="s">
        <v>5205</v>
      </c>
      <c r="D3392" s="4" t="s">
        <v>1812</v>
      </c>
      <c r="E3392" s="5">
        <v>48.3641275995966</v>
      </c>
    </row>
    <row r="3393" ht="14.25" customHeight="1">
      <c r="A3393" s="4"/>
      <c r="B3393" s="4" t="s">
        <v>1802</v>
      </c>
      <c r="C3393" s="4" t="s">
        <v>5206</v>
      </c>
      <c r="D3393" s="4" t="s">
        <v>5207</v>
      </c>
      <c r="E3393" s="5">
        <v>7.29555455344555</v>
      </c>
    </row>
    <row r="3394" ht="14.25" customHeight="1">
      <c r="A3394" s="4"/>
      <c r="B3394" s="4" t="s">
        <v>1802</v>
      </c>
      <c r="C3394" s="4" t="s">
        <v>5208</v>
      </c>
      <c r="D3394" s="4" t="s">
        <v>5209</v>
      </c>
      <c r="E3394" s="5">
        <v>36.7673851643252</v>
      </c>
    </row>
    <row r="3395" ht="14.25" customHeight="1">
      <c r="A3395" s="4"/>
      <c r="B3395" s="4" t="s">
        <v>1802</v>
      </c>
      <c r="C3395" s="4" t="s">
        <v>5210</v>
      </c>
      <c r="D3395" s="4" t="s">
        <v>5211</v>
      </c>
      <c r="E3395" s="5">
        <v>0.6534112732467869</v>
      </c>
    </row>
    <row r="3396" ht="14.25" customHeight="1">
      <c r="A3396" s="4"/>
      <c r="B3396" s="4" t="s">
        <v>1802</v>
      </c>
      <c r="C3396" s="4" t="s">
        <v>5212</v>
      </c>
      <c r="D3396" s="4" t="s">
        <v>3909</v>
      </c>
      <c r="E3396" s="5">
        <v>3.8691302079677303</v>
      </c>
    </row>
    <row r="3397" ht="14.25" customHeight="1">
      <c r="A3397" s="4"/>
      <c r="B3397" s="4" t="s">
        <v>1802</v>
      </c>
      <c r="C3397" s="4" t="s">
        <v>5213</v>
      </c>
      <c r="D3397" s="4" t="s">
        <v>5214</v>
      </c>
      <c r="E3397" s="5">
        <v>22.8472088289651</v>
      </c>
    </row>
    <row r="3398" ht="14.25" customHeight="1">
      <c r="A3398" s="4"/>
      <c r="B3398" s="4" t="s">
        <v>1802</v>
      </c>
      <c r="C3398" s="4" t="s">
        <v>5215</v>
      </c>
      <c r="D3398" s="4" t="s">
        <v>5216</v>
      </c>
      <c r="E3398" s="5">
        <v>14.5914483927689</v>
      </c>
    </row>
    <row r="3399" ht="14.25" customHeight="1">
      <c r="A3399" s="4"/>
      <c r="B3399" s="4" t="s">
        <v>1802</v>
      </c>
      <c r="C3399" s="4" t="s">
        <v>5217</v>
      </c>
      <c r="D3399" s="4" t="s">
        <v>5218</v>
      </c>
      <c r="E3399" s="5">
        <v>25.2183138629143</v>
      </c>
    </row>
    <row r="3400" ht="14.25" customHeight="1">
      <c r="A3400" s="4"/>
      <c r="B3400" s="4" t="s">
        <v>1802</v>
      </c>
      <c r="C3400" s="4" t="s">
        <v>5219</v>
      </c>
      <c r="D3400" s="4" t="s">
        <v>1812</v>
      </c>
      <c r="E3400" s="5">
        <v>48.3641275995966</v>
      </c>
    </row>
    <row r="3401" ht="14.25" customHeight="1">
      <c r="A3401" s="4"/>
      <c r="B3401" s="4" t="s">
        <v>1802</v>
      </c>
      <c r="C3401" s="4" t="s">
        <v>5220</v>
      </c>
      <c r="D3401" s="4" t="s">
        <v>1812</v>
      </c>
      <c r="E3401" s="5">
        <v>48.3641275995966</v>
      </c>
    </row>
    <row r="3402" ht="14.25" customHeight="1">
      <c r="A3402" s="4"/>
      <c r="B3402" s="4" t="s">
        <v>1802</v>
      </c>
      <c r="C3402" s="4" t="s">
        <v>5221</v>
      </c>
      <c r="D3402" s="4" t="s">
        <v>1837</v>
      </c>
      <c r="E3402" s="5">
        <v>9.672825519919328</v>
      </c>
    </row>
    <row r="3403" ht="14.25" customHeight="1">
      <c r="A3403" s="4"/>
      <c r="B3403" s="4" t="s">
        <v>1802</v>
      </c>
      <c r="C3403" s="4" t="s">
        <v>5222</v>
      </c>
      <c r="D3403" s="4" t="s">
        <v>1812</v>
      </c>
      <c r="E3403" s="5">
        <v>48.3641275995966</v>
      </c>
    </row>
    <row r="3404" ht="14.25" customHeight="1">
      <c r="A3404" s="4"/>
      <c r="B3404" s="4" t="s">
        <v>1802</v>
      </c>
      <c r="C3404" s="4" t="s">
        <v>5223</v>
      </c>
      <c r="D3404" s="4" t="s">
        <v>2062</v>
      </c>
      <c r="E3404" s="5">
        <v>9.86628203031772</v>
      </c>
    </row>
    <row r="3405" ht="14.25" customHeight="1">
      <c r="A3405" s="4"/>
      <c r="B3405" s="4" t="s">
        <v>1802</v>
      </c>
      <c r="C3405" s="4" t="s">
        <v>5224</v>
      </c>
      <c r="D3405" s="4" t="s">
        <v>2105</v>
      </c>
      <c r="E3405" s="5">
        <v>29.018476559758</v>
      </c>
    </row>
    <row r="3406" ht="14.25" customHeight="1">
      <c r="A3406" s="4"/>
      <c r="B3406" s="4" t="s">
        <v>1802</v>
      </c>
      <c r="C3406" s="4" t="s">
        <v>5225</v>
      </c>
      <c r="D3406" s="4" t="s">
        <v>5226</v>
      </c>
      <c r="E3406" s="5">
        <v>19.745699521287598</v>
      </c>
    </row>
    <row r="3407" ht="14.25" customHeight="1">
      <c r="A3407" s="4"/>
      <c r="B3407" s="4" t="s">
        <v>1802</v>
      </c>
      <c r="C3407" s="4" t="s">
        <v>5227</v>
      </c>
      <c r="D3407" s="4" t="s">
        <v>1821</v>
      </c>
      <c r="E3407" s="5">
        <v>19.3456510398386</v>
      </c>
    </row>
    <row r="3408" ht="14.25" customHeight="1">
      <c r="A3408" s="4"/>
      <c r="B3408" s="4" t="s">
        <v>1802</v>
      </c>
      <c r="C3408" s="4" t="s">
        <v>5228</v>
      </c>
      <c r="D3408" s="4" t="s">
        <v>5229</v>
      </c>
      <c r="E3408" s="5">
        <v>3.43202804309943</v>
      </c>
    </row>
    <row r="3409" ht="14.25" customHeight="1">
      <c r="A3409" s="4"/>
      <c r="B3409" s="4" t="s">
        <v>1802</v>
      </c>
      <c r="C3409" s="4" t="s">
        <v>5230</v>
      </c>
      <c r="D3409" s="4" t="s">
        <v>1812</v>
      </c>
      <c r="E3409" s="5">
        <v>48.3641275995966</v>
      </c>
    </row>
    <row r="3410" ht="14.25" customHeight="1">
      <c r="A3410" s="4"/>
      <c r="B3410" s="4" t="s">
        <v>1802</v>
      </c>
      <c r="C3410" s="4" t="s">
        <v>5231</v>
      </c>
      <c r="D3410" s="4" t="s">
        <v>5232</v>
      </c>
      <c r="E3410" s="5">
        <v>14.9691566274286</v>
      </c>
    </row>
    <row r="3411" ht="14.25" customHeight="1">
      <c r="A3411" s="4"/>
      <c r="B3411" s="4" t="s">
        <v>1802</v>
      </c>
      <c r="C3411" s="4" t="s">
        <v>5233</v>
      </c>
      <c r="D3411" s="4" t="s">
        <v>1812</v>
      </c>
      <c r="E3411" s="5">
        <v>48.3641275995966</v>
      </c>
    </row>
    <row r="3412" ht="14.25" customHeight="1">
      <c r="A3412" s="4"/>
      <c r="B3412" s="4" t="s">
        <v>1802</v>
      </c>
      <c r="C3412" s="4" t="s">
        <v>5234</v>
      </c>
      <c r="D3412" s="4" t="s">
        <v>5235</v>
      </c>
      <c r="E3412" s="5">
        <v>7.475899874217911</v>
      </c>
    </row>
    <row r="3413" ht="14.25" customHeight="1">
      <c r="A3413" s="4"/>
      <c r="B3413" s="4" t="s">
        <v>1802</v>
      </c>
      <c r="C3413" s="4" t="s">
        <v>5236</v>
      </c>
      <c r="D3413" s="4" t="s">
        <v>1812</v>
      </c>
      <c r="E3413" s="5">
        <v>48.3641275995966</v>
      </c>
    </row>
    <row r="3414" ht="14.25" customHeight="1">
      <c r="A3414" s="4"/>
      <c r="B3414" s="4" t="s">
        <v>1802</v>
      </c>
      <c r="C3414" s="4" t="s">
        <v>5237</v>
      </c>
      <c r="D3414" s="4" t="s">
        <v>5238</v>
      </c>
      <c r="E3414" s="5">
        <v>2.8845760644925997</v>
      </c>
    </row>
    <row r="3415" ht="14.25" customHeight="1">
      <c r="A3415" s="4"/>
      <c r="B3415" s="4" t="s">
        <v>1802</v>
      </c>
      <c r="C3415" s="4" t="s">
        <v>5239</v>
      </c>
      <c r="D3415" s="4" t="s">
        <v>5240</v>
      </c>
      <c r="E3415" s="5">
        <v>38.1442452817474</v>
      </c>
    </row>
    <row r="3416" ht="14.25" customHeight="1">
      <c r="A3416" s="4"/>
      <c r="B3416" s="4" t="s">
        <v>1802</v>
      </c>
      <c r="C3416" s="4" t="s">
        <v>5241</v>
      </c>
      <c r="D3416" s="4" t="s">
        <v>5242</v>
      </c>
      <c r="E3416" s="5">
        <v>8.31994785151761</v>
      </c>
    </row>
    <row r="3417" ht="14.25" customHeight="1">
      <c r="A3417" s="4"/>
      <c r="B3417" s="4" t="s">
        <v>1802</v>
      </c>
      <c r="C3417" s="4" t="s">
        <v>1027</v>
      </c>
      <c r="D3417" s="4" t="s">
        <v>1812</v>
      </c>
      <c r="E3417" s="5">
        <v>48.3641275995966</v>
      </c>
    </row>
    <row r="3418" ht="14.25" customHeight="1">
      <c r="A3418" s="4"/>
      <c r="B3418" s="4" t="s">
        <v>1802</v>
      </c>
      <c r="C3418" s="4" t="s">
        <v>5243</v>
      </c>
      <c r="D3418" s="4" t="s">
        <v>1837</v>
      </c>
      <c r="E3418" s="5">
        <v>9.672825519919328</v>
      </c>
    </row>
    <row r="3419" ht="14.25" customHeight="1">
      <c r="A3419" s="4"/>
      <c r="B3419" s="4" t="s">
        <v>1802</v>
      </c>
      <c r="C3419" s="4" t="s">
        <v>5244</v>
      </c>
      <c r="D3419" s="4" t="s">
        <v>1812</v>
      </c>
      <c r="E3419" s="5">
        <v>48.3641275995966</v>
      </c>
    </row>
    <row r="3420" ht="14.25" customHeight="1">
      <c r="A3420" s="4"/>
      <c r="B3420" s="4" t="s">
        <v>1802</v>
      </c>
      <c r="C3420" s="4" t="s">
        <v>27</v>
      </c>
      <c r="D3420" s="4" t="s">
        <v>1812</v>
      </c>
      <c r="E3420" s="5">
        <v>48.3641275995966</v>
      </c>
    </row>
    <row r="3421" ht="14.25" customHeight="1">
      <c r="A3421" s="4"/>
      <c r="B3421" s="4" t="s">
        <v>1802</v>
      </c>
      <c r="C3421" s="4" t="s">
        <v>5245</v>
      </c>
      <c r="D3421" s="4" t="s">
        <v>5246</v>
      </c>
      <c r="E3421" s="5">
        <v>20.941667584531203</v>
      </c>
    </row>
    <row r="3422" ht="14.25" customHeight="1">
      <c r="A3422" s="4"/>
      <c r="B3422" s="4" t="s">
        <v>1802</v>
      </c>
      <c r="C3422" s="4" t="s">
        <v>5247</v>
      </c>
      <c r="D3422" s="4" t="s">
        <v>1821</v>
      </c>
      <c r="E3422" s="5">
        <v>19.3456510398386</v>
      </c>
    </row>
    <row r="3423" ht="14.25" customHeight="1">
      <c r="A3423" s="4"/>
      <c r="B3423" s="4" t="s">
        <v>1802</v>
      </c>
      <c r="C3423" s="4" t="s">
        <v>5248</v>
      </c>
      <c r="D3423" s="4" t="s">
        <v>1812</v>
      </c>
      <c r="E3423" s="5">
        <v>48.3641275995966</v>
      </c>
    </row>
    <row r="3424" ht="14.25" customHeight="1">
      <c r="A3424" s="4"/>
      <c r="B3424" s="4" t="s">
        <v>1802</v>
      </c>
      <c r="C3424" s="4" t="s">
        <v>5249</v>
      </c>
      <c r="D3424" s="4" t="s">
        <v>5250</v>
      </c>
      <c r="E3424" s="5">
        <v>10.271648853325601</v>
      </c>
    </row>
    <row r="3425" ht="14.25" customHeight="1">
      <c r="A3425" s="4"/>
      <c r="B3425" s="4" t="s">
        <v>1802</v>
      </c>
      <c r="C3425" s="4" t="s">
        <v>5251</v>
      </c>
      <c r="D3425" s="4" t="s">
        <v>1837</v>
      </c>
      <c r="E3425" s="5">
        <v>9.672825519919328</v>
      </c>
    </row>
    <row r="3426" ht="14.25" customHeight="1">
      <c r="A3426" s="4"/>
      <c r="B3426" s="4" t="s">
        <v>1802</v>
      </c>
      <c r="C3426" s="4" t="s">
        <v>5252</v>
      </c>
      <c r="D3426" s="4" t="s">
        <v>1812</v>
      </c>
      <c r="E3426" s="5">
        <v>48.3641275995966</v>
      </c>
    </row>
    <row r="3427" ht="14.25" customHeight="1">
      <c r="A3427" s="4"/>
      <c r="B3427" s="4" t="s">
        <v>1802</v>
      </c>
      <c r="C3427" s="4" t="s">
        <v>5253</v>
      </c>
      <c r="D3427" s="4" t="s">
        <v>5254</v>
      </c>
      <c r="E3427" s="5">
        <v>20.434051206821103</v>
      </c>
    </row>
    <row r="3428" ht="14.25" customHeight="1">
      <c r="A3428" s="4"/>
      <c r="B3428" s="4" t="s">
        <v>1802</v>
      </c>
      <c r="C3428" s="4" t="s">
        <v>5255</v>
      </c>
      <c r="D3428" s="4" t="s">
        <v>5256</v>
      </c>
      <c r="E3428" s="5">
        <v>1.74110859358548</v>
      </c>
    </row>
    <row r="3429" ht="14.25" customHeight="1">
      <c r="A3429" s="4"/>
      <c r="B3429" s="4" t="s">
        <v>1802</v>
      </c>
      <c r="C3429" s="4" t="s">
        <v>5257</v>
      </c>
      <c r="D3429" s="4" t="s">
        <v>1812</v>
      </c>
      <c r="E3429" s="5">
        <v>48.3641275995966</v>
      </c>
    </row>
    <row r="3430" ht="14.25" customHeight="1">
      <c r="A3430" s="4"/>
      <c r="B3430" s="4" t="s">
        <v>1802</v>
      </c>
      <c r="C3430" s="4" t="s">
        <v>5258</v>
      </c>
      <c r="D3430" s="4" t="s">
        <v>1812</v>
      </c>
      <c r="E3430" s="5">
        <v>48.3641275995966</v>
      </c>
    </row>
    <row r="3431" ht="14.25" customHeight="1">
      <c r="A3431" s="4"/>
      <c r="B3431" s="4" t="s">
        <v>1802</v>
      </c>
      <c r="C3431" s="4" t="s">
        <v>1142</v>
      </c>
      <c r="D3431" s="4" t="s">
        <v>1812</v>
      </c>
      <c r="E3431" s="5">
        <v>48.3641275995966</v>
      </c>
    </row>
    <row r="3432" ht="14.25" customHeight="1">
      <c r="A3432" s="4"/>
      <c r="B3432" s="4" t="s">
        <v>1802</v>
      </c>
      <c r="C3432" s="4" t="s">
        <v>5259</v>
      </c>
      <c r="D3432" s="4" t="s">
        <v>5260</v>
      </c>
      <c r="E3432" s="5">
        <v>3.75619920379981</v>
      </c>
    </row>
    <row r="3433" ht="14.25" customHeight="1">
      <c r="A3433" s="4"/>
      <c r="B3433" s="4" t="s">
        <v>1802</v>
      </c>
      <c r="C3433" s="4" t="s">
        <v>5261</v>
      </c>
      <c r="D3433" s="4" t="s">
        <v>1812</v>
      </c>
      <c r="E3433" s="5">
        <v>48.3641275995966</v>
      </c>
    </row>
    <row r="3434" ht="14.25" customHeight="1">
      <c r="A3434" s="4"/>
      <c r="B3434" s="4" t="s">
        <v>1802</v>
      </c>
      <c r="C3434" s="4" t="s">
        <v>5262</v>
      </c>
      <c r="D3434" s="4" t="s">
        <v>5263</v>
      </c>
      <c r="E3434" s="5">
        <v>48.350568320998995</v>
      </c>
    </row>
    <row r="3435" ht="14.25" customHeight="1">
      <c r="A3435" s="4"/>
      <c r="B3435" s="4" t="s">
        <v>1802</v>
      </c>
      <c r="C3435" s="4" t="s">
        <v>5264</v>
      </c>
      <c r="D3435" s="4" t="s">
        <v>1812</v>
      </c>
      <c r="E3435" s="5">
        <v>48.3641275995966</v>
      </c>
    </row>
    <row r="3436" ht="14.25" customHeight="1">
      <c r="A3436" s="4"/>
      <c r="B3436" s="4" t="s">
        <v>1802</v>
      </c>
      <c r="C3436" s="4" t="s">
        <v>5265</v>
      </c>
      <c r="D3436" s="4" t="s">
        <v>5266</v>
      </c>
      <c r="E3436" s="5">
        <v>11.2912619398295</v>
      </c>
    </row>
    <row r="3437" ht="14.25" customHeight="1">
      <c r="A3437" s="4"/>
      <c r="B3437" s="4" t="s">
        <v>1802</v>
      </c>
      <c r="C3437" s="4" t="s">
        <v>5267</v>
      </c>
      <c r="D3437" s="4" t="s">
        <v>1837</v>
      </c>
      <c r="E3437" s="5">
        <v>9.672825519919328</v>
      </c>
    </row>
    <row r="3438" ht="14.25" customHeight="1">
      <c r="A3438" s="4"/>
      <c r="B3438" s="4" t="s">
        <v>1802</v>
      </c>
      <c r="C3438" s="4" t="s">
        <v>5268</v>
      </c>
      <c r="D3438" s="4" t="s">
        <v>5269</v>
      </c>
      <c r="E3438" s="5">
        <v>37.6427817167888</v>
      </c>
    </row>
    <row r="3439" ht="14.25" customHeight="1">
      <c r="A3439" s="4"/>
      <c r="B3439" s="4" t="s">
        <v>1802</v>
      </c>
      <c r="C3439" s="4" t="s">
        <v>5270</v>
      </c>
      <c r="D3439" s="4" t="s">
        <v>1812</v>
      </c>
      <c r="E3439" s="5">
        <v>48.3641275995966</v>
      </c>
    </row>
    <row r="3440" ht="14.25" customHeight="1">
      <c r="A3440" s="4"/>
      <c r="B3440" s="4" t="s">
        <v>1802</v>
      </c>
      <c r="C3440" s="4" t="s">
        <v>5271</v>
      </c>
      <c r="D3440" s="4" t="s">
        <v>5272</v>
      </c>
      <c r="E3440" s="5">
        <v>19.6091474841061</v>
      </c>
    </row>
    <row r="3441" ht="14.25" customHeight="1">
      <c r="A3441" s="4"/>
      <c r="B3441" s="4" t="s">
        <v>1802</v>
      </c>
      <c r="C3441" s="4" t="s">
        <v>1495</v>
      </c>
      <c r="D3441" s="4" t="s">
        <v>1812</v>
      </c>
      <c r="E3441" s="5">
        <v>48.3641275995966</v>
      </c>
    </row>
    <row r="3442" ht="14.25" customHeight="1">
      <c r="A3442" s="4"/>
      <c r="B3442" s="4" t="s">
        <v>1802</v>
      </c>
      <c r="C3442" s="4" t="s">
        <v>5273</v>
      </c>
      <c r="D3442" s="4" t="s">
        <v>5274</v>
      </c>
      <c r="E3442" s="5">
        <v>10.1175897502428</v>
      </c>
    </row>
    <row r="3443" ht="14.25" customHeight="1">
      <c r="A3443" s="4"/>
      <c r="B3443" s="4" t="s">
        <v>1802</v>
      </c>
      <c r="C3443" s="4" t="s">
        <v>5275</v>
      </c>
      <c r="D3443" s="4" t="s">
        <v>5276</v>
      </c>
      <c r="E3443" s="5">
        <v>36.5546160317148</v>
      </c>
    </row>
    <row r="3444" ht="14.25" customHeight="1">
      <c r="A3444" s="4"/>
      <c r="B3444" s="4" t="s">
        <v>1802</v>
      </c>
      <c r="C3444" s="4" t="s">
        <v>5277</v>
      </c>
      <c r="D3444" s="4" t="s">
        <v>1812</v>
      </c>
      <c r="E3444" s="5">
        <v>48.3641275995966</v>
      </c>
    </row>
    <row r="3445" ht="14.25" customHeight="1">
      <c r="A3445" s="4"/>
      <c r="B3445" s="4" t="s">
        <v>1802</v>
      </c>
      <c r="C3445" s="4" t="s">
        <v>5278</v>
      </c>
      <c r="D3445" s="4" t="s">
        <v>5279</v>
      </c>
      <c r="E3445" s="5">
        <v>9.297549250732501</v>
      </c>
    </row>
    <row r="3446" ht="14.25" customHeight="1">
      <c r="A3446" s="4"/>
      <c r="B3446" s="4" t="s">
        <v>1802</v>
      </c>
      <c r="C3446" s="4" t="s">
        <v>5280</v>
      </c>
      <c r="D3446" s="4" t="s">
        <v>5281</v>
      </c>
      <c r="E3446" s="5">
        <v>0.0731764279404839</v>
      </c>
    </row>
    <row r="3447" ht="14.25" customHeight="1">
      <c r="A3447" s="4"/>
      <c r="B3447" s="4" t="s">
        <v>1802</v>
      </c>
      <c r="C3447" s="4" t="s">
        <v>5282</v>
      </c>
      <c r="D3447" s="4" t="s">
        <v>1812</v>
      </c>
      <c r="E3447" s="5">
        <v>48.3641275995966</v>
      </c>
    </row>
    <row r="3448" ht="14.25" customHeight="1">
      <c r="A3448" s="4"/>
      <c r="B3448" s="4" t="s">
        <v>1802</v>
      </c>
      <c r="C3448" s="4" t="s">
        <v>5283</v>
      </c>
      <c r="D3448" s="4" t="s">
        <v>1837</v>
      </c>
      <c r="E3448" s="5">
        <v>9.672825519919328</v>
      </c>
    </row>
    <row r="3449" ht="14.25" customHeight="1">
      <c r="A3449" s="4"/>
      <c r="B3449" s="4" t="s">
        <v>1802</v>
      </c>
      <c r="C3449" s="4" t="s">
        <v>5284</v>
      </c>
      <c r="D3449" s="4" t="s">
        <v>5285</v>
      </c>
      <c r="E3449" s="5">
        <v>27.5224051237367</v>
      </c>
    </row>
    <row r="3450" ht="14.25" customHeight="1">
      <c r="A3450" s="4"/>
      <c r="B3450" s="4" t="s">
        <v>1802</v>
      </c>
      <c r="C3450" s="4" t="s">
        <v>5286</v>
      </c>
      <c r="D3450" s="4" t="s">
        <v>1812</v>
      </c>
      <c r="E3450" s="5">
        <v>48.3641275995966</v>
      </c>
    </row>
    <row r="3451" ht="14.25" customHeight="1">
      <c r="A3451" s="4"/>
      <c r="B3451" s="4" t="s">
        <v>1802</v>
      </c>
      <c r="C3451" s="4" t="s">
        <v>5287</v>
      </c>
      <c r="D3451" s="4" t="s">
        <v>1812</v>
      </c>
      <c r="E3451" s="5">
        <v>48.3641275995966</v>
      </c>
    </row>
    <row r="3452" ht="14.25" customHeight="1">
      <c r="A3452" s="4"/>
      <c r="B3452" s="4" t="s">
        <v>1802</v>
      </c>
      <c r="C3452" s="4" t="s">
        <v>5288</v>
      </c>
      <c r="D3452" s="4" t="s">
        <v>1812</v>
      </c>
      <c r="E3452" s="5">
        <v>48.3641275995966</v>
      </c>
    </row>
    <row r="3453" ht="14.25" customHeight="1">
      <c r="A3453" s="4"/>
      <c r="B3453" s="4" t="s">
        <v>1802</v>
      </c>
      <c r="C3453" s="4" t="s">
        <v>5289</v>
      </c>
      <c r="D3453" s="4" t="s">
        <v>5290</v>
      </c>
      <c r="E3453" s="5">
        <v>27.0953682045217</v>
      </c>
    </row>
    <row r="3454" ht="14.25" customHeight="1">
      <c r="A3454" s="4"/>
      <c r="B3454" s="4" t="s">
        <v>1802</v>
      </c>
      <c r="C3454" s="4" t="s">
        <v>5291</v>
      </c>
      <c r="D3454" s="4" t="s">
        <v>5292</v>
      </c>
      <c r="E3454" s="5">
        <v>48.358134005246</v>
      </c>
    </row>
    <row r="3455" ht="14.25" customHeight="1">
      <c r="A3455" s="4"/>
      <c r="B3455" s="4" t="s">
        <v>1802</v>
      </c>
      <c r="C3455" s="4" t="s">
        <v>5293</v>
      </c>
      <c r="D3455" s="4" t="s">
        <v>1837</v>
      </c>
      <c r="E3455" s="5">
        <v>9.672825519919328</v>
      </c>
    </row>
    <row r="3456" ht="14.25" customHeight="1">
      <c r="A3456" s="4"/>
      <c r="B3456" s="4" t="s">
        <v>1802</v>
      </c>
      <c r="C3456" s="4" t="s">
        <v>204</v>
      </c>
      <c r="D3456" s="4" t="s">
        <v>5294</v>
      </c>
      <c r="E3456" s="5">
        <v>35.7379013839532</v>
      </c>
    </row>
    <row r="3457" ht="14.25" customHeight="1">
      <c r="A3457" s="4"/>
      <c r="B3457" s="4" t="s">
        <v>1802</v>
      </c>
      <c r="C3457" s="4" t="s">
        <v>5295</v>
      </c>
      <c r="D3457" s="4" t="s">
        <v>1837</v>
      </c>
      <c r="E3457" s="5">
        <v>9.672825519919328</v>
      </c>
    </row>
    <row r="3458" ht="14.25" customHeight="1">
      <c r="A3458" s="4"/>
      <c r="B3458" s="4" t="s">
        <v>1802</v>
      </c>
      <c r="C3458" s="4" t="s">
        <v>5296</v>
      </c>
      <c r="D3458" s="4" t="s">
        <v>4581</v>
      </c>
      <c r="E3458" s="5">
        <v>22.247498695814397</v>
      </c>
    </row>
    <row r="3459" ht="14.25" customHeight="1">
      <c r="A3459" s="4"/>
      <c r="B3459" s="4" t="s">
        <v>1802</v>
      </c>
      <c r="C3459" s="4" t="s">
        <v>5297</v>
      </c>
      <c r="D3459" s="4" t="s">
        <v>1812</v>
      </c>
      <c r="E3459" s="5">
        <v>48.3641275995966</v>
      </c>
    </row>
    <row r="3460" ht="14.25" customHeight="1">
      <c r="A3460" s="4"/>
      <c r="B3460" s="4" t="s">
        <v>1802</v>
      </c>
      <c r="C3460" s="4" t="s">
        <v>5298</v>
      </c>
      <c r="D3460" s="4" t="s">
        <v>2062</v>
      </c>
      <c r="E3460" s="5">
        <v>9.86628203031772</v>
      </c>
    </row>
    <row r="3461" ht="14.25" customHeight="1">
      <c r="A3461" s="4"/>
      <c r="B3461" s="4" t="s">
        <v>1802</v>
      </c>
      <c r="C3461" s="4" t="s">
        <v>5299</v>
      </c>
      <c r="D3461" s="4" t="s">
        <v>1812</v>
      </c>
      <c r="E3461" s="5">
        <v>48.3641275995966</v>
      </c>
    </row>
    <row r="3462" ht="14.25" customHeight="1">
      <c r="A3462" s="4"/>
      <c r="B3462" s="4" t="s">
        <v>1802</v>
      </c>
      <c r="C3462" s="4" t="s">
        <v>5300</v>
      </c>
      <c r="D3462" s="4" t="s">
        <v>5301</v>
      </c>
      <c r="E3462" s="5">
        <v>9.838351341531009</v>
      </c>
    </row>
    <row r="3463" ht="14.25" customHeight="1">
      <c r="A3463" s="4"/>
      <c r="B3463" s="4" t="s">
        <v>1802</v>
      </c>
      <c r="C3463" s="4" t="s">
        <v>5302</v>
      </c>
      <c r="D3463" s="4" t="s">
        <v>1821</v>
      </c>
      <c r="E3463" s="5">
        <v>19.3456510398386</v>
      </c>
    </row>
    <row r="3464" ht="14.25" customHeight="1">
      <c r="A3464" s="4"/>
      <c r="B3464" s="4" t="s">
        <v>1802</v>
      </c>
      <c r="C3464" s="4" t="s">
        <v>5303</v>
      </c>
      <c r="D3464" s="4" t="s">
        <v>5304</v>
      </c>
      <c r="E3464" s="5">
        <v>18.718926134556597</v>
      </c>
    </row>
    <row r="3465" ht="14.25" customHeight="1">
      <c r="A3465" s="4"/>
      <c r="B3465" s="4" t="s">
        <v>1802</v>
      </c>
      <c r="C3465" s="4" t="s">
        <v>5305</v>
      </c>
      <c r="D3465" s="4" t="s">
        <v>5306</v>
      </c>
      <c r="E3465" s="5">
        <v>14.6553093268566</v>
      </c>
    </row>
    <row r="3466" ht="14.25" customHeight="1">
      <c r="A3466" s="4"/>
      <c r="B3466" s="4" t="s">
        <v>1802</v>
      </c>
      <c r="C3466" s="4" t="s">
        <v>5307</v>
      </c>
      <c r="D3466" s="4" t="s">
        <v>1812</v>
      </c>
      <c r="E3466" s="5">
        <v>48.3641275995966</v>
      </c>
    </row>
    <row r="3467" ht="14.25" customHeight="1">
      <c r="A3467" s="4"/>
      <c r="B3467" s="4" t="s">
        <v>1802</v>
      </c>
      <c r="C3467" s="4" t="s">
        <v>789</v>
      </c>
      <c r="D3467" s="4" t="s">
        <v>1812</v>
      </c>
      <c r="E3467" s="5">
        <v>48.3641275995966</v>
      </c>
    </row>
    <row r="3468" ht="14.25" customHeight="1">
      <c r="A3468" s="4"/>
      <c r="B3468" s="4" t="s">
        <v>1802</v>
      </c>
      <c r="C3468" s="4" t="s">
        <v>5308</v>
      </c>
      <c r="D3468" s="4" t="s">
        <v>5309</v>
      </c>
      <c r="E3468" s="5">
        <v>8.61474952083482</v>
      </c>
    </row>
    <row r="3469" ht="14.25" customHeight="1">
      <c r="A3469" s="4"/>
      <c r="B3469" s="4" t="s">
        <v>1802</v>
      </c>
      <c r="C3469" s="4" t="s">
        <v>5310</v>
      </c>
      <c r="D3469" s="4" t="s">
        <v>5311</v>
      </c>
      <c r="E3469" s="5">
        <v>9.90339989144122</v>
      </c>
    </row>
    <row r="3470" ht="14.25" customHeight="1">
      <c r="A3470" s="4"/>
      <c r="B3470" s="4" t="s">
        <v>1802</v>
      </c>
      <c r="C3470" s="4" t="s">
        <v>5312</v>
      </c>
      <c r="D3470" s="4" t="s">
        <v>5313</v>
      </c>
      <c r="E3470" s="5">
        <v>25.1493463517902</v>
      </c>
    </row>
    <row r="3471" ht="14.25" customHeight="1">
      <c r="A3471" s="4"/>
      <c r="B3471" s="4" t="s">
        <v>1802</v>
      </c>
      <c r="C3471" s="4" t="s">
        <v>5314</v>
      </c>
      <c r="D3471" s="4" t="s">
        <v>5315</v>
      </c>
      <c r="E3471" s="5">
        <v>6.30230286295326</v>
      </c>
    </row>
    <row r="3472" ht="14.25" customHeight="1">
      <c r="A3472" s="4"/>
      <c r="B3472" s="4" t="s">
        <v>1802</v>
      </c>
      <c r="C3472" s="4" t="s">
        <v>5316</v>
      </c>
      <c r="D3472" s="4" t="s">
        <v>1812</v>
      </c>
      <c r="E3472" s="5">
        <v>48.3641275995966</v>
      </c>
    </row>
    <row r="3473" ht="14.25" customHeight="1">
      <c r="A3473" s="4"/>
      <c r="B3473" s="4" t="s">
        <v>1802</v>
      </c>
      <c r="C3473" s="4" t="s">
        <v>5317</v>
      </c>
      <c r="D3473" s="4" t="s">
        <v>3909</v>
      </c>
      <c r="E3473" s="5">
        <v>3.8691302079677303</v>
      </c>
    </row>
    <row r="3474" ht="14.25" customHeight="1">
      <c r="A3474" s="4"/>
      <c r="B3474" s="4" t="s">
        <v>1802</v>
      </c>
      <c r="C3474" s="4" t="s">
        <v>5318</v>
      </c>
      <c r="D3474" s="4" t="s">
        <v>1812</v>
      </c>
      <c r="E3474" s="5">
        <v>48.3641275995966</v>
      </c>
    </row>
    <row r="3475" ht="14.25" customHeight="1">
      <c r="A3475" s="4"/>
      <c r="B3475" s="4" t="s">
        <v>1802</v>
      </c>
      <c r="C3475" s="4" t="s">
        <v>5319</v>
      </c>
      <c r="D3475" s="4" t="s">
        <v>5320</v>
      </c>
      <c r="E3475" s="5">
        <v>13.0063950045689</v>
      </c>
    </row>
    <row r="3476" ht="14.25" customHeight="1">
      <c r="A3476" s="4"/>
      <c r="B3476" s="4" t="s">
        <v>1802</v>
      </c>
      <c r="C3476" s="4" t="s">
        <v>5321</v>
      </c>
      <c r="D3476" s="4" t="s">
        <v>5322</v>
      </c>
      <c r="E3476" s="5">
        <v>34.4352588509128</v>
      </c>
    </row>
    <row r="3477" ht="14.25" customHeight="1">
      <c r="A3477" s="4"/>
      <c r="B3477" s="4" t="s">
        <v>1802</v>
      </c>
      <c r="C3477" s="4" t="s">
        <v>5323</v>
      </c>
      <c r="D3477" s="4" t="s">
        <v>5324</v>
      </c>
      <c r="E3477" s="5">
        <v>46.3398492372741</v>
      </c>
    </row>
    <row r="3478" ht="14.25" customHeight="1">
      <c r="A3478" s="4"/>
      <c r="B3478" s="4" t="s">
        <v>1802</v>
      </c>
      <c r="C3478" s="4" t="s">
        <v>5325</v>
      </c>
      <c r="D3478" s="4" t="s">
        <v>1984</v>
      </c>
      <c r="E3478" s="5">
        <v>19.539107550237</v>
      </c>
    </row>
    <row r="3479" ht="14.25" customHeight="1">
      <c r="A3479" s="4"/>
      <c r="B3479" s="4" t="s">
        <v>1802</v>
      </c>
      <c r="C3479" s="4" t="s">
        <v>5326</v>
      </c>
      <c r="D3479" s="4" t="s">
        <v>5327</v>
      </c>
      <c r="E3479" s="5">
        <v>8.62408291939622</v>
      </c>
    </row>
    <row r="3480" ht="14.25" customHeight="1">
      <c r="A3480" s="4"/>
      <c r="B3480" s="4" t="s">
        <v>1802</v>
      </c>
      <c r="C3480" s="4" t="s">
        <v>5328</v>
      </c>
      <c r="D3480" s="4" t="s">
        <v>1812</v>
      </c>
      <c r="E3480" s="5">
        <v>48.3641275995966</v>
      </c>
    </row>
    <row r="3481" ht="14.25" customHeight="1">
      <c r="A3481" s="4"/>
      <c r="B3481" s="4" t="s">
        <v>1802</v>
      </c>
      <c r="C3481" s="4" t="s">
        <v>5329</v>
      </c>
      <c r="D3481" s="4" t="s">
        <v>5330</v>
      </c>
      <c r="E3481" s="5">
        <v>4.58312705117017</v>
      </c>
    </row>
    <row r="3482" ht="14.25" customHeight="1">
      <c r="A3482" s="4"/>
      <c r="B3482" s="4" t="s">
        <v>1802</v>
      </c>
      <c r="C3482" s="4" t="s">
        <v>5331</v>
      </c>
      <c r="D3482" s="4" t="s">
        <v>5332</v>
      </c>
      <c r="E3482" s="5">
        <v>44.7365601660274</v>
      </c>
    </row>
    <row r="3483" ht="14.25" customHeight="1">
      <c r="A3483" s="4"/>
      <c r="B3483" s="4" t="s">
        <v>1802</v>
      </c>
      <c r="C3483" s="4" t="s">
        <v>5333</v>
      </c>
      <c r="D3483" s="4" t="s">
        <v>5334</v>
      </c>
      <c r="E3483" s="5">
        <v>25.7231845952229</v>
      </c>
    </row>
    <row r="3484" ht="14.25" customHeight="1">
      <c r="A3484" s="4"/>
      <c r="B3484" s="4" t="s">
        <v>1802</v>
      </c>
      <c r="C3484" s="4" t="s">
        <v>5335</v>
      </c>
      <c r="D3484" s="4" t="s">
        <v>1812</v>
      </c>
      <c r="E3484" s="5">
        <v>48.3641275995966</v>
      </c>
    </row>
    <row r="3485" ht="14.25" customHeight="1">
      <c r="A3485" s="4"/>
      <c r="B3485" s="4" t="s">
        <v>1802</v>
      </c>
      <c r="C3485" s="4" t="s">
        <v>5336</v>
      </c>
      <c r="D3485" s="4" t="s">
        <v>1812</v>
      </c>
      <c r="E3485" s="5">
        <v>48.3641275995966</v>
      </c>
    </row>
    <row r="3486" ht="14.25" customHeight="1">
      <c r="A3486" s="4"/>
      <c r="B3486" s="4" t="s">
        <v>1802</v>
      </c>
      <c r="C3486" s="4" t="s">
        <v>5337</v>
      </c>
      <c r="D3486" s="4" t="s">
        <v>1837</v>
      </c>
      <c r="E3486" s="5">
        <v>9.672825519919328</v>
      </c>
    </row>
    <row r="3487" ht="14.25" customHeight="1">
      <c r="A3487" s="4"/>
      <c r="B3487" s="4" t="s">
        <v>1802</v>
      </c>
      <c r="C3487" s="4" t="s">
        <v>5338</v>
      </c>
      <c r="D3487" s="4" t="s">
        <v>5339</v>
      </c>
      <c r="E3487" s="5">
        <v>9.71151682199901</v>
      </c>
    </row>
    <row r="3488" ht="14.25" customHeight="1">
      <c r="A3488" s="4"/>
      <c r="B3488" s="4" t="s">
        <v>1802</v>
      </c>
      <c r="C3488" s="4" t="s">
        <v>5340</v>
      </c>
      <c r="D3488" s="4" t="s">
        <v>1812</v>
      </c>
      <c r="E3488" s="5">
        <v>48.3641275995966</v>
      </c>
    </row>
    <row r="3489" ht="14.25" customHeight="1">
      <c r="A3489" s="4"/>
      <c r="B3489" s="4" t="s">
        <v>1802</v>
      </c>
      <c r="C3489" s="4" t="s">
        <v>5341</v>
      </c>
      <c r="D3489" s="4" t="s">
        <v>5342</v>
      </c>
      <c r="E3489" s="5">
        <v>38.7109272326208</v>
      </c>
    </row>
    <row r="3490" ht="14.25" customHeight="1">
      <c r="A3490" s="4"/>
      <c r="B3490" s="4" t="s">
        <v>1802</v>
      </c>
      <c r="C3490" s="4" t="s">
        <v>5343</v>
      </c>
      <c r="D3490" s="4" t="s">
        <v>5344</v>
      </c>
      <c r="E3490" s="5">
        <v>1.8113443749294</v>
      </c>
    </row>
    <row r="3491" ht="14.25" customHeight="1">
      <c r="A3491" s="4"/>
      <c r="B3491" s="4" t="s">
        <v>1802</v>
      </c>
      <c r="C3491" s="4" t="s">
        <v>5345</v>
      </c>
      <c r="D3491" s="4" t="s">
        <v>5346</v>
      </c>
      <c r="E3491" s="5">
        <v>46.7486180029498</v>
      </c>
    </row>
    <row r="3492" ht="14.25" customHeight="1">
      <c r="A3492" s="4"/>
      <c r="B3492" s="4" t="s">
        <v>1802</v>
      </c>
      <c r="C3492" s="4" t="s">
        <v>5347</v>
      </c>
      <c r="D3492" s="4" t="s">
        <v>5348</v>
      </c>
      <c r="E3492" s="5">
        <v>44.0936466883502</v>
      </c>
    </row>
    <row r="3493" ht="14.25" customHeight="1">
      <c r="A3493" s="4"/>
      <c r="B3493" s="4" t="s">
        <v>1802</v>
      </c>
      <c r="C3493" s="4" t="s">
        <v>744</v>
      </c>
      <c r="D3493" s="4" t="s">
        <v>1812</v>
      </c>
      <c r="E3493" s="5">
        <v>48.3641275995966</v>
      </c>
    </row>
    <row r="3494" ht="14.25" customHeight="1">
      <c r="A3494" s="4"/>
      <c r="B3494" s="4" t="s">
        <v>1802</v>
      </c>
      <c r="C3494" s="4" t="s">
        <v>5349</v>
      </c>
      <c r="D3494" s="4" t="s">
        <v>1812</v>
      </c>
      <c r="E3494" s="5">
        <v>48.3641275995966</v>
      </c>
    </row>
    <row r="3495" ht="14.25" customHeight="1">
      <c r="A3495" s="4"/>
      <c r="B3495" s="4" t="s">
        <v>1802</v>
      </c>
      <c r="C3495" s="4" t="s">
        <v>5350</v>
      </c>
      <c r="D3495" s="4" t="s">
        <v>1812</v>
      </c>
      <c r="E3495" s="5">
        <v>48.3641275995966</v>
      </c>
    </row>
    <row r="3496" ht="14.25" customHeight="1">
      <c r="A3496" s="4"/>
      <c r="B3496" s="4" t="s">
        <v>1802</v>
      </c>
      <c r="C3496" s="4" t="s">
        <v>5351</v>
      </c>
      <c r="D3496" s="4" t="s">
        <v>1812</v>
      </c>
      <c r="E3496" s="5">
        <v>48.3641275995966</v>
      </c>
    </row>
    <row r="3497" ht="14.25" customHeight="1">
      <c r="A3497" s="4"/>
      <c r="B3497" s="4" t="s">
        <v>1802</v>
      </c>
      <c r="C3497" s="4" t="s">
        <v>5352</v>
      </c>
      <c r="D3497" s="4" t="s">
        <v>1812</v>
      </c>
      <c r="E3497" s="5">
        <v>48.3641275995966</v>
      </c>
    </row>
    <row r="3498" ht="14.25" customHeight="1">
      <c r="A3498" s="4"/>
      <c r="B3498" s="4" t="s">
        <v>1802</v>
      </c>
      <c r="C3498" s="4" t="s">
        <v>5353</v>
      </c>
      <c r="D3498" s="4" t="s">
        <v>1812</v>
      </c>
      <c r="E3498" s="5">
        <v>48.3641275995966</v>
      </c>
    </row>
    <row r="3499" ht="14.25" customHeight="1">
      <c r="A3499" s="4"/>
      <c r="B3499" s="4" t="s">
        <v>1802</v>
      </c>
      <c r="C3499" s="4" t="s">
        <v>5354</v>
      </c>
      <c r="D3499" s="4" t="s">
        <v>5355</v>
      </c>
      <c r="E3499" s="5">
        <v>6.46441546018395</v>
      </c>
    </row>
    <row r="3500" ht="14.25" customHeight="1">
      <c r="A3500" s="4"/>
      <c r="B3500" s="4" t="s">
        <v>1802</v>
      </c>
      <c r="C3500" s="4" t="s">
        <v>5356</v>
      </c>
      <c r="D3500" s="4" t="s">
        <v>5357</v>
      </c>
      <c r="E3500" s="5">
        <v>34.8773380014068</v>
      </c>
    </row>
    <row r="3501" ht="14.25" customHeight="1">
      <c r="A3501" s="4"/>
      <c r="B3501" s="4" t="s">
        <v>1802</v>
      </c>
      <c r="C3501" s="4" t="s">
        <v>5358</v>
      </c>
      <c r="D3501" s="4" t="s">
        <v>5359</v>
      </c>
      <c r="E3501" s="5">
        <v>9.68180869870939</v>
      </c>
    </row>
    <row r="3502" ht="14.25" customHeight="1">
      <c r="A3502" s="4"/>
      <c r="B3502" s="4" t="s">
        <v>1802</v>
      </c>
      <c r="C3502" s="4" t="s">
        <v>5360</v>
      </c>
      <c r="D3502" s="4" t="s">
        <v>5361</v>
      </c>
      <c r="E3502" s="5">
        <v>6.84422396182995</v>
      </c>
    </row>
    <row r="3503" ht="14.25" customHeight="1">
      <c r="A3503" s="4"/>
      <c r="B3503" s="4" t="s">
        <v>1802</v>
      </c>
      <c r="C3503" s="4" t="s">
        <v>1121</v>
      </c>
      <c r="D3503" s="4" t="s">
        <v>1812</v>
      </c>
      <c r="E3503" s="5">
        <v>48.3641275995966</v>
      </c>
    </row>
    <row r="3504" ht="14.25" customHeight="1">
      <c r="A3504" s="4"/>
      <c r="B3504" s="4" t="s">
        <v>1802</v>
      </c>
      <c r="C3504" s="4" t="s">
        <v>5362</v>
      </c>
      <c r="D3504" s="4" t="s">
        <v>5363</v>
      </c>
      <c r="E3504" s="5">
        <v>29.3026485977692</v>
      </c>
    </row>
    <row r="3505" ht="14.25" customHeight="1">
      <c r="A3505" s="4"/>
      <c r="B3505" s="4" t="s">
        <v>1802</v>
      </c>
      <c r="C3505" s="4" t="s">
        <v>5364</v>
      </c>
      <c r="D3505" s="4" t="s">
        <v>1812</v>
      </c>
      <c r="E3505" s="5">
        <v>48.3641275995966</v>
      </c>
    </row>
    <row r="3506" ht="14.25" customHeight="1">
      <c r="A3506" s="4"/>
      <c r="B3506" s="4" t="s">
        <v>1802</v>
      </c>
      <c r="C3506" s="4" t="s">
        <v>5365</v>
      </c>
      <c r="D3506" s="4" t="s">
        <v>5366</v>
      </c>
      <c r="E3506" s="5">
        <v>9.76955377511852</v>
      </c>
    </row>
    <row r="3507" ht="14.25" customHeight="1">
      <c r="A3507" s="4"/>
      <c r="B3507" s="4" t="s">
        <v>1802</v>
      </c>
      <c r="C3507" s="4" t="s">
        <v>5367</v>
      </c>
      <c r="D3507" s="4" t="s">
        <v>5368</v>
      </c>
      <c r="E3507" s="5">
        <v>16.7412853248552</v>
      </c>
    </row>
    <row r="3508" ht="14.25" customHeight="1">
      <c r="A3508" s="4"/>
      <c r="B3508" s="4" t="s">
        <v>1802</v>
      </c>
      <c r="C3508" s="4" t="s">
        <v>5369</v>
      </c>
      <c r="D3508" s="4" t="s">
        <v>5370</v>
      </c>
      <c r="E3508" s="5">
        <v>10.4234593502918</v>
      </c>
    </row>
    <row r="3509" ht="14.25" customHeight="1">
      <c r="A3509" s="4"/>
      <c r="B3509" s="4" t="s">
        <v>1802</v>
      </c>
      <c r="C3509" s="4" t="s">
        <v>5371</v>
      </c>
      <c r="D3509" s="4" t="s">
        <v>5372</v>
      </c>
      <c r="E3509" s="5">
        <v>8.02174378165726</v>
      </c>
    </row>
    <row r="3510" ht="14.25" customHeight="1">
      <c r="A3510" s="4"/>
      <c r="B3510" s="4" t="s">
        <v>1802</v>
      </c>
      <c r="C3510" s="4" t="s">
        <v>5373</v>
      </c>
      <c r="D3510" s="4" t="s">
        <v>5374</v>
      </c>
      <c r="E3510" s="5">
        <v>9.7645576231899</v>
      </c>
    </row>
    <row r="3511" ht="14.25" customHeight="1">
      <c r="A3511" s="4"/>
      <c r="B3511" s="4" t="s">
        <v>1802</v>
      </c>
      <c r="C3511" s="4" t="s">
        <v>5375</v>
      </c>
      <c r="D3511" s="4" t="s">
        <v>5376</v>
      </c>
      <c r="E3511" s="5">
        <v>4.94694595743473</v>
      </c>
    </row>
    <row r="3512" ht="14.25" customHeight="1">
      <c r="A3512" s="4"/>
      <c r="B3512" s="4" t="s">
        <v>1802</v>
      </c>
      <c r="C3512" s="4" t="s">
        <v>401</v>
      </c>
      <c r="D3512" s="4" t="s">
        <v>1812</v>
      </c>
      <c r="E3512" s="5">
        <v>48.3641275995966</v>
      </c>
    </row>
    <row r="3513" ht="14.25" customHeight="1">
      <c r="A3513" s="4"/>
      <c r="B3513" s="4" t="s">
        <v>1802</v>
      </c>
      <c r="C3513" s="4" t="s">
        <v>5377</v>
      </c>
      <c r="D3513" s="4" t="s">
        <v>5378</v>
      </c>
      <c r="E3513" s="5">
        <v>45.079096898615596</v>
      </c>
    </row>
    <row r="3514" ht="14.25" customHeight="1">
      <c r="A3514" s="4"/>
      <c r="B3514" s="4" t="s">
        <v>1802</v>
      </c>
      <c r="C3514" s="4" t="s">
        <v>5379</v>
      </c>
      <c r="D3514" s="4" t="s">
        <v>5380</v>
      </c>
      <c r="E3514" s="5">
        <v>9.731276842761789</v>
      </c>
    </row>
    <row r="3515" ht="14.25" customHeight="1">
      <c r="A3515" s="4"/>
      <c r="B3515" s="4" t="s">
        <v>1802</v>
      </c>
      <c r="C3515" s="4" t="s">
        <v>489</v>
      </c>
      <c r="D3515" s="4" t="s">
        <v>1812</v>
      </c>
      <c r="E3515" s="5">
        <v>48.3641275995966</v>
      </c>
    </row>
    <row r="3516" ht="14.25" customHeight="1">
      <c r="A3516" s="4"/>
      <c r="B3516" s="4" t="s">
        <v>1802</v>
      </c>
      <c r="C3516" s="4" t="s">
        <v>5381</v>
      </c>
      <c r="D3516" s="4" t="s">
        <v>1812</v>
      </c>
      <c r="E3516" s="5">
        <v>48.3641275995966</v>
      </c>
    </row>
    <row r="3517" ht="14.25" customHeight="1">
      <c r="A3517" s="4"/>
      <c r="B3517" s="4" t="s">
        <v>1802</v>
      </c>
      <c r="C3517" s="4" t="s">
        <v>5382</v>
      </c>
      <c r="D3517" s="4" t="s">
        <v>1812</v>
      </c>
      <c r="E3517" s="5">
        <v>48.3641275995966</v>
      </c>
    </row>
    <row r="3518" ht="14.25" customHeight="1">
      <c r="A3518" s="4"/>
      <c r="B3518" s="4" t="s">
        <v>1802</v>
      </c>
      <c r="C3518" s="4" t="s">
        <v>5383</v>
      </c>
      <c r="D3518" s="4" t="s">
        <v>1812</v>
      </c>
      <c r="E3518" s="5">
        <v>48.3641275995966</v>
      </c>
    </row>
    <row r="3519" ht="14.25" customHeight="1">
      <c r="A3519" s="4"/>
      <c r="B3519" s="4" t="s">
        <v>1802</v>
      </c>
      <c r="C3519" s="4" t="s">
        <v>5384</v>
      </c>
      <c r="D3519" s="4" t="s">
        <v>1812</v>
      </c>
      <c r="E3519" s="5">
        <v>48.3641275995966</v>
      </c>
    </row>
    <row r="3520" ht="14.25" customHeight="1">
      <c r="A3520" s="4"/>
      <c r="B3520" s="4" t="s">
        <v>1802</v>
      </c>
      <c r="C3520" s="4" t="s">
        <v>5385</v>
      </c>
      <c r="D3520" s="4" t="s">
        <v>5386</v>
      </c>
      <c r="E3520" s="5">
        <v>27.1871859776529</v>
      </c>
    </row>
    <row r="3521" ht="14.25" customHeight="1">
      <c r="A3521" s="4"/>
      <c r="B3521" s="4" t="s">
        <v>1802</v>
      </c>
      <c r="C3521" s="4" t="s">
        <v>455</v>
      </c>
      <c r="D3521" s="4" t="s">
        <v>1812</v>
      </c>
      <c r="E3521" s="5">
        <v>48.3641275995966</v>
      </c>
    </row>
    <row r="3522" ht="14.25" customHeight="1">
      <c r="A3522" s="4"/>
      <c r="B3522" s="4" t="s">
        <v>1802</v>
      </c>
      <c r="C3522" s="4" t="s">
        <v>1095</v>
      </c>
      <c r="D3522" s="4" t="s">
        <v>1812</v>
      </c>
      <c r="E3522" s="5">
        <v>48.3641275995966</v>
      </c>
    </row>
    <row r="3523" ht="14.25" customHeight="1">
      <c r="A3523" s="4"/>
      <c r="B3523" s="4" t="s">
        <v>1802</v>
      </c>
      <c r="C3523" s="4" t="s">
        <v>5387</v>
      </c>
      <c r="D3523" s="4" t="s">
        <v>5388</v>
      </c>
      <c r="E3523" s="5">
        <v>10.908291317738</v>
      </c>
    </row>
    <row r="3524" ht="14.25" customHeight="1">
      <c r="A3524" s="4"/>
      <c r="B3524" s="4" t="s">
        <v>1802</v>
      </c>
      <c r="C3524" s="4" t="s">
        <v>5389</v>
      </c>
      <c r="D3524" s="4" t="s">
        <v>5390</v>
      </c>
      <c r="E3524" s="5">
        <v>13.069737743987401</v>
      </c>
    </row>
    <row r="3525" ht="14.25" customHeight="1">
      <c r="A3525" s="4"/>
      <c r="B3525" s="4" t="s">
        <v>1802</v>
      </c>
      <c r="C3525" s="4" t="s">
        <v>5391</v>
      </c>
      <c r="D3525" s="4" t="s">
        <v>5392</v>
      </c>
      <c r="E3525" s="5">
        <v>14.1279961278905</v>
      </c>
    </row>
    <row r="3526" ht="14.25" customHeight="1">
      <c r="A3526" s="4"/>
      <c r="B3526" s="4" t="s">
        <v>1802</v>
      </c>
      <c r="C3526" s="4" t="s">
        <v>244</v>
      </c>
      <c r="D3526" s="4" t="s">
        <v>1812</v>
      </c>
      <c r="E3526" s="5">
        <v>48.3641275995966</v>
      </c>
    </row>
    <row r="3527" ht="14.25" customHeight="1">
      <c r="A3527" s="4"/>
      <c r="B3527" s="4" t="s">
        <v>1802</v>
      </c>
      <c r="C3527" s="4" t="s">
        <v>5393</v>
      </c>
      <c r="D3527" s="4" t="s">
        <v>1812</v>
      </c>
      <c r="E3527" s="5">
        <v>48.3641275995966</v>
      </c>
    </row>
    <row r="3528" ht="14.25" customHeight="1">
      <c r="A3528" s="4"/>
      <c r="B3528" s="4" t="s">
        <v>1802</v>
      </c>
      <c r="C3528" s="4" t="s">
        <v>5394</v>
      </c>
      <c r="D3528" s="4" t="s">
        <v>1812</v>
      </c>
      <c r="E3528" s="5">
        <v>48.3641275995966</v>
      </c>
    </row>
    <row r="3529" ht="14.25" customHeight="1">
      <c r="A3529" s="4"/>
      <c r="B3529" s="4" t="s">
        <v>1802</v>
      </c>
      <c r="C3529" s="4" t="s">
        <v>5395</v>
      </c>
      <c r="D3529" s="4" t="s">
        <v>1812</v>
      </c>
      <c r="E3529" s="5">
        <v>48.3641275995966</v>
      </c>
    </row>
    <row r="3530" ht="14.25" customHeight="1">
      <c r="A3530" s="4"/>
      <c r="B3530" s="4" t="s">
        <v>1802</v>
      </c>
      <c r="C3530" s="4" t="s">
        <v>5396</v>
      </c>
      <c r="D3530" s="4" t="s">
        <v>5397</v>
      </c>
      <c r="E3530" s="5">
        <v>33.5762497903816</v>
      </c>
    </row>
    <row r="3531" ht="14.25" customHeight="1">
      <c r="A3531" s="4"/>
      <c r="B3531" s="4" t="s">
        <v>1802</v>
      </c>
      <c r="C3531" s="4" t="s">
        <v>5398</v>
      </c>
      <c r="D3531" s="4" t="s">
        <v>1837</v>
      </c>
      <c r="E3531" s="5">
        <v>9.672825519919328</v>
      </c>
    </row>
    <row r="3532" ht="14.25" customHeight="1">
      <c r="A3532" s="4"/>
      <c r="B3532" s="4" t="s">
        <v>1802</v>
      </c>
      <c r="C3532" s="4" t="s">
        <v>5399</v>
      </c>
      <c r="D3532" s="4" t="s">
        <v>5400</v>
      </c>
      <c r="E3532" s="5">
        <v>33.3082271288552</v>
      </c>
    </row>
    <row r="3533" ht="14.25" customHeight="1">
      <c r="A3533" s="4"/>
      <c r="B3533" s="4" t="s">
        <v>1802</v>
      </c>
      <c r="C3533" s="4" t="s">
        <v>5401</v>
      </c>
      <c r="D3533" s="4" t="s">
        <v>5402</v>
      </c>
      <c r="E3533" s="5">
        <v>27.191867379697097</v>
      </c>
    </row>
    <row r="3534" ht="14.25" customHeight="1">
      <c r="A3534" s="4"/>
      <c r="B3534" s="4" t="s">
        <v>1802</v>
      </c>
      <c r="C3534" s="4" t="s">
        <v>5403</v>
      </c>
      <c r="D3534" s="4" t="s">
        <v>1905</v>
      </c>
      <c r="E3534" s="5">
        <v>10.059738540716099</v>
      </c>
    </row>
    <row r="3535" ht="14.25" customHeight="1">
      <c r="A3535" s="4"/>
      <c r="B3535" s="4" t="s">
        <v>1802</v>
      </c>
      <c r="C3535" s="4" t="s">
        <v>5404</v>
      </c>
      <c r="D3535" s="4" t="s">
        <v>5405</v>
      </c>
      <c r="E3535" s="5">
        <v>19.4859208969596</v>
      </c>
    </row>
    <row r="3536" ht="14.25" customHeight="1">
      <c r="A3536" s="4"/>
      <c r="B3536" s="4" t="s">
        <v>1802</v>
      </c>
      <c r="C3536" s="4" t="s">
        <v>5406</v>
      </c>
      <c r="D3536" s="4" t="s">
        <v>5407</v>
      </c>
      <c r="E3536" s="5">
        <v>29.1702041895919</v>
      </c>
    </row>
    <row r="3537" ht="14.25" customHeight="1">
      <c r="A3537" s="4"/>
      <c r="B3537" s="4" t="s">
        <v>1802</v>
      </c>
      <c r="C3537" s="4" t="s">
        <v>5408</v>
      </c>
      <c r="D3537" s="4" t="s">
        <v>1812</v>
      </c>
      <c r="E3537" s="5">
        <v>48.3641275995966</v>
      </c>
    </row>
    <row r="3538" ht="14.25" customHeight="1">
      <c r="A3538" s="4"/>
      <c r="B3538" s="4" t="s">
        <v>1802</v>
      </c>
      <c r="C3538" s="4" t="s">
        <v>5409</v>
      </c>
      <c r="D3538" s="4" t="s">
        <v>1812</v>
      </c>
      <c r="E3538" s="5">
        <v>48.3641275995966</v>
      </c>
    </row>
    <row r="3539" ht="14.25" customHeight="1">
      <c r="A3539" s="4"/>
      <c r="B3539" s="4" t="s">
        <v>1802</v>
      </c>
      <c r="C3539" s="4" t="s">
        <v>5410</v>
      </c>
      <c r="D3539" s="4" t="s">
        <v>1821</v>
      </c>
      <c r="E3539" s="5">
        <v>19.3456510398386</v>
      </c>
    </row>
    <row r="3540" ht="14.25" customHeight="1">
      <c r="A3540" s="4"/>
      <c r="B3540" s="4" t="s">
        <v>1802</v>
      </c>
      <c r="C3540" s="4" t="s">
        <v>5411</v>
      </c>
      <c r="D3540" s="4" t="s">
        <v>5412</v>
      </c>
      <c r="E3540" s="5">
        <v>4.22100310779617</v>
      </c>
    </row>
    <row r="3541" ht="14.25" customHeight="1">
      <c r="A3541" s="4"/>
      <c r="B3541" s="4" t="s">
        <v>1802</v>
      </c>
      <c r="C3541" s="4" t="s">
        <v>5413</v>
      </c>
      <c r="D3541" s="4" t="s">
        <v>5414</v>
      </c>
      <c r="E3541" s="5">
        <v>19.7073475239357</v>
      </c>
    </row>
    <row r="3542" ht="14.25" customHeight="1">
      <c r="A3542" s="4"/>
      <c r="B3542" s="4" t="s">
        <v>1802</v>
      </c>
      <c r="C3542" s="4" t="s">
        <v>5415</v>
      </c>
      <c r="D3542" s="4" t="s">
        <v>3178</v>
      </c>
      <c r="E3542" s="5">
        <v>12.187760155098301</v>
      </c>
    </row>
    <row r="3543" ht="14.25" customHeight="1">
      <c r="A3543" s="4"/>
      <c r="B3543" s="4" t="s">
        <v>1802</v>
      </c>
      <c r="C3543" s="4" t="s">
        <v>5416</v>
      </c>
      <c r="D3543" s="4" t="s">
        <v>1812</v>
      </c>
      <c r="E3543" s="5">
        <v>48.3641275995966</v>
      </c>
    </row>
    <row r="3544" ht="14.25" customHeight="1">
      <c r="A3544" s="4"/>
      <c r="B3544" s="4" t="s">
        <v>1802</v>
      </c>
      <c r="C3544" s="4" t="s">
        <v>5417</v>
      </c>
      <c r="D3544" s="4" t="s">
        <v>5418</v>
      </c>
      <c r="E3544" s="5">
        <v>5.16761549736061</v>
      </c>
    </row>
    <row r="3545" ht="14.25" customHeight="1">
      <c r="A3545" s="4"/>
      <c r="B3545" s="4" t="s">
        <v>1802</v>
      </c>
      <c r="C3545" s="4" t="s">
        <v>5419</v>
      </c>
      <c r="D3545" s="4" t="s">
        <v>1837</v>
      </c>
      <c r="E3545" s="5">
        <v>9.672825519919328</v>
      </c>
    </row>
    <row r="3546" ht="14.25" customHeight="1">
      <c r="A3546" s="4"/>
      <c r="B3546" s="4" t="s">
        <v>1802</v>
      </c>
      <c r="C3546" s="4" t="s">
        <v>5420</v>
      </c>
      <c r="D3546" s="4" t="s">
        <v>5421</v>
      </c>
      <c r="E3546" s="5">
        <v>24.3569028800129</v>
      </c>
    </row>
    <row r="3547" ht="14.25" customHeight="1">
      <c r="A3547" s="4"/>
      <c r="B3547" s="4" t="s">
        <v>1802</v>
      </c>
      <c r="C3547" s="4" t="s">
        <v>5422</v>
      </c>
      <c r="D3547" s="4" t="s">
        <v>5423</v>
      </c>
      <c r="E3547" s="5">
        <v>6.76595598195784</v>
      </c>
    </row>
    <row r="3548" ht="14.25" customHeight="1">
      <c r="A3548" s="4"/>
      <c r="B3548" s="4" t="s">
        <v>1802</v>
      </c>
      <c r="C3548" s="4" t="s">
        <v>5424</v>
      </c>
      <c r="D3548" s="4" t="s">
        <v>5425</v>
      </c>
      <c r="E3548" s="5">
        <v>47.784815842341395</v>
      </c>
    </row>
    <row r="3549" ht="14.25" customHeight="1">
      <c r="A3549" s="4"/>
      <c r="B3549" s="4" t="s">
        <v>1802</v>
      </c>
      <c r="C3549" s="4" t="s">
        <v>5426</v>
      </c>
      <c r="D3549" s="4" t="s">
        <v>1812</v>
      </c>
      <c r="E3549" s="5">
        <v>48.3641275995966</v>
      </c>
    </row>
    <row r="3550" ht="14.25" customHeight="1">
      <c r="A3550" s="4"/>
      <c r="B3550" s="4" t="s">
        <v>1802</v>
      </c>
      <c r="C3550" s="4" t="s">
        <v>5427</v>
      </c>
      <c r="D3550" s="4" t="s">
        <v>5428</v>
      </c>
      <c r="E3550" s="5">
        <v>38.133654434627005</v>
      </c>
    </row>
    <row r="3551" ht="14.25" customHeight="1">
      <c r="A3551" s="4"/>
      <c r="B3551" s="4" t="s">
        <v>1802</v>
      </c>
      <c r="C3551" s="4" t="s">
        <v>5429</v>
      </c>
      <c r="D3551" s="4" t="s">
        <v>1812</v>
      </c>
      <c r="E3551" s="5">
        <v>48.3641275995966</v>
      </c>
    </row>
    <row r="3552" ht="14.25" customHeight="1">
      <c r="A3552" s="4"/>
      <c r="B3552" s="4" t="s">
        <v>1802</v>
      </c>
      <c r="C3552" s="4" t="s">
        <v>5430</v>
      </c>
      <c r="D3552" s="4" t="s">
        <v>5431</v>
      </c>
      <c r="E3552" s="5">
        <v>18.6504676717121</v>
      </c>
    </row>
    <row r="3553" ht="14.25" customHeight="1">
      <c r="A3553" s="4"/>
      <c r="B3553" s="4" t="s">
        <v>1802</v>
      </c>
      <c r="C3553" s="4" t="s">
        <v>5432</v>
      </c>
      <c r="D3553" s="4" t="s">
        <v>5433</v>
      </c>
      <c r="E3553" s="5">
        <v>11.689463428969098</v>
      </c>
    </row>
    <row r="3554" ht="14.25" customHeight="1">
      <c r="A3554" s="4"/>
      <c r="B3554" s="4" t="s">
        <v>1802</v>
      </c>
      <c r="C3554" s="4" t="s">
        <v>1424</v>
      </c>
      <c r="D3554" s="4" t="s">
        <v>5434</v>
      </c>
      <c r="E3554" s="5">
        <v>45.7928898776835</v>
      </c>
    </row>
    <row r="3555" ht="14.25" customHeight="1">
      <c r="A3555" s="4"/>
      <c r="B3555" s="4" t="s">
        <v>1802</v>
      </c>
      <c r="C3555" s="4" t="s">
        <v>5435</v>
      </c>
      <c r="D3555" s="4" t="s">
        <v>5436</v>
      </c>
      <c r="E3555" s="5">
        <v>48.296820423301</v>
      </c>
    </row>
    <row r="3556" ht="14.25" customHeight="1">
      <c r="A3556" s="4"/>
      <c r="B3556" s="4" t="s">
        <v>1802</v>
      </c>
      <c r="C3556" s="4" t="s">
        <v>5437</v>
      </c>
      <c r="D3556" s="4" t="s">
        <v>5438</v>
      </c>
      <c r="E3556" s="5">
        <v>30.297700923536297</v>
      </c>
    </row>
    <row r="3557" ht="14.25" customHeight="1">
      <c r="A3557" s="4"/>
      <c r="B3557" s="4" t="s">
        <v>1802</v>
      </c>
      <c r="C3557" s="4" t="s">
        <v>5439</v>
      </c>
      <c r="D3557" s="4" t="s">
        <v>1812</v>
      </c>
      <c r="E3557" s="5">
        <v>48.3641275995966</v>
      </c>
    </row>
    <row r="3558" ht="14.25" customHeight="1">
      <c r="A3558" s="4"/>
      <c r="B3558" s="4" t="s">
        <v>1802</v>
      </c>
      <c r="C3558" s="4" t="s">
        <v>5440</v>
      </c>
      <c r="D3558" s="4" t="s">
        <v>1812</v>
      </c>
      <c r="E3558" s="5">
        <v>48.3641275995966</v>
      </c>
    </row>
    <row r="3559" ht="14.25" customHeight="1">
      <c r="A3559" s="4"/>
      <c r="B3559" s="4" t="s">
        <v>1802</v>
      </c>
      <c r="C3559" s="4" t="s">
        <v>5441</v>
      </c>
      <c r="D3559" s="4" t="s">
        <v>5442</v>
      </c>
      <c r="E3559" s="5">
        <v>1.15043460629456</v>
      </c>
    </row>
    <row r="3560" ht="14.25" customHeight="1">
      <c r="A3560" s="4"/>
      <c r="B3560" s="4" t="s">
        <v>1802</v>
      </c>
      <c r="C3560" s="4" t="s">
        <v>5443</v>
      </c>
      <c r="D3560" s="4" t="s">
        <v>1812</v>
      </c>
      <c r="E3560" s="5">
        <v>48.3641275995966</v>
      </c>
    </row>
    <row r="3561" ht="14.25" customHeight="1">
      <c r="A3561" s="4"/>
      <c r="B3561" s="4" t="s">
        <v>1802</v>
      </c>
      <c r="C3561" s="4" t="s">
        <v>5444</v>
      </c>
      <c r="D3561" s="4" t="s">
        <v>2834</v>
      </c>
      <c r="E3561" s="5">
        <v>0.193456510398386</v>
      </c>
    </row>
    <row r="3562" ht="14.25" customHeight="1">
      <c r="A3562" s="4"/>
      <c r="B3562" s="4" t="s">
        <v>1802</v>
      </c>
      <c r="C3562" s="4" t="s">
        <v>5445</v>
      </c>
      <c r="D3562" s="4" t="s">
        <v>5446</v>
      </c>
      <c r="E3562" s="5">
        <v>45.5515989138602</v>
      </c>
    </row>
    <row r="3563" ht="14.25" customHeight="1">
      <c r="A3563" s="4"/>
      <c r="B3563" s="4" t="s">
        <v>1802</v>
      </c>
      <c r="C3563" s="4" t="s">
        <v>350</v>
      </c>
      <c r="D3563" s="4" t="s">
        <v>5447</v>
      </c>
      <c r="E3563" s="5">
        <v>0.464857074918061</v>
      </c>
    </row>
    <row r="3564" ht="14.25" customHeight="1">
      <c r="A3564" s="4"/>
      <c r="B3564" s="4" t="s">
        <v>1802</v>
      </c>
      <c r="C3564" s="4" t="s">
        <v>5448</v>
      </c>
      <c r="D3564" s="4" t="s">
        <v>1837</v>
      </c>
      <c r="E3564" s="5">
        <v>9.672825519919328</v>
      </c>
    </row>
    <row r="3565" ht="14.25" customHeight="1">
      <c r="A3565" s="4"/>
      <c r="B3565" s="4" t="s">
        <v>1802</v>
      </c>
      <c r="C3565" s="4" t="s">
        <v>5449</v>
      </c>
      <c r="D3565" s="4" t="s">
        <v>5450</v>
      </c>
      <c r="E3565" s="5">
        <v>4.63415157361014</v>
      </c>
    </row>
    <row r="3566" ht="14.25" customHeight="1">
      <c r="A3566" s="4"/>
      <c r="B3566" s="4" t="s">
        <v>1802</v>
      </c>
      <c r="C3566" s="4" t="s">
        <v>5451</v>
      </c>
      <c r="D3566" s="4" t="s">
        <v>5452</v>
      </c>
      <c r="E3566" s="5">
        <v>16.993828702893</v>
      </c>
    </row>
    <row r="3567" ht="14.25" customHeight="1">
      <c r="A3567" s="4"/>
      <c r="B3567" s="4" t="s">
        <v>1802</v>
      </c>
      <c r="C3567" s="4" t="s">
        <v>5453</v>
      </c>
      <c r="D3567" s="4" t="s">
        <v>1812</v>
      </c>
      <c r="E3567" s="5">
        <v>48.3641275995966</v>
      </c>
    </row>
    <row r="3568" ht="14.25" customHeight="1">
      <c r="A3568" s="4"/>
      <c r="B3568" s="4" t="s">
        <v>1802</v>
      </c>
      <c r="C3568" s="4" t="s">
        <v>5454</v>
      </c>
      <c r="D3568" s="4" t="s">
        <v>5455</v>
      </c>
      <c r="E3568" s="5">
        <v>19.391876457351596</v>
      </c>
    </row>
    <row r="3569" ht="14.25" customHeight="1">
      <c r="A3569" s="4"/>
      <c r="B3569" s="4" t="s">
        <v>1802</v>
      </c>
      <c r="C3569" s="4" t="s">
        <v>5456</v>
      </c>
      <c r="D3569" s="4" t="s">
        <v>1821</v>
      </c>
      <c r="E3569" s="5">
        <v>19.3456510398386</v>
      </c>
    </row>
    <row r="3570" ht="14.25" customHeight="1">
      <c r="A3570" s="4"/>
      <c r="B3570" s="4" t="s">
        <v>1802</v>
      </c>
      <c r="C3570" s="4" t="s">
        <v>5457</v>
      </c>
      <c r="D3570" s="4" t="s">
        <v>5458</v>
      </c>
      <c r="E3570" s="5">
        <v>10.2205681993472</v>
      </c>
    </row>
    <row r="3571" ht="14.25" customHeight="1">
      <c r="A3571" s="4"/>
      <c r="B3571" s="4" t="s">
        <v>1802</v>
      </c>
      <c r="C3571" s="4" t="s">
        <v>5459</v>
      </c>
      <c r="D3571" s="4" t="s">
        <v>5460</v>
      </c>
      <c r="E3571" s="5">
        <v>10.1296682473216</v>
      </c>
    </row>
    <row r="3572" ht="14.25" customHeight="1">
      <c r="A3572" s="4"/>
      <c r="B3572" s="4" t="s">
        <v>1802</v>
      </c>
      <c r="C3572" s="4" t="s">
        <v>5461</v>
      </c>
      <c r="D3572" s="4" t="s">
        <v>1812</v>
      </c>
      <c r="E3572" s="5">
        <v>48.3641275995966</v>
      </c>
    </row>
    <row r="3573" ht="14.25" customHeight="1">
      <c r="A3573" s="4"/>
      <c r="B3573" s="4" t="s">
        <v>1802</v>
      </c>
      <c r="C3573" s="4" t="s">
        <v>5462</v>
      </c>
      <c r="D3573" s="4" t="s">
        <v>5463</v>
      </c>
      <c r="E3573" s="5">
        <v>8.81184261575156</v>
      </c>
    </row>
    <row r="3574" ht="14.25" customHeight="1">
      <c r="A3574" s="4"/>
      <c r="B3574" s="4" t="s">
        <v>1802</v>
      </c>
      <c r="C3574" s="4" t="s">
        <v>5464</v>
      </c>
      <c r="D3574" s="4" t="s">
        <v>5465</v>
      </c>
      <c r="E3574" s="5">
        <v>23.9448718663022</v>
      </c>
    </row>
    <row r="3575" ht="14.25" customHeight="1">
      <c r="A3575" s="4"/>
      <c r="B3575" s="4" t="s">
        <v>1802</v>
      </c>
      <c r="C3575" s="4" t="s">
        <v>5466</v>
      </c>
      <c r="D3575" s="4" t="s">
        <v>1812</v>
      </c>
      <c r="E3575" s="5">
        <v>48.3641275995966</v>
      </c>
    </row>
    <row r="3576" ht="14.25" customHeight="1">
      <c r="A3576" s="4"/>
      <c r="B3576" s="4" t="s">
        <v>1802</v>
      </c>
      <c r="C3576" s="4" t="s">
        <v>5467</v>
      </c>
      <c r="D3576" s="4" t="s">
        <v>5468</v>
      </c>
      <c r="E3576" s="5">
        <v>9.77301552828257</v>
      </c>
    </row>
    <row r="3577" ht="14.25" customHeight="1">
      <c r="A3577" s="4"/>
      <c r="B3577" s="4" t="s">
        <v>1802</v>
      </c>
      <c r="C3577" s="4" t="s">
        <v>5469</v>
      </c>
      <c r="D3577" s="4" t="s">
        <v>5470</v>
      </c>
      <c r="E3577" s="5">
        <v>4.845915327887</v>
      </c>
    </row>
    <row r="3578" ht="14.25" customHeight="1">
      <c r="A3578" s="4"/>
      <c r="B3578" s="4" t="s">
        <v>1802</v>
      </c>
      <c r="C3578" s="4" t="s">
        <v>5471</v>
      </c>
      <c r="D3578" s="4" t="s">
        <v>1812</v>
      </c>
      <c r="E3578" s="5">
        <v>48.3641275995966</v>
      </c>
    </row>
    <row r="3579" ht="14.25" customHeight="1">
      <c r="A3579" s="4"/>
      <c r="B3579" s="4" t="s">
        <v>1802</v>
      </c>
      <c r="C3579" s="4" t="s">
        <v>598</v>
      </c>
      <c r="D3579" s="4" t="s">
        <v>5472</v>
      </c>
      <c r="E3579" s="5">
        <v>41.0591861619032</v>
      </c>
    </row>
    <row r="3580" ht="14.25" customHeight="1">
      <c r="A3580" s="4"/>
      <c r="B3580" s="4" t="s">
        <v>1802</v>
      </c>
      <c r="C3580" s="4" t="s">
        <v>5473</v>
      </c>
      <c r="D3580" s="4" t="s">
        <v>1812</v>
      </c>
      <c r="E3580" s="5">
        <v>48.3641275995966</v>
      </c>
    </row>
    <row r="3581" ht="14.25" customHeight="1">
      <c r="A3581" s="4"/>
      <c r="B3581" s="4" t="s">
        <v>1802</v>
      </c>
      <c r="C3581" s="4" t="s">
        <v>5474</v>
      </c>
      <c r="D3581" s="4" t="s">
        <v>1812</v>
      </c>
      <c r="E3581" s="5">
        <v>48.3641275995966</v>
      </c>
    </row>
    <row r="3582" ht="14.25" customHeight="1">
      <c r="A3582" s="4"/>
      <c r="B3582" s="4" t="s">
        <v>1802</v>
      </c>
      <c r="C3582" s="4" t="s">
        <v>1701</v>
      </c>
      <c r="D3582" s="4" t="s">
        <v>1812</v>
      </c>
      <c r="E3582" s="5">
        <v>48.3641275995966</v>
      </c>
    </row>
    <row r="3583" ht="14.25" customHeight="1">
      <c r="A3583" s="4"/>
      <c r="B3583" s="4" t="s">
        <v>1802</v>
      </c>
      <c r="C3583" s="4" t="s">
        <v>5475</v>
      </c>
      <c r="D3583" s="4" t="s">
        <v>3328</v>
      </c>
      <c r="E3583" s="5">
        <v>24.1820637997983</v>
      </c>
    </row>
    <row r="3584" ht="14.25" customHeight="1">
      <c r="A3584" s="4"/>
      <c r="B3584" s="4" t="s">
        <v>1802</v>
      </c>
      <c r="C3584" s="4" t="s">
        <v>5476</v>
      </c>
      <c r="D3584" s="4" t="s">
        <v>5477</v>
      </c>
      <c r="E3584" s="5">
        <v>9.81639997946313</v>
      </c>
    </row>
    <row r="3585" ht="14.25" customHeight="1">
      <c r="A3585" s="4"/>
      <c r="B3585" s="4" t="s">
        <v>1802</v>
      </c>
      <c r="C3585" s="4" t="s">
        <v>5478</v>
      </c>
      <c r="D3585" s="4" t="s">
        <v>1812</v>
      </c>
      <c r="E3585" s="5">
        <v>48.3641275995966</v>
      </c>
    </row>
    <row r="3586" ht="14.25" customHeight="1">
      <c r="A3586" s="4"/>
      <c r="B3586" s="4" t="s">
        <v>1802</v>
      </c>
      <c r="C3586" s="4" t="s">
        <v>5479</v>
      </c>
      <c r="D3586" s="4" t="s">
        <v>1812</v>
      </c>
      <c r="E3586" s="5">
        <v>48.3641275995966</v>
      </c>
    </row>
    <row r="3587" ht="14.25" customHeight="1">
      <c r="A3587" s="4"/>
      <c r="B3587" s="4" t="s">
        <v>1802</v>
      </c>
      <c r="C3587" s="4" t="s">
        <v>5480</v>
      </c>
      <c r="D3587" s="4" t="s">
        <v>1812</v>
      </c>
      <c r="E3587" s="5">
        <v>48.3641275995966</v>
      </c>
    </row>
    <row r="3588" ht="14.25" customHeight="1">
      <c r="A3588" s="4"/>
      <c r="B3588" s="4" t="s">
        <v>1802</v>
      </c>
      <c r="C3588" s="4" t="s">
        <v>5481</v>
      </c>
      <c r="D3588" s="4" t="s">
        <v>5482</v>
      </c>
      <c r="E3588" s="5">
        <v>31.9733773371181</v>
      </c>
    </row>
    <row r="3589" ht="14.25" customHeight="1">
      <c r="A3589" s="4"/>
      <c r="B3589" s="4" t="s">
        <v>1802</v>
      </c>
      <c r="C3589" s="4" t="s">
        <v>5483</v>
      </c>
      <c r="D3589" s="4" t="s">
        <v>1812</v>
      </c>
      <c r="E3589" s="5">
        <v>48.3641275995966</v>
      </c>
    </row>
    <row r="3590" ht="14.25" customHeight="1">
      <c r="A3590" s="4"/>
      <c r="B3590" s="4" t="s">
        <v>1802</v>
      </c>
      <c r="C3590" s="4" t="s">
        <v>1723</v>
      </c>
      <c r="D3590" s="4" t="s">
        <v>5484</v>
      </c>
      <c r="E3590" s="5">
        <v>0.0839669844534575</v>
      </c>
    </row>
    <row r="3591" ht="14.25" customHeight="1">
      <c r="A3591" s="4"/>
      <c r="B3591" s="4" t="s">
        <v>1802</v>
      </c>
      <c r="C3591" s="4" t="s">
        <v>5485</v>
      </c>
      <c r="D3591" s="4" t="s">
        <v>1812</v>
      </c>
      <c r="E3591" s="5">
        <v>48.3641275995966</v>
      </c>
    </row>
    <row r="3592" ht="14.25" customHeight="1">
      <c r="A3592" s="4"/>
      <c r="B3592" s="4" t="s">
        <v>1802</v>
      </c>
      <c r="C3592" s="4" t="s">
        <v>5486</v>
      </c>
      <c r="D3592" s="4" t="s">
        <v>5487</v>
      </c>
      <c r="E3592" s="5">
        <v>38.777868852914004</v>
      </c>
    </row>
    <row r="3593" ht="14.25" customHeight="1">
      <c r="A3593" s="4"/>
      <c r="B3593" s="4" t="s">
        <v>1802</v>
      </c>
      <c r="C3593" s="4" t="s">
        <v>5488</v>
      </c>
      <c r="D3593" s="4" t="s">
        <v>5489</v>
      </c>
      <c r="E3593" s="5">
        <v>43.165688052132005</v>
      </c>
    </row>
    <row r="3594" ht="14.25" customHeight="1">
      <c r="A3594" s="4"/>
      <c r="B3594" s="4" t="s">
        <v>1802</v>
      </c>
      <c r="C3594" s="4" t="s">
        <v>5490</v>
      </c>
      <c r="D3594" s="4" t="s">
        <v>5491</v>
      </c>
      <c r="E3594" s="5">
        <v>38.672094185477</v>
      </c>
    </row>
    <row r="3595" ht="14.25" customHeight="1">
      <c r="A3595" s="4"/>
      <c r="B3595" s="4" t="s">
        <v>1802</v>
      </c>
      <c r="C3595" s="4" t="s">
        <v>649</v>
      </c>
      <c r="D3595" s="4" t="s">
        <v>1812</v>
      </c>
      <c r="E3595" s="5">
        <v>48.3641275995966</v>
      </c>
    </row>
    <row r="3596" ht="14.25" customHeight="1">
      <c r="A3596" s="4"/>
      <c r="B3596" s="4" t="s">
        <v>1802</v>
      </c>
      <c r="C3596" s="4" t="s">
        <v>5492</v>
      </c>
      <c r="D3596" s="4" t="s">
        <v>1812</v>
      </c>
      <c r="E3596" s="5">
        <v>48.3641275995966</v>
      </c>
    </row>
    <row r="3597" ht="14.25" customHeight="1">
      <c r="A3597" s="4"/>
      <c r="B3597" s="4" t="s">
        <v>1802</v>
      </c>
      <c r="C3597" s="4" t="s">
        <v>5493</v>
      </c>
      <c r="D3597" s="4" t="s">
        <v>1812</v>
      </c>
      <c r="E3597" s="5">
        <v>48.3641275995966</v>
      </c>
    </row>
    <row r="3598" ht="14.25" customHeight="1">
      <c r="A3598" s="4"/>
      <c r="B3598" s="4" t="s">
        <v>1802</v>
      </c>
      <c r="C3598" s="4" t="s">
        <v>5494</v>
      </c>
      <c r="D3598" s="4" t="s">
        <v>1812</v>
      </c>
      <c r="E3598" s="5">
        <v>48.3641275995966</v>
      </c>
    </row>
    <row r="3599" ht="14.25" customHeight="1">
      <c r="A3599" s="4"/>
      <c r="B3599" s="4" t="s">
        <v>1802</v>
      </c>
      <c r="C3599" s="4" t="s">
        <v>5495</v>
      </c>
      <c r="D3599" s="4" t="s">
        <v>1837</v>
      </c>
      <c r="E3599" s="5">
        <v>9.672825519919328</v>
      </c>
    </row>
    <row r="3600" ht="14.25" customHeight="1">
      <c r="A3600" s="4"/>
      <c r="B3600" s="4" t="s">
        <v>1802</v>
      </c>
      <c r="C3600" s="4" t="s">
        <v>5496</v>
      </c>
      <c r="D3600" s="4" t="s">
        <v>5497</v>
      </c>
      <c r="E3600" s="5">
        <v>8.63660732173715</v>
      </c>
    </row>
    <row r="3601" ht="14.25" customHeight="1">
      <c r="A3601" s="4"/>
      <c r="B3601" s="4" t="s">
        <v>1802</v>
      </c>
      <c r="C3601" s="4" t="s">
        <v>5498</v>
      </c>
      <c r="D3601" s="4" t="s">
        <v>5499</v>
      </c>
      <c r="E3601" s="5">
        <v>13.8129870838781</v>
      </c>
    </row>
    <row r="3602" ht="14.25" customHeight="1">
      <c r="A3602" s="4"/>
      <c r="B3602" s="4" t="s">
        <v>1802</v>
      </c>
      <c r="C3602" s="4" t="s">
        <v>5500</v>
      </c>
      <c r="D3602" s="4" t="s">
        <v>5501</v>
      </c>
      <c r="E3602" s="5">
        <v>45.1322813961771</v>
      </c>
    </row>
    <row r="3603" ht="14.25" customHeight="1">
      <c r="A3603" s="4"/>
      <c r="B3603" s="4" t="s">
        <v>1802</v>
      </c>
      <c r="C3603" s="4" t="s">
        <v>5502</v>
      </c>
      <c r="D3603" s="4" t="s">
        <v>1812</v>
      </c>
      <c r="E3603" s="5">
        <v>48.3641275995966</v>
      </c>
    </row>
    <row r="3604" ht="14.25" customHeight="1">
      <c r="A3604" s="4"/>
      <c r="B3604" s="4" t="s">
        <v>1802</v>
      </c>
      <c r="C3604" s="4" t="s">
        <v>5503</v>
      </c>
      <c r="D3604" s="4" t="s">
        <v>2105</v>
      </c>
      <c r="E3604" s="5">
        <v>29.018476559758</v>
      </c>
    </row>
    <row r="3605" ht="14.25" customHeight="1">
      <c r="A3605" s="4"/>
      <c r="B3605" s="4" t="s">
        <v>1802</v>
      </c>
      <c r="C3605" s="4" t="s">
        <v>5504</v>
      </c>
      <c r="D3605" s="4" t="s">
        <v>5505</v>
      </c>
      <c r="E3605" s="5">
        <v>9.88630905008333</v>
      </c>
    </row>
    <row r="3606" ht="14.25" customHeight="1">
      <c r="A3606" s="4"/>
      <c r="B3606" s="4" t="s">
        <v>1802</v>
      </c>
      <c r="C3606" s="4" t="s">
        <v>5506</v>
      </c>
      <c r="D3606" s="4" t="s">
        <v>5507</v>
      </c>
      <c r="E3606" s="5">
        <v>0.88236150143429</v>
      </c>
    </row>
    <row r="3607" ht="14.25" customHeight="1">
      <c r="A3607" s="4"/>
      <c r="B3607" s="4" t="s">
        <v>1802</v>
      </c>
      <c r="C3607" s="4" t="s">
        <v>5508</v>
      </c>
      <c r="D3607" s="4" t="s">
        <v>1812</v>
      </c>
      <c r="E3607" s="5">
        <v>48.3641275995966</v>
      </c>
    </row>
    <row r="3608" ht="14.25" customHeight="1">
      <c r="A3608" s="4"/>
      <c r="B3608" s="4" t="s">
        <v>1802</v>
      </c>
      <c r="C3608" s="4" t="s">
        <v>5509</v>
      </c>
      <c r="D3608" s="4" t="s">
        <v>1821</v>
      </c>
      <c r="E3608" s="5">
        <v>19.3456510398386</v>
      </c>
    </row>
    <row r="3609" ht="14.25" customHeight="1">
      <c r="A3609" s="4"/>
      <c r="B3609" s="4" t="s">
        <v>1802</v>
      </c>
      <c r="C3609" s="4" t="s">
        <v>5510</v>
      </c>
      <c r="D3609" s="4" t="s">
        <v>5511</v>
      </c>
      <c r="E3609" s="5">
        <v>19.372180587735</v>
      </c>
    </row>
    <row r="3610" ht="14.25" customHeight="1">
      <c r="A3610" s="4"/>
      <c r="B3610" s="4" t="s">
        <v>1802</v>
      </c>
      <c r="C3610" s="4" t="s">
        <v>5512</v>
      </c>
      <c r="D3610" s="4" t="s">
        <v>1812</v>
      </c>
      <c r="E3610" s="5">
        <v>48.3641275995966</v>
      </c>
    </row>
    <row r="3611" ht="14.25" customHeight="1">
      <c r="A3611" s="4"/>
      <c r="B3611" s="4" t="s">
        <v>1802</v>
      </c>
      <c r="C3611" s="4" t="s">
        <v>5513</v>
      </c>
      <c r="D3611" s="4" t="s">
        <v>5514</v>
      </c>
      <c r="E3611" s="5">
        <v>5.39595388766116</v>
      </c>
    </row>
    <row r="3612" ht="14.25" customHeight="1">
      <c r="A3612" s="4"/>
      <c r="B3612" s="4" t="s">
        <v>1802</v>
      </c>
      <c r="C3612" s="4" t="s">
        <v>5515</v>
      </c>
      <c r="D3612" s="4" t="s">
        <v>5516</v>
      </c>
      <c r="E3612" s="5">
        <v>19.439258973849302</v>
      </c>
    </row>
    <row r="3613" ht="14.25" customHeight="1">
      <c r="A3613" s="4"/>
      <c r="B3613" s="4" t="s">
        <v>1802</v>
      </c>
      <c r="C3613" s="4" t="s">
        <v>5517</v>
      </c>
      <c r="D3613" s="4" t="s">
        <v>1837</v>
      </c>
      <c r="E3613" s="5">
        <v>9.672825519919328</v>
      </c>
    </row>
    <row r="3614" ht="14.25" customHeight="1">
      <c r="A3614" s="4"/>
      <c r="B3614" s="4" t="s">
        <v>1802</v>
      </c>
      <c r="C3614" s="4" t="s">
        <v>1541</v>
      </c>
      <c r="D3614" s="4" t="s">
        <v>5518</v>
      </c>
      <c r="E3614" s="5">
        <v>30.3471007042987</v>
      </c>
    </row>
    <row r="3615" ht="14.25" customHeight="1">
      <c r="A3615" s="4"/>
      <c r="B3615" s="4" t="s">
        <v>1802</v>
      </c>
      <c r="C3615" s="4" t="s">
        <v>5519</v>
      </c>
      <c r="D3615" s="4" t="s">
        <v>1812</v>
      </c>
      <c r="E3615" s="5">
        <v>48.3641275995966</v>
      </c>
    </row>
    <row r="3616" ht="14.25" customHeight="1">
      <c r="A3616" s="4"/>
      <c r="B3616" s="4" t="s">
        <v>1802</v>
      </c>
      <c r="C3616" s="4" t="s">
        <v>5520</v>
      </c>
      <c r="D3616" s="4" t="s">
        <v>1812</v>
      </c>
      <c r="E3616" s="5">
        <v>48.3641275995966</v>
      </c>
    </row>
    <row r="3617" ht="14.25" customHeight="1">
      <c r="A3617" s="4"/>
      <c r="B3617" s="4" t="s">
        <v>1802</v>
      </c>
      <c r="C3617" s="4" t="s">
        <v>5521</v>
      </c>
      <c r="D3617" s="4" t="s">
        <v>5522</v>
      </c>
      <c r="E3617" s="5">
        <v>46.8550189392348</v>
      </c>
    </row>
    <row r="3618" ht="14.25" customHeight="1">
      <c r="A3618" s="4"/>
      <c r="B3618" s="4" t="s">
        <v>1802</v>
      </c>
      <c r="C3618" s="4" t="s">
        <v>5523</v>
      </c>
      <c r="D3618" s="4" t="s">
        <v>1812</v>
      </c>
      <c r="E3618" s="5">
        <v>48.3641275995966</v>
      </c>
    </row>
    <row r="3619" ht="14.25" customHeight="1">
      <c r="A3619" s="4"/>
      <c r="B3619" s="4" t="s">
        <v>1802</v>
      </c>
      <c r="C3619" s="4" t="s">
        <v>5524</v>
      </c>
      <c r="D3619" s="4" t="s">
        <v>1812</v>
      </c>
      <c r="E3619" s="5">
        <v>48.3641275995966</v>
      </c>
    </row>
    <row r="3620" ht="14.25" customHeight="1">
      <c r="A3620" s="4"/>
      <c r="B3620" s="4" t="s">
        <v>1802</v>
      </c>
      <c r="C3620" s="4" t="s">
        <v>5525</v>
      </c>
      <c r="D3620" s="4" t="s">
        <v>5526</v>
      </c>
      <c r="E3620" s="5">
        <v>31.0142449976269</v>
      </c>
    </row>
    <row r="3621" ht="14.25" customHeight="1">
      <c r="A3621" s="4"/>
      <c r="B3621" s="4" t="s">
        <v>1802</v>
      </c>
      <c r="C3621" s="4" t="s">
        <v>5527</v>
      </c>
      <c r="D3621" s="4" t="s">
        <v>5528</v>
      </c>
      <c r="E3621" s="5">
        <v>5.94002125850699</v>
      </c>
    </row>
    <row r="3622" ht="14.25" customHeight="1">
      <c r="A3622" s="4"/>
      <c r="B3622" s="4" t="s">
        <v>1802</v>
      </c>
      <c r="C3622" s="4" t="s">
        <v>5529</v>
      </c>
      <c r="D3622" s="4" t="s">
        <v>5530</v>
      </c>
      <c r="E3622" s="5">
        <v>9.22959231420055</v>
      </c>
    </row>
    <row r="3623" ht="14.25" customHeight="1">
      <c r="A3623" s="4"/>
      <c r="B3623" s="4" t="s">
        <v>1802</v>
      </c>
      <c r="C3623" s="4" t="s">
        <v>5531</v>
      </c>
      <c r="D3623" s="4" t="s">
        <v>1812</v>
      </c>
      <c r="E3623" s="5">
        <v>48.3641275995966</v>
      </c>
    </row>
    <row r="3624" ht="14.25" customHeight="1">
      <c r="A3624" s="4"/>
      <c r="B3624" s="4" t="s">
        <v>1802</v>
      </c>
      <c r="C3624" s="4" t="s">
        <v>5532</v>
      </c>
      <c r="D3624" s="4" t="s">
        <v>5533</v>
      </c>
      <c r="E3624" s="5">
        <v>28.003397862468898</v>
      </c>
    </row>
    <row r="3625" ht="14.25" customHeight="1">
      <c r="A3625" s="4"/>
      <c r="B3625" s="4" t="s">
        <v>1802</v>
      </c>
      <c r="C3625" s="4" t="s">
        <v>5534</v>
      </c>
      <c r="D3625" s="4" t="s">
        <v>5535</v>
      </c>
      <c r="E3625" s="5">
        <v>19.440575369166798</v>
      </c>
    </row>
    <row r="3626" ht="14.25" customHeight="1">
      <c r="A3626" s="4"/>
      <c r="B3626" s="4" t="s">
        <v>1802</v>
      </c>
      <c r="C3626" s="4" t="s">
        <v>5536</v>
      </c>
      <c r="D3626" s="4" t="s">
        <v>5537</v>
      </c>
      <c r="E3626" s="5">
        <v>6.34061853921937</v>
      </c>
    </row>
    <row r="3627" ht="14.25" customHeight="1">
      <c r="A3627" s="4"/>
      <c r="B3627" s="4" t="s">
        <v>1802</v>
      </c>
      <c r="C3627" s="4" t="s">
        <v>5538</v>
      </c>
      <c r="D3627" s="4" t="s">
        <v>5539</v>
      </c>
      <c r="E3627" s="5">
        <v>33.862525622838696</v>
      </c>
    </row>
    <row r="3628" ht="14.25" customHeight="1">
      <c r="A3628" s="4"/>
      <c r="B3628" s="4" t="s">
        <v>1802</v>
      </c>
      <c r="C3628" s="4" t="s">
        <v>5540</v>
      </c>
      <c r="D3628" s="4" t="s">
        <v>5541</v>
      </c>
      <c r="E3628" s="5">
        <v>20.2672015567092</v>
      </c>
    </row>
    <row r="3629" ht="14.25" customHeight="1">
      <c r="A3629" s="4"/>
      <c r="B3629" s="4" t="s">
        <v>1802</v>
      </c>
      <c r="C3629" s="4" t="s">
        <v>5542</v>
      </c>
      <c r="D3629" s="4" t="s">
        <v>1837</v>
      </c>
      <c r="E3629" s="5">
        <v>9.672825519919328</v>
      </c>
    </row>
    <row r="3630" ht="14.25" customHeight="1">
      <c r="A3630" s="4"/>
      <c r="B3630" s="4" t="s">
        <v>1802</v>
      </c>
      <c r="C3630" s="4" t="s">
        <v>5543</v>
      </c>
      <c r="D3630" s="4" t="s">
        <v>1837</v>
      </c>
      <c r="E3630" s="5">
        <v>9.672825519919328</v>
      </c>
    </row>
    <row r="3631" ht="14.25" customHeight="1">
      <c r="A3631" s="4"/>
      <c r="B3631" s="4" t="s">
        <v>1802</v>
      </c>
      <c r="C3631" s="4" t="s">
        <v>1763</v>
      </c>
      <c r="D3631" s="4" t="s">
        <v>1812</v>
      </c>
      <c r="E3631" s="5">
        <v>48.3641275995966</v>
      </c>
    </row>
    <row r="3632" ht="14.25" customHeight="1">
      <c r="A3632" s="4"/>
      <c r="B3632" s="4" t="s">
        <v>1802</v>
      </c>
      <c r="C3632" s="4" t="s">
        <v>5544</v>
      </c>
      <c r="D3632" s="4" t="s">
        <v>5545</v>
      </c>
      <c r="E3632" s="5">
        <v>19.4820659634374</v>
      </c>
    </row>
    <row r="3633" ht="14.25" customHeight="1">
      <c r="A3633" s="4"/>
      <c r="B3633" s="4" t="s">
        <v>1802</v>
      </c>
      <c r="C3633" s="4" t="s">
        <v>5546</v>
      </c>
      <c r="D3633" s="4" t="s">
        <v>5547</v>
      </c>
      <c r="E3633" s="5">
        <v>43.6631510659294</v>
      </c>
    </row>
    <row r="3634" ht="14.25" customHeight="1">
      <c r="A3634" s="4"/>
      <c r="B3634" s="4" t="s">
        <v>1802</v>
      </c>
      <c r="C3634" s="4" t="s">
        <v>5548</v>
      </c>
      <c r="D3634" s="4" t="s">
        <v>1812</v>
      </c>
      <c r="E3634" s="5">
        <v>48.3641275995966</v>
      </c>
    </row>
    <row r="3635" ht="14.25" customHeight="1">
      <c r="A3635" s="4"/>
      <c r="B3635" s="4" t="s">
        <v>1802</v>
      </c>
      <c r="C3635" s="4" t="s">
        <v>5549</v>
      </c>
      <c r="D3635" s="4" t="s">
        <v>1821</v>
      </c>
      <c r="E3635" s="5">
        <v>19.3456510398386</v>
      </c>
    </row>
    <row r="3636" ht="14.25" customHeight="1">
      <c r="A3636" s="4"/>
      <c r="B3636" s="4" t="s">
        <v>1802</v>
      </c>
      <c r="C3636" s="4" t="s">
        <v>5550</v>
      </c>
      <c r="D3636" s="4" t="s">
        <v>5551</v>
      </c>
      <c r="E3636" s="5">
        <v>38.7201301086831</v>
      </c>
    </row>
    <row r="3637" ht="14.25" customHeight="1">
      <c r="A3637" s="4"/>
      <c r="B3637" s="4" t="s">
        <v>1802</v>
      </c>
      <c r="C3637" s="4" t="s">
        <v>1105</v>
      </c>
      <c r="D3637" s="4" t="s">
        <v>5552</v>
      </c>
      <c r="E3637" s="5">
        <v>21.7048269993353</v>
      </c>
    </row>
    <row r="3638" ht="14.25" customHeight="1">
      <c r="A3638" s="4"/>
      <c r="B3638" s="4" t="s">
        <v>1802</v>
      </c>
      <c r="C3638" s="4" t="s">
        <v>56</v>
      </c>
      <c r="D3638" s="4" t="s">
        <v>1812</v>
      </c>
      <c r="E3638" s="5">
        <v>48.3641275995966</v>
      </c>
    </row>
    <row r="3639" ht="14.25" customHeight="1">
      <c r="A3639" s="4"/>
      <c r="B3639" s="4" t="s">
        <v>1802</v>
      </c>
      <c r="C3639" s="4" t="s">
        <v>5553</v>
      </c>
      <c r="D3639" s="4" t="s">
        <v>1812</v>
      </c>
      <c r="E3639" s="5">
        <v>48.3641275995966</v>
      </c>
    </row>
    <row r="3640" ht="14.25" customHeight="1">
      <c r="A3640" s="4"/>
      <c r="B3640" s="4" t="s">
        <v>1802</v>
      </c>
      <c r="C3640" s="4" t="s">
        <v>5554</v>
      </c>
      <c r="D3640" s="4" t="s">
        <v>1812</v>
      </c>
      <c r="E3640" s="5">
        <v>48.3641275995966</v>
      </c>
    </row>
    <row r="3641" ht="14.25" customHeight="1">
      <c r="A3641" s="4"/>
      <c r="B3641" s="4" t="s">
        <v>1802</v>
      </c>
      <c r="C3641" s="4" t="s">
        <v>5555</v>
      </c>
      <c r="D3641" s="4" t="s">
        <v>5556</v>
      </c>
      <c r="E3641" s="5">
        <v>2.74597423370116</v>
      </c>
    </row>
    <row r="3642" ht="14.25" customHeight="1">
      <c r="A3642" s="4"/>
      <c r="B3642" s="4" t="s">
        <v>1802</v>
      </c>
      <c r="C3642" s="4" t="s">
        <v>5557</v>
      </c>
      <c r="D3642" s="4" t="s">
        <v>1812</v>
      </c>
      <c r="E3642" s="5">
        <v>48.3641275995966</v>
      </c>
    </row>
    <row r="3643" ht="14.25" customHeight="1">
      <c r="A3643" s="4"/>
      <c r="B3643" s="4" t="s">
        <v>1802</v>
      </c>
      <c r="C3643" s="4" t="s">
        <v>5558</v>
      </c>
      <c r="D3643" s="4" t="s">
        <v>5559</v>
      </c>
      <c r="E3643" s="5">
        <v>46.2346199496244</v>
      </c>
    </row>
    <row r="3644" ht="14.25" customHeight="1">
      <c r="A3644" s="4"/>
      <c r="B3644" s="4" t="s">
        <v>1802</v>
      </c>
      <c r="C3644" s="4" t="s">
        <v>5560</v>
      </c>
      <c r="D3644" s="4" t="s">
        <v>5561</v>
      </c>
      <c r="E3644" s="5">
        <v>41.3919409757019</v>
      </c>
    </row>
    <row r="3645" ht="14.25" customHeight="1">
      <c r="A3645" s="4"/>
      <c r="B3645" s="4" t="s">
        <v>1802</v>
      </c>
      <c r="C3645" s="4" t="s">
        <v>5562</v>
      </c>
      <c r="D3645" s="4" t="s">
        <v>5563</v>
      </c>
      <c r="E3645" s="5">
        <v>40.213117160063305</v>
      </c>
    </row>
    <row r="3646" ht="14.25" customHeight="1">
      <c r="A3646" s="4"/>
      <c r="B3646" s="4" t="s">
        <v>1802</v>
      </c>
      <c r="C3646" s="4" t="s">
        <v>5564</v>
      </c>
      <c r="D3646" s="4" t="s">
        <v>1812</v>
      </c>
      <c r="E3646" s="5">
        <v>48.3641275995966</v>
      </c>
    </row>
    <row r="3647" ht="14.25" customHeight="1">
      <c r="A3647" s="4"/>
      <c r="B3647" s="4" t="s">
        <v>1802</v>
      </c>
      <c r="C3647" s="4" t="s">
        <v>5565</v>
      </c>
      <c r="D3647" s="4" t="s">
        <v>1812</v>
      </c>
      <c r="E3647" s="5">
        <v>48.3641275995966</v>
      </c>
    </row>
    <row r="3648" ht="14.25" customHeight="1">
      <c r="A3648" s="4"/>
      <c r="B3648" s="4" t="s">
        <v>1802</v>
      </c>
      <c r="C3648" s="4" t="s">
        <v>5566</v>
      </c>
      <c r="D3648" s="4" t="s">
        <v>5567</v>
      </c>
      <c r="E3648" s="5">
        <v>46.7187230181871</v>
      </c>
    </row>
    <row r="3649" ht="14.25" customHeight="1">
      <c r="A3649" s="4"/>
      <c r="B3649" s="4" t="s">
        <v>1802</v>
      </c>
      <c r="C3649" s="4" t="s">
        <v>5568</v>
      </c>
      <c r="D3649" s="4" t="s">
        <v>5569</v>
      </c>
      <c r="E3649" s="5">
        <v>9.7576360804454</v>
      </c>
    </row>
    <row r="3650" ht="14.25" customHeight="1">
      <c r="A3650" s="4"/>
      <c r="B3650" s="4" t="s">
        <v>1802</v>
      </c>
      <c r="C3650" s="4" t="s">
        <v>5570</v>
      </c>
      <c r="D3650" s="4" t="s">
        <v>5571</v>
      </c>
      <c r="E3650" s="5">
        <v>9.67282566868738</v>
      </c>
    </row>
    <row r="3651" ht="14.25" customHeight="1">
      <c r="A3651" s="4"/>
      <c r="B3651" s="4" t="s">
        <v>1802</v>
      </c>
      <c r="C3651" s="4" t="s">
        <v>5572</v>
      </c>
      <c r="D3651" s="4" t="s">
        <v>1812</v>
      </c>
      <c r="E3651" s="5">
        <v>48.3641275995966</v>
      </c>
    </row>
    <row r="3652" ht="14.25" customHeight="1">
      <c r="A3652" s="4"/>
      <c r="B3652" s="4" t="s">
        <v>1802</v>
      </c>
      <c r="C3652" s="4" t="s">
        <v>5573</v>
      </c>
      <c r="D3652" s="4" t="s">
        <v>5574</v>
      </c>
      <c r="E3652" s="5">
        <v>6.34896783303172</v>
      </c>
    </row>
    <row r="3653" ht="14.25" customHeight="1">
      <c r="A3653" s="4"/>
      <c r="B3653" s="4" t="s">
        <v>1802</v>
      </c>
      <c r="C3653" s="4" t="s">
        <v>5575</v>
      </c>
      <c r="D3653" s="4" t="s">
        <v>5576</v>
      </c>
      <c r="E3653" s="5">
        <v>8.88404324741616</v>
      </c>
    </row>
    <row r="3654" ht="14.25" customHeight="1">
      <c r="A3654" s="4"/>
      <c r="B3654" s="4" t="s">
        <v>1802</v>
      </c>
      <c r="C3654" s="4" t="s">
        <v>5577</v>
      </c>
      <c r="D3654" s="4" t="s">
        <v>5578</v>
      </c>
      <c r="E3654" s="5">
        <v>46.02671719249221</v>
      </c>
    </row>
    <row r="3655" ht="14.25" customHeight="1">
      <c r="A3655" s="4"/>
      <c r="B3655" s="4" t="s">
        <v>1802</v>
      </c>
      <c r="C3655" s="4" t="s">
        <v>5579</v>
      </c>
      <c r="D3655" s="4" t="s">
        <v>5580</v>
      </c>
      <c r="E3655" s="5">
        <v>4.801141208346859</v>
      </c>
    </row>
    <row r="3656" ht="14.25" customHeight="1">
      <c r="A3656" s="4"/>
      <c r="B3656" s="4" t="s">
        <v>1802</v>
      </c>
      <c r="C3656" s="4" t="s">
        <v>5581</v>
      </c>
      <c r="D3656" s="4" t="s">
        <v>1812</v>
      </c>
      <c r="E3656" s="5">
        <v>48.3641275995966</v>
      </c>
    </row>
    <row r="3657" ht="14.25" customHeight="1">
      <c r="A3657" s="4"/>
      <c r="B3657" s="4" t="s">
        <v>1802</v>
      </c>
      <c r="C3657" s="4" t="s">
        <v>5582</v>
      </c>
      <c r="D3657" s="4" t="s">
        <v>1812</v>
      </c>
      <c r="E3657" s="5">
        <v>48.3641275995966</v>
      </c>
    </row>
    <row r="3658" ht="14.25" customHeight="1">
      <c r="A3658" s="4"/>
      <c r="B3658" s="4" t="s">
        <v>1802</v>
      </c>
      <c r="C3658" s="4" t="s">
        <v>5583</v>
      </c>
      <c r="D3658" s="4" t="s">
        <v>1812</v>
      </c>
      <c r="E3658" s="5">
        <v>48.3641275995966</v>
      </c>
    </row>
    <row r="3659" ht="14.25" customHeight="1">
      <c r="A3659" s="4"/>
      <c r="B3659" s="4" t="s">
        <v>1802</v>
      </c>
      <c r="C3659" s="4" t="s">
        <v>5584</v>
      </c>
      <c r="D3659" s="4" t="s">
        <v>5585</v>
      </c>
      <c r="E3659" s="5">
        <v>48.1517441745467</v>
      </c>
    </row>
    <row r="3660" ht="14.25" customHeight="1">
      <c r="A3660" s="4"/>
      <c r="B3660" s="4" t="s">
        <v>1802</v>
      </c>
      <c r="C3660" s="4" t="s">
        <v>5586</v>
      </c>
      <c r="D3660" s="4" t="s">
        <v>1812</v>
      </c>
      <c r="E3660" s="5">
        <v>48.3641275995966</v>
      </c>
    </row>
    <row r="3661" ht="14.25" customHeight="1">
      <c r="A3661" s="4"/>
      <c r="B3661" s="4" t="s">
        <v>1802</v>
      </c>
      <c r="C3661" s="4" t="s">
        <v>5587</v>
      </c>
      <c r="D3661" s="4" t="s">
        <v>1812</v>
      </c>
      <c r="E3661" s="5">
        <v>48.3641275995966</v>
      </c>
    </row>
    <row r="3662" ht="14.25" customHeight="1">
      <c r="A3662" s="4"/>
      <c r="B3662" s="4" t="s">
        <v>1802</v>
      </c>
      <c r="C3662" s="4" t="s">
        <v>5588</v>
      </c>
      <c r="D3662" s="4" t="s">
        <v>1837</v>
      </c>
      <c r="E3662" s="5">
        <v>9.672825519919328</v>
      </c>
    </row>
    <row r="3663" ht="14.25" customHeight="1">
      <c r="A3663" s="4"/>
      <c r="B3663" s="4" t="s">
        <v>1802</v>
      </c>
      <c r="C3663" s="4" t="s">
        <v>5589</v>
      </c>
      <c r="D3663" s="4" t="s">
        <v>5590</v>
      </c>
      <c r="E3663" s="5">
        <v>3.5199496248490902</v>
      </c>
    </row>
    <row r="3664" ht="14.25" customHeight="1">
      <c r="A3664" s="4"/>
      <c r="B3664" s="4" t="s">
        <v>1802</v>
      </c>
      <c r="C3664" s="4" t="s">
        <v>5591</v>
      </c>
      <c r="D3664" s="4" t="s">
        <v>5592</v>
      </c>
      <c r="E3664" s="5">
        <v>7.1650062643361005</v>
      </c>
    </row>
    <row r="3665" ht="14.25" customHeight="1">
      <c r="A3665" s="4"/>
      <c r="B3665" s="4" t="s">
        <v>1802</v>
      </c>
      <c r="C3665" s="4" t="s">
        <v>5593</v>
      </c>
      <c r="D3665" s="4" t="s">
        <v>5594</v>
      </c>
      <c r="E3665" s="5">
        <v>26.0168023707481</v>
      </c>
    </row>
    <row r="3666" ht="14.25" customHeight="1">
      <c r="A3666" s="4"/>
      <c r="B3666" s="4" t="s">
        <v>1802</v>
      </c>
      <c r="C3666" s="4" t="s">
        <v>210</v>
      </c>
      <c r="D3666" s="4" t="s">
        <v>1812</v>
      </c>
      <c r="E3666" s="5">
        <v>48.3641275995966</v>
      </c>
    </row>
    <row r="3667" ht="14.25" customHeight="1">
      <c r="A3667" s="4"/>
      <c r="B3667" s="4" t="s">
        <v>1802</v>
      </c>
      <c r="C3667" s="4" t="s">
        <v>5595</v>
      </c>
      <c r="D3667" s="4" t="s">
        <v>5596</v>
      </c>
      <c r="E3667" s="5">
        <v>35.6173427316149</v>
      </c>
    </row>
    <row r="3668" ht="14.25" customHeight="1">
      <c r="A3668" s="4"/>
      <c r="B3668" s="4" t="s">
        <v>1802</v>
      </c>
      <c r="C3668" s="4" t="s">
        <v>5597</v>
      </c>
      <c r="D3668" s="4" t="s">
        <v>1812</v>
      </c>
      <c r="E3668" s="5">
        <v>48.3641275995966</v>
      </c>
    </row>
    <row r="3669" ht="14.25" customHeight="1">
      <c r="A3669" s="4"/>
      <c r="B3669" s="4" t="s">
        <v>1802</v>
      </c>
      <c r="C3669" s="4" t="s">
        <v>5598</v>
      </c>
      <c r="D3669" s="4" t="s">
        <v>5599</v>
      </c>
      <c r="E3669" s="5">
        <v>19.778661123236</v>
      </c>
    </row>
    <row r="3670" ht="14.25" customHeight="1">
      <c r="A3670" s="4"/>
      <c r="B3670" s="4" t="s">
        <v>1802</v>
      </c>
      <c r="C3670" s="4" t="s">
        <v>298</v>
      </c>
      <c r="D3670" s="4" t="s">
        <v>5600</v>
      </c>
      <c r="E3670" s="5">
        <v>13.3098941276392</v>
      </c>
    </row>
    <row r="3671" ht="14.25" customHeight="1">
      <c r="A3671" s="4"/>
      <c r="B3671" s="4" t="s">
        <v>1802</v>
      </c>
      <c r="C3671" s="4" t="s">
        <v>5601</v>
      </c>
      <c r="D3671" s="4" t="s">
        <v>5602</v>
      </c>
      <c r="E3671" s="5">
        <v>2.81894369137052</v>
      </c>
    </row>
    <row r="3672" ht="14.25" customHeight="1">
      <c r="A3672" s="4"/>
      <c r="B3672" s="4" t="s">
        <v>1802</v>
      </c>
      <c r="C3672" s="4" t="s">
        <v>5603</v>
      </c>
      <c r="D3672" s="4" t="s">
        <v>5604</v>
      </c>
      <c r="E3672" s="5">
        <v>4.31439593719886</v>
      </c>
    </row>
    <row r="3673" ht="14.25" customHeight="1">
      <c r="A3673" s="4"/>
      <c r="B3673" s="4" t="s">
        <v>1802</v>
      </c>
      <c r="C3673" s="4" t="s">
        <v>5605</v>
      </c>
      <c r="D3673" s="4" t="s">
        <v>5606</v>
      </c>
      <c r="E3673" s="5">
        <v>10.236243500225699</v>
      </c>
    </row>
    <row r="3674" ht="14.25" customHeight="1">
      <c r="A3674" s="4"/>
      <c r="B3674" s="4" t="s">
        <v>1802</v>
      </c>
      <c r="C3674" s="4" t="s">
        <v>5607</v>
      </c>
      <c r="D3674" s="4" t="s">
        <v>1812</v>
      </c>
      <c r="E3674" s="5">
        <v>48.3641275995966</v>
      </c>
    </row>
    <row r="3675" ht="14.25" customHeight="1">
      <c r="A3675" s="4"/>
      <c r="B3675" s="4" t="s">
        <v>1802</v>
      </c>
      <c r="C3675" s="4" t="s">
        <v>5608</v>
      </c>
      <c r="D3675" s="4" t="s">
        <v>5609</v>
      </c>
      <c r="E3675" s="5">
        <v>38.300116917748596</v>
      </c>
    </row>
    <row r="3676" ht="14.25" customHeight="1">
      <c r="A3676" s="4"/>
      <c r="B3676" s="4" t="s">
        <v>1802</v>
      </c>
      <c r="C3676" s="4" t="s">
        <v>1732</v>
      </c>
      <c r="D3676" s="4" t="s">
        <v>5610</v>
      </c>
      <c r="E3676" s="5">
        <v>42.2477799415241</v>
      </c>
    </row>
    <row r="3677" ht="14.25" customHeight="1">
      <c r="A3677" s="4"/>
      <c r="B3677" s="4" t="s">
        <v>1802</v>
      </c>
      <c r="C3677" s="4" t="s">
        <v>5611</v>
      </c>
      <c r="D3677" s="4" t="s">
        <v>1837</v>
      </c>
      <c r="E3677" s="5">
        <v>9.672825519919328</v>
      </c>
    </row>
    <row r="3678" ht="14.25" customHeight="1">
      <c r="A3678" s="4"/>
      <c r="B3678" s="4" t="s">
        <v>1802</v>
      </c>
      <c r="C3678" s="4" t="s">
        <v>5612</v>
      </c>
      <c r="D3678" s="4" t="s">
        <v>1837</v>
      </c>
      <c r="E3678" s="5">
        <v>9.672825519919328</v>
      </c>
    </row>
    <row r="3679" ht="14.25" customHeight="1">
      <c r="A3679" s="4"/>
      <c r="B3679" s="4" t="s">
        <v>1802</v>
      </c>
      <c r="C3679" s="4" t="s">
        <v>5613</v>
      </c>
      <c r="D3679" s="4" t="s">
        <v>5614</v>
      </c>
      <c r="E3679" s="5">
        <v>47.2832155985446</v>
      </c>
    </row>
    <row r="3680" ht="14.25" customHeight="1">
      <c r="A3680" s="4"/>
      <c r="B3680" s="4" t="s">
        <v>1802</v>
      </c>
      <c r="C3680" s="4" t="s">
        <v>5615</v>
      </c>
      <c r="D3680" s="4" t="s">
        <v>5616</v>
      </c>
      <c r="E3680" s="5">
        <v>47.963026916649504</v>
      </c>
    </row>
    <row r="3681" ht="14.25" customHeight="1">
      <c r="A3681" s="4"/>
      <c r="B3681" s="4" t="s">
        <v>1802</v>
      </c>
      <c r="C3681" s="4" t="s">
        <v>5617</v>
      </c>
      <c r="D3681" s="4" t="s">
        <v>1812</v>
      </c>
      <c r="E3681" s="5">
        <v>48.3641275995966</v>
      </c>
    </row>
    <row r="3682" ht="14.25" customHeight="1">
      <c r="A3682" s="4"/>
      <c r="B3682" s="4" t="s">
        <v>1802</v>
      </c>
      <c r="C3682" s="4" t="s">
        <v>5618</v>
      </c>
      <c r="D3682" s="4" t="s">
        <v>5619</v>
      </c>
      <c r="E3682" s="5">
        <v>10.4084643815575</v>
      </c>
    </row>
    <row r="3683" ht="14.25" customHeight="1">
      <c r="A3683" s="4"/>
      <c r="B3683" s="4" t="s">
        <v>1802</v>
      </c>
      <c r="C3683" s="4" t="s">
        <v>5620</v>
      </c>
      <c r="D3683" s="4" t="s">
        <v>5621</v>
      </c>
      <c r="E3683" s="5">
        <v>10.0036321462162</v>
      </c>
    </row>
    <row r="3684" ht="14.25" customHeight="1">
      <c r="A3684" s="4"/>
      <c r="B3684" s="4" t="s">
        <v>1802</v>
      </c>
      <c r="C3684" s="4" t="s">
        <v>5622</v>
      </c>
      <c r="D3684" s="4" t="s">
        <v>5623</v>
      </c>
      <c r="E3684" s="5">
        <v>26.784250530417</v>
      </c>
    </row>
    <row r="3685" ht="14.25" customHeight="1">
      <c r="A3685" s="4"/>
      <c r="B3685" s="4" t="s">
        <v>1802</v>
      </c>
      <c r="C3685" s="4" t="s">
        <v>5624</v>
      </c>
      <c r="D3685" s="4" t="s">
        <v>1812</v>
      </c>
      <c r="E3685" s="5">
        <v>48.3641275995966</v>
      </c>
    </row>
    <row r="3686" ht="14.25" customHeight="1">
      <c r="A3686" s="4"/>
      <c r="B3686" s="4" t="s">
        <v>1802</v>
      </c>
      <c r="C3686" s="4" t="s">
        <v>5625</v>
      </c>
      <c r="D3686" s="4" t="s">
        <v>5626</v>
      </c>
      <c r="E3686" s="5">
        <v>9.998923674758691</v>
      </c>
    </row>
    <row r="3687" ht="14.25" customHeight="1">
      <c r="A3687" s="4"/>
      <c r="B3687" s="4" t="s">
        <v>1802</v>
      </c>
      <c r="C3687" s="4" t="s">
        <v>5627</v>
      </c>
      <c r="D3687" s="4" t="s">
        <v>5628</v>
      </c>
      <c r="E3687" s="5">
        <v>45.3674255199822</v>
      </c>
    </row>
    <row r="3688" ht="14.25" customHeight="1">
      <c r="A3688" s="4"/>
      <c r="B3688" s="4" t="s">
        <v>1802</v>
      </c>
      <c r="C3688" s="4" t="s">
        <v>5629</v>
      </c>
      <c r="D3688" s="4" t="s">
        <v>5630</v>
      </c>
      <c r="E3688" s="5">
        <v>6.755136885984499</v>
      </c>
    </row>
    <row r="3689" ht="14.25" customHeight="1">
      <c r="A3689" s="4"/>
      <c r="B3689" s="4" t="s">
        <v>1802</v>
      </c>
      <c r="C3689" s="4" t="s">
        <v>5631</v>
      </c>
      <c r="D3689" s="4" t="s">
        <v>5632</v>
      </c>
      <c r="E3689" s="5">
        <v>30.4668996547531</v>
      </c>
    </row>
    <row r="3690" ht="14.25" customHeight="1">
      <c r="A3690" s="4"/>
      <c r="B3690" s="4" t="s">
        <v>1802</v>
      </c>
      <c r="C3690" s="4" t="s">
        <v>5633</v>
      </c>
      <c r="D3690" s="4" t="s">
        <v>1812</v>
      </c>
      <c r="E3690" s="5">
        <v>48.3641275995966</v>
      </c>
    </row>
    <row r="3691" ht="14.25" customHeight="1">
      <c r="A3691" s="4"/>
      <c r="B3691" s="4" t="s">
        <v>1802</v>
      </c>
      <c r="C3691" s="4" t="s">
        <v>133</v>
      </c>
      <c r="D3691" s="4" t="s">
        <v>1812</v>
      </c>
      <c r="E3691" s="5">
        <v>48.3641275995966</v>
      </c>
    </row>
    <row r="3692" ht="14.25" customHeight="1">
      <c r="A3692" s="4"/>
      <c r="B3692" s="4" t="s">
        <v>1802</v>
      </c>
      <c r="C3692" s="4" t="s">
        <v>5634</v>
      </c>
      <c r="D3692" s="4" t="s">
        <v>5635</v>
      </c>
      <c r="E3692" s="5">
        <v>5.4189400541989</v>
      </c>
    </row>
    <row r="3693" ht="14.25" customHeight="1">
      <c r="A3693" s="4"/>
      <c r="B3693" s="4" t="s">
        <v>1802</v>
      </c>
      <c r="C3693" s="4" t="s">
        <v>5636</v>
      </c>
      <c r="D3693" s="4" t="s">
        <v>5637</v>
      </c>
      <c r="E3693" s="5">
        <v>19.9260205710338</v>
      </c>
    </row>
    <row r="3694" ht="14.25" customHeight="1">
      <c r="A3694" s="4"/>
      <c r="B3694" s="4" t="s">
        <v>1802</v>
      </c>
      <c r="C3694" s="4" t="s">
        <v>5638</v>
      </c>
      <c r="D3694" s="4" t="s">
        <v>5639</v>
      </c>
      <c r="E3694" s="5">
        <v>22.8673605770975</v>
      </c>
    </row>
    <row r="3695" ht="14.25" customHeight="1">
      <c r="A3695" s="4"/>
      <c r="B3695" s="4" t="s">
        <v>1802</v>
      </c>
      <c r="C3695" s="4" t="s">
        <v>5640</v>
      </c>
      <c r="D3695" s="4" t="s">
        <v>5641</v>
      </c>
      <c r="E3695" s="5">
        <v>48.290680596808706</v>
      </c>
    </row>
    <row r="3696" ht="14.25" customHeight="1">
      <c r="A3696" s="4"/>
      <c r="B3696" s="4" t="s">
        <v>1802</v>
      </c>
      <c r="C3696" s="4" t="s">
        <v>5642</v>
      </c>
      <c r="D3696" s="4" t="s">
        <v>5643</v>
      </c>
      <c r="E3696" s="5">
        <v>0.54788501474144</v>
      </c>
    </row>
    <row r="3697" ht="14.25" customHeight="1">
      <c r="A3697" s="4"/>
      <c r="B3697" s="4" t="s">
        <v>1802</v>
      </c>
      <c r="C3697" s="4" t="s">
        <v>5644</v>
      </c>
      <c r="D3697" s="4" t="s">
        <v>5645</v>
      </c>
      <c r="E3697" s="5">
        <v>48.172568200348</v>
      </c>
    </row>
    <row r="3698" ht="14.25" customHeight="1">
      <c r="A3698" s="4"/>
      <c r="B3698" s="4" t="s">
        <v>1802</v>
      </c>
      <c r="C3698" s="4" t="s">
        <v>5646</v>
      </c>
      <c r="D3698" s="4" t="s">
        <v>1812</v>
      </c>
      <c r="E3698" s="5">
        <v>48.3641275995966</v>
      </c>
    </row>
    <row r="3699" ht="14.25" customHeight="1">
      <c r="A3699" s="4"/>
      <c r="B3699" s="4" t="s">
        <v>1802</v>
      </c>
      <c r="C3699" s="4" t="s">
        <v>5647</v>
      </c>
      <c r="D3699" s="4" t="s">
        <v>5648</v>
      </c>
      <c r="E3699" s="5">
        <v>48.0656608660158</v>
      </c>
    </row>
    <row r="3700" ht="14.25" customHeight="1">
      <c r="A3700" s="4"/>
      <c r="B3700" s="4" t="s">
        <v>1802</v>
      </c>
      <c r="C3700" s="4" t="s">
        <v>1739</v>
      </c>
      <c r="D3700" s="4" t="s">
        <v>5649</v>
      </c>
      <c r="E3700" s="5">
        <v>47.2158274980628</v>
      </c>
    </row>
    <row r="3701" ht="14.25" customHeight="1">
      <c r="A3701" s="4"/>
      <c r="B3701" s="4" t="s">
        <v>1802</v>
      </c>
      <c r="C3701" s="4" t="s">
        <v>5650</v>
      </c>
      <c r="D3701" s="4" t="s">
        <v>2062</v>
      </c>
      <c r="E3701" s="5">
        <v>9.86628203031772</v>
      </c>
    </row>
    <row r="3702" ht="14.25" customHeight="1">
      <c r="A3702" s="4"/>
      <c r="B3702" s="4" t="s">
        <v>1802</v>
      </c>
      <c r="C3702" s="4" t="s">
        <v>5651</v>
      </c>
      <c r="D3702" s="4" t="s">
        <v>5652</v>
      </c>
      <c r="E3702" s="5">
        <v>5.81765582526807</v>
      </c>
    </row>
    <row r="3703" ht="14.25" customHeight="1">
      <c r="A3703" s="4"/>
      <c r="B3703" s="4" t="s">
        <v>1802</v>
      </c>
      <c r="C3703" s="4" t="s">
        <v>5653</v>
      </c>
      <c r="D3703" s="4" t="s">
        <v>5654</v>
      </c>
      <c r="E3703" s="5">
        <v>34.464088082108695</v>
      </c>
    </row>
    <row r="3704" ht="14.25" customHeight="1">
      <c r="A3704" s="4"/>
      <c r="B3704" s="4" t="s">
        <v>1802</v>
      </c>
      <c r="C3704" s="4" t="s">
        <v>5655</v>
      </c>
      <c r="D3704" s="4" t="s">
        <v>5656</v>
      </c>
      <c r="E3704" s="5">
        <v>34.7039449866854</v>
      </c>
    </row>
    <row r="3705" ht="14.25" customHeight="1">
      <c r="A3705" s="4"/>
      <c r="B3705" s="4" t="s">
        <v>1802</v>
      </c>
      <c r="C3705" s="4" t="s">
        <v>5657</v>
      </c>
      <c r="D3705" s="4" t="s">
        <v>5658</v>
      </c>
      <c r="E3705" s="5">
        <v>10.0123416956685</v>
      </c>
    </row>
    <row r="3706" ht="14.25" customHeight="1">
      <c r="A3706" s="4"/>
      <c r="B3706" s="4" t="s">
        <v>1802</v>
      </c>
      <c r="C3706" s="4" t="s">
        <v>5659</v>
      </c>
      <c r="D3706" s="4" t="s">
        <v>1812</v>
      </c>
      <c r="E3706" s="5">
        <v>48.3641275995966</v>
      </c>
    </row>
    <row r="3707" ht="14.25" customHeight="1">
      <c r="A3707" s="4"/>
      <c r="B3707" s="4" t="s">
        <v>1802</v>
      </c>
      <c r="C3707" s="4" t="s">
        <v>5660</v>
      </c>
      <c r="D3707" s="4" t="s">
        <v>5661</v>
      </c>
      <c r="E3707" s="5">
        <v>7.1578908847403</v>
      </c>
    </row>
    <row r="3708" ht="14.25" customHeight="1">
      <c r="A3708" s="4"/>
      <c r="B3708" s="4" t="s">
        <v>1802</v>
      </c>
      <c r="C3708" s="4" t="s">
        <v>1370</v>
      </c>
      <c r="D3708" s="4" t="s">
        <v>5662</v>
      </c>
      <c r="E3708" s="5">
        <v>48.3562158604776</v>
      </c>
    </row>
    <row r="3709" ht="14.25" customHeight="1">
      <c r="A3709" s="4"/>
      <c r="B3709" s="4" t="s">
        <v>1802</v>
      </c>
      <c r="C3709" s="4" t="s">
        <v>1457</v>
      </c>
      <c r="D3709" s="4" t="s">
        <v>5663</v>
      </c>
      <c r="E3709" s="5">
        <v>26.723381140350398</v>
      </c>
    </row>
    <row r="3710" ht="14.25" customHeight="1">
      <c r="A3710" s="4"/>
      <c r="B3710" s="4" t="s">
        <v>1802</v>
      </c>
      <c r="C3710" s="4" t="s">
        <v>5664</v>
      </c>
      <c r="D3710" s="4" t="s">
        <v>1812</v>
      </c>
      <c r="E3710" s="5">
        <v>48.3641275995966</v>
      </c>
    </row>
    <row r="3711" ht="14.25" customHeight="1">
      <c r="A3711" s="4"/>
      <c r="B3711" s="4" t="s">
        <v>1802</v>
      </c>
      <c r="C3711" s="4" t="s">
        <v>5665</v>
      </c>
      <c r="D3711" s="4" t="s">
        <v>5666</v>
      </c>
      <c r="E3711" s="5">
        <v>44.286334890245996</v>
      </c>
    </row>
    <row r="3712" ht="14.25" customHeight="1">
      <c r="A3712" s="4"/>
      <c r="B3712" s="4" t="s">
        <v>1802</v>
      </c>
      <c r="C3712" s="4" t="s">
        <v>5667</v>
      </c>
      <c r="D3712" s="4" t="s">
        <v>5668</v>
      </c>
      <c r="E3712" s="5">
        <v>0.8656761762948469</v>
      </c>
    </row>
    <row r="3713" ht="14.25" customHeight="1">
      <c r="A3713" s="4"/>
      <c r="B3713" s="4" t="s">
        <v>1802</v>
      </c>
      <c r="C3713" s="4" t="s">
        <v>562</v>
      </c>
      <c r="D3713" s="4" t="s">
        <v>1812</v>
      </c>
      <c r="E3713" s="5">
        <v>48.3641275995966</v>
      </c>
    </row>
    <row r="3714" ht="14.25" customHeight="1">
      <c r="A3714" s="4"/>
      <c r="B3714" s="4" t="s">
        <v>1802</v>
      </c>
      <c r="C3714" s="4" t="s">
        <v>5669</v>
      </c>
      <c r="D3714" s="4" t="s">
        <v>1984</v>
      </c>
      <c r="E3714" s="5">
        <v>19.539107550237</v>
      </c>
    </row>
    <row r="3715" ht="14.25" customHeight="1">
      <c r="A3715" s="4"/>
      <c r="B3715" s="4" t="s">
        <v>1802</v>
      </c>
      <c r="C3715" s="4" t="s">
        <v>5670</v>
      </c>
      <c r="D3715" s="4" t="s">
        <v>5671</v>
      </c>
      <c r="E3715" s="5">
        <v>45.4085529034948</v>
      </c>
    </row>
    <row r="3716" ht="14.25" customHeight="1">
      <c r="A3716" s="4"/>
      <c r="B3716" s="4" t="s">
        <v>1802</v>
      </c>
      <c r="C3716" s="4" t="s">
        <v>1442</v>
      </c>
      <c r="D3716" s="4" t="s">
        <v>5672</v>
      </c>
      <c r="E3716" s="5">
        <v>44.674073553500506</v>
      </c>
    </row>
    <row r="3717" ht="14.25" customHeight="1">
      <c r="A3717" s="4"/>
      <c r="B3717" s="4" t="s">
        <v>1802</v>
      </c>
      <c r="C3717" s="4" t="s">
        <v>5673</v>
      </c>
      <c r="D3717" s="4" t="s">
        <v>5674</v>
      </c>
      <c r="E3717" s="5">
        <v>2.36510929423117</v>
      </c>
    </row>
    <row r="3718" ht="14.25" customHeight="1">
      <c r="A3718" s="4"/>
      <c r="B3718" s="4" t="s">
        <v>1802</v>
      </c>
      <c r="C3718" s="4" t="s">
        <v>5675</v>
      </c>
      <c r="D3718" s="4" t="s">
        <v>1837</v>
      </c>
      <c r="E3718" s="5">
        <v>9.672825519919328</v>
      </c>
    </row>
    <row r="3719" ht="14.25" customHeight="1">
      <c r="A3719" s="4"/>
      <c r="B3719" s="4" t="s">
        <v>1802</v>
      </c>
      <c r="C3719" s="4" t="s">
        <v>5676</v>
      </c>
      <c r="D3719" s="4" t="s">
        <v>1812</v>
      </c>
      <c r="E3719" s="5">
        <v>48.3641275995966</v>
      </c>
    </row>
    <row r="3720" ht="14.25" customHeight="1">
      <c r="A3720" s="4"/>
      <c r="B3720" s="4" t="s">
        <v>1802</v>
      </c>
      <c r="C3720" s="4" t="s">
        <v>5677</v>
      </c>
      <c r="D3720" s="4" t="s">
        <v>5678</v>
      </c>
      <c r="E3720" s="5">
        <v>11.5867737283469</v>
      </c>
    </row>
    <row r="3721" ht="14.25" customHeight="1">
      <c r="A3721" s="4"/>
      <c r="B3721" s="4" t="s">
        <v>1802</v>
      </c>
      <c r="C3721" s="4" t="s">
        <v>226</v>
      </c>
      <c r="D3721" s="4" t="s">
        <v>1812</v>
      </c>
      <c r="E3721" s="5">
        <v>48.3641275995966</v>
      </c>
    </row>
    <row r="3722" ht="14.25" customHeight="1">
      <c r="A3722" s="4"/>
      <c r="B3722" s="4" t="s">
        <v>1802</v>
      </c>
      <c r="C3722" s="4" t="s">
        <v>5679</v>
      </c>
      <c r="D3722" s="4" t="s">
        <v>1812</v>
      </c>
      <c r="E3722" s="5">
        <v>48.3641275995966</v>
      </c>
    </row>
    <row r="3723" ht="14.25" customHeight="1">
      <c r="A3723" s="4"/>
      <c r="B3723" s="4" t="s">
        <v>1802</v>
      </c>
      <c r="C3723" s="4" t="s">
        <v>163</v>
      </c>
      <c r="D3723" s="4" t="s">
        <v>1812</v>
      </c>
      <c r="E3723" s="5">
        <v>48.3641275995966</v>
      </c>
    </row>
    <row r="3724" ht="14.25" customHeight="1">
      <c r="A3724" s="4"/>
      <c r="B3724" s="4" t="s">
        <v>1802</v>
      </c>
      <c r="C3724" s="4" t="s">
        <v>5680</v>
      </c>
      <c r="D3724" s="4" t="s">
        <v>2864</v>
      </c>
      <c r="E3724" s="5">
        <v>5.8036953119516</v>
      </c>
    </row>
    <row r="3725" ht="14.25" customHeight="1">
      <c r="A3725" s="4"/>
      <c r="B3725" s="4" t="s">
        <v>1802</v>
      </c>
      <c r="C3725" s="4" t="s">
        <v>5681</v>
      </c>
      <c r="D3725" s="4" t="s">
        <v>5682</v>
      </c>
      <c r="E3725" s="5">
        <v>9.91600118148396</v>
      </c>
    </row>
    <row r="3726" ht="14.25" customHeight="1">
      <c r="A3726" s="4"/>
      <c r="B3726" s="4" t="s">
        <v>1802</v>
      </c>
      <c r="C3726" s="4" t="s">
        <v>5683</v>
      </c>
      <c r="D3726" s="4" t="s">
        <v>5684</v>
      </c>
      <c r="E3726" s="5">
        <v>18.8291652009281</v>
      </c>
    </row>
    <row r="3727" ht="14.25" customHeight="1">
      <c r="A3727" s="4"/>
      <c r="B3727" s="4" t="s">
        <v>1802</v>
      </c>
      <c r="C3727" s="4" t="s">
        <v>5685</v>
      </c>
      <c r="D3727" s="4" t="s">
        <v>5686</v>
      </c>
      <c r="E3727" s="5">
        <v>0.5933895583559651</v>
      </c>
    </row>
    <row r="3728" ht="14.25" customHeight="1">
      <c r="A3728" s="4"/>
      <c r="B3728" s="4" t="s">
        <v>1802</v>
      </c>
      <c r="C3728" s="4" t="s">
        <v>5687</v>
      </c>
      <c r="D3728" s="4" t="s">
        <v>1837</v>
      </c>
      <c r="E3728" s="5">
        <v>9.672825519919328</v>
      </c>
    </row>
    <row r="3729" ht="14.25" customHeight="1">
      <c r="A3729" s="4"/>
      <c r="B3729" s="4" t="s">
        <v>1802</v>
      </c>
      <c r="C3729" s="4" t="s">
        <v>169</v>
      </c>
      <c r="D3729" s="4" t="s">
        <v>1812</v>
      </c>
      <c r="E3729" s="5">
        <v>48.3641275995966</v>
      </c>
    </row>
    <row r="3730" ht="14.25" customHeight="1">
      <c r="A3730" s="4"/>
      <c r="B3730" s="4" t="s">
        <v>1802</v>
      </c>
      <c r="C3730" s="4" t="s">
        <v>5688</v>
      </c>
      <c r="D3730" s="4" t="s">
        <v>1837</v>
      </c>
      <c r="E3730" s="5">
        <v>9.672825519919328</v>
      </c>
    </row>
    <row r="3731" ht="14.25" customHeight="1">
      <c r="A3731" s="4"/>
      <c r="B3731" s="4" t="s">
        <v>1802</v>
      </c>
      <c r="C3731" s="4" t="s">
        <v>5689</v>
      </c>
      <c r="D3731" s="4" t="s">
        <v>5690</v>
      </c>
      <c r="E3731" s="5">
        <v>0.140588488352578</v>
      </c>
    </row>
    <row r="3732" ht="14.25" customHeight="1">
      <c r="A3732" s="4"/>
      <c r="B3732" s="4" t="s">
        <v>1802</v>
      </c>
      <c r="C3732" s="4" t="s">
        <v>5691</v>
      </c>
      <c r="D3732" s="4" t="s">
        <v>5692</v>
      </c>
      <c r="E3732" s="5">
        <v>18.681061131003602</v>
      </c>
    </row>
    <row r="3733" ht="14.25" customHeight="1">
      <c r="A3733" s="4"/>
      <c r="B3733" s="4" t="s">
        <v>1802</v>
      </c>
      <c r="C3733" s="4" t="s">
        <v>5693</v>
      </c>
      <c r="D3733" s="4" t="s">
        <v>5694</v>
      </c>
      <c r="E3733" s="5">
        <v>20.1500532142916</v>
      </c>
    </row>
    <row r="3734" ht="14.25" customHeight="1">
      <c r="A3734" s="4"/>
      <c r="B3734" s="4" t="s">
        <v>1802</v>
      </c>
      <c r="C3734" s="4" t="s">
        <v>5695</v>
      </c>
      <c r="D3734" s="4" t="s">
        <v>1812</v>
      </c>
      <c r="E3734" s="5">
        <v>48.3641275995966</v>
      </c>
    </row>
    <row r="3735" ht="14.25" customHeight="1">
      <c r="A3735" s="4"/>
      <c r="B3735" s="4" t="s">
        <v>1802</v>
      </c>
      <c r="C3735" s="4" t="s">
        <v>5696</v>
      </c>
      <c r="D3735" s="4" t="s">
        <v>1812</v>
      </c>
      <c r="E3735" s="5">
        <v>48.3641275995966</v>
      </c>
    </row>
    <row r="3736" ht="14.25" customHeight="1">
      <c r="A3736" s="4"/>
      <c r="B3736" s="4" t="s">
        <v>1802</v>
      </c>
      <c r="C3736" s="4" t="s">
        <v>5697</v>
      </c>
      <c r="D3736" s="4" t="s">
        <v>5698</v>
      </c>
      <c r="E3736" s="5">
        <v>4.08566152895323</v>
      </c>
    </row>
    <row r="3737" ht="14.25" customHeight="1">
      <c r="A3737" s="4"/>
      <c r="B3737" s="4" t="s">
        <v>1802</v>
      </c>
      <c r="C3737" s="4" t="s">
        <v>1356</v>
      </c>
      <c r="D3737" s="4" t="s">
        <v>1812</v>
      </c>
      <c r="E3737" s="5">
        <v>48.3641275995966</v>
      </c>
    </row>
    <row r="3738" ht="14.25" customHeight="1">
      <c r="A3738" s="4"/>
      <c r="B3738" s="4" t="s">
        <v>1802</v>
      </c>
      <c r="C3738" s="4" t="s">
        <v>5699</v>
      </c>
      <c r="D3738" s="4" t="s">
        <v>5700</v>
      </c>
      <c r="E3738" s="5">
        <v>13.5369602134475</v>
      </c>
    </row>
    <row r="3739" ht="14.25" customHeight="1">
      <c r="A3739" s="4"/>
      <c r="B3739" s="4" t="s">
        <v>1802</v>
      </c>
      <c r="C3739" s="4" t="s">
        <v>5701</v>
      </c>
      <c r="D3739" s="4" t="s">
        <v>5702</v>
      </c>
      <c r="E3739" s="5">
        <v>5.75278478586428</v>
      </c>
    </row>
    <row r="3740" ht="14.25" customHeight="1">
      <c r="A3740" s="4"/>
      <c r="B3740" s="4" t="s">
        <v>1802</v>
      </c>
      <c r="C3740" s="4" t="s">
        <v>5703</v>
      </c>
      <c r="D3740" s="4" t="s">
        <v>1812</v>
      </c>
      <c r="E3740" s="5">
        <v>48.3641275995966</v>
      </c>
    </row>
    <row r="3741" ht="14.25" customHeight="1">
      <c r="A3741" s="4"/>
      <c r="B3741" s="4" t="s">
        <v>1802</v>
      </c>
      <c r="C3741" s="4" t="s">
        <v>5704</v>
      </c>
      <c r="D3741" s="4" t="s">
        <v>1812</v>
      </c>
      <c r="E3741" s="5">
        <v>48.3641275995966</v>
      </c>
    </row>
    <row r="3742" ht="14.25" customHeight="1">
      <c r="A3742" s="4"/>
      <c r="B3742" s="4" t="s">
        <v>1802</v>
      </c>
      <c r="C3742" s="4" t="s">
        <v>5705</v>
      </c>
      <c r="D3742" s="4" t="s">
        <v>1951</v>
      </c>
      <c r="E3742" s="5">
        <v>38.6913020796773</v>
      </c>
    </row>
    <row r="3743" ht="14.25" customHeight="1">
      <c r="A3743" s="4"/>
      <c r="B3743" s="4" t="s">
        <v>1802</v>
      </c>
      <c r="C3743" s="4" t="s">
        <v>5706</v>
      </c>
      <c r="D3743" s="4" t="s">
        <v>5707</v>
      </c>
      <c r="E3743" s="5">
        <v>9.60808299259571</v>
      </c>
    </row>
    <row r="3744" ht="14.25" customHeight="1">
      <c r="A3744" s="4"/>
      <c r="B3744" s="4" t="s">
        <v>1802</v>
      </c>
      <c r="C3744" s="4" t="s">
        <v>5708</v>
      </c>
      <c r="D3744" s="4" t="s">
        <v>5709</v>
      </c>
      <c r="E3744" s="5">
        <v>30.809198184116</v>
      </c>
    </row>
    <row r="3745" ht="14.25" customHeight="1">
      <c r="A3745" s="4"/>
      <c r="B3745" s="4" t="s">
        <v>1802</v>
      </c>
      <c r="C3745" s="4" t="s">
        <v>1218</v>
      </c>
      <c r="D3745" s="4" t="s">
        <v>1812</v>
      </c>
      <c r="E3745" s="5">
        <v>48.3641275995966</v>
      </c>
    </row>
    <row r="3746" ht="14.25" customHeight="1">
      <c r="A3746" s="4"/>
      <c r="B3746" s="4" t="s">
        <v>1802</v>
      </c>
      <c r="C3746" s="4" t="s">
        <v>5710</v>
      </c>
      <c r="D3746" s="4" t="s">
        <v>1812</v>
      </c>
      <c r="E3746" s="5">
        <v>48.3641275995966</v>
      </c>
    </row>
    <row r="3747" ht="14.25" customHeight="1">
      <c r="A3747" s="4"/>
      <c r="B3747" s="4" t="s">
        <v>1802</v>
      </c>
      <c r="C3747" s="4" t="s">
        <v>5711</v>
      </c>
      <c r="D3747" s="4" t="s">
        <v>1812</v>
      </c>
      <c r="E3747" s="5">
        <v>48.3641275995966</v>
      </c>
    </row>
    <row r="3748" ht="14.25" customHeight="1">
      <c r="A3748" s="4"/>
      <c r="B3748" s="4" t="s">
        <v>1802</v>
      </c>
      <c r="C3748" s="4" t="s">
        <v>5712</v>
      </c>
      <c r="D3748" s="4" t="s">
        <v>5713</v>
      </c>
      <c r="E3748" s="5">
        <v>20.9155984551979</v>
      </c>
    </row>
    <row r="3749" ht="14.25" customHeight="1">
      <c r="A3749" s="4"/>
      <c r="B3749" s="4" t="s">
        <v>1802</v>
      </c>
      <c r="C3749" s="4" t="s">
        <v>5714</v>
      </c>
      <c r="D3749" s="4" t="s">
        <v>5715</v>
      </c>
      <c r="E3749" s="5">
        <v>2.23164296707465</v>
      </c>
    </row>
    <row r="3750" ht="14.25" customHeight="1">
      <c r="A3750" s="4"/>
      <c r="B3750" s="4" t="s">
        <v>1802</v>
      </c>
      <c r="C3750" s="4" t="s">
        <v>5716</v>
      </c>
      <c r="D3750" s="4" t="s">
        <v>1821</v>
      </c>
      <c r="E3750" s="5">
        <v>19.3456510398386</v>
      </c>
    </row>
    <row r="3751" ht="14.25" customHeight="1">
      <c r="A3751" s="4"/>
      <c r="B3751" s="4" t="s">
        <v>1802</v>
      </c>
      <c r="C3751" s="4" t="s">
        <v>5717</v>
      </c>
      <c r="D3751" s="4" t="s">
        <v>1812</v>
      </c>
      <c r="E3751" s="5">
        <v>48.3641275995966</v>
      </c>
    </row>
    <row r="3752" ht="14.25" customHeight="1">
      <c r="A3752" s="4"/>
      <c r="B3752" s="4" t="s">
        <v>1802</v>
      </c>
      <c r="C3752" s="4" t="s">
        <v>5718</v>
      </c>
      <c r="D3752" s="4" t="s">
        <v>5719</v>
      </c>
      <c r="E3752" s="5">
        <v>8.81642569317977</v>
      </c>
    </row>
    <row r="3753" ht="14.25" customHeight="1">
      <c r="A3753" s="4"/>
      <c r="B3753" s="4" t="s">
        <v>1802</v>
      </c>
      <c r="C3753" s="4" t="s">
        <v>5720</v>
      </c>
      <c r="D3753" s="4" t="s">
        <v>1812</v>
      </c>
      <c r="E3753" s="5">
        <v>48.3641275995966</v>
      </c>
    </row>
    <row r="3754" ht="14.25" customHeight="1">
      <c r="A3754" s="4"/>
      <c r="B3754" s="4" t="s">
        <v>1802</v>
      </c>
      <c r="C3754" s="4" t="s">
        <v>5721</v>
      </c>
      <c r="D3754" s="4" t="s">
        <v>5722</v>
      </c>
      <c r="E3754" s="5">
        <v>38.014196296646304</v>
      </c>
    </row>
    <row r="3755" ht="14.25" customHeight="1">
      <c r="A3755" s="4"/>
      <c r="B3755" s="4" t="s">
        <v>1802</v>
      </c>
      <c r="C3755" s="4" t="s">
        <v>5723</v>
      </c>
      <c r="D3755" s="4" t="s">
        <v>5724</v>
      </c>
      <c r="E3755" s="5">
        <v>34.000313928863896</v>
      </c>
    </row>
    <row r="3756" ht="14.25" customHeight="1">
      <c r="A3756" s="4"/>
      <c r="B3756" s="4" t="s">
        <v>1802</v>
      </c>
      <c r="C3756" s="4" t="s">
        <v>5725</v>
      </c>
      <c r="D3756" s="4" t="s">
        <v>5726</v>
      </c>
      <c r="E3756" s="5">
        <v>39.828459868294395</v>
      </c>
    </row>
    <row r="3757" ht="14.25" customHeight="1">
      <c r="A3757" s="4"/>
      <c r="B3757" s="4" t="s">
        <v>1802</v>
      </c>
      <c r="C3757" s="4" t="s">
        <v>5727</v>
      </c>
      <c r="D3757" s="4" t="s">
        <v>5728</v>
      </c>
      <c r="E3757" s="5">
        <v>19.34330012866</v>
      </c>
    </row>
    <row r="3758" ht="14.25" customHeight="1">
      <c r="A3758" s="4"/>
      <c r="B3758" s="4" t="s">
        <v>1802</v>
      </c>
      <c r="C3758" s="4" t="s">
        <v>5729</v>
      </c>
      <c r="D3758" s="4" t="s">
        <v>5730</v>
      </c>
      <c r="E3758" s="5">
        <v>0.169177296404841</v>
      </c>
    </row>
    <row r="3759" ht="14.25" customHeight="1">
      <c r="A3759" s="4"/>
      <c r="B3759" s="4" t="s">
        <v>1802</v>
      </c>
      <c r="C3759" s="4" t="s">
        <v>505</v>
      </c>
      <c r="D3759" s="4" t="s">
        <v>5731</v>
      </c>
      <c r="E3759" s="5">
        <v>46.1545296382715</v>
      </c>
    </row>
    <row r="3760" ht="14.25" customHeight="1">
      <c r="A3760" s="4"/>
      <c r="B3760" s="4" t="s">
        <v>1802</v>
      </c>
      <c r="C3760" s="4" t="s">
        <v>5732</v>
      </c>
      <c r="D3760" s="4" t="s">
        <v>5733</v>
      </c>
      <c r="E3760" s="5">
        <v>2.29179234278993</v>
      </c>
    </row>
    <row r="3761" ht="14.25" customHeight="1">
      <c r="A3761" s="4"/>
      <c r="B3761" s="4" t="s">
        <v>1802</v>
      </c>
      <c r="C3761" s="4" t="s">
        <v>5734</v>
      </c>
      <c r="D3761" s="4" t="s">
        <v>1812</v>
      </c>
      <c r="E3761" s="5">
        <v>48.3641275995966</v>
      </c>
    </row>
    <row r="3762" ht="14.25" customHeight="1">
      <c r="A3762" s="4"/>
      <c r="B3762" s="4" t="s">
        <v>1802</v>
      </c>
      <c r="C3762" s="4" t="s">
        <v>5735</v>
      </c>
      <c r="D3762" s="4" t="s">
        <v>1812</v>
      </c>
      <c r="E3762" s="5">
        <v>48.3641275995966</v>
      </c>
    </row>
    <row r="3763" ht="14.25" customHeight="1">
      <c r="A3763" s="4"/>
      <c r="B3763" s="4" t="s">
        <v>1802</v>
      </c>
      <c r="C3763" s="4" t="s">
        <v>5736</v>
      </c>
      <c r="D3763" s="4" t="s">
        <v>1812</v>
      </c>
      <c r="E3763" s="5">
        <v>48.3641275995966</v>
      </c>
    </row>
    <row r="3764" ht="14.25" customHeight="1">
      <c r="A3764" s="4"/>
      <c r="B3764" s="4" t="s">
        <v>1802</v>
      </c>
      <c r="C3764" s="4" t="s">
        <v>592</v>
      </c>
      <c r="D3764" s="4" t="s">
        <v>5737</v>
      </c>
      <c r="E3764" s="5">
        <v>0.816970070179153</v>
      </c>
    </row>
    <row r="3765" ht="14.25" customHeight="1">
      <c r="A3765" s="4"/>
      <c r="B3765" s="4" t="s">
        <v>1802</v>
      </c>
      <c r="C3765" s="4" t="s">
        <v>5738</v>
      </c>
      <c r="D3765" s="4" t="s">
        <v>1812</v>
      </c>
      <c r="E3765" s="5">
        <v>48.3641275995966</v>
      </c>
    </row>
    <row r="3766" ht="14.25" customHeight="1">
      <c r="A3766" s="4"/>
      <c r="B3766" s="4" t="s">
        <v>1802</v>
      </c>
      <c r="C3766" s="4" t="s">
        <v>662</v>
      </c>
      <c r="D3766" s="4" t="s">
        <v>1812</v>
      </c>
      <c r="E3766" s="5">
        <v>48.3641275995966</v>
      </c>
    </row>
    <row r="3767" ht="14.25" customHeight="1">
      <c r="A3767" s="4"/>
      <c r="B3767" s="4" t="s">
        <v>1802</v>
      </c>
      <c r="C3767" s="4" t="s">
        <v>5739</v>
      </c>
      <c r="D3767" s="4" t="s">
        <v>1812</v>
      </c>
      <c r="E3767" s="5">
        <v>48.3641275995966</v>
      </c>
    </row>
    <row r="3768" ht="14.25" customHeight="1">
      <c r="A3768" s="4"/>
      <c r="B3768" s="4" t="s">
        <v>1802</v>
      </c>
      <c r="C3768" s="4" t="s">
        <v>5740</v>
      </c>
      <c r="D3768" s="4" t="s">
        <v>1812</v>
      </c>
      <c r="E3768" s="5">
        <v>48.3641275995966</v>
      </c>
    </row>
    <row r="3769" ht="14.25" customHeight="1">
      <c r="A3769" s="4"/>
      <c r="B3769" s="4" t="s">
        <v>1802</v>
      </c>
      <c r="C3769" s="4" t="s">
        <v>1050</v>
      </c>
      <c r="D3769" s="4" t="s">
        <v>5741</v>
      </c>
      <c r="E3769" s="5">
        <v>46.6710471967696</v>
      </c>
    </row>
    <row r="3770" ht="14.25" customHeight="1">
      <c r="A3770" s="4"/>
      <c r="B3770" s="4" t="s">
        <v>1802</v>
      </c>
      <c r="C3770" s="4" t="s">
        <v>5742</v>
      </c>
      <c r="D3770" s="4" t="s">
        <v>5743</v>
      </c>
      <c r="E3770" s="5">
        <v>40.7046485325536</v>
      </c>
    </row>
    <row r="3771" ht="14.25" customHeight="1">
      <c r="A3771" s="4"/>
      <c r="B3771" s="4" t="s">
        <v>1802</v>
      </c>
      <c r="C3771" s="4" t="s">
        <v>5744</v>
      </c>
      <c r="D3771" s="4" t="s">
        <v>1837</v>
      </c>
      <c r="E3771" s="5">
        <v>9.672825519919328</v>
      </c>
    </row>
    <row r="3772" ht="14.25" customHeight="1">
      <c r="A3772" s="4"/>
      <c r="B3772" s="4" t="s">
        <v>1802</v>
      </c>
      <c r="C3772" s="4" t="s">
        <v>5745</v>
      </c>
      <c r="D3772" s="4" t="s">
        <v>1812</v>
      </c>
      <c r="E3772" s="5">
        <v>48.3641275995966</v>
      </c>
    </row>
    <row r="3773" ht="14.25" customHeight="1">
      <c r="A3773" s="4"/>
      <c r="B3773" s="4" t="s">
        <v>1802</v>
      </c>
      <c r="C3773" s="4" t="s">
        <v>5746</v>
      </c>
      <c r="D3773" s="4" t="s">
        <v>1812</v>
      </c>
      <c r="E3773" s="5">
        <v>48.3641275995966</v>
      </c>
    </row>
    <row r="3774" ht="14.25" customHeight="1">
      <c r="A3774" s="4"/>
      <c r="B3774" s="4" t="s">
        <v>1802</v>
      </c>
      <c r="C3774" s="4" t="s">
        <v>1576</v>
      </c>
      <c r="D3774" s="4" t="s">
        <v>1812</v>
      </c>
      <c r="E3774" s="5">
        <v>48.3641275995966</v>
      </c>
    </row>
    <row r="3775" ht="14.25" customHeight="1">
      <c r="A3775" s="4"/>
      <c r="B3775" s="4" t="s">
        <v>1802</v>
      </c>
      <c r="C3775" s="4" t="s">
        <v>5747</v>
      </c>
      <c r="D3775" s="4" t="s">
        <v>1812</v>
      </c>
      <c r="E3775" s="5">
        <v>48.3641275995966</v>
      </c>
    </row>
    <row r="3776" ht="14.25" customHeight="1">
      <c r="A3776" s="4"/>
      <c r="B3776" s="4" t="s">
        <v>1802</v>
      </c>
      <c r="C3776" s="4" t="s">
        <v>5748</v>
      </c>
      <c r="D3776" s="4" t="s">
        <v>1837</v>
      </c>
      <c r="E3776" s="5">
        <v>9.672825519919328</v>
      </c>
    </row>
    <row r="3777" ht="14.25" customHeight="1">
      <c r="A3777" s="4"/>
      <c r="B3777" s="4" t="s">
        <v>1802</v>
      </c>
      <c r="C3777" s="4" t="s">
        <v>5749</v>
      </c>
      <c r="D3777" s="4" t="s">
        <v>5750</v>
      </c>
      <c r="E3777" s="5">
        <v>47.2593097091009</v>
      </c>
    </row>
    <row r="3778" ht="14.25" customHeight="1">
      <c r="A3778" s="4"/>
      <c r="B3778" s="4" t="s">
        <v>1802</v>
      </c>
      <c r="C3778" s="4" t="s">
        <v>5751</v>
      </c>
      <c r="D3778" s="4" t="s">
        <v>1812</v>
      </c>
      <c r="E3778" s="5">
        <v>48.3641275995966</v>
      </c>
    </row>
    <row r="3779" ht="14.25" customHeight="1">
      <c r="A3779" s="4"/>
      <c r="B3779" s="4" t="s">
        <v>1802</v>
      </c>
      <c r="C3779" s="4" t="s">
        <v>5752</v>
      </c>
      <c r="D3779" s="4" t="s">
        <v>1812</v>
      </c>
      <c r="E3779" s="5">
        <v>48.3641275995966</v>
      </c>
    </row>
    <row r="3780" ht="14.25" customHeight="1">
      <c r="A3780" s="4"/>
      <c r="B3780" s="4" t="s">
        <v>1802</v>
      </c>
      <c r="C3780" s="4" t="s">
        <v>5753</v>
      </c>
      <c r="D3780" s="4" t="s">
        <v>5754</v>
      </c>
      <c r="E3780" s="5">
        <v>22.1034944201854</v>
      </c>
    </row>
    <row r="3781" ht="14.25" customHeight="1">
      <c r="A3781" s="4"/>
      <c r="B3781" s="4" t="s">
        <v>1802</v>
      </c>
      <c r="C3781" s="4" t="s">
        <v>5755</v>
      </c>
      <c r="D3781" s="4" t="s">
        <v>5756</v>
      </c>
      <c r="E3781" s="5">
        <v>42.6654854999089</v>
      </c>
    </row>
    <row r="3782" ht="14.25" customHeight="1">
      <c r="A3782" s="4"/>
      <c r="B3782" s="4" t="s">
        <v>1802</v>
      </c>
      <c r="C3782" s="4" t="s">
        <v>5757</v>
      </c>
      <c r="D3782" s="4" t="s">
        <v>5758</v>
      </c>
      <c r="E3782" s="5">
        <v>43.0364302385253</v>
      </c>
    </row>
    <row r="3783" ht="14.25" customHeight="1">
      <c r="A3783" s="4"/>
      <c r="B3783" s="4" t="s">
        <v>1802</v>
      </c>
      <c r="C3783" s="4" t="s">
        <v>5759</v>
      </c>
      <c r="D3783" s="4" t="s">
        <v>5760</v>
      </c>
      <c r="E3783" s="5">
        <v>33.8247741184678</v>
      </c>
    </row>
    <row r="3784" ht="14.25" customHeight="1">
      <c r="A3784" s="4"/>
      <c r="B3784" s="4" t="s">
        <v>1802</v>
      </c>
      <c r="C3784" s="4" t="s">
        <v>5761</v>
      </c>
      <c r="D3784" s="4" t="s">
        <v>1837</v>
      </c>
      <c r="E3784" s="5">
        <v>9.672825519919328</v>
      </c>
    </row>
    <row r="3785" ht="14.25" customHeight="1">
      <c r="A3785" s="4"/>
      <c r="B3785" s="4" t="s">
        <v>1802</v>
      </c>
      <c r="C3785" s="4" t="s">
        <v>5762</v>
      </c>
      <c r="D3785" s="4" t="s">
        <v>5763</v>
      </c>
      <c r="E3785" s="5">
        <v>9.86330121294037</v>
      </c>
    </row>
    <row r="3786" ht="14.25" customHeight="1">
      <c r="A3786" s="4"/>
      <c r="B3786" s="4" t="s">
        <v>1802</v>
      </c>
      <c r="C3786" s="4" t="s">
        <v>5764</v>
      </c>
      <c r="D3786" s="4" t="s">
        <v>1837</v>
      </c>
      <c r="E3786" s="5">
        <v>9.672825519919328</v>
      </c>
    </row>
    <row r="3787" ht="14.25" customHeight="1">
      <c r="A3787" s="4"/>
      <c r="B3787" s="4" t="s">
        <v>1802</v>
      </c>
      <c r="C3787" s="4" t="s">
        <v>5765</v>
      </c>
      <c r="D3787" s="4" t="s">
        <v>1812</v>
      </c>
      <c r="E3787" s="5">
        <v>48.3641275995966</v>
      </c>
    </row>
    <row r="3788" ht="14.25" customHeight="1">
      <c r="A3788" s="4"/>
      <c r="B3788" s="4" t="s">
        <v>1802</v>
      </c>
      <c r="C3788" s="4" t="s">
        <v>5766</v>
      </c>
      <c r="D3788" s="4" t="s">
        <v>5767</v>
      </c>
      <c r="E3788" s="5">
        <v>32.257231204449</v>
      </c>
    </row>
    <row r="3789" ht="14.25" customHeight="1">
      <c r="A3789" s="4"/>
      <c r="B3789" s="4" t="s">
        <v>1802</v>
      </c>
      <c r="C3789" s="4" t="s">
        <v>5768</v>
      </c>
      <c r="D3789" s="4" t="s">
        <v>1812</v>
      </c>
      <c r="E3789" s="5">
        <v>48.3641275995966</v>
      </c>
    </row>
    <row r="3790" ht="14.25" customHeight="1">
      <c r="A3790" s="4"/>
      <c r="B3790" s="4" t="s">
        <v>1802</v>
      </c>
      <c r="C3790" s="4" t="s">
        <v>5769</v>
      </c>
      <c r="D3790" s="4" t="s">
        <v>1812</v>
      </c>
      <c r="E3790" s="5">
        <v>48.3641275995966</v>
      </c>
    </row>
    <row r="3791" ht="14.25" customHeight="1">
      <c r="A3791" s="4"/>
      <c r="B3791" s="4" t="s">
        <v>1802</v>
      </c>
      <c r="C3791" s="4" t="s">
        <v>5770</v>
      </c>
      <c r="D3791" s="4" t="s">
        <v>5771</v>
      </c>
      <c r="E3791" s="5">
        <v>31.9605066760566</v>
      </c>
    </row>
    <row r="3792" ht="14.25" customHeight="1">
      <c r="A3792" s="4"/>
      <c r="B3792" s="4" t="s">
        <v>1802</v>
      </c>
      <c r="C3792" s="4" t="s">
        <v>5772</v>
      </c>
      <c r="D3792" s="4" t="s">
        <v>1837</v>
      </c>
      <c r="E3792" s="5">
        <v>9.672825519919328</v>
      </c>
    </row>
    <row r="3793" ht="14.25" customHeight="1">
      <c r="A3793" s="4"/>
      <c r="B3793" s="4" t="s">
        <v>1802</v>
      </c>
      <c r="C3793" s="4" t="s">
        <v>5773</v>
      </c>
      <c r="D3793" s="4" t="s">
        <v>1837</v>
      </c>
      <c r="E3793" s="5">
        <v>9.672825519919328</v>
      </c>
    </row>
    <row r="3794" ht="14.25" customHeight="1">
      <c r="A3794" s="4"/>
      <c r="B3794" s="4" t="s">
        <v>1802</v>
      </c>
      <c r="C3794" s="4" t="s">
        <v>306</v>
      </c>
      <c r="D3794" s="4" t="s">
        <v>5774</v>
      </c>
      <c r="E3794" s="5">
        <v>28.2546784603677</v>
      </c>
    </row>
    <row r="3795" ht="14.25" customHeight="1">
      <c r="A3795" s="4"/>
      <c r="B3795" s="4" t="s">
        <v>1802</v>
      </c>
      <c r="C3795" s="4" t="s">
        <v>5775</v>
      </c>
      <c r="D3795" s="4" t="s">
        <v>1812</v>
      </c>
      <c r="E3795" s="5">
        <v>48.3641275995966</v>
      </c>
    </row>
    <row r="3796" ht="14.25" customHeight="1">
      <c r="A3796" s="4"/>
      <c r="B3796" s="4" t="s">
        <v>1802</v>
      </c>
      <c r="C3796" s="4" t="s">
        <v>5776</v>
      </c>
      <c r="D3796" s="4" t="s">
        <v>5777</v>
      </c>
      <c r="E3796" s="5">
        <v>9.39280954486289</v>
      </c>
    </row>
    <row r="3797" ht="14.25" customHeight="1">
      <c r="A3797" s="4"/>
      <c r="B3797" s="4" t="s">
        <v>1802</v>
      </c>
      <c r="C3797" s="4" t="s">
        <v>5778</v>
      </c>
      <c r="D3797" s="4" t="s">
        <v>5779</v>
      </c>
      <c r="E3797" s="5">
        <v>9.60278124422033</v>
      </c>
    </row>
    <row r="3798" ht="14.25" customHeight="1">
      <c r="A3798" s="4"/>
      <c r="B3798" s="4" t="s">
        <v>1802</v>
      </c>
      <c r="C3798" s="4" t="s">
        <v>5780</v>
      </c>
      <c r="D3798" s="4" t="s">
        <v>5781</v>
      </c>
      <c r="E3798" s="5">
        <v>33.6597224573158</v>
      </c>
    </row>
    <row r="3799" ht="14.25" customHeight="1">
      <c r="A3799" s="4"/>
      <c r="B3799" s="4" t="s">
        <v>1802</v>
      </c>
      <c r="C3799" s="4" t="s">
        <v>5782</v>
      </c>
      <c r="D3799" s="4" t="s">
        <v>5783</v>
      </c>
      <c r="E3799" s="5">
        <v>24.3157469514113</v>
      </c>
    </row>
    <row r="3800" ht="14.25" customHeight="1">
      <c r="A3800" s="4"/>
      <c r="B3800" s="4" t="s">
        <v>1802</v>
      </c>
      <c r="C3800" s="4" t="s">
        <v>5784</v>
      </c>
      <c r="D3800" s="4" t="s">
        <v>5785</v>
      </c>
      <c r="E3800" s="5">
        <v>46.5947883559428</v>
      </c>
    </row>
    <row r="3801" ht="14.25" customHeight="1">
      <c r="A3801" s="4"/>
      <c r="B3801" s="4" t="s">
        <v>1802</v>
      </c>
      <c r="C3801" s="4" t="s">
        <v>1184</v>
      </c>
      <c r="D3801" s="4" t="s">
        <v>1812</v>
      </c>
      <c r="E3801" s="5">
        <v>48.3641275995966</v>
      </c>
    </row>
    <row r="3802" ht="14.25" customHeight="1">
      <c r="A3802" s="4"/>
      <c r="B3802" s="4" t="s">
        <v>1802</v>
      </c>
      <c r="C3802" s="4" t="s">
        <v>5786</v>
      </c>
      <c r="D3802" s="4" t="s">
        <v>1812</v>
      </c>
      <c r="E3802" s="5">
        <v>48.3641275995966</v>
      </c>
    </row>
    <row r="3803" ht="14.25" customHeight="1">
      <c r="A3803" s="4"/>
      <c r="B3803" s="4" t="s">
        <v>1802</v>
      </c>
      <c r="C3803" s="4" t="s">
        <v>5787</v>
      </c>
      <c r="D3803" s="4" t="s">
        <v>1837</v>
      </c>
      <c r="E3803" s="5">
        <v>9.672825519919328</v>
      </c>
    </row>
    <row r="3804" ht="14.25" customHeight="1">
      <c r="A3804" s="4"/>
      <c r="B3804" s="4" t="s">
        <v>1802</v>
      </c>
      <c r="C3804" s="4" t="s">
        <v>5788</v>
      </c>
      <c r="D3804" s="4" t="s">
        <v>1812</v>
      </c>
      <c r="E3804" s="5">
        <v>48.3641275995966</v>
      </c>
    </row>
    <row r="3805" ht="14.25" customHeight="1">
      <c r="A3805" s="4"/>
      <c r="B3805" s="4" t="s">
        <v>1802</v>
      </c>
      <c r="C3805" s="4" t="s">
        <v>5789</v>
      </c>
      <c r="D3805" s="4" t="s">
        <v>5790</v>
      </c>
      <c r="E3805" s="5">
        <v>8.30339847998195</v>
      </c>
    </row>
    <row r="3806" ht="14.25" customHeight="1">
      <c r="A3806" s="4"/>
      <c r="B3806" s="4" t="s">
        <v>1802</v>
      </c>
      <c r="C3806" s="4" t="s">
        <v>495</v>
      </c>
      <c r="D3806" s="4" t="s">
        <v>1812</v>
      </c>
      <c r="E3806" s="5">
        <v>48.3641275995966</v>
      </c>
    </row>
    <row r="3807" ht="14.25" customHeight="1">
      <c r="A3807" s="4"/>
      <c r="B3807" s="4" t="s">
        <v>1802</v>
      </c>
      <c r="C3807" s="4" t="s">
        <v>5791</v>
      </c>
      <c r="D3807" s="4" t="s">
        <v>1812</v>
      </c>
      <c r="E3807" s="5">
        <v>48.3641275995966</v>
      </c>
    </row>
    <row r="3808" ht="14.25" customHeight="1">
      <c r="A3808" s="4"/>
      <c r="B3808" s="4" t="s">
        <v>1802</v>
      </c>
      <c r="C3808" s="4" t="s">
        <v>5792</v>
      </c>
      <c r="D3808" s="4" t="s">
        <v>2062</v>
      </c>
      <c r="E3808" s="5">
        <v>9.86628203031772</v>
      </c>
    </row>
    <row r="3809" ht="14.25" customHeight="1">
      <c r="A3809" s="4"/>
      <c r="B3809" s="4" t="s">
        <v>1802</v>
      </c>
      <c r="C3809" s="4" t="s">
        <v>5793</v>
      </c>
      <c r="D3809" s="4" t="s">
        <v>1951</v>
      </c>
      <c r="E3809" s="5">
        <v>38.6913020796773</v>
      </c>
    </row>
    <row r="3810" ht="14.25" customHeight="1">
      <c r="A3810" s="4"/>
      <c r="B3810" s="4" t="s">
        <v>1802</v>
      </c>
      <c r="C3810" s="4" t="s">
        <v>5794</v>
      </c>
      <c r="D3810" s="4" t="s">
        <v>1812</v>
      </c>
      <c r="E3810" s="5">
        <v>48.3641275995966</v>
      </c>
    </row>
    <row r="3811" ht="14.25" customHeight="1">
      <c r="A3811" s="4"/>
      <c r="B3811" s="4" t="s">
        <v>1802</v>
      </c>
      <c r="C3811" s="4" t="s">
        <v>5795</v>
      </c>
      <c r="D3811" s="4" t="s">
        <v>5796</v>
      </c>
      <c r="E3811" s="5">
        <v>7.6217874052887105</v>
      </c>
    </row>
    <row r="3812" ht="14.25" customHeight="1">
      <c r="A3812" s="4"/>
      <c r="B3812" s="4" t="s">
        <v>1802</v>
      </c>
      <c r="C3812" s="4" t="s">
        <v>5797</v>
      </c>
      <c r="D3812" s="4" t="s">
        <v>1812</v>
      </c>
      <c r="E3812" s="5">
        <v>48.3641275995966</v>
      </c>
    </row>
    <row r="3813" ht="14.25" customHeight="1">
      <c r="A3813" s="4"/>
      <c r="B3813" s="4" t="s">
        <v>1802</v>
      </c>
      <c r="C3813" s="4" t="s">
        <v>882</v>
      </c>
      <c r="D3813" s="4" t="s">
        <v>5798</v>
      </c>
      <c r="E3813" s="5">
        <v>5.75834043612824</v>
      </c>
    </row>
    <row r="3814" ht="14.25" customHeight="1">
      <c r="A3814" s="4"/>
      <c r="B3814" s="4" t="s">
        <v>1802</v>
      </c>
      <c r="C3814" s="4" t="s">
        <v>5799</v>
      </c>
      <c r="D3814" s="4" t="s">
        <v>5800</v>
      </c>
      <c r="E3814" s="5">
        <v>44.082981334036496</v>
      </c>
    </row>
    <row r="3815" ht="14.25" customHeight="1">
      <c r="A3815" s="4"/>
      <c r="B3815" s="4" t="s">
        <v>1802</v>
      </c>
      <c r="C3815" s="4" t="s">
        <v>5801</v>
      </c>
      <c r="D3815" s="4" t="s">
        <v>2062</v>
      </c>
      <c r="E3815" s="5">
        <v>9.86628203031772</v>
      </c>
    </row>
    <row r="3816" ht="14.25" customHeight="1">
      <c r="A3816" s="4"/>
      <c r="B3816" s="4" t="s">
        <v>1802</v>
      </c>
      <c r="C3816" s="4" t="s">
        <v>5802</v>
      </c>
      <c r="D3816" s="4" t="s">
        <v>5803</v>
      </c>
      <c r="E3816" s="5">
        <v>26.7888498318508</v>
      </c>
    </row>
    <row r="3817" ht="14.25" customHeight="1">
      <c r="A3817" s="4"/>
      <c r="B3817" s="4" t="s">
        <v>1802</v>
      </c>
      <c r="C3817" s="4" t="s">
        <v>5804</v>
      </c>
      <c r="D3817" s="4" t="s">
        <v>1812</v>
      </c>
      <c r="E3817" s="5">
        <v>48.3641275995966</v>
      </c>
    </row>
    <row r="3818" ht="14.25" customHeight="1">
      <c r="A3818" s="4"/>
      <c r="B3818" s="4" t="s">
        <v>1802</v>
      </c>
      <c r="C3818" s="4" t="s">
        <v>5805</v>
      </c>
      <c r="D3818" s="4" t="s">
        <v>1837</v>
      </c>
      <c r="E3818" s="5">
        <v>9.672825519919328</v>
      </c>
    </row>
    <row r="3819" ht="14.25" customHeight="1">
      <c r="A3819" s="4"/>
      <c r="B3819" s="4" t="s">
        <v>1802</v>
      </c>
      <c r="C3819" s="4" t="s">
        <v>1240</v>
      </c>
      <c r="D3819" s="4" t="s">
        <v>5806</v>
      </c>
      <c r="E3819" s="5">
        <v>47.5026326603912</v>
      </c>
    </row>
    <row r="3820" ht="14.25" customHeight="1">
      <c r="A3820" s="4"/>
      <c r="B3820" s="4" t="s">
        <v>1802</v>
      </c>
      <c r="C3820" s="4" t="s">
        <v>5807</v>
      </c>
      <c r="D3820" s="4" t="s">
        <v>5808</v>
      </c>
      <c r="E3820" s="5">
        <v>42.4627016068737</v>
      </c>
    </row>
    <row r="3821" ht="14.25" customHeight="1">
      <c r="A3821" s="4"/>
      <c r="B3821" s="4" t="s">
        <v>1802</v>
      </c>
      <c r="C3821" s="4" t="s">
        <v>5809</v>
      </c>
      <c r="D3821" s="4" t="s">
        <v>5810</v>
      </c>
      <c r="E3821" s="5">
        <v>43.2791938550813</v>
      </c>
    </row>
    <row r="3822" ht="14.25" customHeight="1">
      <c r="A3822" s="4"/>
      <c r="B3822" s="4" t="s">
        <v>1802</v>
      </c>
      <c r="C3822" s="4" t="s">
        <v>5811</v>
      </c>
      <c r="D3822" s="4" t="s">
        <v>5812</v>
      </c>
      <c r="E3822" s="5">
        <v>10.8562292105768</v>
      </c>
    </row>
    <row r="3823" ht="14.25" customHeight="1">
      <c r="A3823" s="4"/>
      <c r="B3823" s="4" t="s">
        <v>1802</v>
      </c>
      <c r="C3823" s="4" t="s">
        <v>5813</v>
      </c>
      <c r="D3823" s="4" t="s">
        <v>1837</v>
      </c>
      <c r="E3823" s="5">
        <v>9.672825519919328</v>
      </c>
    </row>
    <row r="3824" ht="14.25" customHeight="1">
      <c r="A3824" s="4"/>
      <c r="B3824" s="4" t="s">
        <v>1802</v>
      </c>
      <c r="C3824" s="4" t="s">
        <v>5814</v>
      </c>
      <c r="D3824" s="4" t="s">
        <v>5366</v>
      </c>
      <c r="E3824" s="5">
        <v>9.76955377511852</v>
      </c>
    </row>
    <row r="3825" ht="14.25" customHeight="1">
      <c r="A3825" s="4"/>
      <c r="B3825" s="4" t="s">
        <v>1802</v>
      </c>
      <c r="C3825" s="4" t="s">
        <v>5815</v>
      </c>
      <c r="D3825" s="4" t="s">
        <v>1812</v>
      </c>
      <c r="E3825" s="5">
        <v>48.3641275995966</v>
      </c>
    </row>
    <row r="3826" ht="14.25" customHeight="1">
      <c r="A3826" s="4"/>
      <c r="B3826" s="4" t="s">
        <v>1802</v>
      </c>
      <c r="C3826" s="4" t="s">
        <v>5816</v>
      </c>
      <c r="D3826" s="4" t="s">
        <v>1812</v>
      </c>
      <c r="E3826" s="5">
        <v>48.3641275995966</v>
      </c>
    </row>
    <row r="3827" ht="14.25" customHeight="1">
      <c r="A3827" s="4"/>
      <c r="B3827" s="4" t="s">
        <v>1802</v>
      </c>
      <c r="C3827" s="4" t="s">
        <v>5817</v>
      </c>
      <c r="D3827" s="4" t="s">
        <v>1812</v>
      </c>
      <c r="E3827" s="5">
        <v>48.3641275995966</v>
      </c>
    </row>
    <row r="3828" ht="14.25" customHeight="1">
      <c r="A3828" s="4"/>
      <c r="B3828" s="4" t="s">
        <v>1802</v>
      </c>
      <c r="C3828" s="4" t="s">
        <v>5818</v>
      </c>
      <c r="D3828" s="4" t="s">
        <v>1812</v>
      </c>
      <c r="E3828" s="5">
        <v>48.3641275995966</v>
      </c>
    </row>
    <row r="3829" ht="14.25" customHeight="1">
      <c r="A3829" s="4"/>
      <c r="B3829" s="4" t="s">
        <v>1802</v>
      </c>
      <c r="C3829" s="4" t="s">
        <v>5819</v>
      </c>
      <c r="D3829" s="4" t="s">
        <v>5820</v>
      </c>
      <c r="E3829" s="5">
        <v>26.8244460859006</v>
      </c>
    </row>
    <row r="3830" ht="14.25" customHeight="1">
      <c r="A3830" s="4"/>
      <c r="B3830" s="4" t="s">
        <v>1802</v>
      </c>
      <c r="C3830" s="4" t="s">
        <v>5821</v>
      </c>
      <c r="D3830" s="4" t="s">
        <v>1812</v>
      </c>
      <c r="E3830" s="5">
        <v>48.3641275995966</v>
      </c>
    </row>
    <row r="3831" ht="14.25" customHeight="1">
      <c r="A3831" s="4"/>
      <c r="B3831" s="4" t="s">
        <v>1802</v>
      </c>
      <c r="C3831" s="4" t="s">
        <v>5822</v>
      </c>
      <c r="D3831" s="4" t="s">
        <v>1812</v>
      </c>
      <c r="E3831" s="5">
        <v>48.3641275995966</v>
      </c>
    </row>
    <row r="3832" ht="14.25" customHeight="1">
      <c r="A3832" s="4"/>
      <c r="B3832" s="4" t="s">
        <v>1802</v>
      </c>
      <c r="C3832" s="4" t="s">
        <v>804</v>
      </c>
      <c r="D3832" s="4" t="s">
        <v>1812</v>
      </c>
      <c r="E3832" s="5">
        <v>48.3641275995966</v>
      </c>
    </row>
    <row r="3833" ht="14.25" customHeight="1">
      <c r="A3833" s="4"/>
      <c r="B3833" s="4" t="s">
        <v>1802</v>
      </c>
      <c r="C3833" s="4" t="s">
        <v>5823</v>
      </c>
      <c r="D3833" s="4" t="s">
        <v>5824</v>
      </c>
      <c r="E3833" s="5">
        <v>8.92941407030804</v>
      </c>
    </row>
    <row r="3834" ht="14.25" customHeight="1">
      <c r="A3834" s="4"/>
      <c r="B3834" s="4" t="s">
        <v>1802</v>
      </c>
      <c r="C3834" s="4" t="s">
        <v>5825</v>
      </c>
      <c r="D3834" s="4" t="s">
        <v>5826</v>
      </c>
      <c r="E3834" s="5">
        <v>9.46971339792197</v>
      </c>
    </row>
    <row r="3835" ht="14.25" customHeight="1">
      <c r="A3835" s="4"/>
      <c r="B3835" s="4" t="s">
        <v>1802</v>
      </c>
      <c r="C3835" s="4" t="s">
        <v>5827</v>
      </c>
      <c r="D3835" s="4" t="s">
        <v>1812</v>
      </c>
      <c r="E3835" s="5">
        <v>48.3641275995966</v>
      </c>
    </row>
    <row r="3836" ht="14.25" customHeight="1">
      <c r="A3836" s="4"/>
      <c r="B3836" s="4" t="s">
        <v>1802</v>
      </c>
      <c r="C3836" s="4" t="s">
        <v>5828</v>
      </c>
      <c r="D3836" s="4" t="s">
        <v>5829</v>
      </c>
      <c r="E3836" s="5">
        <v>9.71109944613535</v>
      </c>
    </row>
    <row r="3837" ht="14.25" customHeight="1">
      <c r="A3837" s="4"/>
      <c r="B3837" s="4" t="s">
        <v>1802</v>
      </c>
      <c r="C3837" s="4" t="s">
        <v>5830</v>
      </c>
      <c r="D3837" s="4" t="s">
        <v>5831</v>
      </c>
      <c r="E3837" s="5">
        <v>20.6305282756046</v>
      </c>
    </row>
    <row r="3838" ht="14.25" customHeight="1">
      <c r="A3838" s="4"/>
      <c r="B3838" s="4" t="s">
        <v>1802</v>
      </c>
      <c r="C3838" s="4" t="s">
        <v>753</v>
      </c>
      <c r="D3838" s="4" t="s">
        <v>1812</v>
      </c>
      <c r="E3838" s="5">
        <v>48.3641275995966</v>
      </c>
    </row>
    <row r="3839" ht="14.25" customHeight="1">
      <c r="A3839" s="4"/>
      <c r="B3839" s="4" t="s">
        <v>1802</v>
      </c>
      <c r="C3839" s="4" t="s">
        <v>5832</v>
      </c>
      <c r="D3839" s="4" t="s">
        <v>5833</v>
      </c>
      <c r="E3839" s="5">
        <v>2.4107685842722897</v>
      </c>
    </row>
    <row r="3840" ht="14.25" customHeight="1">
      <c r="A3840" s="4"/>
      <c r="B3840" s="4" t="s">
        <v>1802</v>
      </c>
      <c r="C3840" s="4" t="s">
        <v>5834</v>
      </c>
      <c r="D3840" s="4" t="s">
        <v>5835</v>
      </c>
      <c r="E3840" s="5">
        <v>16.0174522184045</v>
      </c>
    </row>
    <row r="3841" ht="14.25" customHeight="1">
      <c r="A3841" s="4"/>
      <c r="B3841" s="4" t="s">
        <v>1802</v>
      </c>
      <c r="C3841" s="4" t="s">
        <v>5836</v>
      </c>
      <c r="D3841" s="4" t="s">
        <v>1812</v>
      </c>
      <c r="E3841" s="5">
        <v>48.3641275995966</v>
      </c>
    </row>
    <row r="3842" ht="14.25" customHeight="1">
      <c r="A3842" s="4"/>
      <c r="B3842" s="4" t="s">
        <v>1802</v>
      </c>
      <c r="C3842" s="4" t="s">
        <v>5837</v>
      </c>
      <c r="D3842" s="4" t="s">
        <v>1812</v>
      </c>
      <c r="E3842" s="5">
        <v>48.3641275995966</v>
      </c>
    </row>
    <row r="3843" ht="14.25" customHeight="1">
      <c r="A3843" s="4"/>
      <c r="B3843" s="4" t="s">
        <v>1802</v>
      </c>
      <c r="C3843" s="4" t="s">
        <v>1444</v>
      </c>
      <c r="D3843" s="4" t="s">
        <v>1812</v>
      </c>
      <c r="E3843" s="5">
        <v>48.3641275995966</v>
      </c>
    </row>
    <row r="3844" ht="14.25" customHeight="1">
      <c r="A3844" s="4"/>
      <c r="B3844" s="4" t="s">
        <v>1802</v>
      </c>
      <c r="C3844" s="4" t="s">
        <v>5838</v>
      </c>
      <c r="D3844" s="4" t="s">
        <v>5839</v>
      </c>
      <c r="E3844" s="5">
        <v>32.996456235047</v>
      </c>
    </row>
    <row r="3845" ht="14.25" customHeight="1">
      <c r="A3845" s="4"/>
      <c r="B3845" s="4" t="s">
        <v>1802</v>
      </c>
      <c r="C3845" s="4" t="s">
        <v>923</v>
      </c>
      <c r="D3845" s="4" t="s">
        <v>1812</v>
      </c>
      <c r="E3845" s="5">
        <v>48.3641275995966</v>
      </c>
    </row>
    <row r="3846" ht="14.25" customHeight="1">
      <c r="A3846" s="4"/>
      <c r="B3846" s="4" t="s">
        <v>1802</v>
      </c>
      <c r="C3846" s="4" t="s">
        <v>5840</v>
      </c>
      <c r="D3846" s="4" t="s">
        <v>1812</v>
      </c>
      <c r="E3846" s="5">
        <v>48.3641275995966</v>
      </c>
    </row>
    <row r="3847" ht="14.25" customHeight="1">
      <c r="A3847" s="4"/>
      <c r="B3847" s="4" t="s">
        <v>1802</v>
      </c>
      <c r="C3847" s="4" t="s">
        <v>5841</v>
      </c>
      <c r="D3847" s="4" t="s">
        <v>1837</v>
      </c>
      <c r="E3847" s="5">
        <v>9.672825519919328</v>
      </c>
    </row>
    <row r="3848" ht="14.25" customHeight="1">
      <c r="A3848" s="4"/>
      <c r="B3848" s="4" t="s">
        <v>1802</v>
      </c>
      <c r="C3848" s="4" t="s">
        <v>5842</v>
      </c>
      <c r="D3848" s="4" t="s">
        <v>1812</v>
      </c>
      <c r="E3848" s="5">
        <v>48.3641275995966</v>
      </c>
    </row>
    <row r="3849" ht="14.25" customHeight="1">
      <c r="A3849" s="4"/>
      <c r="B3849" s="4" t="s">
        <v>1802</v>
      </c>
      <c r="C3849" s="4" t="s">
        <v>5843</v>
      </c>
      <c r="D3849" s="4" t="s">
        <v>5844</v>
      </c>
      <c r="E3849" s="5">
        <v>16.8469032872933</v>
      </c>
    </row>
    <row r="3850" ht="14.25" customHeight="1">
      <c r="A3850" s="4"/>
      <c r="B3850" s="4" t="s">
        <v>1802</v>
      </c>
      <c r="C3850" s="4" t="s">
        <v>5845</v>
      </c>
      <c r="D3850" s="4" t="s">
        <v>1812</v>
      </c>
      <c r="E3850" s="5">
        <v>48.3641275995966</v>
      </c>
    </row>
    <row r="3851" ht="14.25" customHeight="1">
      <c r="A3851" s="4"/>
      <c r="B3851" s="4" t="s">
        <v>1802</v>
      </c>
      <c r="C3851" s="4" t="s">
        <v>5846</v>
      </c>
      <c r="D3851" s="4" t="s">
        <v>5847</v>
      </c>
      <c r="E3851" s="5">
        <v>5.16987789827053</v>
      </c>
    </row>
    <row r="3852" ht="14.25" customHeight="1">
      <c r="A3852" s="4"/>
      <c r="B3852" s="4" t="s">
        <v>1802</v>
      </c>
      <c r="C3852" s="4" t="s">
        <v>5848</v>
      </c>
      <c r="D3852" s="4" t="s">
        <v>1812</v>
      </c>
      <c r="E3852" s="5">
        <v>48.3641275995966</v>
      </c>
    </row>
    <row r="3853" ht="14.25" customHeight="1">
      <c r="A3853" s="4"/>
      <c r="B3853" s="4" t="s">
        <v>1802</v>
      </c>
      <c r="C3853" s="4" t="s">
        <v>5849</v>
      </c>
      <c r="D3853" s="4" t="s">
        <v>1812</v>
      </c>
      <c r="E3853" s="5">
        <v>48.3641275995966</v>
      </c>
    </row>
    <row r="3854" ht="14.25" customHeight="1">
      <c r="A3854" s="4"/>
      <c r="B3854" s="4" t="s">
        <v>1802</v>
      </c>
      <c r="C3854" s="4" t="s">
        <v>5850</v>
      </c>
      <c r="D3854" s="4" t="s">
        <v>5851</v>
      </c>
      <c r="E3854" s="5">
        <v>28.623666772701903</v>
      </c>
    </row>
    <row r="3855" ht="14.25" customHeight="1">
      <c r="A3855" s="4"/>
      <c r="B3855" s="4" t="s">
        <v>1802</v>
      </c>
      <c r="C3855" s="4" t="s">
        <v>5852</v>
      </c>
      <c r="D3855" s="4" t="s">
        <v>5853</v>
      </c>
      <c r="E3855" s="5">
        <v>15.4146727299787</v>
      </c>
    </row>
    <row r="3856" ht="14.25" customHeight="1">
      <c r="A3856" s="4"/>
      <c r="B3856" s="4" t="s">
        <v>1802</v>
      </c>
      <c r="C3856" s="4" t="s">
        <v>5854</v>
      </c>
      <c r="D3856" s="4" t="s">
        <v>1812</v>
      </c>
      <c r="E3856" s="5">
        <v>48.3641275995966</v>
      </c>
    </row>
    <row r="3857" ht="14.25" customHeight="1">
      <c r="A3857" s="4"/>
      <c r="B3857" s="4" t="s">
        <v>1802</v>
      </c>
      <c r="C3857" s="4" t="s">
        <v>5855</v>
      </c>
      <c r="D3857" s="4" t="s">
        <v>5856</v>
      </c>
      <c r="E3857" s="5">
        <v>25.383545109461902</v>
      </c>
    </row>
    <row r="3858" ht="14.25" customHeight="1">
      <c r="A3858" s="4"/>
      <c r="B3858" s="4" t="s">
        <v>1802</v>
      </c>
      <c r="C3858" s="4" t="s">
        <v>5857</v>
      </c>
      <c r="D3858" s="4" t="s">
        <v>5858</v>
      </c>
      <c r="E3858" s="5">
        <v>8.68688950708176</v>
      </c>
    </row>
    <row r="3859" ht="14.25" customHeight="1">
      <c r="A3859" s="4"/>
      <c r="B3859" s="4" t="s">
        <v>1802</v>
      </c>
      <c r="C3859" s="4" t="s">
        <v>5859</v>
      </c>
      <c r="D3859" s="4" t="s">
        <v>1812</v>
      </c>
      <c r="E3859" s="5">
        <v>48.3641275995966</v>
      </c>
    </row>
    <row r="3860" ht="14.25" customHeight="1">
      <c r="A3860" s="4"/>
      <c r="B3860" s="4" t="s">
        <v>1802</v>
      </c>
      <c r="C3860" s="4" t="s">
        <v>5860</v>
      </c>
      <c r="D3860" s="4" t="s">
        <v>5861</v>
      </c>
      <c r="E3860" s="5">
        <v>0.26425713223139297</v>
      </c>
    </row>
    <row r="3861" ht="14.25" customHeight="1">
      <c r="A3861" s="4"/>
      <c r="B3861" s="4" t="s">
        <v>1802</v>
      </c>
      <c r="C3861" s="4" t="s">
        <v>5862</v>
      </c>
      <c r="D3861" s="4" t="s">
        <v>1837</v>
      </c>
      <c r="E3861" s="5">
        <v>9.672825519919328</v>
      </c>
    </row>
    <row r="3862" ht="14.25" customHeight="1">
      <c r="A3862" s="4"/>
      <c r="B3862" s="4" t="s">
        <v>1802</v>
      </c>
      <c r="C3862" s="4" t="s">
        <v>5863</v>
      </c>
      <c r="D3862" s="4" t="s">
        <v>5864</v>
      </c>
      <c r="E3862" s="5">
        <v>7.53415737312845</v>
      </c>
    </row>
    <row r="3863" ht="14.25" customHeight="1">
      <c r="A3863" s="4"/>
      <c r="B3863" s="4" t="s">
        <v>1802</v>
      </c>
      <c r="C3863" s="4" t="s">
        <v>5865</v>
      </c>
      <c r="D3863" s="4" t="s">
        <v>5866</v>
      </c>
      <c r="E3863" s="5">
        <v>8.25272263742376</v>
      </c>
    </row>
    <row r="3864" ht="14.25" customHeight="1">
      <c r="A3864" s="4"/>
      <c r="B3864" s="4" t="s">
        <v>1802</v>
      </c>
      <c r="C3864" s="4" t="s">
        <v>338</v>
      </c>
      <c r="D3864" s="4" t="s">
        <v>1812</v>
      </c>
      <c r="E3864" s="5">
        <v>48.3641275995966</v>
      </c>
    </row>
    <row r="3865" ht="14.25" customHeight="1">
      <c r="A3865" s="4"/>
      <c r="B3865" s="4" t="s">
        <v>1802</v>
      </c>
      <c r="C3865" s="4" t="s">
        <v>5867</v>
      </c>
      <c r="D3865" s="4" t="s">
        <v>5868</v>
      </c>
      <c r="E3865" s="5">
        <v>33.1311199239796</v>
      </c>
    </row>
    <row r="3866" ht="14.25" customHeight="1">
      <c r="A3866" s="4"/>
      <c r="B3866" s="4" t="s">
        <v>1802</v>
      </c>
      <c r="C3866" s="4" t="s">
        <v>5869</v>
      </c>
      <c r="D3866" s="4" t="s">
        <v>1837</v>
      </c>
      <c r="E3866" s="5">
        <v>9.672825519919328</v>
      </c>
    </row>
    <row r="3867" ht="14.25" customHeight="1">
      <c r="A3867" s="4"/>
      <c r="B3867" s="4" t="s">
        <v>1802</v>
      </c>
      <c r="C3867" s="4" t="s">
        <v>5870</v>
      </c>
      <c r="D3867" s="4" t="s">
        <v>1812</v>
      </c>
      <c r="E3867" s="5">
        <v>48.3641275995966</v>
      </c>
    </row>
    <row r="3868" ht="14.25" customHeight="1">
      <c r="A3868" s="4"/>
      <c r="B3868" s="4" t="s">
        <v>1802</v>
      </c>
      <c r="C3868" s="4" t="s">
        <v>5871</v>
      </c>
      <c r="D3868" s="4" t="s">
        <v>1812</v>
      </c>
      <c r="E3868" s="5">
        <v>48.3641275995966</v>
      </c>
    </row>
    <row r="3869" ht="14.25" customHeight="1">
      <c r="A3869" s="4"/>
      <c r="B3869" s="4" t="s">
        <v>1802</v>
      </c>
      <c r="C3869" s="4" t="s">
        <v>5872</v>
      </c>
      <c r="D3869" s="4" t="s">
        <v>1812</v>
      </c>
      <c r="E3869" s="5">
        <v>48.3641275995966</v>
      </c>
    </row>
    <row r="3870" ht="14.25" customHeight="1">
      <c r="A3870" s="4"/>
      <c r="B3870" s="4" t="s">
        <v>1802</v>
      </c>
      <c r="C3870" s="4" t="s">
        <v>5873</v>
      </c>
      <c r="D3870" s="4" t="s">
        <v>1812</v>
      </c>
      <c r="E3870" s="5">
        <v>48.3641275995966</v>
      </c>
    </row>
    <row r="3871" ht="14.25" customHeight="1">
      <c r="A3871" s="4"/>
      <c r="B3871" s="4" t="s">
        <v>1802</v>
      </c>
      <c r="C3871" s="4" t="s">
        <v>5874</v>
      </c>
      <c r="D3871" s="4" t="s">
        <v>1812</v>
      </c>
      <c r="E3871" s="5">
        <v>48.3641275995966</v>
      </c>
    </row>
    <row r="3872" ht="14.25" customHeight="1">
      <c r="A3872" s="4"/>
      <c r="B3872" s="4" t="s">
        <v>1802</v>
      </c>
      <c r="C3872" s="4" t="s">
        <v>5875</v>
      </c>
      <c r="D3872" s="4" t="s">
        <v>1812</v>
      </c>
      <c r="E3872" s="5">
        <v>48.3641275995966</v>
      </c>
    </row>
    <row r="3873" ht="14.25" customHeight="1">
      <c r="A3873" s="4"/>
      <c r="B3873" s="4" t="s">
        <v>1802</v>
      </c>
      <c r="C3873" s="4" t="s">
        <v>5876</v>
      </c>
      <c r="D3873" s="4" t="s">
        <v>2105</v>
      </c>
      <c r="E3873" s="5">
        <v>29.018476559758</v>
      </c>
    </row>
    <row r="3874" ht="14.25" customHeight="1">
      <c r="A3874" s="4"/>
      <c r="B3874" s="4" t="s">
        <v>1802</v>
      </c>
      <c r="C3874" s="4" t="s">
        <v>5877</v>
      </c>
      <c r="D3874" s="4" t="s">
        <v>5878</v>
      </c>
      <c r="E3874" s="5">
        <v>18.4663079701214</v>
      </c>
    </row>
    <row r="3875" ht="14.25" customHeight="1">
      <c r="A3875" s="4"/>
      <c r="B3875" s="4" t="s">
        <v>1802</v>
      </c>
      <c r="C3875" s="4" t="s">
        <v>5879</v>
      </c>
      <c r="D3875" s="4" t="s">
        <v>1812</v>
      </c>
      <c r="E3875" s="5">
        <v>48.3641275995966</v>
      </c>
    </row>
    <row r="3876" ht="14.25" customHeight="1">
      <c r="A3876" s="4"/>
      <c r="B3876" s="4" t="s">
        <v>1802</v>
      </c>
      <c r="C3876" s="4" t="s">
        <v>5880</v>
      </c>
      <c r="D3876" s="4" t="s">
        <v>5881</v>
      </c>
      <c r="E3876" s="5">
        <v>18.1482043987392</v>
      </c>
    </row>
    <row r="3877" ht="14.25" customHeight="1">
      <c r="A3877" s="4"/>
      <c r="B3877" s="4" t="s">
        <v>1802</v>
      </c>
      <c r="C3877" s="4" t="s">
        <v>5882</v>
      </c>
      <c r="D3877" s="4" t="s">
        <v>1812</v>
      </c>
      <c r="E3877" s="5">
        <v>48.3641275995966</v>
      </c>
    </row>
    <row r="3878" ht="14.25" customHeight="1">
      <c r="A3878" s="4"/>
      <c r="B3878" s="4" t="s">
        <v>1802</v>
      </c>
      <c r="C3878" s="4" t="s">
        <v>5883</v>
      </c>
      <c r="D3878" s="4" t="s">
        <v>1812</v>
      </c>
      <c r="E3878" s="5">
        <v>48.3641275995966</v>
      </c>
    </row>
    <row r="3879" ht="14.25" customHeight="1">
      <c r="A3879" s="4"/>
      <c r="B3879" s="4" t="s">
        <v>1802</v>
      </c>
      <c r="C3879" s="4" t="s">
        <v>5884</v>
      </c>
      <c r="D3879" s="4" t="s">
        <v>2834</v>
      </c>
      <c r="E3879" s="5">
        <v>0.193456510398386</v>
      </c>
    </row>
    <row r="3880" ht="14.25" customHeight="1">
      <c r="A3880" s="4"/>
      <c r="B3880" s="4" t="s">
        <v>1802</v>
      </c>
      <c r="C3880" s="4" t="s">
        <v>5885</v>
      </c>
      <c r="D3880" s="4" t="s">
        <v>5886</v>
      </c>
      <c r="E3880" s="5">
        <v>41.818110149717306</v>
      </c>
    </row>
    <row r="3881" ht="14.25" customHeight="1">
      <c r="A3881" s="4"/>
      <c r="B3881" s="4" t="s">
        <v>1802</v>
      </c>
      <c r="C3881" s="4" t="s">
        <v>5887</v>
      </c>
      <c r="D3881" s="4" t="s">
        <v>5888</v>
      </c>
      <c r="E3881" s="5">
        <v>0.321793820373944</v>
      </c>
    </row>
    <row r="3882" ht="14.25" customHeight="1">
      <c r="A3882" s="4"/>
      <c r="B3882" s="4" t="s">
        <v>1802</v>
      </c>
      <c r="C3882" s="4" t="s">
        <v>5889</v>
      </c>
      <c r="D3882" s="4" t="s">
        <v>1812</v>
      </c>
      <c r="E3882" s="5">
        <v>48.3641275995966</v>
      </c>
    </row>
    <row r="3883" ht="14.25" customHeight="1">
      <c r="A3883" s="4"/>
      <c r="B3883" s="4" t="s">
        <v>1802</v>
      </c>
      <c r="C3883" s="4" t="s">
        <v>5890</v>
      </c>
      <c r="D3883" s="4" t="s">
        <v>1812</v>
      </c>
      <c r="E3883" s="5">
        <v>48.3641275995966</v>
      </c>
    </row>
    <row r="3884" ht="14.25" customHeight="1">
      <c r="A3884" s="4"/>
      <c r="B3884" s="4" t="s">
        <v>1802</v>
      </c>
      <c r="C3884" s="4" t="s">
        <v>5891</v>
      </c>
      <c r="D3884" s="4" t="s">
        <v>1812</v>
      </c>
      <c r="E3884" s="5">
        <v>48.3641275995966</v>
      </c>
    </row>
    <row r="3885" ht="14.25" customHeight="1">
      <c r="A3885" s="4"/>
      <c r="B3885" s="4" t="s">
        <v>1802</v>
      </c>
      <c r="C3885" s="4" t="s">
        <v>5892</v>
      </c>
      <c r="D3885" s="4" t="s">
        <v>5893</v>
      </c>
      <c r="E3885" s="5">
        <v>18.803640704726</v>
      </c>
    </row>
    <row r="3886" ht="14.25" customHeight="1">
      <c r="A3886" s="4"/>
      <c r="B3886" s="4" t="s">
        <v>1802</v>
      </c>
      <c r="C3886" s="4" t="s">
        <v>1533</v>
      </c>
      <c r="D3886" s="4" t="s">
        <v>1812</v>
      </c>
      <c r="E3886" s="5">
        <v>48.3641275995966</v>
      </c>
    </row>
    <row r="3887" ht="14.25" customHeight="1">
      <c r="A3887" s="4"/>
      <c r="B3887" s="4" t="s">
        <v>1802</v>
      </c>
      <c r="C3887" s="4" t="s">
        <v>5894</v>
      </c>
      <c r="D3887" s="4" t="s">
        <v>5895</v>
      </c>
      <c r="E3887" s="5">
        <v>9.75559550484939</v>
      </c>
    </row>
    <row r="3888" ht="14.25" customHeight="1">
      <c r="A3888" s="4"/>
      <c r="B3888" s="4" t="s">
        <v>1802</v>
      </c>
      <c r="C3888" s="4" t="s">
        <v>1334</v>
      </c>
      <c r="D3888" s="4" t="s">
        <v>1812</v>
      </c>
      <c r="E3888" s="5">
        <v>48.3641275995966</v>
      </c>
    </row>
    <row r="3889" ht="14.25" customHeight="1">
      <c r="A3889" s="4"/>
      <c r="B3889" s="4" t="s">
        <v>1802</v>
      </c>
      <c r="C3889" s="4" t="s">
        <v>1628</v>
      </c>
      <c r="D3889" s="4" t="s">
        <v>5896</v>
      </c>
      <c r="E3889" s="5">
        <v>45.267826226860095</v>
      </c>
    </row>
    <row r="3890" ht="14.25" customHeight="1">
      <c r="A3890" s="4"/>
      <c r="B3890" s="4" t="s">
        <v>1802</v>
      </c>
      <c r="C3890" s="4" t="s">
        <v>5897</v>
      </c>
      <c r="D3890" s="4" t="s">
        <v>5898</v>
      </c>
      <c r="E3890" s="5">
        <v>46.376971166111495</v>
      </c>
    </row>
    <row r="3891" ht="14.25" customHeight="1">
      <c r="A3891" s="4"/>
      <c r="B3891" s="4" t="s">
        <v>1802</v>
      </c>
      <c r="C3891" s="4" t="s">
        <v>367</v>
      </c>
      <c r="D3891" s="4" t="s">
        <v>1812</v>
      </c>
      <c r="E3891" s="5">
        <v>48.3641275995966</v>
      </c>
    </row>
    <row r="3892" ht="14.25" customHeight="1">
      <c r="A3892" s="4"/>
      <c r="B3892" s="4" t="s">
        <v>1802</v>
      </c>
      <c r="C3892" s="4" t="s">
        <v>5899</v>
      </c>
      <c r="D3892" s="4" t="s">
        <v>1812</v>
      </c>
      <c r="E3892" s="5">
        <v>48.3641275995966</v>
      </c>
    </row>
    <row r="3893" ht="14.25" customHeight="1">
      <c r="A3893" s="4"/>
      <c r="B3893" s="4" t="s">
        <v>1802</v>
      </c>
      <c r="C3893" s="4" t="s">
        <v>5900</v>
      </c>
      <c r="D3893" s="4" t="s">
        <v>1812</v>
      </c>
      <c r="E3893" s="5">
        <v>48.3641275995966</v>
      </c>
    </row>
    <row r="3894" ht="14.25" customHeight="1">
      <c r="A3894" s="4"/>
      <c r="B3894" s="4" t="s">
        <v>1802</v>
      </c>
      <c r="C3894" s="4" t="s">
        <v>977</v>
      </c>
      <c r="D3894" s="4" t="s">
        <v>1812</v>
      </c>
      <c r="E3894" s="5">
        <v>48.3641275995966</v>
      </c>
    </row>
    <row r="3895" ht="14.25" customHeight="1">
      <c r="A3895" s="4"/>
      <c r="B3895" s="4" t="s">
        <v>1802</v>
      </c>
      <c r="C3895" s="4" t="s">
        <v>5901</v>
      </c>
      <c r="D3895" s="4" t="s">
        <v>5902</v>
      </c>
      <c r="E3895" s="5">
        <v>19.7887227882166</v>
      </c>
    </row>
    <row r="3896" ht="14.25" customHeight="1">
      <c r="A3896" s="4"/>
      <c r="B3896" s="4" t="s">
        <v>1802</v>
      </c>
      <c r="C3896" s="4" t="s">
        <v>5903</v>
      </c>
      <c r="D3896" s="4" t="s">
        <v>1812</v>
      </c>
      <c r="E3896" s="5">
        <v>48.3641275995966</v>
      </c>
    </row>
    <row r="3897" ht="14.25" customHeight="1">
      <c r="A3897" s="4"/>
      <c r="B3897" s="4" t="s">
        <v>1802</v>
      </c>
      <c r="C3897" s="4" t="s">
        <v>5904</v>
      </c>
      <c r="D3897" s="4" t="s">
        <v>1812</v>
      </c>
      <c r="E3897" s="5">
        <v>48.3641275995966</v>
      </c>
    </row>
    <row r="3898" ht="14.25" customHeight="1">
      <c r="A3898" s="4"/>
      <c r="B3898" s="4" t="s">
        <v>1802</v>
      </c>
      <c r="C3898" s="4" t="s">
        <v>5905</v>
      </c>
      <c r="D3898" s="4" t="s">
        <v>5906</v>
      </c>
      <c r="E3898" s="5">
        <v>8.26496120828494</v>
      </c>
    </row>
    <row r="3899" ht="14.25" customHeight="1">
      <c r="A3899" s="4"/>
      <c r="B3899" s="4" t="s">
        <v>1802</v>
      </c>
      <c r="C3899" s="4" t="s">
        <v>5907</v>
      </c>
      <c r="D3899" s="4" t="s">
        <v>1837</v>
      </c>
      <c r="E3899" s="5">
        <v>9.672825519919328</v>
      </c>
    </row>
    <row r="3900" ht="14.25" customHeight="1">
      <c r="A3900" s="4"/>
      <c r="B3900" s="4" t="s">
        <v>1802</v>
      </c>
      <c r="C3900" s="4" t="s">
        <v>5908</v>
      </c>
      <c r="D3900" s="4" t="s">
        <v>5909</v>
      </c>
      <c r="E3900" s="5">
        <v>16.4720050527939</v>
      </c>
    </row>
    <row r="3901" ht="14.25" customHeight="1">
      <c r="A3901" s="4"/>
      <c r="B3901" s="4" t="s">
        <v>1802</v>
      </c>
      <c r="C3901" s="4" t="s">
        <v>5910</v>
      </c>
      <c r="D3901" s="4" t="s">
        <v>5911</v>
      </c>
      <c r="E3901" s="5">
        <v>28.5659172676554</v>
      </c>
    </row>
    <row r="3902" ht="14.25" customHeight="1">
      <c r="A3902" s="4"/>
      <c r="B3902" s="4" t="s">
        <v>1802</v>
      </c>
      <c r="C3902" s="4" t="s">
        <v>5912</v>
      </c>
      <c r="D3902" s="4" t="s">
        <v>1812</v>
      </c>
      <c r="E3902" s="5">
        <v>48.3641275995966</v>
      </c>
    </row>
    <row r="3903" ht="14.25" customHeight="1">
      <c r="A3903" s="4"/>
      <c r="B3903" s="4" t="s">
        <v>1802</v>
      </c>
      <c r="C3903" s="4" t="s">
        <v>5913</v>
      </c>
      <c r="D3903" s="4" t="s">
        <v>1812</v>
      </c>
      <c r="E3903" s="5">
        <v>48.3641275995966</v>
      </c>
    </row>
    <row r="3904" ht="14.25" customHeight="1">
      <c r="A3904" s="4"/>
      <c r="B3904" s="4" t="s">
        <v>1802</v>
      </c>
      <c r="C3904" s="4" t="s">
        <v>1309</v>
      </c>
      <c r="D3904" s="4" t="s">
        <v>1812</v>
      </c>
      <c r="E3904" s="5">
        <v>48.3641275995966</v>
      </c>
    </row>
    <row r="3905" ht="14.25" customHeight="1">
      <c r="A3905" s="4"/>
      <c r="B3905" s="4" t="s">
        <v>1802</v>
      </c>
      <c r="C3905" s="4" t="s">
        <v>5914</v>
      </c>
      <c r="D3905" s="4" t="s">
        <v>2181</v>
      </c>
      <c r="E3905" s="5">
        <v>7.738260415935461</v>
      </c>
    </row>
    <row r="3906" ht="14.25" customHeight="1">
      <c r="A3906" s="4"/>
      <c r="B3906" s="4" t="s">
        <v>1802</v>
      </c>
      <c r="C3906" s="4" t="s">
        <v>661</v>
      </c>
      <c r="D3906" s="4" t="s">
        <v>1812</v>
      </c>
      <c r="E3906" s="5">
        <v>48.3641275995966</v>
      </c>
    </row>
    <row r="3907" ht="14.25" customHeight="1">
      <c r="A3907" s="4"/>
      <c r="B3907" s="4" t="s">
        <v>1802</v>
      </c>
      <c r="C3907" s="4" t="s">
        <v>5915</v>
      </c>
      <c r="D3907" s="4" t="s">
        <v>1951</v>
      </c>
      <c r="E3907" s="5">
        <v>38.6913020796773</v>
      </c>
    </row>
    <row r="3908" ht="14.25" customHeight="1">
      <c r="A3908" s="4"/>
      <c r="B3908" s="4" t="s">
        <v>1802</v>
      </c>
      <c r="C3908" s="4" t="s">
        <v>5916</v>
      </c>
      <c r="D3908" s="4" t="s">
        <v>1812</v>
      </c>
      <c r="E3908" s="5">
        <v>48.3641275995966</v>
      </c>
    </row>
    <row r="3909" ht="14.25" customHeight="1">
      <c r="A3909" s="4"/>
      <c r="B3909" s="4" t="s">
        <v>1802</v>
      </c>
      <c r="C3909" s="4" t="s">
        <v>5917</v>
      </c>
      <c r="D3909" s="4" t="s">
        <v>5918</v>
      </c>
      <c r="E3909" s="5">
        <v>44.5792600934372</v>
      </c>
    </row>
    <row r="3910" ht="14.25" customHeight="1">
      <c r="A3910" s="4"/>
      <c r="B3910" s="4" t="s">
        <v>1802</v>
      </c>
      <c r="C3910" s="4" t="s">
        <v>5919</v>
      </c>
      <c r="D3910" s="4" t="s">
        <v>5920</v>
      </c>
      <c r="E3910" s="5">
        <v>36.054252788971404</v>
      </c>
    </row>
    <row r="3911" ht="14.25" customHeight="1">
      <c r="A3911" s="4"/>
      <c r="B3911" s="4" t="s">
        <v>1802</v>
      </c>
      <c r="C3911" s="4" t="s">
        <v>5921</v>
      </c>
      <c r="D3911" s="4" t="s">
        <v>5922</v>
      </c>
      <c r="E3911" s="5">
        <v>6.30119612522406</v>
      </c>
    </row>
    <row r="3912" ht="14.25" customHeight="1">
      <c r="A3912" s="4"/>
      <c r="B3912" s="4" t="s">
        <v>1802</v>
      </c>
      <c r="C3912" s="4" t="s">
        <v>5923</v>
      </c>
      <c r="D3912" s="4" t="s">
        <v>5924</v>
      </c>
      <c r="E3912" s="5">
        <v>45.4753529849633</v>
      </c>
    </row>
    <row r="3913" ht="14.25" customHeight="1">
      <c r="A3913" s="4"/>
      <c r="B3913" s="4" t="s">
        <v>1802</v>
      </c>
      <c r="C3913" s="4" t="s">
        <v>5925</v>
      </c>
      <c r="D3913" s="4" t="s">
        <v>1812</v>
      </c>
      <c r="E3913" s="5">
        <v>48.3641275995966</v>
      </c>
    </row>
    <row r="3914" ht="14.25" customHeight="1">
      <c r="A3914" s="4"/>
      <c r="B3914" s="4" t="s">
        <v>1802</v>
      </c>
      <c r="C3914" s="4" t="s">
        <v>608</v>
      </c>
      <c r="D3914" s="4" t="s">
        <v>5926</v>
      </c>
      <c r="E3914" s="5">
        <v>47.6537582196533</v>
      </c>
    </row>
    <row r="3915" ht="14.25" customHeight="1">
      <c r="A3915" s="4"/>
      <c r="B3915" s="4" t="s">
        <v>1802</v>
      </c>
      <c r="C3915" s="4" t="s">
        <v>5927</v>
      </c>
      <c r="D3915" s="4" t="s">
        <v>1821</v>
      </c>
      <c r="E3915" s="5">
        <v>19.3456510398386</v>
      </c>
    </row>
    <row r="3916" ht="14.25" customHeight="1">
      <c r="A3916" s="4"/>
      <c r="B3916" s="4" t="s">
        <v>1802</v>
      </c>
      <c r="C3916" s="4" t="s">
        <v>5928</v>
      </c>
      <c r="D3916" s="4" t="s">
        <v>5929</v>
      </c>
      <c r="E3916" s="5">
        <v>45.578974645398006</v>
      </c>
    </row>
    <row r="3917" ht="14.25" customHeight="1">
      <c r="A3917" s="4"/>
      <c r="B3917" s="4" t="s">
        <v>1802</v>
      </c>
      <c r="C3917" s="4" t="s">
        <v>5930</v>
      </c>
      <c r="D3917" s="4" t="s">
        <v>1812</v>
      </c>
      <c r="E3917" s="5">
        <v>48.3641275995966</v>
      </c>
    </row>
    <row r="3918" ht="14.25" customHeight="1">
      <c r="A3918" s="4"/>
      <c r="B3918" s="4" t="s">
        <v>1802</v>
      </c>
      <c r="C3918" s="4" t="s">
        <v>5931</v>
      </c>
      <c r="D3918" s="4" t="s">
        <v>5932</v>
      </c>
      <c r="E3918" s="5">
        <v>9.54440527461726</v>
      </c>
    </row>
    <row r="3919" ht="14.25" customHeight="1">
      <c r="A3919" s="4"/>
      <c r="B3919" s="4" t="s">
        <v>1802</v>
      </c>
      <c r="C3919" s="4" t="s">
        <v>5933</v>
      </c>
      <c r="D3919" s="4" t="s">
        <v>1812</v>
      </c>
      <c r="E3919" s="5">
        <v>48.3641275995966</v>
      </c>
    </row>
    <row r="3920" ht="14.25" customHeight="1">
      <c r="A3920" s="4"/>
      <c r="B3920" s="4" t="s">
        <v>1802</v>
      </c>
      <c r="C3920" s="4" t="s">
        <v>5934</v>
      </c>
      <c r="D3920" s="4" t="s">
        <v>5935</v>
      </c>
      <c r="E3920" s="5">
        <v>9.19453991156655</v>
      </c>
    </row>
    <row r="3921" ht="14.25" customHeight="1">
      <c r="A3921" s="4"/>
      <c r="B3921" s="4" t="s">
        <v>1802</v>
      </c>
      <c r="C3921" s="4" t="s">
        <v>5936</v>
      </c>
      <c r="D3921" s="4" t="s">
        <v>5937</v>
      </c>
      <c r="E3921" s="5">
        <v>44.4558341558119</v>
      </c>
    </row>
    <row r="3922" ht="14.25" customHeight="1">
      <c r="A3922" s="4"/>
      <c r="B3922" s="4" t="s">
        <v>1802</v>
      </c>
      <c r="C3922" s="4" t="s">
        <v>5938</v>
      </c>
      <c r="D3922" s="4" t="s">
        <v>5939</v>
      </c>
      <c r="E3922" s="5">
        <v>10.932166183182899</v>
      </c>
    </row>
    <row r="3923" ht="14.25" customHeight="1">
      <c r="A3923" s="4"/>
      <c r="B3923" s="4" t="s">
        <v>1802</v>
      </c>
      <c r="C3923" s="4" t="s">
        <v>5940</v>
      </c>
      <c r="D3923" s="4" t="s">
        <v>1812</v>
      </c>
      <c r="E3923" s="5">
        <v>48.3641275995966</v>
      </c>
    </row>
    <row r="3924" ht="14.25" customHeight="1">
      <c r="A3924" s="4"/>
      <c r="B3924" s="4" t="s">
        <v>1802</v>
      </c>
      <c r="C3924" s="4" t="s">
        <v>5941</v>
      </c>
      <c r="D3924" s="4" t="s">
        <v>1812</v>
      </c>
      <c r="E3924" s="5">
        <v>48.3641275995966</v>
      </c>
    </row>
    <row r="3925" ht="14.25" customHeight="1">
      <c r="A3925" s="4"/>
      <c r="B3925" s="4" t="s">
        <v>1802</v>
      </c>
      <c r="C3925" s="4" t="s">
        <v>5942</v>
      </c>
      <c r="D3925" s="4" t="s">
        <v>1812</v>
      </c>
      <c r="E3925" s="5">
        <v>48.3641275995966</v>
      </c>
    </row>
    <row r="3926" ht="14.25" customHeight="1">
      <c r="A3926" s="4"/>
      <c r="B3926" s="4" t="s">
        <v>1802</v>
      </c>
      <c r="C3926" s="4" t="s">
        <v>5943</v>
      </c>
      <c r="D3926" s="4" t="s">
        <v>1812</v>
      </c>
      <c r="E3926" s="5">
        <v>48.3641275995966</v>
      </c>
    </row>
    <row r="3927" ht="14.25" customHeight="1">
      <c r="A3927" s="4"/>
      <c r="B3927" s="4" t="s">
        <v>1802</v>
      </c>
      <c r="C3927" s="4" t="s">
        <v>5944</v>
      </c>
      <c r="D3927" s="4" t="s">
        <v>1812</v>
      </c>
      <c r="E3927" s="5">
        <v>48.3641275995966</v>
      </c>
    </row>
    <row r="3928" ht="14.25" customHeight="1">
      <c r="A3928" s="4"/>
      <c r="B3928" s="4" t="s">
        <v>1802</v>
      </c>
      <c r="C3928" s="4" t="s">
        <v>5945</v>
      </c>
      <c r="D3928" s="4" t="s">
        <v>5946</v>
      </c>
      <c r="E3928" s="5">
        <v>40.061886758149605</v>
      </c>
    </row>
    <row r="3929" ht="14.25" customHeight="1">
      <c r="A3929" s="4"/>
      <c r="B3929" s="4" t="s">
        <v>1802</v>
      </c>
      <c r="C3929" s="4" t="s">
        <v>5947</v>
      </c>
      <c r="D3929" s="4" t="s">
        <v>1812</v>
      </c>
      <c r="E3929" s="5">
        <v>48.3641275995966</v>
      </c>
    </row>
    <row r="3930" ht="14.25" customHeight="1">
      <c r="A3930" s="4"/>
      <c r="B3930" s="4" t="s">
        <v>1802</v>
      </c>
      <c r="C3930" s="4" t="s">
        <v>5948</v>
      </c>
      <c r="D3930" s="4" t="s">
        <v>1837</v>
      </c>
      <c r="E3930" s="5">
        <v>9.672825519919328</v>
      </c>
    </row>
    <row r="3931" ht="14.25" customHeight="1">
      <c r="A3931" s="4"/>
      <c r="B3931" s="4" t="s">
        <v>1802</v>
      </c>
      <c r="C3931" s="4" t="s">
        <v>1319</v>
      </c>
      <c r="D3931" s="4" t="s">
        <v>1812</v>
      </c>
      <c r="E3931" s="5">
        <v>48.3641275995966</v>
      </c>
    </row>
    <row r="3932" ht="14.25" customHeight="1">
      <c r="A3932" s="4"/>
      <c r="B3932" s="4" t="s">
        <v>1802</v>
      </c>
      <c r="C3932" s="4" t="s">
        <v>5949</v>
      </c>
      <c r="D3932" s="4" t="s">
        <v>5950</v>
      </c>
      <c r="E3932" s="5">
        <v>34.7297101089959</v>
      </c>
    </row>
    <row r="3933" ht="14.25" customHeight="1">
      <c r="A3933" s="4"/>
      <c r="B3933" s="4" t="s">
        <v>1802</v>
      </c>
      <c r="C3933" s="4" t="s">
        <v>5951</v>
      </c>
      <c r="D3933" s="4" t="s">
        <v>1812</v>
      </c>
      <c r="E3933" s="5">
        <v>48.3641275995966</v>
      </c>
    </row>
    <row r="3934" ht="14.25" customHeight="1">
      <c r="A3934" s="4"/>
      <c r="B3934" s="4" t="s">
        <v>1802</v>
      </c>
      <c r="C3934" s="4" t="s">
        <v>5952</v>
      </c>
      <c r="D3934" s="4" t="s">
        <v>1812</v>
      </c>
      <c r="E3934" s="5">
        <v>48.3641275995966</v>
      </c>
    </row>
    <row r="3935" ht="14.25" customHeight="1">
      <c r="A3935" s="4"/>
      <c r="B3935" s="4" t="s">
        <v>1802</v>
      </c>
      <c r="C3935" s="4" t="s">
        <v>5953</v>
      </c>
      <c r="D3935" s="4" t="s">
        <v>5954</v>
      </c>
      <c r="E3935" s="5">
        <v>10.102698788412999</v>
      </c>
    </row>
    <row r="3936" ht="14.25" customHeight="1">
      <c r="A3936" s="4"/>
      <c r="B3936" s="4" t="s">
        <v>1802</v>
      </c>
      <c r="C3936" s="4" t="s">
        <v>1169</v>
      </c>
      <c r="D3936" s="4" t="s">
        <v>5955</v>
      </c>
      <c r="E3936" s="5">
        <v>11.697696945375501</v>
      </c>
    </row>
    <row r="3937" ht="14.25" customHeight="1">
      <c r="A3937" s="4"/>
      <c r="B3937" s="4" t="s">
        <v>1802</v>
      </c>
      <c r="C3937" s="4" t="s">
        <v>5956</v>
      </c>
      <c r="D3937" s="4" t="s">
        <v>5957</v>
      </c>
      <c r="E3937" s="5">
        <v>24.1566371791871</v>
      </c>
    </row>
    <row r="3938" ht="14.25" customHeight="1">
      <c r="A3938" s="4"/>
      <c r="B3938" s="4" t="s">
        <v>1802</v>
      </c>
      <c r="C3938" s="4" t="s">
        <v>1129</v>
      </c>
      <c r="D3938" s="4" t="s">
        <v>1812</v>
      </c>
      <c r="E3938" s="5">
        <v>48.3641275995966</v>
      </c>
    </row>
    <row r="3939" ht="14.25" customHeight="1">
      <c r="A3939" s="4"/>
      <c r="B3939" s="4" t="s">
        <v>1802</v>
      </c>
      <c r="C3939" s="4" t="s">
        <v>1194</v>
      </c>
      <c r="D3939" s="4" t="s">
        <v>1812</v>
      </c>
      <c r="E3939" s="5">
        <v>48.3641275995966</v>
      </c>
    </row>
    <row r="3940" ht="14.25" customHeight="1">
      <c r="A3940" s="4"/>
      <c r="B3940" s="4" t="s">
        <v>1802</v>
      </c>
      <c r="C3940" s="4" t="s">
        <v>221</v>
      </c>
      <c r="D3940" s="4" t="s">
        <v>1812</v>
      </c>
      <c r="E3940" s="5">
        <v>48.3641275995966</v>
      </c>
    </row>
    <row r="3941" ht="14.25" customHeight="1">
      <c r="A3941" s="4"/>
      <c r="B3941" s="4" t="s">
        <v>1802</v>
      </c>
      <c r="C3941" s="4" t="s">
        <v>5958</v>
      </c>
      <c r="D3941" s="4" t="s">
        <v>1812</v>
      </c>
      <c r="E3941" s="5">
        <v>48.3641275995966</v>
      </c>
    </row>
    <row r="3942" ht="14.25" customHeight="1">
      <c r="A3942" s="4"/>
      <c r="B3942" s="4" t="s">
        <v>1802</v>
      </c>
      <c r="C3942" s="4" t="s">
        <v>5959</v>
      </c>
      <c r="D3942" s="4" t="s">
        <v>5960</v>
      </c>
      <c r="E3942" s="5">
        <v>44.6884539020273</v>
      </c>
    </row>
    <row r="3943" ht="14.25" customHeight="1">
      <c r="A3943" s="4"/>
      <c r="B3943" s="4" t="s">
        <v>1802</v>
      </c>
      <c r="C3943" s="4" t="s">
        <v>5961</v>
      </c>
      <c r="D3943" s="4" t="s">
        <v>1812</v>
      </c>
      <c r="E3943" s="5">
        <v>48.3641275995966</v>
      </c>
    </row>
    <row r="3944" ht="14.25" customHeight="1">
      <c r="A3944" s="4"/>
      <c r="B3944" s="4" t="s">
        <v>1802</v>
      </c>
      <c r="C3944" s="4" t="s">
        <v>5962</v>
      </c>
      <c r="D3944" s="4" t="s">
        <v>1812</v>
      </c>
      <c r="E3944" s="5">
        <v>48.3641275995966</v>
      </c>
    </row>
    <row r="3945" ht="14.25" customHeight="1">
      <c r="A3945" s="4"/>
      <c r="B3945" s="4" t="s">
        <v>1802</v>
      </c>
      <c r="C3945" s="4" t="s">
        <v>5963</v>
      </c>
      <c r="D3945" s="4" t="s">
        <v>5964</v>
      </c>
      <c r="E3945" s="5">
        <v>8.65991845175488</v>
      </c>
    </row>
    <row r="3946" ht="14.25" customHeight="1">
      <c r="A3946" s="4"/>
      <c r="B3946" s="4" t="s">
        <v>1802</v>
      </c>
      <c r="C3946" s="4" t="s">
        <v>727</v>
      </c>
      <c r="D3946" s="4" t="s">
        <v>1812</v>
      </c>
      <c r="E3946" s="5">
        <v>48.3641275995966</v>
      </c>
    </row>
    <row r="3947" ht="14.25" customHeight="1">
      <c r="A3947" s="4"/>
      <c r="B3947" s="4" t="s">
        <v>1802</v>
      </c>
      <c r="C3947" s="4" t="s">
        <v>5965</v>
      </c>
      <c r="D3947" s="4" t="s">
        <v>1812</v>
      </c>
      <c r="E3947" s="5">
        <v>48.3641275995966</v>
      </c>
    </row>
    <row r="3948" ht="14.25" customHeight="1">
      <c r="A3948" s="4"/>
      <c r="B3948" s="4" t="s">
        <v>1802</v>
      </c>
      <c r="C3948" s="4" t="s">
        <v>5966</v>
      </c>
      <c r="D3948" s="4" t="s">
        <v>1872</v>
      </c>
      <c r="E3948" s="5">
        <v>19.133842493428602</v>
      </c>
    </row>
    <row r="3949" ht="14.25" customHeight="1">
      <c r="A3949" s="4"/>
      <c r="B3949" s="4" t="s">
        <v>1802</v>
      </c>
      <c r="C3949" s="4" t="s">
        <v>946</v>
      </c>
      <c r="D3949" s="4" t="s">
        <v>5967</v>
      </c>
      <c r="E3949" s="5">
        <v>47.537988989126</v>
      </c>
    </row>
    <row r="3950" ht="14.25" customHeight="1">
      <c r="A3950" s="4"/>
      <c r="B3950" s="4" t="s">
        <v>1802</v>
      </c>
      <c r="C3950" s="4" t="s">
        <v>5968</v>
      </c>
      <c r="D3950" s="4" t="s">
        <v>1812</v>
      </c>
      <c r="E3950" s="5">
        <v>48.3641275995966</v>
      </c>
    </row>
    <row r="3951" ht="14.25" customHeight="1">
      <c r="A3951" s="4"/>
      <c r="B3951" s="4" t="s">
        <v>1802</v>
      </c>
      <c r="C3951" s="4" t="s">
        <v>5969</v>
      </c>
      <c r="D3951" s="4" t="s">
        <v>2105</v>
      </c>
      <c r="E3951" s="5">
        <v>29.018476559758</v>
      </c>
    </row>
    <row r="3952" ht="14.25" customHeight="1">
      <c r="A3952" s="4"/>
      <c r="B3952" s="4" t="s">
        <v>1802</v>
      </c>
      <c r="C3952" s="4" t="s">
        <v>5970</v>
      </c>
      <c r="D3952" s="4" t="s">
        <v>1837</v>
      </c>
      <c r="E3952" s="5">
        <v>9.672825519919328</v>
      </c>
    </row>
    <row r="3953" ht="14.25" customHeight="1">
      <c r="A3953" s="4"/>
      <c r="B3953" s="4" t="s">
        <v>1802</v>
      </c>
      <c r="C3953" s="4" t="s">
        <v>5971</v>
      </c>
      <c r="D3953" s="4" t="s">
        <v>1812</v>
      </c>
      <c r="E3953" s="5">
        <v>48.3641275995966</v>
      </c>
    </row>
    <row r="3954" ht="14.25" customHeight="1">
      <c r="A3954" s="4"/>
      <c r="B3954" s="4" t="s">
        <v>1802</v>
      </c>
      <c r="C3954" s="4" t="s">
        <v>5972</v>
      </c>
      <c r="D3954" s="4" t="s">
        <v>5973</v>
      </c>
      <c r="E3954" s="5">
        <v>10.0425197483194</v>
      </c>
    </row>
    <row r="3955" ht="14.25" customHeight="1">
      <c r="A3955" s="4"/>
      <c r="B3955" s="4" t="s">
        <v>1802</v>
      </c>
      <c r="C3955" s="4" t="s">
        <v>21</v>
      </c>
      <c r="D3955" s="4" t="s">
        <v>5974</v>
      </c>
      <c r="E3955" s="5">
        <v>38.2902994343526</v>
      </c>
    </row>
    <row r="3956" ht="14.25" customHeight="1">
      <c r="A3956" s="4"/>
      <c r="B3956" s="4" t="s">
        <v>1802</v>
      </c>
      <c r="C3956" s="4" t="s">
        <v>5975</v>
      </c>
      <c r="D3956" s="4" t="s">
        <v>5976</v>
      </c>
      <c r="E3956" s="5">
        <v>7.55613474656606</v>
      </c>
    </row>
    <row r="3957" ht="14.25" customHeight="1">
      <c r="A3957" s="4"/>
      <c r="B3957" s="4" t="s">
        <v>1802</v>
      </c>
      <c r="C3957" s="4" t="s">
        <v>5977</v>
      </c>
      <c r="D3957" s="4" t="s">
        <v>1821</v>
      </c>
      <c r="E3957" s="5">
        <v>19.3456510398386</v>
      </c>
    </row>
    <row r="3958" ht="14.25" customHeight="1">
      <c r="A3958" s="4"/>
      <c r="B3958" s="4" t="s">
        <v>1802</v>
      </c>
      <c r="C3958" s="4" t="s">
        <v>5978</v>
      </c>
      <c r="D3958" s="4" t="s">
        <v>5979</v>
      </c>
      <c r="E3958" s="5">
        <v>5.3838190617066095</v>
      </c>
    </row>
    <row r="3959" ht="14.25" customHeight="1">
      <c r="A3959" s="4"/>
      <c r="B3959" s="4" t="s">
        <v>1802</v>
      </c>
      <c r="C3959" s="4" t="s">
        <v>5980</v>
      </c>
      <c r="D3959" s="4" t="s">
        <v>1812</v>
      </c>
      <c r="E3959" s="5">
        <v>48.3641275995966</v>
      </c>
    </row>
    <row r="3960" ht="14.25" customHeight="1">
      <c r="A3960" s="4"/>
      <c r="B3960" s="4" t="s">
        <v>1802</v>
      </c>
      <c r="C3960" s="4" t="s">
        <v>5981</v>
      </c>
      <c r="D3960" s="4" t="s">
        <v>1812</v>
      </c>
      <c r="E3960" s="5">
        <v>48.3641275995966</v>
      </c>
    </row>
    <row r="3961" ht="14.25" customHeight="1">
      <c r="A3961" s="4"/>
      <c r="B3961" s="4" t="s">
        <v>1802</v>
      </c>
      <c r="C3961" s="4" t="s">
        <v>5982</v>
      </c>
      <c r="D3961" s="4" t="s">
        <v>1812</v>
      </c>
      <c r="E3961" s="5">
        <v>48.3641275995966</v>
      </c>
    </row>
    <row r="3962" ht="14.25" customHeight="1">
      <c r="A3962" s="4"/>
      <c r="B3962" s="4" t="s">
        <v>1802</v>
      </c>
      <c r="C3962" s="4" t="s">
        <v>5983</v>
      </c>
      <c r="D3962" s="4" t="s">
        <v>1951</v>
      </c>
      <c r="E3962" s="5">
        <v>38.6913020796773</v>
      </c>
    </row>
    <row r="3963" ht="14.25" customHeight="1">
      <c r="A3963" s="4"/>
      <c r="B3963" s="4" t="s">
        <v>1802</v>
      </c>
      <c r="C3963" s="4" t="s">
        <v>1253</v>
      </c>
      <c r="D3963" s="4" t="s">
        <v>1812</v>
      </c>
      <c r="E3963" s="5">
        <v>48.3641275995966</v>
      </c>
    </row>
    <row r="3964" ht="14.25" customHeight="1">
      <c r="A3964" s="4"/>
      <c r="B3964" s="4" t="s">
        <v>1802</v>
      </c>
      <c r="C3964" s="4" t="s">
        <v>5984</v>
      </c>
      <c r="D3964" s="4" t="s">
        <v>5985</v>
      </c>
      <c r="E3964" s="5">
        <v>40.760056476316194</v>
      </c>
    </row>
    <row r="3965" ht="14.25" customHeight="1">
      <c r="A3965" s="4"/>
      <c r="B3965" s="4" t="s">
        <v>1802</v>
      </c>
      <c r="C3965" s="4" t="s">
        <v>1038</v>
      </c>
      <c r="D3965" s="4" t="s">
        <v>1812</v>
      </c>
      <c r="E3965" s="5">
        <v>48.3641275995966</v>
      </c>
    </row>
    <row r="3966" ht="14.25" customHeight="1">
      <c r="A3966" s="4"/>
      <c r="B3966" s="4" t="s">
        <v>1802</v>
      </c>
      <c r="C3966" s="4" t="s">
        <v>5986</v>
      </c>
      <c r="D3966" s="4" t="s">
        <v>5987</v>
      </c>
      <c r="E3966" s="5">
        <v>0.47024594700183897</v>
      </c>
    </row>
    <row r="3967" ht="14.25" customHeight="1">
      <c r="A3967" s="4"/>
      <c r="B3967" s="4" t="s">
        <v>1802</v>
      </c>
      <c r="C3967" s="4" t="s">
        <v>5988</v>
      </c>
      <c r="D3967" s="4" t="s">
        <v>1821</v>
      </c>
      <c r="E3967" s="5">
        <v>19.3456510398386</v>
      </c>
    </row>
    <row r="3968" ht="14.25" customHeight="1">
      <c r="A3968" s="4"/>
      <c r="B3968" s="4" t="s">
        <v>1802</v>
      </c>
      <c r="C3968" s="4" t="s">
        <v>5989</v>
      </c>
      <c r="D3968" s="4" t="s">
        <v>5990</v>
      </c>
      <c r="E3968" s="5">
        <v>14.3157817694806</v>
      </c>
    </row>
    <row r="3969" ht="14.25" customHeight="1">
      <c r="A3969" s="4"/>
      <c r="B3969" s="4" t="s">
        <v>1802</v>
      </c>
      <c r="C3969" s="4" t="s">
        <v>5991</v>
      </c>
      <c r="D3969" s="4" t="s">
        <v>5992</v>
      </c>
      <c r="E3969" s="5">
        <v>22.214373388631</v>
      </c>
    </row>
    <row r="3970" ht="14.25" customHeight="1">
      <c r="A3970" s="4"/>
      <c r="B3970" s="4" t="s">
        <v>1802</v>
      </c>
      <c r="C3970" s="4" t="s">
        <v>5993</v>
      </c>
      <c r="D3970" s="4" t="s">
        <v>1812</v>
      </c>
      <c r="E3970" s="5">
        <v>48.3641275995966</v>
      </c>
    </row>
    <row r="3971" ht="14.25" customHeight="1">
      <c r="A3971" s="4"/>
      <c r="B3971" s="4" t="s">
        <v>1802</v>
      </c>
      <c r="C3971" s="4" t="s">
        <v>5994</v>
      </c>
      <c r="D3971" s="4" t="s">
        <v>1837</v>
      </c>
      <c r="E3971" s="5">
        <v>9.672825519919328</v>
      </c>
    </row>
    <row r="3972" ht="14.25" customHeight="1">
      <c r="A3972" s="4"/>
      <c r="B3972" s="4" t="s">
        <v>1802</v>
      </c>
      <c r="C3972" s="4" t="s">
        <v>5995</v>
      </c>
      <c r="D3972" s="4" t="s">
        <v>5996</v>
      </c>
      <c r="E3972" s="5">
        <v>18.5372066609577</v>
      </c>
    </row>
    <row r="3973" ht="14.25" customHeight="1">
      <c r="A3973" s="4"/>
      <c r="B3973" s="4" t="s">
        <v>1802</v>
      </c>
      <c r="C3973" s="4" t="s">
        <v>5997</v>
      </c>
      <c r="D3973" s="4" t="s">
        <v>5998</v>
      </c>
      <c r="E3973" s="5">
        <v>12.6126824538524</v>
      </c>
    </row>
    <row r="3974" ht="14.25" customHeight="1">
      <c r="A3974" s="4"/>
      <c r="B3974" s="4" t="s">
        <v>1802</v>
      </c>
      <c r="C3974" s="4" t="s">
        <v>5999</v>
      </c>
      <c r="D3974" s="4" t="s">
        <v>1812</v>
      </c>
      <c r="E3974" s="5">
        <v>48.3641275995966</v>
      </c>
    </row>
    <row r="3975" ht="14.25" customHeight="1">
      <c r="A3975" s="4"/>
      <c r="B3975" s="4" t="s">
        <v>1802</v>
      </c>
      <c r="C3975" s="4" t="s">
        <v>6000</v>
      </c>
      <c r="D3975" s="4" t="s">
        <v>6001</v>
      </c>
      <c r="E3975" s="5">
        <v>7.035790754421449</v>
      </c>
    </row>
    <row r="3976" ht="14.25" customHeight="1">
      <c r="A3976" s="4"/>
      <c r="B3976" s="4" t="s">
        <v>1802</v>
      </c>
      <c r="C3976" s="4" t="s">
        <v>6002</v>
      </c>
      <c r="D3976" s="4" t="s">
        <v>1812</v>
      </c>
      <c r="E3976" s="5">
        <v>48.3641275995966</v>
      </c>
    </row>
    <row r="3977" ht="14.25" customHeight="1">
      <c r="A3977" s="4"/>
      <c r="B3977" s="4" t="s">
        <v>1802</v>
      </c>
      <c r="C3977" s="4" t="s">
        <v>6003</v>
      </c>
      <c r="D3977" s="4" t="s">
        <v>6004</v>
      </c>
      <c r="E3977" s="5">
        <v>46.483197222782806</v>
      </c>
    </row>
    <row r="3978" ht="14.25" customHeight="1">
      <c r="A3978" s="4"/>
      <c r="B3978" s="4" t="s">
        <v>1802</v>
      </c>
      <c r="C3978" s="4" t="s">
        <v>6005</v>
      </c>
      <c r="D3978" s="4" t="s">
        <v>1812</v>
      </c>
      <c r="E3978" s="5">
        <v>48.3641275995966</v>
      </c>
    </row>
    <row r="3979" ht="14.25" customHeight="1">
      <c r="A3979" s="4"/>
      <c r="B3979" s="4" t="s">
        <v>1802</v>
      </c>
      <c r="C3979" s="4" t="s">
        <v>6006</v>
      </c>
      <c r="D3979" s="4" t="s">
        <v>1812</v>
      </c>
      <c r="E3979" s="5">
        <v>48.3641275995966</v>
      </c>
    </row>
    <row r="3980" ht="14.25" customHeight="1">
      <c r="A3980" s="4"/>
      <c r="B3980" s="4" t="s">
        <v>1802</v>
      </c>
      <c r="C3980" s="4" t="s">
        <v>6007</v>
      </c>
      <c r="D3980" s="4" t="s">
        <v>6008</v>
      </c>
      <c r="E3980" s="5">
        <v>8.70571592965508</v>
      </c>
    </row>
    <row r="3981" ht="14.25" customHeight="1">
      <c r="A3981" s="4"/>
      <c r="B3981" s="4" t="s">
        <v>1802</v>
      </c>
      <c r="C3981" s="4" t="s">
        <v>6009</v>
      </c>
      <c r="D3981" s="4" t="s">
        <v>1812</v>
      </c>
      <c r="E3981" s="5">
        <v>48.3641275995966</v>
      </c>
    </row>
    <row r="3982" ht="14.25" customHeight="1">
      <c r="A3982" s="4"/>
      <c r="B3982" s="4" t="s">
        <v>1802</v>
      </c>
      <c r="C3982" s="4" t="s">
        <v>6010</v>
      </c>
      <c r="D3982" s="4" t="s">
        <v>1951</v>
      </c>
      <c r="E3982" s="5">
        <v>38.6913020796773</v>
      </c>
    </row>
    <row r="3983" ht="14.25" customHeight="1">
      <c r="A3983" s="4"/>
      <c r="B3983" s="4" t="s">
        <v>1802</v>
      </c>
      <c r="C3983" s="4" t="s">
        <v>6011</v>
      </c>
      <c r="D3983" s="4" t="s">
        <v>6012</v>
      </c>
      <c r="E3983" s="5">
        <v>10.8001726178032</v>
      </c>
    </row>
    <row r="3984" ht="14.25" customHeight="1">
      <c r="A3984" s="4"/>
      <c r="B3984" s="4" t="s">
        <v>1802</v>
      </c>
      <c r="C3984" s="4" t="s">
        <v>6013</v>
      </c>
      <c r="D3984" s="4" t="s">
        <v>1812</v>
      </c>
      <c r="E3984" s="5">
        <v>48.3641275995966</v>
      </c>
    </row>
    <row r="3985" ht="14.25" customHeight="1">
      <c r="A3985" s="4"/>
      <c r="B3985" s="4" t="s">
        <v>1802</v>
      </c>
      <c r="C3985" s="4" t="s">
        <v>6014</v>
      </c>
      <c r="D3985" s="4" t="s">
        <v>1812</v>
      </c>
      <c r="E3985" s="5">
        <v>48.3641275995966</v>
      </c>
    </row>
    <row r="3986" ht="14.25" customHeight="1">
      <c r="A3986" s="4"/>
      <c r="B3986" s="4" t="s">
        <v>1802</v>
      </c>
      <c r="C3986" s="4" t="s">
        <v>6015</v>
      </c>
      <c r="D3986" s="4" t="s">
        <v>1812</v>
      </c>
      <c r="E3986" s="5">
        <v>48.3641275995966</v>
      </c>
    </row>
    <row r="3987" ht="14.25" customHeight="1">
      <c r="A3987" s="4"/>
      <c r="B3987" s="4" t="s">
        <v>1802</v>
      </c>
      <c r="C3987" s="4" t="s">
        <v>6016</v>
      </c>
      <c r="D3987" s="4" t="s">
        <v>1812</v>
      </c>
      <c r="E3987" s="5">
        <v>48.3641275995966</v>
      </c>
    </row>
    <row r="3988" ht="14.25" customHeight="1">
      <c r="A3988" s="4"/>
      <c r="B3988" s="4" t="s">
        <v>1802</v>
      </c>
      <c r="C3988" s="4" t="s">
        <v>6017</v>
      </c>
      <c r="D3988" s="4" t="s">
        <v>6018</v>
      </c>
      <c r="E3988" s="5">
        <v>10.0556427115917</v>
      </c>
    </row>
    <row r="3989" ht="14.25" customHeight="1">
      <c r="A3989" s="4"/>
      <c r="B3989" s="4" t="s">
        <v>1802</v>
      </c>
      <c r="C3989" s="4" t="s">
        <v>6019</v>
      </c>
      <c r="D3989" s="4" t="s">
        <v>1812</v>
      </c>
      <c r="E3989" s="5">
        <v>48.3641275995966</v>
      </c>
    </row>
    <row r="3990" ht="14.25" customHeight="1">
      <c r="A3990" s="4"/>
      <c r="B3990" s="4" t="s">
        <v>1802</v>
      </c>
      <c r="C3990" s="4" t="s">
        <v>6020</v>
      </c>
      <c r="D3990" s="4" t="s">
        <v>6021</v>
      </c>
      <c r="E3990" s="5">
        <v>9.6885526160292</v>
      </c>
    </row>
    <row r="3991" ht="14.25" customHeight="1">
      <c r="A3991" s="4"/>
      <c r="B3991" s="4" t="s">
        <v>1802</v>
      </c>
      <c r="C3991" s="4" t="s">
        <v>1568</v>
      </c>
      <c r="D3991" s="4" t="s">
        <v>1812</v>
      </c>
      <c r="E3991" s="5">
        <v>48.3641275995966</v>
      </c>
    </row>
    <row r="3992" ht="14.25" customHeight="1">
      <c r="A3992" s="4"/>
      <c r="B3992" s="4" t="s">
        <v>1802</v>
      </c>
      <c r="C3992" s="4" t="s">
        <v>6022</v>
      </c>
      <c r="D3992" s="4" t="s">
        <v>1812</v>
      </c>
      <c r="E3992" s="5">
        <v>48.3641275995966</v>
      </c>
    </row>
    <row r="3993" ht="14.25" customHeight="1">
      <c r="A3993" s="4"/>
      <c r="B3993" s="4" t="s">
        <v>1802</v>
      </c>
      <c r="C3993" s="4" t="s">
        <v>6023</v>
      </c>
      <c r="D3993" s="4" t="s">
        <v>1812</v>
      </c>
      <c r="E3993" s="5">
        <v>48.3641275995966</v>
      </c>
    </row>
    <row r="3994" ht="14.25" customHeight="1">
      <c r="A3994" s="4"/>
      <c r="B3994" s="4" t="s">
        <v>1802</v>
      </c>
      <c r="C3994" s="4" t="s">
        <v>6024</v>
      </c>
      <c r="D3994" s="4" t="s">
        <v>6025</v>
      </c>
      <c r="E3994" s="5">
        <v>10.4466515615128</v>
      </c>
    </row>
    <row r="3995" ht="14.25" customHeight="1">
      <c r="A3995" s="4"/>
      <c r="B3995" s="4" t="s">
        <v>1802</v>
      </c>
      <c r="C3995" s="4" t="s">
        <v>6026</v>
      </c>
      <c r="D3995" s="4" t="s">
        <v>6027</v>
      </c>
      <c r="E3995" s="5">
        <v>7.66139998892385</v>
      </c>
    </row>
    <row r="3996" ht="14.25" customHeight="1">
      <c r="A3996" s="4"/>
      <c r="B3996" s="4" t="s">
        <v>1802</v>
      </c>
      <c r="C3996" s="4" t="s">
        <v>6028</v>
      </c>
      <c r="D3996" s="4" t="s">
        <v>6029</v>
      </c>
      <c r="E3996" s="5">
        <v>47.8994232936907</v>
      </c>
    </row>
    <row r="3997" ht="14.25" customHeight="1">
      <c r="A3997" s="4"/>
      <c r="B3997" s="4" t="s">
        <v>1802</v>
      </c>
      <c r="C3997" s="4" t="s">
        <v>6030</v>
      </c>
      <c r="D3997" s="4" t="s">
        <v>6031</v>
      </c>
      <c r="E3997" s="5">
        <v>0.188902943775551</v>
      </c>
    </row>
    <row r="3998" ht="14.25" customHeight="1">
      <c r="A3998" s="4"/>
      <c r="B3998" s="4" t="s">
        <v>1802</v>
      </c>
      <c r="C3998" s="4" t="s">
        <v>6032</v>
      </c>
      <c r="D3998" s="4" t="s">
        <v>1812</v>
      </c>
      <c r="E3998" s="5">
        <v>48.3641275995966</v>
      </c>
    </row>
    <row r="3999" ht="14.25" customHeight="1">
      <c r="A3999" s="4"/>
      <c r="B3999" s="4" t="s">
        <v>1802</v>
      </c>
      <c r="C3999" s="4" t="s">
        <v>6033</v>
      </c>
      <c r="D3999" s="4" t="s">
        <v>1812</v>
      </c>
      <c r="E3999" s="5">
        <v>48.3641275995966</v>
      </c>
    </row>
    <row r="4000" ht="14.25" customHeight="1">
      <c r="A4000" s="4"/>
      <c r="B4000" s="4" t="s">
        <v>1802</v>
      </c>
      <c r="C4000" s="4" t="s">
        <v>6034</v>
      </c>
      <c r="D4000" s="4" t="s">
        <v>1812</v>
      </c>
      <c r="E4000" s="5">
        <v>48.3641275995966</v>
      </c>
    </row>
    <row r="4001" ht="14.25" customHeight="1">
      <c r="A4001" s="4"/>
      <c r="B4001" s="4" t="s">
        <v>1802</v>
      </c>
      <c r="C4001" s="4" t="s">
        <v>6035</v>
      </c>
      <c r="D4001" s="4" t="s">
        <v>2062</v>
      </c>
      <c r="E4001" s="5">
        <v>9.86628203031772</v>
      </c>
    </row>
    <row r="4002" ht="14.25" customHeight="1">
      <c r="A4002" s="4"/>
      <c r="B4002" s="4" t="s">
        <v>1802</v>
      </c>
      <c r="C4002" s="4" t="s">
        <v>6036</v>
      </c>
      <c r="D4002" s="4" t="s">
        <v>1812</v>
      </c>
      <c r="E4002" s="5">
        <v>48.3641275995966</v>
      </c>
    </row>
    <row r="4003" ht="14.25" customHeight="1">
      <c r="A4003" s="4"/>
      <c r="B4003" s="4" t="s">
        <v>1802</v>
      </c>
      <c r="C4003" s="4" t="s">
        <v>6037</v>
      </c>
      <c r="D4003" s="4" t="s">
        <v>6038</v>
      </c>
      <c r="E4003" s="5">
        <v>47.9234879716214</v>
      </c>
    </row>
    <row r="4004" ht="14.25" customHeight="1">
      <c r="A4004" s="4"/>
      <c r="B4004" s="4" t="s">
        <v>1802</v>
      </c>
      <c r="C4004" s="4" t="s">
        <v>6039</v>
      </c>
      <c r="D4004" s="4" t="s">
        <v>1812</v>
      </c>
      <c r="E4004" s="5">
        <v>48.3641275995966</v>
      </c>
    </row>
    <row r="4005" ht="14.25" customHeight="1">
      <c r="A4005" s="4"/>
      <c r="B4005" s="4" t="s">
        <v>1802</v>
      </c>
      <c r="C4005" s="4" t="s">
        <v>6040</v>
      </c>
      <c r="D4005" s="4" t="s">
        <v>1821</v>
      </c>
      <c r="E4005" s="5">
        <v>19.3456510398386</v>
      </c>
    </row>
    <row r="4006" ht="14.25" customHeight="1">
      <c r="A4006" s="4"/>
      <c r="B4006" s="4" t="s">
        <v>1802</v>
      </c>
      <c r="C4006" s="4" t="s">
        <v>1039</v>
      </c>
      <c r="D4006" s="4" t="s">
        <v>6041</v>
      </c>
      <c r="E4006" s="5">
        <v>41.2913535219002</v>
      </c>
    </row>
    <row r="4007" ht="14.25" customHeight="1">
      <c r="A4007" s="4"/>
      <c r="B4007" s="4" t="s">
        <v>1802</v>
      </c>
      <c r="C4007" s="4" t="s">
        <v>6042</v>
      </c>
      <c r="D4007" s="4" t="s">
        <v>1837</v>
      </c>
      <c r="E4007" s="5">
        <v>9.672825519919328</v>
      </c>
    </row>
    <row r="4008" ht="14.25" customHeight="1">
      <c r="A4008" s="4"/>
      <c r="B4008" s="4" t="s">
        <v>1802</v>
      </c>
      <c r="C4008" s="4" t="s">
        <v>6043</v>
      </c>
      <c r="D4008" s="4" t="s">
        <v>1812</v>
      </c>
      <c r="E4008" s="5">
        <v>48.3641275995966</v>
      </c>
    </row>
    <row r="4009" ht="14.25" customHeight="1">
      <c r="A4009" s="4"/>
      <c r="B4009" s="4" t="s">
        <v>1802</v>
      </c>
      <c r="C4009" s="4" t="s">
        <v>6044</v>
      </c>
      <c r="D4009" s="4" t="s">
        <v>6045</v>
      </c>
      <c r="E4009" s="5">
        <v>19.5173570682069</v>
      </c>
    </row>
    <row r="4010" ht="14.25" customHeight="1">
      <c r="A4010" s="4"/>
      <c r="B4010" s="4" t="s">
        <v>1802</v>
      </c>
      <c r="C4010" s="4" t="s">
        <v>1125</v>
      </c>
      <c r="D4010" s="4" t="s">
        <v>1812</v>
      </c>
      <c r="E4010" s="5">
        <v>48.3641275995966</v>
      </c>
    </row>
    <row r="4011" ht="14.25" customHeight="1">
      <c r="A4011" s="4"/>
      <c r="B4011" s="4" t="s">
        <v>1802</v>
      </c>
      <c r="C4011" s="4" t="s">
        <v>6046</v>
      </c>
      <c r="D4011" s="4" t="s">
        <v>6047</v>
      </c>
      <c r="E4011" s="5">
        <v>7.14819331441012</v>
      </c>
    </row>
    <row r="4012" ht="14.25" customHeight="1">
      <c r="A4012" s="4"/>
      <c r="B4012" s="4" t="s">
        <v>1802</v>
      </c>
      <c r="C4012" s="4" t="s">
        <v>6048</v>
      </c>
      <c r="D4012" s="4" t="s">
        <v>1812</v>
      </c>
      <c r="E4012" s="5">
        <v>48.3641275995966</v>
      </c>
    </row>
    <row r="4013" ht="14.25" customHeight="1">
      <c r="A4013" s="4"/>
      <c r="B4013" s="4" t="s">
        <v>1802</v>
      </c>
      <c r="C4013" s="4" t="s">
        <v>6049</v>
      </c>
      <c r="D4013" s="4" t="s">
        <v>1812</v>
      </c>
      <c r="E4013" s="5">
        <v>48.3641275995966</v>
      </c>
    </row>
    <row r="4014" ht="14.25" customHeight="1">
      <c r="A4014" s="4"/>
      <c r="B4014" s="4" t="s">
        <v>1802</v>
      </c>
      <c r="C4014" s="4" t="s">
        <v>6050</v>
      </c>
      <c r="D4014" s="4" t="s">
        <v>1812</v>
      </c>
      <c r="E4014" s="5">
        <v>48.3641275995966</v>
      </c>
    </row>
    <row r="4015" ht="14.25" customHeight="1">
      <c r="A4015" s="4"/>
      <c r="B4015" s="4" t="s">
        <v>1802</v>
      </c>
      <c r="C4015" s="4" t="s">
        <v>6051</v>
      </c>
      <c r="D4015" s="4" t="s">
        <v>6052</v>
      </c>
      <c r="E4015" s="5">
        <v>24.8284514690982</v>
      </c>
    </row>
    <row r="4016" ht="14.25" customHeight="1">
      <c r="A4016" s="4"/>
      <c r="B4016" s="4" t="s">
        <v>1802</v>
      </c>
      <c r="C4016" s="4" t="s">
        <v>6053</v>
      </c>
      <c r="D4016" s="4" t="s">
        <v>1812</v>
      </c>
      <c r="E4016" s="5">
        <v>48.3641275995966</v>
      </c>
    </row>
    <row r="4017" ht="14.25" customHeight="1">
      <c r="A4017" s="4"/>
      <c r="B4017" s="4" t="s">
        <v>1802</v>
      </c>
      <c r="C4017" s="4" t="s">
        <v>6054</v>
      </c>
      <c r="D4017" s="4" t="s">
        <v>6055</v>
      </c>
      <c r="E4017" s="5">
        <v>9.750927185097119</v>
      </c>
    </row>
    <row r="4018" ht="14.25" customHeight="1">
      <c r="A4018" s="4"/>
      <c r="B4018" s="4" t="s">
        <v>1802</v>
      </c>
      <c r="C4018" s="4" t="s">
        <v>6056</v>
      </c>
      <c r="D4018" s="4" t="s">
        <v>6057</v>
      </c>
      <c r="E4018" s="5">
        <v>1.4270593636795899</v>
      </c>
    </row>
    <row r="4019" ht="14.25" customHeight="1">
      <c r="A4019" s="4"/>
      <c r="B4019" s="4" t="s">
        <v>1802</v>
      </c>
      <c r="C4019" s="4" t="s">
        <v>6058</v>
      </c>
      <c r="D4019" s="4" t="s">
        <v>1812</v>
      </c>
      <c r="E4019" s="5">
        <v>48.3641275995966</v>
      </c>
    </row>
    <row r="4020" ht="14.25" customHeight="1">
      <c r="A4020" s="4"/>
      <c r="B4020" s="4" t="s">
        <v>1802</v>
      </c>
      <c r="C4020" s="4" t="s">
        <v>6059</v>
      </c>
      <c r="D4020" s="4" t="s">
        <v>6060</v>
      </c>
      <c r="E4020" s="5">
        <v>43.2292625303078</v>
      </c>
    </row>
    <row r="4021" ht="14.25" customHeight="1">
      <c r="A4021" s="4"/>
      <c r="B4021" s="4" t="s">
        <v>1802</v>
      </c>
      <c r="C4021" s="4" t="s">
        <v>6061</v>
      </c>
      <c r="D4021" s="4" t="s">
        <v>6062</v>
      </c>
      <c r="E4021" s="5">
        <v>9.75812995092784</v>
      </c>
    </row>
    <row r="4022" ht="14.25" customHeight="1">
      <c r="A4022" s="4"/>
      <c r="B4022" s="4" t="s">
        <v>1802</v>
      </c>
      <c r="C4022" s="4" t="s">
        <v>6063</v>
      </c>
      <c r="D4022" s="4" t="s">
        <v>6064</v>
      </c>
      <c r="E4022" s="5">
        <v>3.3099897044073</v>
      </c>
    </row>
    <row r="4023" ht="14.25" customHeight="1">
      <c r="A4023" s="4"/>
      <c r="B4023" s="4" t="s">
        <v>1802</v>
      </c>
      <c r="C4023" s="4" t="s">
        <v>6065</v>
      </c>
      <c r="D4023" s="4" t="s">
        <v>1821</v>
      </c>
      <c r="E4023" s="5">
        <v>19.3456510398386</v>
      </c>
    </row>
    <row r="4024" ht="14.25" customHeight="1">
      <c r="A4024" s="4"/>
      <c r="B4024" s="4" t="s">
        <v>1802</v>
      </c>
      <c r="C4024" s="4" t="s">
        <v>6066</v>
      </c>
      <c r="D4024" s="4" t="s">
        <v>6067</v>
      </c>
      <c r="E4024" s="5">
        <v>44.6969656552602</v>
      </c>
    </row>
    <row r="4025" ht="14.25" customHeight="1">
      <c r="A4025" s="4"/>
      <c r="B4025" s="4" t="s">
        <v>1802</v>
      </c>
      <c r="C4025" s="4" t="s">
        <v>6068</v>
      </c>
      <c r="D4025" s="4" t="s">
        <v>1837</v>
      </c>
      <c r="E4025" s="5">
        <v>9.672825519919328</v>
      </c>
    </row>
    <row r="4026" ht="14.25" customHeight="1">
      <c r="A4026" s="4"/>
      <c r="B4026" s="4" t="s">
        <v>1802</v>
      </c>
      <c r="C4026" s="4" t="s">
        <v>6069</v>
      </c>
      <c r="D4026" s="4" t="s">
        <v>5256</v>
      </c>
      <c r="E4026" s="5">
        <v>1.74110859358548</v>
      </c>
    </row>
    <row r="4027" ht="14.25" customHeight="1">
      <c r="A4027" s="4"/>
      <c r="B4027" s="4" t="s">
        <v>1802</v>
      </c>
      <c r="C4027" s="4" t="s">
        <v>6070</v>
      </c>
      <c r="D4027" s="4" t="s">
        <v>6071</v>
      </c>
      <c r="E4027" s="5">
        <v>48.332634584636</v>
      </c>
    </row>
    <row r="4028" ht="14.25" customHeight="1">
      <c r="A4028" s="4"/>
      <c r="B4028" s="4" t="s">
        <v>1802</v>
      </c>
      <c r="C4028" s="4" t="s">
        <v>6072</v>
      </c>
      <c r="D4028" s="4" t="s">
        <v>1812</v>
      </c>
      <c r="E4028" s="5">
        <v>48.3641275995966</v>
      </c>
    </row>
    <row r="4029" ht="14.25" customHeight="1">
      <c r="A4029" s="4"/>
      <c r="B4029" s="4" t="s">
        <v>1802</v>
      </c>
      <c r="C4029" s="4" t="s">
        <v>6073</v>
      </c>
      <c r="D4029" s="4" t="s">
        <v>6074</v>
      </c>
      <c r="E4029" s="5">
        <v>5.951396860504129</v>
      </c>
    </row>
    <row r="4030" ht="14.25" customHeight="1">
      <c r="A4030" s="4"/>
      <c r="B4030" s="4" t="s">
        <v>1802</v>
      </c>
      <c r="C4030" s="4" t="s">
        <v>6075</v>
      </c>
      <c r="D4030" s="4" t="s">
        <v>6076</v>
      </c>
      <c r="E4030" s="5">
        <v>24.9140695904995</v>
      </c>
    </row>
    <row r="4031" ht="14.25" customHeight="1">
      <c r="A4031" s="4"/>
      <c r="B4031" s="4" t="s">
        <v>1802</v>
      </c>
      <c r="C4031" s="4" t="s">
        <v>6077</v>
      </c>
      <c r="D4031" s="4" t="s">
        <v>6078</v>
      </c>
      <c r="E4031" s="5">
        <v>47.854747741353904</v>
      </c>
    </row>
    <row r="4032" ht="14.25" customHeight="1">
      <c r="A4032" s="4"/>
      <c r="B4032" s="4" t="s">
        <v>1802</v>
      </c>
      <c r="C4032" s="4" t="s">
        <v>6079</v>
      </c>
      <c r="D4032" s="4" t="s">
        <v>1837</v>
      </c>
      <c r="E4032" s="5">
        <v>9.672825519919328</v>
      </c>
    </row>
    <row r="4033" ht="14.25" customHeight="1">
      <c r="A4033" s="4"/>
      <c r="B4033" s="4" t="s">
        <v>1802</v>
      </c>
      <c r="C4033" s="4" t="s">
        <v>6080</v>
      </c>
      <c r="D4033" s="4" t="s">
        <v>1812</v>
      </c>
      <c r="E4033" s="5">
        <v>48.3641275995966</v>
      </c>
    </row>
    <row r="4034" ht="14.25" customHeight="1">
      <c r="A4034" s="4"/>
      <c r="B4034" s="4" t="s">
        <v>1802</v>
      </c>
      <c r="C4034" s="4" t="s">
        <v>6081</v>
      </c>
      <c r="D4034" s="4" t="s">
        <v>6082</v>
      </c>
      <c r="E4034" s="5">
        <v>19.2667465566462</v>
      </c>
    </row>
    <row r="4035" ht="14.25" customHeight="1">
      <c r="A4035" s="4"/>
      <c r="B4035" s="4" t="s">
        <v>1802</v>
      </c>
      <c r="C4035" s="4" t="s">
        <v>6083</v>
      </c>
      <c r="D4035" s="4" t="s">
        <v>1812</v>
      </c>
      <c r="E4035" s="5">
        <v>48.3641275995966</v>
      </c>
    </row>
    <row r="4036" ht="14.25" customHeight="1">
      <c r="A4036" s="4"/>
      <c r="B4036" s="4" t="s">
        <v>1802</v>
      </c>
      <c r="C4036" s="4" t="s">
        <v>6084</v>
      </c>
      <c r="D4036" s="4" t="s">
        <v>6085</v>
      </c>
      <c r="E4036" s="5">
        <v>11.5850385165028</v>
      </c>
    </row>
    <row r="4037" ht="14.25" customHeight="1">
      <c r="A4037" s="4"/>
      <c r="B4037" s="4" t="s">
        <v>1802</v>
      </c>
      <c r="C4037" s="4" t="s">
        <v>6086</v>
      </c>
      <c r="D4037" s="4" t="s">
        <v>6087</v>
      </c>
      <c r="E4037" s="5">
        <v>4.623219812924909</v>
      </c>
    </row>
    <row r="4038" ht="14.25" customHeight="1">
      <c r="A4038" s="4"/>
      <c r="B4038" s="4" t="s">
        <v>1802</v>
      </c>
      <c r="C4038" s="4" t="s">
        <v>6088</v>
      </c>
      <c r="D4038" s="4" t="s">
        <v>1812</v>
      </c>
      <c r="E4038" s="5">
        <v>48.3641275995966</v>
      </c>
    </row>
    <row r="4039" ht="14.25" customHeight="1">
      <c r="A4039" s="4"/>
      <c r="B4039" s="4" t="s">
        <v>1802</v>
      </c>
      <c r="C4039" s="4" t="s">
        <v>6089</v>
      </c>
      <c r="D4039" s="4" t="s">
        <v>6090</v>
      </c>
      <c r="E4039" s="5">
        <v>44.9636690024633</v>
      </c>
    </row>
    <row r="4040" ht="14.25" customHeight="1">
      <c r="A4040" s="4"/>
      <c r="B4040" s="4" t="s">
        <v>1802</v>
      </c>
      <c r="C4040" s="4" t="s">
        <v>6091</v>
      </c>
      <c r="D4040" s="4" t="s">
        <v>6092</v>
      </c>
      <c r="E4040" s="5">
        <v>8.71973998510334</v>
      </c>
    </row>
    <row r="4041" ht="14.25" customHeight="1">
      <c r="A4041" s="4"/>
      <c r="B4041" s="4" t="s">
        <v>1802</v>
      </c>
      <c r="C4041" s="4" t="s">
        <v>6093</v>
      </c>
      <c r="D4041" s="4" t="s">
        <v>1812</v>
      </c>
      <c r="E4041" s="5">
        <v>48.3641275995966</v>
      </c>
    </row>
    <row r="4042" ht="14.25" customHeight="1">
      <c r="A4042" s="4"/>
      <c r="B4042" s="4" t="s">
        <v>1802</v>
      </c>
      <c r="C4042" s="4" t="s">
        <v>6094</v>
      </c>
      <c r="D4042" s="4" t="s">
        <v>1812</v>
      </c>
      <c r="E4042" s="5">
        <v>48.3641275995966</v>
      </c>
    </row>
    <row r="4043" ht="14.25" customHeight="1">
      <c r="A4043" s="4"/>
      <c r="B4043" s="4" t="s">
        <v>1802</v>
      </c>
      <c r="C4043" s="4" t="s">
        <v>6095</v>
      </c>
      <c r="D4043" s="4" t="s">
        <v>6096</v>
      </c>
      <c r="E4043" s="5">
        <v>25.0406591871491</v>
      </c>
    </row>
    <row r="4044" ht="14.25" customHeight="1">
      <c r="A4044" s="4"/>
      <c r="B4044" s="4" t="s">
        <v>1802</v>
      </c>
      <c r="C4044" s="4" t="s">
        <v>6097</v>
      </c>
      <c r="D4044" s="4" t="s">
        <v>1812</v>
      </c>
      <c r="E4044" s="5">
        <v>48.3641275995966</v>
      </c>
    </row>
    <row r="4045" ht="14.25" customHeight="1">
      <c r="A4045" s="4"/>
      <c r="B4045" s="4" t="s">
        <v>1802</v>
      </c>
      <c r="C4045" s="4" t="s">
        <v>6098</v>
      </c>
      <c r="D4045" s="4" t="s">
        <v>1812</v>
      </c>
      <c r="E4045" s="5">
        <v>48.3641275995966</v>
      </c>
    </row>
    <row r="4046" ht="14.25" customHeight="1">
      <c r="A4046" s="4"/>
      <c r="B4046" s="4" t="s">
        <v>1802</v>
      </c>
      <c r="C4046" s="4" t="s">
        <v>6099</v>
      </c>
      <c r="D4046" s="4" t="s">
        <v>1812</v>
      </c>
      <c r="E4046" s="5">
        <v>48.3641275995966</v>
      </c>
    </row>
    <row r="4047" ht="14.25" customHeight="1">
      <c r="A4047" s="4"/>
      <c r="B4047" s="4" t="s">
        <v>1802</v>
      </c>
      <c r="C4047" s="4" t="s">
        <v>1376</v>
      </c>
      <c r="D4047" s="4" t="s">
        <v>1812</v>
      </c>
      <c r="E4047" s="5">
        <v>48.3641275995966</v>
      </c>
    </row>
    <row r="4048" ht="14.25" customHeight="1">
      <c r="A4048" s="4"/>
      <c r="B4048" s="4" t="s">
        <v>1802</v>
      </c>
      <c r="C4048" s="4" t="s">
        <v>6100</v>
      </c>
      <c r="D4048" s="4" t="s">
        <v>1812</v>
      </c>
      <c r="E4048" s="5">
        <v>48.3641275995966</v>
      </c>
    </row>
    <row r="4049" ht="14.25" customHeight="1">
      <c r="A4049" s="4"/>
      <c r="B4049" s="4" t="s">
        <v>1802</v>
      </c>
      <c r="C4049" s="4" t="s">
        <v>6101</v>
      </c>
      <c r="D4049" s="4" t="s">
        <v>1812</v>
      </c>
      <c r="E4049" s="5">
        <v>48.3641275995966</v>
      </c>
    </row>
    <row r="4050" ht="14.25" customHeight="1">
      <c r="A4050" s="4"/>
      <c r="B4050" s="4" t="s">
        <v>1802</v>
      </c>
      <c r="C4050" s="4" t="s">
        <v>981</v>
      </c>
      <c r="D4050" s="4" t="s">
        <v>6102</v>
      </c>
      <c r="E4050" s="5">
        <v>43.7652831373572</v>
      </c>
    </row>
    <row r="4051" ht="14.25" customHeight="1">
      <c r="A4051" s="4"/>
      <c r="B4051" s="4" t="s">
        <v>1802</v>
      </c>
      <c r="C4051" s="4" t="s">
        <v>6103</v>
      </c>
      <c r="D4051" s="4" t="s">
        <v>6104</v>
      </c>
      <c r="E4051" s="5">
        <v>46.767621903793106</v>
      </c>
    </row>
    <row r="4052" ht="14.25" customHeight="1">
      <c r="A4052" s="4"/>
      <c r="B4052" s="4" t="s">
        <v>1802</v>
      </c>
      <c r="C4052" s="4" t="s">
        <v>6105</v>
      </c>
      <c r="D4052" s="4" t="s">
        <v>1821</v>
      </c>
      <c r="E4052" s="5">
        <v>19.3456510398386</v>
      </c>
    </row>
    <row r="4053" ht="14.25" customHeight="1">
      <c r="A4053" s="4"/>
      <c r="B4053" s="4" t="s">
        <v>1802</v>
      </c>
      <c r="C4053" s="4" t="s">
        <v>6106</v>
      </c>
      <c r="D4053" s="4" t="s">
        <v>1837</v>
      </c>
      <c r="E4053" s="5">
        <v>9.672825519919328</v>
      </c>
    </row>
    <row r="4054" ht="14.25" customHeight="1">
      <c r="A4054" s="4"/>
      <c r="B4054" s="4" t="s">
        <v>1802</v>
      </c>
      <c r="C4054" s="4" t="s">
        <v>6107</v>
      </c>
      <c r="D4054" s="4" t="s">
        <v>6108</v>
      </c>
      <c r="E4054" s="5">
        <v>0.44103933238068405</v>
      </c>
    </row>
    <row r="4055" ht="14.25" customHeight="1">
      <c r="A4055" s="4"/>
      <c r="B4055" s="4" t="s">
        <v>1802</v>
      </c>
      <c r="C4055" s="4" t="s">
        <v>6109</v>
      </c>
      <c r="D4055" s="4" t="s">
        <v>6110</v>
      </c>
      <c r="E4055" s="5">
        <v>2.05063901022289</v>
      </c>
    </row>
    <row r="4056" ht="14.25" customHeight="1">
      <c r="A4056" s="4"/>
      <c r="B4056" s="4" t="s">
        <v>1802</v>
      </c>
      <c r="C4056" s="4" t="s">
        <v>1064</v>
      </c>
      <c r="D4056" s="4" t="s">
        <v>1812</v>
      </c>
      <c r="E4056" s="5">
        <v>48.3641275995966</v>
      </c>
    </row>
    <row r="4057" ht="14.25" customHeight="1">
      <c r="A4057" s="4"/>
      <c r="B4057" s="4" t="s">
        <v>1802</v>
      </c>
      <c r="C4057" s="4" t="s">
        <v>6111</v>
      </c>
      <c r="D4057" s="4" t="s">
        <v>6112</v>
      </c>
      <c r="E4057" s="5">
        <v>47.4073752406518</v>
      </c>
    </row>
    <row r="4058" ht="14.25" customHeight="1">
      <c r="A4058" s="4"/>
      <c r="B4058" s="4" t="s">
        <v>1802</v>
      </c>
      <c r="C4058" s="4" t="s">
        <v>6113</v>
      </c>
      <c r="D4058" s="4" t="s">
        <v>6114</v>
      </c>
      <c r="E4058" s="5">
        <v>0.17699839249041</v>
      </c>
    </row>
    <row r="4059" ht="14.25" customHeight="1">
      <c r="A4059" s="4"/>
      <c r="B4059" s="4" t="s">
        <v>1802</v>
      </c>
      <c r="C4059" s="4" t="s">
        <v>6115</v>
      </c>
      <c r="D4059" s="4" t="s">
        <v>6116</v>
      </c>
      <c r="E4059" s="5">
        <v>36.269670813915</v>
      </c>
    </row>
    <row r="4060" ht="14.25" customHeight="1">
      <c r="A4060" s="4"/>
      <c r="B4060" s="4" t="s">
        <v>1802</v>
      </c>
      <c r="C4060" s="4" t="s">
        <v>6117</v>
      </c>
      <c r="D4060" s="4" t="s">
        <v>6118</v>
      </c>
      <c r="E4060" s="5">
        <v>16.1200268709877</v>
      </c>
    </row>
    <row r="4061" ht="14.25" customHeight="1">
      <c r="A4061" s="4"/>
      <c r="B4061" s="4" t="s">
        <v>1802</v>
      </c>
      <c r="C4061" s="4" t="s">
        <v>6119</v>
      </c>
      <c r="D4061" s="4" t="s">
        <v>6120</v>
      </c>
      <c r="E4061" s="5">
        <v>7.145205656748909</v>
      </c>
    </row>
    <row r="4062" ht="14.25" customHeight="1">
      <c r="A4062" s="4"/>
      <c r="B4062" s="4" t="s">
        <v>1802</v>
      </c>
      <c r="C4062" s="4" t="s">
        <v>6121</v>
      </c>
      <c r="D4062" s="4" t="s">
        <v>6122</v>
      </c>
      <c r="E4062" s="5">
        <v>37.023801473980804</v>
      </c>
    </row>
    <row r="4063" ht="14.25" customHeight="1">
      <c r="A4063" s="4"/>
      <c r="B4063" s="4" t="s">
        <v>1802</v>
      </c>
      <c r="C4063" s="4" t="s">
        <v>6123</v>
      </c>
      <c r="D4063" s="4" t="s">
        <v>1812</v>
      </c>
      <c r="E4063" s="5">
        <v>48.3641275995966</v>
      </c>
    </row>
    <row r="4064" ht="14.25" customHeight="1">
      <c r="A4064" s="4"/>
      <c r="B4064" s="4" t="s">
        <v>1802</v>
      </c>
      <c r="C4064" s="4" t="s">
        <v>6124</v>
      </c>
      <c r="D4064" s="4" t="s">
        <v>1812</v>
      </c>
      <c r="E4064" s="5">
        <v>48.3641275995966</v>
      </c>
    </row>
    <row r="4065" ht="14.25" customHeight="1">
      <c r="A4065" s="4"/>
      <c r="B4065" s="4" t="s">
        <v>1802</v>
      </c>
      <c r="C4065" s="4" t="s">
        <v>6125</v>
      </c>
      <c r="D4065" s="4" t="s">
        <v>6126</v>
      </c>
      <c r="E4065" s="5">
        <v>5.62197120840346</v>
      </c>
    </row>
    <row r="4066" ht="14.25" customHeight="1">
      <c r="A4066" s="4"/>
      <c r="B4066" s="4" t="s">
        <v>1802</v>
      </c>
      <c r="C4066" s="4" t="s">
        <v>6127</v>
      </c>
      <c r="D4066" s="4" t="s">
        <v>1812</v>
      </c>
      <c r="E4066" s="5">
        <v>48.3641275995966</v>
      </c>
    </row>
    <row r="4067" ht="14.25" customHeight="1">
      <c r="A4067" s="4"/>
      <c r="B4067" s="4" t="s">
        <v>1802</v>
      </c>
      <c r="C4067" s="4" t="s">
        <v>6128</v>
      </c>
      <c r="D4067" s="4" t="s">
        <v>6129</v>
      </c>
      <c r="E4067" s="5">
        <v>14.5248078707918</v>
      </c>
    </row>
    <row r="4068" ht="14.25" customHeight="1">
      <c r="A4068" s="4"/>
      <c r="B4068" s="4" t="s">
        <v>1802</v>
      </c>
      <c r="C4068" s="4" t="s">
        <v>6130</v>
      </c>
      <c r="D4068" s="4" t="s">
        <v>6131</v>
      </c>
      <c r="E4068" s="5">
        <v>9.81973291208559</v>
      </c>
    </row>
    <row r="4069" ht="14.25" customHeight="1">
      <c r="A4069" s="4"/>
      <c r="B4069" s="4" t="s">
        <v>1802</v>
      </c>
      <c r="C4069" s="4" t="s">
        <v>6132</v>
      </c>
      <c r="D4069" s="4" t="s">
        <v>1821</v>
      </c>
      <c r="E4069" s="5">
        <v>19.3456510398386</v>
      </c>
    </row>
    <row r="4070" ht="14.25" customHeight="1">
      <c r="A4070" s="4"/>
      <c r="B4070" s="4" t="s">
        <v>1802</v>
      </c>
      <c r="C4070" s="4" t="s">
        <v>6133</v>
      </c>
      <c r="D4070" s="4" t="s">
        <v>1837</v>
      </c>
      <c r="E4070" s="5">
        <v>9.672825519919328</v>
      </c>
    </row>
    <row r="4071" ht="14.25" customHeight="1">
      <c r="A4071" s="4"/>
      <c r="B4071" s="4" t="s">
        <v>1802</v>
      </c>
      <c r="C4071" s="4" t="s">
        <v>6134</v>
      </c>
      <c r="D4071" s="4" t="s">
        <v>6135</v>
      </c>
      <c r="E4071" s="5">
        <v>8.81549476990327</v>
      </c>
    </row>
    <row r="4072" ht="14.25" customHeight="1">
      <c r="A4072" s="4"/>
      <c r="B4072" s="4" t="s">
        <v>1802</v>
      </c>
      <c r="C4072" s="4" t="s">
        <v>270</v>
      </c>
      <c r="D4072" s="4" t="s">
        <v>6136</v>
      </c>
      <c r="E4072" s="5">
        <v>13.1522750072035</v>
      </c>
    </row>
    <row r="4073" ht="14.25" customHeight="1">
      <c r="A4073" s="4"/>
      <c r="B4073" s="4" t="s">
        <v>1802</v>
      </c>
      <c r="C4073" s="4" t="s">
        <v>6137</v>
      </c>
      <c r="D4073" s="4" t="s">
        <v>6138</v>
      </c>
      <c r="E4073" s="5">
        <v>25.346570101560097</v>
      </c>
    </row>
    <row r="4074" ht="14.25" customHeight="1">
      <c r="A4074" s="4"/>
      <c r="B4074" s="4" t="s">
        <v>1802</v>
      </c>
      <c r="C4074" s="4" t="s">
        <v>6139</v>
      </c>
      <c r="D4074" s="4" t="s">
        <v>6140</v>
      </c>
      <c r="E4074" s="5">
        <v>9.670635273985662</v>
      </c>
    </row>
    <row r="4075" ht="14.25" customHeight="1">
      <c r="A4075" s="4"/>
      <c r="B4075" s="4" t="s">
        <v>1802</v>
      </c>
      <c r="C4075" s="4" t="s">
        <v>6141</v>
      </c>
      <c r="D4075" s="4" t="s">
        <v>6142</v>
      </c>
      <c r="E4075" s="5">
        <v>24.87107222213</v>
      </c>
    </row>
    <row r="4076" ht="14.25" customHeight="1">
      <c r="A4076" s="4"/>
      <c r="B4076" s="4" t="s">
        <v>1802</v>
      </c>
      <c r="C4076" s="4" t="s">
        <v>6143</v>
      </c>
      <c r="D4076" s="4" t="s">
        <v>6144</v>
      </c>
      <c r="E4076" s="5">
        <v>7.70335490474018</v>
      </c>
    </row>
    <row r="4077" ht="14.25" customHeight="1">
      <c r="A4077" s="4"/>
      <c r="B4077" s="4" t="s">
        <v>1802</v>
      </c>
      <c r="C4077" s="4" t="s">
        <v>6145</v>
      </c>
      <c r="D4077" s="4" t="s">
        <v>6146</v>
      </c>
      <c r="E4077" s="5">
        <v>36.872518697658</v>
      </c>
    </row>
    <row r="4078" ht="14.25" customHeight="1">
      <c r="A4078" s="4"/>
      <c r="B4078" s="4" t="s">
        <v>1802</v>
      </c>
      <c r="C4078" s="4" t="s">
        <v>6147</v>
      </c>
      <c r="D4078" s="4" t="s">
        <v>6148</v>
      </c>
      <c r="E4078" s="5">
        <v>26.538603304458498</v>
      </c>
    </row>
    <row r="4079" ht="14.25" customHeight="1">
      <c r="A4079" s="4"/>
      <c r="B4079" s="4" t="s">
        <v>1802</v>
      </c>
      <c r="C4079" s="4" t="s">
        <v>6149</v>
      </c>
      <c r="D4079" s="4" t="s">
        <v>1812</v>
      </c>
      <c r="E4079" s="5">
        <v>48.3641275995966</v>
      </c>
    </row>
    <row r="4080" ht="14.25" customHeight="1">
      <c r="A4080" s="4"/>
      <c r="B4080" s="4" t="s">
        <v>1802</v>
      </c>
      <c r="C4080" s="4" t="s">
        <v>6150</v>
      </c>
      <c r="D4080" s="4" t="s">
        <v>6151</v>
      </c>
      <c r="E4080" s="5">
        <v>37.1064652711976</v>
      </c>
    </row>
    <row r="4081" ht="14.25" customHeight="1">
      <c r="A4081" s="4"/>
      <c r="B4081" s="4" t="s">
        <v>1802</v>
      </c>
      <c r="C4081" s="4" t="s">
        <v>6152</v>
      </c>
      <c r="D4081" s="4" t="s">
        <v>6153</v>
      </c>
      <c r="E4081" s="5">
        <v>25.598525736154897</v>
      </c>
    </row>
    <row r="4082" ht="14.25" customHeight="1">
      <c r="A4082" s="4"/>
      <c r="B4082" s="4" t="s">
        <v>1802</v>
      </c>
      <c r="C4082" s="4" t="s">
        <v>6154</v>
      </c>
      <c r="D4082" s="4" t="s">
        <v>6155</v>
      </c>
      <c r="E4082" s="5">
        <v>16.8041746271415</v>
      </c>
    </row>
    <row r="4083" ht="14.25" customHeight="1">
      <c r="A4083" s="4"/>
      <c r="B4083" s="4" t="s">
        <v>1802</v>
      </c>
      <c r="C4083" s="4" t="s">
        <v>6156</v>
      </c>
      <c r="D4083" s="4" t="s">
        <v>1812</v>
      </c>
      <c r="E4083" s="5">
        <v>48.3641275995966</v>
      </c>
    </row>
    <row r="4084" ht="14.25" customHeight="1">
      <c r="A4084" s="4"/>
      <c r="B4084" s="4" t="s">
        <v>1802</v>
      </c>
      <c r="C4084" s="4" t="s">
        <v>6157</v>
      </c>
      <c r="D4084" s="4" t="s">
        <v>1812</v>
      </c>
      <c r="E4084" s="5">
        <v>48.3641275995966</v>
      </c>
    </row>
    <row r="4085" ht="14.25" customHeight="1">
      <c r="A4085" s="4"/>
      <c r="B4085" s="4" t="s">
        <v>1802</v>
      </c>
      <c r="C4085" s="4" t="s">
        <v>6158</v>
      </c>
      <c r="D4085" s="4" t="s">
        <v>1812</v>
      </c>
      <c r="E4085" s="5">
        <v>48.3641275995966</v>
      </c>
    </row>
    <row r="4086" ht="14.25" customHeight="1">
      <c r="A4086" s="4"/>
      <c r="B4086" s="4" t="s">
        <v>1802</v>
      </c>
      <c r="C4086" s="4" t="s">
        <v>6159</v>
      </c>
      <c r="D4086" s="4" t="s">
        <v>1812</v>
      </c>
      <c r="E4086" s="5">
        <v>48.3641275995966</v>
      </c>
    </row>
    <row r="4087" ht="14.25" customHeight="1">
      <c r="A4087" s="4"/>
      <c r="B4087" s="4" t="s">
        <v>1802</v>
      </c>
      <c r="C4087" s="4" t="s">
        <v>6160</v>
      </c>
      <c r="D4087" s="4" t="s">
        <v>3205</v>
      </c>
      <c r="E4087" s="5">
        <v>17.4110859358548</v>
      </c>
    </row>
    <row r="4088" ht="14.25" customHeight="1">
      <c r="A4088" s="4"/>
      <c r="B4088" s="4" t="s">
        <v>1802</v>
      </c>
      <c r="C4088" s="4" t="s">
        <v>6161</v>
      </c>
      <c r="D4088" s="4" t="s">
        <v>6162</v>
      </c>
      <c r="E4088" s="5">
        <v>29.1817202944726</v>
      </c>
    </row>
    <row r="4089" ht="14.25" customHeight="1">
      <c r="A4089" s="4"/>
      <c r="B4089" s="4" t="s">
        <v>1802</v>
      </c>
      <c r="C4089" s="4" t="s">
        <v>6163</v>
      </c>
      <c r="D4089" s="4" t="s">
        <v>1812</v>
      </c>
      <c r="E4089" s="5">
        <v>48.3641275995966</v>
      </c>
    </row>
    <row r="4090" ht="14.25" customHeight="1">
      <c r="A4090" s="4"/>
      <c r="B4090" s="4" t="s">
        <v>1802</v>
      </c>
      <c r="C4090" s="4" t="s">
        <v>6164</v>
      </c>
      <c r="D4090" s="4" t="s">
        <v>6165</v>
      </c>
      <c r="E4090" s="5">
        <v>43.042755315483305</v>
      </c>
    </row>
    <row r="4091" ht="14.25" customHeight="1">
      <c r="A4091" s="4"/>
      <c r="B4091" s="4" t="s">
        <v>1802</v>
      </c>
      <c r="C4091" s="4" t="s">
        <v>6166</v>
      </c>
      <c r="D4091" s="4" t="s">
        <v>1812</v>
      </c>
      <c r="E4091" s="5">
        <v>48.3641275995966</v>
      </c>
    </row>
    <row r="4092" ht="14.25" customHeight="1">
      <c r="A4092" s="4"/>
      <c r="B4092" s="4" t="s">
        <v>1802</v>
      </c>
      <c r="C4092" s="4" t="s">
        <v>139</v>
      </c>
      <c r="D4092" s="4" t="s">
        <v>4420</v>
      </c>
      <c r="E4092" s="5">
        <v>21.8605856750176</v>
      </c>
    </row>
    <row r="4093" ht="14.25" customHeight="1">
      <c r="A4093" s="4"/>
      <c r="B4093" s="4" t="s">
        <v>1802</v>
      </c>
      <c r="C4093" s="4" t="s">
        <v>6167</v>
      </c>
      <c r="D4093" s="4" t="s">
        <v>6168</v>
      </c>
      <c r="E4093" s="5">
        <v>9.70002890392532</v>
      </c>
    </row>
    <row r="4094" ht="14.25" customHeight="1">
      <c r="A4094" s="4"/>
      <c r="B4094" s="4" t="s">
        <v>1802</v>
      </c>
      <c r="C4094" s="4" t="s">
        <v>6169</v>
      </c>
      <c r="D4094" s="4" t="s">
        <v>6170</v>
      </c>
      <c r="E4094" s="5">
        <v>10.031258943466701</v>
      </c>
    </row>
    <row r="4095" ht="14.25" customHeight="1">
      <c r="A4095" s="4"/>
      <c r="B4095" s="4" t="s">
        <v>1802</v>
      </c>
      <c r="C4095" s="4" t="s">
        <v>6171</v>
      </c>
      <c r="D4095" s="4" t="s">
        <v>1812</v>
      </c>
      <c r="E4095" s="5">
        <v>48.3641275995966</v>
      </c>
    </row>
    <row r="4096" ht="14.25" customHeight="1">
      <c r="A4096" s="4"/>
      <c r="B4096" s="4" t="s">
        <v>1802</v>
      </c>
      <c r="C4096" s="4" t="s">
        <v>6172</v>
      </c>
      <c r="D4096" s="4" t="s">
        <v>1812</v>
      </c>
      <c r="E4096" s="5">
        <v>48.3641275995966</v>
      </c>
    </row>
    <row r="4097" ht="14.25" customHeight="1">
      <c r="A4097" s="4"/>
      <c r="B4097" s="4" t="s">
        <v>1802</v>
      </c>
      <c r="C4097" s="4" t="s">
        <v>6173</v>
      </c>
      <c r="D4097" s="4" t="s">
        <v>1837</v>
      </c>
      <c r="E4097" s="5">
        <v>9.672825519919328</v>
      </c>
    </row>
    <row r="4098" ht="14.25" customHeight="1">
      <c r="A4098" s="4"/>
      <c r="B4098" s="4" t="s">
        <v>1802</v>
      </c>
      <c r="C4098" s="4" t="s">
        <v>6174</v>
      </c>
      <c r="D4098" s="4" t="s">
        <v>1837</v>
      </c>
      <c r="E4098" s="5">
        <v>9.672825519919328</v>
      </c>
    </row>
    <row r="4099" ht="14.25" customHeight="1">
      <c r="A4099" s="4"/>
      <c r="B4099" s="4" t="s">
        <v>1802</v>
      </c>
      <c r="C4099" s="4" t="s">
        <v>6175</v>
      </c>
      <c r="D4099" s="4" t="s">
        <v>6176</v>
      </c>
      <c r="E4099" s="5">
        <v>30.6612252200559</v>
      </c>
    </row>
    <row r="4100" ht="14.25" customHeight="1">
      <c r="A4100" s="4"/>
      <c r="B4100" s="4" t="s">
        <v>1802</v>
      </c>
      <c r="C4100" s="4" t="s">
        <v>6177</v>
      </c>
      <c r="D4100" s="4" t="s">
        <v>1812</v>
      </c>
      <c r="E4100" s="5">
        <v>48.3641275995966</v>
      </c>
    </row>
    <row r="4101" ht="14.25" customHeight="1">
      <c r="A4101" s="4"/>
      <c r="B4101" s="4" t="s">
        <v>1802</v>
      </c>
      <c r="C4101" s="4" t="s">
        <v>6178</v>
      </c>
      <c r="D4101" s="4" t="s">
        <v>1812</v>
      </c>
      <c r="E4101" s="5">
        <v>48.3641275995966</v>
      </c>
    </row>
    <row r="4102" ht="14.25" customHeight="1">
      <c r="A4102" s="4"/>
      <c r="B4102" s="4" t="s">
        <v>1802</v>
      </c>
      <c r="C4102" s="4" t="s">
        <v>1735</v>
      </c>
      <c r="D4102" s="4" t="s">
        <v>1812</v>
      </c>
      <c r="E4102" s="5">
        <v>48.3641275995966</v>
      </c>
    </row>
    <row r="4103" ht="14.25" customHeight="1">
      <c r="A4103" s="4"/>
      <c r="B4103" s="4" t="s">
        <v>1802</v>
      </c>
      <c r="C4103" s="4" t="s">
        <v>6179</v>
      </c>
      <c r="D4103" s="4" t="s">
        <v>1812</v>
      </c>
      <c r="E4103" s="5">
        <v>48.3641275995966</v>
      </c>
    </row>
    <row r="4104" ht="14.25" customHeight="1">
      <c r="A4104" s="4"/>
      <c r="B4104" s="4" t="s">
        <v>1802</v>
      </c>
      <c r="C4104" s="4" t="s">
        <v>6180</v>
      </c>
      <c r="D4104" s="4" t="s">
        <v>1812</v>
      </c>
      <c r="E4104" s="5">
        <v>48.3641275995966</v>
      </c>
    </row>
    <row r="4105" ht="14.25" customHeight="1">
      <c r="A4105" s="4"/>
      <c r="B4105" s="4" t="s">
        <v>1802</v>
      </c>
      <c r="C4105" s="4" t="s">
        <v>6181</v>
      </c>
      <c r="D4105" s="4" t="s">
        <v>6182</v>
      </c>
      <c r="E4105" s="5">
        <v>28.0624259071631</v>
      </c>
    </row>
    <row r="4106" ht="14.25" customHeight="1">
      <c r="A4106" s="4"/>
      <c r="B4106" s="4" t="s">
        <v>1802</v>
      </c>
      <c r="C4106" s="4" t="s">
        <v>6183</v>
      </c>
      <c r="D4106" s="4" t="s">
        <v>1812</v>
      </c>
      <c r="E4106" s="5">
        <v>48.3641275995966</v>
      </c>
    </row>
    <row r="4107" ht="14.25" customHeight="1">
      <c r="A4107" s="4"/>
      <c r="B4107" s="4" t="s">
        <v>1802</v>
      </c>
      <c r="C4107" s="4" t="s">
        <v>6184</v>
      </c>
      <c r="D4107" s="4" t="s">
        <v>1812</v>
      </c>
      <c r="E4107" s="5">
        <v>48.3641275995966</v>
      </c>
    </row>
    <row r="4108" ht="14.25" customHeight="1">
      <c r="A4108" s="4"/>
      <c r="B4108" s="4" t="s">
        <v>1802</v>
      </c>
      <c r="C4108" s="4" t="s">
        <v>6185</v>
      </c>
      <c r="D4108" s="4" t="s">
        <v>1812</v>
      </c>
      <c r="E4108" s="5">
        <v>48.3641275995966</v>
      </c>
    </row>
    <row r="4109" ht="14.25" customHeight="1">
      <c r="A4109" s="4"/>
      <c r="B4109" s="4" t="s">
        <v>1802</v>
      </c>
      <c r="C4109" s="4" t="s">
        <v>6186</v>
      </c>
      <c r="D4109" s="4" t="s">
        <v>1812</v>
      </c>
      <c r="E4109" s="5">
        <v>48.3641275995966</v>
      </c>
    </row>
    <row r="4110" ht="14.25" customHeight="1">
      <c r="A4110" s="4"/>
      <c r="B4110" s="4" t="s">
        <v>1802</v>
      </c>
      <c r="C4110" s="4" t="s">
        <v>6187</v>
      </c>
      <c r="D4110" s="4" t="s">
        <v>1812</v>
      </c>
      <c r="E4110" s="5">
        <v>48.3641275995966</v>
      </c>
    </row>
    <row r="4111" ht="14.25" customHeight="1">
      <c r="A4111" s="4"/>
      <c r="B4111" s="4" t="s">
        <v>1802</v>
      </c>
      <c r="C4111" s="4" t="s">
        <v>6188</v>
      </c>
      <c r="D4111" s="4" t="s">
        <v>1812</v>
      </c>
      <c r="E4111" s="5">
        <v>48.3641275995966</v>
      </c>
    </row>
    <row r="4112" ht="14.25" customHeight="1">
      <c r="A4112" s="4"/>
      <c r="B4112" s="4" t="s">
        <v>1802</v>
      </c>
      <c r="C4112" s="4" t="s">
        <v>6189</v>
      </c>
      <c r="D4112" s="4" t="s">
        <v>1821</v>
      </c>
      <c r="E4112" s="5">
        <v>19.3456510398386</v>
      </c>
    </row>
    <row r="4113" ht="14.25" customHeight="1">
      <c r="A4113" s="4"/>
      <c r="B4113" s="4" t="s">
        <v>1802</v>
      </c>
      <c r="C4113" s="4" t="s">
        <v>214</v>
      </c>
      <c r="D4113" s="4" t="s">
        <v>1812</v>
      </c>
      <c r="E4113" s="5">
        <v>48.3641275995966</v>
      </c>
    </row>
    <row r="4114" ht="14.25" customHeight="1">
      <c r="A4114" s="4"/>
      <c r="B4114" s="4" t="s">
        <v>1802</v>
      </c>
      <c r="C4114" s="4" t="s">
        <v>6190</v>
      </c>
      <c r="D4114" s="4" t="s">
        <v>6191</v>
      </c>
      <c r="E4114" s="5">
        <v>18.766663597743197</v>
      </c>
    </row>
    <row r="4115" ht="14.25" customHeight="1">
      <c r="A4115" s="4"/>
      <c r="B4115" s="4" t="s">
        <v>1802</v>
      </c>
      <c r="C4115" s="4" t="s">
        <v>6192</v>
      </c>
      <c r="D4115" s="4" t="s">
        <v>1821</v>
      </c>
      <c r="E4115" s="5">
        <v>19.3456510398386</v>
      </c>
    </row>
    <row r="4116" ht="14.25" customHeight="1">
      <c r="A4116" s="4"/>
      <c r="B4116" s="4" t="s">
        <v>1802</v>
      </c>
      <c r="C4116" s="4" t="s">
        <v>6193</v>
      </c>
      <c r="D4116" s="4" t="s">
        <v>6194</v>
      </c>
      <c r="E4116" s="5">
        <v>23.5500296003092</v>
      </c>
    </row>
    <row r="4117" ht="14.25" customHeight="1">
      <c r="A4117" s="4"/>
      <c r="B4117" s="4" t="s">
        <v>1802</v>
      </c>
      <c r="C4117" s="4" t="s">
        <v>673</v>
      </c>
      <c r="D4117" s="4" t="s">
        <v>6195</v>
      </c>
      <c r="E4117" s="5">
        <v>20.9242117260498</v>
      </c>
    </row>
    <row r="4118" ht="14.25" customHeight="1">
      <c r="A4118" s="4"/>
      <c r="B4118" s="4" t="s">
        <v>1802</v>
      </c>
      <c r="C4118" s="4" t="s">
        <v>6196</v>
      </c>
      <c r="D4118" s="4" t="s">
        <v>6197</v>
      </c>
      <c r="E4118" s="5">
        <v>6.295537212131739</v>
      </c>
    </row>
    <row r="4119" ht="14.25" customHeight="1">
      <c r="A4119" s="4"/>
      <c r="B4119" s="4" t="s">
        <v>1802</v>
      </c>
      <c r="C4119" s="4" t="s">
        <v>6198</v>
      </c>
      <c r="D4119" s="4" t="s">
        <v>1812</v>
      </c>
      <c r="E4119" s="5">
        <v>48.3641275995966</v>
      </c>
    </row>
    <row r="4120" ht="14.25" customHeight="1">
      <c r="A4120" s="4"/>
      <c r="B4120" s="4" t="s">
        <v>1802</v>
      </c>
      <c r="C4120" s="4" t="s">
        <v>6199</v>
      </c>
      <c r="D4120" s="4" t="s">
        <v>1821</v>
      </c>
      <c r="E4120" s="5">
        <v>19.3456510398386</v>
      </c>
    </row>
    <row r="4121" ht="14.25" customHeight="1">
      <c r="A4121" s="4"/>
      <c r="B4121" s="4" t="s">
        <v>1802</v>
      </c>
      <c r="C4121" s="4" t="s">
        <v>6200</v>
      </c>
      <c r="D4121" s="4" t="s">
        <v>1812</v>
      </c>
      <c r="E4121" s="5">
        <v>48.3641275995966</v>
      </c>
    </row>
    <row r="4122" ht="14.25" customHeight="1">
      <c r="A4122" s="4"/>
      <c r="B4122" s="4" t="s">
        <v>1802</v>
      </c>
      <c r="C4122" s="4" t="s">
        <v>6201</v>
      </c>
      <c r="D4122" s="4" t="s">
        <v>6202</v>
      </c>
      <c r="E4122" s="5">
        <v>19.770599829139</v>
      </c>
    </row>
    <row r="4123" ht="14.25" customHeight="1">
      <c r="A4123" s="4"/>
      <c r="B4123" s="4" t="s">
        <v>1802</v>
      </c>
      <c r="C4123" s="4" t="s">
        <v>6203</v>
      </c>
      <c r="D4123" s="4" t="s">
        <v>1812</v>
      </c>
      <c r="E4123" s="5">
        <v>48.3641275995966</v>
      </c>
    </row>
    <row r="4124" ht="14.25" customHeight="1">
      <c r="A4124" s="4"/>
      <c r="B4124" s="4" t="s">
        <v>1802</v>
      </c>
      <c r="C4124" s="4" t="s">
        <v>6204</v>
      </c>
      <c r="D4124" s="4" t="s">
        <v>6205</v>
      </c>
      <c r="E4124" s="5">
        <v>10.263603664483101</v>
      </c>
    </row>
    <row r="4125" ht="14.25" customHeight="1">
      <c r="A4125" s="4"/>
      <c r="B4125" s="4" t="s">
        <v>1802</v>
      </c>
      <c r="C4125" s="4" t="s">
        <v>6206</v>
      </c>
      <c r="D4125" s="4" t="s">
        <v>6207</v>
      </c>
      <c r="E4125" s="5">
        <v>22.823473397106902</v>
      </c>
    </row>
    <row r="4126" ht="14.25" customHeight="1">
      <c r="A4126" s="4"/>
      <c r="B4126" s="4" t="s">
        <v>1802</v>
      </c>
      <c r="C4126" s="4" t="s">
        <v>6208</v>
      </c>
      <c r="D4126" s="4" t="s">
        <v>6209</v>
      </c>
      <c r="E4126" s="5">
        <v>0.336458153141258</v>
      </c>
    </row>
    <row r="4127" ht="14.25" customHeight="1">
      <c r="A4127" s="4"/>
      <c r="B4127" s="4" t="s">
        <v>1802</v>
      </c>
      <c r="C4127" s="4" t="s">
        <v>6210</v>
      </c>
      <c r="D4127" s="4" t="s">
        <v>6211</v>
      </c>
      <c r="E4127" s="5">
        <v>28.5677476996282</v>
      </c>
    </row>
    <row r="4128" ht="14.25" customHeight="1">
      <c r="A4128" s="4"/>
      <c r="B4128" s="4" t="s">
        <v>1802</v>
      </c>
      <c r="C4128" s="4" t="s">
        <v>6212</v>
      </c>
      <c r="D4128" s="4" t="s">
        <v>6213</v>
      </c>
      <c r="E4128" s="5">
        <v>48.029287465766004</v>
      </c>
    </row>
    <row r="4129" ht="14.25" customHeight="1">
      <c r="A4129" s="4"/>
      <c r="B4129" s="4" t="s">
        <v>1802</v>
      </c>
      <c r="C4129" s="4" t="s">
        <v>6214</v>
      </c>
      <c r="D4129" s="4" t="s">
        <v>6215</v>
      </c>
      <c r="E4129" s="5">
        <v>24.9900791989913</v>
      </c>
    </row>
    <row r="4130" ht="14.25" customHeight="1">
      <c r="A4130" s="4"/>
      <c r="B4130" s="4" t="s">
        <v>1802</v>
      </c>
      <c r="C4130" s="4" t="s">
        <v>6216</v>
      </c>
      <c r="D4130" s="4" t="s">
        <v>1837</v>
      </c>
      <c r="E4130" s="5">
        <v>9.672825519919328</v>
      </c>
    </row>
    <row r="4131" ht="14.25" customHeight="1">
      <c r="A4131" s="4"/>
      <c r="B4131" s="4" t="s">
        <v>1802</v>
      </c>
      <c r="C4131" s="4" t="s">
        <v>6217</v>
      </c>
      <c r="D4131" s="4" t="s">
        <v>1837</v>
      </c>
      <c r="E4131" s="5">
        <v>9.672825519919328</v>
      </c>
    </row>
    <row r="4132" ht="14.25" customHeight="1">
      <c r="A4132" s="4"/>
      <c r="B4132" s="4" t="s">
        <v>1802</v>
      </c>
      <c r="C4132" s="4" t="s">
        <v>6218</v>
      </c>
      <c r="D4132" s="4" t="s">
        <v>1812</v>
      </c>
      <c r="E4132" s="5">
        <v>48.3641275995966</v>
      </c>
    </row>
    <row r="4133" ht="14.25" customHeight="1">
      <c r="A4133" s="4"/>
      <c r="B4133" s="4" t="s">
        <v>1802</v>
      </c>
      <c r="C4133" s="4" t="s">
        <v>6219</v>
      </c>
      <c r="D4133" s="4" t="s">
        <v>1812</v>
      </c>
      <c r="E4133" s="5">
        <v>48.3641275995966</v>
      </c>
    </row>
    <row r="4134" ht="14.25" customHeight="1">
      <c r="A4134" s="4"/>
      <c r="B4134" s="4" t="s">
        <v>1802</v>
      </c>
      <c r="C4134" s="4" t="s">
        <v>747</v>
      </c>
      <c r="D4134" s="4" t="s">
        <v>1812</v>
      </c>
      <c r="E4134" s="5">
        <v>48.3641275995966</v>
      </c>
    </row>
    <row r="4135" ht="14.25" customHeight="1">
      <c r="A4135" s="4"/>
      <c r="B4135" s="4" t="s">
        <v>1802</v>
      </c>
      <c r="C4135" s="4" t="s">
        <v>6220</v>
      </c>
      <c r="D4135" s="4" t="s">
        <v>1812</v>
      </c>
      <c r="E4135" s="5">
        <v>48.3641275995966</v>
      </c>
    </row>
    <row r="4136" ht="14.25" customHeight="1">
      <c r="A4136" s="4"/>
      <c r="B4136" s="4" t="s">
        <v>1802</v>
      </c>
      <c r="C4136" s="4" t="s">
        <v>6221</v>
      </c>
      <c r="D4136" s="4" t="s">
        <v>6222</v>
      </c>
      <c r="E4136" s="5">
        <v>10.0787726240487</v>
      </c>
    </row>
    <row r="4137" ht="14.25" customHeight="1">
      <c r="A4137" s="4"/>
      <c r="B4137" s="4" t="s">
        <v>1802</v>
      </c>
      <c r="C4137" s="4" t="s">
        <v>6223</v>
      </c>
      <c r="D4137" s="4" t="s">
        <v>6224</v>
      </c>
      <c r="E4137" s="5">
        <v>14.786658064035601</v>
      </c>
    </row>
    <row r="4138" ht="14.25" customHeight="1">
      <c r="A4138" s="4"/>
      <c r="B4138" s="4" t="s">
        <v>1802</v>
      </c>
      <c r="C4138" s="4" t="s">
        <v>6225</v>
      </c>
      <c r="D4138" s="4" t="s">
        <v>6226</v>
      </c>
      <c r="E4138" s="5">
        <v>28.5356454058602</v>
      </c>
    </row>
    <row r="4139" ht="14.25" customHeight="1">
      <c r="A4139" s="4"/>
      <c r="B4139" s="4" t="s">
        <v>1802</v>
      </c>
      <c r="C4139" s="4" t="s">
        <v>6227</v>
      </c>
      <c r="D4139" s="4" t="s">
        <v>6228</v>
      </c>
      <c r="E4139" s="5">
        <v>8.341690843946301</v>
      </c>
    </row>
    <row r="4140" ht="14.25" customHeight="1">
      <c r="A4140" s="4"/>
      <c r="B4140" s="4" t="s">
        <v>1802</v>
      </c>
      <c r="C4140" s="4" t="s">
        <v>6229</v>
      </c>
      <c r="D4140" s="4" t="s">
        <v>1812</v>
      </c>
      <c r="E4140" s="5">
        <v>48.3641275995966</v>
      </c>
    </row>
    <row r="4141" ht="14.25" customHeight="1">
      <c r="A4141" s="4"/>
      <c r="B4141" s="4" t="s">
        <v>1802</v>
      </c>
      <c r="C4141" s="4" t="s">
        <v>848</v>
      </c>
      <c r="D4141" s="4" t="s">
        <v>1812</v>
      </c>
      <c r="E4141" s="5">
        <v>48.3641275995966</v>
      </c>
    </row>
    <row r="4142" ht="14.25" customHeight="1">
      <c r="A4142" s="4"/>
      <c r="B4142" s="4" t="s">
        <v>1802</v>
      </c>
      <c r="C4142" s="4" t="s">
        <v>1041</v>
      </c>
      <c r="D4142" s="4" t="s">
        <v>1812</v>
      </c>
      <c r="E4142" s="5">
        <v>48.3641275995966</v>
      </c>
    </row>
    <row r="4143" ht="14.25" customHeight="1">
      <c r="A4143" s="4"/>
      <c r="B4143" s="4" t="s">
        <v>1802</v>
      </c>
      <c r="C4143" s="4" t="s">
        <v>6230</v>
      </c>
      <c r="D4143" s="4" t="s">
        <v>6231</v>
      </c>
      <c r="E4143" s="5">
        <v>9.392244152825649</v>
      </c>
    </row>
    <row r="4144" ht="14.25" customHeight="1">
      <c r="A4144" s="4"/>
      <c r="B4144" s="4" t="s">
        <v>1802</v>
      </c>
      <c r="C4144" s="4" t="s">
        <v>6232</v>
      </c>
      <c r="D4144" s="4" t="s">
        <v>2105</v>
      </c>
      <c r="E4144" s="5">
        <v>29.018476559758</v>
      </c>
    </row>
    <row r="4145" ht="14.25" customHeight="1">
      <c r="A4145" s="4"/>
      <c r="B4145" s="4" t="s">
        <v>1802</v>
      </c>
      <c r="C4145" s="4" t="s">
        <v>6233</v>
      </c>
      <c r="D4145" s="4" t="s">
        <v>6234</v>
      </c>
      <c r="E4145" s="5">
        <v>48.3389298849955</v>
      </c>
    </row>
    <row r="4146" ht="14.25" customHeight="1">
      <c r="A4146" s="4"/>
      <c r="B4146" s="4" t="s">
        <v>1802</v>
      </c>
      <c r="C4146" s="4" t="s">
        <v>6235</v>
      </c>
      <c r="D4146" s="4" t="s">
        <v>1812</v>
      </c>
      <c r="E4146" s="5">
        <v>48.3641275995966</v>
      </c>
    </row>
    <row r="4147" ht="14.25" customHeight="1">
      <c r="A4147" s="4"/>
      <c r="B4147" s="4" t="s">
        <v>1802</v>
      </c>
      <c r="C4147" s="4" t="s">
        <v>643</v>
      </c>
      <c r="D4147" s="4" t="s">
        <v>6236</v>
      </c>
      <c r="E4147" s="5">
        <v>16.9252035639534</v>
      </c>
    </row>
    <row r="4148" ht="14.25" customHeight="1">
      <c r="A4148" s="4"/>
      <c r="B4148" s="4" t="s">
        <v>1802</v>
      </c>
      <c r="C4148" s="4" t="s">
        <v>1317</v>
      </c>
      <c r="D4148" s="4" t="s">
        <v>6237</v>
      </c>
      <c r="E4148" s="5">
        <v>43.4509788161138</v>
      </c>
    </row>
    <row r="4149" ht="14.25" customHeight="1">
      <c r="A4149" s="4"/>
      <c r="B4149" s="4" t="s">
        <v>1802</v>
      </c>
      <c r="C4149" s="4" t="s">
        <v>6238</v>
      </c>
      <c r="D4149" s="4" t="s">
        <v>6239</v>
      </c>
      <c r="E4149" s="5">
        <v>32.3072372365305</v>
      </c>
    </row>
    <row r="4150" ht="14.25" customHeight="1">
      <c r="A4150" s="4"/>
      <c r="B4150" s="4" t="s">
        <v>1802</v>
      </c>
      <c r="C4150" s="4" t="s">
        <v>6240</v>
      </c>
      <c r="D4150" s="4" t="s">
        <v>1837</v>
      </c>
      <c r="E4150" s="5">
        <v>9.672825519919328</v>
      </c>
    </row>
    <row r="4151" ht="14.25" customHeight="1">
      <c r="A4151" s="4"/>
      <c r="B4151" s="4" t="s">
        <v>1802</v>
      </c>
      <c r="C4151" s="4" t="s">
        <v>6241</v>
      </c>
      <c r="D4151" s="4" t="s">
        <v>6242</v>
      </c>
      <c r="E4151" s="5">
        <v>33.6108908315119</v>
      </c>
    </row>
    <row r="4152" ht="14.25" customHeight="1">
      <c r="A4152" s="4"/>
      <c r="B4152" s="4" t="s">
        <v>1802</v>
      </c>
      <c r="C4152" s="4" t="s">
        <v>6243</v>
      </c>
      <c r="D4152" s="4" t="s">
        <v>1812</v>
      </c>
      <c r="E4152" s="5">
        <v>48.3641275995966</v>
      </c>
    </row>
    <row r="4153" ht="14.25" customHeight="1">
      <c r="A4153" s="4"/>
      <c r="B4153" s="4" t="s">
        <v>1802</v>
      </c>
      <c r="C4153" s="4" t="s">
        <v>6244</v>
      </c>
      <c r="D4153" s="4" t="s">
        <v>6245</v>
      </c>
      <c r="E4153" s="5">
        <v>9.47527199712612</v>
      </c>
    </row>
    <row r="4154" ht="14.25" customHeight="1">
      <c r="A4154" s="4"/>
      <c r="B4154" s="4" t="s">
        <v>1802</v>
      </c>
      <c r="C4154" s="4" t="s">
        <v>1719</v>
      </c>
      <c r="D4154" s="4" t="s">
        <v>1812</v>
      </c>
      <c r="E4154" s="5">
        <v>48.3641275995966</v>
      </c>
    </row>
    <row r="4155" ht="14.25" customHeight="1">
      <c r="A4155" s="4"/>
      <c r="B4155" s="4" t="s">
        <v>1802</v>
      </c>
      <c r="C4155" s="4" t="s">
        <v>6246</v>
      </c>
      <c r="D4155" s="4" t="s">
        <v>6247</v>
      </c>
      <c r="E4155" s="5">
        <v>9.76799546803111</v>
      </c>
    </row>
    <row r="4156" ht="14.25" customHeight="1">
      <c r="A4156" s="4"/>
      <c r="B4156" s="4" t="s">
        <v>1802</v>
      </c>
      <c r="C4156" s="4" t="s">
        <v>6248</v>
      </c>
      <c r="D4156" s="4" t="s">
        <v>2105</v>
      </c>
      <c r="E4156" s="5">
        <v>29.018476559758</v>
      </c>
    </row>
    <row r="4157" ht="14.25" customHeight="1">
      <c r="A4157" s="4"/>
      <c r="B4157" s="4" t="s">
        <v>1802</v>
      </c>
      <c r="C4157" s="4" t="s">
        <v>6249</v>
      </c>
      <c r="D4157" s="4" t="s">
        <v>1837</v>
      </c>
      <c r="E4157" s="5">
        <v>9.672825519919328</v>
      </c>
    </row>
    <row r="4158" ht="14.25" customHeight="1">
      <c r="A4158" s="4"/>
      <c r="B4158" s="4" t="s">
        <v>1802</v>
      </c>
      <c r="C4158" s="4" t="s">
        <v>6250</v>
      </c>
      <c r="D4158" s="4" t="s">
        <v>6251</v>
      </c>
      <c r="E4158" s="5">
        <v>33.2347871291813</v>
      </c>
    </row>
    <row r="4159" ht="14.25" customHeight="1">
      <c r="A4159" s="4"/>
      <c r="B4159" s="4" t="s">
        <v>1802</v>
      </c>
      <c r="C4159" s="4" t="s">
        <v>6252</v>
      </c>
      <c r="D4159" s="4" t="s">
        <v>1812</v>
      </c>
      <c r="E4159" s="5">
        <v>48.3641275995966</v>
      </c>
    </row>
    <row r="4160" ht="14.25" customHeight="1">
      <c r="A4160" s="4"/>
      <c r="B4160" s="4" t="s">
        <v>1802</v>
      </c>
      <c r="C4160" s="4" t="s">
        <v>254</v>
      </c>
      <c r="D4160" s="4" t="s">
        <v>1812</v>
      </c>
      <c r="E4160" s="5">
        <v>48.3641275995966</v>
      </c>
    </row>
    <row r="4161" ht="14.25" customHeight="1">
      <c r="A4161" s="4"/>
      <c r="B4161" s="4" t="s">
        <v>1802</v>
      </c>
      <c r="C4161" s="4" t="s">
        <v>185</v>
      </c>
      <c r="D4161" s="4" t="s">
        <v>6253</v>
      </c>
      <c r="E4161" s="5">
        <v>45.964982912504</v>
      </c>
    </row>
    <row r="4162" ht="14.25" customHeight="1">
      <c r="A4162" s="4"/>
      <c r="B4162" s="4" t="s">
        <v>1802</v>
      </c>
      <c r="C4162" s="4" t="s">
        <v>6254</v>
      </c>
      <c r="D4162" s="4" t="s">
        <v>6255</v>
      </c>
      <c r="E4162" s="5">
        <v>6.84915903655936</v>
      </c>
    </row>
    <row r="4163" ht="14.25" customHeight="1">
      <c r="A4163" s="4"/>
      <c r="B4163" s="4" t="s">
        <v>1802</v>
      </c>
      <c r="C4163" s="4" t="s">
        <v>480</v>
      </c>
      <c r="D4163" s="4" t="s">
        <v>6256</v>
      </c>
      <c r="E4163" s="5">
        <v>19.337545957143497</v>
      </c>
    </row>
    <row r="4164" ht="14.25" customHeight="1">
      <c r="A4164" s="4"/>
      <c r="B4164" s="4" t="s">
        <v>1802</v>
      </c>
      <c r="C4164" s="4" t="s">
        <v>6257</v>
      </c>
      <c r="D4164" s="4" t="s">
        <v>1812</v>
      </c>
      <c r="E4164" s="5">
        <v>48.3641275995966</v>
      </c>
    </row>
    <row r="4165" ht="14.25" customHeight="1">
      <c r="A4165" s="4"/>
      <c r="B4165" s="4" t="s">
        <v>1802</v>
      </c>
      <c r="C4165" s="4" t="s">
        <v>6258</v>
      </c>
      <c r="D4165" s="4" t="s">
        <v>6259</v>
      </c>
      <c r="E4165" s="5">
        <v>6.3584273221778105</v>
      </c>
    </row>
    <row r="4166" ht="14.25" customHeight="1">
      <c r="A4166" s="4"/>
      <c r="B4166" s="4" t="s">
        <v>1802</v>
      </c>
      <c r="C4166" s="4" t="s">
        <v>6260</v>
      </c>
      <c r="D4166" s="4" t="s">
        <v>6261</v>
      </c>
      <c r="E4166" s="5">
        <v>30.3870133820032</v>
      </c>
    </row>
    <row r="4167" ht="14.25" customHeight="1">
      <c r="A4167" s="4"/>
      <c r="B4167" s="4" t="s">
        <v>1802</v>
      </c>
      <c r="C4167" s="4" t="s">
        <v>6262</v>
      </c>
      <c r="D4167" s="4" t="s">
        <v>6263</v>
      </c>
      <c r="E4167" s="5">
        <v>41.0010842943247</v>
      </c>
    </row>
    <row r="4168" ht="14.25" customHeight="1">
      <c r="A4168" s="4"/>
      <c r="B4168" s="4" t="s">
        <v>1802</v>
      </c>
      <c r="C4168" s="4" t="s">
        <v>6264</v>
      </c>
      <c r="D4168" s="4" t="s">
        <v>6265</v>
      </c>
      <c r="E4168" s="5">
        <v>35.6881276932704</v>
      </c>
    </row>
    <row r="4169" ht="14.25" customHeight="1">
      <c r="A4169" s="4"/>
      <c r="B4169" s="4" t="s">
        <v>1802</v>
      </c>
      <c r="C4169" s="4" t="s">
        <v>6266</v>
      </c>
      <c r="D4169" s="4" t="s">
        <v>6267</v>
      </c>
      <c r="E4169" s="5">
        <v>26.8513789296823</v>
      </c>
    </row>
    <row r="4170" ht="14.25" customHeight="1">
      <c r="A4170" s="4"/>
      <c r="B4170" s="4" t="s">
        <v>1802</v>
      </c>
      <c r="C4170" s="4" t="s">
        <v>6268</v>
      </c>
      <c r="D4170" s="4" t="s">
        <v>6269</v>
      </c>
      <c r="E4170" s="5">
        <v>4.73060987413734</v>
      </c>
    </row>
    <row r="4171" ht="14.25" customHeight="1">
      <c r="A4171" s="4"/>
      <c r="B4171" s="4" t="s">
        <v>1802</v>
      </c>
      <c r="C4171" s="4" t="s">
        <v>6270</v>
      </c>
      <c r="D4171" s="4" t="s">
        <v>6271</v>
      </c>
      <c r="E4171" s="5">
        <v>10.6794939010733</v>
      </c>
    </row>
    <row r="4172" ht="14.25" customHeight="1">
      <c r="A4172" s="4"/>
      <c r="B4172" s="4" t="s">
        <v>1802</v>
      </c>
      <c r="C4172" s="4" t="s">
        <v>6272</v>
      </c>
      <c r="D4172" s="4" t="s">
        <v>1812</v>
      </c>
      <c r="E4172" s="5">
        <v>48.3641275995966</v>
      </c>
    </row>
    <row r="4173" ht="14.25" customHeight="1">
      <c r="A4173" s="4"/>
      <c r="B4173" s="4" t="s">
        <v>1802</v>
      </c>
      <c r="C4173" s="4" t="s">
        <v>6273</v>
      </c>
      <c r="D4173" s="4" t="s">
        <v>1812</v>
      </c>
      <c r="E4173" s="5">
        <v>48.3641275995966</v>
      </c>
    </row>
    <row r="4174" ht="14.25" customHeight="1">
      <c r="A4174" s="4"/>
      <c r="B4174" s="4" t="s">
        <v>1802</v>
      </c>
      <c r="C4174" s="4" t="s">
        <v>6274</v>
      </c>
      <c r="D4174" s="4" t="s">
        <v>1812</v>
      </c>
      <c r="E4174" s="5">
        <v>48.3641275995966</v>
      </c>
    </row>
    <row r="4175" ht="14.25" customHeight="1">
      <c r="A4175" s="4"/>
      <c r="B4175" s="4" t="s">
        <v>1802</v>
      </c>
      <c r="C4175" s="4" t="s">
        <v>6275</v>
      </c>
      <c r="D4175" s="4" t="s">
        <v>6276</v>
      </c>
      <c r="E4175" s="5">
        <v>19.5813707104767</v>
      </c>
    </row>
    <row r="4176" ht="14.25" customHeight="1">
      <c r="A4176" s="4"/>
      <c r="B4176" s="4" t="s">
        <v>1802</v>
      </c>
      <c r="C4176" s="4" t="s">
        <v>6277</v>
      </c>
      <c r="D4176" s="4" t="s">
        <v>1812</v>
      </c>
      <c r="E4176" s="5">
        <v>48.3641275995966</v>
      </c>
    </row>
    <row r="4177" ht="14.25" customHeight="1">
      <c r="A4177" s="4"/>
      <c r="B4177" s="4" t="s">
        <v>1802</v>
      </c>
      <c r="C4177" s="4" t="s">
        <v>6278</v>
      </c>
      <c r="D4177" s="4" t="s">
        <v>1812</v>
      </c>
      <c r="E4177" s="5">
        <v>48.3641275995966</v>
      </c>
    </row>
    <row r="4178" ht="14.25" customHeight="1">
      <c r="A4178" s="4"/>
      <c r="B4178" s="4" t="s">
        <v>1802</v>
      </c>
      <c r="C4178" s="4" t="s">
        <v>6279</v>
      </c>
      <c r="D4178" s="4" t="s">
        <v>1837</v>
      </c>
      <c r="E4178" s="5">
        <v>9.672825519919328</v>
      </c>
    </row>
    <row r="4179" ht="14.25" customHeight="1">
      <c r="A4179" s="4"/>
      <c r="B4179" s="4" t="s">
        <v>1802</v>
      </c>
      <c r="C4179" s="4" t="s">
        <v>6280</v>
      </c>
      <c r="D4179" s="4" t="s">
        <v>1812</v>
      </c>
      <c r="E4179" s="5">
        <v>48.3641275995966</v>
      </c>
    </row>
    <row r="4180" ht="14.25" customHeight="1">
      <c r="A4180" s="4"/>
      <c r="B4180" s="4" t="s">
        <v>1802</v>
      </c>
      <c r="C4180" s="4" t="s">
        <v>568</v>
      </c>
      <c r="D4180" s="4" t="s">
        <v>1812</v>
      </c>
      <c r="E4180" s="5">
        <v>48.3641275995966</v>
      </c>
    </row>
    <row r="4181" ht="14.25" customHeight="1">
      <c r="A4181" s="4"/>
      <c r="B4181" s="4" t="s">
        <v>1802</v>
      </c>
      <c r="C4181" s="4" t="s">
        <v>6281</v>
      </c>
      <c r="D4181" s="4" t="s">
        <v>1812</v>
      </c>
      <c r="E4181" s="5">
        <v>48.3641275995966</v>
      </c>
    </row>
    <row r="4182" ht="14.25" customHeight="1">
      <c r="A4182" s="4"/>
      <c r="B4182" s="4" t="s">
        <v>1802</v>
      </c>
      <c r="C4182" s="4" t="s">
        <v>6282</v>
      </c>
      <c r="D4182" s="4" t="s">
        <v>6283</v>
      </c>
      <c r="E4182" s="5">
        <v>46.6962303127787</v>
      </c>
    </row>
    <row r="4183" ht="14.25" customHeight="1">
      <c r="A4183" s="4"/>
      <c r="B4183" s="4" t="s">
        <v>1802</v>
      </c>
      <c r="C4183" s="4" t="s">
        <v>6284</v>
      </c>
      <c r="D4183" s="4" t="s">
        <v>6285</v>
      </c>
      <c r="E4183" s="5">
        <v>47.8705441416169</v>
      </c>
    </row>
    <row r="4184" ht="14.25" customHeight="1">
      <c r="A4184" s="4"/>
      <c r="B4184" s="4" t="s">
        <v>1802</v>
      </c>
      <c r="C4184" s="4" t="s">
        <v>6286</v>
      </c>
      <c r="D4184" s="4" t="s">
        <v>1812</v>
      </c>
      <c r="E4184" s="5">
        <v>48.3641275995966</v>
      </c>
    </row>
    <row r="4185" ht="14.25" customHeight="1">
      <c r="A4185" s="4"/>
      <c r="B4185" s="4" t="s">
        <v>1802</v>
      </c>
      <c r="C4185" s="4" t="s">
        <v>6287</v>
      </c>
      <c r="D4185" s="4" t="s">
        <v>1812</v>
      </c>
      <c r="E4185" s="5">
        <v>48.3641275995966</v>
      </c>
    </row>
    <row r="4186" ht="14.25" customHeight="1">
      <c r="A4186" s="4"/>
      <c r="B4186" s="4" t="s">
        <v>1802</v>
      </c>
      <c r="C4186" s="4" t="s">
        <v>6288</v>
      </c>
      <c r="D4186" s="4" t="s">
        <v>6289</v>
      </c>
      <c r="E4186" s="5">
        <v>46.7159663385951</v>
      </c>
    </row>
    <row r="4187" ht="14.25" customHeight="1">
      <c r="A4187" s="4"/>
      <c r="B4187" s="4" t="s">
        <v>1802</v>
      </c>
      <c r="C4187" s="4" t="s">
        <v>6290</v>
      </c>
      <c r="D4187" s="4" t="s">
        <v>1812</v>
      </c>
      <c r="E4187" s="5">
        <v>48.3641275995966</v>
      </c>
    </row>
    <row r="4188" ht="14.25" customHeight="1">
      <c r="A4188" s="4"/>
      <c r="B4188" s="4" t="s">
        <v>1802</v>
      </c>
      <c r="C4188" s="4" t="s">
        <v>6291</v>
      </c>
      <c r="D4188" s="4" t="s">
        <v>6292</v>
      </c>
      <c r="E4188" s="5">
        <v>9.08551546660173</v>
      </c>
    </row>
    <row r="4189" ht="14.25" customHeight="1">
      <c r="A4189" s="4"/>
      <c r="B4189" s="4" t="s">
        <v>1802</v>
      </c>
      <c r="C4189" s="4" t="s">
        <v>6293</v>
      </c>
      <c r="D4189" s="4" t="s">
        <v>6294</v>
      </c>
      <c r="E4189" s="5">
        <v>9.808736149719131</v>
      </c>
    </row>
    <row r="4190" ht="14.25" customHeight="1">
      <c r="A4190" s="4"/>
      <c r="B4190" s="4" t="s">
        <v>1802</v>
      </c>
      <c r="C4190" s="4" t="s">
        <v>6295</v>
      </c>
      <c r="D4190" s="4" t="s">
        <v>1812</v>
      </c>
      <c r="E4190" s="5">
        <v>48.3641275995966</v>
      </c>
    </row>
    <row r="4191" ht="14.25" customHeight="1">
      <c r="A4191" s="4"/>
      <c r="B4191" s="4" t="s">
        <v>1802</v>
      </c>
      <c r="C4191" s="4" t="s">
        <v>6296</v>
      </c>
      <c r="D4191" s="4" t="s">
        <v>1812</v>
      </c>
      <c r="E4191" s="5">
        <v>48.3641275995966</v>
      </c>
    </row>
    <row r="4192" ht="14.25" customHeight="1">
      <c r="A4192" s="4"/>
      <c r="B4192" s="4" t="s">
        <v>1802</v>
      </c>
      <c r="C4192" s="4" t="s">
        <v>6297</v>
      </c>
      <c r="D4192" s="4" t="s">
        <v>6298</v>
      </c>
      <c r="E4192" s="5">
        <v>5.58822542353936</v>
      </c>
    </row>
    <row r="4193" ht="14.25" customHeight="1">
      <c r="A4193" s="4"/>
      <c r="B4193" s="4" t="s">
        <v>1802</v>
      </c>
      <c r="C4193" s="4" t="s">
        <v>6299</v>
      </c>
      <c r="D4193" s="4" t="s">
        <v>6300</v>
      </c>
      <c r="E4193" s="5">
        <v>40.9670804585236</v>
      </c>
    </row>
    <row r="4194" ht="14.25" customHeight="1">
      <c r="A4194" s="4"/>
      <c r="B4194" s="4" t="s">
        <v>1802</v>
      </c>
      <c r="C4194" s="4" t="s">
        <v>6301</v>
      </c>
      <c r="D4194" s="4" t="s">
        <v>6302</v>
      </c>
      <c r="E4194" s="5">
        <v>9.20812282764315</v>
      </c>
    </row>
    <row r="4195" ht="14.25" customHeight="1">
      <c r="A4195" s="4"/>
      <c r="B4195" s="4" t="s">
        <v>1802</v>
      </c>
      <c r="C4195" s="4" t="s">
        <v>6303</v>
      </c>
      <c r="D4195" s="4" t="s">
        <v>6304</v>
      </c>
      <c r="E4195" s="5">
        <v>41.289898696276</v>
      </c>
    </row>
    <row r="4196" ht="14.25" customHeight="1">
      <c r="A4196" s="4"/>
      <c r="B4196" s="4" t="s">
        <v>1802</v>
      </c>
      <c r="C4196" s="4" t="s">
        <v>6305</v>
      </c>
      <c r="D4196" s="4" t="s">
        <v>6306</v>
      </c>
      <c r="E4196" s="5">
        <v>11.48078391684</v>
      </c>
    </row>
    <row r="4197" ht="14.25" customHeight="1">
      <c r="A4197" s="4"/>
      <c r="B4197" s="4" t="s">
        <v>1802</v>
      </c>
      <c r="C4197" s="4" t="s">
        <v>6307</v>
      </c>
      <c r="D4197" s="4" t="s">
        <v>6308</v>
      </c>
      <c r="E4197" s="5">
        <v>4.82044975624438</v>
      </c>
    </row>
    <row r="4198" ht="14.25" customHeight="1">
      <c r="A4198" s="4"/>
      <c r="B4198" s="4" t="s">
        <v>1802</v>
      </c>
      <c r="C4198" s="4" t="s">
        <v>6309</v>
      </c>
      <c r="D4198" s="4" t="s">
        <v>6310</v>
      </c>
      <c r="E4198" s="5">
        <v>48.0718940214117</v>
      </c>
    </row>
    <row r="4199" ht="14.25" customHeight="1">
      <c r="A4199" s="4"/>
      <c r="B4199" s="4" t="s">
        <v>1802</v>
      </c>
      <c r="C4199" s="4" t="s">
        <v>6311</v>
      </c>
      <c r="D4199" s="4" t="s">
        <v>6312</v>
      </c>
      <c r="E4199" s="5">
        <v>26.433657578372003</v>
      </c>
    </row>
    <row r="4200" ht="14.25" customHeight="1">
      <c r="A4200" s="4"/>
      <c r="B4200" s="4" t="s">
        <v>1802</v>
      </c>
      <c r="C4200" s="4" t="s">
        <v>6313</v>
      </c>
      <c r="D4200" s="4" t="s">
        <v>1812</v>
      </c>
      <c r="E4200" s="5">
        <v>48.3641275995966</v>
      </c>
    </row>
    <row r="4201" ht="14.25" customHeight="1">
      <c r="A4201" s="4"/>
      <c r="B4201" s="4" t="s">
        <v>1802</v>
      </c>
      <c r="C4201" s="4" t="s">
        <v>1713</v>
      </c>
      <c r="D4201" s="4" t="s">
        <v>1812</v>
      </c>
      <c r="E4201" s="5">
        <v>48.3641275995966</v>
      </c>
    </row>
    <row r="4202" ht="14.25" customHeight="1">
      <c r="A4202" s="4"/>
      <c r="B4202" s="4" t="s">
        <v>1802</v>
      </c>
      <c r="C4202" s="4" t="s">
        <v>6314</v>
      </c>
      <c r="D4202" s="4" t="s">
        <v>1812</v>
      </c>
      <c r="E4202" s="5">
        <v>48.3641275995966</v>
      </c>
    </row>
    <row r="4203" ht="14.25" customHeight="1">
      <c r="A4203" s="4"/>
      <c r="B4203" s="4" t="s">
        <v>1802</v>
      </c>
      <c r="C4203" s="4" t="s">
        <v>6315</v>
      </c>
      <c r="D4203" s="4" t="s">
        <v>6316</v>
      </c>
      <c r="E4203" s="5">
        <v>9.973531626381039</v>
      </c>
    </row>
    <row r="4204" ht="14.25" customHeight="1">
      <c r="A4204" s="4"/>
      <c r="B4204" s="4" t="s">
        <v>1802</v>
      </c>
      <c r="C4204" s="4" t="s">
        <v>6317</v>
      </c>
      <c r="D4204" s="4" t="s">
        <v>1951</v>
      </c>
      <c r="E4204" s="5">
        <v>38.6913020796773</v>
      </c>
    </row>
    <row r="4205" ht="14.25" customHeight="1">
      <c r="A4205" s="4"/>
      <c r="B4205" s="4" t="s">
        <v>1802</v>
      </c>
      <c r="C4205" s="4" t="s">
        <v>6318</v>
      </c>
      <c r="D4205" s="4" t="s">
        <v>6319</v>
      </c>
      <c r="E4205" s="5">
        <v>24.8066162938808</v>
      </c>
    </row>
    <row r="4206" ht="14.25" customHeight="1">
      <c r="A4206" s="4"/>
      <c r="B4206" s="4" t="s">
        <v>1802</v>
      </c>
      <c r="C4206" s="4" t="s">
        <v>6320</v>
      </c>
      <c r="D4206" s="4" t="s">
        <v>6321</v>
      </c>
      <c r="E4206" s="5">
        <v>19.4322167976221</v>
      </c>
    </row>
    <row r="4207" ht="14.25" customHeight="1">
      <c r="A4207" s="4"/>
      <c r="B4207" s="4" t="s">
        <v>1802</v>
      </c>
      <c r="C4207" s="4" t="s">
        <v>6322</v>
      </c>
      <c r="D4207" s="4" t="s">
        <v>1812</v>
      </c>
      <c r="E4207" s="5">
        <v>48.3641275995966</v>
      </c>
    </row>
    <row r="4208" ht="14.25" customHeight="1">
      <c r="A4208" s="4"/>
      <c r="B4208" s="4" t="s">
        <v>1802</v>
      </c>
      <c r="C4208" s="4" t="s">
        <v>6323</v>
      </c>
      <c r="D4208" s="4" t="s">
        <v>2801</v>
      </c>
      <c r="E4208" s="5">
        <v>6.38406484314676</v>
      </c>
    </row>
    <row r="4209" ht="14.25" customHeight="1">
      <c r="A4209" s="4"/>
      <c r="B4209" s="4" t="s">
        <v>1802</v>
      </c>
      <c r="C4209" s="4" t="s">
        <v>6324</v>
      </c>
      <c r="D4209" s="4" t="s">
        <v>1812</v>
      </c>
      <c r="E4209" s="5">
        <v>48.3641275995966</v>
      </c>
    </row>
    <row r="4210" ht="14.25" customHeight="1">
      <c r="A4210" s="4"/>
      <c r="B4210" s="4" t="s">
        <v>1802</v>
      </c>
      <c r="C4210" s="4" t="s">
        <v>6325</v>
      </c>
      <c r="D4210" s="4" t="s">
        <v>6326</v>
      </c>
      <c r="E4210" s="5">
        <v>45.7888919731109</v>
      </c>
    </row>
    <row r="4211" ht="14.25" customHeight="1">
      <c r="A4211" s="4"/>
      <c r="B4211" s="4" t="s">
        <v>1802</v>
      </c>
      <c r="C4211" s="4" t="s">
        <v>6327</v>
      </c>
      <c r="D4211" s="4" t="s">
        <v>6328</v>
      </c>
      <c r="E4211" s="5">
        <v>18.268739935409798</v>
      </c>
    </row>
    <row r="4212" ht="14.25" customHeight="1">
      <c r="A4212" s="4"/>
      <c r="B4212" s="4" t="s">
        <v>1802</v>
      </c>
      <c r="C4212" s="4" t="s">
        <v>6329</v>
      </c>
      <c r="D4212" s="4" t="s">
        <v>6330</v>
      </c>
      <c r="E4212" s="5">
        <v>13.123206870530199</v>
      </c>
    </row>
    <row r="4213" ht="14.25" customHeight="1">
      <c r="A4213" s="4"/>
      <c r="B4213" s="4" t="s">
        <v>1802</v>
      </c>
      <c r="C4213" s="4" t="s">
        <v>6331</v>
      </c>
      <c r="D4213" s="4" t="s">
        <v>6332</v>
      </c>
      <c r="E4213" s="5">
        <v>8.57150093230763</v>
      </c>
    </row>
    <row r="4214" ht="14.25" customHeight="1">
      <c r="A4214" s="4"/>
      <c r="B4214" s="4" t="s">
        <v>1802</v>
      </c>
      <c r="C4214" s="4" t="s">
        <v>6333</v>
      </c>
      <c r="D4214" s="4" t="s">
        <v>1812</v>
      </c>
      <c r="E4214" s="5">
        <v>48.3641275995966</v>
      </c>
    </row>
    <row r="4215" ht="14.25" customHeight="1">
      <c r="A4215" s="4"/>
      <c r="B4215" s="4" t="s">
        <v>1802</v>
      </c>
      <c r="C4215" s="4" t="s">
        <v>6334</v>
      </c>
      <c r="D4215" s="4" t="s">
        <v>1812</v>
      </c>
      <c r="E4215" s="5">
        <v>48.3641275995966</v>
      </c>
    </row>
    <row r="4216" ht="14.25" customHeight="1">
      <c r="A4216" s="4"/>
      <c r="B4216" s="4" t="s">
        <v>1802</v>
      </c>
      <c r="C4216" s="4" t="s">
        <v>6335</v>
      </c>
      <c r="D4216" s="4" t="s">
        <v>1812</v>
      </c>
      <c r="E4216" s="5">
        <v>48.3641275995966</v>
      </c>
    </row>
    <row r="4217" ht="14.25" customHeight="1">
      <c r="A4217" s="4"/>
      <c r="B4217" s="4" t="s">
        <v>1802</v>
      </c>
      <c r="C4217" s="4" t="s">
        <v>6336</v>
      </c>
      <c r="D4217" s="4" t="s">
        <v>6337</v>
      </c>
      <c r="E4217" s="5">
        <v>10.5111448321934</v>
      </c>
    </row>
    <row r="4218" ht="14.25" customHeight="1">
      <c r="A4218" s="4"/>
      <c r="B4218" s="4" t="s">
        <v>1802</v>
      </c>
      <c r="C4218" s="4" t="s">
        <v>475</v>
      </c>
      <c r="D4218" s="4" t="s">
        <v>1812</v>
      </c>
      <c r="E4218" s="5">
        <v>48.3641275995966</v>
      </c>
    </row>
    <row r="4219" ht="14.25" customHeight="1">
      <c r="A4219" s="4"/>
      <c r="B4219" s="4" t="s">
        <v>1802</v>
      </c>
      <c r="C4219" s="4" t="s">
        <v>6338</v>
      </c>
      <c r="D4219" s="4" t="s">
        <v>1812</v>
      </c>
      <c r="E4219" s="5">
        <v>48.3641275995966</v>
      </c>
    </row>
    <row r="4220" ht="14.25" customHeight="1">
      <c r="A4220" s="4"/>
      <c r="B4220" s="4" t="s">
        <v>1802</v>
      </c>
      <c r="C4220" s="4" t="s">
        <v>6339</v>
      </c>
      <c r="D4220" s="4" t="s">
        <v>6340</v>
      </c>
      <c r="E4220" s="5">
        <v>15.720882092192898</v>
      </c>
    </row>
    <row r="4221" ht="14.25" customHeight="1">
      <c r="A4221" s="4"/>
      <c r="B4221" s="4" t="s">
        <v>1802</v>
      </c>
      <c r="C4221" s="4" t="s">
        <v>6341</v>
      </c>
      <c r="D4221" s="4" t="s">
        <v>6342</v>
      </c>
      <c r="E4221" s="5">
        <v>13.133660736883401</v>
      </c>
    </row>
    <row r="4222" ht="14.25" customHeight="1">
      <c r="A4222" s="4"/>
      <c r="B4222" s="4" t="s">
        <v>1802</v>
      </c>
      <c r="C4222" s="4" t="s">
        <v>6343</v>
      </c>
      <c r="D4222" s="4" t="s">
        <v>1812</v>
      </c>
      <c r="E4222" s="5">
        <v>48.3641275995966</v>
      </c>
    </row>
    <row r="4223" ht="14.25" customHeight="1">
      <c r="A4223" s="4"/>
      <c r="B4223" s="4" t="s">
        <v>1802</v>
      </c>
      <c r="C4223" s="4" t="s">
        <v>6344</v>
      </c>
      <c r="D4223" s="4" t="s">
        <v>1951</v>
      </c>
      <c r="E4223" s="5">
        <v>38.6913020796773</v>
      </c>
    </row>
    <row r="4224" ht="14.25" customHeight="1">
      <c r="A4224" s="4"/>
      <c r="B4224" s="4" t="s">
        <v>1802</v>
      </c>
      <c r="C4224" s="4" t="s">
        <v>6345</v>
      </c>
      <c r="D4224" s="4" t="s">
        <v>1812</v>
      </c>
      <c r="E4224" s="5">
        <v>48.3641275995966</v>
      </c>
    </row>
    <row r="4225" ht="14.25" customHeight="1">
      <c r="A4225" s="4"/>
      <c r="B4225" s="4" t="s">
        <v>1802</v>
      </c>
      <c r="C4225" s="4" t="s">
        <v>6346</v>
      </c>
      <c r="D4225" s="4" t="s">
        <v>6347</v>
      </c>
      <c r="E4225" s="5">
        <v>9.905794763374649</v>
      </c>
    </row>
    <row r="4226" ht="14.25" customHeight="1">
      <c r="A4226" s="4"/>
      <c r="B4226" s="4" t="s">
        <v>1802</v>
      </c>
      <c r="C4226" s="4" t="s">
        <v>6348</v>
      </c>
      <c r="D4226" s="4" t="s">
        <v>1812</v>
      </c>
      <c r="E4226" s="5">
        <v>48.3641275995966</v>
      </c>
    </row>
    <row r="4227" ht="14.25" customHeight="1">
      <c r="A4227" s="4"/>
      <c r="B4227" s="4" t="s">
        <v>1802</v>
      </c>
      <c r="C4227" s="4" t="s">
        <v>6349</v>
      </c>
      <c r="D4227" s="4" t="s">
        <v>1812</v>
      </c>
      <c r="E4227" s="5">
        <v>48.3641275995966</v>
      </c>
    </row>
    <row r="4228" ht="14.25" customHeight="1">
      <c r="A4228" s="4"/>
      <c r="B4228" s="4" t="s">
        <v>1802</v>
      </c>
      <c r="C4228" s="4" t="s">
        <v>6350</v>
      </c>
      <c r="D4228" s="4" t="s">
        <v>1812</v>
      </c>
      <c r="E4228" s="5">
        <v>48.3641275995966</v>
      </c>
    </row>
    <row r="4229" ht="14.25" customHeight="1">
      <c r="A4229" s="4"/>
      <c r="B4229" s="4" t="s">
        <v>1802</v>
      </c>
      <c r="C4229" s="4" t="s">
        <v>1348</v>
      </c>
      <c r="D4229" s="4" t="s">
        <v>1812</v>
      </c>
      <c r="E4229" s="5">
        <v>48.3641275995966</v>
      </c>
    </row>
    <row r="4230" ht="14.25" customHeight="1">
      <c r="A4230" s="4"/>
      <c r="B4230" s="4" t="s">
        <v>1802</v>
      </c>
      <c r="C4230" s="4" t="s">
        <v>6351</v>
      </c>
      <c r="D4230" s="4" t="s">
        <v>6352</v>
      </c>
      <c r="E4230" s="5">
        <v>3.13516593546975</v>
      </c>
    </row>
    <row r="4231" ht="14.25" customHeight="1">
      <c r="A4231" s="4"/>
      <c r="B4231" s="4" t="s">
        <v>1802</v>
      </c>
      <c r="C4231" s="4" t="s">
        <v>6353</v>
      </c>
      <c r="D4231" s="4" t="s">
        <v>1812</v>
      </c>
      <c r="E4231" s="5">
        <v>48.3641275995966</v>
      </c>
    </row>
    <row r="4232" ht="14.25" customHeight="1">
      <c r="A4232" s="4"/>
      <c r="B4232" s="4" t="s">
        <v>1802</v>
      </c>
      <c r="C4232" s="4" t="s">
        <v>6354</v>
      </c>
      <c r="D4232" s="4" t="s">
        <v>6355</v>
      </c>
      <c r="E4232" s="5">
        <v>36.1792523633965</v>
      </c>
    </row>
    <row r="4233" ht="14.25" customHeight="1">
      <c r="A4233" s="4"/>
      <c r="B4233" s="4" t="s">
        <v>1802</v>
      </c>
      <c r="C4233" s="4" t="s">
        <v>6356</v>
      </c>
      <c r="D4233" s="4" t="s">
        <v>1812</v>
      </c>
      <c r="E4233" s="5">
        <v>48.3641275995966</v>
      </c>
    </row>
    <row r="4234" ht="14.25" customHeight="1">
      <c r="A4234" s="4"/>
      <c r="B4234" s="4" t="s">
        <v>1802</v>
      </c>
      <c r="C4234" s="4" t="s">
        <v>6357</v>
      </c>
      <c r="D4234" s="4" t="s">
        <v>6358</v>
      </c>
      <c r="E4234" s="5">
        <v>0.0090576328577209</v>
      </c>
    </row>
    <row r="4235" ht="14.25" customHeight="1">
      <c r="A4235" s="4"/>
      <c r="B4235" s="4" t="s">
        <v>1802</v>
      </c>
      <c r="C4235" s="4" t="s">
        <v>6359</v>
      </c>
      <c r="D4235" s="4" t="s">
        <v>6360</v>
      </c>
      <c r="E4235" s="5">
        <v>0.973317833782691</v>
      </c>
    </row>
    <row r="4236" ht="14.25" customHeight="1">
      <c r="A4236" s="4"/>
      <c r="B4236" s="4" t="s">
        <v>1802</v>
      </c>
      <c r="C4236" s="4" t="s">
        <v>6361</v>
      </c>
      <c r="D4236" s="4" t="s">
        <v>1837</v>
      </c>
      <c r="E4236" s="5">
        <v>9.672825519919328</v>
      </c>
    </row>
    <row r="4237" ht="14.25" customHeight="1">
      <c r="A4237" s="4"/>
      <c r="B4237" s="4" t="s">
        <v>1802</v>
      </c>
      <c r="C4237" s="4" t="s">
        <v>6362</v>
      </c>
      <c r="D4237" s="4" t="s">
        <v>1812</v>
      </c>
      <c r="E4237" s="5">
        <v>48.3641275995966</v>
      </c>
    </row>
    <row r="4238" ht="14.25" customHeight="1">
      <c r="A4238" s="4"/>
      <c r="B4238" s="4" t="s">
        <v>1802</v>
      </c>
      <c r="C4238" s="4" t="s">
        <v>1749</v>
      </c>
      <c r="D4238" s="4" t="s">
        <v>6363</v>
      </c>
      <c r="E4238" s="5">
        <v>43.7955190207974</v>
      </c>
    </row>
    <row r="4239" ht="14.25" customHeight="1">
      <c r="A4239" s="4"/>
      <c r="B4239" s="4" t="s">
        <v>1802</v>
      </c>
      <c r="C4239" s="4" t="s">
        <v>6364</v>
      </c>
      <c r="D4239" s="4" t="s">
        <v>2105</v>
      </c>
      <c r="E4239" s="5">
        <v>29.018476559758</v>
      </c>
    </row>
    <row r="4240" ht="14.25" customHeight="1">
      <c r="A4240" s="4"/>
      <c r="B4240" s="4" t="s">
        <v>1802</v>
      </c>
      <c r="C4240" s="4" t="s">
        <v>828</v>
      </c>
      <c r="D4240" s="4" t="s">
        <v>1812</v>
      </c>
      <c r="E4240" s="5">
        <v>48.3641275995966</v>
      </c>
    </row>
    <row r="4241" ht="14.25" customHeight="1">
      <c r="A4241" s="4"/>
      <c r="B4241" s="4" t="s">
        <v>1802</v>
      </c>
      <c r="C4241" s="4" t="s">
        <v>1224</v>
      </c>
      <c r="D4241" s="4" t="s">
        <v>1812</v>
      </c>
      <c r="E4241" s="5">
        <v>48.3641275995966</v>
      </c>
    </row>
    <row r="4242" ht="14.25" customHeight="1">
      <c r="A4242" s="4"/>
      <c r="B4242" s="4" t="s">
        <v>1802</v>
      </c>
      <c r="C4242" s="4" t="s">
        <v>6365</v>
      </c>
      <c r="D4242" s="4" t="s">
        <v>6366</v>
      </c>
      <c r="E4242" s="5">
        <v>10.7310156513467</v>
      </c>
    </row>
    <row r="4243" ht="14.25" customHeight="1">
      <c r="A4243" s="4"/>
      <c r="B4243" s="4" t="s">
        <v>1802</v>
      </c>
      <c r="C4243" s="4" t="s">
        <v>6367</v>
      </c>
      <c r="D4243" s="4" t="s">
        <v>1812</v>
      </c>
      <c r="E4243" s="5">
        <v>48.3641275995966</v>
      </c>
    </row>
    <row r="4244" ht="14.25" customHeight="1">
      <c r="A4244" s="4"/>
      <c r="B4244" s="4" t="s">
        <v>1802</v>
      </c>
      <c r="C4244" s="4" t="s">
        <v>373</v>
      </c>
      <c r="D4244" s="4" t="s">
        <v>6368</v>
      </c>
      <c r="E4244" s="5">
        <v>46.1248816083015</v>
      </c>
    </row>
    <row r="4245" ht="14.25" customHeight="1">
      <c r="A4245" s="4"/>
      <c r="B4245" s="4" t="s">
        <v>1802</v>
      </c>
      <c r="C4245" s="4" t="s">
        <v>6369</v>
      </c>
      <c r="D4245" s="4" t="s">
        <v>6370</v>
      </c>
      <c r="E4245" s="5">
        <v>8.50489807796065</v>
      </c>
    </row>
    <row r="4246" ht="14.25" customHeight="1">
      <c r="A4246" s="4"/>
      <c r="B4246" s="4" t="s">
        <v>1802</v>
      </c>
      <c r="C4246" s="4" t="s">
        <v>6371</v>
      </c>
      <c r="D4246" s="4" t="s">
        <v>1837</v>
      </c>
      <c r="E4246" s="5">
        <v>9.672825519919328</v>
      </c>
    </row>
    <row r="4247" ht="14.25" customHeight="1">
      <c r="A4247" s="4"/>
      <c r="B4247" s="4" t="s">
        <v>1802</v>
      </c>
      <c r="C4247" s="4" t="s">
        <v>6372</v>
      </c>
      <c r="D4247" s="4" t="s">
        <v>1812</v>
      </c>
      <c r="E4247" s="5">
        <v>48.3641275995966</v>
      </c>
    </row>
    <row r="4248" ht="14.25" customHeight="1">
      <c r="A4248" s="4"/>
      <c r="B4248" s="4" t="s">
        <v>1802</v>
      </c>
      <c r="C4248" s="4" t="s">
        <v>944</v>
      </c>
      <c r="D4248" s="4" t="s">
        <v>6373</v>
      </c>
      <c r="E4248" s="5">
        <v>22.650438752122902</v>
      </c>
    </row>
    <row r="4249" ht="14.25" customHeight="1">
      <c r="A4249" s="4"/>
      <c r="B4249" s="4" t="s">
        <v>1802</v>
      </c>
      <c r="C4249" s="4" t="s">
        <v>6374</v>
      </c>
      <c r="D4249" s="4" t="s">
        <v>1837</v>
      </c>
      <c r="E4249" s="5">
        <v>9.672825519919328</v>
      </c>
    </row>
    <row r="4250" ht="14.25" customHeight="1">
      <c r="A4250" s="4"/>
      <c r="B4250" s="4" t="s">
        <v>1802</v>
      </c>
      <c r="C4250" s="4" t="s">
        <v>6375</v>
      </c>
      <c r="D4250" s="4" t="s">
        <v>6376</v>
      </c>
      <c r="E4250" s="5">
        <v>29.071126775349697</v>
      </c>
    </row>
    <row r="4251" ht="14.25" customHeight="1">
      <c r="A4251" s="4"/>
      <c r="B4251" s="4" t="s">
        <v>1802</v>
      </c>
      <c r="C4251" s="4" t="s">
        <v>6377</v>
      </c>
      <c r="D4251" s="4" t="s">
        <v>6378</v>
      </c>
      <c r="E4251" s="5">
        <v>6.278769544038259</v>
      </c>
    </row>
    <row r="4252" ht="14.25" customHeight="1">
      <c r="A4252" s="4"/>
      <c r="B4252" s="4" t="s">
        <v>1802</v>
      </c>
      <c r="C4252" s="4" t="s">
        <v>6379</v>
      </c>
      <c r="D4252" s="4" t="s">
        <v>1812</v>
      </c>
      <c r="E4252" s="5">
        <v>48.3641275995966</v>
      </c>
    </row>
    <row r="4253" ht="14.25" customHeight="1">
      <c r="A4253" s="4"/>
      <c r="B4253" s="4" t="s">
        <v>1802</v>
      </c>
      <c r="C4253" s="4" t="s">
        <v>761</v>
      </c>
      <c r="D4253" s="4" t="s">
        <v>1812</v>
      </c>
      <c r="E4253" s="5">
        <v>48.3641275995966</v>
      </c>
    </row>
    <row r="4254" ht="14.25" customHeight="1">
      <c r="A4254" s="4"/>
      <c r="B4254" s="4" t="s">
        <v>1802</v>
      </c>
      <c r="C4254" s="4" t="s">
        <v>6380</v>
      </c>
      <c r="D4254" s="4" t="s">
        <v>6381</v>
      </c>
      <c r="E4254" s="5">
        <v>31.2979615432467</v>
      </c>
    </row>
    <row r="4255" ht="14.25" customHeight="1">
      <c r="A4255" s="4"/>
      <c r="B4255" s="4" t="s">
        <v>1802</v>
      </c>
      <c r="C4255" s="4" t="s">
        <v>6382</v>
      </c>
      <c r="D4255" s="4" t="s">
        <v>1812</v>
      </c>
      <c r="E4255" s="5">
        <v>48.3641275995966</v>
      </c>
    </row>
    <row r="4256" ht="14.25" customHeight="1">
      <c r="A4256" s="4"/>
      <c r="B4256" s="4" t="s">
        <v>1802</v>
      </c>
      <c r="C4256" s="4" t="s">
        <v>6383</v>
      </c>
      <c r="D4256" s="4" t="s">
        <v>1812</v>
      </c>
      <c r="E4256" s="5">
        <v>48.3641275995966</v>
      </c>
    </row>
    <row r="4257" ht="14.25" customHeight="1">
      <c r="A4257" s="4"/>
      <c r="B4257" s="4" t="s">
        <v>1802</v>
      </c>
      <c r="C4257" s="4" t="s">
        <v>6384</v>
      </c>
      <c r="D4257" s="4" t="s">
        <v>1837</v>
      </c>
      <c r="E4257" s="5">
        <v>9.672825519919328</v>
      </c>
    </row>
    <row r="4258" ht="14.25" customHeight="1">
      <c r="A4258" s="4"/>
      <c r="B4258" s="4" t="s">
        <v>1802</v>
      </c>
      <c r="C4258" s="4" t="s">
        <v>6385</v>
      </c>
      <c r="D4258" s="4" t="s">
        <v>6386</v>
      </c>
      <c r="E4258" s="5">
        <v>16.127139457277</v>
      </c>
    </row>
    <row r="4259" ht="14.25" customHeight="1">
      <c r="A4259" s="4"/>
      <c r="B4259" s="4" t="s">
        <v>1802</v>
      </c>
      <c r="C4259" s="4" t="s">
        <v>6387</v>
      </c>
      <c r="D4259" s="4" t="s">
        <v>6388</v>
      </c>
      <c r="E4259" s="5">
        <v>9.49620899520084</v>
      </c>
    </row>
    <row r="4260" ht="14.25" customHeight="1">
      <c r="A4260" s="4"/>
      <c r="B4260" s="4" t="s">
        <v>1802</v>
      </c>
      <c r="C4260" s="4" t="s">
        <v>6389</v>
      </c>
      <c r="D4260" s="4" t="s">
        <v>1837</v>
      </c>
      <c r="E4260" s="5">
        <v>9.672825519919328</v>
      </c>
    </row>
    <row r="4261" ht="14.25" customHeight="1">
      <c r="A4261" s="4"/>
      <c r="B4261" s="4" t="s">
        <v>1802</v>
      </c>
      <c r="C4261" s="4" t="s">
        <v>6390</v>
      </c>
      <c r="D4261" s="4" t="s">
        <v>6391</v>
      </c>
      <c r="E4261" s="5">
        <v>19.257310481269197</v>
      </c>
    </row>
    <row r="4262" ht="14.25" customHeight="1">
      <c r="A4262" s="4"/>
      <c r="B4262" s="4" t="s">
        <v>1802</v>
      </c>
      <c r="C4262" s="4" t="s">
        <v>1331</v>
      </c>
      <c r="D4262" s="4" t="s">
        <v>1812</v>
      </c>
      <c r="E4262" s="5">
        <v>48.3641275995966</v>
      </c>
    </row>
    <row r="4263" ht="14.25" customHeight="1">
      <c r="A4263" s="4"/>
      <c r="B4263" s="4" t="s">
        <v>1802</v>
      </c>
      <c r="C4263" s="4" t="s">
        <v>6392</v>
      </c>
      <c r="D4263" s="4" t="s">
        <v>1812</v>
      </c>
      <c r="E4263" s="5">
        <v>48.3641275995966</v>
      </c>
    </row>
    <row r="4264" ht="14.25" customHeight="1">
      <c r="A4264" s="4"/>
      <c r="B4264" s="4" t="s">
        <v>1802</v>
      </c>
      <c r="C4264" s="4" t="s">
        <v>796</v>
      </c>
      <c r="D4264" s="4" t="s">
        <v>6393</v>
      </c>
      <c r="E4264" s="5">
        <v>1.23831464560976</v>
      </c>
    </row>
    <row r="4265" ht="14.25" customHeight="1">
      <c r="A4265" s="4"/>
      <c r="B4265" s="4" t="s">
        <v>1802</v>
      </c>
      <c r="C4265" s="4" t="s">
        <v>82</v>
      </c>
      <c r="D4265" s="4" t="s">
        <v>6394</v>
      </c>
      <c r="E4265" s="5">
        <v>3.30463297693056</v>
      </c>
    </row>
    <row r="4266" ht="14.25" customHeight="1">
      <c r="A4266" s="4"/>
      <c r="B4266" s="4" t="s">
        <v>1802</v>
      </c>
      <c r="C4266" s="4" t="s">
        <v>6395</v>
      </c>
      <c r="D4266" s="4" t="s">
        <v>6396</v>
      </c>
      <c r="E4266" s="5">
        <v>7.37731695300878</v>
      </c>
    </row>
    <row r="4267" ht="14.25" customHeight="1">
      <c r="A4267" s="4"/>
      <c r="B4267" s="4" t="s">
        <v>1802</v>
      </c>
      <c r="C4267" s="4" t="s">
        <v>6397</v>
      </c>
      <c r="D4267" s="4" t="s">
        <v>6398</v>
      </c>
      <c r="E4267" s="5">
        <v>45.6032780032527</v>
      </c>
    </row>
    <row r="4268" ht="14.25" customHeight="1">
      <c r="A4268" s="4"/>
      <c r="B4268" s="4" t="s">
        <v>1802</v>
      </c>
      <c r="C4268" s="4" t="s">
        <v>998</v>
      </c>
      <c r="D4268" s="4" t="s">
        <v>1812</v>
      </c>
      <c r="E4268" s="5">
        <v>48.3641275995966</v>
      </c>
    </row>
    <row r="4269" ht="14.25" customHeight="1">
      <c r="A4269" s="4"/>
      <c r="B4269" s="4" t="s">
        <v>1802</v>
      </c>
      <c r="C4269" s="4" t="s">
        <v>6399</v>
      </c>
      <c r="D4269" s="4" t="s">
        <v>4750</v>
      </c>
      <c r="E4269" s="5">
        <v>34.8221718717096</v>
      </c>
    </row>
    <row r="4270" ht="14.25" customHeight="1">
      <c r="A4270" s="4"/>
      <c r="B4270" s="4" t="s">
        <v>1802</v>
      </c>
      <c r="C4270" s="4" t="s">
        <v>6400</v>
      </c>
      <c r="D4270" s="4" t="s">
        <v>1812</v>
      </c>
      <c r="E4270" s="5">
        <v>48.3641275995966</v>
      </c>
    </row>
    <row r="4271" ht="14.25" customHeight="1">
      <c r="A4271" s="4"/>
      <c r="B4271" s="4" t="s">
        <v>1802</v>
      </c>
      <c r="C4271" s="4" t="s">
        <v>6401</v>
      </c>
      <c r="D4271" s="4" t="s">
        <v>6402</v>
      </c>
      <c r="E4271" s="5">
        <v>45.747606495936104</v>
      </c>
    </row>
    <row r="4272" ht="14.25" customHeight="1">
      <c r="A4272" s="4"/>
      <c r="B4272" s="4" t="s">
        <v>1802</v>
      </c>
      <c r="C4272" s="4" t="s">
        <v>6403</v>
      </c>
      <c r="D4272" s="4" t="s">
        <v>6404</v>
      </c>
      <c r="E4272" s="5">
        <v>13.7153699425989</v>
      </c>
    </row>
    <row r="4273" ht="14.25" customHeight="1">
      <c r="A4273" s="4"/>
      <c r="B4273" s="4" t="s">
        <v>1802</v>
      </c>
      <c r="C4273" s="4" t="s">
        <v>6405</v>
      </c>
      <c r="D4273" s="4" t="s">
        <v>6406</v>
      </c>
      <c r="E4273" s="5">
        <v>47.7523507206103</v>
      </c>
    </row>
    <row r="4274" ht="14.25" customHeight="1">
      <c r="A4274" s="4"/>
      <c r="B4274" s="4" t="s">
        <v>1802</v>
      </c>
      <c r="C4274" s="4" t="s">
        <v>6407</v>
      </c>
      <c r="D4274" s="4" t="s">
        <v>2062</v>
      </c>
      <c r="E4274" s="5">
        <v>9.86628203031772</v>
      </c>
    </row>
    <row r="4275" ht="14.25" customHeight="1">
      <c r="A4275" s="4"/>
      <c r="B4275" s="4" t="s">
        <v>1802</v>
      </c>
      <c r="C4275" s="4" t="s">
        <v>6408</v>
      </c>
      <c r="D4275" s="4" t="s">
        <v>1812</v>
      </c>
      <c r="E4275" s="5">
        <v>48.3641275995966</v>
      </c>
    </row>
    <row r="4276" ht="14.25" customHeight="1">
      <c r="A4276" s="4"/>
      <c r="B4276" s="4" t="s">
        <v>1802</v>
      </c>
      <c r="C4276" s="4" t="s">
        <v>6409</v>
      </c>
      <c r="D4276" s="4" t="s">
        <v>6410</v>
      </c>
      <c r="E4276" s="5">
        <v>43.513726972201404</v>
      </c>
    </row>
    <row r="4277" ht="14.25" customHeight="1">
      <c r="A4277" s="4"/>
      <c r="B4277" s="4" t="s">
        <v>1802</v>
      </c>
      <c r="C4277" s="4" t="s">
        <v>6411</v>
      </c>
      <c r="D4277" s="4" t="s">
        <v>1837</v>
      </c>
      <c r="E4277" s="5">
        <v>9.672825519919328</v>
      </c>
    </row>
    <row r="4278" ht="14.25" customHeight="1">
      <c r="A4278" s="4"/>
      <c r="B4278" s="4" t="s">
        <v>1802</v>
      </c>
      <c r="C4278" s="4" t="s">
        <v>1153</v>
      </c>
      <c r="D4278" s="4" t="s">
        <v>1812</v>
      </c>
      <c r="E4278" s="5">
        <v>48.3641275995966</v>
      </c>
    </row>
    <row r="4279" ht="14.25" customHeight="1">
      <c r="A4279" s="4"/>
      <c r="B4279" s="4" t="s">
        <v>1802</v>
      </c>
      <c r="C4279" s="4" t="s">
        <v>6412</v>
      </c>
      <c r="D4279" s="4" t="s">
        <v>6413</v>
      </c>
      <c r="E4279" s="5">
        <v>9.255823695633191</v>
      </c>
    </row>
    <row r="4280" ht="14.25" customHeight="1">
      <c r="A4280" s="4"/>
      <c r="B4280" s="4" t="s">
        <v>1802</v>
      </c>
      <c r="C4280" s="4" t="s">
        <v>6414</v>
      </c>
      <c r="D4280" s="4" t="s">
        <v>1812</v>
      </c>
      <c r="E4280" s="5">
        <v>48.3641275995966</v>
      </c>
    </row>
    <row r="4281" ht="14.25" customHeight="1">
      <c r="A4281" s="4"/>
      <c r="B4281" s="4" t="s">
        <v>1802</v>
      </c>
      <c r="C4281" s="4" t="s">
        <v>6415</v>
      </c>
      <c r="D4281" s="4" t="s">
        <v>6416</v>
      </c>
      <c r="E4281" s="5">
        <v>23.7826706133904</v>
      </c>
    </row>
    <row r="4282" ht="14.25" customHeight="1">
      <c r="A4282" s="4"/>
      <c r="B4282" s="4" t="s">
        <v>1802</v>
      </c>
      <c r="C4282" s="4" t="s">
        <v>6417</v>
      </c>
      <c r="D4282" s="4" t="s">
        <v>6418</v>
      </c>
      <c r="E4282" s="5">
        <v>47.2808697285756</v>
      </c>
    </row>
    <row r="4283" ht="14.25" customHeight="1">
      <c r="A4283" s="4"/>
      <c r="B4283" s="4" t="s">
        <v>1802</v>
      </c>
      <c r="C4283" s="4" t="s">
        <v>6419</v>
      </c>
      <c r="D4283" s="4" t="s">
        <v>1812</v>
      </c>
      <c r="E4283" s="5">
        <v>48.3641275995966</v>
      </c>
    </row>
    <row r="4284" ht="14.25" customHeight="1">
      <c r="A4284" s="4"/>
      <c r="B4284" s="4" t="s">
        <v>1802</v>
      </c>
      <c r="C4284" s="4" t="s">
        <v>6420</v>
      </c>
      <c r="D4284" s="4" t="s">
        <v>6421</v>
      </c>
      <c r="E4284" s="5">
        <v>6.49280117769098</v>
      </c>
    </row>
    <row r="4285" ht="14.25" customHeight="1">
      <c r="A4285" s="4"/>
      <c r="B4285" s="4" t="s">
        <v>1802</v>
      </c>
      <c r="C4285" s="4" t="s">
        <v>6422</v>
      </c>
      <c r="D4285" s="4" t="s">
        <v>6423</v>
      </c>
      <c r="E4285" s="5">
        <v>23.174699268899</v>
      </c>
    </row>
    <row r="4286" ht="14.25" customHeight="1">
      <c r="A4286" s="4"/>
      <c r="B4286" s="4" t="s">
        <v>1802</v>
      </c>
      <c r="C4286" s="4" t="s">
        <v>6424</v>
      </c>
      <c r="D4286" s="4" t="s">
        <v>6425</v>
      </c>
      <c r="E4286" s="5">
        <v>9.01303217057418</v>
      </c>
    </row>
    <row r="4287" ht="14.25" customHeight="1">
      <c r="A4287" s="4"/>
      <c r="B4287" s="4" t="s">
        <v>1802</v>
      </c>
      <c r="C4287" s="4" t="s">
        <v>6426</v>
      </c>
      <c r="D4287" s="4" t="s">
        <v>1812</v>
      </c>
      <c r="E4287" s="5">
        <v>48.3641275995966</v>
      </c>
    </row>
    <row r="4288" ht="14.25" customHeight="1">
      <c r="A4288" s="4"/>
      <c r="B4288" s="4" t="s">
        <v>1802</v>
      </c>
      <c r="C4288" s="4" t="s">
        <v>6427</v>
      </c>
      <c r="D4288" s="4" t="s">
        <v>6428</v>
      </c>
      <c r="E4288" s="5">
        <v>14.2723768743269</v>
      </c>
    </row>
    <row r="4289" ht="14.25" customHeight="1">
      <c r="A4289" s="4"/>
      <c r="B4289" s="4" t="s">
        <v>1802</v>
      </c>
      <c r="C4289" s="4" t="s">
        <v>6429</v>
      </c>
      <c r="D4289" s="4" t="s">
        <v>6430</v>
      </c>
      <c r="E4289" s="5">
        <v>24.3496296199252</v>
      </c>
    </row>
    <row r="4290" ht="14.25" customHeight="1">
      <c r="A4290" s="4"/>
      <c r="B4290" s="4" t="s">
        <v>1802</v>
      </c>
      <c r="C4290" s="4" t="s">
        <v>6431</v>
      </c>
      <c r="D4290" s="4" t="s">
        <v>6432</v>
      </c>
      <c r="E4290" s="5">
        <v>8.607753085376409</v>
      </c>
    </row>
    <row r="4291" ht="14.25" customHeight="1">
      <c r="A4291" s="4"/>
      <c r="B4291" s="4" t="s">
        <v>1802</v>
      </c>
      <c r="C4291" s="4" t="s">
        <v>6433</v>
      </c>
      <c r="D4291" s="4" t="s">
        <v>1812</v>
      </c>
      <c r="E4291" s="5">
        <v>48.3641275995966</v>
      </c>
    </row>
    <row r="4292" ht="14.25" customHeight="1">
      <c r="A4292" s="4"/>
      <c r="B4292" s="4" t="s">
        <v>1802</v>
      </c>
      <c r="C4292" s="4" t="s">
        <v>6434</v>
      </c>
      <c r="D4292" s="4" t="s">
        <v>1812</v>
      </c>
      <c r="E4292" s="5">
        <v>48.3641275995966</v>
      </c>
    </row>
    <row r="4293" ht="14.25" customHeight="1">
      <c r="A4293" s="4"/>
      <c r="B4293" s="4" t="s">
        <v>1802</v>
      </c>
      <c r="C4293" s="4" t="s">
        <v>6435</v>
      </c>
      <c r="D4293" s="4" t="s">
        <v>6436</v>
      </c>
      <c r="E4293" s="5">
        <v>6.384823781162219</v>
      </c>
    </row>
    <row r="4294" ht="14.25" customHeight="1">
      <c r="A4294" s="4"/>
      <c r="B4294" s="4" t="s">
        <v>1802</v>
      </c>
      <c r="C4294" s="4" t="s">
        <v>6437</v>
      </c>
      <c r="D4294" s="4" t="s">
        <v>1812</v>
      </c>
      <c r="E4294" s="5">
        <v>48.3641275995966</v>
      </c>
    </row>
    <row r="4295" ht="14.25" customHeight="1">
      <c r="A4295" s="4"/>
      <c r="B4295" s="4" t="s">
        <v>1802</v>
      </c>
      <c r="C4295" s="4" t="s">
        <v>6438</v>
      </c>
      <c r="D4295" s="4" t="s">
        <v>1812</v>
      </c>
      <c r="E4295" s="5">
        <v>48.3641275995966</v>
      </c>
    </row>
    <row r="4296" ht="14.25" customHeight="1">
      <c r="A4296" s="4"/>
      <c r="B4296" s="4" t="s">
        <v>1802</v>
      </c>
      <c r="C4296" s="4" t="s">
        <v>131</v>
      </c>
      <c r="D4296" s="4" t="s">
        <v>1812</v>
      </c>
      <c r="E4296" s="5">
        <v>48.3641275995966</v>
      </c>
    </row>
    <row r="4297" ht="14.25" customHeight="1">
      <c r="A4297" s="4"/>
      <c r="B4297" s="4" t="s">
        <v>1802</v>
      </c>
      <c r="C4297" s="4" t="s">
        <v>6439</v>
      </c>
      <c r="D4297" s="4" t="s">
        <v>6440</v>
      </c>
      <c r="E4297" s="5">
        <v>44.2085999369152</v>
      </c>
    </row>
    <row r="4298" ht="14.25" customHeight="1">
      <c r="A4298" s="4"/>
      <c r="B4298" s="4" t="s">
        <v>1802</v>
      </c>
      <c r="C4298" s="4" t="s">
        <v>6441</v>
      </c>
      <c r="D4298" s="4" t="s">
        <v>1812</v>
      </c>
      <c r="E4298" s="5">
        <v>48.3641275995966</v>
      </c>
    </row>
    <row r="4299" ht="14.25" customHeight="1">
      <c r="A4299" s="4"/>
      <c r="B4299" s="4" t="s">
        <v>1802</v>
      </c>
      <c r="C4299" s="4" t="s">
        <v>215</v>
      </c>
      <c r="D4299" s="4" t="s">
        <v>6442</v>
      </c>
      <c r="E4299" s="5">
        <v>1.02821540014882</v>
      </c>
    </row>
    <row r="4300" ht="14.25" customHeight="1">
      <c r="A4300" s="4"/>
      <c r="B4300" s="4" t="s">
        <v>1802</v>
      </c>
      <c r="C4300" s="4" t="s">
        <v>6443</v>
      </c>
      <c r="D4300" s="4" t="s">
        <v>6444</v>
      </c>
      <c r="E4300" s="5">
        <v>34.799836526845</v>
      </c>
    </row>
    <row r="4301" ht="14.25" customHeight="1">
      <c r="A4301" s="4"/>
      <c r="B4301" s="4" t="s">
        <v>1802</v>
      </c>
      <c r="C4301" s="4" t="s">
        <v>6445</v>
      </c>
      <c r="D4301" s="4" t="s">
        <v>6446</v>
      </c>
      <c r="E4301" s="5">
        <v>18.2063475442155</v>
      </c>
    </row>
    <row r="4302" ht="14.25" customHeight="1">
      <c r="A4302" s="4"/>
      <c r="B4302" s="4" t="s">
        <v>1802</v>
      </c>
      <c r="C4302" s="4" t="s">
        <v>6447</v>
      </c>
      <c r="D4302" s="4" t="s">
        <v>1812</v>
      </c>
      <c r="E4302" s="5">
        <v>48.3641275995966</v>
      </c>
    </row>
    <row r="4303" ht="14.25" customHeight="1">
      <c r="A4303" s="4"/>
      <c r="B4303" s="4" t="s">
        <v>1802</v>
      </c>
      <c r="C4303" s="4" t="s">
        <v>819</v>
      </c>
      <c r="D4303" s="4" t="s">
        <v>6448</v>
      </c>
      <c r="E4303" s="5">
        <v>48.1356657145923</v>
      </c>
    </row>
    <row r="4304" ht="14.25" customHeight="1">
      <c r="A4304" s="4"/>
      <c r="B4304" s="4" t="s">
        <v>1802</v>
      </c>
      <c r="C4304" s="4" t="s">
        <v>54</v>
      </c>
      <c r="D4304" s="4" t="s">
        <v>6449</v>
      </c>
      <c r="E4304" s="5">
        <v>37.1344776047121</v>
      </c>
    </row>
    <row r="4305" ht="14.25" customHeight="1">
      <c r="A4305" s="4"/>
      <c r="B4305" s="4" t="s">
        <v>1802</v>
      </c>
      <c r="C4305" s="4" t="s">
        <v>6450</v>
      </c>
      <c r="D4305" s="4" t="s">
        <v>2105</v>
      </c>
      <c r="E4305" s="5">
        <v>29.018476559758</v>
      </c>
    </row>
    <row r="4306" ht="14.25" customHeight="1">
      <c r="A4306" s="4"/>
      <c r="B4306" s="4" t="s">
        <v>1802</v>
      </c>
      <c r="C4306" s="4" t="s">
        <v>6451</v>
      </c>
      <c r="D4306" s="4" t="s">
        <v>6452</v>
      </c>
      <c r="E4306" s="5">
        <v>6.51910826586612</v>
      </c>
    </row>
    <row r="4307" ht="14.25" customHeight="1">
      <c r="A4307" s="4"/>
      <c r="B4307" s="4" t="s">
        <v>1802</v>
      </c>
      <c r="C4307" s="4" t="s">
        <v>6453</v>
      </c>
      <c r="D4307" s="4" t="s">
        <v>6454</v>
      </c>
      <c r="E4307" s="5">
        <v>14.6184049763729</v>
      </c>
    </row>
    <row r="4308" ht="14.25" customHeight="1">
      <c r="A4308" s="4"/>
      <c r="B4308" s="4" t="s">
        <v>1802</v>
      </c>
      <c r="C4308" s="4" t="s">
        <v>6455</v>
      </c>
      <c r="D4308" s="4" t="s">
        <v>1821</v>
      </c>
      <c r="E4308" s="5">
        <v>19.3456510398386</v>
      </c>
    </row>
    <row r="4309" ht="14.25" customHeight="1">
      <c r="A4309" s="4"/>
      <c r="B4309" s="4" t="s">
        <v>1802</v>
      </c>
      <c r="C4309" s="4" t="s">
        <v>6456</v>
      </c>
      <c r="D4309" s="4" t="s">
        <v>6457</v>
      </c>
      <c r="E4309" s="5">
        <v>36.5569331531865</v>
      </c>
    </row>
    <row r="4310" ht="14.25" customHeight="1">
      <c r="A4310" s="4"/>
      <c r="B4310" s="4" t="s">
        <v>1802</v>
      </c>
      <c r="C4310" s="4" t="s">
        <v>6458</v>
      </c>
      <c r="D4310" s="4" t="s">
        <v>6459</v>
      </c>
      <c r="E4310" s="5">
        <v>0.0718784048158643</v>
      </c>
    </row>
    <row r="4311" ht="14.25" customHeight="1">
      <c r="A4311" s="4"/>
      <c r="B4311" s="4" t="s">
        <v>1802</v>
      </c>
      <c r="C4311" s="4" t="s">
        <v>897</v>
      </c>
      <c r="D4311" s="4" t="s">
        <v>1812</v>
      </c>
      <c r="E4311" s="5">
        <v>48.3641275995966</v>
      </c>
    </row>
    <row r="4312" ht="14.25" customHeight="1">
      <c r="A4312" s="4"/>
      <c r="B4312" s="4" t="s">
        <v>1802</v>
      </c>
      <c r="C4312" s="4" t="s">
        <v>6460</v>
      </c>
      <c r="D4312" s="4" t="s">
        <v>6461</v>
      </c>
      <c r="E4312" s="5">
        <v>1.5547720573016</v>
      </c>
    </row>
    <row r="4313" ht="14.25" customHeight="1">
      <c r="A4313" s="4"/>
      <c r="B4313" s="4" t="s">
        <v>1802</v>
      </c>
      <c r="C4313" s="4" t="s">
        <v>6462</v>
      </c>
      <c r="D4313" s="4" t="s">
        <v>6463</v>
      </c>
      <c r="E4313" s="5">
        <v>44.618887697495</v>
      </c>
    </row>
    <row r="4314" ht="14.25" customHeight="1">
      <c r="A4314" s="4"/>
      <c r="B4314" s="4" t="s">
        <v>1802</v>
      </c>
      <c r="C4314" s="4" t="s">
        <v>1311</v>
      </c>
      <c r="D4314" s="4" t="s">
        <v>1812</v>
      </c>
      <c r="E4314" s="5">
        <v>48.3641275995966</v>
      </c>
    </row>
    <row r="4315" ht="14.25" customHeight="1">
      <c r="A4315" s="4"/>
      <c r="B4315" s="4" t="s">
        <v>1802</v>
      </c>
      <c r="C4315" s="4" t="s">
        <v>6464</v>
      </c>
      <c r="D4315" s="4" t="s">
        <v>6465</v>
      </c>
      <c r="E4315" s="5">
        <v>48.2171447849225</v>
      </c>
    </row>
    <row r="4316" ht="14.25" customHeight="1">
      <c r="A4316" s="4"/>
      <c r="B4316" s="4" t="s">
        <v>1802</v>
      </c>
      <c r="C4316" s="4" t="s">
        <v>6466</v>
      </c>
      <c r="D4316" s="4" t="s">
        <v>6467</v>
      </c>
      <c r="E4316" s="5">
        <v>19.347858545962097</v>
      </c>
    </row>
    <row r="4317" ht="14.25" customHeight="1">
      <c r="A4317" s="4"/>
      <c r="B4317" s="4" t="s">
        <v>1802</v>
      </c>
      <c r="C4317" s="4" t="s">
        <v>6468</v>
      </c>
      <c r="D4317" s="4" t="s">
        <v>6469</v>
      </c>
      <c r="E4317" s="5">
        <v>35.8632682288836</v>
      </c>
    </row>
    <row r="4318" ht="14.25" customHeight="1">
      <c r="A4318" s="4"/>
      <c r="B4318" s="4" t="s">
        <v>1802</v>
      </c>
      <c r="C4318" s="4" t="s">
        <v>6470</v>
      </c>
      <c r="D4318" s="4" t="s">
        <v>6471</v>
      </c>
      <c r="E4318" s="5">
        <v>19.6039646967502</v>
      </c>
    </row>
    <row r="4319" ht="14.25" customHeight="1">
      <c r="A4319" s="4"/>
      <c r="B4319" s="4" t="s">
        <v>1802</v>
      </c>
      <c r="C4319" s="4" t="s">
        <v>6472</v>
      </c>
      <c r="D4319" s="4" t="s">
        <v>6473</v>
      </c>
      <c r="E4319" s="5">
        <v>5.86931195827793</v>
      </c>
    </row>
    <row r="4320" ht="14.25" customHeight="1">
      <c r="A4320" s="4"/>
      <c r="B4320" s="4" t="s">
        <v>1802</v>
      </c>
      <c r="C4320" s="4" t="s">
        <v>1507</v>
      </c>
      <c r="D4320" s="4" t="s">
        <v>1812</v>
      </c>
      <c r="E4320" s="5">
        <v>48.3641275995966</v>
      </c>
    </row>
    <row r="4321" ht="14.25" customHeight="1">
      <c r="A4321" s="4"/>
      <c r="B4321" s="4" t="s">
        <v>1802</v>
      </c>
      <c r="C4321" s="4" t="s">
        <v>6474</v>
      </c>
      <c r="D4321" s="4" t="s">
        <v>6475</v>
      </c>
      <c r="E4321" s="5">
        <v>29.983549041894697</v>
      </c>
    </row>
    <row r="4322" ht="14.25" customHeight="1">
      <c r="A4322" s="4"/>
      <c r="B4322" s="4" t="s">
        <v>1802</v>
      </c>
      <c r="C4322" s="4" t="s">
        <v>6476</v>
      </c>
      <c r="D4322" s="4" t="s">
        <v>1812</v>
      </c>
      <c r="E4322" s="5">
        <v>48.3641275995966</v>
      </c>
    </row>
    <row r="4323" ht="14.25" customHeight="1">
      <c r="A4323" s="4"/>
      <c r="B4323" s="4" t="s">
        <v>1802</v>
      </c>
      <c r="C4323" s="4" t="s">
        <v>6477</v>
      </c>
      <c r="D4323" s="4" t="s">
        <v>6478</v>
      </c>
      <c r="E4323" s="5">
        <v>0.512774396923143</v>
      </c>
    </row>
    <row r="4324" ht="14.25" customHeight="1">
      <c r="A4324" s="4"/>
      <c r="B4324" s="4" t="s">
        <v>1802</v>
      </c>
      <c r="C4324" s="4" t="s">
        <v>6479</v>
      </c>
      <c r="D4324" s="4" t="s">
        <v>1812</v>
      </c>
      <c r="E4324" s="5">
        <v>48.3641275995966</v>
      </c>
    </row>
    <row r="4325" ht="14.25" customHeight="1">
      <c r="A4325" s="4"/>
      <c r="B4325" s="4" t="s">
        <v>1802</v>
      </c>
      <c r="C4325" s="4" t="s">
        <v>6480</v>
      </c>
      <c r="D4325" s="4" t="s">
        <v>1812</v>
      </c>
      <c r="E4325" s="5">
        <v>48.3641275995966</v>
      </c>
    </row>
    <row r="4326" ht="14.25" customHeight="1">
      <c r="A4326" s="4"/>
      <c r="B4326" s="4" t="s">
        <v>1802</v>
      </c>
      <c r="C4326" s="4" t="s">
        <v>6481</v>
      </c>
      <c r="D4326" s="4" t="s">
        <v>6482</v>
      </c>
      <c r="E4326" s="5">
        <v>33.305006724882695</v>
      </c>
    </row>
    <row r="4327" ht="14.25" customHeight="1">
      <c r="A4327" s="4"/>
      <c r="B4327" s="4" t="s">
        <v>1802</v>
      </c>
      <c r="C4327" s="4" t="s">
        <v>352</v>
      </c>
      <c r="D4327" s="4" t="s">
        <v>6483</v>
      </c>
      <c r="E4327" s="5">
        <v>43.011366816509195</v>
      </c>
    </row>
    <row r="4328" ht="14.25" customHeight="1">
      <c r="A4328" s="4"/>
      <c r="B4328" s="4" t="s">
        <v>1802</v>
      </c>
      <c r="C4328" s="4" t="s">
        <v>6484</v>
      </c>
      <c r="D4328" s="4" t="s">
        <v>6485</v>
      </c>
      <c r="E4328" s="5">
        <v>29.1325712757831</v>
      </c>
    </row>
    <row r="4329" ht="14.25" customHeight="1">
      <c r="A4329" s="4"/>
      <c r="B4329" s="4" t="s">
        <v>1802</v>
      </c>
      <c r="C4329" s="4" t="s">
        <v>6486</v>
      </c>
      <c r="D4329" s="4" t="s">
        <v>1812</v>
      </c>
      <c r="E4329" s="5">
        <v>48.3641275995966</v>
      </c>
    </row>
    <row r="4330" ht="14.25" customHeight="1">
      <c r="A4330" s="4"/>
      <c r="B4330" s="4" t="s">
        <v>1802</v>
      </c>
      <c r="C4330" s="4" t="s">
        <v>6487</v>
      </c>
      <c r="D4330" s="4" t="s">
        <v>1812</v>
      </c>
      <c r="E4330" s="5">
        <v>48.3641275995966</v>
      </c>
    </row>
    <row r="4331" ht="14.25" customHeight="1">
      <c r="A4331" s="4"/>
      <c r="B4331" s="4" t="s">
        <v>1802</v>
      </c>
      <c r="C4331" s="4" t="s">
        <v>6488</v>
      </c>
      <c r="D4331" s="4" t="s">
        <v>6489</v>
      </c>
      <c r="E4331" s="5">
        <v>17.8084161676524</v>
      </c>
    </row>
    <row r="4332" ht="14.25" customHeight="1">
      <c r="A4332" s="4"/>
      <c r="B4332" s="4" t="s">
        <v>1802</v>
      </c>
      <c r="C4332" s="4" t="s">
        <v>1358</v>
      </c>
      <c r="D4332" s="4" t="s">
        <v>1812</v>
      </c>
      <c r="E4332" s="5">
        <v>48.3641275995966</v>
      </c>
    </row>
    <row r="4333" ht="14.25" customHeight="1">
      <c r="A4333" s="4"/>
      <c r="B4333" s="4" t="s">
        <v>1802</v>
      </c>
      <c r="C4333" s="4" t="s">
        <v>6490</v>
      </c>
      <c r="D4333" s="4" t="s">
        <v>6491</v>
      </c>
      <c r="E4333" s="5">
        <v>32.726468764447304</v>
      </c>
    </row>
    <row r="4334" ht="14.25" customHeight="1">
      <c r="A4334" s="4"/>
      <c r="B4334" s="4" t="s">
        <v>1802</v>
      </c>
      <c r="C4334" s="4" t="s">
        <v>6492</v>
      </c>
      <c r="D4334" s="4" t="s">
        <v>1837</v>
      </c>
      <c r="E4334" s="5">
        <v>9.672825519919328</v>
      </c>
    </row>
    <row r="4335" ht="14.25" customHeight="1">
      <c r="A4335" s="4"/>
      <c r="B4335" s="4" t="s">
        <v>1802</v>
      </c>
      <c r="C4335" s="4" t="s">
        <v>6493</v>
      </c>
      <c r="D4335" s="4" t="s">
        <v>6494</v>
      </c>
      <c r="E4335" s="5">
        <v>16.2777087073837</v>
      </c>
    </row>
    <row r="4336" ht="14.25" customHeight="1">
      <c r="A4336" s="4"/>
      <c r="B4336" s="4" t="s">
        <v>1802</v>
      </c>
      <c r="C4336" s="4" t="s">
        <v>6495</v>
      </c>
      <c r="D4336" s="4" t="s">
        <v>6496</v>
      </c>
      <c r="E4336" s="5">
        <v>7.89692039654222</v>
      </c>
    </row>
    <row r="4337" ht="14.25" customHeight="1">
      <c r="A4337" s="4"/>
      <c r="B4337" s="4" t="s">
        <v>1802</v>
      </c>
      <c r="C4337" s="4" t="s">
        <v>6497</v>
      </c>
      <c r="D4337" s="4" t="s">
        <v>1812</v>
      </c>
      <c r="E4337" s="5">
        <v>48.3641275995966</v>
      </c>
    </row>
    <row r="4338" ht="14.25" customHeight="1">
      <c r="A4338" s="4"/>
      <c r="B4338" s="4" t="s">
        <v>1802</v>
      </c>
      <c r="C4338" s="4" t="s">
        <v>6498</v>
      </c>
      <c r="D4338" s="4" t="s">
        <v>6499</v>
      </c>
      <c r="E4338" s="5">
        <v>0.143182907129633</v>
      </c>
    </row>
    <row r="4339" ht="14.25" customHeight="1">
      <c r="A4339" s="4"/>
      <c r="B4339" s="4" t="s">
        <v>1802</v>
      </c>
      <c r="C4339" s="4" t="s">
        <v>6500</v>
      </c>
      <c r="D4339" s="4" t="s">
        <v>1812</v>
      </c>
      <c r="E4339" s="5">
        <v>48.3641275995966</v>
      </c>
    </row>
    <row r="4340" ht="14.25" customHeight="1">
      <c r="A4340" s="4"/>
      <c r="B4340" s="4" t="s">
        <v>1802</v>
      </c>
      <c r="C4340" s="4" t="s">
        <v>6501</v>
      </c>
      <c r="D4340" s="4" t="s">
        <v>1812</v>
      </c>
      <c r="E4340" s="5">
        <v>48.3641275995966</v>
      </c>
    </row>
    <row r="4341" ht="14.25" customHeight="1">
      <c r="A4341" s="4"/>
      <c r="B4341" s="4" t="s">
        <v>1802</v>
      </c>
      <c r="C4341" s="4" t="s">
        <v>6502</v>
      </c>
      <c r="D4341" s="4" t="s">
        <v>6503</v>
      </c>
      <c r="E4341" s="5">
        <v>14.3902382827879</v>
      </c>
    </row>
    <row r="4342" ht="14.25" customHeight="1">
      <c r="A4342" s="4"/>
      <c r="B4342" s="4" t="s">
        <v>1802</v>
      </c>
      <c r="C4342" s="4" t="s">
        <v>6504</v>
      </c>
      <c r="D4342" s="4" t="s">
        <v>6505</v>
      </c>
      <c r="E4342" s="5">
        <v>21.3397644531016</v>
      </c>
    </row>
    <row r="4343" ht="14.25" customHeight="1">
      <c r="A4343" s="4"/>
      <c r="B4343" s="4" t="s">
        <v>1802</v>
      </c>
      <c r="C4343" s="4" t="s">
        <v>1482</v>
      </c>
      <c r="D4343" s="4" t="s">
        <v>1812</v>
      </c>
      <c r="E4343" s="5">
        <v>48.3641275995966</v>
      </c>
    </row>
    <row r="4344" ht="14.25" customHeight="1">
      <c r="A4344" s="4"/>
      <c r="B4344" s="4" t="s">
        <v>1802</v>
      </c>
      <c r="C4344" s="4" t="s">
        <v>6506</v>
      </c>
      <c r="D4344" s="4" t="s">
        <v>6507</v>
      </c>
      <c r="E4344" s="5">
        <v>20.306309980511102</v>
      </c>
    </row>
    <row r="4345" ht="14.25" customHeight="1">
      <c r="A4345" s="4"/>
      <c r="B4345" s="4" t="s">
        <v>1802</v>
      </c>
      <c r="C4345" s="4" t="s">
        <v>6508</v>
      </c>
      <c r="D4345" s="4" t="s">
        <v>1812</v>
      </c>
      <c r="E4345" s="5">
        <v>48.3641275995966</v>
      </c>
    </row>
    <row r="4346" ht="14.25" customHeight="1">
      <c r="A4346" s="4"/>
      <c r="B4346" s="4" t="s">
        <v>1802</v>
      </c>
      <c r="C4346" s="4" t="s">
        <v>6509</v>
      </c>
      <c r="D4346" s="4" t="s">
        <v>1812</v>
      </c>
      <c r="E4346" s="5">
        <v>48.3641275995966</v>
      </c>
    </row>
    <row r="4347" ht="14.25" customHeight="1">
      <c r="A4347" s="4"/>
      <c r="B4347" s="4" t="s">
        <v>1802</v>
      </c>
      <c r="C4347" s="4" t="s">
        <v>6510</v>
      </c>
      <c r="D4347" s="4" t="s">
        <v>1812</v>
      </c>
      <c r="E4347" s="5">
        <v>48.3641275995966</v>
      </c>
    </row>
    <row r="4348" ht="14.25" customHeight="1">
      <c r="A4348" s="4"/>
      <c r="B4348" s="4" t="s">
        <v>1802</v>
      </c>
      <c r="C4348" s="4" t="s">
        <v>6511</v>
      </c>
      <c r="D4348" s="4" t="s">
        <v>1812</v>
      </c>
      <c r="E4348" s="5">
        <v>48.3641275995966</v>
      </c>
    </row>
    <row r="4349" ht="14.25" customHeight="1">
      <c r="A4349" s="4"/>
      <c r="B4349" s="4" t="s">
        <v>1802</v>
      </c>
      <c r="C4349" s="4" t="s">
        <v>6512</v>
      </c>
      <c r="D4349" s="4" t="s">
        <v>6513</v>
      </c>
      <c r="E4349" s="5">
        <v>48.1980845616172</v>
      </c>
    </row>
    <row r="4350" ht="14.25" customHeight="1">
      <c r="A4350" s="4"/>
      <c r="B4350" s="4" t="s">
        <v>1802</v>
      </c>
      <c r="C4350" s="4" t="s">
        <v>6514</v>
      </c>
      <c r="D4350" s="4" t="s">
        <v>6515</v>
      </c>
      <c r="E4350" s="5">
        <v>2.708058805872</v>
      </c>
    </row>
    <row r="4351" ht="14.25" customHeight="1">
      <c r="A4351" s="4"/>
      <c r="B4351" s="4" t="s">
        <v>1802</v>
      </c>
      <c r="C4351" s="4" t="s">
        <v>6516</v>
      </c>
      <c r="D4351" s="4" t="s">
        <v>6517</v>
      </c>
      <c r="E4351" s="5">
        <v>10.2224875906898</v>
      </c>
    </row>
    <row r="4352" ht="14.25" customHeight="1">
      <c r="A4352" s="4"/>
      <c r="B4352" s="4" t="s">
        <v>1802</v>
      </c>
      <c r="C4352" s="4" t="s">
        <v>6518</v>
      </c>
      <c r="D4352" s="4" t="s">
        <v>6519</v>
      </c>
      <c r="E4352" s="5">
        <v>15.141729226449701</v>
      </c>
    </row>
    <row r="4353" ht="14.25" customHeight="1">
      <c r="A4353" s="4"/>
      <c r="B4353" s="4" t="s">
        <v>1802</v>
      </c>
      <c r="C4353" s="4" t="s">
        <v>6520</v>
      </c>
      <c r="D4353" s="4" t="s">
        <v>6521</v>
      </c>
      <c r="E4353" s="5">
        <v>19.444287855524202</v>
      </c>
    </row>
    <row r="4354" ht="14.25" customHeight="1">
      <c r="A4354" s="4"/>
      <c r="B4354" s="4" t="s">
        <v>1802</v>
      </c>
      <c r="C4354" s="4" t="s">
        <v>6522</v>
      </c>
      <c r="D4354" s="4" t="s">
        <v>6523</v>
      </c>
      <c r="E4354" s="5">
        <v>33.0158882398984</v>
      </c>
    </row>
    <row r="4355" ht="14.25" customHeight="1">
      <c r="A4355" s="4"/>
      <c r="B4355" s="4" t="s">
        <v>1802</v>
      </c>
      <c r="C4355" s="4" t="s">
        <v>6524</v>
      </c>
      <c r="D4355" s="4" t="s">
        <v>1812</v>
      </c>
      <c r="E4355" s="5">
        <v>48.3641275995966</v>
      </c>
    </row>
    <row r="4356" ht="14.25" customHeight="1">
      <c r="A4356" s="4"/>
      <c r="B4356" s="4" t="s">
        <v>1802</v>
      </c>
      <c r="C4356" s="4" t="s">
        <v>6525</v>
      </c>
      <c r="D4356" s="4" t="s">
        <v>1812</v>
      </c>
      <c r="E4356" s="5">
        <v>48.3641275995966</v>
      </c>
    </row>
    <row r="4357" ht="14.25" customHeight="1">
      <c r="A4357" s="4"/>
      <c r="B4357" s="4" t="s">
        <v>1802</v>
      </c>
      <c r="C4357" s="4" t="s">
        <v>6526</v>
      </c>
      <c r="D4357" s="4" t="s">
        <v>6527</v>
      </c>
      <c r="E4357" s="5">
        <v>13.1586510538596</v>
      </c>
    </row>
    <row r="4358" ht="14.25" customHeight="1">
      <c r="A4358" s="4"/>
      <c r="B4358" s="4" t="s">
        <v>1802</v>
      </c>
      <c r="C4358" s="4" t="s">
        <v>6528</v>
      </c>
      <c r="D4358" s="4" t="s">
        <v>6529</v>
      </c>
      <c r="E4358" s="5">
        <v>15.6796151343628</v>
      </c>
    </row>
    <row r="4359" ht="14.25" customHeight="1">
      <c r="A4359" s="4"/>
      <c r="B4359" s="4" t="s">
        <v>1802</v>
      </c>
      <c r="C4359" s="4" t="s">
        <v>6530</v>
      </c>
      <c r="D4359" s="4" t="s">
        <v>6531</v>
      </c>
      <c r="E4359" s="5">
        <v>1.62477260921534</v>
      </c>
    </row>
    <row r="4360" ht="14.25" customHeight="1">
      <c r="A4360" s="4"/>
      <c r="B4360" s="4" t="s">
        <v>1802</v>
      </c>
      <c r="C4360" s="4" t="s">
        <v>6532</v>
      </c>
      <c r="D4360" s="4" t="s">
        <v>1812</v>
      </c>
      <c r="E4360" s="5">
        <v>48.3641275995966</v>
      </c>
    </row>
    <row r="4361" ht="14.25" customHeight="1">
      <c r="A4361" s="4"/>
      <c r="B4361" s="4" t="s">
        <v>1802</v>
      </c>
      <c r="C4361" s="4" t="s">
        <v>6533</v>
      </c>
      <c r="D4361" s="4" t="s">
        <v>1837</v>
      </c>
      <c r="E4361" s="5">
        <v>9.672825519919328</v>
      </c>
    </row>
    <row r="4362" ht="14.25" customHeight="1">
      <c r="A4362" s="4"/>
      <c r="B4362" s="4" t="s">
        <v>1802</v>
      </c>
      <c r="C4362" s="4" t="s">
        <v>6534</v>
      </c>
      <c r="D4362" s="4" t="s">
        <v>6535</v>
      </c>
      <c r="E4362" s="5">
        <v>18.8650822557488</v>
      </c>
    </row>
    <row r="4363" ht="14.25" customHeight="1">
      <c r="A4363" s="4"/>
      <c r="B4363" s="4" t="s">
        <v>1802</v>
      </c>
      <c r="C4363" s="4" t="s">
        <v>6536</v>
      </c>
      <c r="D4363" s="4" t="s">
        <v>6537</v>
      </c>
      <c r="E4363" s="5">
        <v>6.30669908025542</v>
      </c>
    </row>
    <row r="4364" ht="14.25" customHeight="1">
      <c r="A4364" s="4"/>
      <c r="B4364" s="4" t="s">
        <v>1802</v>
      </c>
      <c r="C4364" s="4" t="s">
        <v>6538</v>
      </c>
      <c r="D4364" s="4" t="s">
        <v>6539</v>
      </c>
      <c r="E4364" s="5">
        <v>11.1234473503001</v>
      </c>
    </row>
    <row r="4365" ht="14.25" customHeight="1">
      <c r="A4365" s="4"/>
      <c r="B4365" s="4" t="s">
        <v>1802</v>
      </c>
      <c r="C4365" s="4" t="s">
        <v>6540</v>
      </c>
      <c r="D4365" s="4" t="s">
        <v>6541</v>
      </c>
      <c r="E4365" s="5">
        <v>12.8503183334425</v>
      </c>
    </row>
    <row r="4366" ht="14.25" customHeight="1">
      <c r="A4366" s="4"/>
      <c r="B4366" s="4" t="s">
        <v>1802</v>
      </c>
      <c r="C4366" s="4" t="s">
        <v>6542</v>
      </c>
      <c r="D4366" s="4" t="s">
        <v>1837</v>
      </c>
      <c r="E4366" s="5">
        <v>9.672825519919328</v>
      </c>
    </row>
    <row r="4367" ht="14.25" customHeight="1">
      <c r="A4367" s="4"/>
      <c r="B4367" s="4" t="s">
        <v>1802</v>
      </c>
      <c r="C4367" s="4" t="s">
        <v>6543</v>
      </c>
      <c r="D4367" s="4" t="s">
        <v>1812</v>
      </c>
      <c r="E4367" s="5">
        <v>48.3641275995966</v>
      </c>
    </row>
    <row r="4368" ht="14.25" customHeight="1">
      <c r="A4368" s="4"/>
      <c r="B4368" s="4" t="s">
        <v>1802</v>
      </c>
      <c r="C4368" s="4" t="s">
        <v>6544</v>
      </c>
      <c r="D4368" s="4" t="s">
        <v>6545</v>
      </c>
      <c r="E4368" s="5">
        <v>45.823557652457</v>
      </c>
    </row>
    <row r="4369" ht="14.25" customHeight="1">
      <c r="A4369" s="4"/>
      <c r="B4369" s="4" t="s">
        <v>1802</v>
      </c>
      <c r="C4369" s="4" t="s">
        <v>6546</v>
      </c>
      <c r="D4369" s="4" t="s">
        <v>6547</v>
      </c>
      <c r="E4369" s="5">
        <v>45.155423026334496</v>
      </c>
    </row>
    <row r="4370" ht="14.25" customHeight="1">
      <c r="A4370" s="4"/>
      <c r="B4370" s="4" t="s">
        <v>1802</v>
      </c>
      <c r="C4370" s="4" t="s">
        <v>6548</v>
      </c>
      <c r="D4370" s="4" t="s">
        <v>6549</v>
      </c>
      <c r="E4370" s="5">
        <v>3.44287462847346</v>
      </c>
    </row>
    <row r="4371" ht="14.25" customHeight="1">
      <c r="A4371" s="4"/>
      <c r="B4371" s="4" t="s">
        <v>1802</v>
      </c>
      <c r="C4371" s="4" t="s">
        <v>6550</v>
      </c>
      <c r="D4371" s="4" t="s">
        <v>6551</v>
      </c>
      <c r="E4371" s="5">
        <v>9.72543285471477</v>
      </c>
    </row>
    <row r="4372" ht="14.25" customHeight="1">
      <c r="A4372" s="4"/>
      <c r="B4372" s="4" t="s">
        <v>1802</v>
      </c>
      <c r="C4372" s="4" t="s">
        <v>6552</v>
      </c>
      <c r="D4372" s="4" t="s">
        <v>6553</v>
      </c>
      <c r="E4372" s="5">
        <v>10.3421323208734</v>
      </c>
    </row>
    <row r="4373" ht="14.25" customHeight="1">
      <c r="A4373" s="4"/>
      <c r="B4373" s="4" t="s">
        <v>1802</v>
      </c>
      <c r="C4373" s="4" t="s">
        <v>6554</v>
      </c>
      <c r="D4373" s="4" t="s">
        <v>6555</v>
      </c>
      <c r="E4373" s="5">
        <v>7.6609340774414205</v>
      </c>
    </row>
    <row r="4374" ht="14.25" customHeight="1">
      <c r="A4374" s="4"/>
      <c r="B4374" s="4" t="s">
        <v>1802</v>
      </c>
      <c r="C4374" s="4" t="s">
        <v>6556</v>
      </c>
      <c r="D4374" s="4" t="s">
        <v>1812</v>
      </c>
      <c r="E4374" s="5">
        <v>48.3641275995966</v>
      </c>
    </row>
    <row r="4375" ht="14.25" customHeight="1">
      <c r="A4375" s="4"/>
      <c r="B4375" s="4" t="s">
        <v>1802</v>
      </c>
      <c r="C4375" s="4" t="s">
        <v>6557</v>
      </c>
      <c r="D4375" s="4" t="s">
        <v>6558</v>
      </c>
      <c r="E4375" s="5">
        <v>46.9964504578552</v>
      </c>
    </row>
    <row r="4376" ht="14.25" customHeight="1">
      <c r="A4376" s="4"/>
      <c r="B4376" s="4" t="s">
        <v>1802</v>
      </c>
      <c r="C4376" s="4" t="s">
        <v>6559</v>
      </c>
      <c r="D4376" s="4" t="s">
        <v>2655</v>
      </c>
      <c r="E4376" s="5">
        <v>48.2621968200593</v>
      </c>
    </row>
    <row r="4377" ht="14.25" customHeight="1">
      <c r="A4377" s="4"/>
      <c r="B4377" s="4" t="s">
        <v>1802</v>
      </c>
      <c r="C4377" s="4" t="s">
        <v>6560</v>
      </c>
      <c r="D4377" s="4" t="s">
        <v>1812</v>
      </c>
      <c r="E4377" s="5">
        <v>48.3641275995966</v>
      </c>
    </row>
    <row r="4378" ht="14.25" customHeight="1">
      <c r="A4378" s="4"/>
      <c r="B4378" s="4" t="s">
        <v>1802</v>
      </c>
      <c r="C4378" s="4" t="s">
        <v>6561</v>
      </c>
      <c r="D4378" s="4" t="s">
        <v>1812</v>
      </c>
      <c r="E4378" s="5">
        <v>48.3641275995966</v>
      </c>
    </row>
    <row r="4379" ht="14.25" customHeight="1">
      <c r="A4379" s="4"/>
      <c r="B4379" s="4" t="s">
        <v>1802</v>
      </c>
      <c r="C4379" s="4" t="s">
        <v>125</v>
      </c>
      <c r="D4379" s="4" t="s">
        <v>1812</v>
      </c>
      <c r="E4379" s="5">
        <v>48.3641275995966</v>
      </c>
    </row>
    <row r="4380" ht="14.25" customHeight="1">
      <c r="A4380" s="4"/>
      <c r="B4380" s="4" t="s">
        <v>1802</v>
      </c>
      <c r="C4380" s="4" t="s">
        <v>6562</v>
      </c>
      <c r="D4380" s="4" t="s">
        <v>6563</v>
      </c>
      <c r="E4380" s="5">
        <v>9.38525169072271</v>
      </c>
    </row>
    <row r="4381" ht="14.25" customHeight="1">
      <c r="A4381" s="4"/>
      <c r="B4381" s="4" t="s">
        <v>1802</v>
      </c>
      <c r="C4381" s="4" t="s">
        <v>6564</v>
      </c>
      <c r="D4381" s="4" t="s">
        <v>6565</v>
      </c>
      <c r="E4381" s="5">
        <v>10.829394520943401</v>
      </c>
    </row>
    <row r="4382" ht="14.25" customHeight="1">
      <c r="A4382" s="4"/>
      <c r="B4382" s="4" t="s">
        <v>1802</v>
      </c>
      <c r="C4382" s="4" t="s">
        <v>6566</v>
      </c>
      <c r="D4382" s="4" t="s">
        <v>2360</v>
      </c>
      <c r="E4382" s="5">
        <v>2.9018476559758</v>
      </c>
    </row>
    <row r="4383" ht="14.25" customHeight="1">
      <c r="A4383" s="4"/>
      <c r="B4383" s="4" t="s">
        <v>1802</v>
      </c>
      <c r="C4383" s="4" t="s">
        <v>6567</v>
      </c>
      <c r="D4383" s="4" t="s">
        <v>6568</v>
      </c>
      <c r="E4383" s="5">
        <v>6.43558396792963</v>
      </c>
    </row>
    <row r="4384" ht="14.25" customHeight="1">
      <c r="A4384" s="4"/>
      <c r="B4384" s="4" t="s">
        <v>1802</v>
      </c>
      <c r="C4384" s="4" t="s">
        <v>497</v>
      </c>
      <c r="D4384" s="4" t="s">
        <v>2683</v>
      </c>
      <c r="E4384" s="5">
        <v>1.93456510398386</v>
      </c>
    </row>
    <row r="4385" ht="14.25" customHeight="1">
      <c r="A4385" s="4"/>
      <c r="B4385" s="4" t="s">
        <v>1802</v>
      </c>
      <c r="C4385" s="4" t="s">
        <v>6569</v>
      </c>
      <c r="D4385" s="4" t="s">
        <v>1812</v>
      </c>
      <c r="E4385" s="5">
        <v>48.3641275995966</v>
      </c>
    </row>
    <row r="4386" ht="14.25" customHeight="1">
      <c r="A4386" s="4"/>
      <c r="B4386" s="4" t="s">
        <v>1802</v>
      </c>
      <c r="C4386" s="4" t="s">
        <v>1560</v>
      </c>
      <c r="D4386" s="4" t="s">
        <v>1812</v>
      </c>
      <c r="E4386" s="5">
        <v>48.3641275995966</v>
      </c>
    </row>
    <row r="4387" ht="14.25" customHeight="1">
      <c r="A4387" s="4"/>
      <c r="B4387" s="4" t="s">
        <v>1802</v>
      </c>
      <c r="C4387" s="4" t="s">
        <v>6570</v>
      </c>
      <c r="D4387" s="4" t="s">
        <v>1837</v>
      </c>
      <c r="E4387" s="5">
        <v>9.672825519919328</v>
      </c>
    </row>
    <row r="4388" ht="14.25" customHeight="1">
      <c r="A4388" s="4"/>
      <c r="B4388" s="4" t="s">
        <v>1802</v>
      </c>
      <c r="C4388" s="4" t="s">
        <v>6571</v>
      </c>
      <c r="D4388" s="4" t="s">
        <v>6572</v>
      </c>
      <c r="E4388" s="5">
        <v>30.5464232215746</v>
      </c>
    </row>
    <row r="4389" ht="14.25" customHeight="1">
      <c r="A4389" s="4"/>
      <c r="B4389" s="4" t="s">
        <v>1802</v>
      </c>
      <c r="C4389" s="4" t="s">
        <v>6573</v>
      </c>
      <c r="D4389" s="4" t="s">
        <v>1821</v>
      </c>
      <c r="E4389" s="5">
        <v>19.3456510398386</v>
      </c>
    </row>
    <row r="4390" ht="14.25" customHeight="1">
      <c r="A4390" s="4"/>
      <c r="B4390" s="4" t="s">
        <v>1802</v>
      </c>
      <c r="C4390" s="4" t="s">
        <v>6574</v>
      </c>
      <c r="D4390" s="4" t="s">
        <v>6575</v>
      </c>
      <c r="E4390" s="5">
        <v>31.0145579000358</v>
      </c>
    </row>
    <row r="4391" ht="14.25" customHeight="1">
      <c r="A4391" s="4"/>
      <c r="B4391" s="4" t="s">
        <v>1802</v>
      </c>
      <c r="C4391" s="4" t="s">
        <v>6576</v>
      </c>
      <c r="D4391" s="4" t="s">
        <v>6577</v>
      </c>
      <c r="E4391" s="5">
        <v>44.9230170917425</v>
      </c>
    </row>
    <row r="4392" ht="14.25" customHeight="1">
      <c r="A4392" s="4"/>
      <c r="B4392" s="4" t="s">
        <v>1802</v>
      </c>
      <c r="C4392" s="4" t="s">
        <v>6578</v>
      </c>
      <c r="D4392" s="4" t="s">
        <v>6579</v>
      </c>
      <c r="E4392" s="5">
        <v>10.0979362063957</v>
      </c>
    </row>
    <row r="4393" ht="14.25" customHeight="1">
      <c r="A4393" s="4"/>
      <c r="B4393" s="4" t="s">
        <v>1802</v>
      </c>
      <c r="C4393" s="4" t="s">
        <v>6580</v>
      </c>
      <c r="D4393" s="4" t="s">
        <v>2062</v>
      </c>
      <c r="E4393" s="5">
        <v>9.86628203031772</v>
      </c>
    </row>
    <row r="4394" ht="14.25" customHeight="1">
      <c r="A4394" s="4"/>
      <c r="B4394" s="4" t="s">
        <v>1802</v>
      </c>
      <c r="C4394" s="4" t="s">
        <v>203</v>
      </c>
      <c r="D4394" s="4" t="s">
        <v>1812</v>
      </c>
      <c r="E4394" s="5">
        <v>48.3641275995966</v>
      </c>
    </row>
    <row r="4395" ht="14.25" customHeight="1">
      <c r="A4395" s="4"/>
      <c r="B4395" s="4" t="s">
        <v>1802</v>
      </c>
      <c r="C4395" s="4" t="s">
        <v>6581</v>
      </c>
      <c r="D4395" s="4" t="s">
        <v>6582</v>
      </c>
      <c r="E4395" s="5">
        <v>10.4448551235834</v>
      </c>
    </row>
    <row r="4396" ht="14.25" customHeight="1">
      <c r="A4396" s="4"/>
      <c r="B4396" s="4" t="s">
        <v>1802</v>
      </c>
      <c r="C4396" s="4" t="s">
        <v>6583</v>
      </c>
      <c r="D4396" s="4" t="s">
        <v>1812</v>
      </c>
      <c r="E4396" s="5">
        <v>48.3641275995966</v>
      </c>
    </row>
    <row r="4397" ht="14.25" customHeight="1">
      <c r="A4397" s="4"/>
      <c r="B4397" s="4" t="s">
        <v>1802</v>
      </c>
      <c r="C4397" s="4" t="s">
        <v>6584</v>
      </c>
      <c r="D4397" s="4" t="s">
        <v>1812</v>
      </c>
      <c r="E4397" s="5">
        <v>48.3641275995966</v>
      </c>
    </row>
    <row r="4398" ht="14.25" customHeight="1">
      <c r="A4398" s="4"/>
      <c r="B4398" s="4" t="s">
        <v>1802</v>
      </c>
      <c r="C4398" s="4" t="s">
        <v>6585</v>
      </c>
      <c r="D4398" s="4" t="s">
        <v>6586</v>
      </c>
      <c r="E4398" s="5">
        <v>11.6421105777599</v>
      </c>
    </row>
    <row r="4399" ht="14.25" customHeight="1">
      <c r="A4399" s="4"/>
      <c r="B4399" s="4" t="s">
        <v>1802</v>
      </c>
      <c r="C4399" s="4" t="s">
        <v>6587</v>
      </c>
      <c r="D4399" s="4" t="s">
        <v>1812</v>
      </c>
      <c r="E4399" s="5">
        <v>48.3641275995966</v>
      </c>
    </row>
    <row r="4400" ht="14.25" customHeight="1">
      <c r="A4400" s="4"/>
      <c r="B4400" s="4" t="s">
        <v>1802</v>
      </c>
      <c r="C4400" s="4" t="s">
        <v>6588</v>
      </c>
      <c r="D4400" s="4" t="s">
        <v>1812</v>
      </c>
      <c r="E4400" s="5">
        <v>48.3641275995966</v>
      </c>
    </row>
    <row r="4401" ht="14.25" customHeight="1">
      <c r="A4401" s="4"/>
      <c r="B4401" s="4" t="s">
        <v>1802</v>
      </c>
      <c r="C4401" s="4" t="s">
        <v>704</v>
      </c>
      <c r="D4401" s="4" t="s">
        <v>1812</v>
      </c>
      <c r="E4401" s="5">
        <v>48.3641275995966</v>
      </c>
    </row>
    <row r="4402" ht="14.25" customHeight="1">
      <c r="A4402" s="4"/>
      <c r="B4402" s="4" t="s">
        <v>1802</v>
      </c>
      <c r="C4402" s="4" t="s">
        <v>6589</v>
      </c>
      <c r="D4402" s="4" t="s">
        <v>1812</v>
      </c>
      <c r="E4402" s="5">
        <v>48.3641275995966</v>
      </c>
    </row>
    <row r="4403" ht="14.25" customHeight="1">
      <c r="A4403" s="4"/>
      <c r="B4403" s="4" t="s">
        <v>1802</v>
      </c>
      <c r="C4403" s="4" t="s">
        <v>6590</v>
      </c>
      <c r="D4403" s="4" t="s">
        <v>6591</v>
      </c>
      <c r="E4403" s="5">
        <v>46.9557173592531</v>
      </c>
    </row>
    <row r="4404" ht="14.25" customHeight="1">
      <c r="A4404" s="4"/>
      <c r="B4404" s="4" t="s">
        <v>1802</v>
      </c>
      <c r="C4404" s="4" t="s">
        <v>6592</v>
      </c>
      <c r="D4404" s="4" t="s">
        <v>1812</v>
      </c>
      <c r="E4404" s="5">
        <v>48.3641275995966</v>
      </c>
    </row>
    <row r="4405" ht="14.25" customHeight="1">
      <c r="A4405" s="4"/>
      <c r="B4405" s="4" t="s">
        <v>1802</v>
      </c>
      <c r="C4405" s="4" t="s">
        <v>6593</v>
      </c>
      <c r="D4405" s="4" t="s">
        <v>6594</v>
      </c>
      <c r="E4405" s="5">
        <v>8.63113026007147</v>
      </c>
    </row>
    <row r="4406" ht="14.25" customHeight="1">
      <c r="A4406" s="4"/>
      <c r="B4406" s="4" t="s">
        <v>1802</v>
      </c>
      <c r="C4406" s="4" t="s">
        <v>846</v>
      </c>
      <c r="D4406" s="4" t="s">
        <v>6595</v>
      </c>
      <c r="E4406" s="5">
        <v>23.1220222163399</v>
      </c>
    </row>
    <row r="4407" ht="14.25" customHeight="1">
      <c r="A4407" s="4"/>
      <c r="B4407" s="4" t="s">
        <v>1802</v>
      </c>
      <c r="C4407" s="4" t="s">
        <v>6596</v>
      </c>
      <c r="D4407" s="4" t="s">
        <v>6597</v>
      </c>
      <c r="E4407" s="5">
        <v>0.891699445363269</v>
      </c>
    </row>
    <row r="4408" ht="14.25" customHeight="1">
      <c r="A4408" s="4"/>
      <c r="B4408" s="4" t="s">
        <v>1802</v>
      </c>
      <c r="C4408" s="4" t="s">
        <v>6598</v>
      </c>
      <c r="D4408" s="4" t="s">
        <v>6599</v>
      </c>
      <c r="E4408" s="5">
        <v>26.126666023980498</v>
      </c>
    </row>
    <row r="4409" ht="14.25" customHeight="1">
      <c r="A4409" s="4"/>
      <c r="B4409" s="4" t="s">
        <v>1802</v>
      </c>
      <c r="C4409" s="4" t="s">
        <v>6600</v>
      </c>
      <c r="D4409" s="4" t="s">
        <v>6601</v>
      </c>
      <c r="E4409" s="5">
        <v>20.5036518061891</v>
      </c>
    </row>
    <row r="4410" ht="14.25" customHeight="1">
      <c r="A4410" s="4"/>
      <c r="B4410" s="4" t="s">
        <v>1802</v>
      </c>
      <c r="C4410" s="4" t="s">
        <v>6602</v>
      </c>
      <c r="D4410" s="4" t="s">
        <v>6603</v>
      </c>
      <c r="E4410" s="5">
        <v>5.6210249254197695</v>
      </c>
    </row>
    <row r="4411" ht="14.25" customHeight="1">
      <c r="A4411" s="4"/>
      <c r="B4411" s="4" t="s">
        <v>1802</v>
      </c>
      <c r="C4411" s="4" t="s">
        <v>1642</v>
      </c>
      <c r="D4411" s="4" t="s">
        <v>1812</v>
      </c>
      <c r="E4411" s="5">
        <v>48.3641275995966</v>
      </c>
    </row>
    <row r="4412" ht="14.25" customHeight="1">
      <c r="A4412" s="4"/>
      <c r="B4412" s="4" t="s">
        <v>1802</v>
      </c>
      <c r="C4412" s="4" t="s">
        <v>6604</v>
      </c>
      <c r="D4412" s="4" t="s">
        <v>6605</v>
      </c>
      <c r="E4412" s="5">
        <v>47.1384269862636</v>
      </c>
    </row>
    <row r="4413" ht="14.25" customHeight="1">
      <c r="A4413" s="4"/>
      <c r="B4413" s="4" t="s">
        <v>1802</v>
      </c>
      <c r="C4413" s="4" t="s">
        <v>6606</v>
      </c>
      <c r="D4413" s="4" t="s">
        <v>6607</v>
      </c>
      <c r="E4413" s="5">
        <v>2.92595267540808</v>
      </c>
    </row>
    <row r="4414" ht="14.25" customHeight="1">
      <c r="A4414" s="4"/>
      <c r="B4414" s="4" t="s">
        <v>1802</v>
      </c>
      <c r="C4414" s="4" t="s">
        <v>6608</v>
      </c>
      <c r="D4414" s="4" t="s">
        <v>1812</v>
      </c>
      <c r="E4414" s="5">
        <v>48.3641275995966</v>
      </c>
    </row>
    <row r="4415" ht="14.25" customHeight="1">
      <c r="A4415" s="4"/>
      <c r="B4415" s="4" t="s">
        <v>1802</v>
      </c>
      <c r="C4415" s="4" t="s">
        <v>6609</v>
      </c>
      <c r="D4415" s="4" t="s">
        <v>1837</v>
      </c>
      <c r="E4415" s="5">
        <v>9.672825519919328</v>
      </c>
    </row>
    <row r="4416" ht="14.25" customHeight="1">
      <c r="A4416" s="4"/>
      <c r="B4416" s="4" t="s">
        <v>1802</v>
      </c>
      <c r="C4416" s="4" t="s">
        <v>6610</v>
      </c>
      <c r="D4416" s="4" t="s">
        <v>1812</v>
      </c>
      <c r="E4416" s="5">
        <v>48.3641275995966</v>
      </c>
    </row>
    <row r="4417" ht="14.25" customHeight="1">
      <c r="A4417" s="4"/>
      <c r="B4417" s="4" t="s">
        <v>1802</v>
      </c>
      <c r="C4417" s="4" t="s">
        <v>1220</v>
      </c>
      <c r="D4417" s="4" t="s">
        <v>1812</v>
      </c>
      <c r="E4417" s="5">
        <v>48.3641275995966</v>
      </c>
    </row>
    <row r="4418" ht="14.25" customHeight="1">
      <c r="A4418" s="4"/>
      <c r="B4418" s="4" t="s">
        <v>1802</v>
      </c>
      <c r="C4418" s="4" t="s">
        <v>6611</v>
      </c>
      <c r="D4418" s="4" t="s">
        <v>1837</v>
      </c>
      <c r="E4418" s="5">
        <v>9.672825519919328</v>
      </c>
    </row>
    <row r="4419" ht="14.25" customHeight="1">
      <c r="A4419" s="4"/>
      <c r="B4419" s="4" t="s">
        <v>1802</v>
      </c>
      <c r="C4419" s="4" t="s">
        <v>1773</v>
      </c>
      <c r="D4419" s="4" t="s">
        <v>1812</v>
      </c>
      <c r="E4419" s="5">
        <v>48.3641275995966</v>
      </c>
    </row>
    <row r="4420" ht="14.25" customHeight="1">
      <c r="A4420" s="4"/>
      <c r="B4420" s="4" t="s">
        <v>1802</v>
      </c>
      <c r="C4420" s="4" t="s">
        <v>6612</v>
      </c>
      <c r="D4420" s="4" t="s">
        <v>6613</v>
      </c>
      <c r="E4420" s="5">
        <v>6.18726419611278</v>
      </c>
    </row>
    <row r="4421" ht="14.25" customHeight="1">
      <c r="A4421" s="4"/>
      <c r="B4421" s="4" t="s">
        <v>1802</v>
      </c>
      <c r="C4421" s="4" t="s">
        <v>6614</v>
      </c>
      <c r="D4421" s="4" t="s">
        <v>6615</v>
      </c>
      <c r="E4421" s="5">
        <v>16.2362895053673</v>
      </c>
    </row>
    <row r="4422" ht="14.25" customHeight="1">
      <c r="A4422" s="4"/>
      <c r="B4422" s="4" t="s">
        <v>1802</v>
      </c>
      <c r="C4422" s="4" t="s">
        <v>6616</v>
      </c>
      <c r="D4422" s="4" t="s">
        <v>1812</v>
      </c>
      <c r="E4422" s="5">
        <v>48.3641275995966</v>
      </c>
    </row>
    <row r="4423" ht="14.25" customHeight="1">
      <c r="A4423" s="4"/>
      <c r="B4423" s="4" t="s">
        <v>1802</v>
      </c>
      <c r="C4423" s="4" t="s">
        <v>6617</v>
      </c>
      <c r="D4423" s="4" t="s">
        <v>1812</v>
      </c>
      <c r="E4423" s="5">
        <v>48.3641275995966</v>
      </c>
    </row>
    <row r="4424" ht="14.25" customHeight="1">
      <c r="A4424" s="4"/>
      <c r="B4424" s="4" t="s">
        <v>1802</v>
      </c>
      <c r="C4424" s="4" t="s">
        <v>6618</v>
      </c>
      <c r="D4424" s="4" t="s">
        <v>1837</v>
      </c>
      <c r="E4424" s="5">
        <v>9.672825519919328</v>
      </c>
    </row>
    <row r="4425" ht="14.25" customHeight="1">
      <c r="A4425" s="4"/>
      <c r="B4425" s="4" t="s">
        <v>1802</v>
      </c>
      <c r="C4425" s="4" t="s">
        <v>6619</v>
      </c>
      <c r="D4425" s="4" t="s">
        <v>6620</v>
      </c>
      <c r="E4425" s="5">
        <v>33.3978809161918</v>
      </c>
    </row>
    <row r="4426" ht="14.25" customHeight="1">
      <c r="A4426" s="4"/>
      <c r="B4426" s="4" t="s">
        <v>1802</v>
      </c>
      <c r="C4426" s="4" t="s">
        <v>6621</v>
      </c>
      <c r="D4426" s="4" t="s">
        <v>1837</v>
      </c>
      <c r="E4426" s="5">
        <v>9.672825519919328</v>
      </c>
    </row>
    <row r="4427" ht="14.25" customHeight="1">
      <c r="A4427" s="4"/>
      <c r="B4427" s="4" t="s">
        <v>1802</v>
      </c>
      <c r="C4427" s="4" t="s">
        <v>594</v>
      </c>
      <c r="D4427" s="4" t="s">
        <v>1812</v>
      </c>
      <c r="E4427" s="5">
        <v>48.3641275995966</v>
      </c>
    </row>
    <row r="4428" ht="14.25" customHeight="1">
      <c r="A4428" s="4"/>
      <c r="B4428" s="4" t="s">
        <v>1802</v>
      </c>
      <c r="C4428" s="4" t="s">
        <v>6622</v>
      </c>
      <c r="D4428" s="4" t="s">
        <v>1812</v>
      </c>
      <c r="E4428" s="5">
        <v>48.3641275995966</v>
      </c>
    </row>
    <row r="4429" ht="14.25" customHeight="1">
      <c r="A4429" s="4"/>
      <c r="B4429" s="4" t="s">
        <v>1802</v>
      </c>
      <c r="C4429" s="4" t="s">
        <v>6623</v>
      </c>
      <c r="D4429" s="4" t="s">
        <v>6624</v>
      </c>
      <c r="E4429" s="5">
        <v>5.888076226162791</v>
      </c>
    </row>
    <row r="4430" ht="14.25" customHeight="1">
      <c r="A4430" s="4"/>
      <c r="B4430" s="4" t="s">
        <v>1802</v>
      </c>
      <c r="C4430" s="4" t="s">
        <v>6625</v>
      </c>
      <c r="D4430" s="4" t="s">
        <v>1812</v>
      </c>
      <c r="E4430" s="5">
        <v>48.3641275995966</v>
      </c>
    </row>
    <row r="4431" ht="14.25" customHeight="1">
      <c r="A4431" s="4"/>
      <c r="B4431" s="4" t="s">
        <v>1802</v>
      </c>
      <c r="C4431" s="4" t="s">
        <v>6626</v>
      </c>
      <c r="D4431" s="4" t="s">
        <v>1812</v>
      </c>
      <c r="E4431" s="5">
        <v>48.3641275995966</v>
      </c>
    </row>
    <row r="4432" ht="14.25" customHeight="1">
      <c r="A4432" s="4"/>
      <c r="B4432" s="4" t="s">
        <v>1802</v>
      </c>
      <c r="C4432" s="4" t="s">
        <v>6627</v>
      </c>
      <c r="D4432" s="4" t="s">
        <v>6628</v>
      </c>
      <c r="E4432" s="5">
        <v>39.843648072815505</v>
      </c>
    </row>
    <row r="4433" ht="14.25" customHeight="1">
      <c r="A4433" s="4"/>
      <c r="B4433" s="4" t="s">
        <v>1802</v>
      </c>
      <c r="C4433" s="4" t="s">
        <v>6629</v>
      </c>
      <c r="D4433" s="4" t="s">
        <v>6630</v>
      </c>
      <c r="E4433" s="5">
        <v>7.11977935711959</v>
      </c>
    </row>
    <row r="4434" ht="14.25" customHeight="1">
      <c r="A4434" s="4"/>
      <c r="B4434" s="4" t="s">
        <v>1802</v>
      </c>
      <c r="C4434" s="4" t="s">
        <v>6631</v>
      </c>
      <c r="D4434" s="4" t="s">
        <v>6632</v>
      </c>
      <c r="E4434" s="5">
        <v>8.388813083499201</v>
      </c>
    </row>
    <row r="4435" ht="14.25" customHeight="1">
      <c r="A4435" s="4"/>
      <c r="B4435" s="4" t="s">
        <v>1802</v>
      </c>
      <c r="C4435" s="4" t="s">
        <v>6633</v>
      </c>
      <c r="D4435" s="4" t="s">
        <v>6634</v>
      </c>
      <c r="E4435" s="5">
        <v>8.59880610310644</v>
      </c>
    </row>
    <row r="4436" ht="14.25" customHeight="1">
      <c r="A4436" s="4"/>
      <c r="B4436" s="4" t="s">
        <v>1802</v>
      </c>
      <c r="C4436" s="4" t="s">
        <v>6635</v>
      </c>
      <c r="D4436" s="4" t="s">
        <v>6636</v>
      </c>
      <c r="E4436" s="5">
        <v>40.491577512668606</v>
      </c>
    </row>
    <row r="4437" ht="14.25" customHeight="1">
      <c r="A4437" s="4"/>
      <c r="B4437" s="4" t="s">
        <v>1802</v>
      </c>
      <c r="C4437" s="4" t="s">
        <v>6637</v>
      </c>
      <c r="D4437" s="4" t="s">
        <v>1812</v>
      </c>
      <c r="E4437" s="5">
        <v>48.3641275995966</v>
      </c>
    </row>
    <row r="4438" ht="14.25" customHeight="1">
      <c r="A4438" s="4"/>
      <c r="B4438" s="4" t="s">
        <v>1802</v>
      </c>
      <c r="C4438" s="4" t="s">
        <v>6638</v>
      </c>
      <c r="D4438" s="4" t="s">
        <v>6639</v>
      </c>
      <c r="E4438" s="5">
        <v>45.118758826454695</v>
      </c>
    </row>
    <row r="4439" ht="14.25" customHeight="1">
      <c r="A4439" s="4"/>
      <c r="B4439" s="4" t="s">
        <v>1802</v>
      </c>
      <c r="C4439" s="4" t="s">
        <v>6640</v>
      </c>
      <c r="D4439" s="4" t="s">
        <v>6641</v>
      </c>
      <c r="E4439" s="5">
        <v>0.31259685408552</v>
      </c>
    </row>
    <row r="4440" ht="14.25" customHeight="1">
      <c r="A4440" s="4"/>
      <c r="B4440" s="4" t="s">
        <v>1802</v>
      </c>
      <c r="C4440" s="4" t="s">
        <v>6642</v>
      </c>
      <c r="D4440" s="4" t="s">
        <v>6643</v>
      </c>
      <c r="E4440" s="5">
        <v>18.0744089246747</v>
      </c>
    </row>
    <row r="4441" ht="14.25" customHeight="1">
      <c r="A4441" s="4"/>
      <c r="B4441" s="4" t="s">
        <v>1802</v>
      </c>
      <c r="C4441" s="4" t="s">
        <v>6644</v>
      </c>
      <c r="D4441" s="4" t="s">
        <v>1812</v>
      </c>
      <c r="E4441" s="5">
        <v>48.3641275995966</v>
      </c>
    </row>
    <row r="4442" ht="14.25" customHeight="1">
      <c r="A4442" s="4"/>
      <c r="B4442" s="4" t="s">
        <v>1802</v>
      </c>
      <c r="C4442" s="4" t="s">
        <v>6645</v>
      </c>
      <c r="D4442" s="4" t="s">
        <v>6646</v>
      </c>
      <c r="E4442" s="5">
        <v>43.2417398925969</v>
      </c>
    </row>
    <row r="4443" ht="14.25" customHeight="1">
      <c r="A4443" s="4"/>
      <c r="B4443" s="4" t="s">
        <v>1802</v>
      </c>
      <c r="C4443" s="4" t="s">
        <v>6647</v>
      </c>
      <c r="D4443" s="4" t="s">
        <v>6648</v>
      </c>
      <c r="E4443" s="5">
        <v>43.578849439804095</v>
      </c>
    </row>
    <row r="4444" ht="14.25" customHeight="1">
      <c r="A4444" s="4"/>
      <c r="B4444" s="4" t="s">
        <v>1802</v>
      </c>
      <c r="C4444" s="4" t="s">
        <v>6649</v>
      </c>
      <c r="D4444" s="4" t="s">
        <v>6650</v>
      </c>
      <c r="E4444" s="5">
        <v>6.985722615667</v>
      </c>
    </row>
    <row r="4445" ht="14.25" customHeight="1">
      <c r="A4445" s="4"/>
      <c r="B4445" s="4" t="s">
        <v>1802</v>
      </c>
      <c r="C4445" s="4" t="s">
        <v>813</v>
      </c>
      <c r="D4445" s="4" t="s">
        <v>1812</v>
      </c>
      <c r="E4445" s="5">
        <v>48.3641275995966</v>
      </c>
    </row>
    <row r="4446" ht="14.25" customHeight="1">
      <c r="A4446" s="4"/>
      <c r="B4446" s="4" t="s">
        <v>1802</v>
      </c>
      <c r="C4446" s="4" t="s">
        <v>6651</v>
      </c>
      <c r="D4446" s="4" t="s">
        <v>6652</v>
      </c>
      <c r="E4446" s="5">
        <v>8.59087058906031</v>
      </c>
    </row>
    <row r="4447" ht="14.25" customHeight="1">
      <c r="A4447" s="4"/>
      <c r="B4447" s="4" t="s">
        <v>1802</v>
      </c>
      <c r="C4447" s="4" t="s">
        <v>6653</v>
      </c>
      <c r="D4447" s="4" t="s">
        <v>1812</v>
      </c>
      <c r="E4447" s="5">
        <v>48.3641275995966</v>
      </c>
    </row>
    <row r="4448" ht="14.25" customHeight="1">
      <c r="A4448" s="4"/>
      <c r="B4448" s="4" t="s">
        <v>1802</v>
      </c>
      <c r="C4448" s="4" t="s">
        <v>6654</v>
      </c>
      <c r="D4448" s="4" t="s">
        <v>6655</v>
      </c>
      <c r="E4448" s="5">
        <v>33.2282694365832</v>
      </c>
    </row>
    <row r="4449" ht="14.25" customHeight="1">
      <c r="A4449" s="4"/>
      <c r="B4449" s="4" t="s">
        <v>1802</v>
      </c>
      <c r="C4449" s="4" t="s">
        <v>6656</v>
      </c>
      <c r="D4449" s="4" t="s">
        <v>1812</v>
      </c>
      <c r="E4449" s="5">
        <v>48.3641275995966</v>
      </c>
    </row>
    <row r="4450" ht="14.25" customHeight="1">
      <c r="A4450" s="4"/>
      <c r="B4450" s="4" t="s">
        <v>1802</v>
      </c>
      <c r="C4450" s="4" t="s">
        <v>6657</v>
      </c>
      <c r="D4450" s="4" t="s">
        <v>1812</v>
      </c>
      <c r="E4450" s="5">
        <v>48.3641275995966</v>
      </c>
    </row>
    <row r="4451" ht="14.25" customHeight="1">
      <c r="A4451" s="4"/>
      <c r="B4451" s="4" t="s">
        <v>1802</v>
      </c>
      <c r="C4451" s="4" t="s">
        <v>1639</v>
      </c>
      <c r="D4451" s="4" t="s">
        <v>1812</v>
      </c>
      <c r="E4451" s="5">
        <v>48.3641275995966</v>
      </c>
    </row>
    <row r="4452" ht="14.25" customHeight="1">
      <c r="A4452" s="4"/>
      <c r="B4452" s="4" t="s">
        <v>1802</v>
      </c>
      <c r="C4452" s="4" t="s">
        <v>6658</v>
      </c>
      <c r="D4452" s="4" t="s">
        <v>6659</v>
      </c>
      <c r="E4452" s="5">
        <v>0.601565668060192</v>
      </c>
    </row>
    <row r="4453" ht="14.25" customHeight="1">
      <c r="A4453" s="4"/>
      <c r="B4453" s="4" t="s">
        <v>1802</v>
      </c>
      <c r="C4453" s="4" t="s">
        <v>6660</v>
      </c>
      <c r="D4453" s="4" t="s">
        <v>1812</v>
      </c>
      <c r="E4453" s="5">
        <v>48.3641275995966</v>
      </c>
    </row>
    <row r="4454" ht="14.25" customHeight="1">
      <c r="A4454" s="4"/>
      <c r="B4454" s="4" t="s">
        <v>1802</v>
      </c>
      <c r="C4454" s="4" t="s">
        <v>6661</v>
      </c>
      <c r="D4454" s="4" t="s">
        <v>6662</v>
      </c>
      <c r="E4454" s="5">
        <v>5.99188778155205</v>
      </c>
    </row>
    <row r="4455" ht="14.25" customHeight="1">
      <c r="A4455" s="4"/>
      <c r="B4455" s="4" t="s">
        <v>1802</v>
      </c>
      <c r="C4455" s="4" t="s">
        <v>6663</v>
      </c>
      <c r="D4455" s="4" t="s">
        <v>6664</v>
      </c>
      <c r="E4455" s="5">
        <v>0.626546166566816</v>
      </c>
    </row>
    <row r="4456" ht="14.25" customHeight="1">
      <c r="A4456" s="4"/>
      <c r="B4456" s="4" t="s">
        <v>1802</v>
      </c>
      <c r="C4456" s="4" t="s">
        <v>1753</v>
      </c>
      <c r="D4456" s="4" t="s">
        <v>6665</v>
      </c>
      <c r="E4456" s="5">
        <v>7.7173551082742</v>
      </c>
    </row>
    <row r="4457" ht="14.25" customHeight="1">
      <c r="A4457" s="4"/>
      <c r="B4457" s="4" t="s">
        <v>1802</v>
      </c>
      <c r="C4457" s="4" t="s">
        <v>6666</v>
      </c>
      <c r="D4457" s="4" t="s">
        <v>1812</v>
      </c>
      <c r="E4457" s="5">
        <v>48.3641275995966</v>
      </c>
    </row>
    <row r="4458" ht="14.25" customHeight="1">
      <c r="A4458" s="4"/>
      <c r="B4458" s="4" t="s">
        <v>1802</v>
      </c>
      <c r="C4458" s="4" t="s">
        <v>6667</v>
      </c>
      <c r="D4458" s="4" t="s">
        <v>6668</v>
      </c>
      <c r="E4458" s="5">
        <v>11.1135868906811</v>
      </c>
    </row>
    <row r="4459" ht="14.25" customHeight="1">
      <c r="A4459" s="4"/>
      <c r="B4459" s="4" t="s">
        <v>1802</v>
      </c>
      <c r="C4459" s="4" t="s">
        <v>6669</v>
      </c>
      <c r="D4459" s="4" t="s">
        <v>1812</v>
      </c>
      <c r="E4459" s="5">
        <v>48.3641275995966</v>
      </c>
    </row>
    <row r="4460" ht="14.25" customHeight="1">
      <c r="A4460" s="4"/>
      <c r="B4460" s="4" t="s">
        <v>1802</v>
      </c>
      <c r="C4460" s="4" t="s">
        <v>6670</v>
      </c>
      <c r="D4460" s="4" t="s">
        <v>6671</v>
      </c>
      <c r="E4460" s="5">
        <v>18.1812427538113</v>
      </c>
    </row>
    <row r="4461" ht="14.25" customHeight="1">
      <c r="A4461" s="4"/>
      <c r="B4461" s="4" t="s">
        <v>1802</v>
      </c>
      <c r="C4461" s="4" t="s">
        <v>6672</v>
      </c>
      <c r="D4461" s="4" t="s">
        <v>1821</v>
      </c>
      <c r="E4461" s="5">
        <v>19.3456510398386</v>
      </c>
    </row>
    <row r="4462" ht="14.25" customHeight="1">
      <c r="A4462" s="4"/>
      <c r="B4462" s="4" t="s">
        <v>1802</v>
      </c>
      <c r="C4462" s="4" t="s">
        <v>6673</v>
      </c>
      <c r="D4462" s="4" t="s">
        <v>6674</v>
      </c>
      <c r="E4462" s="5">
        <v>9.97466483000448</v>
      </c>
    </row>
    <row r="4463" ht="14.25" customHeight="1">
      <c r="A4463" s="4"/>
      <c r="B4463" s="4" t="s">
        <v>1802</v>
      </c>
      <c r="C4463" s="4" t="s">
        <v>6675</v>
      </c>
      <c r="D4463" s="4" t="s">
        <v>1812</v>
      </c>
      <c r="E4463" s="5">
        <v>48.3641275995966</v>
      </c>
    </row>
    <row r="4464" ht="14.25" customHeight="1">
      <c r="A4464" s="4"/>
      <c r="B4464" s="4" t="s">
        <v>1802</v>
      </c>
      <c r="C4464" s="4" t="s">
        <v>6676</v>
      </c>
      <c r="D4464" s="4" t="s">
        <v>1812</v>
      </c>
      <c r="E4464" s="5">
        <v>48.3641275995966</v>
      </c>
    </row>
    <row r="4465" ht="14.25" customHeight="1">
      <c r="A4465" s="4"/>
      <c r="B4465" s="4" t="s">
        <v>1802</v>
      </c>
      <c r="C4465" s="4" t="s">
        <v>1794</v>
      </c>
      <c r="D4465" s="4" t="s">
        <v>1812</v>
      </c>
      <c r="E4465" s="5">
        <v>48.3641275995966</v>
      </c>
    </row>
    <row r="4466" ht="14.25" customHeight="1">
      <c r="A4466" s="4"/>
      <c r="B4466" s="4" t="s">
        <v>1802</v>
      </c>
      <c r="C4466" s="4" t="s">
        <v>6677</v>
      </c>
      <c r="D4466" s="4" t="s">
        <v>6678</v>
      </c>
      <c r="E4466" s="5">
        <v>19.2890109296189</v>
      </c>
    </row>
    <row r="4467" ht="14.25" customHeight="1">
      <c r="A4467" s="4"/>
      <c r="B4467" s="4" t="s">
        <v>1802</v>
      </c>
      <c r="C4467" s="4" t="s">
        <v>6679</v>
      </c>
      <c r="D4467" s="4" t="s">
        <v>6680</v>
      </c>
      <c r="E4467" s="5">
        <v>39.956139483053</v>
      </c>
    </row>
    <row r="4468" ht="14.25" customHeight="1">
      <c r="A4468" s="4"/>
      <c r="B4468" s="4" t="s">
        <v>1802</v>
      </c>
      <c r="C4468" s="4" t="s">
        <v>6681</v>
      </c>
      <c r="D4468" s="4" t="s">
        <v>1812</v>
      </c>
      <c r="E4468" s="5">
        <v>48.3641275995966</v>
      </c>
    </row>
    <row r="4469" ht="14.25" customHeight="1">
      <c r="A4469" s="4"/>
      <c r="B4469" s="4" t="s">
        <v>1802</v>
      </c>
      <c r="C4469" s="4" t="s">
        <v>6682</v>
      </c>
      <c r="D4469" s="4" t="s">
        <v>6683</v>
      </c>
      <c r="E4469" s="5">
        <v>9.67540386650331</v>
      </c>
    </row>
    <row r="4470" ht="14.25" customHeight="1">
      <c r="A4470" s="4"/>
      <c r="B4470" s="4" t="s">
        <v>1802</v>
      </c>
      <c r="C4470" s="4" t="s">
        <v>6684</v>
      </c>
      <c r="D4470" s="4" t="s">
        <v>6685</v>
      </c>
      <c r="E4470" s="5">
        <v>37.8852167046201</v>
      </c>
    </row>
    <row r="4471" ht="14.25" customHeight="1">
      <c r="A4471" s="4"/>
      <c r="B4471" s="4" t="s">
        <v>1802</v>
      </c>
      <c r="C4471" s="4" t="s">
        <v>6686</v>
      </c>
      <c r="D4471" s="4" t="s">
        <v>1812</v>
      </c>
      <c r="E4471" s="5">
        <v>48.3641275995966</v>
      </c>
    </row>
    <row r="4472" ht="14.25" customHeight="1">
      <c r="A4472" s="4"/>
      <c r="B4472" s="4" t="s">
        <v>1802</v>
      </c>
      <c r="C4472" s="4" t="s">
        <v>6687</v>
      </c>
      <c r="D4472" s="4" t="s">
        <v>1812</v>
      </c>
      <c r="E4472" s="5">
        <v>48.3641275995966</v>
      </c>
    </row>
    <row r="4473" ht="14.25" customHeight="1">
      <c r="A4473" s="4"/>
      <c r="B4473" s="4" t="s">
        <v>1802</v>
      </c>
      <c r="C4473" s="4" t="s">
        <v>1705</v>
      </c>
      <c r="D4473" s="4" t="s">
        <v>6688</v>
      </c>
      <c r="E4473" s="5">
        <v>43.1333402348322</v>
      </c>
    </row>
    <row r="4474" ht="14.25" customHeight="1">
      <c r="A4474" s="4"/>
      <c r="B4474" s="4" t="s">
        <v>1802</v>
      </c>
      <c r="C4474" s="4" t="s">
        <v>6689</v>
      </c>
      <c r="D4474" s="4" t="s">
        <v>1812</v>
      </c>
      <c r="E4474" s="5">
        <v>48.3641275995966</v>
      </c>
    </row>
    <row r="4475" ht="14.25" customHeight="1">
      <c r="A4475" s="4"/>
      <c r="B4475" s="4" t="s">
        <v>1802</v>
      </c>
      <c r="C4475" s="4" t="s">
        <v>6690</v>
      </c>
      <c r="D4475" s="4" t="s">
        <v>6691</v>
      </c>
      <c r="E4475" s="5">
        <v>9.427871518129251</v>
      </c>
    </row>
    <row r="4476" ht="14.25" customHeight="1">
      <c r="A4476" s="4"/>
      <c r="B4476" s="4" t="s">
        <v>1802</v>
      </c>
      <c r="C4476" s="4" t="s">
        <v>6692</v>
      </c>
      <c r="D4476" s="4" t="s">
        <v>1812</v>
      </c>
      <c r="E4476" s="5">
        <v>48.3641275995966</v>
      </c>
    </row>
    <row r="4477" ht="14.25" customHeight="1">
      <c r="A4477" s="4"/>
      <c r="B4477" s="4" t="s">
        <v>1802</v>
      </c>
      <c r="C4477" s="4" t="s">
        <v>6693</v>
      </c>
      <c r="D4477" s="4" t="s">
        <v>6694</v>
      </c>
      <c r="E4477" s="5">
        <v>9.75079418742189</v>
      </c>
    </row>
    <row r="4478" ht="14.25" customHeight="1">
      <c r="A4478" s="4"/>
      <c r="B4478" s="4" t="s">
        <v>1802</v>
      </c>
      <c r="C4478" s="4" t="s">
        <v>6695</v>
      </c>
      <c r="D4478" s="4" t="s">
        <v>1812</v>
      </c>
      <c r="E4478" s="5">
        <v>48.3641275995966</v>
      </c>
    </row>
    <row r="4479" ht="14.25" customHeight="1">
      <c r="A4479" s="4"/>
      <c r="B4479" s="4" t="s">
        <v>1802</v>
      </c>
      <c r="C4479" s="4" t="s">
        <v>6696</v>
      </c>
      <c r="D4479" s="4" t="s">
        <v>6697</v>
      </c>
      <c r="E4479" s="5">
        <v>1.08050627904222</v>
      </c>
    </row>
    <row r="4480" ht="14.25" customHeight="1">
      <c r="A4480" s="4"/>
      <c r="B4480" s="4" t="s">
        <v>1802</v>
      </c>
      <c r="C4480" s="4" t="s">
        <v>6698</v>
      </c>
      <c r="D4480" s="4" t="s">
        <v>6699</v>
      </c>
      <c r="E4480" s="5">
        <v>9.66703629728238</v>
      </c>
    </row>
    <row r="4481" ht="14.25" customHeight="1">
      <c r="A4481" s="4"/>
      <c r="B4481" s="4" t="s">
        <v>1802</v>
      </c>
      <c r="C4481" s="4" t="s">
        <v>6700</v>
      </c>
      <c r="D4481" s="4" t="s">
        <v>6701</v>
      </c>
      <c r="E4481" s="5">
        <v>6.47402036931367</v>
      </c>
    </row>
    <row r="4482" ht="14.25" customHeight="1">
      <c r="A4482" s="4"/>
      <c r="B4482" s="4" t="s">
        <v>1802</v>
      </c>
      <c r="C4482" s="4" t="s">
        <v>6702</v>
      </c>
      <c r="D4482" s="4" t="s">
        <v>1812</v>
      </c>
      <c r="E4482" s="5">
        <v>48.3641275995966</v>
      </c>
    </row>
    <row r="4483" ht="14.25" customHeight="1">
      <c r="A4483" s="4"/>
      <c r="B4483" s="4" t="s">
        <v>1802</v>
      </c>
      <c r="C4483" s="4" t="s">
        <v>97</v>
      </c>
      <c r="D4483" s="4" t="s">
        <v>1812</v>
      </c>
      <c r="E4483" s="5">
        <v>48.3641275995966</v>
      </c>
    </row>
    <row r="4484" ht="14.25" customHeight="1">
      <c r="A4484" s="4"/>
      <c r="B4484" s="4" t="s">
        <v>1802</v>
      </c>
      <c r="C4484" s="4" t="s">
        <v>6703</v>
      </c>
      <c r="D4484" s="4" t="s">
        <v>1837</v>
      </c>
      <c r="E4484" s="5">
        <v>9.672825519919328</v>
      </c>
    </row>
    <row r="4485" ht="14.25" customHeight="1">
      <c r="A4485" s="4"/>
      <c r="B4485" s="4" t="s">
        <v>1802</v>
      </c>
      <c r="C4485" s="4" t="s">
        <v>6704</v>
      </c>
      <c r="D4485" s="4" t="s">
        <v>6705</v>
      </c>
      <c r="E4485" s="5">
        <v>44.1957637552928</v>
      </c>
    </row>
    <row r="4486" ht="14.25" customHeight="1">
      <c r="A4486" s="4"/>
      <c r="B4486" s="4" t="s">
        <v>1802</v>
      </c>
      <c r="C4486" s="4" t="s">
        <v>6706</v>
      </c>
      <c r="D4486" s="4" t="s">
        <v>2062</v>
      </c>
      <c r="E4486" s="5">
        <v>9.86628203031772</v>
      </c>
    </row>
    <row r="4487" ht="14.25" customHeight="1">
      <c r="A4487" s="4"/>
      <c r="B4487" s="4" t="s">
        <v>1802</v>
      </c>
      <c r="C4487" s="4" t="s">
        <v>6707</v>
      </c>
      <c r="D4487" s="4" t="s">
        <v>6708</v>
      </c>
      <c r="E4487" s="5">
        <v>8.813782636899699</v>
      </c>
    </row>
    <row r="4488" ht="14.25" customHeight="1">
      <c r="A4488" s="4"/>
      <c r="B4488" s="4" t="s">
        <v>1802</v>
      </c>
      <c r="C4488" s="4" t="s">
        <v>174</v>
      </c>
      <c r="D4488" s="4" t="s">
        <v>6709</v>
      </c>
      <c r="E4488" s="5">
        <v>47.542252313386</v>
      </c>
    </row>
    <row r="4489" ht="14.25" customHeight="1">
      <c r="A4489" s="4"/>
      <c r="B4489" s="4" t="s">
        <v>1802</v>
      </c>
      <c r="C4489" s="4" t="s">
        <v>6710</v>
      </c>
      <c r="D4489" s="4" t="s">
        <v>1812</v>
      </c>
      <c r="E4489" s="5">
        <v>48.3641275995966</v>
      </c>
    </row>
    <row r="4490" ht="14.25" customHeight="1">
      <c r="A4490" s="4"/>
      <c r="B4490" s="4" t="s">
        <v>1802</v>
      </c>
      <c r="C4490" s="4" t="s">
        <v>6711</v>
      </c>
      <c r="D4490" s="4" t="s">
        <v>6712</v>
      </c>
      <c r="E4490" s="5">
        <v>3.35885504202958</v>
      </c>
    </row>
    <row r="4491" ht="14.25" customHeight="1">
      <c r="A4491" s="4"/>
      <c r="B4491" s="4" t="s">
        <v>1802</v>
      </c>
      <c r="C4491" s="4" t="s">
        <v>6713</v>
      </c>
      <c r="D4491" s="4" t="s">
        <v>6714</v>
      </c>
      <c r="E4491" s="5">
        <v>23.4082375690534</v>
      </c>
    </row>
    <row r="4492" ht="14.25" customHeight="1">
      <c r="A4492" s="4"/>
      <c r="B4492" s="4" t="s">
        <v>1802</v>
      </c>
      <c r="C4492" s="4" t="s">
        <v>6715</v>
      </c>
      <c r="D4492" s="4" t="s">
        <v>6716</v>
      </c>
      <c r="E4492" s="5">
        <v>8.07005642046121</v>
      </c>
    </row>
    <row r="4493" ht="14.25" customHeight="1">
      <c r="A4493" s="4"/>
      <c r="B4493" s="4" t="s">
        <v>1802</v>
      </c>
      <c r="C4493" s="4" t="s">
        <v>6717</v>
      </c>
      <c r="D4493" s="4" t="s">
        <v>1812</v>
      </c>
      <c r="E4493" s="5">
        <v>48.3641275995966</v>
      </c>
    </row>
    <row r="4494" ht="14.25" customHeight="1">
      <c r="A4494" s="4"/>
      <c r="B4494" s="4" t="s">
        <v>1802</v>
      </c>
      <c r="C4494" s="4" t="s">
        <v>1389</v>
      </c>
      <c r="D4494" s="4" t="s">
        <v>6718</v>
      </c>
      <c r="E4494" s="5">
        <v>14.7031302515391</v>
      </c>
    </row>
    <row r="4495" ht="14.25" customHeight="1">
      <c r="A4495" s="4"/>
      <c r="B4495" s="4" t="s">
        <v>1802</v>
      </c>
      <c r="C4495" s="4" t="s">
        <v>6719</v>
      </c>
      <c r="D4495" s="4" t="s">
        <v>6720</v>
      </c>
      <c r="E4495" s="5">
        <v>1.47037447707555</v>
      </c>
    </row>
    <row r="4496" ht="14.25" customHeight="1">
      <c r="A4496" s="4"/>
      <c r="B4496" s="4" t="s">
        <v>1802</v>
      </c>
      <c r="C4496" s="4" t="s">
        <v>6721</v>
      </c>
      <c r="D4496" s="4" t="s">
        <v>1821</v>
      </c>
      <c r="E4496" s="5">
        <v>19.3456510398386</v>
      </c>
    </row>
    <row r="4497" ht="14.25" customHeight="1">
      <c r="A4497" s="4"/>
      <c r="B4497" s="4" t="s">
        <v>1802</v>
      </c>
      <c r="C4497" s="4" t="s">
        <v>1512</v>
      </c>
      <c r="D4497" s="4" t="s">
        <v>1812</v>
      </c>
      <c r="E4497" s="5">
        <v>48.3641275995966</v>
      </c>
    </row>
    <row r="4498" ht="14.25" customHeight="1">
      <c r="A4498" s="4"/>
      <c r="B4498" s="4" t="s">
        <v>1802</v>
      </c>
      <c r="C4498" s="4" t="s">
        <v>6722</v>
      </c>
      <c r="D4498" s="4" t="s">
        <v>1821</v>
      </c>
      <c r="E4498" s="5">
        <v>19.3456510398386</v>
      </c>
    </row>
    <row r="4499" ht="14.25" customHeight="1">
      <c r="A4499" s="4"/>
      <c r="B4499" s="4" t="s">
        <v>1802</v>
      </c>
      <c r="C4499" s="4" t="s">
        <v>6723</v>
      </c>
      <c r="D4499" s="4" t="s">
        <v>6724</v>
      </c>
      <c r="E4499" s="5">
        <v>32.9467858362092</v>
      </c>
    </row>
    <row r="4500" ht="14.25" customHeight="1">
      <c r="A4500" s="4"/>
      <c r="B4500" s="4" t="s">
        <v>1802</v>
      </c>
      <c r="C4500" s="4" t="s">
        <v>6725</v>
      </c>
      <c r="D4500" s="4" t="s">
        <v>2105</v>
      </c>
      <c r="E4500" s="5">
        <v>29.018476559758</v>
      </c>
    </row>
    <row r="4501" ht="14.25" customHeight="1">
      <c r="A4501" s="4"/>
      <c r="B4501" s="4" t="s">
        <v>1802</v>
      </c>
      <c r="C4501" s="4" t="s">
        <v>6726</v>
      </c>
      <c r="D4501" s="4" t="s">
        <v>1812</v>
      </c>
      <c r="E4501" s="5">
        <v>48.3641275995966</v>
      </c>
    </row>
    <row r="4502" ht="14.25" customHeight="1">
      <c r="A4502" s="4"/>
      <c r="B4502" s="4" t="s">
        <v>1802</v>
      </c>
      <c r="C4502" s="4" t="s">
        <v>749</v>
      </c>
      <c r="D4502" s="4" t="s">
        <v>1812</v>
      </c>
      <c r="E4502" s="5">
        <v>48.3641275995966</v>
      </c>
    </row>
    <row r="4503" ht="14.25" customHeight="1">
      <c r="A4503" s="4"/>
      <c r="B4503" s="4" t="s">
        <v>1802</v>
      </c>
      <c r="C4503" s="4" t="s">
        <v>6727</v>
      </c>
      <c r="D4503" s="4" t="s">
        <v>6728</v>
      </c>
      <c r="E4503" s="5">
        <v>27.652761504056002</v>
      </c>
    </row>
    <row r="4504" ht="14.25" customHeight="1">
      <c r="A4504" s="4"/>
      <c r="B4504" s="4" t="s">
        <v>1802</v>
      </c>
      <c r="C4504" s="4" t="s">
        <v>6729</v>
      </c>
      <c r="D4504" s="4" t="s">
        <v>6730</v>
      </c>
      <c r="E4504" s="5">
        <v>9.25467396850345</v>
      </c>
    </row>
    <row r="4505" ht="14.25" customHeight="1">
      <c r="A4505" s="4"/>
      <c r="B4505" s="4" t="s">
        <v>1802</v>
      </c>
      <c r="C4505" s="4" t="s">
        <v>6731</v>
      </c>
      <c r="D4505" s="4" t="s">
        <v>1812</v>
      </c>
      <c r="E4505" s="5">
        <v>48.3641275995966</v>
      </c>
    </row>
    <row r="4506" ht="14.25" customHeight="1">
      <c r="A4506" s="4"/>
      <c r="B4506" s="4" t="s">
        <v>1802</v>
      </c>
      <c r="C4506" s="4" t="s">
        <v>6732</v>
      </c>
      <c r="D4506" s="4" t="s">
        <v>6733</v>
      </c>
      <c r="E4506" s="5">
        <v>12.0649929257911</v>
      </c>
    </row>
    <row r="4507" ht="14.25" customHeight="1">
      <c r="A4507" s="4"/>
      <c r="B4507" s="4" t="s">
        <v>1802</v>
      </c>
      <c r="C4507" s="4" t="s">
        <v>6734</v>
      </c>
      <c r="D4507" s="4" t="s">
        <v>6735</v>
      </c>
      <c r="E4507" s="5">
        <v>39.0782151004741</v>
      </c>
    </row>
    <row r="4508" ht="14.25" customHeight="1">
      <c r="A4508" s="4"/>
      <c r="B4508" s="4" t="s">
        <v>1802</v>
      </c>
      <c r="C4508" s="4" t="s">
        <v>6736</v>
      </c>
      <c r="D4508" s="4" t="s">
        <v>1812</v>
      </c>
      <c r="E4508" s="5">
        <v>48.3641275995966</v>
      </c>
    </row>
    <row r="4509" ht="14.25" customHeight="1">
      <c r="A4509" s="4"/>
      <c r="B4509" s="4" t="s">
        <v>1802</v>
      </c>
      <c r="C4509" s="4" t="s">
        <v>6737</v>
      </c>
      <c r="D4509" s="4" t="s">
        <v>6738</v>
      </c>
      <c r="E4509" s="5">
        <v>14.552517223381601</v>
      </c>
    </row>
    <row r="4510" ht="14.25" customHeight="1">
      <c r="A4510" s="4"/>
      <c r="B4510" s="4" t="s">
        <v>1802</v>
      </c>
      <c r="C4510" s="4" t="s">
        <v>6739</v>
      </c>
      <c r="D4510" s="4" t="s">
        <v>6740</v>
      </c>
      <c r="E4510" s="5">
        <v>5.2893485427088995</v>
      </c>
    </row>
    <row r="4511" ht="14.25" customHeight="1">
      <c r="A4511" s="4"/>
      <c r="B4511" s="4" t="s">
        <v>1802</v>
      </c>
      <c r="C4511" s="4" t="s">
        <v>6741</v>
      </c>
      <c r="D4511" s="4" t="s">
        <v>6742</v>
      </c>
      <c r="E4511" s="5">
        <v>19.1239307868925</v>
      </c>
    </row>
    <row r="4512" ht="14.25" customHeight="1">
      <c r="A4512" s="4"/>
      <c r="B4512" s="4" t="s">
        <v>1802</v>
      </c>
      <c r="C4512" s="4" t="s">
        <v>6743</v>
      </c>
      <c r="D4512" s="4" t="s">
        <v>6744</v>
      </c>
      <c r="E4512" s="5">
        <v>43.723354163166896</v>
      </c>
    </row>
    <row r="4513" ht="14.25" customHeight="1">
      <c r="A4513" s="4"/>
      <c r="B4513" s="4" t="s">
        <v>1802</v>
      </c>
      <c r="C4513" s="4" t="s">
        <v>6745</v>
      </c>
      <c r="D4513" s="4" t="s">
        <v>1812</v>
      </c>
      <c r="E4513" s="5">
        <v>48.3641275995966</v>
      </c>
    </row>
    <row r="4514" ht="14.25" customHeight="1">
      <c r="A4514" s="4"/>
      <c r="B4514" s="4" t="s">
        <v>1802</v>
      </c>
      <c r="C4514" s="4" t="s">
        <v>6746</v>
      </c>
      <c r="D4514" s="4" t="s">
        <v>1821</v>
      </c>
      <c r="E4514" s="5">
        <v>19.3456510398386</v>
      </c>
    </row>
    <row r="4515" ht="14.25" customHeight="1">
      <c r="A4515" s="4"/>
      <c r="B4515" s="4" t="s">
        <v>1802</v>
      </c>
      <c r="C4515" s="4" t="s">
        <v>6747</v>
      </c>
      <c r="D4515" s="4" t="s">
        <v>1812</v>
      </c>
      <c r="E4515" s="5">
        <v>48.3641275995966</v>
      </c>
    </row>
    <row r="4516" ht="14.25" customHeight="1">
      <c r="A4516" s="4"/>
      <c r="B4516" s="4" t="s">
        <v>1802</v>
      </c>
      <c r="C4516" s="4" t="s">
        <v>6748</v>
      </c>
      <c r="D4516" s="4" t="s">
        <v>1812</v>
      </c>
      <c r="E4516" s="5">
        <v>48.3641275995966</v>
      </c>
    </row>
    <row r="4517" ht="14.25" customHeight="1">
      <c r="A4517" s="4"/>
      <c r="B4517" s="4" t="s">
        <v>1802</v>
      </c>
      <c r="C4517" s="4" t="s">
        <v>6749</v>
      </c>
      <c r="D4517" s="4" t="s">
        <v>6750</v>
      </c>
      <c r="E4517" s="5">
        <v>45.256881163130394</v>
      </c>
    </row>
    <row r="4518" ht="14.25" customHeight="1">
      <c r="A4518" s="4"/>
      <c r="B4518" s="4" t="s">
        <v>1802</v>
      </c>
      <c r="C4518" s="4" t="s">
        <v>6751</v>
      </c>
      <c r="D4518" s="4" t="s">
        <v>1812</v>
      </c>
      <c r="E4518" s="5">
        <v>48.3641275995966</v>
      </c>
    </row>
    <row r="4519" ht="14.25" customHeight="1">
      <c r="A4519" s="4"/>
      <c r="B4519" s="4" t="s">
        <v>1802</v>
      </c>
      <c r="C4519" s="4" t="s">
        <v>6752</v>
      </c>
      <c r="D4519" s="4" t="s">
        <v>3050</v>
      </c>
      <c r="E4519" s="5">
        <v>10.6401080719112</v>
      </c>
    </row>
    <row r="4520" ht="14.25" customHeight="1">
      <c r="A4520" s="4"/>
      <c r="B4520" s="4" t="s">
        <v>1802</v>
      </c>
      <c r="C4520" s="4" t="s">
        <v>6753</v>
      </c>
      <c r="D4520" s="4" t="s">
        <v>1812</v>
      </c>
      <c r="E4520" s="5">
        <v>48.3641275995966</v>
      </c>
    </row>
    <row r="4521" ht="14.25" customHeight="1">
      <c r="A4521" s="4"/>
      <c r="B4521" s="4" t="s">
        <v>1802</v>
      </c>
      <c r="C4521" s="4" t="s">
        <v>6754</v>
      </c>
      <c r="D4521" s="4" t="s">
        <v>6755</v>
      </c>
      <c r="E4521" s="5">
        <v>16.337432822069</v>
      </c>
    </row>
    <row r="4522" ht="14.25" customHeight="1">
      <c r="A4522" s="4"/>
      <c r="B4522" s="4" t="s">
        <v>1802</v>
      </c>
      <c r="C4522" s="4" t="s">
        <v>6756</v>
      </c>
      <c r="D4522" s="4" t="s">
        <v>6757</v>
      </c>
      <c r="E4522" s="5">
        <v>23.8103974978581</v>
      </c>
    </row>
    <row r="4523" ht="14.25" customHeight="1">
      <c r="A4523" s="4"/>
      <c r="B4523" s="4" t="s">
        <v>1802</v>
      </c>
      <c r="C4523" s="4" t="s">
        <v>6758</v>
      </c>
      <c r="D4523" s="4" t="s">
        <v>6759</v>
      </c>
      <c r="E4523" s="5">
        <v>43.9463822700935</v>
      </c>
    </row>
    <row r="4524" ht="14.25" customHeight="1">
      <c r="A4524" s="4"/>
      <c r="B4524" s="4" t="s">
        <v>1802</v>
      </c>
      <c r="C4524" s="4" t="s">
        <v>6760</v>
      </c>
      <c r="D4524" s="4" t="s">
        <v>1812</v>
      </c>
      <c r="E4524" s="5">
        <v>48.3641275995966</v>
      </c>
    </row>
    <row r="4525" ht="14.25" customHeight="1">
      <c r="A4525" s="4"/>
      <c r="B4525" s="4" t="s">
        <v>1802</v>
      </c>
      <c r="C4525" s="4" t="s">
        <v>6761</v>
      </c>
      <c r="D4525" s="4" t="s">
        <v>1812</v>
      </c>
      <c r="E4525" s="5">
        <v>48.3641275995966</v>
      </c>
    </row>
    <row r="4526" ht="14.25" customHeight="1">
      <c r="A4526" s="4"/>
      <c r="B4526" s="4" t="s">
        <v>1802</v>
      </c>
      <c r="C4526" s="4" t="s">
        <v>6762</v>
      </c>
      <c r="D4526" s="4" t="s">
        <v>6763</v>
      </c>
      <c r="E4526" s="5">
        <v>21.5853291429423</v>
      </c>
    </row>
    <row r="4527" ht="14.25" customHeight="1">
      <c r="A4527" s="4"/>
      <c r="B4527" s="4" t="s">
        <v>1802</v>
      </c>
      <c r="C4527" s="4" t="s">
        <v>6764</v>
      </c>
      <c r="D4527" s="4" t="s">
        <v>1812</v>
      </c>
      <c r="E4527" s="5">
        <v>48.3641275995966</v>
      </c>
    </row>
    <row r="4528" ht="14.25" customHeight="1">
      <c r="A4528" s="4"/>
      <c r="B4528" s="4" t="s">
        <v>1802</v>
      </c>
      <c r="C4528" s="4" t="s">
        <v>6765</v>
      </c>
      <c r="D4528" s="4" t="s">
        <v>6766</v>
      </c>
      <c r="E4528" s="5">
        <v>43.4855413203701</v>
      </c>
    </row>
    <row r="4529" ht="14.25" customHeight="1">
      <c r="A4529" s="4"/>
      <c r="B4529" s="4" t="s">
        <v>1802</v>
      </c>
      <c r="C4529" s="4" t="s">
        <v>6767</v>
      </c>
      <c r="D4529" s="4" t="s">
        <v>6768</v>
      </c>
      <c r="E4529" s="5">
        <v>19.2874761916923</v>
      </c>
    </row>
    <row r="4530" ht="14.25" customHeight="1">
      <c r="A4530" s="4"/>
      <c r="B4530" s="4" t="s">
        <v>1802</v>
      </c>
      <c r="C4530" s="4" t="s">
        <v>6769</v>
      </c>
      <c r="D4530" s="4" t="s">
        <v>6770</v>
      </c>
      <c r="E4530" s="5">
        <v>47.7876838658147</v>
      </c>
    </row>
    <row r="4531" ht="14.25" customHeight="1">
      <c r="A4531" s="4"/>
      <c r="B4531" s="4" t="s">
        <v>1802</v>
      </c>
      <c r="C4531" s="4" t="s">
        <v>6771</v>
      </c>
      <c r="D4531" s="4" t="s">
        <v>1812</v>
      </c>
      <c r="E4531" s="5">
        <v>48.3641275995966</v>
      </c>
    </row>
    <row r="4532" ht="14.25" customHeight="1">
      <c r="A4532" s="4"/>
      <c r="B4532" s="4" t="s">
        <v>1802</v>
      </c>
      <c r="C4532" s="4" t="s">
        <v>6772</v>
      </c>
      <c r="D4532" s="4" t="s">
        <v>1837</v>
      </c>
      <c r="E4532" s="5">
        <v>9.672825519919328</v>
      </c>
    </row>
    <row r="4533" ht="14.25" customHeight="1">
      <c r="A4533" s="4"/>
      <c r="B4533" s="4" t="s">
        <v>1802</v>
      </c>
      <c r="C4533" s="4" t="s">
        <v>6773</v>
      </c>
      <c r="D4533" s="4" t="s">
        <v>6774</v>
      </c>
      <c r="E4533" s="5">
        <v>17.5872174968552</v>
      </c>
    </row>
    <row r="4534" ht="14.25" customHeight="1">
      <c r="A4534" s="4"/>
      <c r="B4534" s="4" t="s">
        <v>1802</v>
      </c>
      <c r="C4534" s="4" t="s">
        <v>6775</v>
      </c>
      <c r="D4534" s="4" t="s">
        <v>1812</v>
      </c>
      <c r="E4534" s="5">
        <v>48.3641275995966</v>
      </c>
    </row>
    <row r="4535" ht="14.25" customHeight="1">
      <c r="A4535" s="4"/>
      <c r="B4535" s="4" t="s">
        <v>1802</v>
      </c>
      <c r="C4535" s="4" t="s">
        <v>6776</v>
      </c>
      <c r="D4535" s="4" t="s">
        <v>6777</v>
      </c>
      <c r="E4535" s="5">
        <v>43.62242431539661</v>
      </c>
    </row>
    <row r="4536" ht="14.25" customHeight="1">
      <c r="A4536" s="4"/>
      <c r="B4536" s="4" t="s">
        <v>1802</v>
      </c>
      <c r="C4536" s="4" t="s">
        <v>6778</v>
      </c>
      <c r="D4536" s="4" t="s">
        <v>6779</v>
      </c>
      <c r="E4536" s="5">
        <v>9.96026854343622</v>
      </c>
    </row>
    <row r="4537" ht="14.25" customHeight="1">
      <c r="A4537" s="4"/>
      <c r="B4537" s="4" t="s">
        <v>1802</v>
      </c>
      <c r="C4537" s="4" t="s">
        <v>6780</v>
      </c>
      <c r="D4537" s="4" t="s">
        <v>6781</v>
      </c>
      <c r="E4537" s="5">
        <v>43.5721536805501</v>
      </c>
    </row>
    <row r="4538" ht="14.25" customHeight="1">
      <c r="A4538" s="4"/>
      <c r="B4538" s="4" t="s">
        <v>1802</v>
      </c>
      <c r="C4538" s="4" t="s">
        <v>6782</v>
      </c>
      <c r="D4538" s="4" t="s">
        <v>6783</v>
      </c>
      <c r="E4538" s="5">
        <v>34.3190174417873</v>
      </c>
    </row>
    <row r="4539" ht="14.25" customHeight="1">
      <c r="A4539" s="4"/>
      <c r="B4539" s="4" t="s">
        <v>1802</v>
      </c>
      <c r="C4539" s="4" t="s">
        <v>6784</v>
      </c>
      <c r="D4539" s="4" t="s">
        <v>6785</v>
      </c>
      <c r="E4539" s="5">
        <v>5.31991184196138</v>
      </c>
    </row>
    <row r="4540" ht="14.25" customHeight="1">
      <c r="A4540" s="4"/>
      <c r="B4540" s="4" t="s">
        <v>1802</v>
      </c>
      <c r="C4540" s="4" t="s">
        <v>6786</v>
      </c>
      <c r="D4540" s="4" t="s">
        <v>2093</v>
      </c>
      <c r="E4540" s="5">
        <v>12.5746731758951</v>
      </c>
    </row>
    <row r="4541" ht="14.25" customHeight="1">
      <c r="A4541" s="4"/>
      <c r="B4541" s="4" t="s">
        <v>1802</v>
      </c>
      <c r="C4541" s="4" t="s">
        <v>6787</v>
      </c>
      <c r="D4541" s="4" t="s">
        <v>6788</v>
      </c>
      <c r="E4541" s="5">
        <v>34.6350175988092</v>
      </c>
    </row>
    <row r="4542" ht="14.25" customHeight="1">
      <c r="A4542" s="4"/>
      <c r="B4542" s="4" t="s">
        <v>1802</v>
      </c>
      <c r="C4542" s="4" t="s">
        <v>6789</v>
      </c>
      <c r="D4542" s="4" t="s">
        <v>1821</v>
      </c>
      <c r="E4542" s="5">
        <v>19.3456510398386</v>
      </c>
    </row>
    <row r="4543" ht="14.25" customHeight="1">
      <c r="A4543" s="4"/>
      <c r="B4543" s="4" t="s">
        <v>1802</v>
      </c>
      <c r="C4543" s="4" t="s">
        <v>6790</v>
      </c>
      <c r="D4543" s="4" t="s">
        <v>6791</v>
      </c>
      <c r="E4543" s="5">
        <v>4.64680604446964</v>
      </c>
    </row>
    <row r="4544" ht="14.25" customHeight="1">
      <c r="A4544" s="4"/>
      <c r="B4544" s="4" t="s">
        <v>1802</v>
      </c>
      <c r="C4544" s="4" t="s">
        <v>6792</v>
      </c>
      <c r="D4544" s="4" t="s">
        <v>1812</v>
      </c>
      <c r="E4544" s="5">
        <v>48.3641275995966</v>
      </c>
    </row>
    <row r="4545" ht="14.25" customHeight="1">
      <c r="A4545" s="4"/>
      <c r="B4545" s="4" t="s">
        <v>1802</v>
      </c>
      <c r="C4545" s="4" t="s">
        <v>6793</v>
      </c>
      <c r="D4545" s="4" t="s">
        <v>1984</v>
      </c>
      <c r="E4545" s="5">
        <v>19.539107550237</v>
      </c>
    </row>
    <row r="4546" ht="14.25" customHeight="1">
      <c r="A4546" s="4"/>
      <c r="B4546" s="4" t="s">
        <v>1802</v>
      </c>
      <c r="C4546" s="4" t="s">
        <v>6794</v>
      </c>
      <c r="D4546" s="4" t="s">
        <v>6025</v>
      </c>
      <c r="E4546" s="5">
        <v>10.4466515615128</v>
      </c>
    </row>
    <row r="4547" ht="14.25" customHeight="1">
      <c r="A4547" s="4"/>
      <c r="B4547" s="4" t="s">
        <v>1802</v>
      </c>
      <c r="C4547" s="4" t="s">
        <v>1675</v>
      </c>
      <c r="D4547" s="4" t="s">
        <v>1812</v>
      </c>
      <c r="E4547" s="5">
        <v>48.3641275995966</v>
      </c>
    </row>
    <row r="4548" ht="14.25" customHeight="1">
      <c r="A4548" s="4"/>
      <c r="B4548" s="4" t="s">
        <v>1802</v>
      </c>
      <c r="C4548" s="4" t="s">
        <v>6795</v>
      </c>
      <c r="D4548" s="4" t="s">
        <v>1812</v>
      </c>
      <c r="E4548" s="5">
        <v>48.3641275995966</v>
      </c>
    </row>
    <row r="4549" ht="14.25" customHeight="1">
      <c r="A4549" s="4"/>
      <c r="B4549" s="4" t="s">
        <v>1802</v>
      </c>
      <c r="C4549" s="4" t="s">
        <v>6796</v>
      </c>
      <c r="D4549" s="4" t="s">
        <v>6797</v>
      </c>
      <c r="E4549" s="5">
        <v>14.547535441252801</v>
      </c>
    </row>
    <row r="4550" ht="14.25" customHeight="1">
      <c r="A4550" s="4"/>
      <c r="B4550" s="4" t="s">
        <v>1802</v>
      </c>
      <c r="C4550" s="4" t="s">
        <v>6798</v>
      </c>
      <c r="D4550" s="4" t="s">
        <v>1812</v>
      </c>
      <c r="E4550" s="5">
        <v>48.3641275995966</v>
      </c>
    </row>
    <row r="4551" ht="14.25" customHeight="1">
      <c r="A4551" s="4"/>
      <c r="B4551" s="4" t="s">
        <v>1802</v>
      </c>
      <c r="C4551" s="4" t="s">
        <v>6799</v>
      </c>
      <c r="D4551" s="4" t="s">
        <v>3328</v>
      </c>
      <c r="E4551" s="5">
        <v>24.1820637997983</v>
      </c>
    </row>
    <row r="4552" ht="14.25" customHeight="1">
      <c r="A4552" s="4"/>
      <c r="B4552" s="4" t="s">
        <v>1802</v>
      </c>
      <c r="C4552" s="4" t="s">
        <v>6800</v>
      </c>
      <c r="D4552" s="4" t="s">
        <v>1812</v>
      </c>
      <c r="E4552" s="5">
        <v>48.3641275995966</v>
      </c>
    </row>
    <row r="4553" ht="14.25" customHeight="1">
      <c r="A4553" s="4"/>
      <c r="B4553" s="4" t="s">
        <v>1802</v>
      </c>
      <c r="C4553" s="4" t="s">
        <v>6801</v>
      </c>
      <c r="D4553" s="4" t="s">
        <v>6802</v>
      </c>
      <c r="E4553" s="5">
        <v>11.9301263594479</v>
      </c>
    </row>
    <row r="4554" ht="14.25" customHeight="1">
      <c r="A4554" s="4"/>
      <c r="B4554" s="4" t="s">
        <v>1802</v>
      </c>
      <c r="C4554" s="4" t="s">
        <v>6803</v>
      </c>
      <c r="D4554" s="4" t="s">
        <v>6804</v>
      </c>
      <c r="E4554" s="5">
        <v>42.0894198934672</v>
      </c>
    </row>
    <row r="4555" ht="14.25" customHeight="1">
      <c r="A4555" s="4"/>
      <c r="B4555" s="4" t="s">
        <v>1802</v>
      </c>
      <c r="C4555" s="4" t="s">
        <v>6805</v>
      </c>
      <c r="D4555" s="4" t="s">
        <v>6806</v>
      </c>
      <c r="E4555" s="5">
        <v>39.832583065807796</v>
      </c>
    </row>
    <row r="4556" ht="14.25" customHeight="1">
      <c r="A4556" s="4"/>
      <c r="B4556" s="4" t="s">
        <v>1802</v>
      </c>
      <c r="C4556" s="4" t="s">
        <v>6807</v>
      </c>
      <c r="D4556" s="4" t="s">
        <v>6808</v>
      </c>
      <c r="E4556" s="5">
        <v>4.930540563365651</v>
      </c>
    </row>
    <row r="4557" ht="14.25" customHeight="1">
      <c r="A4557" s="4"/>
      <c r="B4557" s="4" t="s">
        <v>1802</v>
      </c>
      <c r="C4557" s="4" t="s">
        <v>6809</v>
      </c>
      <c r="D4557" s="4" t="s">
        <v>6810</v>
      </c>
      <c r="E4557" s="5">
        <v>30.085042923913498</v>
      </c>
    </row>
    <row r="4558" ht="14.25" customHeight="1">
      <c r="A4558" s="4"/>
      <c r="B4558" s="4" t="s">
        <v>1802</v>
      </c>
      <c r="C4558" s="4" t="s">
        <v>6811</v>
      </c>
      <c r="D4558" s="4" t="s">
        <v>1812</v>
      </c>
      <c r="E4558" s="5">
        <v>48.3641275995966</v>
      </c>
    </row>
    <row r="4559" ht="14.25" customHeight="1">
      <c r="A4559" s="4"/>
      <c r="B4559" s="4" t="s">
        <v>1802</v>
      </c>
      <c r="C4559" s="4" t="s">
        <v>6812</v>
      </c>
      <c r="D4559" s="4" t="s">
        <v>6813</v>
      </c>
      <c r="E4559" s="5">
        <v>9.728128616507629</v>
      </c>
    </row>
    <row r="4560" ht="14.25" customHeight="1">
      <c r="A4560" s="4"/>
      <c r="B4560" s="4" t="s">
        <v>1802</v>
      </c>
      <c r="C4560" s="4" t="s">
        <v>6814</v>
      </c>
      <c r="D4560" s="4" t="s">
        <v>1812</v>
      </c>
      <c r="E4560" s="5">
        <v>48.3641275995966</v>
      </c>
    </row>
    <row r="4561" ht="14.25" customHeight="1">
      <c r="A4561" s="4"/>
      <c r="B4561" s="4" t="s">
        <v>1802</v>
      </c>
      <c r="C4561" s="4" t="s">
        <v>6815</v>
      </c>
      <c r="D4561" s="4" t="s">
        <v>2093</v>
      </c>
      <c r="E4561" s="5">
        <v>12.5746731758951</v>
      </c>
    </row>
    <row r="4562" ht="14.25" customHeight="1">
      <c r="A4562" s="4"/>
      <c r="B4562" s="4" t="s">
        <v>1802</v>
      </c>
      <c r="C4562" s="4" t="s">
        <v>6816</v>
      </c>
      <c r="D4562" s="4" t="s">
        <v>6817</v>
      </c>
      <c r="E4562" s="5">
        <v>3.1336305575489103</v>
      </c>
    </row>
    <row r="4563" ht="14.25" customHeight="1">
      <c r="A4563" s="4"/>
      <c r="B4563" s="4" t="s">
        <v>1802</v>
      </c>
      <c r="C4563" s="4" t="s">
        <v>6818</v>
      </c>
      <c r="D4563" s="4" t="s">
        <v>1812</v>
      </c>
      <c r="E4563" s="5">
        <v>48.3641275995966</v>
      </c>
    </row>
    <row r="4564" ht="14.25" customHeight="1">
      <c r="A4564" s="4"/>
      <c r="B4564" s="4" t="s">
        <v>1802</v>
      </c>
      <c r="C4564" s="4" t="s">
        <v>6819</v>
      </c>
      <c r="D4564" s="4" t="s">
        <v>1812</v>
      </c>
      <c r="E4564" s="5">
        <v>48.3641275995966</v>
      </c>
    </row>
    <row r="4565" ht="14.25" customHeight="1">
      <c r="A4565" s="4"/>
      <c r="B4565" s="4" t="s">
        <v>1802</v>
      </c>
      <c r="C4565" s="4" t="s">
        <v>6820</v>
      </c>
      <c r="D4565" s="4" t="s">
        <v>1812</v>
      </c>
      <c r="E4565" s="5">
        <v>48.3641275995966</v>
      </c>
    </row>
    <row r="4566" ht="14.25" customHeight="1">
      <c r="A4566" s="4"/>
      <c r="B4566" s="4" t="s">
        <v>1802</v>
      </c>
      <c r="C4566" s="4" t="s">
        <v>6821</v>
      </c>
      <c r="D4566" s="4" t="s">
        <v>1812</v>
      </c>
      <c r="E4566" s="5">
        <v>48.3641275995966</v>
      </c>
    </row>
    <row r="4567" ht="14.25" customHeight="1">
      <c r="A4567" s="4"/>
      <c r="B4567" s="4" t="s">
        <v>1802</v>
      </c>
      <c r="C4567" s="4" t="s">
        <v>6822</v>
      </c>
      <c r="D4567" s="4" t="s">
        <v>1821</v>
      </c>
      <c r="E4567" s="5">
        <v>19.3456510398386</v>
      </c>
    </row>
    <row r="4568" ht="14.25" customHeight="1">
      <c r="A4568" s="4"/>
      <c r="B4568" s="4" t="s">
        <v>1802</v>
      </c>
      <c r="C4568" s="4" t="s">
        <v>6823</v>
      </c>
      <c r="D4568" s="4" t="s">
        <v>6824</v>
      </c>
      <c r="E4568" s="5">
        <v>19.6011526694043</v>
      </c>
    </row>
    <row r="4569" ht="14.25" customHeight="1">
      <c r="A4569" s="4"/>
      <c r="B4569" s="4" t="s">
        <v>1802</v>
      </c>
      <c r="C4569" s="4" t="s">
        <v>6825</v>
      </c>
      <c r="D4569" s="4" t="s">
        <v>1812</v>
      </c>
      <c r="E4569" s="5">
        <v>48.3641275995966</v>
      </c>
    </row>
    <row r="4570" ht="14.25" customHeight="1">
      <c r="A4570" s="4"/>
      <c r="B4570" s="4" t="s">
        <v>1802</v>
      </c>
      <c r="C4570" s="4" t="s">
        <v>6826</v>
      </c>
      <c r="D4570" s="4" t="s">
        <v>1821</v>
      </c>
      <c r="E4570" s="5">
        <v>19.3456510398386</v>
      </c>
    </row>
    <row r="4571" ht="14.25" customHeight="1">
      <c r="A4571" s="4"/>
      <c r="B4571" s="4" t="s">
        <v>1802</v>
      </c>
      <c r="C4571" s="4" t="s">
        <v>6827</v>
      </c>
      <c r="D4571" s="4" t="s">
        <v>6828</v>
      </c>
      <c r="E4571" s="5">
        <v>9.72576129144271</v>
      </c>
    </row>
    <row r="4572" ht="14.25" customHeight="1">
      <c r="A4572" s="4"/>
      <c r="B4572" s="4" t="s">
        <v>1802</v>
      </c>
      <c r="C4572" s="4" t="s">
        <v>6829</v>
      </c>
      <c r="D4572" s="4" t="s">
        <v>6830</v>
      </c>
      <c r="E4572" s="5">
        <v>9.430757221808259</v>
      </c>
    </row>
    <row r="4573" ht="14.25" customHeight="1">
      <c r="A4573" s="4"/>
      <c r="B4573" s="4" t="s">
        <v>1802</v>
      </c>
      <c r="C4573" s="4" t="s">
        <v>6831</v>
      </c>
      <c r="D4573" s="4" t="s">
        <v>6832</v>
      </c>
      <c r="E4573" s="5">
        <v>19.152194529440198</v>
      </c>
    </row>
    <row r="4574" ht="14.25" customHeight="1">
      <c r="A4574" s="4"/>
      <c r="B4574" s="4" t="s">
        <v>1802</v>
      </c>
      <c r="C4574" s="4" t="s">
        <v>6833</v>
      </c>
      <c r="D4574" s="4" t="s">
        <v>6834</v>
      </c>
      <c r="E4574" s="5">
        <v>26.620199547149202</v>
      </c>
    </row>
    <row r="4575" ht="14.25" customHeight="1">
      <c r="A4575" s="4"/>
      <c r="B4575" s="4" t="s">
        <v>1802</v>
      </c>
      <c r="C4575" s="4" t="s">
        <v>6835</v>
      </c>
      <c r="D4575" s="4" t="s">
        <v>1812</v>
      </c>
      <c r="E4575" s="5">
        <v>48.3641275995966</v>
      </c>
    </row>
    <row r="4576" ht="14.25" customHeight="1">
      <c r="A4576" s="4"/>
      <c r="B4576" s="4" t="s">
        <v>1802</v>
      </c>
      <c r="C4576" s="4" t="s">
        <v>6836</v>
      </c>
      <c r="D4576" s="4" t="s">
        <v>6837</v>
      </c>
      <c r="E4576" s="5">
        <v>6.16156378353402</v>
      </c>
    </row>
    <row r="4577" ht="14.25" customHeight="1">
      <c r="A4577" s="4"/>
      <c r="B4577" s="4" t="s">
        <v>1802</v>
      </c>
      <c r="C4577" s="4" t="s">
        <v>6838</v>
      </c>
      <c r="D4577" s="4" t="s">
        <v>6839</v>
      </c>
      <c r="E4577" s="5">
        <v>0.126998571222701</v>
      </c>
    </row>
    <row r="4578" ht="14.25" customHeight="1">
      <c r="A4578" s="4"/>
      <c r="B4578" s="4" t="s">
        <v>1802</v>
      </c>
      <c r="C4578" s="4" t="s">
        <v>6840</v>
      </c>
      <c r="D4578" s="4" t="s">
        <v>6841</v>
      </c>
      <c r="E4578" s="5">
        <v>44.950361515890194</v>
      </c>
    </row>
    <row r="4579" ht="14.25" customHeight="1">
      <c r="A4579" s="4"/>
      <c r="B4579" s="4" t="s">
        <v>1802</v>
      </c>
      <c r="C4579" s="4" t="s">
        <v>859</v>
      </c>
      <c r="D4579" s="4" t="s">
        <v>1812</v>
      </c>
      <c r="E4579" s="5">
        <v>48.3641275995966</v>
      </c>
    </row>
    <row r="4580" ht="14.25" customHeight="1">
      <c r="A4580" s="4"/>
      <c r="B4580" s="4" t="s">
        <v>1802</v>
      </c>
      <c r="C4580" s="4" t="s">
        <v>6842</v>
      </c>
      <c r="D4580" s="4" t="s">
        <v>1812</v>
      </c>
      <c r="E4580" s="5">
        <v>48.3641275995966</v>
      </c>
    </row>
    <row r="4581" ht="14.25" customHeight="1">
      <c r="A4581" s="4"/>
      <c r="B4581" s="4" t="s">
        <v>1802</v>
      </c>
      <c r="C4581" s="4" t="s">
        <v>6843</v>
      </c>
      <c r="D4581" s="4" t="s">
        <v>6844</v>
      </c>
      <c r="E4581" s="5">
        <v>21.2802161438225</v>
      </c>
    </row>
    <row r="4582" ht="14.25" customHeight="1">
      <c r="A4582" s="4"/>
      <c r="B4582" s="4" t="s">
        <v>1802</v>
      </c>
      <c r="C4582" s="4" t="s">
        <v>6845</v>
      </c>
      <c r="D4582" s="4" t="s">
        <v>6846</v>
      </c>
      <c r="E4582" s="5">
        <v>4.90408098542391</v>
      </c>
    </row>
    <row r="4583" ht="14.25" customHeight="1">
      <c r="A4583" s="4"/>
      <c r="B4583" s="4" t="s">
        <v>1802</v>
      </c>
      <c r="C4583" s="4" t="s">
        <v>6847</v>
      </c>
      <c r="D4583" s="4" t="s">
        <v>1812</v>
      </c>
      <c r="E4583" s="5">
        <v>48.3641275995966</v>
      </c>
    </row>
    <row r="4584" ht="14.25" customHeight="1">
      <c r="A4584" s="4"/>
      <c r="B4584" s="4" t="s">
        <v>1802</v>
      </c>
      <c r="C4584" s="4" t="s">
        <v>6848</v>
      </c>
      <c r="D4584" s="4" t="s">
        <v>1909</v>
      </c>
      <c r="E4584" s="5">
        <v>11.6073906239032</v>
      </c>
    </row>
    <row r="4585" ht="14.25" customHeight="1">
      <c r="A4585" s="4"/>
      <c r="B4585" s="4" t="s">
        <v>1802</v>
      </c>
      <c r="C4585" s="4" t="s">
        <v>403</v>
      </c>
      <c r="D4585" s="4" t="s">
        <v>1812</v>
      </c>
      <c r="E4585" s="5">
        <v>48.3641275995966</v>
      </c>
    </row>
    <row r="4586" ht="14.25" customHeight="1">
      <c r="A4586" s="4"/>
      <c r="B4586" s="4" t="s">
        <v>1802</v>
      </c>
      <c r="C4586" s="4" t="s">
        <v>6849</v>
      </c>
      <c r="D4586" s="4" t="s">
        <v>6850</v>
      </c>
      <c r="E4586" s="5">
        <v>22.6651795801555</v>
      </c>
    </row>
    <row r="4587" ht="14.25" customHeight="1">
      <c r="A4587" s="4"/>
      <c r="B4587" s="4" t="s">
        <v>1802</v>
      </c>
      <c r="C4587" s="4" t="s">
        <v>6851</v>
      </c>
      <c r="D4587" s="4" t="s">
        <v>1812</v>
      </c>
      <c r="E4587" s="5">
        <v>48.3641275995966</v>
      </c>
    </row>
    <row r="4588" ht="14.25" customHeight="1">
      <c r="A4588" s="4"/>
      <c r="B4588" s="4" t="s">
        <v>1802</v>
      </c>
      <c r="C4588" s="4" t="s">
        <v>1757</v>
      </c>
      <c r="D4588" s="4" t="s">
        <v>1812</v>
      </c>
      <c r="E4588" s="5">
        <v>48.3641275995966</v>
      </c>
    </row>
    <row r="4589" ht="14.25" customHeight="1">
      <c r="A4589" s="4"/>
      <c r="B4589" s="4" t="s">
        <v>1802</v>
      </c>
      <c r="C4589" s="4" t="s">
        <v>6852</v>
      </c>
      <c r="D4589" s="4" t="s">
        <v>1812</v>
      </c>
      <c r="E4589" s="5">
        <v>48.3641275995966</v>
      </c>
    </row>
    <row r="4590" ht="14.25" customHeight="1">
      <c r="A4590" s="4"/>
      <c r="B4590" s="4" t="s">
        <v>1802</v>
      </c>
      <c r="C4590" s="4" t="s">
        <v>381</v>
      </c>
      <c r="D4590" s="4" t="s">
        <v>6853</v>
      </c>
      <c r="E4590" s="5">
        <v>9.41922492505123</v>
      </c>
    </row>
    <row r="4591" ht="14.25" customHeight="1">
      <c r="A4591" s="4"/>
      <c r="B4591" s="4" t="s">
        <v>1802</v>
      </c>
      <c r="C4591" s="4" t="s">
        <v>751</v>
      </c>
      <c r="D4591" s="4" t="s">
        <v>1812</v>
      </c>
      <c r="E4591" s="5">
        <v>48.3641275995966</v>
      </c>
    </row>
    <row r="4592" ht="14.25" customHeight="1">
      <c r="A4592" s="4"/>
      <c r="B4592" s="4" t="s">
        <v>1802</v>
      </c>
      <c r="C4592" s="4" t="s">
        <v>6854</v>
      </c>
      <c r="D4592" s="4" t="s">
        <v>1821</v>
      </c>
      <c r="E4592" s="5">
        <v>19.3456510398386</v>
      </c>
    </row>
    <row r="4593" ht="14.25" customHeight="1">
      <c r="A4593" s="4"/>
      <c r="B4593" s="4" t="s">
        <v>1802</v>
      </c>
      <c r="C4593" s="4" t="s">
        <v>6855</v>
      </c>
      <c r="D4593" s="4" t="s">
        <v>6856</v>
      </c>
      <c r="E4593" s="5">
        <v>7.8312533720125606</v>
      </c>
    </row>
    <row r="4594" ht="14.25" customHeight="1">
      <c r="A4594" s="4"/>
      <c r="B4594" s="4" t="s">
        <v>1802</v>
      </c>
      <c r="C4594" s="4" t="s">
        <v>6857</v>
      </c>
      <c r="D4594" s="4" t="s">
        <v>6858</v>
      </c>
      <c r="E4594" s="5">
        <v>17.5771991915786</v>
      </c>
    </row>
    <row r="4595" ht="14.25" customHeight="1">
      <c r="A4595" s="4"/>
      <c r="B4595" s="4" t="s">
        <v>1802</v>
      </c>
      <c r="C4595" s="4" t="s">
        <v>6859</v>
      </c>
      <c r="D4595" s="4" t="s">
        <v>6860</v>
      </c>
      <c r="E4595" s="5">
        <v>1.73867857981478</v>
      </c>
    </row>
    <row r="4596" ht="14.25" customHeight="1">
      <c r="A4596" s="4"/>
      <c r="B4596" s="4" t="s">
        <v>1802</v>
      </c>
      <c r="C4596" s="4" t="s">
        <v>6861</v>
      </c>
      <c r="D4596" s="4" t="s">
        <v>1812</v>
      </c>
      <c r="E4596" s="5">
        <v>48.3641275995966</v>
      </c>
    </row>
    <row r="4597" ht="14.25" customHeight="1">
      <c r="A4597" s="4"/>
      <c r="B4597" s="4" t="s">
        <v>1802</v>
      </c>
      <c r="C4597" s="4" t="s">
        <v>6862</v>
      </c>
      <c r="D4597" s="4" t="s">
        <v>6863</v>
      </c>
      <c r="E4597" s="5">
        <v>15.4855102152027</v>
      </c>
    </row>
    <row r="4598" ht="14.25" customHeight="1">
      <c r="A4598" s="4"/>
      <c r="B4598" s="4" t="s">
        <v>1802</v>
      </c>
      <c r="C4598" s="4" t="s">
        <v>6864</v>
      </c>
      <c r="D4598" s="4" t="s">
        <v>6865</v>
      </c>
      <c r="E4598" s="5">
        <v>9.353406066857179</v>
      </c>
    </row>
    <row r="4599" ht="14.25" customHeight="1">
      <c r="A4599" s="4"/>
      <c r="B4599" s="4" t="s">
        <v>1802</v>
      </c>
      <c r="C4599" s="4" t="s">
        <v>6866</v>
      </c>
      <c r="D4599" s="4" t="s">
        <v>6867</v>
      </c>
      <c r="E4599" s="5">
        <v>19.527152976755797</v>
      </c>
    </row>
    <row r="4600" ht="14.25" customHeight="1">
      <c r="A4600" s="4"/>
      <c r="B4600" s="4" t="s">
        <v>1802</v>
      </c>
      <c r="C4600" s="4" t="s">
        <v>6868</v>
      </c>
      <c r="D4600" s="4" t="s">
        <v>6869</v>
      </c>
      <c r="E4600" s="5">
        <v>19.3548337196877</v>
      </c>
    </row>
    <row r="4601" ht="14.25" customHeight="1">
      <c r="A4601" s="4"/>
      <c r="B4601" s="4" t="s">
        <v>1802</v>
      </c>
      <c r="C4601" s="4" t="s">
        <v>6870</v>
      </c>
      <c r="D4601" s="4" t="s">
        <v>6871</v>
      </c>
      <c r="E4601" s="5">
        <v>45.5621924040722</v>
      </c>
    </row>
    <row r="4602" ht="14.25" customHeight="1">
      <c r="A4602" s="4"/>
      <c r="B4602" s="4" t="s">
        <v>1802</v>
      </c>
      <c r="C4602" s="4" t="s">
        <v>6872</v>
      </c>
      <c r="D4602" s="4" t="s">
        <v>6873</v>
      </c>
      <c r="E4602" s="5">
        <v>9.672895832461862</v>
      </c>
    </row>
    <row r="4603" ht="14.25" customHeight="1">
      <c r="A4603" s="4"/>
      <c r="B4603" s="4" t="s">
        <v>1802</v>
      </c>
      <c r="C4603" s="4" t="s">
        <v>6874</v>
      </c>
      <c r="D4603" s="4" t="s">
        <v>1812</v>
      </c>
      <c r="E4603" s="5">
        <v>48.3641275995966</v>
      </c>
    </row>
    <row r="4604" ht="14.25" customHeight="1">
      <c r="A4604" s="4"/>
      <c r="B4604" s="4" t="s">
        <v>1802</v>
      </c>
      <c r="C4604" s="4" t="s">
        <v>1588</v>
      </c>
      <c r="D4604" s="4" t="s">
        <v>1812</v>
      </c>
      <c r="E4604" s="5">
        <v>48.3641275995966</v>
      </c>
    </row>
    <row r="4605" ht="14.25" customHeight="1">
      <c r="A4605" s="4"/>
      <c r="B4605" s="4" t="s">
        <v>1802</v>
      </c>
      <c r="C4605" s="4" t="s">
        <v>6875</v>
      </c>
      <c r="D4605" s="4" t="s">
        <v>6876</v>
      </c>
      <c r="E4605" s="5">
        <v>9.68288700769381</v>
      </c>
    </row>
    <row r="4606" ht="14.25" customHeight="1">
      <c r="A4606" s="4"/>
      <c r="B4606" s="4" t="s">
        <v>1802</v>
      </c>
      <c r="C4606" s="4" t="s">
        <v>6877</v>
      </c>
      <c r="D4606" s="4" t="s">
        <v>1812</v>
      </c>
      <c r="E4606" s="5">
        <v>48.3641275995966</v>
      </c>
    </row>
    <row r="4607" ht="14.25" customHeight="1">
      <c r="A4607" s="4"/>
      <c r="B4607" s="4" t="s">
        <v>1802</v>
      </c>
      <c r="C4607" s="4" t="s">
        <v>6878</v>
      </c>
      <c r="D4607" s="4" t="s">
        <v>6879</v>
      </c>
      <c r="E4607" s="5">
        <v>18.507951172215503</v>
      </c>
    </row>
    <row r="4608" ht="14.25" customHeight="1">
      <c r="A4608" s="4"/>
      <c r="B4608" s="4" t="s">
        <v>1802</v>
      </c>
      <c r="C4608" s="4" t="s">
        <v>6880</v>
      </c>
      <c r="D4608" s="4" t="s">
        <v>6881</v>
      </c>
      <c r="E4608" s="5">
        <v>7.27620019509674</v>
      </c>
    </row>
    <row r="4609" ht="14.25" customHeight="1">
      <c r="A4609" s="4"/>
      <c r="B4609" s="4" t="s">
        <v>1802</v>
      </c>
      <c r="C4609" s="4" t="s">
        <v>6882</v>
      </c>
      <c r="D4609" s="4" t="s">
        <v>6883</v>
      </c>
      <c r="E4609" s="5">
        <v>6.10664515584459</v>
      </c>
    </row>
    <row r="4610" ht="14.25" customHeight="1">
      <c r="A4610" s="4"/>
      <c r="B4610" s="4" t="s">
        <v>1802</v>
      </c>
      <c r="C4610" s="4" t="s">
        <v>6884</v>
      </c>
      <c r="D4610" s="4" t="s">
        <v>1812</v>
      </c>
      <c r="E4610" s="5">
        <v>48.3641275995966</v>
      </c>
    </row>
    <row r="4611" ht="14.25" customHeight="1">
      <c r="A4611" s="4"/>
      <c r="B4611" s="4" t="s">
        <v>1802</v>
      </c>
      <c r="C4611" s="4" t="s">
        <v>6885</v>
      </c>
      <c r="D4611" s="4" t="s">
        <v>6886</v>
      </c>
      <c r="E4611" s="5">
        <v>9.78535047266571</v>
      </c>
    </row>
    <row r="4612" ht="14.25" customHeight="1">
      <c r="A4612" s="4"/>
      <c r="B4612" s="4" t="s">
        <v>1802</v>
      </c>
      <c r="C4612" s="4" t="s">
        <v>6887</v>
      </c>
      <c r="D4612" s="4" t="s">
        <v>6888</v>
      </c>
      <c r="E4612" s="5">
        <v>6.12707672465535</v>
      </c>
    </row>
    <row r="4613" ht="14.25" customHeight="1">
      <c r="A4613" s="4"/>
      <c r="B4613" s="4" t="s">
        <v>1802</v>
      </c>
      <c r="C4613" s="4" t="s">
        <v>6889</v>
      </c>
      <c r="D4613" s="4" t="s">
        <v>6890</v>
      </c>
      <c r="E4613" s="5">
        <v>6.71269504579679</v>
      </c>
    </row>
    <row r="4614" ht="14.25" customHeight="1">
      <c r="A4614" s="4"/>
      <c r="B4614" s="4" t="s">
        <v>1802</v>
      </c>
      <c r="C4614" s="4" t="s">
        <v>6891</v>
      </c>
      <c r="D4614" s="4" t="s">
        <v>1812</v>
      </c>
      <c r="E4614" s="5">
        <v>48.3641275995966</v>
      </c>
    </row>
    <row r="4615" ht="14.25" customHeight="1">
      <c r="A4615" s="4"/>
      <c r="B4615" s="4" t="s">
        <v>1802</v>
      </c>
      <c r="C4615" s="4" t="s">
        <v>884</v>
      </c>
      <c r="D4615" s="4" t="s">
        <v>1812</v>
      </c>
      <c r="E4615" s="5">
        <v>48.3641275995966</v>
      </c>
    </row>
    <row r="4616" ht="14.25" customHeight="1">
      <c r="A4616" s="4"/>
      <c r="B4616" s="4" t="s">
        <v>1802</v>
      </c>
      <c r="C4616" s="4" t="s">
        <v>6892</v>
      </c>
      <c r="D4616" s="4" t="s">
        <v>6893</v>
      </c>
      <c r="E4616" s="5">
        <v>48.13030985266</v>
      </c>
    </row>
    <row r="4617" ht="14.25" customHeight="1">
      <c r="A4617" s="4"/>
      <c r="B4617" s="4" t="s">
        <v>1802</v>
      </c>
      <c r="C4617" s="4" t="s">
        <v>6894</v>
      </c>
      <c r="D4617" s="4" t="s">
        <v>1812</v>
      </c>
      <c r="E4617" s="5">
        <v>48.3641275995966</v>
      </c>
    </row>
    <row r="4618" ht="14.25" customHeight="1">
      <c r="A4618" s="4"/>
      <c r="B4618" s="4" t="s">
        <v>1802</v>
      </c>
      <c r="C4618" s="4" t="s">
        <v>6895</v>
      </c>
      <c r="D4618" s="4" t="s">
        <v>1837</v>
      </c>
      <c r="E4618" s="5">
        <v>9.672825519919328</v>
      </c>
    </row>
    <row r="4619" ht="14.25" customHeight="1">
      <c r="A4619" s="4"/>
      <c r="B4619" s="4" t="s">
        <v>1802</v>
      </c>
      <c r="C4619" s="4" t="s">
        <v>6896</v>
      </c>
      <c r="D4619" s="4" t="s">
        <v>6897</v>
      </c>
      <c r="E4619" s="5">
        <v>2.04146435005982</v>
      </c>
    </row>
    <row r="4620" ht="14.25" customHeight="1">
      <c r="A4620" s="4"/>
      <c r="B4620" s="4" t="s">
        <v>1802</v>
      </c>
      <c r="C4620" s="4" t="s">
        <v>414</v>
      </c>
      <c r="D4620" s="4" t="s">
        <v>1812</v>
      </c>
      <c r="E4620" s="5">
        <v>48.3641275995966</v>
      </c>
    </row>
    <row r="4621" ht="14.25" customHeight="1">
      <c r="A4621" s="4"/>
      <c r="B4621" s="4" t="s">
        <v>1802</v>
      </c>
      <c r="C4621" s="4" t="s">
        <v>6898</v>
      </c>
      <c r="D4621" s="4" t="s">
        <v>1837</v>
      </c>
      <c r="E4621" s="5">
        <v>9.672825519919328</v>
      </c>
    </row>
    <row r="4622" ht="14.25" customHeight="1">
      <c r="A4622" s="4"/>
      <c r="B4622" s="4" t="s">
        <v>1802</v>
      </c>
      <c r="C4622" s="4" t="s">
        <v>412</v>
      </c>
      <c r="D4622" s="4" t="s">
        <v>1812</v>
      </c>
      <c r="E4622" s="5">
        <v>48.3641275995966</v>
      </c>
    </row>
    <row r="4623" ht="14.25" customHeight="1">
      <c r="A4623" s="4"/>
      <c r="B4623" s="4" t="s">
        <v>1802</v>
      </c>
      <c r="C4623" s="4" t="s">
        <v>6899</v>
      </c>
      <c r="D4623" s="4" t="s">
        <v>1812</v>
      </c>
      <c r="E4623" s="5">
        <v>48.3641275995966</v>
      </c>
    </row>
    <row r="4624" ht="14.25" customHeight="1">
      <c r="A4624" s="4"/>
      <c r="B4624" s="4" t="s">
        <v>1802</v>
      </c>
      <c r="C4624" s="4" t="s">
        <v>6900</v>
      </c>
      <c r="D4624" s="4" t="s">
        <v>6901</v>
      </c>
      <c r="E4624" s="5">
        <v>33.1310940944831</v>
      </c>
    </row>
    <row r="4625" ht="14.25" customHeight="1">
      <c r="A4625" s="4"/>
      <c r="B4625" s="4" t="s">
        <v>1802</v>
      </c>
      <c r="C4625" s="4" t="s">
        <v>6902</v>
      </c>
      <c r="D4625" s="4" t="s">
        <v>3640</v>
      </c>
      <c r="E4625" s="5">
        <v>8.7055429679274</v>
      </c>
    </row>
    <row r="4626" ht="14.25" customHeight="1">
      <c r="A4626" s="4"/>
      <c r="B4626" s="4" t="s">
        <v>1802</v>
      </c>
      <c r="C4626" s="4" t="s">
        <v>6903</v>
      </c>
      <c r="D4626" s="4" t="s">
        <v>6904</v>
      </c>
      <c r="E4626" s="5">
        <v>31.533411194937</v>
      </c>
    </row>
    <row r="4627" ht="14.25" customHeight="1">
      <c r="A4627" s="4"/>
      <c r="B4627" s="4" t="s">
        <v>1802</v>
      </c>
      <c r="C4627" s="4" t="s">
        <v>6905</v>
      </c>
      <c r="D4627" s="4" t="s">
        <v>6906</v>
      </c>
      <c r="E4627" s="5">
        <v>38.6610738430903</v>
      </c>
    </row>
    <row r="4628" ht="14.25" customHeight="1">
      <c r="A4628" s="4"/>
      <c r="B4628" s="4" t="s">
        <v>1802</v>
      </c>
      <c r="C4628" s="4" t="s">
        <v>6907</v>
      </c>
      <c r="D4628" s="4" t="s">
        <v>1812</v>
      </c>
      <c r="E4628" s="5">
        <v>48.3641275995966</v>
      </c>
    </row>
    <row r="4629" ht="14.25" customHeight="1">
      <c r="A4629" s="4"/>
      <c r="B4629" s="4" t="s">
        <v>1802</v>
      </c>
      <c r="C4629" s="4" t="s">
        <v>645</v>
      </c>
      <c r="D4629" s="4" t="s">
        <v>1812</v>
      </c>
      <c r="E4629" s="5">
        <v>48.3641275995966</v>
      </c>
    </row>
    <row r="4630" ht="14.25" customHeight="1">
      <c r="A4630" s="4"/>
      <c r="B4630" s="4" t="s">
        <v>1802</v>
      </c>
      <c r="C4630" s="4" t="s">
        <v>6908</v>
      </c>
      <c r="D4630" s="4" t="s">
        <v>6909</v>
      </c>
      <c r="E4630" s="5">
        <v>9.70645907061563</v>
      </c>
    </row>
    <row r="4631" ht="14.25" customHeight="1">
      <c r="A4631" s="4"/>
      <c r="B4631" s="4" t="s">
        <v>1802</v>
      </c>
      <c r="C4631" s="4" t="s">
        <v>6910</v>
      </c>
      <c r="D4631" s="4" t="s">
        <v>1837</v>
      </c>
      <c r="E4631" s="5">
        <v>9.672825519919328</v>
      </c>
    </row>
    <row r="4632" ht="14.25" customHeight="1">
      <c r="A4632" s="4"/>
      <c r="B4632" s="4" t="s">
        <v>1802</v>
      </c>
      <c r="C4632" s="4" t="s">
        <v>1198</v>
      </c>
      <c r="D4632" s="4" t="s">
        <v>6911</v>
      </c>
      <c r="E4632" s="5">
        <v>35.6169603466642</v>
      </c>
    </row>
    <row r="4633" ht="14.25" customHeight="1">
      <c r="A4633" s="4"/>
      <c r="B4633" s="4" t="s">
        <v>1802</v>
      </c>
      <c r="C4633" s="4" t="s">
        <v>6912</v>
      </c>
      <c r="D4633" s="4" t="s">
        <v>1812</v>
      </c>
      <c r="E4633" s="5">
        <v>48.3641275995966</v>
      </c>
    </row>
    <row r="4634" ht="14.25" customHeight="1">
      <c r="A4634" s="4"/>
      <c r="B4634" s="4" t="s">
        <v>1802</v>
      </c>
      <c r="C4634" s="4" t="s">
        <v>6913</v>
      </c>
      <c r="D4634" s="4" t="s">
        <v>6914</v>
      </c>
      <c r="E4634" s="5">
        <v>3.8812164336340795</v>
      </c>
    </row>
    <row r="4635" ht="14.25" customHeight="1">
      <c r="A4635" s="4"/>
      <c r="B4635" s="4" t="s">
        <v>1802</v>
      </c>
      <c r="C4635" s="4" t="s">
        <v>6915</v>
      </c>
      <c r="D4635" s="4" t="s">
        <v>1951</v>
      </c>
      <c r="E4635" s="5">
        <v>38.6913020796773</v>
      </c>
    </row>
    <row r="4636" ht="14.25" customHeight="1">
      <c r="A4636" s="4"/>
      <c r="B4636" s="4" t="s">
        <v>1802</v>
      </c>
      <c r="C4636" s="4" t="s">
        <v>6916</v>
      </c>
      <c r="D4636" s="4" t="s">
        <v>1812</v>
      </c>
      <c r="E4636" s="5">
        <v>48.3641275995966</v>
      </c>
    </row>
    <row r="4637" ht="14.25" customHeight="1">
      <c r="A4637" s="4"/>
      <c r="B4637" s="4" t="s">
        <v>1802</v>
      </c>
      <c r="C4637" s="4" t="s">
        <v>6917</v>
      </c>
      <c r="D4637" s="4" t="s">
        <v>2105</v>
      </c>
      <c r="E4637" s="5">
        <v>29.018476559758</v>
      </c>
    </row>
    <row r="4638" ht="14.25" customHeight="1">
      <c r="A4638" s="4"/>
      <c r="B4638" s="4" t="s">
        <v>1802</v>
      </c>
      <c r="C4638" s="4" t="s">
        <v>6918</v>
      </c>
      <c r="D4638" s="4" t="s">
        <v>6919</v>
      </c>
      <c r="E4638" s="5">
        <v>7.75481963044356</v>
      </c>
    </row>
    <row r="4639" ht="14.25" customHeight="1">
      <c r="A4639" s="4"/>
      <c r="B4639" s="4" t="s">
        <v>1802</v>
      </c>
      <c r="C4639" s="4" t="s">
        <v>6920</v>
      </c>
      <c r="D4639" s="4" t="s">
        <v>1812</v>
      </c>
      <c r="E4639" s="5">
        <v>48.3641275995966</v>
      </c>
    </row>
    <row r="4640" ht="14.25" customHeight="1">
      <c r="A4640" s="4"/>
      <c r="B4640" s="4" t="s">
        <v>1802</v>
      </c>
      <c r="C4640" s="4" t="s">
        <v>929</v>
      </c>
      <c r="D4640" s="4" t="s">
        <v>1812</v>
      </c>
      <c r="E4640" s="5">
        <v>48.3641275995966</v>
      </c>
    </row>
    <row r="4641" ht="14.25" customHeight="1">
      <c r="A4641" s="4"/>
      <c r="B4641" s="4" t="s">
        <v>1802</v>
      </c>
      <c r="C4641" s="4" t="s">
        <v>6921</v>
      </c>
      <c r="D4641" s="4" t="s">
        <v>6922</v>
      </c>
      <c r="E4641" s="5">
        <v>9.345780613849891</v>
      </c>
    </row>
    <row r="4642" ht="14.25" customHeight="1">
      <c r="A4642" s="4"/>
      <c r="B4642" s="4" t="s">
        <v>1802</v>
      </c>
      <c r="C4642" s="4" t="s">
        <v>6923</v>
      </c>
      <c r="D4642" s="4" t="s">
        <v>6924</v>
      </c>
      <c r="E4642" s="5">
        <v>1.5901438153232799</v>
      </c>
    </row>
    <row r="4643" ht="14.25" customHeight="1">
      <c r="A4643" s="4"/>
      <c r="B4643" s="4" t="s">
        <v>1802</v>
      </c>
      <c r="C4643" s="4" t="s">
        <v>6925</v>
      </c>
      <c r="D4643" s="4" t="s">
        <v>1837</v>
      </c>
      <c r="E4643" s="5">
        <v>9.672825519919328</v>
      </c>
    </row>
    <row r="4644" ht="14.25" customHeight="1">
      <c r="A4644" s="4"/>
      <c r="B4644" s="4" t="s">
        <v>1802</v>
      </c>
      <c r="C4644" s="4" t="s">
        <v>6926</v>
      </c>
      <c r="D4644" s="4" t="s">
        <v>6927</v>
      </c>
      <c r="E4644" s="5">
        <v>12.7758728417984</v>
      </c>
    </row>
    <row r="4645" ht="14.25" customHeight="1">
      <c r="A4645" s="4"/>
      <c r="B4645" s="4" t="s">
        <v>1802</v>
      </c>
      <c r="C4645" s="4" t="s">
        <v>6928</v>
      </c>
      <c r="D4645" s="4" t="s">
        <v>1812</v>
      </c>
      <c r="E4645" s="5">
        <v>48.3641275995966</v>
      </c>
    </row>
    <row r="4646" ht="14.25" customHeight="1">
      <c r="A4646" s="4"/>
      <c r="B4646" s="4" t="s">
        <v>1802</v>
      </c>
      <c r="C4646" s="4" t="s">
        <v>6929</v>
      </c>
      <c r="D4646" s="4" t="s">
        <v>1812</v>
      </c>
      <c r="E4646" s="5">
        <v>48.3641275995966</v>
      </c>
    </row>
    <row r="4647" ht="14.25" customHeight="1">
      <c r="A4647" s="4"/>
      <c r="B4647" s="4" t="s">
        <v>1802</v>
      </c>
      <c r="C4647" s="4" t="s">
        <v>6930</v>
      </c>
      <c r="D4647" s="4" t="s">
        <v>6931</v>
      </c>
      <c r="E4647" s="5">
        <v>19.3490125945246</v>
      </c>
    </row>
    <row r="4648" ht="14.25" customHeight="1">
      <c r="A4648" s="4"/>
      <c r="B4648" s="4" t="s">
        <v>1802</v>
      </c>
      <c r="C4648" s="4" t="s">
        <v>6932</v>
      </c>
      <c r="D4648" s="4" t="s">
        <v>6933</v>
      </c>
      <c r="E4648" s="5">
        <v>47.1012330713301</v>
      </c>
    </row>
    <row r="4649" ht="14.25" customHeight="1">
      <c r="A4649" s="4"/>
      <c r="B4649" s="4" t="s">
        <v>1802</v>
      </c>
      <c r="C4649" s="4" t="s">
        <v>392</v>
      </c>
      <c r="D4649" s="4" t="s">
        <v>6934</v>
      </c>
      <c r="E4649" s="5">
        <v>48.223993139928595</v>
      </c>
    </row>
    <row r="4650" ht="14.25" customHeight="1">
      <c r="A4650" s="4"/>
      <c r="B4650" s="4" t="s">
        <v>1802</v>
      </c>
      <c r="C4650" s="4" t="s">
        <v>6935</v>
      </c>
      <c r="D4650" s="4" t="s">
        <v>6936</v>
      </c>
      <c r="E4650" s="5">
        <v>9.48712041530676</v>
      </c>
    </row>
    <row r="4651" ht="14.25" customHeight="1">
      <c r="A4651" s="4"/>
      <c r="B4651" s="4" t="s">
        <v>1802</v>
      </c>
      <c r="C4651" s="4" t="s">
        <v>6937</v>
      </c>
      <c r="D4651" s="4" t="s">
        <v>1812</v>
      </c>
      <c r="E4651" s="5">
        <v>48.3641275995966</v>
      </c>
    </row>
    <row r="4652" ht="14.25" customHeight="1">
      <c r="A4652" s="4"/>
      <c r="B4652" s="4" t="s">
        <v>1802</v>
      </c>
      <c r="C4652" s="4" t="s">
        <v>6938</v>
      </c>
      <c r="D4652" s="4" t="s">
        <v>6939</v>
      </c>
      <c r="E4652" s="5">
        <v>26.996338079685202</v>
      </c>
    </row>
    <row r="4653" ht="14.25" customHeight="1">
      <c r="A4653" s="4"/>
      <c r="B4653" s="4" t="s">
        <v>1802</v>
      </c>
      <c r="C4653" s="4" t="s">
        <v>6940</v>
      </c>
      <c r="D4653" s="4" t="s">
        <v>1812</v>
      </c>
      <c r="E4653" s="5">
        <v>48.3641275995966</v>
      </c>
    </row>
    <row r="4654" ht="14.25" customHeight="1">
      <c r="A4654" s="4"/>
      <c r="B4654" s="4" t="s">
        <v>1802</v>
      </c>
      <c r="C4654" s="4" t="s">
        <v>6941</v>
      </c>
      <c r="D4654" s="4" t="s">
        <v>1821</v>
      </c>
      <c r="E4654" s="5">
        <v>19.3456510398386</v>
      </c>
    </row>
    <row r="4655" ht="14.25" customHeight="1">
      <c r="A4655" s="4"/>
      <c r="B4655" s="4" t="s">
        <v>1802</v>
      </c>
      <c r="C4655" s="4" t="s">
        <v>6942</v>
      </c>
      <c r="D4655" s="4" t="s">
        <v>1812</v>
      </c>
      <c r="E4655" s="5">
        <v>48.3641275995966</v>
      </c>
    </row>
    <row r="4656" ht="14.25" customHeight="1">
      <c r="A4656" s="4"/>
      <c r="B4656" s="4" t="s">
        <v>1802</v>
      </c>
      <c r="C4656" s="4" t="s">
        <v>6943</v>
      </c>
      <c r="D4656" s="4" t="s">
        <v>1812</v>
      </c>
      <c r="E4656" s="5">
        <v>48.3641275995966</v>
      </c>
    </row>
    <row r="4657" ht="14.25" customHeight="1">
      <c r="A4657" s="4"/>
      <c r="B4657" s="4" t="s">
        <v>1802</v>
      </c>
      <c r="C4657" s="4" t="s">
        <v>6944</v>
      </c>
      <c r="D4657" s="4" t="s">
        <v>6945</v>
      </c>
      <c r="E4657" s="5">
        <v>7.7223543957727205</v>
      </c>
    </row>
    <row r="4658" ht="14.25" customHeight="1">
      <c r="A4658" s="4"/>
      <c r="B4658" s="4" t="s">
        <v>1802</v>
      </c>
      <c r="C4658" s="4" t="s">
        <v>6946</v>
      </c>
      <c r="D4658" s="4" t="s">
        <v>1812</v>
      </c>
      <c r="E4658" s="5">
        <v>48.3641275995966</v>
      </c>
    </row>
    <row r="4659" ht="14.25" customHeight="1">
      <c r="A4659" s="4"/>
      <c r="B4659" s="4" t="s">
        <v>1802</v>
      </c>
      <c r="C4659" s="4" t="s">
        <v>6947</v>
      </c>
      <c r="D4659" s="4" t="s">
        <v>6948</v>
      </c>
      <c r="E4659" s="5">
        <v>48.249450847911</v>
      </c>
    </row>
    <row r="4660" ht="14.25" customHeight="1">
      <c r="A4660" s="4"/>
      <c r="B4660" s="4" t="s">
        <v>1802</v>
      </c>
      <c r="C4660" s="4" t="s">
        <v>6949</v>
      </c>
      <c r="D4660" s="4" t="s">
        <v>6950</v>
      </c>
      <c r="E4660" s="5">
        <v>29.7716027547389</v>
      </c>
    </row>
    <row r="4661" ht="14.25" customHeight="1">
      <c r="A4661" s="4"/>
      <c r="B4661" s="4" t="s">
        <v>1802</v>
      </c>
      <c r="C4661" s="4" t="s">
        <v>6951</v>
      </c>
      <c r="D4661" s="4" t="s">
        <v>1812</v>
      </c>
      <c r="E4661" s="5">
        <v>48.3641275995966</v>
      </c>
    </row>
    <row r="4662" ht="14.25" customHeight="1">
      <c r="A4662" s="4"/>
      <c r="B4662" s="4" t="s">
        <v>1802</v>
      </c>
      <c r="C4662" s="4" t="s">
        <v>6952</v>
      </c>
      <c r="D4662" s="4" t="s">
        <v>6953</v>
      </c>
      <c r="E4662" s="5">
        <v>4.8710564990134895</v>
      </c>
    </row>
    <row r="4663" ht="14.25" customHeight="1">
      <c r="A4663" s="4"/>
      <c r="B4663" s="4" t="s">
        <v>1802</v>
      </c>
      <c r="C4663" s="4" t="s">
        <v>6954</v>
      </c>
      <c r="D4663" s="4" t="s">
        <v>1812</v>
      </c>
      <c r="E4663" s="5">
        <v>48.3641275995966</v>
      </c>
    </row>
    <row r="4664" ht="14.25" customHeight="1">
      <c r="A4664" s="4"/>
      <c r="B4664" s="4" t="s">
        <v>1802</v>
      </c>
      <c r="C4664" s="4" t="s">
        <v>6955</v>
      </c>
      <c r="D4664" s="4" t="s">
        <v>6956</v>
      </c>
      <c r="E4664" s="5">
        <v>43.737264458359604</v>
      </c>
    </row>
    <row r="4665" ht="14.25" customHeight="1">
      <c r="A4665" s="4"/>
      <c r="B4665" s="4" t="s">
        <v>1802</v>
      </c>
      <c r="C4665" s="4" t="s">
        <v>6957</v>
      </c>
      <c r="D4665" s="4" t="s">
        <v>6958</v>
      </c>
      <c r="E4665" s="5">
        <v>4.642956249561281</v>
      </c>
    </row>
    <row r="4666" ht="14.25" customHeight="1">
      <c r="A4666" s="4"/>
      <c r="B4666" s="4" t="s">
        <v>1802</v>
      </c>
      <c r="C4666" s="4" t="s">
        <v>6959</v>
      </c>
      <c r="D4666" s="4" t="s">
        <v>6960</v>
      </c>
      <c r="E4666" s="5">
        <v>11.057636950403701</v>
      </c>
    </row>
    <row r="4667" ht="14.25" customHeight="1">
      <c r="A4667" s="4"/>
      <c r="B4667" s="4" t="s">
        <v>1802</v>
      </c>
      <c r="C4667" s="4" t="s">
        <v>6961</v>
      </c>
      <c r="D4667" s="4" t="s">
        <v>1812</v>
      </c>
      <c r="E4667" s="5">
        <v>48.3641275995966</v>
      </c>
    </row>
    <row r="4668" ht="14.25" customHeight="1">
      <c r="A4668" s="4"/>
      <c r="B4668" s="4" t="s">
        <v>1802</v>
      </c>
      <c r="C4668" s="4" t="s">
        <v>6962</v>
      </c>
      <c r="D4668" s="4" t="s">
        <v>1812</v>
      </c>
      <c r="E4668" s="5">
        <v>48.3641275995966</v>
      </c>
    </row>
    <row r="4669" ht="14.25" customHeight="1">
      <c r="A4669" s="4"/>
      <c r="B4669" s="4" t="s">
        <v>1802</v>
      </c>
      <c r="C4669" s="4" t="s">
        <v>6963</v>
      </c>
      <c r="D4669" s="4" t="s">
        <v>6964</v>
      </c>
      <c r="E4669" s="5">
        <v>10.2714680885731</v>
      </c>
    </row>
    <row r="4670" ht="14.25" customHeight="1">
      <c r="A4670" s="4"/>
      <c r="B4670" s="4" t="s">
        <v>1802</v>
      </c>
      <c r="C4670" s="4" t="s">
        <v>681</v>
      </c>
      <c r="D4670" s="4" t="s">
        <v>6965</v>
      </c>
      <c r="E4670" s="5">
        <v>25.515660165397097</v>
      </c>
    </row>
    <row r="4671" ht="14.25" customHeight="1">
      <c r="A4671" s="4"/>
      <c r="B4671" s="4" t="s">
        <v>1802</v>
      </c>
      <c r="C4671" s="4" t="s">
        <v>6966</v>
      </c>
      <c r="D4671" s="4" t="s">
        <v>6967</v>
      </c>
      <c r="E4671" s="5">
        <v>7.8125203977662805</v>
      </c>
    </row>
    <row r="4672" ht="14.25" customHeight="1">
      <c r="A4672" s="4"/>
      <c r="B4672" s="4" t="s">
        <v>1802</v>
      </c>
      <c r="C4672" s="4" t="s">
        <v>6968</v>
      </c>
      <c r="D4672" s="4" t="s">
        <v>1812</v>
      </c>
      <c r="E4672" s="5">
        <v>48.3641275995966</v>
      </c>
    </row>
    <row r="4673" ht="14.25" customHeight="1">
      <c r="A4673" s="4"/>
      <c r="B4673" s="4" t="s">
        <v>1802</v>
      </c>
      <c r="C4673" s="4" t="s">
        <v>6969</v>
      </c>
      <c r="D4673" s="4" t="s">
        <v>1812</v>
      </c>
      <c r="E4673" s="5">
        <v>48.3641275995966</v>
      </c>
    </row>
    <row r="4674" ht="14.25" customHeight="1">
      <c r="A4674" s="4"/>
      <c r="B4674" s="4" t="s">
        <v>1802</v>
      </c>
      <c r="C4674" s="4" t="s">
        <v>6970</v>
      </c>
      <c r="D4674" s="4" t="s">
        <v>1812</v>
      </c>
      <c r="E4674" s="5">
        <v>48.3641275995966</v>
      </c>
    </row>
    <row r="4675" ht="14.25" customHeight="1">
      <c r="A4675" s="4"/>
      <c r="B4675" s="4" t="s">
        <v>1802</v>
      </c>
      <c r="C4675" s="4" t="s">
        <v>6971</v>
      </c>
      <c r="D4675" s="4" t="s">
        <v>1837</v>
      </c>
      <c r="E4675" s="5">
        <v>9.672825519919328</v>
      </c>
    </row>
    <row r="4676" ht="14.25" customHeight="1">
      <c r="A4676" s="4"/>
      <c r="B4676" s="4" t="s">
        <v>1802</v>
      </c>
      <c r="C4676" s="4" t="s">
        <v>724</v>
      </c>
      <c r="D4676" s="4" t="s">
        <v>6972</v>
      </c>
      <c r="E4676" s="5">
        <v>43.1113829826945</v>
      </c>
    </row>
    <row r="4677" ht="14.25" customHeight="1">
      <c r="A4677" s="4"/>
      <c r="B4677" s="4" t="s">
        <v>1802</v>
      </c>
      <c r="C4677" s="4" t="s">
        <v>6973</v>
      </c>
      <c r="D4677" s="4" t="s">
        <v>6974</v>
      </c>
      <c r="E4677" s="5">
        <v>31.6526633386868</v>
      </c>
    </row>
    <row r="4678" ht="14.25" customHeight="1">
      <c r="A4678" s="4"/>
      <c r="B4678" s="4" t="s">
        <v>1802</v>
      </c>
      <c r="C4678" s="4" t="s">
        <v>1661</v>
      </c>
      <c r="D4678" s="4" t="s">
        <v>1812</v>
      </c>
      <c r="E4678" s="5">
        <v>48.3641275995966</v>
      </c>
    </row>
    <row r="4679" ht="14.25" customHeight="1">
      <c r="A4679" s="4"/>
      <c r="B4679" s="4" t="s">
        <v>1802</v>
      </c>
      <c r="C4679" s="4" t="s">
        <v>6975</v>
      </c>
      <c r="D4679" s="4" t="s">
        <v>6976</v>
      </c>
      <c r="E4679" s="5">
        <v>25.420365176893696</v>
      </c>
    </row>
    <row r="4680" ht="14.25" customHeight="1">
      <c r="A4680" s="4"/>
      <c r="B4680" s="4" t="s">
        <v>1802</v>
      </c>
      <c r="C4680" s="4" t="s">
        <v>6977</v>
      </c>
      <c r="D4680" s="4" t="s">
        <v>6978</v>
      </c>
      <c r="E4680" s="5">
        <v>6.25022864578045</v>
      </c>
    </row>
    <row r="4681" ht="14.25" customHeight="1">
      <c r="A4681" s="4"/>
      <c r="B4681" s="4" t="s">
        <v>1802</v>
      </c>
      <c r="C4681" s="4" t="s">
        <v>6979</v>
      </c>
      <c r="D4681" s="4" t="s">
        <v>6980</v>
      </c>
      <c r="E4681" s="5">
        <v>25.683445627458198</v>
      </c>
    </row>
    <row r="4682" ht="14.25" customHeight="1">
      <c r="A4682" s="4"/>
      <c r="B4682" s="4" t="s">
        <v>1802</v>
      </c>
      <c r="C4682" s="4" t="s">
        <v>6981</v>
      </c>
      <c r="D4682" s="4" t="s">
        <v>6982</v>
      </c>
      <c r="E4682" s="5">
        <v>42.866158655422204</v>
      </c>
    </row>
    <row r="4683" ht="14.25" customHeight="1">
      <c r="A4683" s="4"/>
      <c r="B4683" s="4" t="s">
        <v>1802</v>
      </c>
      <c r="C4683" s="4" t="s">
        <v>6983</v>
      </c>
      <c r="D4683" s="4" t="s">
        <v>6984</v>
      </c>
      <c r="E4683" s="5">
        <v>10.5836761002467</v>
      </c>
    </row>
    <row r="4684" ht="14.25" customHeight="1">
      <c r="A4684" s="4"/>
      <c r="B4684" s="4" t="s">
        <v>1802</v>
      </c>
      <c r="C4684" s="4" t="s">
        <v>6985</v>
      </c>
      <c r="D4684" s="4" t="s">
        <v>1812</v>
      </c>
      <c r="E4684" s="5">
        <v>48.3641275995966</v>
      </c>
    </row>
    <row r="4685" ht="14.25" customHeight="1">
      <c r="A4685" s="4"/>
      <c r="B4685" s="4" t="s">
        <v>1802</v>
      </c>
      <c r="C4685" s="4" t="s">
        <v>6986</v>
      </c>
      <c r="D4685" s="4" t="s">
        <v>6987</v>
      </c>
      <c r="E4685" s="5">
        <v>8.26937762640787</v>
      </c>
    </row>
    <row r="4686" ht="14.25" customHeight="1">
      <c r="A4686" s="4"/>
      <c r="B4686" s="4" t="s">
        <v>1802</v>
      </c>
      <c r="C4686" s="4" t="s">
        <v>6988</v>
      </c>
      <c r="D4686" s="4" t="s">
        <v>6989</v>
      </c>
      <c r="E4686" s="5">
        <v>9.75211486530006</v>
      </c>
    </row>
    <row r="4687" ht="14.25" customHeight="1">
      <c r="A4687" s="4"/>
      <c r="B4687" s="4" t="s">
        <v>1802</v>
      </c>
      <c r="C4687" s="4" t="s">
        <v>6990</v>
      </c>
      <c r="D4687" s="4" t="s">
        <v>6991</v>
      </c>
      <c r="E4687" s="5">
        <v>19.3521062773319</v>
      </c>
    </row>
    <row r="4688" ht="14.25" customHeight="1">
      <c r="A4688" s="4"/>
      <c r="B4688" s="4" t="s">
        <v>1802</v>
      </c>
      <c r="C4688" s="4" t="s">
        <v>6992</v>
      </c>
      <c r="D4688" s="4" t="s">
        <v>1812</v>
      </c>
      <c r="E4688" s="5">
        <v>48.3641275995966</v>
      </c>
    </row>
    <row r="4689" ht="14.25" customHeight="1">
      <c r="A4689" s="4"/>
      <c r="B4689" s="4" t="s">
        <v>1802</v>
      </c>
      <c r="C4689" s="4" t="s">
        <v>6993</v>
      </c>
      <c r="D4689" s="4" t="s">
        <v>1812</v>
      </c>
      <c r="E4689" s="5">
        <v>48.3641275995966</v>
      </c>
    </row>
    <row r="4690" ht="14.25" customHeight="1">
      <c r="A4690" s="4"/>
      <c r="B4690" s="4" t="s">
        <v>1802</v>
      </c>
      <c r="C4690" s="4" t="s">
        <v>6994</v>
      </c>
      <c r="D4690" s="4" t="s">
        <v>6995</v>
      </c>
      <c r="E4690" s="5">
        <v>45.0995760857916</v>
      </c>
    </row>
    <row r="4691" ht="14.25" customHeight="1">
      <c r="A4691" s="4"/>
      <c r="B4691" s="4" t="s">
        <v>1802</v>
      </c>
      <c r="C4691" s="4" t="s">
        <v>6996</v>
      </c>
      <c r="D4691" s="4" t="s">
        <v>6997</v>
      </c>
      <c r="E4691" s="5">
        <v>29.0067377109857</v>
      </c>
    </row>
    <row r="4692" ht="14.25" customHeight="1">
      <c r="A4692" s="4"/>
      <c r="B4692" s="4" t="s">
        <v>1802</v>
      </c>
      <c r="C4692" s="4" t="s">
        <v>6998</v>
      </c>
      <c r="D4692" s="4" t="s">
        <v>1812</v>
      </c>
      <c r="E4692" s="5">
        <v>48.3641275995966</v>
      </c>
    </row>
    <row r="4693" ht="14.25" customHeight="1">
      <c r="A4693" s="4"/>
      <c r="B4693" s="4" t="s">
        <v>1802</v>
      </c>
      <c r="C4693" s="4" t="s">
        <v>6999</v>
      </c>
      <c r="D4693" s="4" t="s">
        <v>7000</v>
      </c>
      <c r="E4693" s="5">
        <v>5.07949851512602</v>
      </c>
    </row>
    <row r="4694" ht="14.25" customHeight="1">
      <c r="A4694" s="4"/>
      <c r="B4694" s="4" t="s">
        <v>1802</v>
      </c>
      <c r="C4694" s="4" t="s">
        <v>7001</v>
      </c>
      <c r="D4694" s="4" t="s">
        <v>1812</v>
      </c>
      <c r="E4694" s="5">
        <v>48.3641275995966</v>
      </c>
    </row>
    <row r="4695" ht="14.25" customHeight="1">
      <c r="A4695" s="4"/>
      <c r="B4695" s="4" t="s">
        <v>1802</v>
      </c>
      <c r="C4695" s="4" t="s">
        <v>7002</v>
      </c>
      <c r="D4695" s="4" t="s">
        <v>1812</v>
      </c>
      <c r="E4695" s="5">
        <v>48.3641275995966</v>
      </c>
    </row>
    <row r="4696" ht="14.25" customHeight="1">
      <c r="A4696" s="4"/>
      <c r="B4696" s="4" t="s">
        <v>1802</v>
      </c>
      <c r="C4696" s="4" t="s">
        <v>7003</v>
      </c>
      <c r="D4696" s="4" t="s">
        <v>7004</v>
      </c>
      <c r="E4696" s="5">
        <v>5.69240580325424</v>
      </c>
    </row>
    <row r="4697" ht="14.25" customHeight="1">
      <c r="A4697" s="4"/>
      <c r="B4697" s="4" t="s">
        <v>1802</v>
      </c>
      <c r="C4697" s="4" t="s">
        <v>7005</v>
      </c>
      <c r="D4697" s="4" t="s">
        <v>1812</v>
      </c>
      <c r="E4697" s="5">
        <v>48.3641275995966</v>
      </c>
    </row>
    <row r="4698" ht="14.25" customHeight="1">
      <c r="A4698" s="4"/>
      <c r="B4698" s="4" t="s">
        <v>1802</v>
      </c>
      <c r="C4698" s="4" t="s">
        <v>7006</v>
      </c>
      <c r="D4698" s="4" t="s">
        <v>1812</v>
      </c>
      <c r="E4698" s="5">
        <v>48.3641275995966</v>
      </c>
    </row>
    <row r="4699" ht="14.25" customHeight="1">
      <c r="A4699" s="4"/>
      <c r="B4699" s="4" t="s">
        <v>1802</v>
      </c>
      <c r="C4699" s="4" t="s">
        <v>7007</v>
      </c>
      <c r="D4699" s="4" t="s">
        <v>7008</v>
      </c>
      <c r="E4699" s="5">
        <v>9.83156296283433</v>
      </c>
    </row>
    <row r="4700" ht="14.25" customHeight="1">
      <c r="A4700" s="4"/>
      <c r="B4700" s="4" t="s">
        <v>1802</v>
      </c>
      <c r="C4700" s="4" t="s">
        <v>7009</v>
      </c>
      <c r="D4700" s="4" t="s">
        <v>7010</v>
      </c>
      <c r="E4700" s="5">
        <v>4.20797178016529</v>
      </c>
    </row>
    <row r="4701" ht="14.25" customHeight="1">
      <c r="A4701" s="4"/>
      <c r="B4701" s="4" t="s">
        <v>1802</v>
      </c>
      <c r="C4701" s="4" t="s">
        <v>7011</v>
      </c>
      <c r="D4701" s="4" t="s">
        <v>7012</v>
      </c>
      <c r="E4701" s="5">
        <v>39.8683343186648</v>
      </c>
    </row>
    <row r="4702" ht="14.25" customHeight="1">
      <c r="A4702" s="4"/>
      <c r="B4702" s="4" t="s">
        <v>1802</v>
      </c>
      <c r="C4702" s="4" t="s">
        <v>1489</v>
      </c>
      <c r="D4702" s="4" t="s">
        <v>7013</v>
      </c>
      <c r="E4702" s="5">
        <v>47.2228346837398</v>
      </c>
    </row>
    <row r="4703" ht="14.25" customHeight="1">
      <c r="A4703" s="4"/>
      <c r="B4703" s="4" t="s">
        <v>1802</v>
      </c>
      <c r="C4703" s="4" t="s">
        <v>7014</v>
      </c>
      <c r="D4703" s="4" t="s">
        <v>1812</v>
      </c>
      <c r="E4703" s="5">
        <v>48.3641275995966</v>
      </c>
    </row>
    <row r="4704" ht="14.25" customHeight="1">
      <c r="A4704" s="4"/>
      <c r="B4704" s="4" t="s">
        <v>1802</v>
      </c>
      <c r="C4704" s="4" t="s">
        <v>7015</v>
      </c>
      <c r="D4704" s="4" t="s">
        <v>1812</v>
      </c>
      <c r="E4704" s="5">
        <v>48.3641275995966</v>
      </c>
    </row>
    <row r="4705" ht="14.25" customHeight="1">
      <c r="A4705" s="4"/>
      <c r="B4705" s="4" t="s">
        <v>1802</v>
      </c>
      <c r="C4705" s="4" t="s">
        <v>1625</v>
      </c>
      <c r="D4705" s="4" t="s">
        <v>1812</v>
      </c>
      <c r="E4705" s="5">
        <v>48.3641275995966</v>
      </c>
    </row>
    <row r="4706" ht="14.25" customHeight="1">
      <c r="A4706" s="4"/>
      <c r="B4706" s="4" t="s">
        <v>1802</v>
      </c>
      <c r="C4706" s="4" t="s">
        <v>7016</v>
      </c>
      <c r="D4706" s="4" t="s">
        <v>7017</v>
      </c>
      <c r="E4706" s="5">
        <v>20.1992329189735</v>
      </c>
    </row>
    <row r="4707" ht="14.25" customHeight="1">
      <c r="A4707" s="4"/>
      <c r="B4707" s="4" t="s">
        <v>1802</v>
      </c>
      <c r="C4707" s="4" t="s">
        <v>7018</v>
      </c>
      <c r="D4707" s="4" t="s">
        <v>1812</v>
      </c>
      <c r="E4707" s="5">
        <v>48.3641275995966</v>
      </c>
    </row>
    <row r="4708" ht="14.25" customHeight="1">
      <c r="A4708" s="4"/>
      <c r="B4708" s="4" t="s">
        <v>1802</v>
      </c>
      <c r="C4708" s="4" t="s">
        <v>7019</v>
      </c>
      <c r="D4708" s="4" t="s">
        <v>7020</v>
      </c>
      <c r="E4708" s="5">
        <v>42.487510702592694</v>
      </c>
    </row>
    <row r="4709" ht="14.25" customHeight="1">
      <c r="A4709" s="4"/>
      <c r="B4709" s="4" t="s">
        <v>1802</v>
      </c>
      <c r="C4709" s="4" t="s">
        <v>7021</v>
      </c>
      <c r="D4709" s="4" t="s">
        <v>1812</v>
      </c>
      <c r="E4709" s="5">
        <v>48.3641275995966</v>
      </c>
    </row>
    <row r="4710" ht="14.25" customHeight="1">
      <c r="A4710" s="4"/>
      <c r="B4710" s="4" t="s">
        <v>1802</v>
      </c>
      <c r="C4710" s="4" t="s">
        <v>7022</v>
      </c>
      <c r="D4710" s="4" t="s">
        <v>7023</v>
      </c>
      <c r="E4710" s="5">
        <v>41.6696811212675</v>
      </c>
    </row>
    <row r="4711" ht="14.25" customHeight="1">
      <c r="A4711" s="4"/>
      <c r="B4711" s="4" t="s">
        <v>1802</v>
      </c>
      <c r="C4711" s="4" t="s">
        <v>1514</v>
      </c>
      <c r="D4711" s="4" t="s">
        <v>1812</v>
      </c>
      <c r="E4711" s="5">
        <v>48.3641275995966</v>
      </c>
    </row>
    <row r="4712" ht="14.25" customHeight="1">
      <c r="A4712" s="4"/>
      <c r="B4712" s="4" t="s">
        <v>1802</v>
      </c>
      <c r="C4712" s="4" t="s">
        <v>7024</v>
      </c>
      <c r="D4712" s="4" t="s">
        <v>7025</v>
      </c>
      <c r="E4712" s="5">
        <v>20.9545367488147</v>
      </c>
    </row>
    <row r="4713" ht="14.25" customHeight="1">
      <c r="A4713" s="4"/>
      <c r="B4713" s="4" t="s">
        <v>1802</v>
      </c>
      <c r="C4713" s="4" t="s">
        <v>1101</v>
      </c>
      <c r="D4713" s="4" t="s">
        <v>1812</v>
      </c>
      <c r="E4713" s="5">
        <v>48.3641275995966</v>
      </c>
    </row>
    <row r="4714" ht="14.25" customHeight="1">
      <c r="A4714" s="4"/>
      <c r="B4714" s="4" t="s">
        <v>1802</v>
      </c>
      <c r="C4714" s="4" t="s">
        <v>208</v>
      </c>
      <c r="D4714" s="4" t="s">
        <v>1812</v>
      </c>
      <c r="E4714" s="5">
        <v>48.3641275995966</v>
      </c>
    </row>
    <row r="4715" ht="14.25" customHeight="1">
      <c r="A4715" s="4"/>
      <c r="B4715" s="4" t="s">
        <v>1802</v>
      </c>
      <c r="C4715" s="4" t="s">
        <v>7026</v>
      </c>
      <c r="D4715" s="4" t="s">
        <v>1812</v>
      </c>
      <c r="E4715" s="5">
        <v>48.3641275995966</v>
      </c>
    </row>
    <row r="4716" ht="14.25" customHeight="1">
      <c r="A4716" s="4"/>
      <c r="B4716" s="4" t="s">
        <v>1802</v>
      </c>
      <c r="C4716" s="4" t="s">
        <v>7027</v>
      </c>
      <c r="D4716" s="4" t="s">
        <v>7028</v>
      </c>
      <c r="E4716" s="5">
        <v>10.1616088900811</v>
      </c>
    </row>
    <row r="4717" ht="14.25" customHeight="1">
      <c r="A4717" s="4"/>
      <c r="B4717" s="4" t="s">
        <v>1802</v>
      </c>
      <c r="C4717" s="4" t="s">
        <v>7029</v>
      </c>
      <c r="D4717" s="4" t="s">
        <v>1812</v>
      </c>
      <c r="E4717" s="5">
        <v>48.3641275995966</v>
      </c>
    </row>
    <row r="4718" ht="14.25" customHeight="1">
      <c r="A4718" s="4"/>
      <c r="B4718" s="4" t="s">
        <v>1802</v>
      </c>
      <c r="C4718" s="4" t="s">
        <v>7030</v>
      </c>
      <c r="D4718" s="4" t="s">
        <v>7031</v>
      </c>
      <c r="E4718" s="5">
        <v>22.2279209803419</v>
      </c>
    </row>
    <row r="4719" ht="14.25" customHeight="1">
      <c r="A4719" s="4"/>
      <c r="B4719" s="4" t="s">
        <v>1802</v>
      </c>
      <c r="C4719" s="4" t="s">
        <v>7032</v>
      </c>
      <c r="D4719" s="4" t="s">
        <v>1812</v>
      </c>
      <c r="E4719" s="5">
        <v>48.3641275995966</v>
      </c>
    </row>
    <row r="4720" ht="14.25" customHeight="1">
      <c r="A4720" s="4"/>
      <c r="B4720" s="4" t="s">
        <v>1802</v>
      </c>
      <c r="C4720" s="4" t="s">
        <v>7033</v>
      </c>
      <c r="D4720" s="4" t="s">
        <v>1812</v>
      </c>
      <c r="E4720" s="5">
        <v>48.3641275995966</v>
      </c>
    </row>
    <row r="4721" ht="14.25" customHeight="1">
      <c r="A4721" s="4"/>
      <c r="B4721" s="4" t="s">
        <v>1802</v>
      </c>
      <c r="C4721" s="4" t="s">
        <v>7034</v>
      </c>
      <c r="D4721" s="4" t="s">
        <v>1812</v>
      </c>
      <c r="E4721" s="5">
        <v>48.3641275995966</v>
      </c>
    </row>
    <row r="4722" ht="14.25" customHeight="1">
      <c r="A4722" s="4"/>
      <c r="B4722" s="4" t="s">
        <v>1802</v>
      </c>
      <c r="C4722" s="4" t="s">
        <v>7035</v>
      </c>
      <c r="D4722" s="4" t="s">
        <v>7036</v>
      </c>
      <c r="E4722" s="5">
        <v>9.753567702026022</v>
      </c>
    </row>
    <row r="4723" ht="14.25" customHeight="1">
      <c r="A4723" s="4"/>
      <c r="B4723" s="4" t="s">
        <v>1802</v>
      </c>
      <c r="C4723" s="4" t="s">
        <v>7037</v>
      </c>
      <c r="D4723" s="4" t="s">
        <v>7038</v>
      </c>
      <c r="E4723" s="5">
        <v>4.57460089093226</v>
      </c>
    </row>
    <row r="4724" ht="14.25" customHeight="1">
      <c r="A4724" s="4"/>
      <c r="B4724" s="4" t="s">
        <v>1802</v>
      </c>
      <c r="C4724" s="4" t="s">
        <v>7039</v>
      </c>
      <c r="D4724" s="4" t="s">
        <v>7040</v>
      </c>
      <c r="E4724" s="5">
        <v>18.1849119774483</v>
      </c>
    </row>
    <row r="4725" ht="14.25" customHeight="1">
      <c r="A4725" s="4"/>
      <c r="B4725" s="4" t="s">
        <v>1802</v>
      </c>
      <c r="C4725" s="4" t="s">
        <v>7041</v>
      </c>
      <c r="D4725" s="4" t="s">
        <v>7042</v>
      </c>
      <c r="E4725" s="5">
        <v>10.962580584717001</v>
      </c>
    </row>
    <row r="4726" ht="14.25" customHeight="1">
      <c r="A4726" s="4"/>
      <c r="B4726" s="4" t="s">
        <v>1802</v>
      </c>
      <c r="C4726" s="4" t="s">
        <v>7043</v>
      </c>
      <c r="D4726" s="4" t="s">
        <v>7044</v>
      </c>
      <c r="E4726" s="5">
        <v>31.8109830685911</v>
      </c>
    </row>
    <row r="4727" ht="14.25" customHeight="1">
      <c r="A4727" s="4"/>
      <c r="B4727" s="4" t="s">
        <v>1802</v>
      </c>
      <c r="C4727" s="4" t="s">
        <v>7045</v>
      </c>
      <c r="D4727" s="4" t="s">
        <v>7046</v>
      </c>
      <c r="E4727" s="5">
        <v>44.0886381585832</v>
      </c>
    </row>
    <row r="4728" ht="14.25" customHeight="1">
      <c r="A4728" s="4"/>
      <c r="B4728" s="4" t="s">
        <v>1802</v>
      </c>
      <c r="C4728" s="4" t="s">
        <v>7047</v>
      </c>
      <c r="D4728" s="4" t="s">
        <v>7048</v>
      </c>
      <c r="E4728" s="5">
        <v>28.3638467769811</v>
      </c>
    </row>
    <row r="4729" ht="14.25" customHeight="1">
      <c r="A4729" s="4"/>
      <c r="B4729" s="4" t="s">
        <v>1802</v>
      </c>
      <c r="C4729" s="4" t="s">
        <v>7049</v>
      </c>
      <c r="D4729" s="4" t="s">
        <v>1812</v>
      </c>
      <c r="E4729" s="5">
        <v>48.3641275995966</v>
      </c>
    </row>
    <row r="4730" ht="14.25" customHeight="1">
      <c r="A4730" s="4"/>
      <c r="B4730" s="4" t="s">
        <v>1802</v>
      </c>
      <c r="C4730" s="4" t="s">
        <v>7050</v>
      </c>
      <c r="D4730" s="4" t="s">
        <v>2105</v>
      </c>
      <c r="E4730" s="5">
        <v>29.018476559758</v>
      </c>
    </row>
    <row r="4731" ht="14.25" customHeight="1">
      <c r="A4731" s="4"/>
      <c r="B4731" s="4" t="s">
        <v>1802</v>
      </c>
      <c r="C4731" s="4" t="s">
        <v>1257</v>
      </c>
      <c r="D4731" s="4" t="s">
        <v>7051</v>
      </c>
      <c r="E4731" s="5">
        <v>46.7122924368877</v>
      </c>
    </row>
    <row r="4732" ht="14.25" customHeight="1">
      <c r="A4732" s="4"/>
      <c r="B4732" s="4" t="s">
        <v>1802</v>
      </c>
      <c r="C4732" s="4" t="s">
        <v>7052</v>
      </c>
      <c r="D4732" s="4" t="s">
        <v>1812</v>
      </c>
      <c r="E4732" s="5">
        <v>48.3641275995966</v>
      </c>
    </row>
    <row r="4733" ht="14.25" customHeight="1">
      <c r="A4733" s="4"/>
      <c r="B4733" s="4" t="s">
        <v>1802</v>
      </c>
      <c r="C4733" s="4" t="s">
        <v>7053</v>
      </c>
      <c r="D4733" s="4" t="s">
        <v>7054</v>
      </c>
      <c r="E4733" s="5">
        <v>9.71845424743414</v>
      </c>
    </row>
    <row r="4734" ht="14.25" customHeight="1">
      <c r="A4734" s="4"/>
      <c r="B4734" s="4" t="s">
        <v>1802</v>
      </c>
      <c r="C4734" s="4" t="s">
        <v>7055</v>
      </c>
      <c r="D4734" s="4" t="s">
        <v>7056</v>
      </c>
      <c r="E4734" s="5">
        <v>9.34751522782877</v>
      </c>
    </row>
    <row r="4735" ht="14.25" customHeight="1">
      <c r="A4735" s="4"/>
      <c r="B4735" s="4" t="s">
        <v>1802</v>
      </c>
      <c r="C4735" s="4" t="s">
        <v>7057</v>
      </c>
      <c r="D4735" s="4" t="s">
        <v>1812</v>
      </c>
      <c r="E4735" s="5">
        <v>48.3641275995966</v>
      </c>
    </row>
    <row r="4736" ht="14.25" customHeight="1">
      <c r="A4736" s="4"/>
      <c r="B4736" s="4" t="s">
        <v>1802</v>
      </c>
      <c r="C4736" s="4" t="s">
        <v>938</v>
      </c>
      <c r="D4736" s="4" t="s">
        <v>1812</v>
      </c>
      <c r="E4736" s="5">
        <v>48.3641275995966</v>
      </c>
    </row>
    <row r="4737" ht="14.25" customHeight="1">
      <c r="A4737" s="4"/>
      <c r="B4737" s="4" t="s">
        <v>1802</v>
      </c>
      <c r="C4737" s="4" t="s">
        <v>107</v>
      </c>
      <c r="D4737" s="4" t="s">
        <v>1812</v>
      </c>
      <c r="E4737" s="5">
        <v>48.3641275995966</v>
      </c>
    </row>
    <row r="4738" ht="14.25" customHeight="1">
      <c r="A4738" s="4"/>
      <c r="B4738" s="4" t="s">
        <v>1802</v>
      </c>
      <c r="C4738" s="4" t="s">
        <v>7058</v>
      </c>
      <c r="D4738" s="4" t="s">
        <v>7059</v>
      </c>
      <c r="E4738" s="5">
        <v>34.1584360073192</v>
      </c>
    </row>
    <row r="4739" ht="14.25" customHeight="1">
      <c r="A4739" s="4"/>
      <c r="B4739" s="4" t="s">
        <v>1802</v>
      </c>
      <c r="C4739" s="4" t="s">
        <v>1291</v>
      </c>
      <c r="D4739" s="4" t="s">
        <v>1812</v>
      </c>
      <c r="E4739" s="5">
        <v>48.3641275995966</v>
      </c>
    </row>
    <row r="4740" ht="14.25" customHeight="1">
      <c r="A4740" s="4"/>
      <c r="B4740" s="4" t="s">
        <v>1802</v>
      </c>
      <c r="C4740" s="4" t="s">
        <v>7060</v>
      </c>
      <c r="D4740" s="4" t="s">
        <v>1812</v>
      </c>
      <c r="E4740" s="5">
        <v>48.3641275995966</v>
      </c>
    </row>
    <row r="4741" ht="14.25" customHeight="1">
      <c r="A4741" s="4"/>
      <c r="B4741" s="4" t="s">
        <v>1802</v>
      </c>
      <c r="C4741" s="4" t="s">
        <v>280</v>
      </c>
      <c r="D4741" s="4" t="s">
        <v>1812</v>
      </c>
      <c r="E4741" s="5">
        <v>48.3641275995966</v>
      </c>
    </row>
    <row r="4742" ht="14.25" customHeight="1">
      <c r="A4742" s="4"/>
      <c r="B4742" s="4" t="s">
        <v>1802</v>
      </c>
      <c r="C4742" s="4" t="s">
        <v>7061</v>
      </c>
      <c r="D4742" s="4" t="s">
        <v>7062</v>
      </c>
      <c r="E4742" s="5">
        <v>10.6447328509871</v>
      </c>
    </row>
    <row r="4743" ht="14.25" customHeight="1">
      <c r="A4743" s="4"/>
      <c r="B4743" s="4" t="s">
        <v>1802</v>
      </c>
      <c r="C4743" s="4" t="s">
        <v>7063</v>
      </c>
      <c r="D4743" s="4" t="s">
        <v>1812</v>
      </c>
      <c r="E4743" s="5">
        <v>48.3641275995966</v>
      </c>
    </row>
    <row r="4744" ht="14.25" customHeight="1">
      <c r="A4744" s="4"/>
      <c r="B4744" s="4" t="s">
        <v>1802</v>
      </c>
      <c r="C4744" s="4" t="s">
        <v>7064</v>
      </c>
      <c r="D4744" s="4" t="s">
        <v>7065</v>
      </c>
      <c r="E4744" s="5">
        <v>47.390505019146296</v>
      </c>
    </row>
    <row r="4745" ht="14.25" customHeight="1">
      <c r="A4745" s="4"/>
      <c r="B4745" s="4" t="s">
        <v>1802</v>
      </c>
      <c r="C4745" s="4" t="s">
        <v>7066</v>
      </c>
      <c r="D4745" s="4" t="s">
        <v>1812</v>
      </c>
      <c r="E4745" s="5">
        <v>48.3641275995966</v>
      </c>
    </row>
    <row r="4746" ht="14.25" customHeight="1">
      <c r="A4746" s="4"/>
      <c r="B4746" s="4" t="s">
        <v>1802</v>
      </c>
      <c r="C4746" s="4" t="s">
        <v>7067</v>
      </c>
      <c r="D4746" s="4" t="s">
        <v>7068</v>
      </c>
      <c r="E4746" s="5">
        <v>4.12007650786926</v>
      </c>
    </row>
    <row r="4747" ht="14.25" customHeight="1">
      <c r="A4747" s="4"/>
      <c r="B4747" s="4" t="s">
        <v>1802</v>
      </c>
      <c r="C4747" s="4" t="s">
        <v>1556</v>
      </c>
      <c r="D4747" s="4" t="s">
        <v>1812</v>
      </c>
      <c r="E4747" s="5">
        <v>48.3641275995966</v>
      </c>
    </row>
    <row r="4748" ht="14.25" customHeight="1">
      <c r="A4748" s="4"/>
      <c r="B4748" s="4" t="s">
        <v>1802</v>
      </c>
      <c r="C4748" s="4" t="s">
        <v>7069</v>
      </c>
      <c r="D4748" s="4" t="s">
        <v>7070</v>
      </c>
      <c r="E4748" s="5">
        <v>13.0450526179748</v>
      </c>
    </row>
    <row r="4749" ht="14.25" customHeight="1">
      <c r="A4749" s="4"/>
      <c r="B4749" s="4" t="s">
        <v>1802</v>
      </c>
      <c r="C4749" s="4" t="s">
        <v>7071</v>
      </c>
      <c r="D4749" s="4" t="s">
        <v>1812</v>
      </c>
      <c r="E4749" s="5">
        <v>48.3641275995966</v>
      </c>
    </row>
    <row r="4750" ht="14.25" customHeight="1">
      <c r="A4750" s="4"/>
      <c r="B4750" s="4" t="s">
        <v>1802</v>
      </c>
      <c r="C4750" s="4" t="s">
        <v>7072</v>
      </c>
      <c r="D4750" s="4" t="s">
        <v>1812</v>
      </c>
      <c r="E4750" s="5">
        <v>48.3641275995966</v>
      </c>
    </row>
    <row r="4751" ht="14.25" customHeight="1">
      <c r="A4751" s="4"/>
      <c r="B4751" s="4" t="s">
        <v>1802</v>
      </c>
      <c r="C4751" s="4" t="s">
        <v>7073</v>
      </c>
      <c r="D4751" s="4" t="s">
        <v>7074</v>
      </c>
      <c r="E4751" s="5">
        <v>48.1016133631526</v>
      </c>
    </row>
    <row r="4752" ht="14.25" customHeight="1">
      <c r="A4752" s="4"/>
      <c r="B4752" s="4" t="s">
        <v>1802</v>
      </c>
      <c r="C4752" s="4" t="s">
        <v>178</v>
      </c>
      <c r="D4752" s="4" t="s">
        <v>1812</v>
      </c>
      <c r="E4752" s="5">
        <v>48.3641275995966</v>
      </c>
    </row>
    <row r="4753" ht="14.25" customHeight="1">
      <c r="A4753" s="4"/>
      <c r="B4753" s="4" t="s">
        <v>1802</v>
      </c>
      <c r="C4753" s="4" t="s">
        <v>7075</v>
      </c>
      <c r="D4753" s="4" t="s">
        <v>7076</v>
      </c>
      <c r="E4753" s="5">
        <v>20.3139571708074</v>
      </c>
    </row>
    <row r="4754" ht="14.25" customHeight="1">
      <c r="A4754" s="4"/>
      <c r="B4754" s="4" t="s">
        <v>1802</v>
      </c>
      <c r="C4754" s="4" t="s">
        <v>7077</v>
      </c>
      <c r="D4754" s="4" t="s">
        <v>1812</v>
      </c>
      <c r="E4754" s="5">
        <v>48.3641275995966</v>
      </c>
    </row>
    <row r="4755" ht="14.25" customHeight="1">
      <c r="A4755" s="4"/>
      <c r="B4755" s="4" t="s">
        <v>1802</v>
      </c>
      <c r="C4755" s="4" t="s">
        <v>7078</v>
      </c>
      <c r="D4755" s="4" t="s">
        <v>7079</v>
      </c>
      <c r="E4755" s="5">
        <v>8.3767015544845</v>
      </c>
    </row>
    <row r="4756" ht="14.25" customHeight="1">
      <c r="A4756" s="4"/>
      <c r="B4756" s="4" t="s">
        <v>1802</v>
      </c>
      <c r="C4756" s="4" t="s">
        <v>1272</v>
      </c>
      <c r="D4756" s="4" t="s">
        <v>1812</v>
      </c>
      <c r="E4756" s="5">
        <v>48.3641275995966</v>
      </c>
    </row>
    <row r="4757" ht="14.25" customHeight="1">
      <c r="A4757" s="4"/>
      <c r="B4757" s="4" t="s">
        <v>1802</v>
      </c>
      <c r="C4757" s="4" t="s">
        <v>7080</v>
      </c>
      <c r="D4757" s="4" t="s">
        <v>7081</v>
      </c>
      <c r="E4757" s="5">
        <v>9.75724900124546</v>
      </c>
    </row>
    <row r="4758" ht="14.25" customHeight="1">
      <c r="A4758" s="4"/>
      <c r="B4758" s="4" t="s">
        <v>1802</v>
      </c>
      <c r="C4758" s="4" t="s">
        <v>7082</v>
      </c>
      <c r="D4758" s="4" t="s">
        <v>7083</v>
      </c>
      <c r="E4758" s="5">
        <v>10.0405863461866</v>
      </c>
    </row>
    <row r="4759" ht="14.25" customHeight="1">
      <c r="A4759" s="4"/>
      <c r="B4759" s="4" t="s">
        <v>1802</v>
      </c>
      <c r="C4759" s="4" t="s">
        <v>7084</v>
      </c>
      <c r="D4759" s="4" t="s">
        <v>7085</v>
      </c>
      <c r="E4759" s="5">
        <v>8.95582730149209</v>
      </c>
    </row>
    <row r="4760" ht="14.25" customHeight="1">
      <c r="A4760" s="4"/>
      <c r="B4760" s="4" t="s">
        <v>1802</v>
      </c>
      <c r="C4760" s="4" t="s">
        <v>7086</v>
      </c>
      <c r="D4760" s="4" t="s">
        <v>1812</v>
      </c>
      <c r="E4760" s="5">
        <v>48.3641275995966</v>
      </c>
    </row>
    <row r="4761" ht="14.25" customHeight="1">
      <c r="A4761" s="4"/>
      <c r="B4761" s="4" t="s">
        <v>1802</v>
      </c>
      <c r="C4761" s="4" t="s">
        <v>7087</v>
      </c>
      <c r="D4761" s="4" t="s">
        <v>7088</v>
      </c>
      <c r="E4761" s="5">
        <v>30.3185196142257</v>
      </c>
    </row>
    <row r="4762" ht="14.25" customHeight="1">
      <c r="A4762" s="4"/>
      <c r="B4762" s="4" t="s">
        <v>1802</v>
      </c>
      <c r="C4762" s="4" t="s">
        <v>7089</v>
      </c>
      <c r="D4762" s="4" t="s">
        <v>1812</v>
      </c>
      <c r="E4762" s="5">
        <v>48.3641275995966</v>
      </c>
    </row>
    <row r="4763" ht="14.25" customHeight="1">
      <c r="A4763" s="4"/>
      <c r="B4763" s="4" t="s">
        <v>1802</v>
      </c>
      <c r="C4763" s="4" t="s">
        <v>7090</v>
      </c>
      <c r="D4763" s="4" t="s">
        <v>7091</v>
      </c>
      <c r="E4763" s="5">
        <v>46.8393398241774</v>
      </c>
    </row>
    <row r="4764" ht="14.25" customHeight="1">
      <c r="A4764" s="4"/>
      <c r="B4764" s="4" t="s">
        <v>1802</v>
      </c>
      <c r="C4764" s="4" t="s">
        <v>7092</v>
      </c>
      <c r="D4764" s="4" t="s">
        <v>1812</v>
      </c>
      <c r="E4764" s="5">
        <v>48.3641275995966</v>
      </c>
    </row>
    <row r="4765" ht="14.25" customHeight="1">
      <c r="A4765" s="4"/>
      <c r="B4765" s="4" t="s">
        <v>1802</v>
      </c>
      <c r="C4765" s="4" t="s">
        <v>7093</v>
      </c>
      <c r="D4765" s="4" t="s">
        <v>1812</v>
      </c>
      <c r="E4765" s="5">
        <v>48.3641275995966</v>
      </c>
    </row>
    <row r="4766" ht="14.25" customHeight="1">
      <c r="A4766" s="4"/>
      <c r="B4766" s="4" t="s">
        <v>1802</v>
      </c>
      <c r="C4766" s="4" t="s">
        <v>7094</v>
      </c>
      <c r="D4766" s="4" t="s">
        <v>1812</v>
      </c>
      <c r="E4766" s="5">
        <v>48.3641275995966</v>
      </c>
    </row>
    <row r="4767" ht="14.25" customHeight="1">
      <c r="A4767" s="4"/>
      <c r="B4767" s="4" t="s">
        <v>1802</v>
      </c>
      <c r="C4767" s="4" t="s">
        <v>7095</v>
      </c>
      <c r="D4767" s="4" t="s">
        <v>1821</v>
      </c>
      <c r="E4767" s="5">
        <v>19.3456510398386</v>
      </c>
    </row>
    <row r="4768" ht="14.25" customHeight="1">
      <c r="A4768" s="4"/>
      <c r="B4768" s="4" t="s">
        <v>1802</v>
      </c>
      <c r="C4768" s="4" t="s">
        <v>7096</v>
      </c>
      <c r="D4768" s="4" t="s">
        <v>1812</v>
      </c>
      <c r="E4768" s="5">
        <v>48.3641275995966</v>
      </c>
    </row>
    <row r="4769" ht="14.25" customHeight="1">
      <c r="A4769" s="4"/>
      <c r="B4769" s="4" t="s">
        <v>1802</v>
      </c>
      <c r="C4769" s="4" t="s">
        <v>7097</v>
      </c>
      <c r="D4769" s="4" t="s">
        <v>7098</v>
      </c>
      <c r="E4769" s="5">
        <v>9.53928016302363</v>
      </c>
    </row>
    <row r="4770" ht="14.25" customHeight="1">
      <c r="A4770" s="4"/>
      <c r="B4770" s="4" t="s">
        <v>1802</v>
      </c>
      <c r="C4770" s="4" t="s">
        <v>7099</v>
      </c>
      <c r="D4770" s="4" t="s">
        <v>1812</v>
      </c>
      <c r="E4770" s="5">
        <v>48.3641275995966</v>
      </c>
    </row>
    <row r="4771" ht="14.25" customHeight="1">
      <c r="A4771" s="4"/>
      <c r="B4771" s="4" t="s">
        <v>1802</v>
      </c>
      <c r="C4771" s="4" t="s">
        <v>7100</v>
      </c>
      <c r="D4771" s="4" t="s">
        <v>7101</v>
      </c>
      <c r="E4771" s="5">
        <v>19.5310007316262</v>
      </c>
    </row>
    <row r="4772" ht="14.25" customHeight="1">
      <c r="A4772" s="4"/>
      <c r="B4772" s="4" t="s">
        <v>1802</v>
      </c>
      <c r="C4772" s="4" t="s">
        <v>7102</v>
      </c>
      <c r="D4772" s="4" t="s">
        <v>7103</v>
      </c>
      <c r="E4772" s="5">
        <v>18.666407502302498</v>
      </c>
    </row>
    <row r="4773" ht="14.25" customHeight="1">
      <c r="A4773" s="4"/>
      <c r="B4773" s="4" t="s">
        <v>1802</v>
      </c>
      <c r="C4773" s="4" t="s">
        <v>7104</v>
      </c>
      <c r="D4773" s="4" t="s">
        <v>7105</v>
      </c>
      <c r="E4773" s="5">
        <v>9.11588980017477</v>
      </c>
    </row>
    <row r="4774" ht="14.25" customHeight="1">
      <c r="A4774" s="4"/>
      <c r="B4774" s="4" t="s">
        <v>1802</v>
      </c>
      <c r="C4774" s="4" t="s">
        <v>7106</v>
      </c>
      <c r="D4774" s="4" t="s">
        <v>7107</v>
      </c>
      <c r="E4774" s="5">
        <v>38.9811750941709</v>
      </c>
    </row>
    <row r="4775" ht="14.25" customHeight="1">
      <c r="A4775" s="4"/>
      <c r="B4775" s="4" t="s">
        <v>1802</v>
      </c>
      <c r="C4775" s="4" t="s">
        <v>7108</v>
      </c>
      <c r="D4775" s="4" t="s">
        <v>2683</v>
      </c>
      <c r="E4775" s="5">
        <v>1.93456510398386</v>
      </c>
    </row>
    <row r="4776" ht="14.25" customHeight="1">
      <c r="A4776" s="4"/>
      <c r="B4776" s="4" t="s">
        <v>1802</v>
      </c>
      <c r="C4776" s="4" t="s">
        <v>7109</v>
      </c>
      <c r="D4776" s="4" t="s">
        <v>1812</v>
      </c>
      <c r="E4776" s="5">
        <v>48.3641275995966</v>
      </c>
    </row>
    <row r="4777" ht="14.25" customHeight="1">
      <c r="A4777" s="4"/>
      <c r="B4777" s="4" t="s">
        <v>1802</v>
      </c>
      <c r="C4777" s="4" t="s">
        <v>1570</v>
      </c>
      <c r="D4777" s="4" t="s">
        <v>1812</v>
      </c>
      <c r="E4777" s="5">
        <v>48.3641275995966</v>
      </c>
    </row>
    <row r="4778" ht="14.25" customHeight="1">
      <c r="A4778" s="4"/>
      <c r="B4778" s="4" t="s">
        <v>1802</v>
      </c>
      <c r="C4778" s="4" t="s">
        <v>7110</v>
      </c>
      <c r="D4778" s="4" t="s">
        <v>1812</v>
      </c>
      <c r="E4778" s="5">
        <v>48.3641275995966</v>
      </c>
    </row>
    <row r="4779" ht="14.25" customHeight="1">
      <c r="A4779" s="4"/>
      <c r="B4779" s="4" t="s">
        <v>1802</v>
      </c>
      <c r="C4779" s="4" t="s">
        <v>7111</v>
      </c>
      <c r="D4779" s="4" t="s">
        <v>7112</v>
      </c>
      <c r="E4779" s="5">
        <v>34.9950566419582</v>
      </c>
    </row>
    <row r="4780" ht="14.25" customHeight="1">
      <c r="A4780" s="4"/>
      <c r="B4780" s="4" t="s">
        <v>1802</v>
      </c>
      <c r="C4780" s="4" t="s">
        <v>7113</v>
      </c>
      <c r="D4780" s="4" t="s">
        <v>7114</v>
      </c>
      <c r="E4780" s="5">
        <v>0.97076305218429</v>
      </c>
    </row>
    <row r="4781" ht="14.25" customHeight="1">
      <c r="A4781" s="4"/>
      <c r="B4781" s="4" t="s">
        <v>1802</v>
      </c>
      <c r="C4781" s="4" t="s">
        <v>7115</v>
      </c>
      <c r="D4781" s="4" t="s">
        <v>7116</v>
      </c>
      <c r="E4781" s="5">
        <v>14.509238279879</v>
      </c>
    </row>
    <row r="4782" ht="14.25" customHeight="1">
      <c r="A4782" s="4"/>
      <c r="B4782" s="4" t="s">
        <v>1802</v>
      </c>
      <c r="C4782" s="4" t="s">
        <v>7117</v>
      </c>
      <c r="D4782" s="4" t="s">
        <v>7118</v>
      </c>
      <c r="E4782" s="5">
        <v>39.9243375047684</v>
      </c>
    </row>
    <row r="4783" ht="14.25" customHeight="1">
      <c r="A4783" s="4"/>
      <c r="B4783" s="4" t="s">
        <v>1802</v>
      </c>
      <c r="C4783" s="4" t="s">
        <v>7119</v>
      </c>
      <c r="D4783" s="4" t="s">
        <v>1812</v>
      </c>
      <c r="E4783" s="5">
        <v>48.3641275995966</v>
      </c>
    </row>
    <row r="4784" ht="14.25" customHeight="1">
      <c r="A4784" s="4"/>
      <c r="B4784" s="4" t="s">
        <v>1802</v>
      </c>
      <c r="C4784" s="4" t="s">
        <v>7120</v>
      </c>
      <c r="D4784" s="4" t="s">
        <v>1837</v>
      </c>
      <c r="E4784" s="5">
        <v>9.672825519919328</v>
      </c>
    </row>
    <row r="4785" ht="14.25" customHeight="1">
      <c r="A4785" s="4"/>
      <c r="B4785" s="4" t="s">
        <v>1802</v>
      </c>
      <c r="C4785" s="4" t="s">
        <v>7121</v>
      </c>
      <c r="D4785" s="4" t="s">
        <v>7122</v>
      </c>
      <c r="E4785" s="5">
        <v>33.5428120345085</v>
      </c>
    </row>
    <row r="4786" ht="14.25" customHeight="1">
      <c r="A4786" s="4"/>
      <c r="B4786" s="4" t="s">
        <v>1802</v>
      </c>
      <c r="C4786" s="4" t="s">
        <v>1586</v>
      </c>
      <c r="D4786" s="4" t="s">
        <v>1812</v>
      </c>
      <c r="E4786" s="5">
        <v>48.3641275995966</v>
      </c>
    </row>
    <row r="4787" ht="14.25" customHeight="1">
      <c r="A4787" s="4"/>
      <c r="B4787" s="4" t="s">
        <v>1802</v>
      </c>
      <c r="C4787" s="4" t="s">
        <v>7123</v>
      </c>
      <c r="D4787" s="4" t="s">
        <v>7124</v>
      </c>
      <c r="E4787" s="5">
        <v>45.9328070221513</v>
      </c>
    </row>
    <row r="4788" ht="14.25" customHeight="1">
      <c r="A4788" s="4"/>
      <c r="B4788" s="4" t="s">
        <v>1802</v>
      </c>
      <c r="C4788" s="4" t="s">
        <v>7125</v>
      </c>
      <c r="D4788" s="4" t="s">
        <v>7126</v>
      </c>
      <c r="E4788" s="5">
        <v>8.66853003882693</v>
      </c>
    </row>
    <row r="4789" ht="14.25" customHeight="1">
      <c r="A4789" s="4"/>
      <c r="B4789" s="4" t="s">
        <v>1802</v>
      </c>
      <c r="C4789" s="4" t="s">
        <v>7127</v>
      </c>
      <c r="D4789" s="4" t="s">
        <v>2105</v>
      </c>
      <c r="E4789" s="5">
        <v>29.018476559758</v>
      </c>
    </row>
    <row r="4790" ht="14.25" customHeight="1">
      <c r="A4790" s="4"/>
      <c r="B4790" s="4" t="s">
        <v>1802</v>
      </c>
      <c r="C4790" s="4" t="s">
        <v>7128</v>
      </c>
      <c r="D4790" s="4" t="s">
        <v>7129</v>
      </c>
      <c r="E4790" s="5">
        <v>26.0523071166942</v>
      </c>
    </row>
    <row r="4791" ht="14.25" customHeight="1">
      <c r="A4791" s="4"/>
      <c r="B4791" s="4" t="s">
        <v>1802</v>
      </c>
      <c r="C4791" s="4" t="s">
        <v>1527</v>
      </c>
      <c r="D4791" s="4" t="s">
        <v>1812</v>
      </c>
      <c r="E4791" s="5">
        <v>48.3641275995966</v>
      </c>
    </row>
    <row r="4792" ht="14.25" customHeight="1">
      <c r="A4792" s="4"/>
      <c r="B4792" s="4" t="s">
        <v>1802</v>
      </c>
      <c r="C4792" s="4" t="s">
        <v>7130</v>
      </c>
      <c r="D4792" s="4" t="s">
        <v>1821</v>
      </c>
      <c r="E4792" s="5">
        <v>19.3456510398386</v>
      </c>
    </row>
    <row r="4793" ht="14.25" customHeight="1">
      <c r="A4793" s="4"/>
      <c r="B4793" s="4" t="s">
        <v>1802</v>
      </c>
      <c r="C4793" s="4" t="s">
        <v>7131</v>
      </c>
      <c r="D4793" s="4" t="s">
        <v>7132</v>
      </c>
      <c r="E4793" s="5">
        <v>30.9530416637418</v>
      </c>
    </row>
    <row r="4794" ht="14.25" customHeight="1">
      <c r="A4794" s="4"/>
      <c r="B4794" s="4" t="s">
        <v>1802</v>
      </c>
      <c r="C4794" s="4" t="s">
        <v>7133</v>
      </c>
      <c r="D4794" s="4" t="s">
        <v>1812</v>
      </c>
      <c r="E4794" s="5">
        <v>48.3641275995966</v>
      </c>
    </row>
    <row r="4795" ht="14.25" customHeight="1">
      <c r="A4795" s="4"/>
      <c r="B4795" s="4" t="s">
        <v>1802</v>
      </c>
      <c r="C4795" s="4" t="s">
        <v>7134</v>
      </c>
      <c r="D4795" s="4" t="s">
        <v>1812</v>
      </c>
      <c r="E4795" s="5">
        <v>48.3641275995966</v>
      </c>
    </row>
    <row r="4796" ht="14.25" customHeight="1">
      <c r="A4796" s="4"/>
      <c r="B4796" s="4" t="s">
        <v>1802</v>
      </c>
      <c r="C4796" s="4" t="s">
        <v>7135</v>
      </c>
      <c r="D4796" s="4" t="s">
        <v>1812</v>
      </c>
      <c r="E4796" s="5">
        <v>48.3641275995966</v>
      </c>
    </row>
    <row r="4797" ht="14.25" customHeight="1">
      <c r="A4797" s="4"/>
      <c r="B4797" s="4" t="s">
        <v>1802</v>
      </c>
      <c r="C4797" s="4" t="s">
        <v>7136</v>
      </c>
      <c r="D4797" s="4" t="s">
        <v>7137</v>
      </c>
      <c r="E4797" s="5">
        <v>3.58090234069076</v>
      </c>
    </row>
    <row r="4798" ht="14.25" customHeight="1">
      <c r="A4798" s="4"/>
      <c r="B4798" s="4" t="s">
        <v>1802</v>
      </c>
      <c r="C4798" s="4" t="s">
        <v>7138</v>
      </c>
      <c r="D4798" s="4" t="s">
        <v>7139</v>
      </c>
      <c r="E4798" s="5">
        <v>7.45239824899029</v>
      </c>
    </row>
    <row r="4799" ht="14.25" customHeight="1">
      <c r="A4799" s="4"/>
      <c r="B4799" s="4" t="s">
        <v>1802</v>
      </c>
      <c r="C4799" s="4" t="s">
        <v>7140</v>
      </c>
      <c r="D4799" s="4" t="s">
        <v>7141</v>
      </c>
      <c r="E4799" s="5">
        <v>7.2821154687551095</v>
      </c>
    </row>
    <row r="4800" ht="14.25" customHeight="1">
      <c r="A4800" s="4"/>
      <c r="B4800" s="4" t="s">
        <v>1802</v>
      </c>
      <c r="C4800" s="4" t="s">
        <v>7142</v>
      </c>
      <c r="D4800" s="4" t="s">
        <v>1837</v>
      </c>
      <c r="E4800" s="5">
        <v>9.672825519919328</v>
      </c>
    </row>
    <row r="4801" ht="14.25" customHeight="1">
      <c r="A4801" s="4"/>
      <c r="B4801" s="4" t="s">
        <v>1802</v>
      </c>
      <c r="C4801" s="4" t="s">
        <v>7143</v>
      </c>
      <c r="D4801" s="4" t="s">
        <v>7144</v>
      </c>
      <c r="E4801" s="5">
        <v>6.26722965341625</v>
      </c>
    </row>
    <row r="4802" ht="14.25" customHeight="1">
      <c r="A4802" s="4"/>
      <c r="B4802" s="4" t="s">
        <v>1802</v>
      </c>
      <c r="C4802" s="4" t="s">
        <v>7145</v>
      </c>
      <c r="D4802" s="4" t="s">
        <v>1812</v>
      </c>
      <c r="E4802" s="5">
        <v>48.3641275995966</v>
      </c>
    </row>
    <row r="4803" ht="14.25" customHeight="1">
      <c r="A4803" s="4"/>
      <c r="B4803" s="4" t="s">
        <v>1802</v>
      </c>
      <c r="C4803" s="4" t="s">
        <v>7146</v>
      </c>
      <c r="D4803" s="4" t="s">
        <v>1812</v>
      </c>
      <c r="E4803" s="5">
        <v>48.3641275995966</v>
      </c>
    </row>
    <row r="4804" ht="14.25" customHeight="1">
      <c r="A4804" s="4"/>
      <c r="B4804" s="4" t="s">
        <v>1802</v>
      </c>
      <c r="C4804" s="4" t="s">
        <v>7147</v>
      </c>
      <c r="D4804" s="4" t="s">
        <v>7148</v>
      </c>
      <c r="E4804" s="5">
        <v>1.34412176000392</v>
      </c>
    </row>
    <row r="4805" ht="14.25" customHeight="1">
      <c r="A4805" s="4"/>
      <c r="B4805" s="4" t="s">
        <v>1802</v>
      </c>
      <c r="C4805" s="4" t="s">
        <v>7149</v>
      </c>
      <c r="D4805" s="4" t="s">
        <v>1812</v>
      </c>
      <c r="E4805" s="5">
        <v>48.3641275995966</v>
      </c>
    </row>
    <row r="4806" ht="14.25" customHeight="1">
      <c r="A4806" s="4"/>
      <c r="B4806" s="4" t="s">
        <v>1802</v>
      </c>
      <c r="C4806" s="4" t="s">
        <v>7150</v>
      </c>
      <c r="D4806" s="4" t="s">
        <v>1837</v>
      </c>
      <c r="E4806" s="5">
        <v>9.672825519919328</v>
      </c>
    </row>
    <row r="4807" ht="14.25" customHeight="1">
      <c r="A4807" s="4"/>
      <c r="B4807" s="4" t="s">
        <v>1802</v>
      </c>
      <c r="C4807" s="4" t="s">
        <v>7151</v>
      </c>
      <c r="D4807" s="4" t="s">
        <v>7152</v>
      </c>
      <c r="E4807" s="5">
        <v>22.9031075924979</v>
      </c>
    </row>
    <row r="4808" ht="14.25" customHeight="1">
      <c r="A4808" s="4"/>
      <c r="B4808" s="4" t="s">
        <v>1802</v>
      </c>
      <c r="C4808" s="4" t="s">
        <v>7153</v>
      </c>
      <c r="D4808" s="4" t="s">
        <v>7154</v>
      </c>
      <c r="E4808" s="5">
        <v>9.822349405198121</v>
      </c>
    </row>
    <row r="4809" ht="14.25" customHeight="1">
      <c r="A4809" s="4"/>
      <c r="B4809" s="4" t="s">
        <v>1802</v>
      </c>
      <c r="C4809" s="4" t="s">
        <v>872</v>
      </c>
      <c r="D4809" s="4" t="s">
        <v>1812</v>
      </c>
      <c r="E4809" s="5">
        <v>48.3641275995966</v>
      </c>
    </row>
    <row r="4810" ht="14.25" customHeight="1">
      <c r="A4810" s="4"/>
      <c r="B4810" s="4" t="s">
        <v>1802</v>
      </c>
      <c r="C4810" s="4" t="s">
        <v>7155</v>
      </c>
      <c r="D4810" s="4" t="s">
        <v>1812</v>
      </c>
      <c r="E4810" s="5">
        <v>48.3641275995966</v>
      </c>
    </row>
    <row r="4811" ht="14.25" customHeight="1">
      <c r="A4811" s="4"/>
      <c r="B4811" s="4" t="s">
        <v>1802</v>
      </c>
      <c r="C4811" s="4" t="s">
        <v>7156</v>
      </c>
      <c r="D4811" s="4" t="s">
        <v>7157</v>
      </c>
      <c r="E4811" s="5">
        <v>38.8745463233552</v>
      </c>
    </row>
    <row r="4812" ht="14.25" customHeight="1">
      <c r="A4812" s="4"/>
      <c r="B4812" s="4" t="s">
        <v>1802</v>
      </c>
      <c r="C4812" s="4" t="s">
        <v>7158</v>
      </c>
      <c r="D4812" s="4" t="s">
        <v>7159</v>
      </c>
      <c r="E4812" s="5">
        <v>9.69720163123916</v>
      </c>
    </row>
    <row r="4813" ht="14.25" customHeight="1">
      <c r="A4813" s="4"/>
      <c r="B4813" s="4" t="s">
        <v>1802</v>
      </c>
      <c r="C4813" s="4" t="s">
        <v>7160</v>
      </c>
      <c r="D4813" s="4" t="s">
        <v>1812</v>
      </c>
      <c r="E4813" s="5">
        <v>48.3641275995966</v>
      </c>
    </row>
    <row r="4814" ht="14.25" customHeight="1">
      <c r="A4814" s="4"/>
      <c r="B4814" s="4" t="s">
        <v>1802</v>
      </c>
      <c r="C4814" s="4" t="s">
        <v>778</v>
      </c>
      <c r="D4814" s="4" t="s">
        <v>1812</v>
      </c>
      <c r="E4814" s="5">
        <v>48.3641275995966</v>
      </c>
    </row>
    <row r="4815" ht="14.25" customHeight="1">
      <c r="A4815" s="4"/>
      <c r="B4815" s="4" t="s">
        <v>1802</v>
      </c>
      <c r="C4815" s="4" t="s">
        <v>7161</v>
      </c>
      <c r="D4815" s="4" t="s">
        <v>1812</v>
      </c>
      <c r="E4815" s="5">
        <v>48.3641275995966</v>
      </c>
    </row>
    <row r="4816" ht="14.25" customHeight="1">
      <c r="A4816" s="4"/>
      <c r="B4816" s="4" t="s">
        <v>1802</v>
      </c>
      <c r="C4816" s="4" t="s">
        <v>7162</v>
      </c>
      <c r="D4816" s="4" t="s">
        <v>1812</v>
      </c>
      <c r="E4816" s="5">
        <v>48.3641275995966</v>
      </c>
    </row>
    <row r="4817" ht="14.25" customHeight="1">
      <c r="A4817" s="4"/>
      <c r="B4817" s="4" t="s">
        <v>1802</v>
      </c>
      <c r="C4817" s="4" t="s">
        <v>7163</v>
      </c>
      <c r="D4817" s="4" t="s">
        <v>7164</v>
      </c>
      <c r="E4817" s="5">
        <v>48.317733303029804</v>
      </c>
    </row>
    <row r="4818" ht="14.25" customHeight="1">
      <c r="A4818" s="4"/>
      <c r="B4818" s="4" t="s">
        <v>1802</v>
      </c>
      <c r="C4818" s="4" t="s">
        <v>1302</v>
      </c>
      <c r="D4818" s="4" t="s">
        <v>7165</v>
      </c>
      <c r="E4818" s="5">
        <v>5.1393637230691605</v>
      </c>
    </row>
    <row r="4819" ht="14.25" customHeight="1">
      <c r="A4819" s="4"/>
      <c r="B4819" s="4" t="s">
        <v>1802</v>
      </c>
      <c r="C4819" s="4" t="s">
        <v>7166</v>
      </c>
      <c r="D4819" s="4" t="s">
        <v>7167</v>
      </c>
      <c r="E4819" s="5">
        <v>27.2786260449833</v>
      </c>
    </row>
    <row r="4820" ht="14.25" customHeight="1">
      <c r="A4820" s="4"/>
      <c r="B4820" s="4" t="s">
        <v>1802</v>
      </c>
      <c r="C4820" s="4" t="s">
        <v>7168</v>
      </c>
      <c r="D4820" s="4" t="s">
        <v>7169</v>
      </c>
      <c r="E4820" s="5">
        <v>29.103031706859998</v>
      </c>
    </row>
    <row r="4821" ht="14.25" customHeight="1">
      <c r="A4821" s="4"/>
      <c r="B4821" s="4" t="s">
        <v>1802</v>
      </c>
      <c r="C4821" s="4" t="s">
        <v>7170</v>
      </c>
      <c r="D4821" s="4" t="s">
        <v>7171</v>
      </c>
      <c r="E4821" s="5">
        <v>8.08696542176043</v>
      </c>
    </row>
    <row r="4822" ht="14.25" customHeight="1">
      <c r="A4822" s="4"/>
      <c r="B4822" s="4" t="s">
        <v>1802</v>
      </c>
      <c r="C4822" s="4" t="s">
        <v>7172</v>
      </c>
      <c r="D4822" s="4" t="s">
        <v>1812</v>
      </c>
      <c r="E4822" s="5">
        <v>48.3641275995966</v>
      </c>
    </row>
    <row r="4823" ht="14.25" customHeight="1">
      <c r="A4823" s="4"/>
      <c r="B4823" s="4" t="s">
        <v>1802</v>
      </c>
      <c r="C4823" s="4" t="s">
        <v>7173</v>
      </c>
      <c r="D4823" s="4" t="s">
        <v>7174</v>
      </c>
      <c r="E4823" s="5">
        <v>46.1221879286455</v>
      </c>
    </row>
    <row r="4824" ht="14.25" customHeight="1">
      <c r="A4824" s="4"/>
      <c r="B4824" s="4" t="s">
        <v>1802</v>
      </c>
      <c r="C4824" s="4" t="s">
        <v>7175</v>
      </c>
      <c r="D4824" s="4" t="s">
        <v>7176</v>
      </c>
      <c r="E4824" s="5">
        <v>8.98286840056583</v>
      </c>
    </row>
    <row r="4825" ht="14.25" customHeight="1">
      <c r="A4825" s="4"/>
      <c r="B4825" s="4" t="s">
        <v>1802</v>
      </c>
      <c r="C4825" s="4" t="s">
        <v>7177</v>
      </c>
      <c r="D4825" s="4" t="s">
        <v>7178</v>
      </c>
      <c r="E4825" s="5">
        <v>9.577970604847069</v>
      </c>
    </row>
    <row r="4826" ht="14.25" customHeight="1">
      <c r="A4826" s="4"/>
      <c r="B4826" s="4" t="s">
        <v>1802</v>
      </c>
      <c r="C4826" s="4" t="s">
        <v>7179</v>
      </c>
      <c r="D4826" s="4" t="s">
        <v>1821</v>
      </c>
      <c r="E4826" s="5">
        <v>19.3456510398386</v>
      </c>
    </row>
    <row r="4827" ht="14.25" customHeight="1">
      <c r="A4827" s="4"/>
      <c r="B4827" s="4" t="s">
        <v>1802</v>
      </c>
      <c r="C4827" s="4" t="s">
        <v>7180</v>
      </c>
      <c r="D4827" s="4" t="s">
        <v>7181</v>
      </c>
      <c r="E4827" s="5">
        <v>34.2234259932327</v>
      </c>
    </row>
    <row r="4828" ht="14.25" customHeight="1">
      <c r="A4828" s="4"/>
      <c r="B4828" s="4" t="s">
        <v>1802</v>
      </c>
      <c r="C4828" s="4" t="s">
        <v>7182</v>
      </c>
      <c r="D4828" s="4" t="s">
        <v>1821</v>
      </c>
      <c r="E4828" s="5">
        <v>19.3456510398386</v>
      </c>
    </row>
    <row r="4829" ht="14.25" customHeight="1">
      <c r="A4829" s="4"/>
      <c r="B4829" s="4" t="s">
        <v>1802</v>
      </c>
      <c r="C4829" s="4" t="s">
        <v>7183</v>
      </c>
      <c r="D4829" s="4" t="s">
        <v>7184</v>
      </c>
      <c r="E4829" s="5">
        <v>44.809445518975195</v>
      </c>
    </row>
    <row r="4830" ht="14.25" customHeight="1">
      <c r="A4830" s="4"/>
      <c r="B4830" s="4" t="s">
        <v>1802</v>
      </c>
      <c r="C4830" s="4" t="s">
        <v>7185</v>
      </c>
      <c r="D4830" s="4" t="s">
        <v>1812</v>
      </c>
      <c r="E4830" s="5">
        <v>48.3641275995966</v>
      </c>
    </row>
    <row r="4831" ht="14.25" customHeight="1">
      <c r="A4831" s="4"/>
      <c r="B4831" s="4" t="s">
        <v>1802</v>
      </c>
      <c r="C4831" s="4" t="s">
        <v>7186</v>
      </c>
      <c r="D4831" s="4" t="s">
        <v>1812</v>
      </c>
      <c r="E4831" s="5">
        <v>48.3641275995966</v>
      </c>
    </row>
    <row r="4832" ht="14.25" customHeight="1">
      <c r="A4832" s="4"/>
      <c r="B4832" s="4" t="s">
        <v>1802</v>
      </c>
      <c r="C4832" s="4" t="s">
        <v>7187</v>
      </c>
      <c r="D4832" s="4" t="s">
        <v>1812</v>
      </c>
      <c r="E4832" s="5">
        <v>48.3641275995966</v>
      </c>
    </row>
    <row r="4833" ht="14.25" customHeight="1">
      <c r="A4833" s="4"/>
      <c r="B4833" s="4" t="s">
        <v>1802</v>
      </c>
      <c r="C4833" s="4" t="s">
        <v>7188</v>
      </c>
      <c r="D4833" s="4" t="s">
        <v>1812</v>
      </c>
      <c r="E4833" s="5">
        <v>48.3641275995966</v>
      </c>
    </row>
    <row r="4834" ht="14.25" customHeight="1">
      <c r="A4834" s="4"/>
      <c r="B4834" s="4" t="s">
        <v>1802</v>
      </c>
      <c r="C4834" s="4" t="s">
        <v>7189</v>
      </c>
      <c r="D4834" s="4" t="s">
        <v>7190</v>
      </c>
      <c r="E4834" s="5">
        <v>4.908512642546611</v>
      </c>
    </row>
    <row r="4835" ht="14.25" customHeight="1">
      <c r="A4835" s="4"/>
      <c r="B4835" s="4" t="s">
        <v>1802</v>
      </c>
      <c r="C4835" s="4" t="s">
        <v>7191</v>
      </c>
      <c r="D4835" s="4" t="s">
        <v>1812</v>
      </c>
      <c r="E4835" s="5">
        <v>48.3641275995966</v>
      </c>
    </row>
    <row r="4836" ht="14.25" customHeight="1">
      <c r="A4836" s="4"/>
      <c r="B4836" s="4" t="s">
        <v>1802</v>
      </c>
      <c r="C4836" s="4" t="s">
        <v>7192</v>
      </c>
      <c r="D4836" s="4" t="s">
        <v>7193</v>
      </c>
      <c r="E4836" s="5">
        <v>7.23209632386922</v>
      </c>
    </row>
    <row r="4837" ht="14.25" customHeight="1">
      <c r="A4837" s="4"/>
      <c r="B4837" s="4" t="s">
        <v>1802</v>
      </c>
      <c r="C4837" s="4" t="s">
        <v>7194</v>
      </c>
      <c r="D4837" s="4" t="s">
        <v>7195</v>
      </c>
      <c r="E4837" s="5">
        <v>37.2675921959059</v>
      </c>
    </row>
    <row r="4838" ht="14.25" customHeight="1">
      <c r="A4838" s="4"/>
      <c r="B4838" s="4" t="s">
        <v>1802</v>
      </c>
      <c r="C4838" s="4" t="s">
        <v>7196</v>
      </c>
      <c r="D4838" s="4" t="s">
        <v>1812</v>
      </c>
      <c r="E4838" s="5">
        <v>48.3641275995966</v>
      </c>
    </row>
    <row r="4839" ht="14.25" customHeight="1">
      <c r="A4839" s="4"/>
      <c r="B4839" s="4" t="s">
        <v>1802</v>
      </c>
      <c r="C4839" s="4" t="s">
        <v>7197</v>
      </c>
      <c r="D4839" s="4" t="s">
        <v>7198</v>
      </c>
      <c r="E4839" s="5">
        <v>19.5550243999471</v>
      </c>
    </row>
    <row r="4840" ht="14.25" customHeight="1">
      <c r="A4840" s="4"/>
      <c r="B4840" s="4" t="s">
        <v>1802</v>
      </c>
      <c r="C4840" s="4" t="s">
        <v>7199</v>
      </c>
      <c r="D4840" s="4" t="s">
        <v>1837</v>
      </c>
      <c r="E4840" s="5">
        <v>9.672825519919328</v>
      </c>
    </row>
    <row r="4841" ht="14.25" customHeight="1">
      <c r="A4841" s="4"/>
      <c r="B4841" s="4" t="s">
        <v>1802</v>
      </c>
      <c r="C4841" s="4" t="s">
        <v>7200</v>
      </c>
      <c r="D4841" s="4" t="s">
        <v>1812</v>
      </c>
      <c r="E4841" s="5">
        <v>48.3641275995966</v>
      </c>
    </row>
    <row r="4842" ht="14.25" customHeight="1">
      <c r="A4842" s="4"/>
      <c r="B4842" s="4" t="s">
        <v>1802</v>
      </c>
      <c r="C4842" s="4" t="s">
        <v>7201</v>
      </c>
      <c r="D4842" s="4" t="s">
        <v>1812</v>
      </c>
      <c r="E4842" s="5">
        <v>48.3641275995966</v>
      </c>
    </row>
    <row r="4843" ht="14.25" customHeight="1">
      <c r="A4843" s="4"/>
      <c r="B4843" s="4" t="s">
        <v>1802</v>
      </c>
      <c r="C4843" s="4" t="s">
        <v>7202</v>
      </c>
      <c r="D4843" s="4" t="s">
        <v>1821</v>
      </c>
      <c r="E4843" s="5">
        <v>19.3456510398386</v>
      </c>
    </row>
    <row r="4844" ht="14.25" customHeight="1">
      <c r="A4844" s="4"/>
      <c r="B4844" s="4" t="s">
        <v>1802</v>
      </c>
      <c r="C4844" s="4" t="s">
        <v>7203</v>
      </c>
      <c r="D4844" s="4" t="s">
        <v>1812</v>
      </c>
      <c r="E4844" s="5">
        <v>48.3641275995966</v>
      </c>
    </row>
    <row r="4845" ht="14.25" customHeight="1">
      <c r="A4845" s="4"/>
      <c r="B4845" s="4" t="s">
        <v>1802</v>
      </c>
      <c r="C4845" s="4" t="s">
        <v>7204</v>
      </c>
      <c r="D4845" s="4" t="s">
        <v>1837</v>
      </c>
      <c r="E4845" s="5">
        <v>9.672825519919328</v>
      </c>
    </row>
    <row r="4846" ht="14.25" customHeight="1">
      <c r="A4846" s="4"/>
      <c r="B4846" s="4" t="s">
        <v>1802</v>
      </c>
      <c r="C4846" s="4" t="s">
        <v>7205</v>
      </c>
      <c r="D4846" s="4" t="s">
        <v>7206</v>
      </c>
      <c r="E4846" s="5">
        <v>41.7288176596114</v>
      </c>
    </row>
    <row r="4847" ht="14.25" customHeight="1">
      <c r="A4847" s="4"/>
      <c r="B4847" s="4" t="s">
        <v>1802</v>
      </c>
      <c r="C4847" s="4" t="s">
        <v>7207</v>
      </c>
      <c r="D4847" s="4" t="s">
        <v>7208</v>
      </c>
      <c r="E4847" s="5">
        <v>48.2083450317085</v>
      </c>
    </row>
    <row r="4848" ht="14.25" customHeight="1">
      <c r="A4848" s="4"/>
      <c r="B4848" s="4" t="s">
        <v>1802</v>
      </c>
      <c r="C4848" s="4" t="s">
        <v>7209</v>
      </c>
      <c r="D4848" s="4" t="s">
        <v>1812</v>
      </c>
      <c r="E4848" s="5">
        <v>48.3641275995966</v>
      </c>
    </row>
    <row r="4849" ht="14.25" customHeight="1">
      <c r="A4849" s="4"/>
      <c r="B4849" s="4" t="s">
        <v>1802</v>
      </c>
      <c r="C4849" s="4" t="s">
        <v>7210</v>
      </c>
      <c r="D4849" s="4" t="s">
        <v>7211</v>
      </c>
      <c r="E4849" s="5">
        <v>9.483764069986941</v>
      </c>
    </row>
    <row r="4850" ht="14.25" customHeight="1">
      <c r="A4850" s="4"/>
      <c r="B4850" s="4" t="s">
        <v>1802</v>
      </c>
      <c r="C4850" s="4" t="s">
        <v>7212</v>
      </c>
      <c r="D4850" s="4" t="s">
        <v>7213</v>
      </c>
      <c r="E4850" s="5">
        <v>16.9587117125803</v>
      </c>
    </row>
    <row r="4851" ht="14.25" customHeight="1">
      <c r="A4851" s="4"/>
      <c r="B4851" s="4" t="s">
        <v>1802</v>
      </c>
      <c r="C4851" s="4" t="s">
        <v>7214</v>
      </c>
      <c r="D4851" s="4" t="s">
        <v>1812</v>
      </c>
      <c r="E4851" s="5">
        <v>48.3641275995966</v>
      </c>
    </row>
    <row r="4852" ht="14.25" customHeight="1">
      <c r="A4852" s="4"/>
      <c r="B4852" s="4" t="s">
        <v>1802</v>
      </c>
      <c r="C4852" s="4" t="s">
        <v>7215</v>
      </c>
      <c r="D4852" s="4" t="s">
        <v>7216</v>
      </c>
      <c r="E4852" s="5">
        <v>24.017796538524298</v>
      </c>
    </row>
    <row r="4853" ht="14.25" customHeight="1">
      <c r="A4853" s="4"/>
      <c r="B4853" s="4" t="s">
        <v>1802</v>
      </c>
      <c r="C4853" s="4" t="s">
        <v>7217</v>
      </c>
      <c r="D4853" s="4" t="s">
        <v>1812</v>
      </c>
      <c r="E4853" s="5">
        <v>48.3641275995966</v>
      </c>
    </row>
    <row r="4854" ht="14.25" customHeight="1">
      <c r="A4854" s="4"/>
      <c r="B4854" s="4" t="s">
        <v>1802</v>
      </c>
      <c r="C4854" s="4" t="s">
        <v>7218</v>
      </c>
      <c r="D4854" s="4" t="s">
        <v>7219</v>
      </c>
      <c r="E4854" s="5">
        <v>18.7993111551001</v>
      </c>
    </row>
    <row r="4855" ht="14.25" customHeight="1">
      <c r="A4855" s="4"/>
      <c r="B4855" s="4" t="s">
        <v>1802</v>
      </c>
      <c r="C4855" s="4" t="s">
        <v>7220</v>
      </c>
      <c r="D4855" s="4" t="s">
        <v>1812</v>
      </c>
      <c r="E4855" s="5">
        <v>48.3641275995966</v>
      </c>
    </row>
    <row r="4856" ht="14.25" customHeight="1">
      <c r="A4856" s="4"/>
      <c r="B4856" s="4" t="s">
        <v>1802</v>
      </c>
      <c r="C4856" s="4" t="s">
        <v>7221</v>
      </c>
      <c r="D4856" s="4" t="s">
        <v>7222</v>
      </c>
      <c r="E4856" s="5">
        <v>10.9680939209788</v>
      </c>
    </row>
    <row r="4857" ht="14.25" customHeight="1">
      <c r="A4857" s="4"/>
      <c r="B4857" s="4" t="s">
        <v>1802</v>
      </c>
      <c r="C4857" s="4" t="s">
        <v>7223</v>
      </c>
      <c r="D4857" s="4" t="s">
        <v>1812</v>
      </c>
      <c r="E4857" s="5">
        <v>48.3641275995966</v>
      </c>
    </row>
    <row r="4858" ht="14.25" customHeight="1">
      <c r="A4858" s="4"/>
      <c r="B4858" s="4" t="s">
        <v>1802</v>
      </c>
      <c r="C4858" s="4" t="s">
        <v>7224</v>
      </c>
      <c r="D4858" s="4" t="s">
        <v>7225</v>
      </c>
      <c r="E4858" s="5">
        <v>9.802135486517441</v>
      </c>
    </row>
    <row r="4859" ht="14.25" customHeight="1">
      <c r="A4859" s="4"/>
      <c r="B4859" s="4" t="s">
        <v>1802</v>
      </c>
      <c r="C4859" s="4" t="s">
        <v>7226</v>
      </c>
      <c r="D4859" s="4" t="s">
        <v>7227</v>
      </c>
      <c r="E4859" s="5">
        <v>12.5653132874922</v>
      </c>
    </row>
    <row r="4860" ht="14.25" customHeight="1">
      <c r="A4860" s="4"/>
      <c r="B4860" s="4" t="s">
        <v>1802</v>
      </c>
      <c r="C4860" s="4" t="s">
        <v>7228</v>
      </c>
      <c r="D4860" s="4" t="s">
        <v>7229</v>
      </c>
      <c r="E4860" s="5">
        <v>44.1949085441492</v>
      </c>
    </row>
    <row r="4861" ht="14.25" customHeight="1">
      <c r="A4861" s="4"/>
      <c r="B4861" s="4" t="s">
        <v>1802</v>
      </c>
      <c r="C4861" s="4" t="s">
        <v>7230</v>
      </c>
      <c r="D4861" s="4" t="s">
        <v>7231</v>
      </c>
      <c r="E4861" s="5">
        <v>31.143166113177898</v>
      </c>
    </row>
    <row r="4862" ht="14.25" customHeight="1">
      <c r="A4862" s="4"/>
      <c r="B4862" s="4" t="s">
        <v>1802</v>
      </c>
      <c r="C4862" s="4" t="s">
        <v>7232</v>
      </c>
      <c r="D4862" s="4" t="s">
        <v>7233</v>
      </c>
      <c r="E4862" s="5">
        <v>19.663992667518002</v>
      </c>
    </row>
    <row r="4863" ht="14.25" customHeight="1">
      <c r="A4863" s="4"/>
      <c r="B4863" s="4" t="s">
        <v>1802</v>
      </c>
      <c r="C4863" s="4" t="s">
        <v>788</v>
      </c>
      <c r="D4863" s="4" t="s">
        <v>1812</v>
      </c>
      <c r="E4863" s="5">
        <v>48.3641275995966</v>
      </c>
    </row>
    <row r="4864" ht="14.25" customHeight="1">
      <c r="A4864" s="4"/>
      <c r="B4864" s="4" t="s">
        <v>1802</v>
      </c>
      <c r="C4864" s="4" t="s">
        <v>7234</v>
      </c>
      <c r="D4864" s="4" t="s">
        <v>1812</v>
      </c>
      <c r="E4864" s="5">
        <v>48.3641275995966</v>
      </c>
    </row>
    <row r="4865" ht="14.25" customHeight="1">
      <c r="A4865" s="4"/>
      <c r="B4865" s="4" t="s">
        <v>1802</v>
      </c>
      <c r="C4865" s="4" t="s">
        <v>7235</v>
      </c>
      <c r="D4865" s="4" t="s">
        <v>1812</v>
      </c>
      <c r="E4865" s="5">
        <v>48.3641275995966</v>
      </c>
    </row>
    <row r="4866" ht="14.25" customHeight="1">
      <c r="A4866" s="4"/>
      <c r="B4866" s="4" t="s">
        <v>1802</v>
      </c>
      <c r="C4866" s="4" t="s">
        <v>7236</v>
      </c>
      <c r="D4866" s="4" t="s">
        <v>1812</v>
      </c>
      <c r="E4866" s="5">
        <v>48.3641275995966</v>
      </c>
    </row>
    <row r="4867" ht="14.25" customHeight="1">
      <c r="A4867" s="4"/>
      <c r="B4867" s="4" t="s">
        <v>1802</v>
      </c>
      <c r="C4867" s="4" t="s">
        <v>798</v>
      </c>
      <c r="D4867" s="4" t="s">
        <v>1812</v>
      </c>
      <c r="E4867" s="5">
        <v>48.3641275995966</v>
      </c>
    </row>
    <row r="4868" ht="14.25" customHeight="1">
      <c r="A4868" s="4"/>
      <c r="B4868" s="4" t="s">
        <v>1802</v>
      </c>
      <c r="C4868" s="4" t="s">
        <v>7237</v>
      </c>
      <c r="D4868" s="4" t="s">
        <v>7238</v>
      </c>
      <c r="E4868" s="5">
        <v>10.637725600817799</v>
      </c>
    </row>
    <row r="4869" ht="14.25" customHeight="1">
      <c r="A4869" s="4"/>
      <c r="B4869" s="4" t="s">
        <v>1802</v>
      </c>
      <c r="C4869" s="4" t="s">
        <v>7239</v>
      </c>
      <c r="D4869" s="4" t="s">
        <v>7240</v>
      </c>
      <c r="E4869" s="5">
        <v>8.36460599921459</v>
      </c>
    </row>
    <row r="4870" ht="14.25" customHeight="1">
      <c r="A4870" s="4"/>
      <c r="B4870" s="4" t="s">
        <v>1802</v>
      </c>
      <c r="C4870" s="4" t="s">
        <v>7241</v>
      </c>
      <c r="D4870" s="4" t="s">
        <v>7242</v>
      </c>
      <c r="E4870" s="5">
        <v>45.150618400803396</v>
      </c>
    </row>
    <row r="4871" ht="14.25" customHeight="1">
      <c r="A4871" s="4"/>
      <c r="B4871" s="4" t="s">
        <v>1802</v>
      </c>
      <c r="C4871" s="4" t="s">
        <v>7243</v>
      </c>
      <c r="D4871" s="4" t="s">
        <v>7244</v>
      </c>
      <c r="E4871" s="5">
        <v>24.168679963040802</v>
      </c>
    </row>
    <row r="4872" ht="14.25" customHeight="1">
      <c r="A4872" s="4"/>
      <c r="B4872" s="4" t="s">
        <v>1802</v>
      </c>
      <c r="C4872" s="4" t="s">
        <v>7245</v>
      </c>
      <c r="D4872" s="4" t="s">
        <v>7246</v>
      </c>
      <c r="E4872" s="5">
        <v>7.9422621225209</v>
      </c>
    </row>
    <row r="4873" ht="14.25" customHeight="1">
      <c r="A4873" s="4"/>
      <c r="B4873" s="4" t="s">
        <v>1802</v>
      </c>
      <c r="C4873" s="4" t="s">
        <v>7247</v>
      </c>
      <c r="D4873" s="4" t="s">
        <v>7248</v>
      </c>
      <c r="E4873" s="5">
        <v>9.11573129496927</v>
      </c>
    </row>
    <row r="4874" ht="14.25" customHeight="1">
      <c r="A4874" s="4"/>
      <c r="B4874" s="4" t="s">
        <v>1802</v>
      </c>
      <c r="C4874" s="4" t="s">
        <v>7249</v>
      </c>
      <c r="D4874" s="4" t="s">
        <v>1812</v>
      </c>
      <c r="E4874" s="5">
        <v>48.3641275995966</v>
      </c>
    </row>
    <row r="4875" ht="14.25" customHeight="1">
      <c r="A4875" s="4"/>
      <c r="B4875" s="4" t="s">
        <v>1802</v>
      </c>
      <c r="C4875" s="4" t="s">
        <v>7250</v>
      </c>
      <c r="D4875" s="4" t="s">
        <v>7251</v>
      </c>
      <c r="E4875" s="5">
        <v>8.30229745339952</v>
      </c>
    </row>
    <row r="4876" ht="14.25" customHeight="1">
      <c r="A4876" s="4"/>
      <c r="B4876" s="4" t="s">
        <v>1802</v>
      </c>
      <c r="C4876" s="4" t="s">
        <v>7252</v>
      </c>
      <c r="D4876" s="4" t="s">
        <v>1812</v>
      </c>
      <c r="E4876" s="5">
        <v>48.3641275995966</v>
      </c>
    </row>
    <row r="4877" ht="14.25" customHeight="1">
      <c r="A4877" s="4"/>
      <c r="B4877" s="4" t="s">
        <v>1802</v>
      </c>
      <c r="C4877" s="4" t="s">
        <v>7253</v>
      </c>
      <c r="D4877" s="4" t="s">
        <v>1951</v>
      </c>
      <c r="E4877" s="5">
        <v>38.6913020796773</v>
      </c>
    </row>
    <row r="4878" ht="14.25" customHeight="1">
      <c r="A4878" s="4"/>
      <c r="B4878" s="4" t="s">
        <v>1802</v>
      </c>
      <c r="C4878" s="4" t="s">
        <v>7254</v>
      </c>
      <c r="D4878" s="4" t="s">
        <v>1821</v>
      </c>
      <c r="E4878" s="5">
        <v>19.3456510398386</v>
      </c>
    </row>
    <row r="4879" ht="14.25" customHeight="1">
      <c r="A4879" s="4"/>
      <c r="B4879" s="4" t="s">
        <v>1802</v>
      </c>
      <c r="C4879" s="4" t="s">
        <v>7255</v>
      </c>
      <c r="D4879" s="4" t="s">
        <v>1812</v>
      </c>
      <c r="E4879" s="5">
        <v>48.3641275995966</v>
      </c>
    </row>
    <row r="4880" ht="14.25" customHeight="1">
      <c r="A4880" s="4"/>
      <c r="B4880" s="4" t="s">
        <v>1802</v>
      </c>
      <c r="C4880" s="4" t="s">
        <v>958</v>
      </c>
      <c r="D4880" s="4" t="s">
        <v>7256</v>
      </c>
      <c r="E4880" s="5">
        <v>5.53055207868242</v>
      </c>
    </row>
    <row r="4881" ht="14.25" customHeight="1">
      <c r="A4881" s="4"/>
      <c r="B4881" s="4" t="s">
        <v>1802</v>
      </c>
      <c r="C4881" s="4" t="s">
        <v>7257</v>
      </c>
      <c r="D4881" s="4" t="s">
        <v>7258</v>
      </c>
      <c r="E4881" s="5">
        <v>38.6913512565157</v>
      </c>
    </row>
    <row r="4882" ht="14.25" customHeight="1">
      <c r="A4882" s="4"/>
      <c r="B4882" s="4" t="s">
        <v>1802</v>
      </c>
      <c r="C4882" s="4" t="s">
        <v>1665</v>
      </c>
      <c r="D4882" s="4" t="s">
        <v>7259</v>
      </c>
      <c r="E4882" s="5">
        <v>43.5763374246588</v>
      </c>
    </row>
    <row r="4883" ht="14.25" customHeight="1">
      <c r="A4883" s="4"/>
      <c r="B4883" s="4" t="s">
        <v>1802</v>
      </c>
      <c r="C4883" s="4" t="s">
        <v>7260</v>
      </c>
      <c r="D4883" s="4" t="s">
        <v>7261</v>
      </c>
      <c r="E4883" s="5">
        <v>10.479933607188899</v>
      </c>
    </row>
    <row r="4884" ht="14.25" customHeight="1">
      <c r="A4884" s="4"/>
      <c r="B4884" s="4" t="s">
        <v>1802</v>
      </c>
      <c r="C4884" s="4" t="s">
        <v>7262</v>
      </c>
      <c r="D4884" s="4" t="s">
        <v>3909</v>
      </c>
      <c r="E4884" s="5">
        <v>3.8691302079677303</v>
      </c>
    </row>
    <row r="4885" ht="14.25" customHeight="1">
      <c r="A4885" s="4"/>
      <c r="B4885" s="4" t="s">
        <v>1802</v>
      </c>
      <c r="C4885" s="4" t="s">
        <v>7263</v>
      </c>
      <c r="D4885" s="4" t="s">
        <v>1837</v>
      </c>
      <c r="E4885" s="5">
        <v>9.672825519919328</v>
      </c>
    </row>
    <row r="4886" ht="14.25" customHeight="1">
      <c r="A4886" s="4"/>
      <c r="B4886" s="4" t="s">
        <v>1802</v>
      </c>
      <c r="C4886" s="4" t="s">
        <v>7264</v>
      </c>
      <c r="D4886" s="4" t="s">
        <v>1812</v>
      </c>
      <c r="E4886" s="5">
        <v>48.3641275995966</v>
      </c>
    </row>
    <row r="4887" ht="14.25" customHeight="1">
      <c r="A4887" s="4"/>
      <c r="B4887" s="4" t="s">
        <v>1802</v>
      </c>
      <c r="C4887" s="4" t="s">
        <v>7265</v>
      </c>
      <c r="D4887" s="4" t="s">
        <v>7266</v>
      </c>
      <c r="E4887" s="5">
        <v>46.37108132004111</v>
      </c>
    </row>
    <row r="4888" ht="14.25" customHeight="1">
      <c r="A4888" s="4"/>
      <c r="B4888" s="4" t="s">
        <v>1802</v>
      </c>
      <c r="C4888" s="4" t="s">
        <v>7267</v>
      </c>
      <c r="D4888" s="4" t="s">
        <v>7268</v>
      </c>
      <c r="E4888" s="5">
        <v>0.140663210238656</v>
      </c>
    </row>
    <row r="4889" ht="14.25" customHeight="1">
      <c r="A4889" s="4"/>
      <c r="B4889" s="4" t="s">
        <v>1802</v>
      </c>
      <c r="C4889" s="4" t="s">
        <v>7269</v>
      </c>
      <c r="D4889" s="4" t="s">
        <v>7270</v>
      </c>
      <c r="E4889" s="5">
        <v>35.5815835310063</v>
      </c>
    </row>
    <row r="4890" ht="14.25" customHeight="1">
      <c r="A4890" s="4"/>
      <c r="B4890" s="4" t="s">
        <v>1802</v>
      </c>
      <c r="C4890" s="4" t="s">
        <v>7271</v>
      </c>
      <c r="D4890" s="4" t="s">
        <v>1837</v>
      </c>
      <c r="E4890" s="5">
        <v>9.672825519919328</v>
      </c>
    </row>
    <row r="4891" ht="14.25" customHeight="1">
      <c r="A4891" s="4"/>
      <c r="B4891" s="4" t="s">
        <v>1802</v>
      </c>
      <c r="C4891" s="4" t="s">
        <v>7272</v>
      </c>
      <c r="D4891" s="4" t="s">
        <v>1837</v>
      </c>
      <c r="E4891" s="5">
        <v>9.672825519919328</v>
      </c>
    </row>
    <row r="4892" ht="14.25" customHeight="1">
      <c r="A4892" s="4"/>
      <c r="B4892" s="4" t="s">
        <v>1802</v>
      </c>
      <c r="C4892" s="4" t="s">
        <v>7273</v>
      </c>
      <c r="D4892" s="4" t="s">
        <v>7274</v>
      </c>
      <c r="E4892" s="5">
        <v>33.2797365521211</v>
      </c>
    </row>
    <row r="4893" ht="14.25" customHeight="1">
      <c r="A4893" s="4"/>
      <c r="B4893" s="4" t="s">
        <v>1802</v>
      </c>
      <c r="C4893" s="4" t="s">
        <v>7275</v>
      </c>
      <c r="D4893" s="4" t="s">
        <v>7276</v>
      </c>
      <c r="E4893" s="5">
        <v>44.513852019271</v>
      </c>
    </row>
    <row r="4894" ht="14.25" customHeight="1">
      <c r="A4894" s="4"/>
      <c r="B4894" s="4" t="s">
        <v>1802</v>
      </c>
      <c r="C4894" s="4" t="s">
        <v>7277</v>
      </c>
      <c r="D4894" s="4" t="s">
        <v>7278</v>
      </c>
      <c r="E4894" s="5">
        <v>45.456440365225305</v>
      </c>
    </row>
    <row r="4895" ht="14.25" customHeight="1">
      <c r="A4895" s="4"/>
      <c r="B4895" s="4" t="s">
        <v>7279</v>
      </c>
      <c r="C4895" s="4" t="s">
        <v>5353</v>
      </c>
      <c r="D4895" s="4" t="s">
        <v>7280</v>
      </c>
      <c r="E4895" s="5">
        <v>186.01196020749998</v>
      </c>
    </row>
    <row r="4896" ht="14.25" customHeight="1">
      <c r="A4896" s="4"/>
      <c r="B4896" s="4" t="s">
        <v>7279</v>
      </c>
      <c r="C4896" s="4" t="s">
        <v>6764</v>
      </c>
      <c r="D4896" s="4" t="s">
        <v>7281</v>
      </c>
      <c r="E4896" s="5">
        <v>14.159792857927</v>
      </c>
    </row>
    <row r="4897" ht="14.25" customHeight="1">
      <c r="A4897" s="4"/>
      <c r="B4897" s="4" t="s">
        <v>7279</v>
      </c>
      <c r="C4897" s="4" t="s">
        <v>6899</v>
      </c>
      <c r="D4897" s="4" t="s">
        <v>7282</v>
      </c>
      <c r="E4897" s="5">
        <v>4.61177654665637</v>
      </c>
    </row>
    <row r="4898" ht="14.25" customHeight="1">
      <c r="A4898" s="4"/>
      <c r="B4898" s="4" t="s">
        <v>7279</v>
      </c>
      <c r="C4898" s="4" t="s">
        <v>80</v>
      </c>
      <c r="D4898" s="4" t="s">
        <v>7283</v>
      </c>
      <c r="E4898" s="5">
        <v>166.504435956655</v>
      </c>
    </row>
    <row r="4899" ht="14.25" customHeight="1">
      <c r="A4899" s="4"/>
      <c r="B4899" s="4" t="s">
        <v>7279</v>
      </c>
      <c r="C4899" s="4" t="s">
        <v>1019</v>
      </c>
      <c r="D4899" s="4" t="s">
        <v>7280</v>
      </c>
      <c r="E4899" s="5">
        <v>186.01196020749998</v>
      </c>
    </row>
    <row r="4900" ht="14.25" customHeight="1">
      <c r="A4900" s="4"/>
      <c r="B4900" s="4" t="s">
        <v>7279</v>
      </c>
      <c r="C4900" s="4" t="s">
        <v>1848</v>
      </c>
      <c r="D4900" s="4" t="s">
        <v>7284</v>
      </c>
      <c r="E4900" s="5">
        <v>65.1041860726253</v>
      </c>
    </row>
    <row r="4901" ht="14.25" customHeight="1">
      <c r="A4901" s="4"/>
      <c r="B4901" s="4" t="s">
        <v>7279</v>
      </c>
      <c r="C4901" s="4" t="s">
        <v>5089</v>
      </c>
      <c r="D4901" s="4" t="s">
        <v>7285</v>
      </c>
      <c r="E4901" s="5">
        <v>29.7619136332001</v>
      </c>
    </row>
    <row r="4902" ht="14.25" customHeight="1">
      <c r="A4902" s="4"/>
      <c r="B4902" s="4" t="s">
        <v>7279</v>
      </c>
      <c r="C4902" s="4" t="s">
        <v>4782</v>
      </c>
      <c r="D4902" s="4" t="s">
        <v>7286</v>
      </c>
      <c r="E4902" s="5">
        <v>8.80717589452728</v>
      </c>
    </row>
    <row r="4903" ht="14.25" customHeight="1">
      <c r="A4903" s="4"/>
      <c r="B4903" s="4" t="s">
        <v>7279</v>
      </c>
      <c r="C4903" s="4" t="s">
        <v>5351</v>
      </c>
      <c r="D4903" s="4" t="s">
        <v>7287</v>
      </c>
      <c r="E4903" s="5">
        <v>118.540514328249</v>
      </c>
    </row>
    <row r="4904" ht="14.25" customHeight="1">
      <c r="A4904" s="4"/>
      <c r="B4904" s="4" t="s">
        <v>7279</v>
      </c>
      <c r="C4904" s="4" t="s">
        <v>4111</v>
      </c>
      <c r="D4904" s="4" t="s">
        <v>7288</v>
      </c>
      <c r="E4904" s="5">
        <v>9.34729123746278</v>
      </c>
    </row>
    <row r="4905" ht="14.25" customHeight="1">
      <c r="A4905" s="4"/>
      <c r="B4905" s="4" t="s">
        <v>7279</v>
      </c>
      <c r="C4905" s="4" t="s">
        <v>7289</v>
      </c>
      <c r="D4905" s="4" t="s">
        <v>7290</v>
      </c>
      <c r="E4905" s="5">
        <v>4.7910681053744995</v>
      </c>
    </row>
    <row r="4906" ht="14.25" customHeight="1">
      <c r="A4906" s="4"/>
      <c r="B4906" s="4" t="s">
        <v>7279</v>
      </c>
      <c r="C4906" s="4" t="s">
        <v>4973</v>
      </c>
      <c r="D4906" s="4" t="s">
        <v>7291</v>
      </c>
      <c r="E4906" s="5">
        <v>9.30059801037504</v>
      </c>
    </row>
    <row r="4907" ht="14.25" customHeight="1">
      <c r="A4907" s="4"/>
      <c r="B4907" s="4" t="s">
        <v>7279</v>
      </c>
      <c r="C4907" s="4" t="s">
        <v>264</v>
      </c>
      <c r="D4907" s="4" t="s">
        <v>7292</v>
      </c>
      <c r="E4907" s="5">
        <v>0.545040155888966</v>
      </c>
    </row>
    <row r="4908" ht="14.25" customHeight="1">
      <c r="A4908" s="4"/>
      <c r="B4908" s="4" t="s">
        <v>7279</v>
      </c>
      <c r="C4908" s="4" t="s">
        <v>749</v>
      </c>
      <c r="D4908" s="4" t="s">
        <v>7280</v>
      </c>
      <c r="E4908" s="5">
        <v>186.01196020749998</v>
      </c>
    </row>
    <row r="4909" ht="14.25" customHeight="1">
      <c r="A4909" s="4"/>
      <c r="B4909" s="4" t="s">
        <v>7279</v>
      </c>
      <c r="C4909" s="4" t="s">
        <v>3612</v>
      </c>
      <c r="D4909" s="4" t="s">
        <v>7291</v>
      </c>
      <c r="E4909" s="5">
        <v>9.30059801037504</v>
      </c>
    </row>
    <row r="4910" ht="14.25" customHeight="1">
      <c r="A4910" s="4"/>
      <c r="B4910" s="4" t="s">
        <v>7279</v>
      </c>
      <c r="C4910" s="4" t="s">
        <v>5965</v>
      </c>
      <c r="D4910" s="4" t="s">
        <v>7293</v>
      </c>
      <c r="E4910" s="5">
        <v>56.1932450395552</v>
      </c>
    </row>
    <row r="4911" ht="14.25" customHeight="1">
      <c r="A4911" s="4"/>
      <c r="B4911" s="4" t="s">
        <v>7279</v>
      </c>
      <c r="C4911" s="4" t="s">
        <v>580</v>
      </c>
      <c r="D4911" s="4" t="s">
        <v>7280</v>
      </c>
      <c r="E4911" s="5">
        <v>186.01196020749998</v>
      </c>
    </row>
    <row r="4912" ht="14.25" customHeight="1">
      <c r="A4912" s="4"/>
      <c r="B4912" s="4" t="s">
        <v>7279</v>
      </c>
      <c r="C4912" s="4" t="s">
        <v>3244</v>
      </c>
      <c r="D4912" s="4" t="s">
        <v>7291</v>
      </c>
      <c r="E4912" s="5">
        <v>9.30059801037504</v>
      </c>
    </row>
    <row r="4913" ht="14.25" customHeight="1">
      <c r="A4913" s="4"/>
      <c r="B4913" s="4" t="s">
        <v>7279</v>
      </c>
      <c r="C4913" s="4" t="s">
        <v>6506</v>
      </c>
      <c r="D4913" s="4" t="s">
        <v>7294</v>
      </c>
      <c r="E4913" s="5">
        <v>3.92659126120179</v>
      </c>
    </row>
    <row r="4914" ht="14.25" customHeight="1">
      <c r="A4914" s="4"/>
      <c r="B4914" s="4" t="s">
        <v>7279</v>
      </c>
      <c r="C4914" s="4" t="s">
        <v>1825</v>
      </c>
      <c r="D4914" s="4" t="s">
        <v>7295</v>
      </c>
      <c r="E4914" s="5">
        <v>25.7204514480707</v>
      </c>
    </row>
    <row r="4915" ht="14.25" customHeight="1">
      <c r="A4915" s="4"/>
      <c r="B4915" s="4" t="s">
        <v>7279</v>
      </c>
      <c r="C4915" s="4" t="s">
        <v>6509</v>
      </c>
      <c r="D4915" s="4" t="s">
        <v>7291</v>
      </c>
      <c r="E4915" s="5">
        <v>9.30059801037504</v>
      </c>
    </row>
    <row r="4916" ht="14.25" customHeight="1">
      <c r="A4916" s="4"/>
      <c r="B4916" s="4" t="s">
        <v>7279</v>
      </c>
      <c r="C4916" s="4" t="s">
        <v>542</v>
      </c>
      <c r="D4916" s="4" t="s">
        <v>7280</v>
      </c>
      <c r="E4916" s="5">
        <v>186.01196020749998</v>
      </c>
    </row>
    <row r="4917" ht="14.25" customHeight="1">
      <c r="A4917" s="4"/>
      <c r="B4917" s="4" t="s">
        <v>7279</v>
      </c>
      <c r="C4917" s="4" t="s">
        <v>5349</v>
      </c>
      <c r="D4917" s="4" t="s">
        <v>7291</v>
      </c>
      <c r="E4917" s="5">
        <v>9.30059801037504</v>
      </c>
    </row>
    <row r="4918" ht="14.25" customHeight="1">
      <c r="A4918" s="4"/>
      <c r="B4918" s="4" t="s">
        <v>7279</v>
      </c>
      <c r="C4918" s="4" t="s">
        <v>7296</v>
      </c>
      <c r="D4918" s="4" t="s">
        <v>7297</v>
      </c>
      <c r="E4918" s="5">
        <v>158.110166176375</v>
      </c>
    </row>
    <row r="4919" ht="14.25" customHeight="1">
      <c r="A4919" s="4"/>
      <c r="B4919" s="4" t="s">
        <v>7279</v>
      </c>
      <c r="C4919" s="4" t="s">
        <v>7298</v>
      </c>
      <c r="D4919" s="4" t="s">
        <v>7299</v>
      </c>
      <c r="E4919" s="5">
        <v>106.323396053813</v>
      </c>
    </row>
    <row r="4920" ht="14.25" customHeight="1">
      <c r="A4920" s="4"/>
      <c r="B4920" s="4" t="s">
        <v>7279</v>
      </c>
      <c r="C4920" s="4" t="s">
        <v>7111</v>
      </c>
      <c r="D4920" s="4" t="s">
        <v>7300</v>
      </c>
      <c r="E4920" s="5">
        <v>6.77569406064516</v>
      </c>
    </row>
    <row r="4921" ht="14.25" customHeight="1">
      <c r="A4921" s="4"/>
      <c r="B4921" s="4" t="s">
        <v>7279</v>
      </c>
      <c r="C4921" s="4" t="s">
        <v>3412</v>
      </c>
      <c r="D4921" s="4" t="s">
        <v>7301</v>
      </c>
      <c r="E4921" s="5">
        <v>84.11722742911991</v>
      </c>
    </row>
    <row r="4922" ht="14.25" customHeight="1">
      <c r="A4922" s="4"/>
      <c r="B4922" s="4" t="s">
        <v>7279</v>
      </c>
      <c r="C4922" s="4" t="s">
        <v>2817</v>
      </c>
      <c r="D4922" s="4" t="s">
        <v>7280</v>
      </c>
      <c r="E4922" s="5">
        <v>186.01196020749998</v>
      </c>
    </row>
    <row r="4923" ht="14.25" customHeight="1">
      <c r="A4923" s="4"/>
      <c r="B4923" s="4" t="s">
        <v>7279</v>
      </c>
      <c r="C4923" s="4" t="s">
        <v>796</v>
      </c>
      <c r="D4923" s="4" t="s">
        <v>7302</v>
      </c>
      <c r="E4923" s="5">
        <v>1.1801006412339998</v>
      </c>
    </row>
    <row r="4924" ht="14.25" customHeight="1">
      <c r="A4924" s="4"/>
      <c r="B4924" s="4" t="s">
        <v>7279</v>
      </c>
      <c r="C4924" s="4" t="s">
        <v>5900</v>
      </c>
      <c r="D4924" s="4" t="s">
        <v>7303</v>
      </c>
      <c r="E4924" s="5">
        <v>23.043428719929597</v>
      </c>
    </row>
    <row r="4925" ht="14.25" customHeight="1">
      <c r="A4925" s="4"/>
      <c r="B4925" s="4" t="s">
        <v>7279</v>
      </c>
      <c r="C4925" s="4" t="s">
        <v>7304</v>
      </c>
      <c r="D4925" s="4" t="s">
        <v>7305</v>
      </c>
      <c r="E4925" s="5">
        <v>55.8035880622502</v>
      </c>
    </row>
    <row r="4926" ht="14.25" customHeight="1">
      <c r="A4926" s="4"/>
      <c r="B4926" s="4" t="s">
        <v>7279</v>
      </c>
      <c r="C4926" s="4" t="s">
        <v>7066</v>
      </c>
      <c r="D4926" s="4" t="s">
        <v>7280</v>
      </c>
      <c r="E4926" s="5">
        <v>186.01196020749998</v>
      </c>
    </row>
    <row r="4927" ht="14.25" customHeight="1">
      <c r="A4927" s="4"/>
      <c r="B4927" s="4" t="s">
        <v>7279</v>
      </c>
      <c r="C4927" s="4" t="s">
        <v>5738</v>
      </c>
      <c r="D4927" s="4" t="s">
        <v>7284</v>
      </c>
      <c r="E4927" s="5">
        <v>65.1041860726253</v>
      </c>
    </row>
    <row r="4928" ht="14.25" customHeight="1">
      <c r="A4928" s="4"/>
      <c r="B4928" s="4" t="s">
        <v>7279</v>
      </c>
      <c r="C4928" s="4" t="s">
        <v>7306</v>
      </c>
      <c r="D4928" s="4" t="s">
        <v>7291</v>
      </c>
      <c r="E4928" s="5">
        <v>9.30059801037504</v>
      </c>
    </row>
    <row r="4929" ht="14.25" customHeight="1">
      <c r="A4929" s="4"/>
      <c r="B4929" s="4" t="s">
        <v>7279</v>
      </c>
      <c r="C4929" s="4" t="s">
        <v>4375</v>
      </c>
      <c r="D4929" s="4" t="s">
        <v>7307</v>
      </c>
      <c r="E4929" s="5">
        <v>77.18191136466619</v>
      </c>
    </row>
    <row r="4930" ht="14.25" customHeight="1">
      <c r="A4930" s="4"/>
      <c r="B4930" s="4" t="s">
        <v>7279</v>
      </c>
      <c r="C4930" s="4" t="s">
        <v>1856</v>
      </c>
      <c r="D4930" s="4" t="s">
        <v>7308</v>
      </c>
      <c r="E4930" s="5">
        <v>28.0945355193802</v>
      </c>
    </row>
    <row r="4931" ht="14.25" customHeight="1">
      <c r="A4931" s="4"/>
      <c r="B4931" s="4" t="s">
        <v>7279</v>
      </c>
      <c r="C4931" s="4" t="s">
        <v>6681</v>
      </c>
      <c r="D4931" s="4" t="s">
        <v>7309</v>
      </c>
      <c r="E4931" s="5">
        <v>19.4382498416838</v>
      </c>
    </row>
    <row r="4932" ht="14.25" customHeight="1">
      <c r="A4932" s="4"/>
      <c r="B4932" s="4" t="s">
        <v>7279</v>
      </c>
      <c r="C4932" s="4" t="s">
        <v>4296</v>
      </c>
      <c r="D4932" s="4" t="s">
        <v>7310</v>
      </c>
      <c r="E4932" s="5">
        <v>3.73605191998691</v>
      </c>
    </row>
    <row r="4933" ht="14.25" customHeight="1">
      <c r="A4933" s="4"/>
      <c r="B4933" s="4" t="s">
        <v>7279</v>
      </c>
      <c r="C4933" s="4" t="s">
        <v>7311</v>
      </c>
      <c r="D4933" s="4" t="s">
        <v>7280</v>
      </c>
      <c r="E4933" s="5">
        <v>186.01196020749998</v>
      </c>
    </row>
    <row r="4934" ht="14.25" customHeight="1">
      <c r="A4934" s="4"/>
      <c r="B4934" s="4" t="s">
        <v>7279</v>
      </c>
      <c r="C4934" s="4" t="s">
        <v>7312</v>
      </c>
      <c r="D4934" s="4" t="s">
        <v>7313</v>
      </c>
      <c r="E4934" s="5">
        <v>78.6494975555466</v>
      </c>
    </row>
    <row r="4935" ht="14.25" customHeight="1">
      <c r="A4935" s="4"/>
      <c r="B4935" s="4" t="s">
        <v>7279</v>
      </c>
      <c r="C4935" s="4" t="s">
        <v>3285</v>
      </c>
      <c r="D4935" s="4" t="s">
        <v>7314</v>
      </c>
      <c r="E4935" s="5">
        <v>57.874877118281596</v>
      </c>
    </row>
    <row r="4936" ht="14.25" customHeight="1">
      <c r="A4936" s="4"/>
      <c r="B4936" s="4" t="s">
        <v>7279</v>
      </c>
      <c r="C4936" s="4" t="s">
        <v>6905</v>
      </c>
      <c r="D4936" s="4" t="s">
        <v>7315</v>
      </c>
      <c r="E4936" s="5">
        <v>149.531497410679</v>
      </c>
    </row>
    <row r="4937" ht="14.25" customHeight="1">
      <c r="A4937" s="4"/>
      <c r="B4937" s="4" t="s">
        <v>7279</v>
      </c>
      <c r="C4937" s="4" t="s">
        <v>6638</v>
      </c>
      <c r="D4937" s="4" t="s">
        <v>7316</v>
      </c>
      <c r="E4937" s="5">
        <v>52.1668203281602</v>
      </c>
    </row>
    <row r="4938" ht="14.25" customHeight="1">
      <c r="A4938" s="4"/>
      <c r="B4938" s="4" t="s">
        <v>7279</v>
      </c>
      <c r="C4938" s="4" t="s">
        <v>6560</v>
      </c>
      <c r="D4938" s="4" t="s">
        <v>7317</v>
      </c>
      <c r="E4938" s="5">
        <v>46.8928479629111</v>
      </c>
    </row>
    <row r="4939" ht="14.25" customHeight="1">
      <c r="A4939" s="4"/>
      <c r="B4939" s="4" t="s">
        <v>7279</v>
      </c>
      <c r="C4939" s="4" t="s">
        <v>5377</v>
      </c>
      <c r="D4939" s="4" t="s">
        <v>7318</v>
      </c>
      <c r="E4939" s="5">
        <v>43.4296054623934</v>
      </c>
    </row>
    <row r="4940" ht="14.25" customHeight="1">
      <c r="A4940" s="4"/>
      <c r="B4940" s="4" t="s">
        <v>7279</v>
      </c>
      <c r="C4940" s="4" t="s">
        <v>6751</v>
      </c>
      <c r="D4940" s="4" t="s">
        <v>7319</v>
      </c>
      <c r="E4940" s="5">
        <v>35.3422724394251</v>
      </c>
    </row>
    <row r="4941" ht="14.25" customHeight="1">
      <c r="A4941" s="4"/>
      <c r="B4941" s="4" t="s">
        <v>7279</v>
      </c>
      <c r="C4941" s="4" t="s">
        <v>2197</v>
      </c>
      <c r="D4941" s="4" t="s">
        <v>7320</v>
      </c>
      <c r="E4941" s="5">
        <v>12.051492414612401</v>
      </c>
    </row>
    <row r="4942" ht="14.25" customHeight="1">
      <c r="A4942" s="4"/>
      <c r="B4942" s="4" t="s">
        <v>7279</v>
      </c>
      <c r="C4942" s="4" t="s">
        <v>7321</v>
      </c>
      <c r="D4942" s="4" t="s">
        <v>7280</v>
      </c>
      <c r="E4942" s="5">
        <v>186.01196020749998</v>
      </c>
    </row>
    <row r="4943" ht="14.25" customHeight="1">
      <c r="A4943" s="4"/>
      <c r="B4943" s="4" t="s">
        <v>7279</v>
      </c>
      <c r="C4943" s="4" t="s">
        <v>3105</v>
      </c>
      <c r="D4943" s="4" t="s">
        <v>7280</v>
      </c>
      <c r="E4943" s="5">
        <v>186.01196020749998</v>
      </c>
    </row>
    <row r="4944" ht="14.25" customHeight="1">
      <c r="A4944" s="4"/>
      <c r="B4944" s="4" t="s">
        <v>7279</v>
      </c>
      <c r="C4944" s="4" t="s">
        <v>675</v>
      </c>
      <c r="D4944" s="4" t="s">
        <v>7322</v>
      </c>
      <c r="E4944" s="5">
        <v>175.337087798147</v>
      </c>
    </row>
    <row r="4945" ht="14.25" customHeight="1">
      <c r="A4945" s="4"/>
      <c r="B4945" s="4" t="s">
        <v>7279</v>
      </c>
      <c r="C4945" s="4" t="s">
        <v>3068</v>
      </c>
      <c r="D4945" s="4" t="s">
        <v>7280</v>
      </c>
      <c r="E4945" s="5">
        <v>186.01196020749998</v>
      </c>
    </row>
    <row r="4946" ht="14.25" customHeight="1">
      <c r="A4946" s="4"/>
      <c r="B4946" s="4" t="s">
        <v>7279</v>
      </c>
      <c r="C4946" s="4" t="s">
        <v>4214</v>
      </c>
      <c r="D4946" s="4" t="s">
        <v>7323</v>
      </c>
      <c r="E4946" s="5">
        <v>11.7864313793927</v>
      </c>
    </row>
    <row r="4947" ht="14.25" customHeight="1">
      <c r="A4947" s="4"/>
      <c r="B4947" s="4" t="s">
        <v>7279</v>
      </c>
      <c r="C4947" s="4" t="s">
        <v>5981</v>
      </c>
      <c r="D4947" s="4" t="s">
        <v>7324</v>
      </c>
      <c r="E4947" s="5">
        <v>72.1752193029084</v>
      </c>
    </row>
    <row r="4948" ht="14.25" customHeight="1">
      <c r="A4948" s="4"/>
      <c r="B4948" s="4" t="s">
        <v>7279</v>
      </c>
      <c r="C4948" s="4" t="s">
        <v>3750</v>
      </c>
      <c r="D4948" s="4" t="s">
        <v>7325</v>
      </c>
      <c r="E4948" s="5">
        <v>39.1271638881878</v>
      </c>
    </row>
    <row r="4949" ht="14.25" customHeight="1">
      <c r="A4949" s="4"/>
      <c r="B4949" s="4" t="s">
        <v>7279</v>
      </c>
      <c r="C4949" s="4" t="s">
        <v>7045</v>
      </c>
      <c r="D4949" s="4" t="s">
        <v>7326</v>
      </c>
      <c r="E4949" s="5">
        <v>162.603459354257</v>
      </c>
    </row>
    <row r="4950" ht="14.25" customHeight="1">
      <c r="A4950" s="4"/>
      <c r="B4950" s="4" t="s">
        <v>7279</v>
      </c>
      <c r="C4950" s="4" t="s">
        <v>6848</v>
      </c>
      <c r="D4950" s="4" t="s">
        <v>7327</v>
      </c>
      <c r="E4950" s="5">
        <v>2.84513376826538</v>
      </c>
    </row>
    <row r="4951" ht="14.25" customHeight="1">
      <c r="A4951" s="4"/>
      <c r="B4951" s="4" t="s">
        <v>7279</v>
      </c>
      <c r="C4951" s="4" t="s">
        <v>1311</v>
      </c>
      <c r="D4951" s="4" t="s">
        <v>7280</v>
      </c>
      <c r="E4951" s="5">
        <v>186.01196020749998</v>
      </c>
    </row>
    <row r="4952" ht="14.25" customHeight="1">
      <c r="A4952" s="4"/>
      <c r="B4952" s="4" t="s">
        <v>7279</v>
      </c>
      <c r="C4952" s="4" t="s">
        <v>5889</v>
      </c>
      <c r="D4952" s="4" t="s">
        <v>7328</v>
      </c>
      <c r="E4952" s="5">
        <v>16.4077560871776</v>
      </c>
    </row>
    <row r="4953" ht="14.25" customHeight="1">
      <c r="A4953" s="4"/>
      <c r="B4953" s="4" t="s">
        <v>7279</v>
      </c>
      <c r="C4953" s="4" t="s">
        <v>784</v>
      </c>
      <c r="D4953" s="4" t="s">
        <v>7280</v>
      </c>
      <c r="E4953" s="5">
        <v>186.01196020749998</v>
      </c>
    </row>
    <row r="4954" ht="14.25" customHeight="1">
      <c r="A4954" s="4"/>
      <c r="B4954" s="4" t="s">
        <v>7279</v>
      </c>
      <c r="C4954" s="4" t="s">
        <v>2317</v>
      </c>
      <c r="D4954" s="4" t="s">
        <v>7291</v>
      </c>
      <c r="E4954" s="5">
        <v>9.30059801037504</v>
      </c>
    </row>
    <row r="4955" ht="14.25" customHeight="1">
      <c r="A4955" s="4"/>
      <c r="B4955" s="4" t="s">
        <v>7279</v>
      </c>
      <c r="C4955" s="4" t="s">
        <v>4028</v>
      </c>
      <c r="D4955" s="4" t="s">
        <v>7280</v>
      </c>
      <c r="E4955" s="5">
        <v>186.01196020749998</v>
      </c>
    </row>
    <row r="4956" ht="14.25" customHeight="1">
      <c r="A4956" s="4"/>
      <c r="B4956" s="4" t="s">
        <v>7279</v>
      </c>
      <c r="C4956" s="4" t="s">
        <v>3294</v>
      </c>
      <c r="D4956" s="4" t="s">
        <v>7280</v>
      </c>
      <c r="E4956" s="5">
        <v>186.01196020749998</v>
      </c>
    </row>
    <row r="4957" ht="14.25" customHeight="1">
      <c r="A4957" s="4"/>
      <c r="B4957" s="4" t="s">
        <v>7279</v>
      </c>
      <c r="C4957" s="4" t="s">
        <v>7329</v>
      </c>
      <c r="D4957" s="4" t="s">
        <v>7330</v>
      </c>
      <c r="E4957" s="5">
        <v>172.639434441233</v>
      </c>
    </row>
    <row r="4958" ht="14.25" customHeight="1">
      <c r="A4958" s="4"/>
      <c r="B4958" s="4" t="s">
        <v>7279</v>
      </c>
      <c r="C4958" s="4" t="s">
        <v>7331</v>
      </c>
      <c r="D4958" s="4" t="s">
        <v>7291</v>
      </c>
      <c r="E4958" s="5">
        <v>9.30059801037504</v>
      </c>
    </row>
    <row r="4959" ht="14.25" customHeight="1">
      <c r="A4959" s="4"/>
      <c r="B4959" s="4" t="s">
        <v>7279</v>
      </c>
      <c r="C4959" s="4" t="s">
        <v>7332</v>
      </c>
      <c r="D4959" s="4" t="s">
        <v>7333</v>
      </c>
      <c r="E4959" s="5">
        <v>111.6071761245</v>
      </c>
    </row>
    <row r="4960" ht="14.25" customHeight="1">
      <c r="A4960" s="4"/>
      <c r="B4960" s="4" t="s">
        <v>7279</v>
      </c>
      <c r="C4960" s="4" t="s">
        <v>3461</v>
      </c>
      <c r="D4960" s="4" t="s">
        <v>7334</v>
      </c>
      <c r="E4960" s="5">
        <v>5.39750879444376</v>
      </c>
    </row>
    <row r="4961" ht="14.25" customHeight="1">
      <c r="A4961" s="4"/>
      <c r="B4961" s="4" t="s">
        <v>7279</v>
      </c>
      <c r="C4961" s="4" t="s">
        <v>3677</v>
      </c>
      <c r="D4961" s="4" t="s">
        <v>7335</v>
      </c>
      <c r="E4961" s="5">
        <v>11.3961907215152</v>
      </c>
    </row>
    <row r="4962" ht="14.25" customHeight="1">
      <c r="A4962" s="4"/>
      <c r="B4962" s="4" t="s">
        <v>7279</v>
      </c>
      <c r="C4962" s="4" t="s">
        <v>4051</v>
      </c>
      <c r="D4962" s="4" t="s">
        <v>7336</v>
      </c>
      <c r="E4962" s="5">
        <v>9.33567517503455</v>
      </c>
    </row>
    <row r="4963" ht="14.25" customHeight="1">
      <c r="A4963" s="4"/>
      <c r="B4963" s="4" t="s">
        <v>7279</v>
      </c>
      <c r="C4963" s="4" t="s">
        <v>5318</v>
      </c>
      <c r="D4963" s="4" t="s">
        <v>7337</v>
      </c>
      <c r="E4963" s="5">
        <v>93.4623485506085</v>
      </c>
    </row>
    <row r="4964" ht="14.25" customHeight="1">
      <c r="A4964" s="4"/>
      <c r="B4964" s="4" t="s">
        <v>7279</v>
      </c>
      <c r="C4964" s="4" t="s">
        <v>2675</v>
      </c>
      <c r="D4964" s="4" t="s">
        <v>7338</v>
      </c>
      <c r="E4964" s="5">
        <v>103.441738117853</v>
      </c>
    </row>
    <row r="4965" ht="14.25" customHeight="1">
      <c r="A4965" s="4"/>
      <c r="B4965" s="4" t="s">
        <v>7279</v>
      </c>
      <c r="C4965" s="4" t="s">
        <v>7339</v>
      </c>
      <c r="D4965" s="4" t="s">
        <v>7340</v>
      </c>
      <c r="E4965" s="5">
        <v>58.1530173726764</v>
      </c>
    </row>
    <row r="4966" ht="14.25" customHeight="1">
      <c r="A4966" s="4"/>
      <c r="B4966" s="4" t="s">
        <v>7279</v>
      </c>
      <c r="C4966" s="4" t="s">
        <v>1734</v>
      </c>
      <c r="D4966" s="4" t="s">
        <v>7280</v>
      </c>
      <c r="E4966" s="5">
        <v>186.01196020749998</v>
      </c>
    </row>
    <row r="4967" ht="14.25" customHeight="1">
      <c r="A4967" s="4"/>
      <c r="B4967" s="4" t="s">
        <v>7279</v>
      </c>
      <c r="C4967" s="4" t="s">
        <v>1054</v>
      </c>
      <c r="D4967" s="4" t="s">
        <v>7280</v>
      </c>
      <c r="E4967" s="5">
        <v>186.01196020749998</v>
      </c>
    </row>
    <row r="4968" ht="14.25" customHeight="1">
      <c r="A4968" s="4"/>
      <c r="B4968" s="4" t="s">
        <v>7279</v>
      </c>
      <c r="C4968" s="4" t="s">
        <v>3693</v>
      </c>
      <c r="D4968" s="4" t="s">
        <v>7341</v>
      </c>
      <c r="E4968" s="5">
        <v>34.0122864553979</v>
      </c>
    </row>
    <row r="4969" ht="14.25" customHeight="1">
      <c r="A4969" s="4"/>
      <c r="B4969" s="4" t="s">
        <v>7279</v>
      </c>
      <c r="C4969" s="4" t="s">
        <v>7342</v>
      </c>
      <c r="D4969" s="4" t="s">
        <v>7343</v>
      </c>
      <c r="E4969" s="5">
        <v>54.2364995190851</v>
      </c>
    </row>
    <row r="4970" ht="14.25" customHeight="1">
      <c r="A4970" s="4"/>
      <c r="B4970" s="4" t="s">
        <v>7279</v>
      </c>
      <c r="C4970" s="4" t="s">
        <v>3277</v>
      </c>
      <c r="D4970" s="4" t="s">
        <v>7284</v>
      </c>
      <c r="E4970" s="5">
        <v>65.1041860726253</v>
      </c>
    </row>
    <row r="4971" ht="14.25" customHeight="1">
      <c r="A4971" s="4"/>
      <c r="B4971" s="4" t="s">
        <v>7279</v>
      </c>
      <c r="C4971" s="4" t="s">
        <v>7344</v>
      </c>
      <c r="D4971" s="4" t="s">
        <v>7305</v>
      </c>
      <c r="E4971" s="5">
        <v>55.8035880622502</v>
      </c>
    </row>
    <row r="4972" ht="14.25" customHeight="1">
      <c r="A4972" s="4"/>
      <c r="B4972" s="4" t="s">
        <v>7279</v>
      </c>
      <c r="C4972" s="4" t="s">
        <v>1412</v>
      </c>
      <c r="D4972" s="4" t="s">
        <v>7280</v>
      </c>
      <c r="E4972" s="5">
        <v>186.01196020749998</v>
      </c>
    </row>
    <row r="4973" ht="14.25" customHeight="1">
      <c r="A4973" s="4"/>
      <c r="B4973" s="4" t="s">
        <v>7279</v>
      </c>
      <c r="C4973" s="4" t="s">
        <v>7345</v>
      </c>
      <c r="D4973" s="4" t="s">
        <v>7346</v>
      </c>
      <c r="E4973" s="5">
        <v>99.3429953959328</v>
      </c>
    </row>
    <row r="4974" ht="14.25" customHeight="1">
      <c r="A4974" s="4"/>
      <c r="B4974" s="4" t="s">
        <v>7279</v>
      </c>
      <c r="C4974" s="4" t="s">
        <v>6566</v>
      </c>
      <c r="D4974" s="4" t="s">
        <v>7347</v>
      </c>
      <c r="E4974" s="5">
        <v>2.79017940311251</v>
      </c>
    </row>
    <row r="4975" ht="14.25" customHeight="1">
      <c r="A4975" s="4"/>
      <c r="B4975" s="4" t="s">
        <v>7279</v>
      </c>
      <c r="C4975" s="4" t="s">
        <v>649</v>
      </c>
      <c r="D4975" s="4" t="s">
        <v>7280</v>
      </c>
      <c r="E4975" s="5">
        <v>186.01196020749998</v>
      </c>
    </row>
    <row r="4976" ht="14.25" customHeight="1">
      <c r="A4976" s="4"/>
      <c r="B4976" s="4" t="s">
        <v>7279</v>
      </c>
      <c r="C4976" s="4" t="s">
        <v>1218</v>
      </c>
      <c r="D4976" s="4" t="s">
        <v>7280</v>
      </c>
      <c r="E4976" s="5">
        <v>186.01196020749998</v>
      </c>
    </row>
    <row r="4977" ht="14.25" customHeight="1">
      <c r="A4977" s="4"/>
      <c r="B4977" s="4" t="s">
        <v>7279</v>
      </c>
      <c r="C4977" s="4" t="s">
        <v>7348</v>
      </c>
      <c r="D4977" s="4" t="s">
        <v>7349</v>
      </c>
      <c r="E4977" s="5">
        <v>56.1756119826652</v>
      </c>
    </row>
    <row r="4978" ht="14.25" customHeight="1">
      <c r="A4978" s="4"/>
      <c r="B4978" s="4" t="s">
        <v>7279</v>
      </c>
      <c r="C4978" s="4" t="s">
        <v>5124</v>
      </c>
      <c r="D4978" s="4" t="s">
        <v>7350</v>
      </c>
      <c r="E4978" s="5">
        <v>115.634946120392</v>
      </c>
    </row>
    <row r="4979" ht="14.25" customHeight="1">
      <c r="A4979" s="4"/>
      <c r="B4979" s="4" t="s">
        <v>7279</v>
      </c>
      <c r="C4979" s="4" t="s">
        <v>6439</v>
      </c>
      <c r="D4979" s="4" t="s">
        <v>7351</v>
      </c>
      <c r="E4979" s="5">
        <v>83.02453573759101</v>
      </c>
    </row>
    <row r="4980" ht="14.25" customHeight="1">
      <c r="A4980" s="4"/>
      <c r="B4980" s="4" t="s">
        <v>7279</v>
      </c>
      <c r="C4980" s="4" t="s">
        <v>6335</v>
      </c>
      <c r="D4980" s="4" t="s">
        <v>7280</v>
      </c>
      <c r="E4980" s="5">
        <v>186.01196020749998</v>
      </c>
    </row>
    <row r="4981" ht="14.25" customHeight="1">
      <c r="A4981" s="4"/>
      <c r="B4981" s="4" t="s">
        <v>7279</v>
      </c>
      <c r="C4981" s="4" t="s">
        <v>5971</v>
      </c>
      <c r="D4981" s="4" t="s">
        <v>7280</v>
      </c>
      <c r="E4981" s="5">
        <v>186.01196020749998</v>
      </c>
    </row>
    <row r="4982" ht="14.25" customHeight="1">
      <c r="A4982" s="4"/>
      <c r="B4982" s="4" t="s">
        <v>7279</v>
      </c>
      <c r="C4982" s="4" t="s">
        <v>7352</v>
      </c>
      <c r="D4982" s="4" t="s">
        <v>7353</v>
      </c>
      <c r="E4982" s="5">
        <v>2.9166394329267797</v>
      </c>
    </row>
    <row r="4983" ht="14.25" customHeight="1">
      <c r="A4983" s="4"/>
      <c r="B4983" s="4" t="s">
        <v>7279</v>
      </c>
      <c r="C4983" s="4" t="s">
        <v>7354</v>
      </c>
      <c r="D4983" s="4" t="s">
        <v>7355</v>
      </c>
      <c r="E4983" s="5">
        <v>59.5238272664002</v>
      </c>
    </row>
    <row r="4984" ht="14.25" customHeight="1">
      <c r="A4984" s="4"/>
      <c r="B4984" s="4" t="s">
        <v>7279</v>
      </c>
      <c r="C4984" s="4" t="s">
        <v>2020</v>
      </c>
      <c r="D4984" s="4" t="s">
        <v>7291</v>
      </c>
      <c r="E4984" s="5">
        <v>9.30059801037504</v>
      </c>
    </row>
    <row r="4985" ht="14.25" customHeight="1">
      <c r="A4985" s="4"/>
      <c r="B4985" s="4" t="s">
        <v>7279</v>
      </c>
      <c r="C4985" s="4" t="s">
        <v>1794</v>
      </c>
      <c r="D4985" s="4" t="s">
        <v>7280</v>
      </c>
      <c r="E4985" s="5">
        <v>186.01196020749998</v>
      </c>
    </row>
    <row r="4986" ht="14.25" customHeight="1">
      <c r="A4986" s="4"/>
      <c r="B4986" s="4" t="s">
        <v>7279</v>
      </c>
      <c r="C4986" s="4" t="s">
        <v>4523</v>
      </c>
      <c r="D4986" s="4" t="s">
        <v>7356</v>
      </c>
      <c r="E4986" s="5">
        <v>175.956308990106</v>
      </c>
    </row>
    <row r="4987" ht="14.25" customHeight="1">
      <c r="A4987" s="4"/>
      <c r="B4987" s="4" t="s">
        <v>7279</v>
      </c>
      <c r="C4987" s="4" t="s">
        <v>2489</v>
      </c>
      <c r="D4987" s="4" t="s">
        <v>7357</v>
      </c>
      <c r="E4987" s="5">
        <v>84.07740601379031</v>
      </c>
    </row>
    <row r="4988" ht="14.25" customHeight="1">
      <c r="A4988" s="4"/>
      <c r="B4988" s="4" t="s">
        <v>7279</v>
      </c>
      <c r="C4988" s="4" t="s">
        <v>3856</v>
      </c>
      <c r="D4988" s="4" t="s">
        <v>7358</v>
      </c>
      <c r="E4988" s="5">
        <v>8.92012429676799</v>
      </c>
    </row>
    <row r="4989" ht="14.25" customHeight="1">
      <c r="A4989" s="4"/>
      <c r="B4989" s="4" t="s">
        <v>7279</v>
      </c>
      <c r="C4989" s="4" t="s">
        <v>4435</v>
      </c>
      <c r="D4989" s="4" t="s">
        <v>7359</v>
      </c>
      <c r="E4989" s="5">
        <v>36.8303681210851</v>
      </c>
    </row>
    <row r="4990" ht="14.25" customHeight="1">
      <c r="A4990" s="4"/>
      <c r="B4990" s="4" t="s">
        <v>7279</v>
      </c>
      <c r="C4990" s="4" t="s">
        <v>6016</v>
      </c>
      <c r="D4990" s="4" t="s">
        <v>7360</v>
      </c>
      <c r="E4990" s="5">
        <v>57.1653495189391</v>
      </c>
    </row>
    <row r="4991" ht="14.25" customHeight="1">
      <c r="A4991" s="4"/>
      <c r="B4991" s="4" t="s">
        <v>7279</v>
      </c>
      <c r="C4991" s="4" t="s">
        <v>2828</v>
      </c>
      <c r="D4991" s="4" t="s">
        <v>7361</v>
      </c>
      <c r="E4991" s="5">
        <v>8.63345624162575</v>
      </c>
    </row>
    <row r="4992" ht="14.25" customHeight="1">
      <c r="A4992" s="4"/>
      <c r="B4992" s="4" t="s">
        <v>7279</v>
      </c>
      <c r="C4992" s="4" t="s">
        <v>4731</v>
      </c>
      <c r="D4992" s="4" t="s">
        <v>7284</v>
      </c>
      <c r="E4992" s="5">
        <v>65.1041860726253</v>
      </c>
    </row>
    <row r="4993" ht="14.25" customHeight="1">
      <c r="A4993" s="4"/>
      <c r="B4993" s="4" t="s">
        <v>7279</v>
      </c>
      <c r="C4993" s="4" t="s">
        <v>7362</v>
      </c>
      <c r="D4993" s="4" t="s">
        <v>7363</v>
      </c>
      <c r="E4993" s="5">
        <v>26.1208825633011</v>
      </c>
    </row>
    <row r="4994" ht="14.25" customHeight="1">
      <c r="A4994" s="4"/>
      <c r="B4994" s="4" t="s">
        <v>7279</v>
      </c>
      <c r="C4994" s="4" t="s">
        <v>2568</v>
      </c>
      <c r="D4994" s="4" t="s">
        <v>7364</v>
      </c>
      <c r="E4994" s="5">
        <v>0.11853633667205501</v>
      </c>
    </row>
    <row r="4995" ht="14.25" customHeight="1">
      <c r="A4995" s="4"/>
      <c r="B4995" s="4" t="s">
        <v>7279</v>
      </c>
      <c r="C4995" s="4" t="s">
        <v>2900</v>
      </c>
      <c r="D4995" s="4" t="s">
        <v>7280</v>
      </c>
      <c r="E4995" s="5">
        <v>186.01196020749998</v>
      </c>
    </row>
    <row r="4996" ht="14.25" customHeight="1">
      <c r="A4996" s="4"/>
      <c r="B4996" s="4" t="s">
        <v>7279</v>
      </c>
      <c r="C4996" s="4" t="s">
        <v>5615</v>
      </c>
      <c r="D4996" s="4" t="s">
        <v>7365</v>
      </c>
      <c r="E4996" s="5">
        <v>55.1133170167558</v>
      </c>
    </row>
    <row r="4997" ht="14.25" customHeight="1">
      <c r="A4997" s="4"/>
      <c r="B4997" s="4" t="s">
        <v>7279</v>
      </c>
      <c r="C4997" s="4" t="s">
        <v>3267</v>
      </c>
      <c r="D4997" s="4" t="s">
        <v>7366</v>
      </c>
      <c r="E4997" s="5">
        <v>10.6421917501149</v>
      </c>
    </row>
    <row r="4998" ht="14.25" customHeight="1">
      <c r="A4998" s="4"/>
      <c r="B4998" s="4" t="s">
        <v>7279</v>
      </c>
      <c r="C4998" s="4" t="s">
        <v>3393</v>
      </c>
      <c r="D4998" s="4" t="s">
        <v>7367</v>
      </c>
      <c r="E4998" s="5">
        <v>65.6300146315196</v>
      </c>
    </row>
    <row r="4999" ht="14.25" customHeight="1">
      <c r="A4999" s="4"/>
      <c r="B4999" s="4" t="s">
        <v>7279</v>
      </c>
      <c r="C4999" s="4" t="s">
        <v>7368</v>
      </c>
      <c r="D4999" s="4" t="s">
        <v>7369</v>
      </c>
      <c r="E4999" s="5">
        <v>93.0059801037504</v>
      </c>
    </row>
    <row r="5000" ht="14.25" customHeight="1">
      <c r="A5000" s="4"/>
      <c r="B5000" s="4" t="s">
        <v>7279</v>
      </c>
      <c r="C5000" s="4" t="s">
        <v>7370</v>
      </c>
      <c r="D5000" s="4" t="s">
        <v>7280</v>
      </c>
      <c r="E5000" s="5">
        <v>186.01196020749998</v>
      </c>
    </row>
    <row r="5001" ht="14.25" customHeight="1">
      <c r="A5001" s="4"/>
      <c r="B5001" s="4" t="s">
        <v>7279</v>
      </c>
      <c r="C5001" s="4" t="s">
        <v>6626</v>
      </c>
      <c r="D5001" s="4" t="s">
        <v>7284</v>
      </c>
      <c r="E5001" s="5">
        <v>65.1041860726253</v>
      </c>
    </row>
    <row r="5002" ht="14.25" customHeight="1">
      <c r="A5002" s="4"/>
      <c r="B5002" s="4" t="s">
        <v>7279</v>
      </c>
      <c r="C5002" s="4" t="s">
        <v>5872</v>
      </c>
      <c r="D5002" s="4" t="s">
        <v>7284</v>
      </c>
      <c r="E5002" s="5">
        <v>65.1041860726253</v>
      </c>
    </row>
    <row r="5003" ht="14.25" customHeight="1">
      <c r="A5003" s="4"/>
      <c r="B5003" s="4" t="s">
        <v>7279</v>
      </c>
      <c r="C5003" s="4" t="s">
        <v>244</v>
      </c>
      <c r="D5003" s="4" t="s">
        <v>7371</v>
      </c>
      <c r="E5003" s="5">
        <v>162.08559887393</v>
      </c>
    </row>
    <row r="5004" ht="14.25" customHeight="1">
      <c r="A5004" s="4"/>
      <c r="B5004" s="4" t="s">
        <v>7279</v>
      </c>
      <c r="C5004" s="4" t="s">
        <v>7372</v>
      </c>
      <c r="D5004" s="4" t="s">
        <v>7373</v>
      </c>
      <c r="E5004" s="5">
        <v>52.484319637801</v>
      </c>
    </row>
    <row r="5005" ht="14.25" customHeight="1">
      <c r="A5005" s="4"/>
      <c r="B5005" s="4" t="s">
        <v>7279</v>
      </c>
      <c r="C5005" s="4" t="s">
        <v>7374</v>
      </c>
      <c r="D5005" s="4" t="s">
        <v>7375</v>
      </c>
      <c r="E5005" s="5">
        <v>7.44047840830003</v>
      </c>
    </row>
    <row r="5006" ht="14.25" customHeight="1">
      <c r="A5006" s="4"/>
      <c r="B5006" s="4" t="s">
        <v>7279</v>
      </c>
      <c r="C5006" s="4" t="s">
        <v>6356</v>
      </c>
      <c r="D5006" s="4" t="s">
        <v>7284</v>
      </c>
      <c r="E5006" s="5">
        <v>65.1041860726253</v>
      </c>
    </row>
    <row r="5007" ht="14.25" customHeight="1">
      <c r="A5007" s="4"/>
      <c r="B5007" s="4" t="s">
        <v>7279</v>
      </c>
      <c r="C5007" s="4" t="s">
        <v>2292</v>
      </c>
      <c r="D5007" s="4" t="s">
        <v>7291</v>
      </c>
      <c r="E5007" s="5">
        <v>9.30059801037504</v>
      </c>
    </row>
    <row r="5008" ht="14.25" customHeight="1">
      <c r="A5008" s="4"/>
      <c r="B5008" s="4" t="s">
        <v>7279</v>
      </c>
      <c r="C5008" s="4" t="s">
        <v>7376</v>
      </c>
      <c r="D5008" s="4" t="s">
        <v>7377</v>
      </c>
      <c r="E5008" s="5">
        <v>46.5029900518752</v>
      </c>
    </row>
    <row r="5009" ht="14.25" customHeight="1">
      <c r="A5009" s="4"/>
      <c r="B5009" s="4" t="s">
        <v>7279</v>
      </c>
      <c r="C5009" s="4" t="s">
        <v>7378</v>
      </c>
      <c r="D5009" s="4" t="s">
        <v>7379</v>
      </c>
      <c r="E5009" s="5">
        <v>41.936980929591904</v>
      </c>
    </row>
    <row r="5010" ht="14.25" customHeight="1">
      <c r="A5010" s="4"/>
      <c r="B5010" s="4" t="s">
        <v>7279</v>
      </c>
      <c r="C5010" s="4" t="s">
        <v>5940</v>
      </c>
      <c r="D5010" s="4" t="s">
        <v>7380</v>
      </c>
      <c r="E5010" s="5">
        <v>185.82595375882698</v>
      </c>
    </row>
    <row r="5011" ht="14.25" customHeight="1">
      <c r="A5011" s="4"/>
      <c r="B5011" s="4" t="s">
        <v>7279</v>
      </c>
      <c r="C5011" s="4" t="s">
        <v>5916</v>
      </c>
      <c r="D5011" s="4" t="s">
        <v>7381</v>
      </c>
      <c r="E5011" s="5">
        <v>38.1660215523207</v>
      </c>
    </row>
    <row r="5012" ht="14.25" customHeight="1">
      <c r="A5012" s="4"/>
      <c r="B5012" s="4" t="s">
        <v>7279</v>
      </c>
      <c r="C5012" s="4" t="s">
        <v>7382</v>
      </c>
      <c r="D5012" s="4" t="s">
        <v>7383</v>
      </c>
      <c r="E5012" s="5">
        <v>93.0540589395101</v>
      </c>
    </row>
    <row r="5013" ht="14.25" customHeight="1">
      <c r="A5013" s="4"/>
      <c r="B5013" s="4" t="s">
        <v>7279</v>
      </c>
      <c r="C5013" s="4" t="s">
        <v>7384</v>
      </c>
      <c r="D5013" s="4" t="s">
        <v>7291</v>
      </c>
      <c r="E5013" s="5">
        <v>9.30059801037504</v>
      </c>
    </row>
    <row r="5014" ht="14.25" customHeight="1">
      <c r="A5014" s="4"/>
      <c r="B5014" s="4" t="s">
        <v>7279</v>
      </c>
      <c r="C5014" s="4" t="s">
        <v>4538</v>
      </c>
      <c r="D5014" s="4" t="s">
        <v>7377</v>
      </c>
      <c r="E5014" s="5">
        <v>46.5029900518752</v>
      </c>
    </row>
    <row r="5015" ht="14.25" customHeight="1">
      <c r="A5015" s="4"/>
      <c r="B5015" s="4" t="s">
        <v>7279</v>
      </c>
      <c r="C5015" s="4" t="s">
        <v>6787</v>
      </c>
      <c r="D5015" s="4" t="s">
        <v>7385</v>
      </c>
      <c r="E5015" s="5">
        <v>13.1803501247384</v>
      </c>
    </row>
    <row r="5016" ht="14.25" customHeight="1">
      <c r="A5016" s="4"/>
      <c r="B5016" s="4" t="s">
        <v>7279</v>
      </c>
      <c r="C5016" s="4" t="s">
        <v>4931</v>
      </c>
      <c r="D5016" s="4" t="s">
        <v>7386</v>
      </c>
      <c r="E5016" s="5">
        <v>176.954599918438</v>
      </c>
    </row>
    <row r="5017" ht="14.25" customHeight="1">
      <c r="A5017" s="4"/>
      <c r="B5017" s="4" t="s">
        <v>7279</v>
      </c>
      <c r="C5017" s="4" t="s">
        <v>2721</v>
      </c>
      <c r="D5017" s="4" t="s">
        <v>7291</v>
      </c>
      <c r="E5017" s="5">
        <v>9.30059801037504</v>
      </c>
    </row>
    <row r="5018" ht="14.25" customHeight="1">
      <c r="A5018" s="4"/>
      <c r="B5018" s="4" t="s">
        <v>7279</v>
      </c>
      <c r="C5018" s="4" t="s">
        <v>5884</v>
      </c>
      <c r="D5018" s="4" t="s">
        <v>7387</v>
      </c>
      <c r="E5018" s="5">
        <v>2.9990859249835102</v>
      </c>
    </row>
    <row r="5019" ht="14.25" customHeight="1">
      <c r="A5019" s="4"/>
      <c r="B5019" s="4" t="s">
        <v>7279</v>
      </c>
      <c r="C5019" s="4" t="s">
        <v>4961</v>
      </c>
      <c r="D5019" s="4" t="s">
        <v>7388</v>
      </c>
      <c r="E5019" s="5">
        <v>7.77035228703383</v>
      </c>
    </row>
    <row r="5020" ht="14.25" customHeight="1">
      <c r="A5020" s="4"/>
      <c r="B5020" s="4" t="s">
        <v>7279</v>
      </c>
      <c r="C5020" s="4" t="s">
        <v>7389</v>
      </c>
      <c r="D5020" s="4" t="s">
        <v>7390</v>
      </c>
      <c r="E5020" s="5">
        <v>2.4497662656874</v>
      </c>
    </row>
    <row r="5021" ht="14.25" customHeight="1">
      <c r="A5021" s="4"/>
      <c r="B5021" s="4" t="s">
        <v>7279</v>
      </c>
      <c r="C5021" s="4" t="s">
        <v>2947</v>
      </c>
      <c r="D5021" s="4" t="s">
        <v>7391</v>
      </c>
      <c r="E5021" s="5">
        <v>33.6788218267759</v>
      </c>
    </row>
    <row r="5022" ht="14.25" customHeight="1">
      <c r="A5022" s="4"/>
      <c r="B5022" s="4" t="s">
        <v>7279</v>
      </c>
      <c r="C5022" s="4" t="s">
        <v>1735</v>
      </c>
      <c r="D5022" s="4" t="s">
        <v>7280</v>
      </c>
      <c r="E5022" s="5">
        <v>186.01196020749998</v>
      </c>
    </row>
    <row r="5023" ht="14.25" customHeight="1">
      <c r="A5023" s="4"/>
      <c r="B5023" s="4" t="s">
        <v>7279</v>
      </c>
      <c r="C5023" s="4" t="s">
        <v>4026</v>
      </c>
      <c r="D5023" s="4" t="s">
        <v>7392</v>
      </c>
      <c r="E5023" s="5">
        <v>185.835880407265</v>
      </c>
    </row>
    <row r="5024" ht="14.25" customHeight="1">
      <c r="A5024" s="4"/>
      <c r="B5024" s="4" t="s">
        <v>7279</v>
      </c>
      <c r="C5024" s="4" t="s">
        <v>7121</v>
      </c>
      <c r="D5024" s="4" t="s">
        <v>7393</v>
      </c>
      <c r="E5024" s="5">
        <v>12.9936422051483</v>
      </c>
    </row>
    <row r="5025" ht="14.25" customHeight="1">
      <c r="A5025" s="4"/>
      <c r="B5025" s="4" t="s">
        <v>7279</v>
      </c>
      <c r="C5025" s="4" t="s">
        <v>7394</v>
      </c>
      <c r="D5025" s="4" t="s">
        <v>7305</v>
      </c>
      <c r="E5025" s="5">
        <v>55.8035880622502</v>
      </c>
    </row>
    <row r="5026" ht="14.25" customHeight="1">
      <c r="A5026" s="4"/>
      <c r="B5026" s="4" t="s">
        <v>7279</v>
      </c>
      <c r="C5026" s="4" t="s">
        <v>4150</v>
      </c>
      <c r="D5026" s="4" t="s">
        <v>7395</v>
      </c>
      <c r="E5026" s="5">
        <v>6.87836139460231</v>
      </c>
    </row>
    <row r="5027" ht="14.25" customHeight="1">
      <c r="A5027" s="4"/>
      <c r="B5027" s="4" t="s">
        <v>7279</v>
      </c>
      <c r="C5027" s="4" t="s">
        <v>5794</v>
      </c>
      <c r="D5027" s="4" t="s">
        <v>7396</v>
      </c>
      <c r="E5027" s="5">
        <v>71.5260505523015</v>
      </c>
    </row>
    <row r="5028" ht="14.25" customHeight="1">
      <c r="A5028" s="4"/>
      <c r="B5028" s="4" t="s">
        <v>7279</v>
      </c>
      <c r="C5028" s="4" t="s">
        <v>2629</v>
      </c>
      <c r="D5028" s="4" t="s">
        <v>7291</v>
      </c>
      <c r="E5028" s="5">
        <v>9.30059801037504</v>
      </c>
    </row>
    <row r="5029" ht="14.25" customHeight="1">
      <c r="A5029" s="4"/>
      <c r="B5029" s="4" t="s">
        <v>7279</v>
      </c>
      <c r="C5029" s="4" t="s">
        <v>7397</v>
      </c>
      <c r="D5029" s="4" t="s">
        <v>7398</v>
      </c>
      <c r="E5029" s="5">
        <v>61.346744476433706</v>
      </c>
    </row>
    <row r="5030" ht="14.25" customHeight="1">
      <c r="A5030" s="4"/>
      <c r="B5030" s="4" t="s">
        <v>7279</v>
      </c>
      <c r="C5030" s="4" t="s">
        <v>1541</v>
      </c>
      <c r="D5030" s="4" t="s">
        <v>7399</v>
      </c>
      <c r="E5030" s="5">
        <v>117.521139748284</v>
      </c>
    </row>
    <row r="5031" ht="14.25" customHeight="1">
      <c r="A5031" s="4"/>
      <c r="B5031" s="4" t="s">
        <v>7279</v>
      </c>
      <c r="C5031" s="4" t="s">
        <v>7400</v>
      </c>
      <c r="D5031" s="4" t="s">
        <v>7401</v>
      </c>
      <c r="E5031" s="5">
        <v>60.0519801249085</v>
      </c>
    </row>
    <row r="5032" ht="14.25" customHeight="1">
      <c r="A5032" s="4"/>
      <c r="B5032" s="4" t="s">
        <v>7279</v>
      </c>
      <c r="C5032" s="4" t="s">
        <v>1038</v>
      </c>
      <c r="D5032" s="4" t="s">
        <v>7280</v>
      </c>
      <c r="E5032" s="5">
        <v>186.01196020749998</v>
      </c>
    </row>
    <row r="5033" ht="14.25" customHeight="1">
      <c r="A5033" s="4"/>
      <c r="B5033" s="4" t="s">
        <v>7279</v>
      </c>
      <c r="C5033" s="4" t="s">
        <v>2874</v>
      </c>
      <c r="D5033" s="4" t="s">
        <v>7280</v>
      </c>
      <c r="E5033" s="5">
        <v>186.01196020749998</v>
      </c>
    </row>
    <row r="5034" ht="14.25" customHeight="1">
      <c r="A5034" s="4"/>
      <c r="B5034" s="4" t="s">
        <v>7279</v>
      </c>
      <c r="C5034" s="4" t="s">
        <v>6761</v>
      </c>
      <c r="D5034" s="4" t="s">
        <v>7291</v>
      </c>
      <c r="E5034" s="5">
        <v>9.30059801037504</v>
      </c>
    </row>
    <row r="5035" ht="14.25" customHeight="1">
      <c r="A5035" s="4"/>
      <c r="B5035" s="4" t="s">
        <v>7279</v>
      </c>
      <c r="C5035" s="4" t="s">
        <v>4712</v>
      </c>
      <c r="D5035" s="4" t="s">
        <v>7402</v>
      </c>
      <c r="E5035" s="5">
        <v>99.9847074934936</v>
      </c>
    </row>
    <row r="5036" ht="14.25" customHeight="1">
      <c r="A5036" s="4"/>
      <c r="B5036" s="4" t="s">
        <v>7279</v>
      </c>
      <c r="C5036" s="4" t="s">
        <v>6220</v>
      </c>
      <c r="D5036" s="4" t="s">
        <v>7284</v>
      </c>
      <c r="E5036" s="5">
        <v>65.1041860726253</v>
      </c>
    </row>
    <row r="5037" ht="14.25" customHeight="1">
      <c r="A5037" s="4"/>
      <c r="B5037" s="4" t="s">
        <v>7279</v>
      </c>
      <c r="C5037" s="4" t="s">
        <v>6019</v>
      </c>
      <c r="D5037" s="4" t="s">
        <v>7403</v>
      </c>
      <c r="E5037" s="5">
        <v>6.22623475015345</v>
      </c>
    </row>
    <row r="5038" ht="14.25" customHeight="1">
      <c r="A5038" s="4"/>
      <c r="B5038" s="4" t="s">
        <v>7279</v>
      </c>
      <c r="C5038" s="4" t="s">
        <v>4454</v>
      </c>
      <c r="D5038" s="4" t="s">
        <v>7404</v>
      </c>
      <c r="E5038" s="5">
        <v>5.0465700118220695</v>
      </c>
    </row>
    <row r="5039" ht="14.25" customHeight="1">
      <c r="A5039" s="4"/>
      <c r="B5039" s="4" t="s">
        <v>7279</v>
      </c>
      <c r="C5039" s="4" t="s">
        <v>4307</v>
      </c>
      <c r="D5039" s="4" t="s">
        <v>7291</v>
      </c>
      <c r="E5039" s="5">
        <v>9.30059801037504</v>
      </c>
    </row>
    <row r="5040" ht="14.25" customHeight="1">
      <c r="A5040" s="4"/>
      <c r="B5040" s="4" t="s">
        <v>7279</v>
      </c>
      <c r="C5040" s="4" t="s">
        <v>7052</v>
      </c>
      <c r="D5040" s="4" t="s">
        <v>7280</v>
      </c>
      <c r="E5040" s="5">
        <v>186.01196020749998</v>
      </c>
    </row>
    <row r="5041" ht="14.25" customHeight="1">
      <c r="A5041" s="4"/>
      <c r="B5041" s="4" t="s">
        <v>7279</v>
      </c>
      <c r="C5041" s="4" t="s">
        <v>628</v>
      </c>
      <c r="D5041" s="4" t="s">
        <v>7405</v>
      </c>
      <c r="E5041" s="5">
        <v>21.231356820068</v>
      </c>
    </row>
    <row r="5042" ht="14.25" customHeight="1">
      <c r="A5042" s="4"/>
      <c r="B5042" s="4" t="s">
        <v>7279</v>
      </c>
      <c r="C5042" s="4" t="s">
        <v>7406</v>
      </c>
      <c r="D5042" s="4" t="s">
        <v>7291</v>
      </c>
      <c r="E5042" s="5">
        <v>9.30059801037504</v>
      </c>
    </row>
    <row r="5043" ht="14.25" customHeight="1">
      <c r="A5043" s="4"/>
      <c r="B5043" s="4" t="s">
        <v>7279</v>
      </c>
      <c r="C5043" s="4" t="s">
        <v>7407</v>
      </c>
      <c r="D5043" s="4" t="s">
        <v>7280</v>
      </c>
      <c r="E5043" s="5">
        <v>186.01196020749998</v>
      </c>
    </row>
    <row r="5044" ht="14.25" customHeight="1">
      <c r="A5044" s="4"/>
      <c r="B5044" s="4" t="s">
        <v>7279</v>
      </c>
      <c r="C5044" s="4" t="s">
        <v>7408</v>
      </c>
      <c r="D5044" s="4" t="s">
        <v>7409</v>
      </c>
      <c r="E5044" s="5">
        <v>63.04817301706991</v>
      </c>
    </row>
    <row r="5045" ht="14.25" customHeight="1">
      <c r="A5045" s="4"/>
      <c r="B5045" s="4" t="s">
        <v>7279</v>
      </c>
      <c r="C5045" s="4" t="s">
        <v>4391</v>
      </c>
      <c r="D5045" s="4" t="s">
        <v>7410</v>
      </c>
      <c r="E5045" s="5">
        <v>24.5979860790777</v>
      </c>
    </row>
    <row r="5046" ht="14.25" customHeight="1">
      <c r="A5046" s="4"/>
      <c r="B5046" s="4" t="s">
        <v>7279</v>
      </c>
      <c r="C5046" s="4" t="s">
        <v>7049</v>
      </c>
      <c r="D5046" s="4" t="s">
        <v>7411</v>
      </c>
      <c r="E5046" s="5">
        <v>55.847293190418995</v>
      </c>
    </row>
    <row r="5047" ht="14.25" customHeight="1">
      <c r="A5047" s="4"/>
      <c r="B5047" s="4" t="s">
        <v>7279</v>
      </c>
      <c r="C5047" s="4" t="s">
        <v>302</v>
      </c>
      <c r="D5047" s="4" t="s">
        <v>7280</v>
      </c>
      <c r="E5047" s="5">
        <v>186.01196020749998</v>
      </c>
    </row>
    <row r="5048" ht="14.25" customHeight="1">
      <c r="A5048" s="4"/>
      <c r="B5048" s="4" t="s">
        <v>7279</v>
      </c>
      <c r="C5048" s="4" t="s">
        <v>7412</v>
      </c>
      <c r="D5048" s="4" t="s">
        <v>7413</v>
      </c>
      <c r="E5048" s="5">
        <v>55.8036832529408</v>
      </c>
    </row>
    <row r="5049" ht="14.25" customHeight="1">
      <c r="A5049" s="4"/>
      <c r="B5049" s="4" t="s">
        <v>7279</v>
      </c>
      <c r="C5049" s="4" t="s">
        <v>7414</v>
      </c>
      <c r="D5049" s="4" t="s">
        <v>7415</v>
      </c>
      <c r="E5049" s="5">
        <v>139.508970155625</v>
      </c>
    </row>
    <row r="5050" ht="14.25" customHeight="1">
      <c r="A5050" s="4"/>
      <c r="B5050" s="4" t="s">
        <v>7279</v>
      </c>
      <c r="C5050" s="4" t="s">
        <v>7416</v>
      </c>
      <c r="D5050" s="4" t="s">
        <v>7305</v>
      </c>
      <c r="E5050" s="5">
        <v>55.8035880622502</v>
      </c>
    </row>
    <row r="5051" ht="14.25" customHeight="1">
      <c r="A5051" s="4"/>
      <c r="B5051" s="4" t="s">
        <v>7279</v>
      </c>
      <c r="C5051" s="4" t="s">
        <v>3501</v>
      </c>
      <c r="D5051" s="4" t="s">
        <v>7284</v>
      </c>
      <c r="E5051" s="5">
        <v>65.1041860726253</v>
      </c>
    </row>
    <row r="5052" ht="14.25" customHeight="1">
      <c r="A5052" s="4"/>
      <c r="B5052" s="4" t="s">
        <v>7279</v>
      </c>
      <c r="C5052" s="4" t="s">
        <v>6644</v>
      </c>
      <c r="D5052" s="4" t="s">
        <v>7280</v>
      </c>
      <c r="E5052" s="5">
        <v>186.01196020749998</v>
      </c>
    </row>
    <row r="5053" ht="14.25" customHeight="1">
      <c r="A5053" s="4"/>
      <c r="B5053" s="4" t="s">
        <v>7279</v>
      </c>
      <c r="C5053" s="4" t="s">
        <v>7417</v>
      </c>
      <c r="D5053" s="4" t="s">
        <v>7418</v>
      </c>
      <c r="E5053" s="5">
        <v>56.130411076334795</v>
      </c>
    </row>
    <row r="5054" ht="14.25" customHeight="1">
      <c r="A5054" s="4"/>
      <c r="B5054" s="4" t="s">
        <v>7279</v>
      </c>
      <c r="C5054" s="4" t="s">
        <v>4771</v>
      </c>
      <c r="D5054" s="4" t="s">
        <v>7280</v>
      </c>
      <c r="E5054" s="5">
        <v>186.01196020749998</v>
      </c>
    </row>
    <row r="5055" ht="14.25" customHeight="1">
      <c r="A5055" s="4"/>
      <c r="B5055" s="4" t="s">
        <v>7279</v>
      </c>
      <c r="C5055" s="4" t="s">
        <v>7419</v>
      </c>
      <c r="D5055" s="4" t="s">
        <v>7420</v>
      </c>
      <c r="E5055" s="5">
        <v>4.29583547879231</v>
      </c>
    </row>
    <row r="5056" ht="14.25" customHeight="1">
      <c r="A5056" s="4"/>
      <c r="B5056" s="4" t="s">
        <v>7279</v>
      </c>
      <c r="C5056" s="4" t="s">
        <v>2102</v>
      </c>
      <c r="D5056" s="4" t="s">
        <v>7421</v>
      </c>
      <c r="E5056" s="5">
        <v>92.4746790411787</v>
      </c>
    </row>
    <row r="5057" ht="14.25" customHeight="1">
      <c r="A5057" s="4"/>
      <c r="B5057" s="4" t="s">
        <v>7279</v>
      </c>
      <c r="C5057" s="4" t="s">
        <v>1967</v>
      </c>
      <c r="D5057" s="4" t="s">
        <v>7422</v>
      </c>
      <c r="E5057" s="5">
        <v>8.661641273750151</v>
      </c>
    </row>
    <row r="5058" ht="14.25" customHeight="1">
      <c r="A5058" s="4"/>
      <c r="B5058" s="4" t="s">
        <v>7279</v>
      </c>
      <c r="C5058" s="4" t="s">
        <v>1451</v>
      </c>
      <c r="D5058" s="4" t="s">
        <v>7280</v>
      </c>
      <c r="E5058" s="5">
        <v>186.01196020749998</v>
      </c>
    </row>
    <row r="5059" ht="14.25" customHeight="1">
      <c r="A5059" s="4"/>
      <c r="B5059" s="4" t="s">
        <v>7279</v>
      </c>
      <c r="C5059" s="4" t="s">
        <v>552</v>
      </c>
      <c r="D5059" s="4" t="s">
        <v>7423</v>
      </c>
      <c r="E5059" s="5">
        <v>71.4285927196803</v>
      </c>
    </row>
    <row r="5060" ht="14.25" customHeight="1">
      <c r="A5060" s="4"/>
      <c r="B5060" s="4" t="s">
        <v>7279</v>
      </c>
      <c r="C5060" s="4" t="s">
        <v>3935</v>
      </c>
      <c r="D5060" s="4" t="s">
        <v>7424</v>
      </c>
      <c r="E5060" s="5">
        <v>19.2698273519351</v>
      </c>
    </row>
    <row r="5061" ht="14.25" customHeight="1">
      <c r="A5061" s="4"/>
      <c r="B5061" s="4" t="s">
        <v>7279</v>
      </c>
      <c r="C5061" s="4" t="s">
        <v>7425</v>
      </c>
      <c r="D5061" s="4" t="s">
        <v>7426</v>
      </c>
      <c r="E5061" s="5">
        <v>55.889231180598294</v>
      </c>
    </row>
    <row r="5062" ht="14.25" customHeight="1">
      <c r="A5062" s="4"/>
      <c r="B5062" s="4" t="s">
        <v>7279</v>
      </c>
      <c r="C5062" s="4" t="s">
        <v>1183</v>
      </c>
      <c r="D5062" s="4" t="s">
        <v>7280</v>
      </c>
      <c r="E5062" s="5">
        <v>186.01196020749998</v>
      </c>
    </row>
    <row r="5063" ht="14.25" customHeight="1">
      <c r="A5063" s="4"/>
      <c r="B5063" s="4" t="s">
        <v>7279</v>
      </c>
      <c r="C5063" s="4" t="s">
        <v>4709</v>
      </c>
      <c r="D5063" s="4" t="s">
        <v>7280</v>
      </c>
      <c r="E5063" s="5">
        <v>186.01196020749998</v>
      </c>
    </row>
    <row r="5064" ht="14.25" customHeight="1">
      <c r="A5064" s="4"/>
      <c r="B5064" s="4" t="s">
        <v>7279</v>
      </c>
      <c r="C5064" s="4" t="s">
        <v>7427</v>
      </c>
      <c r="D5064" s="4" t="s">
        <v>7428</v>
      </c>
      <c r="E5064" s="5">
        <v>50.2906296018266</v>
      </c>
    </row>
    <row r="5065" ht="14.25" customHeight="1">
      <c r="A5065" s="4"/>
      <c r="B5065" s="4" t="s">
        <v>7279</v>
      </c>
      <c r="C5065" s="4" t="s">
        <v>3790</v>
      </c>
      <c r="D5065" s="4" t="s">
        <v>7284</v>
      </c>
      <c r="E5065" s="5">
        <v>65.1041860726253</v>
      </c>
    </row>
    <row r="5066" ht="14.25" customHeight="1">
      <c r="A5066" s="4"/>
      <c r="B5066" s="4" t="s">
        <v>7279</v>
      </c>
      <c r="C5066" s="4" t="s">
        <v>5483</v>
      </c>
      <c r="D5066" s="4" t="s">
        <v>7429</v>
      </c>
      <c r="E5066" s="5">
        <v>149.045190046372</v>
      </c>
    </row>
    <row r="5067" ht="14.25" customHeight="1">
      <c r="A5067" s="4"/>
      <c r="B5067" s="4" t="s">
        <v>7279</v>
      </c>
      <c r="C5067" s="4" t="s">
        <v>3349</v>
      </c>
      <c r="D5067" s="4" t="s">
        <v>7430</v>
      </c>
      <c r="E5067" s="5">
        <v>88.5292715932287</v>
      </c>
    </row>
    <row r="5068" ht="14.25" customHeight="1">
      <c r="A5068" s="4"/>
      <c r="B5068" s="4" t="s">
        <v>7279</v>
      </c>
      <c r="C5068" s="4" t="s">
        <v>7431</v>
      </c>
      <c r="D5068" s="4" t="s">
        <v>7280</v>
      </c>
      <c r="E5068" s="5">
        <v>186.01196020749998</v>
      </c>
    </row>
    <row r="5069" ht="14.25" customHeight="1">
      <c r="A5069" s="4"/>
      <c r="B5069" s="4" t="s">
        <v>7279</v>
      </c>
      <c r="C5069" s="4" t="s">
        <v>7235</v>
      </c>
      <c r="D5069" s="4" t="s">
        <v>7432</v>
      </c>
      <c r="E5069" s="5">
        <v>9.40959797999323</v>
      </c>
    </row>
    <row r="5070" ht="14.25" customHeight="1">
      <c r="A5070" s="4"/>
      <c r="B5070" s="4" t="s">
        <v>7279</v>
      </c>
      <c r="C5070" s="4" t="s">
        <v>3585</v>
      </c>
      <c r="D5070" s="4" t="s">
        <v>7433</v>
      </c>
      <c r="E5070" s="5">
        <v>18.60119602075</v>
      </c>
    </row>
    <row r="5071" ht="14.25" customHeight="1">
      <c r="A5071" s="4"/>
      <c r="B5071" s="4" t="s">
        <v>7279</v>
      </c>
      <c r="C5071" s="4" t="s">
        <v>3110</v>
      </c>
      <c r="D5071" s="4" t="s">
        <v>7434</v>
      </c>
      <c r="E5071" s="5">
        <v>9.38946164754019</v>
      </c>
    </row>
    <row r="5072" ht="14.25" customHeight="1">
      <c r="A5072" s="4"/>
      <c r="B5072" s="4" t="s">
        <v>7279</v>
      </c>
      <c r="C5072" s="4" t="s">
        <v>1171</v>
      </c>
      <c r="D5072" s="4" t="s">
        <v>7280</v>
      </c>
      <c r="E5072" s="5">
        <v>186.01196020749998</v>
      </c>
    </row>
    <row r="5073" ht="14.25" customHeight="1">
      <c r="A5073" s="4"/>
      <c r="B5073" s="4" t="s">
        <v>7279</v>
      </c>
      <c r="C5073" s="4" t="s">
        <v>2076</v>
      </c>
      <c r="D5073" s="4" t="s">
        <v>7435</v>
      </c>
      <c r="E5073" s="5">
        <v>46.846689956826104</v>
      </c>
    </row>
    <row r="5074" ht="14.25" customHeight="1">
      <c r="A5074" s="4"/>
      <c r="B5074" s="4" t="s">
        <v>7279</v>
      </c>
      <c r="C5074" s="4" t="s">
        <v>4518</v>
      </c>
      <c r="D5074" s="4" t="s">
        <v>7436</v>
      </c>
      <c r="E5074" s="5">
        <v>173.842074092107</v>
      </c>
    </row>
    <row r="5075" ht="14.25" customHeight="1">
      <c r="A5075" s="4"/>
      <c r="B5075" s="4" t="s">
        <v>7279</v>
      </c>
      <c r="C5075" s="4" t="s">
        <v>7135</v>
      </c>
      <c r="D5075" s="4" t="s">
        <v>7284</v>
      </c>
      <c r="E5075" s="5">
        <v>65.1041860726253</v>
      </c>
    </row>
    <row r="5076" ht="14.25" customHeight="1">
      <c r="A5076" s="4"/>
      <c r="B5076" s="4" t="s">
        <v>7279</v>
      </c>
      <c r="C5076" s="4" t="s">
        <v>7018</v>
      </c>
      <c r="D5076" s="4" t="s">
        <v>7437</v>
      </c>
      <c r="E5076" s="5">
        <v>148.809568166</v>
      </c>
    </row>
    <row r="5077" ht="14.25" customHeight="1">
      <c r="A5077" s="4"/>
      <c r="B5077" s="4" t="s">
        <v>7279</v>
      </c>
      <c r="C5077" s="4" t="s">
        <v>5205</v>
      </c>
      <c r="D5077" s="4" t="s">
        <v>7438</v>
      </c>
      <c r="E5077" s="5">
        <v>46.7558136995943</v>
      </c>
    </row>
    <row r="5078" ht="14.25" customHeight="1">
      <c r="A5078" s="4"/>
      <c r="B5078" s="4" t="s">
        <v>7279</v>
      </c>
      <c r="C5078" s="4" t="s">
        <v>5337</v>
      </c>
      <c r="D5078" s="4" t="s">
        <v>7291</v>
      </c>
      <c r="E5078" s="5">
        <v>9.30059801037504</v>
      </c>
    </row>
    <row r="5079" ht="14.25" customHeight="1">
      <c r="A5079" s="4"/>
      <c r="B5079" s="4" t="s">
        <v>7279</v>
      </c>
      <c r="C5079" s="4" t="s">
        <v>1069</v>
      </c>
      <c r="D5079" s="4" t="s">
        <v>7280</v>
      </c>
      <c r="E5079" s="5">
        <v>186.01196020749998</v>
      </c>
    </row>
    <row r="5080" ht="14.25" customHeight="1">
      <c r="A5080" s="4"/>
      <c r="B5080" s="4" t="s">
        <v>7279</v>
      </c>
      <c r="C5080" s="4" t="s">
        <v>7439</v>
      </c>
      <c r="D5080" s="4" t="s">
        <v>7440</v>
      </c>
      <c r="E5080" s="5">
        <v>56.7336478632877</v>
      </c>
    </row>
    <row r="5081" ht="14.25" customHeight="1">
      <c r="A5081" s="4"/>
      <c r="B5081" s="4" t="s">
        <v>7279</v>
      </c>
      <c r="C5081" s="4" t="s">
        <v>7441</v>
      </c>
      <c r="D5081" s="4" t="s">
        <v>7442</v>
      </c>
      <c r="E5081" s="5">
        <v>0.924854717714783</v>
      </c>
    </row>
    <row r="5082" ht="14.25" customHeight="1">
      <c r="A5082" s="4"/>
      <c r="B5082" s="4" t="s">
        <v>7279</v>
      </c>
      <c r="C5082" s="4" t="s">
        <v>3732</v>
      </c>
      <c r="D5082" s="4" t="s">
        <v>7443</v>
      </c>
      <c r="E5082" s="5">
        <v>95.5208159093507</v>
      </c>
    </row>
    <row r="5083" ht="14.25" customHeight="1">
      <c r="A5083" s="4"/>
      <c r="B5083" s="4" t="s">
        <v>7279</v>
      </c>
      <c r="C5083" s="4" t="s">
        <v>7444</v>
      </c>
      <c r="D5083" s="4" t="s">
        <v>7369</v>
      </c>
      <c r="E5083" s="5">
        <v>93.0059801037504</v>
      </c>
    </row>
    <row r="5084" ht="14.25" customHeight="1">
      <c r="A5084" s="4"/>
      <c r="B5084" s="4" t="s">
        <v>7279</v>
      </c>
      <c r="C5084" s="4" t="s">
        <v>7445</v>
      </c>
      <c r="D5084" s="4" t="s">
        <v>7291</v>
      </c>
      <c r="E5084" s="5">
        <v>9.30059801037504</v>
      </c>
    </row>
    <row r="5085" ht="14.25" customHeight="1">
      <c r="A5085" s="4"/>
      <c r="B5085" s="4" t="s">
        <v>7279</v>
      </c>
      <c r="C5085" s="4" t="s">
        <v>3018</v>
      </c>
      <c r="D5085" s="4" t="s">
        <v>7280</v>
      </c>
      <c r="E5085" s="5">
        <v>186.01196020749998</v>
      </c>
    </row>
    <row r="5086" ht="14.25" customHeight="1">
      <c r="A5086" s="4"/>
      <c r="B5086" s="4" t="s">
        <v>7279</v>
      </c>
      <c r="C5086" s="4" t="s">
        <v>7446</v>
      </c>
      <c r="D5086" s="4" t="s">
        <v>7447</v>
      </c>
      <c r="E5086" s="5">
        <v>33.161981944196505</v>
      </c>
    </row>
    <row r="5087" ht="14.25" customHeight="1">
      <c r="A5087" s="4"/>
      <c r="B5087" s="4" t="s">
        <v>7279</v>
      </c>
      <c r="C5087" s="4" t="s">
        <v>4424</v>
      </c>
      <c r="D5087" s="4" t="s">
        <v>7448</v>
      </c>
      <c r="E5087" s="5">
        <v>111.96941004889499</v>
      </c>
    </row>
    <row r="5088" ht="14.25" customHeight="1">
      <c r="A5088" s="4"/>
      <c r="B5088" s="4" t="s">
        <v>7279</v>
      </c>
      <c r="C5088" s="4" t="s">
        <v>1146</v>
      </c>
      <c r="D5088" s="4" t="s">
        <v>7280</v>
      </c>
      <c r="E5088" s="5">
        <v>186.01196020749998</v>
      </c>
    </row>
    <row r="5089" ht="14.25" customHeight="1">
      <c r="A5089" s="4"/>
      <c r="B5089" s="4" t="s">
        <v>7279</v>
      </c>
      <c r="C5089" s="4" t="s">
        <v>4990</v>
      </c>
      <c r="D5089" s="4" t="s">
        <v>7280</v>
      </c>
      <c r="E5089" s="5">
        <v>186.01196020749998</v>
      </c>
    </row>
    <row r="5090" ht="14.25" customHeight="1">
      <c r="A5090" s="4"/>
      <c r="B5090" s="4" t="s">
        <v>7279</v>
      </c>
      <c r="C5090" s="4" t="s">
        <v>373</v>
      </c>
      <c r="D5090" s="4" t="s">
        <v>7449</v>
      </c>
      <c r="E5090" s="5">
        <v>177.67235363726</v>
      </c>
    </row>
    <row r="5091" ht="14.25" customHeight="1">
      <c r="A5091" s="4"/>
      <c r="B5091" s="4" t="s">
        <v>7279</v>
      </c>
      <c r="C5091" s="4" t="s">
        <v>2957</v>
      </c>
      <c r="D5091" s="4" t="s">
        <v>7450</v>
      </c>
      <c r="E5091" s="5">
        <v>8.95998758646837</v>
      </c>
    </row>
    <row r="5092" ht="14.25" customHeight="1">
      <c r="A5092" s="4"/>
      <c r="B5092" s="4" t="s">
        <v>7279</v>
      </c>
      <c r="C5092" s="4" t="s">
        <v>6736</v>
      </c>
      <c r="D5092" s="4" t="s">
        <v>7451</v>
      </c>
      <c r="E5092" s="5">
        <v>139.036650782235</v>
      </c>
    </row>
    <row r="5093" ht="14.25" customHeight="1">
      <c r="A5093" s="4"/>
      <c r="B5093" s="4" t="s">
        <v>7279</v>
      </c>
      <c r="C5093" s="4" t="s">
        <v>3854</v>
      </c>
      <c r="D5093" s="4" t="s">
        <v>7280</v>
      </c>
      <c r="E5093" s="5">
        <v>186.01196020749998</v>
      </c>
    </row>
    <row r="5094" ht="14.25" customHeight="1">
      <c r="A5094" s="4"/>
      <c r="B5094" s="4" t="s">
        <v>7279</v>
      </c>
      <c r="C5094" s="4" t="s">
        <v>7452</v>
      </c>
      <c r="D5094" s="4" t="s">
        <v>7377</v>
      </c>
      <c r="E5094" s="5">
        <v>46.5029900518752</v>
      </c>
    </row>
    <row r="5095" ht="14.25" customHeight="1">
      <c r="A5095" s="4"/>
      <c r="B5095" s="4" t="s">
        <v>7279</v>
      </c>
      <c r="C5095" s="4" t="s">
        <v>7453</v>
      </c>
      <c r="D5095" s="4" t="s">
        <v>7280</v>
      </c>
      <c r="E5095" s="5">
        <v>186.01196020749998</v>
      </c>
    </row>
    <row r="5096" ht="14.25" customHeight="1">
      <c r="A5096" s="4"/>
      <c r="B5096" s="4" t="s">
        <v>7279</v>
      </c>
      <c r="C5096" s="4" t="s">
        <v>3042</v>
      </c>
      <c r="D5096" s="4" t="s">
        <v>7454</v>
      </c>
      <c r="E5096" s="5">
        <v>65.4315108331392</v>
      </c>
    </row>
    <row r="5097" ht="14.25" customHeight="1">
      <c r="A5097" s="4"/>
      <c r="B5097" s="4" t="s">
        <v>7279</v>
      </c>
      <c r="C5097" s="4" t="s">
        <v>5055</v>
      </c>
      <c r="D5097" s="4" t="s">
        <v>7455</v>
      </c>
      <c r="E5097" s="5">
        <v>29.9479255934076</v>
      </c>
    </row>
    <row r="5098" ht="14.25" customHeight="1">
      <c r="A5098" s="4"/>
      <c r="B5098" s="4" t="s">
        <v>7279</v>
      </c>
      <c r="C5098" s="4" t="s">
        <v>7456</v>
      </c>
      <c r="D5098" s="4" t="s">
        <v>7457</v>
      </c>
      <c r="E5098" s="5">
        <v>57.2845961573482</v>
      </c>
    </row>
    <row r="5099" ht="14.25" customHeight="1">
      <c r="A5099" s="4"/>
      <c r="B5099" s="4" t="s">
        <v>7279</v>
      </c>
      <c r="C5099" s="4" t="s">
        <v>1845</v>
      </c>
      <c r="D5099" s="4" t="s">
        <v>7458</v>
      </c>
      <c r="E5099" s="5">
        <v>14.8264680762139</v>
      </c>
    </row>
    <row r="5100" ht="14.25" customHeight="1">
      <c r="A5100" s="4"/>
      <c r="B5100" s="4" t="s">
        <v>7279</v>
      </c>
      <c r="C5100" s="4" t="s">
        <v>1576</v>
      </c>
      <c r="D5100" s="4" t="s">
        <v>7280</v>
      </c>
      <c r="E5100" s="5">
        <v>186.01196020749998</v>
      </c>
    </row>
    <row r="5101" ht="14.25" customHeight="1">
      <c r="A5101" s="4"/>
      <c r="B5101" s="4" t="s">
        <v>7279</v>
      </c>
      <c r="C5101" s="4" t="s">
        <v>2478</v>
      </c>
      <c r="D5101" s="4" t="s">
        <v>7280</v>
      </c>
      <c r="E5101" s="5">
        <v>186.01196020749998</v>
      </c>
    </row>
    <row r="5102" ht="14.25" customHeight="1">
      <c r="A5102" s="4"/>
      <c r="B5102" s="4" t="s">
        <v>7279</v>
      </c>
      <c r="C5102" s="4" t="s">
        <v>6022</v>
      </c>
      <c r="D5102" s="4" t="s">
        <v>7284</v>
      </c>
      <c r="E5102" s="5">
        <v>65.1041860726253</v>
      </c>
    </row>
    <row r="5103" ht="14.25" customHeight="1">
      <c r="A5103" s="4"/>
      <c r="B5103" s="4" t="s">
        <v>7279</v>
      </c>
      <c r="C5103" s="4" t="s">
        <v>3071</v>
      </c>
      <c r="D5103" s="4" t="s">
        <v>7459</v>
      </c>
      <c r="E5103" s="5">
        <v>10.2306578114125</v>
      </c>
    </row>
    <row r="5104" ht="14.25" customHeight="1">
      <c r="A5104" s="4"/>
      <c r="B5104" s="4" t="s">
        <v>7279</v>
      </c>
      <c r="C5104" s="4" t="s">
        <v>4472</v>
      </c>
      <c r="D5104" s="4" t="s">
        <v>7460</v>
      </c>
      <c r="E5104" s="5">
        <v>25.838807492650403</v>
      </c>
    </row>
    <row r="5105" ht="14.25" customHeight="1">
      <c r="A5105" s="4"/>
      <c r="B5105" s="4" t="s">
        <v>7279</v>
      </c>
      <c r="C5105" s="4" t="s">
        <v>7461</v>
      </c>
      <c r="D5105" s="4" t="s">
        <v>7280</v>
      </c>
      <c r="E5105" s="5">
        <v>186.01196020749998</v>
      </c>
    </row>
    <row r="5106" ht="14.25" customHeight="1">
      <c r="A5106" s="4"/>
      <c r="B5106" s="4" t="s">
        <v>7279</v>
      </c>
      <c r="C5106" s="4" t="s">
        <v>6951</v>
      </c>
      <c r="D5106" s="4" t="s">
        <v>7369</v>
      </c>
      <c r="E5106" s="5">
        <v>93.0059801037504</v>
      </c>
    </row>
    <row r="5107" ht="14.25" customHeight="1">
      <c r="A5107" s="4"/>
      <c r="B5107" s="4" t="s">
        <v>7279</v>
      </c>
      <c r="C5107" s="4" t="s">
        <v>2476</v>
      </c>
      <c r="D5107" s="4" t="s">
        <v>7462</v>
      </c>
      <c r="E5107" s="5">
        <v>6.8228789009557405</v>
      </c>
    </row>
    <row r="5108" ht="14.25" customHeight="1">
      <c r="A5108" s="4"/>
      <c r="B5108" s="4" t="s">
        <v>7279</v>
      </c>
      <c r="C5108" s="4" t="s">
        <v>7463</v>
      </c>
      <c r="D5108" s="4" t="s">
        <v>7280</v>
      </c>
      <c r="E5108" s="5">
        <v>186.01196020749998</v>
      </c>
    </row>
    <row r="5109" ht="14.25" customHeight="1">
      <c r="A5109" s="4"/>
      <c r="B5109" s="4" t="s">
        <v>7279</v>
      </c>
      <c r="C5109" s="4" t="s">
        <v>1485</v>
      </c>
      <c r="D5109" s="4" t="s">
        <v>7280</v>
      </c>
      <c r="E5109" s="5">
        <v>186.01196020749998</v>
      </c>
    </row>
    <row r="5110" ht="14.25" customHeight="1">
      <c r="A5110" s="4"/>
      <c r="B5110" s="4" t="s">
        <v>7279</v>
      </c>
      <c r="C5110" s="4" t="s">
        <v>4732</v>
      </c>
      <c r="D5110" s="4" t="s">
        <v>7464</v>
      </c>
      <c r="E5110" s="5">
        <v>9.504918324254088</v>
      </c>
    </row>
    <row r="5111" ht="14.25" customHeight="1">
      <c r="A5111" s="4"/>
      <c r="B5111" s="4" t="s">
        <v>7279</v>
      </c>
      <c r="C5111" s="4" t="s">
        <v>7465</v>
      </c>
      <c r="D5111" s="4" t="s">
        <v>7280</v>
      </c>
      <c r="E5111" s="5">
        <v>186.01196020749998</v>
      </c>
    </row>
    <row r="5112" ht="14.25" customHeight="1">
      <c r="A5112" s="4"/>
      <c r="B5112" s="4" t="s">
        <v>7279</v>
      </c>
      <c r="C5112" s="4" t="s">
        <v>4309</v>
      </c>
      <c r="D5112" s="4" t="s">
        <v>7466</v>
      </c>
      <c r="E5112" s="5">
        <v>158.541900811623</v>
      </c>
    </row>
    <row r="5113" ht="14.25" customHeight="1">
      <c r="A5113" s="4"/>
      <c r="B5113" s="4" t="s">
        <v>7279</v>
      </c>
      <c r="C5113" s="4" t="s">
        <v>7467</v>
      </c>
      <c r="D5113" s="4" t="s">
        <v>7433</v>
      </c>
      <c r="E5113" s="5">
        <v>18.60119602075</v>
      </c>
    </row>
    <row r="5114" ht="14.25" customHeight="1">
      <c r="A5114" s="4"/>
      <c r="B5114" s="4" t="s">
        <v>7279</v>
      </c>
      <c r="C5114" s="4" t="s">
        <v>6272</v>
      </c>
      <c r="D5114" s="4" t="s">
        <v>7291</v>
      </c>
      <c r="E5114" s="5">
        <v>9.30059801037504</v>
      </c>
    </row>
    <row r="5115" ht="14.25" customHeight="1">
      <c r="A5115" s="4"/>
      <c r="B5115" s="4" t="s">
        <v>7279</v>
      </c>
      <c r="C5115" s="4" t="s">
        <v>1517</v>
      </c>
      <c r="D5115" s="4" t="s">
        <v>7280</v>
      </c>
      <c r="E5115" s="5">
        <v>186.01196020749998</v>
      </c>
    </row>
    <row r="5116" ht="14.25" customHeight="1">
      <c r="A5116" s="4"/>
      <c r="B5116" s="4" t="s">
        <v>7279</v>
      </c>
      <c r="C5116" s="4" t="s">
        <v>2028</v>
      </c>
      <c r="D5116" s="4" t="s">
        <v>7284</v>
      </c>
      <c r="E5116" s="5">
        <v>65.1041860726253</v>
      </c>
    </row>
    <row r="5117" ht="14.25" customHeight="1">
      <c r="A5117" s="4"/>
      <c r="B5117" s="4" t="s">
        <v>7279</v>
      </c>
      <c r="C5117" s="4" t="s">
        <v>5049</v>
      </c>
      <c r="D5117" s="4" t="s">
        <v>7468</v>
      </c>
      <c r="E5117" s="5">
        <v>19.7319634329358</v>
      </c>
    </row>
    <row r="5118" ht="14.25" customHeight="1">
      <c r="A5118" s="4"/>
      <c r="B5118" s="4" t="s">
        <v>7279</v>
      </c>
      <c r="C5118" s="4" t="s">
        <v>7183</v>
      </c>
      <c r="D5118" s="4" t="s">
        <v>7469</v>
      </c>
      <c r="E5118" s="5">
        <v>5.330300920059541</v>
      </c>
    </row>
    <row r="5119" ht="14.25" customHeight="1">
      <c r="A5119" s="4"/>
      <c r="B5119" s="4" t="s">
        <v>7279</v>
      </c>
      <c r="C5119" s="4" t="s">
        <v>7151</v>
      </c>
      <c r="D5119" s="4" t="s">
        <v>7470</v>
      </c>
      <c r="E5119" s="5">
        <v>88.6339134445197</v>
      </c>
    </row>
    <row r="5120" ht="14.25" customHeight="1">
      <c r="A5120" s="4"/>
      <c r="B5120" s="4" t="s">
        <v>7279</v>
      </c>
      <c r="C5120" s="4" t="s">
        <v>7471</v>
      </c>
      <c r="D5120" s="4" t="s">
        <v>7472</v>
      </c>
      <c r="E5120" s="5">
        <v>18.715789344156</v>
      </c>
    </row>
    <row r="5121" ht="14.25" customHeight="1">
      <c r="A5121" s="4"/>
      <c r="B5121" s="4" t="s">
        <v>7279</v>
      </c>
      <c r="C5121" s="4" t="s">
        <v>4555</v>
      </c>
      <c r="D5121" s="4" t="s">
        <v>7473</v>
      </c>
      <c r="E5121" s="5">
        <v>48.889611182167094</v>
      </c>
    </row>
    <row r="5122" ht="14.25" customHeight="1">
      <c r="A5122" s="4"/>
      <c r="B5122" s="4" t="s">
        <v>7279</v>
      </c>
      <c r="C5122" s="4" t="s">
        <v>7474</v>
      </c>
      <c r="D5122" s="4" t="s">
        <v>7475</v>
      </c>
      <c r="E5122" s="5">
        <v>54.5027956800963</v>
      </c>
    </row>
    <row r="5123" ht="14.25" customHeight="1">
      <c r="A5123" s="4"/>
      <c r="B5123" s="4" t="s">
        <v>7279</v>
      </c>
      <c r="C5123" s="4" t="s">
        <v>3576</v>
      </c>
      <c r="D5123" s="4" t="s">
        <v>7476</v>
      </c>
      <c r="E5123" s="5">
        <v>18.610579756806</v>
      </c>
    </row>
    <row r="5124" ht="14.25" customHeight="1">
      <c r="A5124" s="4"/>
      <c r="B5124" s="4" t="s">
        <v>7279</v>
      </c>
      <c r="C5124" s="4" t="s">
        <v>7477</v>
      </c>
      <c r="D5124" s="4" t="s">
        <v>7478</v>
      </c>
      <c r="E5124" s="5">
        <v>9.06028104026804</v>
      </c>
    </row>
    <row r="5125" ht="14.25" customHeight="1">
      <c r="A5125" s="4"/>
      <c r="B5125" s="4" t="s">
        <v>7279</v>
      </c>
      <c r="C5125" s="4" t="s">
        <v>4354</v>
      </c>
      <c r="D5125" s="4" t="s">
        <v>7284</v>
      </c>
      <c r="E5125" s="5">
        <v>65.1041860726253</v>
      </c>
    </row>
    <row r="5126" ht="14.25" customHeight="1">
      <c r="A5126" s="4"/>
      <c r="B5126" s="4" t="s">
        <v>7279</v>
      </c>
      <c r="C5126" s="4" t="s">
        <v>7479</v>
      </c>
      <c r="D5126" s="4" t="s">
        <v>7280</v>
      </c>
      <c r="E5126" s="5">
        <v>186.01196020749998</v>
      </c>
    </row>
    <row r="5127" ht="14.25" customHeight="1">
      <c r="A5127" s="4"/>
      <c r="B5127" s="4" t="s">
        <v>7279</v>
      </c>
      <c r="C5127" s="4" t="s">
        <v>7480</v>
      </c>
      <c r="D5127" s="4" t="s">
        <v>7305</v>
      </c>
      <c r="E5127" s="5">
        <v>55.8035880622502</v>
      </c>
    </row>
    <row r="5128" ht="14.25" customHeight="1">
      <c r="A5128" s="4"/>
      <c r="B5128" s="4" t="s">
        <v>7279</v>
      </c>
      <c r="C5128" s="4" t="s">
        <v>1963</v>
      </c>
      <c r="D5128" s="4" t="s">
        <v>7481</v>
      </c>
      <c r="E5128" s="5">
        <v>21.1919760409518</v>
      </c>
    </row>
    <row r="5129" ht="14.25" customHeight="1">
      <c r="A5129" s="4"/>
      <c r="B5129" s="4" t="s">
        <v>7279</v>
      </c>
      <c r="C5129" s="4" t="s">
        <v>4277</v>
      </c>
      <c r="D5129" s="4" t="s">
        <v>7482</v>
      </c>
      <c r="E5129" s="5">
        <v>148.69453667410198</v>
      </c>
    </row>
    <row r="5130" ht="14.25" customHeight="1">
      <c r="A5130" s="4"/>
      <c r="B5130" s="4" t="s">
        <v>7279</v>
      </c>
      <c r="C5130" s="4" t="s">
        <v>4569</v>
      </c>
      <c r="D5130" s="4" t="s">
        <v>7483</v>
      </c>
      <c r="E5130" s="5">
        <v>70.5759705873724</v>
      </c>
    </row>
    <row r="5131" ht="14.25" customHeight="1">
      <c r="A5131" s="4"/>
      <c r="B5131" s="4" t="s">
        <v>7279</v>
      </c>
      <c r="C5131" s="4" t="s">
        <v>2749</v>
      </c>
      <c r="D5131" s="4" t="s">
        <v>7484</v>
      </c>
      <c r="E5131" s="5">
        <v>27.4515347201243</v>
      </c>
    </row>
    <row r="5132" ht="14.25" customHeight="1">
      <c r="A5132" s="4"/>
      <c r="B5132" s="4" t="s">
        <v>7279</v>
      </c>
      <c r="C5132" s="4" t="s">
        <v>742</v>
      </c>
      <c r="D5132" s="4" t="s">
        <v>7280</v>
      </c>
      <c r="E5132" s="5">
        <v>186.01196020749998</v>
      </c>
    </row>
    <row r="5133" ht="14.25" customHeight="1">
      <c r="A5133" s="4"/>
      <c r="B5133" s="4" t="s">
        <v>7279</v>
      </c>
      <c r="C5133" s="4" t="s">
        <v>7485</v>
      </c>
      <c r="D5133" s="4" t="s">
        <v>7280</v>
      </c>
      <c r="E5133" s="5">
        <v>186.01196020749998</v>
      </c>
    </row>
    <row r="5134" ht="14.25" customHeight="1">
      <c r="A5134" s="4"/>
      <c r="B5134" s="4" t="s">
        <v>7279</v>
      </c>
      <c r="C5134" s="4" t="s">
        <v>6447</v>
      </c>
      <c r="D5134" s="4" t="s">
        <v>7415</v>
      </c>
      <c r="E5134" s="5">
        <v>139.508970155625</v>
      </c>
    </row>
    <row r="5135" ht="14.25" customHeight="1">
      <c r="A5135" s="4"/>
      <c r="B5135" s="4" t="s">
        <v>7279</v>
      </c>
      <c r="C5135" s="4" t="s">
        <v>7092</v>
      </c>
      <c r="D5135" s="4" t="s">
        <v>7291</v>
      </c>
      <c r="E5135" s="5">
        <v>9.30059801037504</v>
      </c>
    </row>
    <row r="5136" ht="14.25" customHeight="1">
      <c r="A5136" s="4"/>
      <c r="B5136" s="4" t="s">
        <v>7279</v>
      </c>
      <c r="C5136" s="4" t="s">
        <v>5382</v>
      </c>
      <c r="D5136" s="4" t="s">
        <v>7291</v>
      </c>
      <c r="E5136" s="5">
        <v>9.30059801037504</v>
      </c>
    </row>
    <row r="5137" ht="14.25" customHeight="1">
      <c r="A5137" s="4"/>
      <c r="B5137" s="4" t="s">
        <v>7279</v>
      </c>
      <c r="C5137" s="4" t="s">
        <v>3770</v>
      </c>
      <c r="D5137" s="4" t="s">
        <v>7486</v>
      </c>
      <c r="E5137" s="5">
        <v>4.20413287461451</v>
      </c>
    </row>
    <row r="5138" ht="14.25" customHeight="1">
      <c r="A5138" s="4"/>
      <c r="B5138" s="4" t="s">
        <v>7279</v>
      </c>
      <c r="C5138" s="4" t="s">
        <v>4729</v>
      </c>
      <c r="D5138" s="4" t="s">
        <v>7487</v>
      </c>
      <c r="E5138" s="5">
        <v>48.1669642171358</v>
      </c>
    </row>
    <row r="5139" ht="14.25" customHeight="1">
      <c r="A5139" s="4"/>
      <c r="B5139" s="4" t="s">
        <v>7279</v>
      </c>
      <c r="C5139" s="4" t="s">
        <v>2384</v>
      </c>
      <c r="D5139" s="4" t="s">
        <v>7488</v>
      </c>
      <c r="E5139" s="5">
        <v>10.328501489014801</v>
      </c>
    </row>
    <row r="5140" ht="14.25" customHeight="1">
      <c r="A5140" s="4"/>
      <c r="B5140" s="4" t="s">
        <v>7279</v>
      </c>
      <c r="C5140" s="4" t="s">
        <v>5384</v>
      </c>
      <c r="D5140" s="4" t="s">
        <v>7489</v>
      </c>
      <c r="E5140" s="5">
        <v>66.3891566937387</v>
      </c>
    </row>
    <row r="5141" ht="14.25" customHeight="1">
      <c r="A5141" s="4"/>
      <c r="B5141" s="4" t="s">
        <v>7279</v>
      </c>
      <c r="C5141" s="4" t="s">
        <v>6825</v>
      </c>
      <c r="D5141" s="4" t="s">
        <v>7490</v>
      </c>
      <c r="E5141" s="5">
        <v>29.6416011866236</v>
      </c>
    </row>
    <row r="5142" ht="14.25" customHeight="1">
      <c r="A5142" s="4"/>
      <c r="B5142" s="4" t="s">
        <v>7279</v>
      </c>
      <c r="C5142" s="4" t="s">
        <v>3952</v>
      </c>
      <c r="D5142" s="4" t="s">
        <v>7280</v>
      </c>
      <c r="E5142" s="5">
        <v>186.01196020749998</v>
      </c>
    </row>
    <row r="5143" ht="14.25" customHeight="1">
      <c r="A5143" s="4"/>
      <c r="B5143" s="4" t="s">
        <v>7279</v>
      </c>
      <c r="C5143" s="4" t="s">
        <v>7491</v>
      </c>
      <c r="D5143" s="4" t="s">
        <v>7492</v>
      </c>
      <c r="E5143" s="5">
        <v>113.786959227398</v>
      </c>
    </row>
    <row r="5144" ht="14.25" customHeight="1">
      <c r="A5144" s="4"/>
      <c r="B5144" s="4" t="s">
        <v>7279</v>
      </c>
      <c r="C5144" s="4" t="s">
        <v>4862</v>
      </c>
      <c r="D5144" s="4" t="s">
        <v>7284</v>
      </c>
      <c r="E5144" s="5">
        <v>65.1041860726253</v>
      </c>
    </row>
    <row r="5145" ht="14.25" customHeight="1">
      <c r="A5145" s="4"/>
      <c r="B5145" s="4" t="s">
        <v>7279</v>
      </c>
      <c r="C5145" s="4" t="s">
        <v>6501</v>
      </c>
      <c r="D5145" s="4" t="s">
        <v>7493</v>
      </c>
      <c r="E5145" s="5">
        <v>107.348376116775</v>
      </c>
    </row>
    <row r="5146" ht="14.25" customHeight="1">
      <c r="A5146" s="4"/>
      <c r="B5146" s="4" t="s">
        <v>7279</v>
      </c>
      <c r="C5146" s="4" t="s">
        <v>6717</v>
      </c>
      <c r="D5146" s="4" t="s">
        <v>7494</v>
      </c>
      <c r="E5146" s="5">
        <v>34.212313374835105</v>
      </c>
    </row>
    <row r="5147" ht="14.25" customHeight="1">
      <c r="A5147" s="4"/>
      <c r="B5147" s="4" t="s">
        <v>7279</v>
      </c>
      <c r="C5147" s="4" t="s">
        <v>3680</v>
      </c>
      <c r="D5147" s="4" t="s">
        <v>7495</v>
      </c>
      <c r="E5147" s="5">
        <v>0.0947796504613059</v>
      </c>
    </row>
    <row r="5148" ht="14.25" customHeight="1">
      <c r="A5148" s="4"/>
      <c r="B5148" s="4" t="s">
        <v>7279</v>
      </c>
      <c r="C5148" s="4" t="s">
        <v>7496</v>
      </c>
      <c r="D5148" s="4" t="s">
        <v>7497</v>
      </c>
      <c r="E5148" s="5">
        <v>60.4194126286664</v>
      </c>
    </row>
    <row r="5149" ht="14.25" customHeight="1">
      <c r="A5149" s="4"/>
      <c r="B5149" s="4" t="s">
        <v>7279</v>
      </c>
      <c r="C5149" s="4" t="s">
        <v>1527</v>
      </c>
      <c r="D5149" s="4" t="s">
        <v>7498</v>
      </c>
      <c r="E5149" s="5">
        <v>38.2487927892119</v>
      </c>
    </row>
    <row r="5150" ht="14.25" customHeight="1">
      <c r="A5150" s="4"/>
      <c r="B5150" s="4" t="s">
        <v>7279</v>
      </c>
      <c r="C5150" s="4" t="s">
        <v>3626</v>
      </c>
      <c r="D5150" s="4" t="s">
        <v>7499</v>
      </c>
      <c r="E5150" s="5">
        <v>62.4803967975109</v>
      </c>
    </row>
    <row r="5151" ht="14.25" customHeight="1">
      <c r="A5151" s="4"/>
      <c r="B5151" s="4" t="s">
        <v>7279</v>
      </c>
      <c r="C5151" s="4" t="s">
        <v>7500</v>
      </c>
      <c r="D5151" s="4" t="s">
        <v>7501</v>
      </c>
      <c r="E5151" s="5">
        <v>96.1172892335362</v>
      </c>
    </row>
    <row r="5152" ht="14.25" customHeight="1">
      <c r="A5152" s="4"/>
      <c r="B5152" s="4" t="s">
        <v>7279</v>
      </c>
      <c r="C5152" s="4" t="s">
        <v>6287</v>
      </c>
      <c r="D5152" s="4" t="s">
        <v>7291</v>
      </c>
      <c r="E5152" s="5">
        <v>9.30059801037504</v>
      </c>
    </row>
    <row r="5153" ht="14.25" customHeight="1">
      <c r="A5153" s="4"/>
      <c r="B5153" s="4" t="s">
        <v>7279</v>
      </c>
      <c r="C5153" s="4" t="s">
        <v>657</v>
      </c>
      <c r="D5153" s="4" t="s">
        <v>7502</v>
      </c>
      <c r="E5153" s="5">
        <v>15.4861266784325</v>
      </c>
    </row>
    <row r="5154" ht="14.25" customHeight="1">
      <c r="A5154" s="4"/>
      <c r="B5154" s="4" t="s">
        <v>7279</v>
      </c>
      <c r="C5154" s="4" t="s">
        <v>3167</v>
      </c>
      <c r="D5154" s="4" t="s">
        <v>7284</v>
      </c>
      <c r="E5154" s="5">
        <v>65.1041860726253</v>
      </c>
    </row>
    <row r="5155" ht="14.25" customHeight="1">
      <c r="A5155" s="4"/>
      <c r="B5155" s="4" t="s">
        <v>7279</v>
      </c>
      <c r="C5155" s="4" t="s">
        <v>3233</v>
      </c>
      <c r="D5155" s="4" t="s">
        <v>7503</v>
      </c>
      <c r="E5155" s="5">
        <v>9.608884366590539</v>
      </c>
    </row>
    <row r="5156" ht="14.25" customHeight="1">
      <c r="A5156" s="4"/>
      <c r="B5156" s="4" t="s">
        <v>7279</v>
      </c>
      <c r="C5156" s="4" t="s">
        <v>1472</v>
      </c>
      <c r="D5156" s="4" t="s">
        <v>7280</v>
      </c>
      <c r="E5156" s="5">
        <v>186.01196020749998</v>
      </c>
    </row>
    <row r="5157" ht="14.25" customHeight="1">
      <c r="A5157" s="4"/>
      <c r="B5157" s="4" t="s">
        <v>7279</v>
      </c>
      <c r="C5157" s="4" t="s">
        <v>534</v>
      </c>
      <c r="D5157" s="4" t="s">
        <v>7280</v>
      </c>
      <c r="E5157" s="5">
        <v>186.01196020749998</v>
      </c>
    </row>
    <row r="5158" ht="14.25" customHeight="1">
      <c r="A5158" s="4"/>
      <c r="B5158" s="4" t="s">
        <v>7279</v>
      </c>
      <c r="C5158" s="4" t="s">
        <v>2009</v>
      </c>
      <c r="D5158" s="4" t="s">
        <v>7504</v>
      </c>
      <c r="E5158" s="5">
        <v>6.03380222496701</v>
      </c>
    </row>
    <row r="5159" ht="14.25" customHeight="1">
      <c r="A5159" s="4"/>
      <c r="B5159" s="4" t="s">
        <v>7279</v>
      </c>
      <c r="C5159" s="4" t="s">
        <v>7264</v>
      </c>
      <c r="D5159" s="4" t="s">
        <v>7280</v>
      </c>
      <c r="E5159" s="5">
        <v>186.01196020749998</v>
      </c>
    </row>
    <row r="5160" ht="14.25" customHeight="1">
      <c r="A5160" s="4"/>
      <c r="B5160" s="4" t="s">
        <v>7279</v>
      </c>
      <c r="C5160" s="4" t="s">
        <v>1457</v>
      </c>
      <c r="D5160" s="4" t="s">
        <v>7505</v>
      </c>
      <c r="E5160" s="5">
        <v>103.443170327797</v>
      </c>
    </row>
    <row r="5161" ht="14.25" customHeight="1">
      <c r="A5161" s="4"/>
      <c r="B5161" s="4" t="s">
        <v>7279</v>
      </c>
      <c r="C5161" s="4" t="s">
        <v>7506</v>
      </c>
      <c r="D5161" s="4" t="s">
        <v>7507</v>
      </c>
      <c r="E5161" s="5">
        <v>45.7459386707601</v>
      </c>
    </row>
    <row r="5162" ht="14.25" customHeight="1">
      <c r="A5162" s="4"/>
      <c r="B5162" s="4" t="s">
        <v>7279</v>
      </c>
      <c r="C5162" s="4" t="s">
        <v>3773</v>
      </c>
      <c r="D5162" s="4" t="s">
        <v>7508</v>
      </c>
      <c r="E5162" s="5">
        <v>28.0056990334508</v>
      </c>
    </row>
    <row r="5163" ht="14.25" customHeight="1">
      <c r="A5163" s="4"/>
      <c r="B5163" s="4" t="s">
        <v>7279</v>
      </c>
      <c r="C5163" s="4" t="s">
        <v>6149</v>
      </c>
      <c r="D5163" s="4" t="s">
        <v>7509</v>
      </c>
      <c r="E5163" s="5">
        <v>60.4573660316366</v>
      </c>
    </row>
    <row r="5164" ht="14.25" customHeight="1">
      <c r="A5164" s="4"/>
      <c r="B5164" s="4" t="s">
        <v>7279</v>
      </c>
      <c r="C5164" s="4" t="s">
        <v>3582</v>
      </c>
      <c r="D5164" s="4" t="s">
        <v>7291</v>
      </c>
      <c r="E5164" s="5">
        <v>9.30059801037504</v>
      </c>
    </row>
    <row r="5165" ht="14.25" customHeight="1">
      <c r="A5165" s="4"/>
      <c r="B5165" s="4" t="s">
        <v>7279</v>
      </c>
      <c r="C5165" s="4" t="s">
        <v>2002</v>
      </c>
      <c r="D5165" s="4" t="s">
        <v>7280</v>
      </c>
      <c r="E5165" s="5">
        <v>186.01196020749998</v>
      </c>
    </row>
    <row r="5166" ht="14.25" customHeight="1">
      <c r="A5166" s="4"/>
      <c r="B5166" s="4" t="s">
        <v>7279</v>
      </c>
      <c r="C5166" s="4" t="s">
        <v>5554</v>
      </c>
      <c r="D5166" s="4" t="s">
        <v>7291</v>
      </c>
      <c r="E5166" s="5">
        <v>9.30059801037504</v>
      </c>
    </row>
    <row r="5167" ht="14.25" customHeight="1">
      <c r="A5167" s="4"/>
      <c r="B5167" s="4" t="s">
        <v>7279</v>
      </c>
      <c r="C5167" s="4" t="s">
        <v>5870</v>
      </c>
      <c r="D5167" s="4" t="s">
        <v>7510</v>
      </c>
      <c r="E5167" s="5">
        <v>64.95948519968451</v>
      </c>
    </row>
    <row r="5168" ht="14.25" customHeight="1">
      <c r="A5168" s="4"/>
      <c r="B5168" s="4" t="s">
        <v>7279</v>
      </c>
      <c r="C5168" s="4" t="s">
        <v>7511</v>
      </c>
      <c r="D5168" s="4" t="s">
        <v>7512</v>
      </c>
      <c r="E5168" s="5">
        <v>54.4543975438322</v>
      </c>
    </row>
    <row r="5169" ht="14.25" customHeight="1">
      <c r="A5169" s="4"/>
      <c r="B5169" s="4" t="s">
        <v>7279</v>
      </c>
      <c r="C5169" s="4" t="s">
        <v>1319</v>
      </c>
      <c r="D5169" s="4" t="s">
        <v>7377</v>
      </c>
      <c r="E5169" s="5">
        <v>46.5029900518752</v>
      </c>
    </row>
    <row r="5170" ht="14.25" customHeight="1">
      <c r="A5170" s="4"/>
      <c r="B5170" s="4" t="s">
        <v>7279</v>
      </c>
      <c r="C5170" s="4" t="s">
        <v>7513</v>
      </c>
      <c r="D5170" s="4" t="s">
        <v>7514</v>
      </c>
      <c r="E5170" s="5">
        <v>95.6037925405393</v>
      </c>
    </row>
    <row r="5171" ht="14.25" customHeight="1">
      <c r="A5171" s="4"/>
      <c r="B5171" s="4" t="s">
        <v>7279</v>
      </c>
      <c r="C5171" s="4" t="s">
        <v>6172</v>
      </c>
      <c r="D5171" s="4" t="s">
        <v>7280</v>
      </c>
      <c r="E5171" s="5">
        <v>186.01196020749998</v>
      </c>
    </row>
    <row r="5172" ht="14.25" customHeight="1">
      <c r="A5172" s="4"/>
      <c r="B5172" s="4" t="s">
        <v>7279</v>
      </c>
      <c r="C5172" s="4" t="s">
        <v>6656</v>
      </c>
      <c r="D5172" s="4" t="s">
        <v>7515</v>
      </c>
      <c r="E5172" s="5">
        <v>86.8806851209564</v>
      </c>
    </row>
    <row r="5173" ht="14.25" customHeight="1">
      <c r="A5173" s="4"/>
      <c r="B5173" s="4" t="s">
        <v>7279</v>
      </c>
      <c r="C5173" s="4" t="s">
        <v>6726</v>
      </c>
      <c r="D5173" s="4" t="s">
        <v>7291</v>
      </c>
      <c r="E5173" s="5">
        <v>9.30059801037504</v>
      </c>
    </row>
    <row r="5174" ht="14.25" customHeight="1">
      <c r="A5174" s="4"/>
      <c r="B5174" s="4" t="s">
        <v>7279</v>
      </c>
      <c r="C5174" s="4" t="s">
        <v>2200</v>
      </c>
      <c r="D5174" s="4" t="s">
        <v>7516</v>
      </c>
      <c r="E5174" s="5">
        <v>107.774011937079</v>
      </c>
    </row>
    <row r="5175" ht="14.25" customHeight="1">
      <c r="A5175" s="4"/>
      <c r="B5175" s="4" t="s">
        <v>7279</v>
      </c>
      <c r="C5175" s="4" t="s">
        <v>7517</v>
      </c>
      <c r="D5175" s="4" t="s">
        <v>7518</v>
      </c>
      <c r="E5175" s="5">
        <v>11.832420846894399</v>
      </c>
    </row>
    <row r="5176" ht="14.25" customHeight="1">
      <c r="A5176" s="4"/>
      <c r="B5176" s="4" t="s">
        <v>7279</v>
      </c>
      <c r="C5176" s="4" t="s">
        <v>3288</v>
      </c>
      <c r="D5176" s="4" t="s">
        <v>7280</v>
      </c>
      <c r="E5176" s="5">
        <v>186.01196020749998</v>
      </c>
    </row>
    <row r="5177" ht="14.25" customHeight="1">
      <c r="A5177" s="4"/>
      <c r="B5177" s="4" t="s">
        <v>7279</v>
      </c>
      <c r="C5177" s="4" t="s">
        <v>1050</v>
      </c>
      <c r="D5177" s="4" t="s">
        <v>7519</v>
      </c>
      <c r="E5177" s="5">
        <v>179.75286221272702</v>
      </c>
    </row>
    <row r="5178" ht="14.25" customHeight="1">
      <c r="A5178" s="4"/>
      <c r="B5178" s="4" t="s">
        <v>7279</v>
      </c>
      <c r="C5178" s="4" t="s">
        <v>2394</v>
      </c>
      <c r="D5178" s="4" t="s">
        <v>7520</v>
      </c>
      <c r="E5178" s="5">
        <v>172.589331785703</v>
      </c>
    </row>
    <row r="5179" ht="14.25" customHeight="1">
      <c r="A5179" s="4"/>
      <c r="B5179" s="4" t="s">
        <v>7279</v>
      </c>
      <c r="C5179" s="4" t="s">
        <v>5746</v>
      </c>
      <c r="D5179" s="4" t="s">
        <v>7521</v>
      </c>
      <c r="E5179" s="5">
        <v>46.6029796875204</v>
      </c>
    </row>
    <row r="5180" ht="14.25" customHeight="1">
      <c r="A5180" s="4"/>
      <c r="B5180" s="4" t="s">
        <v>7279</v>
      </c>
      <c r="C5180" s="4" t="s">
        <v>2826</v>
      </c>
      <c r="D5180" s="4" t="s">
        <v>7522</v>
      </c>
      <c r="E5180" s="5">
        <v>45.58193227123029</v>
      </c>
    </row>
    <row r="5181" ht="14.25" customHeight="1">
      <c r="A5181" s="4"/>
      <c r="B5181" s="4" t="s">
        <v>7279</v>
      </c>
      <c r="C5181" s="4" t="s">
        <v>5222</v>
      </c>
      <c r="D5181" s="4" t="s">
        <v>7523</v>
      </c>
      <c r="E5181" s="5">
        <v>98.7436585221587</v>
      </c>
    </row>
    <row r="5182" ht="14.25" customHeight="1">
      <c r="A5182" s="4"/>
      <c r="B5182" s="4" t="s">
        <v>7279</v>
      </c>
      <c r="C5182" s="4" t="s">
        <v>5443</v>
      </c>
      <c r="D5182" s="4" t="s">
        <v>7284</v>
      </c>
      <c r="E5182" s="5">
        <v>65.1041860726253</v>
      </c>
    </row>
    <row r="5183" ht="14.25" customHeight="1">
      <c r="A5183" s="4"/>
      <c r="B5183" s="4" t="s">
        <v>7279</v>
      </c>
      <c r="C5183" s="4" t="s">
        <v>591</v>
      </c>
      <c r="D5183" s="4" t="s">
        <v>7280</v>
      </c>
      <c r="E5183" s="5">
        <v>186.01196020749998</v>
      </c>
    </row>
    <row r="5184" ht="14.25" customHeight="1">
      <c r="A5184" s="4"/>
      <c r="B5184" s="4" t="s">
        <v>7279</v>
      </c>
      <c r="C5184" s="4" t="s">
        <v>2428</v>
      </c>
      <c r="D5184" s="4" t="s">
        <v>7291</v>
      </c>
      <c r="E5184" s="5">
        <v>9.30059801037504</v>
      </c>
    </row>
    <row r="5185" ht="14.25" customHeight="1">
      <c r="A5185" s="4"/>
      <c r="B5185" s="4" t="s">
        <v>7279</v>
      </c>
      <c r="C5185" s="4" t="s">
        <v>2071</v>
      </c>
      <c r="D5185" s="4" t="s">
        <v>7415</v>
      </c>
      <c r="E5185" s="5">
        <v>139.508970155625</v>
      </c>
    </row>
    <row r="5186" ht="14.25" customHeight="1">
      <c r="A5186" s="4"/>
      <c r="B5186" s="4" t="s">
        <v>7279</v>
      </c>
      <c r="C5186" s="4" t="s">
        <v>7524</v>
      </c>
      <c r="D5186" s="4" t="s">
        <v>7525</v>
      </c>
      <c r="E5186" s="5">
        <v>37.0831658910415</v>
      </c>
    </row>
    <row r="5187" ht="14.25" customHeight="1">
      <c r="A5187" s="4"/>
      <c r="B5187" s="4" t="s">
        <v>7279</v>
      </c>
      <c r="C5187" s="4" t="s">
        <v>5282</v>
      </c>
      <c r="D5187" s="4" t="s">
        <v>7291</v>
      </c>
      <c r="E5187" s="5">
        <v>9.30059801037504</v>
      </c>
    </row>
    <row r="5188" ht="14.25" customHeight="1">
      <c r="A5188" s="4"/>
      <c r="B5188" s="4" t="s">
        <v>7279</v>
      </c>
      <c r="C5188" s="4" t="s">
        <v>7526</v>
      </c>
      <c r="D5188" s="4" t="s">
        <v>7527</v>
      </c>
      <c r="E5188" s="5">
        <v>37.5744159619151</v>
      </c>
    </row>
    <row r="5189" ht="14.25" customHeight="1">
      <c r="A5189" s="4"/>
      <c r="B5189" s="4" t="s">
        <v>7279</v>
      </c>
      <c r="C5189" s="4" t="s">
        <v>7528</v>
      </c>
      <c r="D5189" s="4" t="s">
        <v>7529</v>
      </c>
      <c r="E5189" s="5">
        <v>53.5714445397602</v>
      </c>
    </row>
    <row r="5190" ht="14.25" customHeight="1">
      <c r="A5190" s="4"/>
      <c r="B5190" s="4" t="s">
        <v>7279</v>
      </c>
      <c r="C5190" s="4" t="s">
        <v>3701</v>
      </c>
      <c r="D5190" s="4" t="s">
        <v>7530</v>
      </c>
      <c r="E5190" s="5">
        <v>31.1411012174595</v>
      </c>
    </row>
    <row r="5191" ht="14.25" customHeight="1">
      <c r="A5191" s="4"/>
      <c r="B5191" s="4" t="s">
        <v>7279</v>
      </c>
      <c r="C5191" s="4" t="s">
        <v>7531</v>
      </c>
      <c r="D5191" s="4" t="s">
        <v>7532</v>
      </c>
      <c r="E5191" s="5">
        <v>46.6890020120827</v>
      </c>
    </row>
    <row r="5192" ht="14.25" customHeight="1">
      <c r="A5192" s="4"/>
      <c r="B5192" s="4" t="s">
        <v>7279</v>
      </c>
      <c r="C5192" s="4" t="s">
        <v>4635</v>
      </c>
      <c r="D5192" s="4" t="s">
        <v>7291</v>
      </c>
      <c r="E5192" s="5">
        <v>9.30059801037504</v>
      </c>
    </row>
    <row r="5193" ht="14.25" customHeight="1">
      <c r="A5193" s="4"/>
      <c r="B5193" s="4" t="s">
        <v>7279</v>
      </c>
      <c r="C5193" s="4" t="s">
        <v>7533</v>
      </c>
      <c r="D5193" s="4" t="s">
        <v>7534</v>
      </c>
      <c r="E5193" s="5">
        <v>10.0074435233843</v>
      </c>
    </row>
    <row r="5194" ht="14.25" customHeight="1">
      <c r="A5194" s="4"/>
      <c r="B5194" s="4" t="s">
        <v>7279</v>
      </c>
      <c r="C5194" s="4" t="s">
        <v>3607</v>
      </c>
      <c r="D5194" s="4" t="s">
        <v>7291</v>
      </c>
      <c r="E5194" s="5">
        <v>9.30059801037504</v>
      </c>
    </row>
    <row r="5195" ht="14.25" customHeight="1">
      <c r="A5195" s="4"/>
      <c r="B5195" s="4" t="s">
        <v>7279</v>
      </c>
      <c r="C5195" s="4" t="s">
        <v>7535</v>
      </c>
      <c r="D5195" s="4" t="s">
        <v>7433</v>
      </c>
      <c r="E5195" s="5">
        <v>18.60119602075</v>
      </c>
    </row>
    <row r="5196" ht="14.25" customHeight="1">
      <c r="A5196" s="4"/>
      <c r="B5196" s="4" t="s">
        <v>7279</v>
      </c>
      <c r="C5196" s="4" t="s">
        <v>7536</v>
      </c>
      <c r="D5196" s="4" t="s">
        <v>7305</v>
      </c>
      <c r="E5196" s="5">
        <v>55.8035880622502</v>
      </c>
    </row>
    <row r="5197" ht="14.25" customHeight="1">
      <c r="A5197" s="4"/>
      <c r="B5197" s="4" t="s">
        <v>7279</v>
      </c>
      <c r="C5197" s="4" t="s">
        <v>7537</v>
      </c>
      <c r="D5197" s="4" t="s">
        <v>7538</v>
      </c>
      <c r="E5197" s="5">
        <v>56.4379883672348</v>
      </c>
    </row>
    <row r="5198" ht="14.25" customHeight="1">
      <c r="A5198" s="4"/>
      <c r="B5198" s="4" t="s">
        <v>7279</v>
      </c>
      <c r="C5198" s="4" t="s">
        <v>3060</v>
      </c>
      <c r="D5198" s="4" t="s">
        <v>7539</v>
      </c>
      <c r="E5198" s="5">
        <v>31.8135587694847</v>
      </c>
    </row>
    <row r="5199" ht="14.25" customHeight="1">
      <c r="A5199" s="4"/>
      <c r="B5199" s="4" t="s">
        <v>7279</v>
      </c>
      <c r="C5199" s="4" t="s">
        <v>4746</v>
      </c>
      <c r="D5199" s="4" t="s">
        <v>7540</v>
      </c>
      <c r="E5199" s="5">
        <v>55.1620776535838</v>
      </c>
    </row>
    <row r="5200" ht="14.25" customHeight="1">
      <c r="A5200" s="4"/>
      <c r="B5200" s="4" t="s">
        <v>7279</v>
      </c>
      <c r="C5200" s="4" t="s">
        <v>2146</v>
      </c>
      <c r="D5200" s="4" t="s">
        <v>7291</v>
      </c>
      <c r="E5200" s="5">
        <v>9.30059801037504</v>
      </c>
    </row>
    <row r="5201" ht="14.25" customHeight="1">
      <c r="A5201" s="4"/>
      <c r="B5201" s="4" t="s">
        <v>7279</v>
      </c>
      <c r="C5201" s="4" t="s">
        <v>2608</v>
      </c>
      <c r="D5201" s="4" t="s">
        <v>7541</v>
      </c>
      <c r="E5201" s="5">
        <v>83.7053820933753</v>
      </c>
    </row>
    <row r="5202" ht="14.25" customHeight="1">
      <c r="A5202" s="4"/>
      <c r="B5202" s="4" t="s">
        <v>7279</v>
      </c>
      <c r="C5202" s="4" t="s">
        <v>2929</v>
      </c>
      <c r="D5202" s="4" t="s">
        <v>7542</v>
      </c>
      <c r="E5202" s="5">
        <v>46.1449209141238</v>
      </c>
    </row>
    <row r="5203" ht="14.25" customHeight="1">
      <c r="A5203" s="4"/>
      <c r="B5203" s="4" t="s">
        <v>7279</v>
      </c>
      <c r="C5203" s="4" t="s">
        <v>3989</v>
      </c>
      <c r="D5203" s="4" t="s">
        <v>7280</v>
      </c>
      <c r="E5203" s="5">
        <v>186.01196020749998</v>
      </c>
    </row>
    <row r="5204" ht="14.25" customHeight="1">
      <c r="A5204" s="4"/>
      <c r="B5204" s="4" t="s">
        <v>7279</v>
      </c>
      <c r="C5204" s="4" t="s">
        <v>117</v>
      </c>
      <c r="D5204" s="4" t="s">
        <v>7280</v>
      </c>
      <c r="E5204" s="5">
        <v>186.01196020749998</v>
      </c>
    </row>
    <row r="5205" ht="14.25" customHeight="1">
      <c r="A5205" s="4"/>
      <c r="B5205" s="4" t="s">
        <v>7279</v>
      </c>
      <c r="C5205" s="4" t="s">
        <v>3445</v>
      </c>
      <c r="D5205" s="4" t="s">
        <v>7291</v>
      </c>
      <c r="E5205" s="5">
        <v>9.30059801037504</v>
      </c>
    </row>
    <row r="5206" ht="14.25" customHeight="1">
      <c r="A5206" s="4"/>
      <c r="B5206" s="4" t="s">
        <v>7279</v>
      </c>
      <c r="C5206" s="4" t="s">
        <v>6994</v>
      </c>
      <c r="D5206" s="4" t="s">
        <v>7543</v>
      </c>
      <c r="E5206" s="5">
        <v>147.911517492494</v>
      </c>
    </row>
    <row r="5207" ht="14.25" customHeight="1">
      <c r="A5207" s="4"/>
      <c r="B5207" s="4" t="s">
        <v>7279</v>
      </c>
      <c r="C5207" s="4" t="s">
        <v>6003</v>
      </c>
      <c r="D5207" s="4" t="s">
        <v>7544</v>
      </c>
      <c r="E5207" s="5">
        <v>50.0979902641008</v>
      </c>
    </row>
    <row r="5208" ht="14.25" customHeight="1">
      <c r="A5208" s="4"/>
      <c r="B5208" s="4" t="s">
        <v>7279</v>
      </c>
      <c r="C5208" s="4" t="s">
        <v>6163</v>
      </c>
      <c r="D5208" s="4" t="s">
        <v>7545</v>
      </c>
      <c r="E5208" s="5">
        <v>9.38169350831993</v>
      </c>
    </row>
    <row r="5209" ht="14.25" customHeight="1">
      <c r="A5209" s="4"/>
      <c r="B5209" s="4" t="s">
        <v>7279</v>
      </c>
      <c r="C5209" s="4" t="s">
        <v>6569</v>
      </c>
      <c r="D5209" s="4" t="s">
        <v>7546</v>
      </c>
      <c r="E5209" s="5">
        <v>46.1246069831733</v>
      </c>
    </row>
    <row r="5210" ht="14.25" customHeight="1">
      <c r="A5210" s="4"/>
      <c r="B5210" s="4" t="s">
        <v>7279</v>
      </c>
      <c r="C5210" s="4" t="s">
        <v>7547</v>
      </c>
      <c r="D5210" s="4" t="s">
        <v>7548</v>
      </c>
      <c r="E5210" s="5">
        <v>48.2097381869883</v>
      </c>
    </row>
    <row r="5211" ht="14.25" customHeight="1">
      <c r="A5211" s="4"/>
      <c r="B5211" s="4" t="s">
        <v>7279</v>
      </c>
      <c r="C5211" s="4" t="s">
        <v>7549</v>
      </c>
      <c r="D5211" s="4" t="s">
        <v>7550</v>
      </c>
      <c r="E5211" s="5">
        <v>120.907789755973</v>
      </c>
    </row>
    <row r="5212" ht="14.25" customHeight="1">
      <c r="A5212" s="4"/>
      <c r="B5212" s="4" t="s">
        <v>7279</v>
      </c>
      <c r="C5212" s="4" t="s">
        <v>3261</v>
      </c>
      <c r="D5212" s="4" t="s">
        <v>7280</v>
      </c>
      <c r="E5212" s="5">
        <v>186.01196020749998</v>
      </c>
    </row>
    <row r="5213" ht="14.25" customHeight="1">
      <c r="A5213" s="4"/>
      <c r="B5213" s="4" t="s">
        <v>7279</v>
      </c>
      <c r="C5213" s="4" t="s">
        <v>7551</v>
      </c>
      <c r="D5213" s="4" t="s">
        <v>7552</v>
      </c>
      <c r="E5213" s="5">
        <v>111.623820597281</v>
      </c>
    </row>
    <row r="5214" ht="14.25" customHeight="1">
      <c r="A5214" s="4"/>
      <c r="B5214" s="4" t="s">
        <v>7279</v>
      </c>
      <c r="C5214" s="4" t="s">
        <v>3849</v>
      </c>
      <c r="D5214" s="4" t="s">
        <v>7553</v>
      </c>
      <c r="E5214" s="5">
        <v>43.3024516489791</v>
      </c>
    </row>
    <row r="5215" ht="14.25" customHeight="1">
      <c r="A5215" s="4"/>
      <c r="B5215" s="4" t="s">
        <v>7279</v>
      </c>
      <c r="C5215" s="4" t="s">
        <v>1701</v>
      </c>
      <c r="D5215" s="4" t="s">
        <v>7305</v>
      </c>
      <c r="E5215" s="5">
        <v>55.8035880622502</v>
      </c>
    </row>
    <row r="5216" ht="14.25" customHeight="1">
      <c r="A5216" s="4"/>
      <c r="B5216" s="4" t="s">
        <v>7279</v>
      </c>
      <c r="C5216" s="4" t="s">
        <v>5780</v>
      </c>
      <c r="D5216" s="4" t="s">
        <v>7554</v>
      </c>
      <c r="E5216" s="5">
        <v>6.519471003849921</v>
      </c>
    </row>
    <row r="5217" ht="14.25" customHeight="1">
      <c r="A5217" s="4"/>
      <c r="B5217" s="4" t="s">
        <v>7279</v>
      </c>
      <c r="C5217" s="4" t="s">
        <v>6101</v>
      </c>
      <c r="D5217" s="4" t="s">
        <v>7555</v>
      </c>
      <c r="E5217" s="5">
        <v>30.454701023482798</v>
      </c>
    </row>
    <row r="5218" ht="14.25" customHeight="1">
      <c r="A5218" s="4"/>
      <c r="B5218" s="4" t="s">
        <v>7279</v>
      </c>
      <c r="C5218" s="4" t="s">
        <v>408</v>
      </c>
      <c r="D5218" s="4" t="s">
        <v>7280</v>
      </c>
      <c r="E5218" s="5">
        <v>186.01196020749998</v>
      </c>
    </row>
    <row r="5219" ht="14.25" customHeight="1">
      <c r="A5219" s="4"/>
      <c r="B5219" s="4" t="s">
        <v>7279</v>
      </c>
      <c r="C5219" s="4" t="s">
        <v>1876</v>
      </c>
      <c r="D5219" s="4" t="s">
        <v>7556</v>
      </c>
      <c r="E5219" s="5">
        <v>9.48660997058254</v>
      </c>
    </row>
    <row r="5220" ht="14.25" customHeight="1">
      <c r="A5220" s="4"/>
      <c r="B5220" s="4" t="s">
        <v>7279</v>
      </c>
      <c r="C5220" s="4" t="s">
        <v>5582</v>
      </c>
      <c r="D5220" s="4" t="s">
        <v>7557</v>
      </c>
      <c r="E5220" s="5">
        <v>78.333572510214</v>
      </c>
    </row>
    <row r="5221" ht="14.25" customHeight="1">
      <c r="A5221" s="4"/>
      <c r="B5221" s="4" t="s">
        <v>7279</v>
      </c>
      <c r="C5221" s="4" t="s">
        <v>1573</v>
      </c>
      <c r="D5221" s="4" t="s">
        <v>7280</v>
      </c>
      <c r="E5221" s="5">
        <v>186.01196020749998</v>
      </c>
    </row>
    <row r="5222" ht="14.25" customHeight="1">
      <c r="A5222" s="4"/>
      <c r="B5222" s="4" t="s">
        <v>7279</v>
      </c>
      <c r="C5222" s="4" t="s">
        <v>5885</v>
      </c>
      <c r="D5222" s="4" t="s">
        <v>7558</v>
      </c>
      <c r="E5222" s="5">
        <v>0.0780692476570333</v>
      </c>
    </row>
    <row r="5223" ht="14.25" customHeight="1">
      <c r="A5223" s="4"/>
      <c r="B5223" s="4" t="s">
        <v>7279</v>
      </c>
      <c r="C5223" s="4" t="s">
        <v>6383</v>
      </c>
      <c r="D5223" s="4" t="s">
        <v>7559</v>
      </c>
      <c r="E5223" s="5">
        <v>32.2419532446488</v>
      </c>
    </row>
    <row r="5224" ht="14.25" customHeight="1">
      <c r="A5224" s="4"/>
      <c r="B5224" s="4" t="s">
        <v>7279</v>
      </c>
      <c r="C5224" s="4" t="s">
        <v>7096</v>
      </c>
      <c r="D5224" s="4" t="s">
        <v>7377</v>
      </c>
      <c r="E5224" s="5">
        <v>46.5029900518752</v>
      </c>
    </row>
    <row r="5225" ht="14.25" customHeight="1">
      <c r="A5225" s="4"/>
      <c r="B5225" s="4" t="s">
        <v>7279</v>
      </c>
      <c r="C5225" s="4" t="s">
        <v>1985</v>
      </c>
      <c r="D5225" s="4" t="s">
        <v>7560</v>
      </c>
      <c r="E5225" s="5">
        <v>18.7223816314633</v>
      </c>
    </row>
    <row r="5226" ht="14.25" customHeight="1">
      <c r="A5226" s="4"/>
      <c r="B5226" s="4" t="s">
        <v>7279</v>
      </c>
      <c r="C5226" s="4" t="s">
        <v>5912</v>
      </c>
      <c r="D5226" s="4" t="s">
        <v>7561</v>
      </c>
      <c r="E5226" s="5">
        <v>9.67262193079004</v>
      </c>
    </row>
    <row r="5227" ht="14.25" customHeight="1">
      <c r="A5227" s="4"/>
      <c r="B5227" s="4" t="s">
        <v>7279</v>
      </c>
      <c r="C5227" s="4" t="s">
        <v>5461</v>
      </c>
      <c r="D5227" s="4" t="s">
        <v>7562</v>
      </c>
      <c r="E5227" s="5">
        <v>57.648826707508604</v>
      </c>
    </row>
    <row r="5228" ht="14.25" customHeight="1">
      <c r="A5228" s="4"/>
      <c r="B5228" s="4" t="s">
        <v>7279</v>
      </c>
      <c r="C5228" s="4" t="s">
        <v>872</v>
      </c>
      <c r="D5228" s="4" t="s">
        <v>7280</v>
      </c>
      <c r="E5228" s="5">
        <v>186.01196020749998</v>
      </c>
    </row>
    <row r="5229" ht="14.25" customHeight="1">
      <c r="A5229" s="4"/>
      <c r="B5229" s="4" t="s">
        <v>7279</v>
      </c>
      <c r="C5229" s="4" t="s">
        <v>7563</v>
      </c>
      <c r="D5229" s="4" t="s">
        <v>7564</v>
      </c>
      <c r="E5229" s="5">
        <v>54.654241510901706</v>
      </c>
    </row>
    <row r="5230" ht="14.25" customHeight="1">
      <c r="A5230" s="4"/>
      <c r="B5230" s="4" t="s">
        <v>7279</v>
      </c>
      <c r="C5230" s="4" t="s">
        <v>2648</v>
      </c>
      <c r="D5230" s="4" t="s">
        <v>7565</v>
      </c>
      <c r="E5230" s="5">
        <v>40.2156020031195</v>
      </c>
    </row>
    <row r="5231" ht="14.25" customHeight="1">
      <c r="A5231" s="4"/>
      <c r="B5231" s="4" t="s">
        <v>7279</v>
      </c>
      <c r="C5231" s="4" t="s">
        <v>7566</v>
      </c>
      <c r="D5231" s="4" t="s">
        <v>7567</v>
      </c>
      <c r="E5231" s="5">
        <v>93.48536805133169</v>
      </c>
    </row>
    <row r="5232" ht="14.25" customHeight="1">
      <c r="A5232" s="4"/>
      <c r="B5232" s="4" t="s">
        <v>7279</v>
      </c>
      <c r="C5232" s="4" t="s">
        <v>3871</v>
      </c>
      <c r="D5232" s="4" t="s">
        <v>7280</v>
      </c>
      <c r="E5232" s="5">
        <v>186.01196020749998</v>
      </c>
    </row>
    <row r="5233" ht="14.25" customHeight="1">
      <c r="A5233" s="4"/>
      <c r="B5233" s="4" t="s">
        <v>7279</v>
      </c>
      <c r="C5233" s="4" t="s">
        <v>7568</v>
      </c>
      <c r="D5233" s="4" t="s">
        <v>7280</v>
      </c>
      <c r="E5233" s="5">
        <v>186.01196020749998</v>
      </c>
    </row>
    <row r="5234" ht="14.25" customHeight="1">
      <c r="A5234" s="4"/>
      <c r="B5234" s="4" t="s">
        <v>7279</v>
      </c>
      <c r="C5234" s="4" t="s">
        <v>6992</v>
      </c>
      <c r="D5234" s="4" t="s">
        <v>7569</v>
      </c>
      <c r="E5234" s="5">
        <v>26.7165905394522</v>
      </c>
    </row>
    <row r="5235" ht="14.25" customHeight="1">
      <c r="A5235" s="4"/>
      <c r="B5235" s="4" t="s">
        <v>7279</v>
      </c>
      <c r="C5235" s="4" t="s">
        <v>6058</v>
      </c>
      <c r="D5235" s="4" t="s">
        <v>7284</v>
      </c>
      <c r="E5235" s="5">
        <v>65.1041860726253</v>
      </c>
    </row>
    <row r="5236" ht="14.25" customHeight="1">
      <c r="A5236" s="4"/>
      <c r="B5236" s="4" t="s">
        <v>7279</v>
      </c>
      <c r="C5236" s="4" t="s">
        <v>7570</v>
      </c>
      <c r="D5236" s="4" t="s">
        <v>7280</v>
      </c>
      <c r="E5236" s="5">
        <v>186.01196020749998</v>
      </c>
    </row>
    <row r="5237" ht="14.25" customHeight="1">
      <c r="A5237" s="4"/>
      <c r="B5237" s="4" t="s">
        <v>7279</v>
      </c>
      <c r="C5237" s="4" t="s">
        <v>3669</v>
      </c>
      <c r="D5237" s="4" t="s">
        <v>7571</v>
      </c>
      <c r="E5237" s="5">
        <v>185.489169795792</v>
      </c>
    </row>
    <row r="5238" ht="14.25" customHeight="1">
      <c r="A5238" s="4"/>
      <c r="B5238" s="4" t="s">
        <v>7279</v>
      </c>
      <c r="C5238" s="4" t="s">
        <v>7572</v>
      </c>
      <c r="D5238" s="4" t="s">
        <v>7573</v>
      </c>
      <c r="E5238" s="5">
        <v>52.0833488581002</v>
      </c>
    </row>
    <row r="5239" ht="14.25" customHeight="1">
      <c r="A5239" s="4"/>
      <c r="B5239" s="4" t="s">
        <v>7279</v>
      </c>
      <c r="C5239" s="4" t="s">
        <v>7574</v>
      </c>
      <c r="D5239" s="4" t="s">
        <v>7575</v>
      </c>
      <c r="E5239" s="5">
        <v>23.2514950259376</v>
      </c>
    </row>
    <row r="5240" ht="14.25" customHeight="1">
      <c r="A5240" s="4"/>
      <c r="B5240" s="4" t="s">
        <v>7279</v>
      </c>
      <c r="C5240" s="4" t="s">
        <v>5297</v>
      </c>
      <c r="D5240" s="4" t="s">
        <v>7280</v>
      </c>
      <c r="E5240" s="5">
        <v>186.01196020749998</v>
      </c>
    </row>
    <row r="5241" ht="14.25" customHeight="1">
      <c r="A5241" s="4"/>
      <c r="B5241" s="4" t="s">
        <v>7279</v>
      </c>
      <c r="C5241" s="4" t="s">
        <v>4223</v>
      </c>
      <c r="D5241" s="4" t="s">
        <v>7576</v>
      </c>
      <c r="E5241" s="5">
        <v>11.0676758466213</v>
      </c>
    </row>
    <row r="5242" ht="14.25" customHeight="1">
      <c r="A5242" s="4"/>
      <c r="B5242" s="4" t="s">
        <v>7279</v>
      </c>
      <c r="C5242" s="4" t="s">
        <v>1554</v>
      </c>
      <c r="D5242" s="4" t="s">
        <v>7577</v>
      </c>
      <c r="E5242" s="5">
        <v>6.0208691914366</v>
      </c>
    </row>
    <row r="5243" ht="14.25" customHeight="1">
      <c r="A5243" s="4"/>
      <c r="B5243" s="4" t="s">
        <v>7279</v>
      </c>
      <c r="C5243" s="4" t="s">
        <v>5323</v>
      </c>
      <c r="D5243" s="4" t="s">
        <v>7578</v>
      </c>
      <c r="E5243" s="5">
        <v>26.0277249243881</v>
      </c>
    </row>
    <row r="5244" ht="14.25" customHeight="1">
      <c r="A5244" s="4"/>
      <c r="B5244" s="4" t="s">
        <v>7279</v>
      </c>
      <c r="C5244" s="4" t="s">
        <v>7579</v>
      </c>
      <c r="D5244" s="4" t="s">
        <v>7580</v>
      </c>
      <c r="E5244" s="5">
        <v>175.69242325486297</v>
      </c>
    </row>
    <row r="5245" ht="14.25" customHeight="1">
      <c r="A5245" s="4"/>
      <c r="B5245" s="4" t="s">
        <v>7279</v>
      </c>
      <c r="C5245" s="4" t="s">
        <v>2014</v>
      </c>
      <c r="D5245" s="4" t="s">
        <v>7581</v>
      </c>
      <c r="E5245" s="5">
        <v>16.9666111661314</v>
      </c>
    </row>
    <row r="5246" ht="14.25" customHeight="1">
      <c r="A5246" s="4"/>
      <c r="B5246" s="4" t="s">
        <v>7279</v>
      </c>
      <c r="C5246" s="4" t="s">
        <v>3703</v>
      </c>
      <c r="D5246" s="4" t="s">
        <v>7582</v>
      </c>
      <c r="E5246" s="5">
        <v>17.7293125275702</v>
      </c>
    </row>
    <row r="5247" ht="14.25" customHeight="1">
      <c r="A5247" s="4"/>
      <c r="B5247" s="4" t="s">
        <v>7279</v>
      </c>
      <c r="C5247" s="4" t="s">
        <v>4914</v>
      </c>
      <c r="D5247" s="4" t="s">
        <v>7583</v>
      </c>
      <c r="E5247" s="5">
        <v>62.325556009911296</v>
      </c>
    </row>
    <row r="5248" ht="14.25" customHeight="1">
      <c r="A5248" s="4"/>
      <c r="B5248" s="4" t="s">
        <v>7279</v>
      </c>
      <c r="C5248" s="4" t="s">
        <v>6157</v>
      </c>
      <c r="D5248" s="4" t="s">
        <v>7584</v>
      </c>
      <c r="E5248" s="5">
        <v>61.7078094049595</v>
      </c>
    </row>
    <row r="5249" ht="14.25" customHeight="1">
      <c r="A5249" s="4"/>
      <c r="B5249" s="4" t="s">
        <v>7279</v>
      </c>
      <c r="C5249" s="4" t="s">
        <v>3189</v>
      </c>
      <c r="D5249" s="4" t="s">
        <v>7280</v>
      </c>
      <c r="E5249" s="5">
        <v>186.01196020749998</v>
      </c>
    </row>
    <row r="5250" ht="14.25" customHeight="1">
      <c r="A5250" s="4"/>
      <c r="B5250" s="4" t="s">
        <v>7279</v>
      </c>
      <c r="C5250" s="4" t="s">
        <v>5565</v>
      </c>
      <c r="D5250" s="4" t="s">
        <v>7280</v>
      </c>
      <c r="E5250" s="5">
        <v>186.01196020749998</v>
      </c>
    </row>
    <row r="5251" ht="14.25" customHeight="1">
      <c r="A5251" s="4"/>
      <c r="B5251" s="4" t="s">
        <v>7279</v>
      </c>
      <c r="C5251" s="4" t="s">
        <v>3772</v>
      </c>
      <c r="D5251" s="4" t="s">
        <v>7280</v>
      </c>
      <c r="E5251" s="5">
        <v>186.01196020749998</v>
      </c>
    </row>
    <row r="5252" ht="14.25" customHeight="1">
      <c r="A5252" s="4"/>
      <c r="B5252" s="4" t="s">
        <v>7279</v>
      </c>
      <c r="C5252" s="4" t="s">
        <v>5961</v>
      </c>
      <c r="D5252" s="4" t="s">
        <v>7305</v>
      </c>
      <c r="E5252" s="5">
        <v>55.8035880622502</v>
      </c>
    </row>
    <row r="5253" ht="14.25" customHeight="1">
      <c r="A5253" s="4"/>
      <c r="B5253" s="4" t="s">
        <v>7279</v>
      </c>
      <c r="C5253" s="4" t="s">
        <v>1721</v>
      </c>
      <c r="D5253" s="4" t="s">
        <v>7280</v>
      </c>
      <c r="E5253" s="5">
        <v>186.01196020749998</v>
      </c>
    </row>
    <row r="5254" ht="14.25" customHeight="1">
      <c r="A5254" s="4"/>
      <c r="B5254" s="4" t="s">
        <v>7279</v>
      </c>
      <c r="C5254" s="4" t="s">
        <v>909</v>
      </c>
      <c r="D5254" s="4" t="s">
        <v>7280</v>
      </c>
      <c r="E5254" s="5">
        <v>186.01196020749998</v>
      </c>
    </row>
    <row r="5255" ht="14.25" customHeight="1">
      <c r="A5255" s="4"/>
      <c r="B5255" s="4" t="s">
        <v>7279</v>
      </c>
      <c r="C5255" s="4" t="s">
        <v>7585</v>
      </c>
      <c r="D5255" s="4" t="s">
        <v>7305</v>
      </c>
      <c r="E5255" s="5">
        <v>55.8035880622502</v>
      </c>
    </row>
    <row r="5256" ht="14.25" customHeight="1">
      <c r="A5256" s="4"/>
      <c r="B5256" s="4" t="s">
        <v>7279</v>
      </c>
      <c r="C5256" s="4" t="s">
        <v>3250</v>
      </c>
      <c r="D5256" s="4" t="s">
        <v>7586</v>
      </c>
      <c r="E5256" s="5">
        <v>75.7571572623079</v>
      </c>
    </row>
    <row r="5257" ht="14.25" customHeight="1">
      <c r="A5257" s="4"/>
      <c r="B5257" s="4" t="s">
        <v>7279</v>
      </c>
      <c r="C5257" s="4" t="s">
        <v>7022</v>
      </c>
      <c r="D5257" s="4" t="s">
        <v>7587</v>
      </c>
      <c r="E5257" s="5">
        <v>30.918996711671703</v>
      </c>
    </row>
    <row r="5258" ht="14.25" customHeight="1">
      <c r="A5258" s="4"/>
      <c r="B5258" s="4" t="s">
        <v>7279</v>
      </c>
      <c r="C5258" s="4" t="s">
        <v>475</v>
      </c>
      <c r="D5258" s="4" t="s">
        <v>7588</v>
      </c>
      <c r="E5258" s="5">
        <v>171.502430971696</v>
      </c>
    </row>
    <row r="5259" ht="14.25" customHeight="1">
      <c r="A5259" s="4"/>
      <c r="B5259" s="4" t="s">
        <v>7279</v>
      </c>
      <c r="C5259" s="4" t="s">
        <v>7589</v>
      </c>
      <c r="D5259" s="4" t="s">
        <v>7280</v>
      </c>
      <c r="E5259" s="5">
        <v>186.01196020749998</v>
      </c>
    </row>
    <row r="5260" ht="14.25" customHeight="1">
      <c r="A5260" s="4"/>
      <c r="B5260" s="4" t="s">
        <v>7279</v>
      </c>
      <c r="C5260" s="4" t="s">
        <v>532</v>
      </c>
      <c r="D5260" s="4" t="s">
        <v>7280</v>
      </c>
      <c r="E5260" s="5">
        <v>186.01196020749998</v>
      </c>
    </row>
    <row r="5261" ht="14.25" customHeight="1">
      <c r="A5261" s="4"/>
      <c r="B5261" s="4" t="s">
        <v>7279</v>
      </c>
      <c r="C5261" s="4" t="s">
        <v>369</v>
      </c>
      <c r="D5261" s="4" t="s">
        <v>7590</v>
      </c>
      <c r="E5261" s="5">
        <v>178.96546139054</v>
      </c>
    </row>
    <row r="5262" ht="14.25" customHeight="1">
      <c r="A5262" s="4"/>
      <c r="B5262" s="4" t="s">
        <v>7279</v>
      </c>
      <c r="C5262" s="4" t="s">
        <v>5328</v>
      </c>
      <c r="D5262" s="4" t="s">
        <v>7280</v>
      </c>
      <c r="E5262" s="5">
        <v>186.01196020749998</v>
      </c>
    </row>
    <row r="5263" ht="14.25" customHeight="1">
      <c r="A5263" s="4"/>
      <c r="B5263" s="4" t="s">
        <v>7279</v>
      </c>
      <c r="C5263" s="4" t="s">
        <v>6731</v>
      </c>
      <c r="D5263" s="4" t="s">
        <v>7591</v>
      </c>
      <c r="E5263" s="5">
        <v>56.066699910208605</v>
      </c>
    </row>
    <row r="5264" ht="14.25" customHeight="1">
      <c r="A5264" s="4"/>
      <c r="B5264" s="4" t="s">
        <v>7279</v>
      </c>
      <c r="C5264" s="4" t="s">
        <v>4002</v>
      </c>
      <c r="D5264" s="4" t="s">
        <v>7592</v>
      </c>
      <c r="E5264" s="5">
        <v>46.8192103842279</v>
      </c>
    </row>
    <row r="5265" ht="14.25" customHeight="1">
      <c r="A5265" s="4"/>
      <c r="B5265" s="4" t="s">
        <v>7279</v>
      </c>
      <c r="C5265" s="4" t="s">
        <v>6559</v>
      </c>
      <c r="D5265" s="4" t="s">
        <v>7593</v>
      </c>
      <c r="E5265" s="5">
        <v>65.0205705558677</v>
      </c>
    </row>
    <row r="5266" ht="14.25" customHeight="1">
      <c r="A5266" s="4"/>
      <c r="B5266" s="4" t="s">
        <v>7279</v>
      </c>
      <c r="C5266" s="4" t="s">
        <v>5014</v>
      </c>
      <c r="D5266" s="4" t="s">
        <v>7291</v>
      </c>
      <c r="E5266" s="5">
        <v>9.30059801037504</v>
      </c>
    </row>
    <row r="5267" ht="14.25" customHeight="1">
      <c r="A5267" s="4"/>
      <c r="B5267" s="4" t="s">
        <v>7279</v>
      </c>
      <c r="C5267" s="4" t="s">
        <v>4894</v>
      </c>
      <c r="D5267" s="4" t="s">
        <v>7594</v>
      </c>
      <c r="E5267" s="5">
        <v>181.024375295021</v>
      </c>
    </row>
    <row r="5268" ht="14.25" customHeight="1">
      <c r="A5268" s="4"/>
      <c r="B5268" s="4" t="s">
        <v>7279</v>
      </c>
      <c r="C5268" s="4" t="s">
        <v>3081</v>
      </c>
      <c r="D5268" s="4" t="s">
        <v>7595</v>
      </c>
      <c r="E5268" s="5">
        <v>9.33594028281446</v>
      </c>
    </row>
    <row r="5269" ht="14.25" customHeight="1">
      <c r="A5269" s="4"/>
      <c r="B5269" s="4" t="s">
        <v>7279</v>
      </c>
      <c r="C5269" s="4" t="s">
        <v>7596</v>
      </c>
      <c r="D5269" s="4" t="s">
        <v>7597</v>
      </c>
      <c r="E5269" s="5">
        <v>6.410098355816291</v>
      </c>
    </row>
    <row r="5270" ht="14.25" customHeight="1">
      <c r="A5270" s="4"/>
      <c r="B5270" s="4" t="s">
        <v>7279</v>
      </c>
      <c r="C5270" s="4" t="s">
        <v>7598</v>
      </c>
      <c r="D5270" s="4" t="s">
        <v>7599</v>
      </c>
      <c r="E5270" s="5">
        <v>26.644353180122398</v>
      </c>
    </row>
    <row r="5271" ht="14.25" customHeight="1">
      <c r="A5271" s="4"/>
      <c r="B5271" s="4" t="s">
        <v>7279</v>
      </c>
      <c r="C5271" s="4" t="s">
        <v>6477</v>
      </c>
      <c r="D5271" s="4" t="s">
        <v>7280</v>
      </c>
      <c r="E5271" s="5">
        <v>186.01196020749998</v>
      </c>
    </row>
    <row r="5272" ht="14.25" customHeight="1">
      <c r="A5272" s="4"/>
      <c r="B5272" s="4" t="s">
        <v>7279</v>
      </c>
      <c r="C5272" s="4" t="s">
        <v>4995</v>
      </c>
      <c r="D5272" s="4" t="s">
        <v>7284</v>
      </c>
      <c r="E5272" s="5">
        <v>65.1041860726253</v>
      </c>
    </row>
    <row r="5273" ht="14.25" customHeight="1">
      <c r="A5273" s="4"/>
      <c r="B5273" s="4" t="s">
        <v>7279</v>
      </c>
      <c r="C5273" s="4" t="s">
        <v>4103</v>
      </c>
      <c r="D5273" s="4" t="s">
        <v>7600</v>
      </c>
      <c r="E5273" s="5">
        <v>9.684341604484281</v>
      </c>
    </row>
    <row r="5274" ht="14.25" customHeight="1">
      <c r="A5274" s="4"/>
      <c r="B5274" s="4" t="s">
        <v>7279</v>
      </c>
      <c r="C5274" s="4" t="s">
        <v>4589</v>
      </c>
      <c r="D5274" s="4" t="s">
        <v>7575</v>
      </c>
      <c r="E5274" s="5">
        <v>23.2514950259376</v>
      </c>
    </row>
    <row r="5275" ht="14.25" customHeight="1">
      <c r="A5275" s="4"/>
      <c r="B5275" s="4" t="s">
        <v>7279</v>
      </c>
      <c r="C5275" s="4" t="s">
        <v>4032</v>
      </c>
      <c r="D5275" s="4" t="s">
        <v>7601</v>
      </c>
      <c r="E5275" s="5">
        <v>5.14710805328359</v>
      </c>
    </row>
    <row r="5276" ht="14.25" customHeight="1">
      <c r="A5276" s="4"/>
      <c r="B5276" s="4" t="s">
        <v>7279</v>
      </c>
      <c r="C5276" s="4" t="s">
        <v>3999</v>
      </c>
      <c r="D5276" s="4" t="s">
        <v>7602</v>
      </c>
      <c r="E5276" s="5">
        <v>65.2972652302518</v>
      </c>
    </row>
    <row r="5277" ht="14.25" customHeight="1">
      <c r="A5277" s="4"/>
      <c r="B5277" s="4" t="s">
        <v>7279</v>
      </c>
      <c r="C5277" s="4" t="s">
        <v>7146</v>
      </c>
      <c r="D5277" s="4" t="s">
        <v>7603</v>
      </c>
      <c r="E5277" s="5">
        <v>32.8921703318777</v>
      </c>
    </row>
    <row r="5278" ht="14.25" customHeight="1">
      <c r="A5278" s="4"/>
      <c r="B5278" s="4" t="s">
        <v>7279</v>
      </c>
      <c r="C5278" s="4" t="s">
        <v>952</v>
      </c>
      <c r="D5278" s="4" t="s">
        <v>7604</v>
      </c>
      <c r="E5278" s="5">
        <v>75.50258403029291</v>
      </c>
    </row>
    <row r="5279" ht="14.25" customHeight="1">
      <c r="A5279" s="4"/>
      <c r="B5279" s="4" t="s">
        <v>7279</v>
      </c>
      <c r="C5279" s="4" t="s">
        <v>753</v>
      </c>
      <c r="D5279" s="4" t="s">
        <v>7280</v>
      </c>
      <c r="E5279" s="5">
        <v>186.01196020749998</v>
      </c>
    </row>
    <row r="5280" ht="14.25" customHeight="1">
      <c r="A5280" s="4"/>
      <c r="B5280" s="4" t="s">
        <v>7279</v>
      </c>
      <c r="C5280" s="4" t="s">
        <v>4227</v>
      </c>
      <c r="D5280" s="4" t="s">
        <v>7605</v>
      </c>
      <c r="E5280" s="5">
        <v>67.0424306979874</v>
      </c>
    </row>
    <row r="5281" ht="14.25" customHeight="1">
      <c r="A5281" s="4"/>
      <c r="B5281" s="4" t="s">
        <v>7279</v>
      </c>
      <c r="C5281" s="4" t="s">
        <v>2251</v>
      </c>
      <c r="D5281" s="4" t="s">
        <v>7606</v>
      </c>
      <c r="E5281" s="5">
        <v>37.2023920415001</v>
      </c>
    </row>
    <row r="5282" ht="14.25" customHeight="1">
      <c r="A5282" s="4"/>
      <c r="B5282" s="4" t="s">
        <v>7279</v>
      </c>
      <c r="C5282" s="4" t="s">
        <v>7607</v>
      </c>
      <c r="D5282" s="4" t="s">
        <v>7608</v>
      </c>
      <c r="E5282" s="5">
        <v>40.813055968299</v>
      </c>
    </row>
    <row r="5283" ht="14.25" customHeight="1">
      <c r="A5283" s="4"/>
      <c r="B5283" s="4" t="s">
        <v>7279</v>
      </c>
      <c r="C5283" s="4" t="s">
        <v>683</v>
      </c>
      <c r="D5283" s="4" t="s">
        <v>7280</v>
      </c>
      <c r="E5283" s="5">
        <v>186.01196020749998</v>
      </c>
    </row>
    <row r="5284" ht="14.25" customHeight="1">
      <c r="A5284" s="4"/>
      <c r="B5284" s="4" t="s">
        <v>7279</v>
      </c>
      <c r="C5284" s="4" t="s">
        <v>5189</v>
      </c>
      <c r="D5284" s="4" t="s">
        <v>7609</v>
      </c>
      <c r="E5284" s="5">
        <v>24.2768734980583</v>
      </c>
    </row>
    <row r="5285" ht="14.25" customHeight="1">
      <c r="A5285" s="4"/>
      <c r="B5285" s="4" t="s">
        <v>7279</v>
      </c>
      <c r="C5285" s="4" t="s">
        <v>7610</v>
      </c>
      <c r="D5285" s="4" t="s">
        <v>7280</v>
      </c>
      <c r="E5285" s="5">
        <v>186.01196020749998</v>
      </c>
    </row>
    <row r="5286" ht="14.25" customHeight="1">
      <c r="A5286" s="4"/>
      <c r="B5286" s="4" t="s">
        <v>7279</v>
      </c>
      <c r="C5286" s="4" t="s">
        <v>4490</v>
      </c>
      <c r="D5286" s="4" t="s">
        <v>7291</v>
      </c>
      <c r="E5286" s="5">
        <v>9.30059801037504</v>
      </c>
    </row>
    <row r="5287" ht="14.25" customHeight="1">
      <c r="A5287" s="4"/>
      <c r="B5287" s="4" t="s">
        <v>7279</v>
      </c>
      <c r="C5287" s="4" t="s">
        <v>3229</v>
      </c>
      <c r="D5287" s="4" t="s">
        <v>7611</v>
      </c>
      <c r="E5287" s="5">
        <v>9.521696348414439</v>
      </c>
    </row>
    <row r="5288" ht="14.25" customHeight="1">
      <c r="A5288" s="4"/>
      <c r="B5288" s="4" t="s">
        <v>7279</v>
      </c>
      <c r="C5288" s="4" t="s">
        <v>7228</v>
      </c>
      <c r="D5288" s="4" t="s">
        <v>7612</v>
      </c>
      <c r="E5288" s="5">
        <v>75.50499358686561</v>
      </c>
    </row>
    <row r="5289" ht="14.25" customHeight="1">
      <c r="A5289" s="4"/>
      <c r="B5289" s="4" t="s">
        <v>7279</v>
      </c>
      <c r="C5289" s="4" t="s">
        <v>1389</v>
      </c>
      <c r="D5289" s="4" t="s">
        <v>7613</v>
      </c>
      <c r="E5289" s="5">
        <v>56.9315464774165</v>
      </c>
    </row>
    <row r="5290" ht="14.25" customHeight="1">
      <c r="A5290" s="4"/>
      <c r="B5290" s="4" t="s">
        <v>7279</v>
      </c>
      <c r="C5290" s="4" t="s">
        <v>2603</v>
      </c>
      <c r="D5290" s="4" t="s">
        <v>7614</v>
      </c>
      <c r="E5290" s="5">
        <v>140.439029956663</v>
      </c>
    </row>
    <row r="5291" ht="14.25" customHeight="1">
      <c r="A5291" s="4"/>
      <c r="B5291" s="4" t="s">
        <v>7279</v>
      </c>
      <c r="C5291" s="4" t="s">
        <v>1719</v>
      </c>
      <c r="D5291" s="4" t="s">
        <v>7280</v>
      </c>
      <c r="E5291" s="5">
        <v>186.01196020749998</v>
      </c>
    </row>
    <row r="5292" ht="14.25" customHeight="1">
      <c r="A5292" s="4"/>
      <c r="B5292" s="4" t="s">
        <v>7279</v>
      </c>
      <c r="C5292" s="4" t="s">
        <v>3309</v>
      </c>
      <c r="D5292" s="4" t="s">
        <v>7280</v>
      </c>
      <c r="E5292" s="5">
        <v>186.01196020749998</v>
      </c>
    </row>
    <row r="5293" ht="14.25" customHeight="1">
      <c r="A5293" s="4"/>
      <c r="B5293" s="4" t="s">
        <v>7279</v>
      </c>
      <c r="C5293" s="4" t="s">
        <v>7615</v>
      </c>
      <c r="D5293" s="4" t="s">
        <v>7616</v>
      </c>
      <c r="E5293" s="5">
        <v>95.1758077825168</v>
      </c>
    </row>
    <row r="5294" ht="14.25" customHeight="1">
      <c r="A5294" s="4"/>
      <c r="B5294" s="4" t="s">
        <v>7279</v>
      </c>
      <c r="C5294" s="4" t="s">
        <v>5275</v>
      </c>
      <c r="D5294" s="4" t="s">
        <v>7617</v>
      </c>
      <c r="E5294" s="5">
        <v>141.519685807321</v>
      </c>
    </row>
    <row r="5295" ht="14.25" customHeight="1">
      <c r="A5295" s="4"/>
      <c r="B5295" s="4" t="s">
        <v>7279</v>
      </c>
      <c r="C5295" s="4" t="s">
        <v>1817</v>
      </c>
      <c r="D5295" s="4" t="s">
        <v>7618</v>
      </c>
      <c r="E5295" s="5">
        <v>54.7585793371356</v>
      </c>
    </row>
    <row r="5296" ht="14.25" customHeight="1">
      <c r="A5296" s="4"/>
      <c r="B5296" s="4" t="s">
        <v>7279</v>
      </c>
      <c r="C5296" s="4" t="s">
        <v>1420</v>
      </c>
      <c r="D5296" s="4" t="s">
        <v>7280</v>
      </c>
      <c r="E5296" s="5">
        <v>186.01196020749998</v>
      </c>
    </row>
    <row r="5297" ht="14.25" customHeight="1">
      <c r="A5297" s="4"/>
      <c r="B5297" s="4" t="s">
        <v>7279</v>
      </c>
      <c r="C5297" s="4" t="s">
        <v>6233</v>
      </c>
      <c r="D5297" s="4" t="s">
        <v>7619</v>
      </c>
      <c r="E5297" s="5">
        <v>10.2244024400101</v>
      </c>
    </row>
    <row r="5298" ht="14.25" customHeight="1">
      <c r="A5298" s="4"/>
      <c r="B5298" s="4" t="s">
        <v>7279</v>
      </c>
      <c r="C5298" s="4" t="s">
        <v>3601</v>
      </c>
      <c r="D5298" s="4" t="s">
        <v>7620</v>
      </c>
      <c r="E5298" s="5">
        <v>46.8750139722902</v>
      </c>
    </row>
    <row r="5299" ht="14.25" customHeight="1">
      <c r="A5299" s="4"/>
      <c r="B5299" s="4" t="s">
        <v>7279</v>
      </c>
      <c r="C5299" s="4" t="s">
        <v>3160</v>
      </c>
      <c r="D5299" s="4" t="s">
        <v>7621</v>
      </c>
      <c r="E5299" s="5">
        <v>44.6428704498002</v>
      </c>
    </row>
    <row r="5300" ht="14.25" customHeight="1">
      <c r="A5300" s="4"/>
      <c r="B5300" s="4" t="s">
        <v>7279</v>
      </c>
      <c r="C5300" s="4" t="s">
        <v>7163</v>
      </c>
      <c r="D5300" s="4" t="s">
        <v>7622</v>
      </c>
      <c r="E5300" s="5">
        <v>17.9082588093404</v>
      </c>
    </row>
    <row r="5301" ht="14.25" customHeight="1">
      <c r="A5301" s="4"/>
      <c r="B5301" s="4" t="s">
        <v>7279</v>
      </c>
      <c r="C5301" s="4" t="s">
        <v>5102</v>
      </c>
      <c r="D5301" s="4" t="s">
        <v>7623</v>
      </c>
      <c r="E5301" s="5">
        <v>123.88281940522</v>
      </c>
    </row>
    <row r="5302" ht="14.25" customHeight="1">
      <c r="A5302" s="4"/>
      <c r="B5302" s="4" t="s">
        <v>7279</v>
      </c>
      <c r="C5302" s="4" t="s">
        <v>5002</v>
      </c>
      <c r="D5302" s="4" t="s">
        <v>7280</v>
      </c>
      <c r="E5302" s="5">
        <v>186.01196020749998</v>
      </c>
    </row>
    <row r="5303" ht="14.25" customHeight="1">
      <c r="A5303" s="4"/>
      <c r="B5303" s="4" t="s">
        <v>7279</v>
      </c>
      <c r="C5303" s="4" t="s">
        <v>7624</v>
      </c>
      <c r="D5303" s="4" t="s">
        <v>7625</v>
      </c>
      <c r="E5303" s="5">
        <v>40.833200820769</v>
      </c>
    </row>
    <row r="5304" ht="14.25" customHeight="1">
      <c r="A5304" s="4"/>
      <c r="B5304" s="4" t="s">
        <v>7279</v>
      </c>
      <c r="C5304" s="4" t="s">
        <v>7626</v>
      </c>
      <c r="D5304" s="4" t="s">
        <v>7291</v>
      </c>
      <c r="E5304" s="5">
        <v>9.30059801037504</v>
      </c>
    </row>
    <row r="5305" ht="14.25" customHeight="1">
      <c r="A5305" s="4"/>
      <c r="B5305" s="4" t="s">
        <v>7279</v>
      </c>
      <c r="C5305" s="4" t="s">
        <v>5064</v>
      </c>
      <c r="D5305" s="4" t="s">
        <v>7291</v>
      </c>
      <c r="E5305" s="5">
        <v>9.30059801037504</v>
      </c>
    </row>
    <row r="5306" ht="14.25" customHeight="1">
      <c r="A5306" s="4"/>
      <c r="B5306" s="4" t="s">
        <v>7279</v>
      </c>
      <c r="C5306" s="4" t="s">
        <v>4543</v>
      </c>
      <c r="D5306" s="4" t="s">
        <v>7627</v>
      </c>
      <c r="E5306" s="5">
        <v>65.5096634691577</v>
      </c>
    </row>
    <row r="5307" ht="14.25" customHeight="1">
      <c r="A5307" s="4"/>
      <c r="B5307" s="4" t="s">
        <v>7279</v>
      </c>
      <c r="C5307" s="4" t="s">
        <v>7628</v>
      </c>
      <c r="D5307" s="4" t="s">
        <v>7629</v>
      </c>
      <c r="E5307" s="5">
        <v>49.3499985284457</v>
      </c>
    </row>
    <row r="5308" ht="14.25" customHeight="1">
      <c r="A5308" s="4"/>
      <c r="B5308" s="4" t="s">
        <v>7279</v>
      </c>
      <c r="C5308" s="4" t="s">
        <v>1101</v>
      </c>
      <c r="D5308" s="4" t="s">
        <v>7280</v>
      </c>
      <c r="E5308" s="5">
        <v>186.01196020749998</v>
      </c>
    </row>
    <row r="5309" ht="14.25" customHeight="1">
      <c r="A5309" s="4"/>
      <c r="B5309" s="4" t="s">
        <v>7279</v>
      </c>
      <c r="C5309" s="4" t="s">
        <v>2471</v>
      </c>
      <c r="D5309" s="4" t="s">
        <v>7630</v>
      </c>
      <c r="E5309" s="5">
        <v>139.703444547857</v>
      </c>
    </row>
    <row r="5310" ht="14.25" customHeight="1">
      <c r="A5310" s="4"/>
      <c r="B5310" s="4" t="s">
        <v>7279</v>
      </c>
      <c r="C5310" s="4" t="s">
        <v>2256</v>
      </c>
      <c r="D5310" s="4" t="s">
        <v>7631</v>
      </c>
      <c r="E5310" s="5">
        <v>83.6697320769826</v>
      </c>
    </row>
    <row r="5311" ht="14.25" customHeight="1">
      <c r="A5311" s="4"/>
      <c r="B5311" s="4" t="s">
        <v>7279</v>
      </c>
      <c r="C5311" s="4" t="s">
        <v>6200</v>
      </c>
      <c r="D5311" s="4" t="s">
        <v>7632</v>
      </c>
      <c r="E5311" s="5">
        <v>9.301931326434671</v>
      </c>
    </row>
    <row r="5312" ht="14.25" customHeight="1">
      <c r="A5312" s="4"/>
      <c r="B5312" s="4" t="s">
        <v>7279</v>
      </c>
      <c r="C5312" s="4" t="s">
        <v>4428</v>
      </c>
      <c r="D5312" s="4" t="s">
        <v>7433</v>
      </c>
      <c r="E5312" s="5">
        <v>18.60119602075</v>
      </c>
    </row>
    <row r="5313" ht="14.25" customHeight="1">
      <c r="A5313" s="4"/>
      <c r="B5313" s="4" t="s">
        <v>7279</v>
      </c>
      <c r="C5313" s="4" t="s">
        <v>778</v>
      </c>
      <c r="D5313" s="4" t="s">
        <v>7280</v>
      </c>
      <c r="E5313" s="5">
        <v>186.01196020749998</v>
      </c>
    </row>
    <row r="5314" ht="14.25" customHeight="1">
      <c r="A5314" s="4"/>
      <c r="B5314" s="4" t="s">
        <v>7279</v>
      </c>
      <c r="C5314" s="4" t="s">
        <v>4237</v>
      </c>
      <c r="D5314" s="4" t="s">
        <v>7280</v>
      </c>
      <c r="E5314" s="5">
        <v>186.01196020749998</v>
      </c>
    </row>
    <row r="5315" ht="14.25" customHeight="1">
      <c r="A5315" s="4"/>
      <c r="B5315" s="4" t="s">
        <v>7279</v>
      </c>
      <c r="C5315" s="4" t="s">
        <v>1753</v>
      </c>
      <c r="D5315" s="4" t="s">
        <v>7633</v>
      </c>
      <c r="E5315" s="5">
        <v>14.0504742506642</v>
      </c>
    </row>
    <row r="5316" ht="14.25" customHeight="1">
      <c r="A5316" s="4"/>
      <c r="B5316" s="4" t="s">
        <v>7279</v>
      </c>
      <c r="C5316" s="4" t="s">
        <v>3108</v>
      </c>
      <c r="D5316" s="4" t="s">
        <v>7634</v>
      </c>
      <c r="E5316" s="5">
        <v>6.77197461124735</v>
      </c>
    </row>
    <row r="5317" ht="14.25" customHeight="1">
      <c r="A5317" s="4"/>
      <c r="B5317" s="4" t="s">
        <v>7279</v>
      </c>
      <c r="C5317" s="4" t="s">
        <v>487</v>
      </c>
      <c r="D5317" s="4" t="s">
        <v>7280</v>
      </c>
      <c r="E5317" s="5">
        <v>186.01196020749998</v>
      </c>
    </row>
    <row r="5318" ht="14.25" customHeight="1">
      <c r="A5318" s="4"/>
      <c r="B5318" s="4" t="s">
        <v>7279</v>
      </c>
      <c r="C5318" s="4" t="s">
        <v>7635</v>
      </c>
      <c r="D5318" s="4" t="s">
        <v>7305</v>
      </c>
      <c r="E5318" s="5">
        <v>55.8035880622502</v>
      </c>
    </row>
    <row r="5319" ht="14.25" customHeight="1">
      <c r="A5319" s="4"/>
      <c r="B5319" s="4" t="s">
        <v>7279</v>
      </c>
      <c r="C5319" s="4" t="s">
        <v>7636</v>
      </c>
      <c r="D5319" s="4" t="s">
        <v>7637</v>
      </c>
      <c r="E5319" s="5">
        <v>23.7244839619388</v>
      </c>
    </row>
    <row r="5320" ht="14.25" customHeight="1">
      <c r="A5320" s="4"/>
      <c r="B5320" s="4" t="s">
        <v>7279</v>
      </c>
      <c r="C5320" s="4" t="s">
        <v>5951</v>
      </c>
      <c r="D5320" s="4" t="s">
        <v>7415</v>
      </c>
      <c r="E5320" s="5">
        <v>139.508970155625</v>
      </c>
    </row>
    <row r="5321" ht="14.25" customHeight="1">
      <c r="A5321" s="4"/>
      <c r="B5321" s="4" t="s">
        <v>7279</v>
      </c>
      <c r="C5321" s="4" t="s">
        <v>3014</v>
      </c>
      <c r="D5321" s="4" t="s">
        <v>7638</v>
      </c>
      <c r="E5321" s="5">
        <v>1.38686828674445</v>
      </c>
    </row>
    <row r="5322" ht="14.25" customHeight="1">
      <c r="A5322" s="4"/>
      <c r="B5322" s="4" t="s">
        <v>7279</v>
      </c>
      <c r="C5322" s="4" t="s">
        <v>3044</v>
      </c>
      <c r="D5322" s="4" t="s">
        <v>7639</v>
      </c>
      <c r="E5322" s="5">
        <v>86.93097616570878</v>
      </c>
    </row>
    <row r="5323" ht="14.25" customHeight="1">
      <c r="A5323" s="4"/>
      <c r="B5323" s="4" t="s">
        <v>7279</v>
      </c>
      <c r="C5323" s="4" t="s">
        <v>5899</v>
      </c>
      <c r="D5323" s="4" t="s">
        <v>7640</v>
      </c>
      <c r="E5323" s="5">
        <v>106.580832071769</v>
      </c>
    </row>
    <row r="5324" ht="14.25" customHeight="1">
      <c r="A5324" s="4"/>
      <c r="B5324" s="4" t="s">
        <v>7279</v>
      </c>
      <c r="C5324" s="4" t="s">
        <v>4121</v>
      </c>
      <c r="D5324" s="4" t="s">
        <v>7641</v>
      </c>
      <c r="E5324" s="5">
        <v>8.943867431095521</v>
      </c>
    </row>
    <row r="5325" ht="14.25" customHeight="1">
      <c r="A5325" s="4"/>
      <c r="B5325" s="4" t="s">
        <v>7279</v>
      </c>
      <c r="C5325" s="4" t="s">
        <v>417</v>
      </c>
      <c r="D5325" s="4" t="s">
        <v>7642</v>
      </c>
      <c r="E5325" s="5">
        <v>163.556965517909</v>
      </c>
    </row>
    <row r="5326" ht="14.25" customHeight="1">
      <c r="A5326" s="4"/>
      <c r="B5326" s="4" t="s">
        <v>7279</v>
      </c>
      <c r="C5326" s="4" t="s">
        <v>4736</v>
      </c>
      <c r="D5326" s="4" t="s">
        <v>7643</v>
      </c>
      <c r="E5326" s="5">
        <v>9.55333696740674</v>
      </c>
    </row>
    <row r="5327" ht="14.25" customHeight="1">
      <c r="A5327" s="4"/>
      <c r="B5327" s="4" t="s">
        <v>7279</v>
      </c>
      <c r="C5327" s="4" t="s">
        <v>7644</v>
      </c>
      <c r="D5327" s="4" t="s">
        <v>7333</v>
      </c>
      <c r="E5327" s="5">
        <v>111.6071761245</v>
      </c>
    </row>
    <row r="5328" ht="14.25" customHeight="1">
      <c r="A5328" s="4"/>
      <c r="B5328" s="4" t="s">
        <v>7279</v>
      </c>
      <c r="C5328" s="4" t="s">
        <v>208</v>
      </c>
      <c r="D5328" s="4" t="s">
        <v>7280</v>
      </c>
      <c r="E5328" s="5">
        <v>186.01196020749998</v>
      </c>
    </row>
    <row r="5329" ht="14.25" customHeight="1">
      <c r="A5329" s="4"/>
      <c r="B5329" s="4" t="s">
        <v>7279</v>
      </c>
      <c r="C5329" s="4" t="s">
        <v>3417</v>
      </c>
      <c r="D5329" s="4" t="s">
        <v>7645</v>
      </c>
      <c r="E5329" s="5">
        <v>9.32170025662046</v>
      </c>
    </row>
    <row r="5330" ht="14.25" customHeight="1">
      <c r="A5330" s="4"/>
      <c r="B5330" s="4" t="s">
        <v>7279</v>
      </c>
      <c r="C5330" s="4" t="s">
        <v>7646</v>
      </c>
      <c r="D5330" s="4" t="s">
        <v>7647</v>
      </c>
      <c r="E5330" s="5">
        <v>148.99767310674198</v>
      </c>
    </row>
    <row r="5331" ht="14.25" customHeight="1">
      <c r="A5331" s="4"/>
      <c r="B5331" s="4" t="s">
        <v>7279</v>
      </c>
      <c r="C5331" s="4" t="s">
        <v>7119</v>
      </c>
      <c r="D5331" s="4" t="s">
        <v>7648</v>
      </c>
      <c r="E5331" s="5">
        <v>64.1741262715877</v>
      </c>
    </row>
    <row r="5332" ht="14.25" customHeight="1">
      <c r="A5332" s="4"/>
      <c r="B5332" s="4" t="s">
        <v>7279</v>
      </c>
      <c r="C5332" s="4" t="s">
        <v>4974</v>
      </c>
      <c r="D5332" s="4" t="s">
        <v>7606</v>
      </c>
      <c r="E5332" s="5">
        <v>37.2023920415001</v>
      </c>
    </row>
    <row r="5333" ht="14.25" customHeight="1">
      <c r="A5333" s="4"/>
      <c r="B5333" s="4" t="s">
        <v>7279</v>
      </c>
      <c r="C5333" s="4" t="s">
        <v>4403</v>
      </c>
      <c r="D5333" s="4" t="s">
        <v>7649</v>
      </c>
      <c r="E5333" s="5">
        <v>9.50584594283417</v>
      </c>
    </row>
    <row r="5334" ht="14.25" customHeight="1">
      <c r="A5334" s="4"/>
      <c r="B5334" s="4" t="s">
        <v>7279</v>
      </c>
      <c r="C5334" s="4" t="s">
        <v>489</v>
      </c>
      <c r="D5334" s="4" t="s">
        <v>7280</v>
      </c>
      <c r="E5334" s="5">
        <v>186.01196020749998</v>
      </c>
    </row>
    <row r="5335" ht="14.25" customHeight="1">
      <c r="A5335" s="4"/>
      <c r="B5335" s="4" t="s">
        <v>7279</v>
      </c>
      <c r="C5335" s="4" t="s">
        <v>7650</v>
      </c>
      <c r="D5335" s="4" t="s">
        <v>7651</v>
      </c>
      <c r="E5335" s="5">
        <v>66.9901981727456</v>
      </c>
    </row>
    <row r="5336" ht="14.25" customHeight="1">
      <c r="A5336" s="4"/>
      <c r="B5336" s="4" t="s">
        <v>7279</v>
      </c>
      <c r="C5336" s="4" t="s">
        <v>1568</v>
      </c>
      <c r="D5336" s="4" t="s">
        <v>7280</v>
      </c>
      <c r="E5336" s="5">
        <v>186.01196020749998</v>
      </c>
    </row>
    <row r="5337" ht="14.25" customHeight="1">
      <c r="A5337" s="4"/>
      <c r="B5337" s="4" t="s">
        <v>7279</v>
      </c>
      <c r="C5337" s="4" t="s">
        <v>5739</v>
      </c>
      <c r="D5337" s="4" t="s">
        <v>7652</v>
      </c>
      <c r="E5337" s="5">
        <v>78.11707452975871</v>
      </c>
    </row>
    <row r="5338" ht="14.25" customHeight="1">
      <c r="A5338" s="4"/>
      <c r="B5338" s="4" t="s">
        <v>7279</v>
      </c>
      <c r="C5338" s="4" t="s">
        <v>7653</v>
      </c>
      <c r="D5338" s="4" t="s">
        <v>7654</v>
      </c>
      <c r="E5338" s="5">
        <v>96.3213069336717</v>
      </c>
    </row>
    <row r="5339" ht="14.25" customHeight="1">
      <c r="A5339" s="4"/>
      <c r="B5339" s="4" t="s">
        <v>7279</v>
      </c>
      <c r="C5339" s="4" t="s">
        <v>5230</v>
      </c>
      <c r="D5339" s="4" t="s">
        <v>7655</v>
      </c>
      <c r="E5339" s="5">
        <v>95.44456186200729</v>
      </c>
    </row>
    <row r="5340" ht="14.25" customHeight="1">
      <c r="A5340" s="4"/>
      <c r="B5340" s="4" t="s">
        <v>7279</v>
      </c>
      <c r="C5340" s="4" t="s">
        <v>4335</v>
      </c>
      <c r="D5340" s="4" t="s">
        <v>7280</v>
      </c>
      <c r="E5340" s="5">
        <v>186.01196020749998</v>
      </c>
    </row>
    <row r="5341" ht="14.25" customHeight="1">
      <c r="A5341" s="4"/>
      <c r="B5341" s="4" t="s">
        <v>7279</v>
      </c>
      <c r="C5341" s="4" t="s">
        <v>846</v>
      </c>
      <c r="D5341" s="4" t="s">
        <v>7656</v>
      </c>
      <c r="E5341" s="5">
        <v>89.4662697291873</v>
      </c>
    </row>
    <row r="5342" ht="14.25" customHeight="1">
      <c r="A5342" s="4"/>
      <c r="B5342" s="4" t="s">
        <v>7279</v>
      </c>
      <c r="C5342" s="4" t="s">
        <v>4662</v>
      </c>
      <c r="D5342" s="4" t="s">
        <v>7657</v>
      </c>
      <c r="E5342" s="5">
        <v>9.31874931991496</v>
      </c>
    </row>
    <row r="5343" ht="14.25" customHeight="1">
      <c r="A5343" s="4"/>
      <c r="B5343" s="4" t="s">
        <v>7279</v>
      </c>
      <c r="C5343" s="4" t="s">
        <v>6859</v>
      </c>
      <c r="D5343" s="4" t="s">
        <v>7658</v>
      </c>
      <c r="E5343" s="5">
        <v>1.01000323155277</v>
      </c>
    </row>
    <row r="5344" ht="14.25" customHeight="1">
      <c r="A5344" s="4"/>
      <c r="B5344" s="4" t="s">
        <v>7279</v>
      </c>
      <c r="C5344" s="4" t="s">
        <v>7659</v>
      </c>
      <c r="D5344" s="4" t="s">
        <v>7280</v>
      </c>
      <c r="E5344" s="5">
        <v>186.01196020749998</v>
      </c>
    </row>
    <row r="5345" ht="14.25" customHeight="1">
      <c r="A5345" s="4"/>
      <c r="B5345" s="4" t="s">
        <v>7279</v>
      </c>
      <c r="C5345" s="4" t="s">
        <v>507</v>
      </c>
      <c r="D5345" s="4" t="s">
        <v>7280</v>
      </c>
      <c r="E5345" s="5">
        <v>186.01196020749998</v>
      </c>
    </row>
    <row r="5346" ht="14.25" customHeight="1">
      <c r="A5346" s="4"/>
      <c r="B5346" s="4" t="s">
        <v>7279</v>
      </c>
      <c r="C5346" s="4" t="s">
        <v>7660</v>
      </c>
      <c r="D5346" s="4" t="s">
        <v>7661</v>
      </c>
      <c r="E5346" s="5">
        <v>169.45211456959402</v>
      </c>
    </row>
    <row r="5347" ht="14.25" customHeight="1">
      <c r="A5347" s="4"/>
      <c r="B5347" s="4" t="s">
        <v>7279</v>
      </c>
      <c r="C5347" s="4" t="s">
        <v>1066</v>
      </c>
      <c r="D5347" s="4" t="s">
        <v>7280</v>
      </c>
      <c r="E5347" s="5">
        <v>186.01196020749998</v>
      </c>
    </row>
    <row r="5348" ht="14.25" customHeight="1">
      <c r="A5348" s="4"/>
      <c r="B5348" s="4" t="s">
        <v>7279</v>
      </c>
      <c r="C5348" s="4" t="s">
        <v>5644</v>
      </c>
      <c r="D5348" s="4" t="s">
        <v>7280</v>
      </c>
      <c r="E5348" s="5">
        <v>186.01196020749998</v>
      </c>
    </row>
    <row r="5349" ht="14.25" customHeight="1">
      <c r="A5349" s="4"/>
      <c r="B5349" s="4" t="s">
        <v>7279</v>
      </c>
      <c r="C5349" s="4" t="s">
        <v>6729</v>
      </c>
      <c r="D5349" s="4" t="s">
        <v>7662</v>
      </c>
      <c r="E5349" s="5">
        <v>35.8506391336705</v>
      </c>
    </row>
    <row r="5350" ht="14.25" customHeight="1">
      <c r="A5350" s="4"/>
      <c r="B5350" s="4" t="s">
        <v>7279</v>
      </c>
      <c r="C5350" s="4" t="s">
        <v>932</v>
      </c>
      <c r="D5350" s="4" t="s">
        <v>7280</v>
      </c>
      <c r="E5350" s="5">
        <v>186.01196020749998</v>
      </c>
    </row>
    <row r="5351" ht="14.25" customHeight="1">
      <c r="A5351" s="4"/>
      <c r="B5351" s="4" t="s">
        <v>7279</v>
      </c>
      <c r="C5351" s="4" t="s">
        <v>6033</v>
      </c>
      <c r="D5351" s="4" t="s">
        <v>7663</v>
      </c>
      <c r="E5351" s="5">
        <v>15.560616590432499</v>
      </c>
    </row>
    <row r="5352" ht="14.25" customHeight="1">
      <c r="A5352" s="4"/>
      <c r="B5352" s="4" t="s">
        <v>7279</v>
      </c>
      <c r="C5352" s="4" t="s">
        <v>4859</v>
      </c>
      <c r="D5352" s="4" t="s">
        <v>7333</v>
      </c>
      <c r="E5352" s="5">
        <v>111.6071761245</v>
      </c>
    </row>
    <row r="5353" ht="14.25" customHeight="1">
      <c r="A5353" s="4"/>
      <c r="B5353" s="4" t="s">
        <v>7279</v>
      </c>
      <c r="C5353" s="4" t="s">
        <v>724</v>
      </c>
      <c r="D5353" s="4" t="s">
        <v>7664</v>
      </c>
      <c r="E5353" s="5">
        <v>79.27581897430859</v>
      </c>
    </row>
    <row r="5354" ht="14.25" customHeight="1">
      <c r="A5354" s="4"/>
      <c r="B5354" s="4" t="s">
        <v>7279</v>
      </c>
      <c r="C5354" s="4" t="s">
        <v>7064</v>
      </c>
      <c r="D5354" s="4" t="s">
        <v>7665</v>
      </c>
      <c r="E5354" s="5">
        <v>18.1186870976268</v>
      </c>
    </row>
    <row r="5355" ht="14.25" customHeight="1">
      <c r="A5355" s="4"/>
      <c r="B5355" s="4" t="s">
        <v>7279</v>
      </c>
      <c r="C5355" s="4" t="s">
        <v>568</v>
      </c>
      <c r="D5355" s="4" t="s">
        <v>7280</v>
      </c>
      <c r="E5355" s="5">
        <v>186.01196020749998</v>
      </c>
    </row>
    <row r="5356" ht="14.25" customHeight="1">
      <c r="A5356" s="4"/>
      <c r="B5356" s="4" t="s">
        <v>7279</v>
      </c>
      <c r="C5356" s="4" t="s">
        <v>7666</v>
      </c>
      <c r="D5356" s="4" t="s">
        <v>7667</v>
      </c>
      <c r="E5356" s="5">
        <v>18.2378451112908</v>
      </c>
    </row>
    <row r="5357" ht="14.25" customHeight="1">
      <c r="A5357" s="4"/>
      <c r="B5357" s="4" t="s">
        <v>7279</v>
      </c>
      <c r="C5357" s="4" t="s">
        <v>7668</v>
      </c>
      <c r="D5357" s="4" t="s">
        <v>7669</v>
      </c>
      <c r="E5357" s="5">
        <v>21.5395304184325</v>
      </c>
    </row>
    <row r="5358" ht="14.25" customHeight="1">
      <c r="A5358" s="4"/>
      <c r="B5358" s="4" t="s">
        <v>7279</v>
      </c>
      <c r="C5358" s="4" t="s">
        <v>3818</v>
      </c>
      <c r="D5358" s="4" t="s">
        <v>7670</v>
      </c>
      <c r="E5358" s="5">
        <v>42.4468005615747</v>
      </c>
    </row>
    <row r="5359" ht="14.25" customHeight="1">
      <c r="A5359" s="4"/>
      <c r="B5359" s="4" t="s">
        <v>7279</v>
      </c>
      <c r="C5359" s="4" t="s">
        <v>6660</v>
      </c>
      <c r="D5359" s="4" t="s">
        <v>7280</v>
      </c>
      <c r="E5359" s="5">
        <v>186.01196020749998</v>
      </c>
    </row>
    <row r="5360" ht="14.25" customHeight="1">
      <c r="A5360" s="4"/>
      <c r="B5360" s="4" t="s">
        <v>7279</v>
      </c>
      <c r="C5360" s="4" t="s">
        <v>4844</v>
      </c>
      <c r="D5360" s="4" t="s">
        <v>7671</v>
      </c>
      <c r="E5360" s="5">
        <v>77.4877128734162</v>
      </c>
    </row>
    <row r="5361" ht="14.25" customHeight="1">
      <c r="A5361" s="4"/>
      <c r="B5361" s="4" t="s">
        <v>7279</v>
      </c>
      <c r="C5361" s="4" t="s">
        <v>4141</v>
      </c>
      <c r="D5361" s="4" t="s">
        <v>7415</v>
      </c>
      <c r="E5361" s="5">
        <v>139.508970155625</v>
      </c>
    </row>
    <row r="5362" ht="14.25" customHeight="1">
      <c r="A5362" s="4"/>
      <c r="B5362" s="4" t="s">
        <v>7279</v>
      </c>
      <c r="C5362" s="4" t="s">
        <v>2127</v>
      </c>
      <c r="D5362" s="4" t="s">
        <v>7672</v>
      </c>
      <c r="E5362" s="5">
        <v>183.34906515309999</v>
      </c>
    </row>
    <row r="5363" ht="14.25" customHeight="1">
      <c r="A5363" s="4"/>
      <c r="B5363" s="4" t="s">
        <v>7279</v>
      </c>
      <c r="C5363" s="4" t="s">
        <v>2329</v>
      </c>
      <c r="D5363" s="4" t="s">
        <v>7673</v>
      </c>
      <c r="E5363" s="5">
        <v>139.879474390505</v>
      </c>
    </row>
    <row r="5364" ht="14.25" customHeight="1">
      <c r="A5364" s="4"/>
      <c r="B5364" s="4" t="s">
        <v>7279</v>
      </c>
      <c r="C5364" s="4" t="s">
        <v>7674</v>
      </c>
      <c r="D5364" s="4" t="s">
        <v>7675</v>
      </c>
      <c r="E5364" s="5">
        <v>27.9017940311251</v>
      </c>
    </row>
    <row r="5365" ht="14.25" customHeight="1">
      <c r="A5365" s="4"/>
      <c r="B5365" s="4" t="s">
        <v>7279</v>
      </c>
      <c r="C5365" s="4" t="s">
        <v>2503</v>
      </c>
      <c r="D5365" s="4" t="s">
        <v>7676</v>
      </c>
      <c r="E5365" s="5">
        <v>2.95021097462351</v>
      </c>
    </row>
    <row r="5366" ht="14.25" customHeight="1">
      <c r="A5366" s="4"/>
      <c r="B5366" s="4" t="s">
        <v>7279</v>
      </c>
      <c r="C5366" s="4" t="s">
        <v>4829</v>
      </c>
      <c r="D5366" s="4" t="s">
        <v>7677</v>
      </c>
      <c r="E5366" s="5">
        <v>84.9973474580172</v>
      </c>
    </row>
    <row r="5367" ht="14.25" customHeight="1">
      <c r="A5367" s="4"/>
      <c r="B5367" s="4" t="s">
        <v>7279</v>
      </c>
      <c r="C5367" s="4" t="s">
        <v>5816</v>
      </c>
      <c r="D5367" s="4" t="s">
        <v>7678</v>
      </c>
      <c r="E5367" s="5">
        <v>102.306578114125</v>
      </c>
    </row>
    <row r="5368" ht="14.25" customHeight="1">
      <c r="A5368" s="4"/>
      <c r="B5368" s="4" t="s">
        <v>7279</v>
      </c>
      <c r="C5368" s="4" t="s">
        <v>4076</v>
      </c>
      <c r="D5368" s="4" t="s">
        <v>7284</v>
      </c>
      <c r="E5368" s="5">
        <v>65.1041860726253</v>
      </c>
    </row>
    <row r="5369" ht="14.25" customHeight="1">
      <c r="A5369" s="4"/>
      <c r="B5369" s="4" t="s">
        <v>7279</v>
      </c>
      <c r="C5369" s="4" t="s">
        <v>7679</v>
      </c>
      <c r="D5369" s="4" t="s">
        <v>7280</v>
      </c>
      <c r="E5369" s="5">
        <v>186.01196020749998</v>
      </c>
    </row>
    <row r="5370" ht="14.25" customHeight="1">
      <c r="A5370" s="4"/>
      <c r="B5370" s="4" t="s">
        <v>7279</v>
      </c>
      <c r="C5370" s="4" t="s">
        <v>308</v>
      </c>
      <c r="D5370" s="4" t="s">
        <v>7280</v>
      </c>
      <c r="E5370" s="5">
        <v>186.01196020749998</v>
      </c>
    </row>
    <row r="5371" ht="14.25" customHeight="1">
      <c r="A5371" s="4"/>
      <c r="B5371" s="4" t="s">
        <v>7279</v>
      </c>
      <c r="C5371" s="4" t="s">
        <v>1313</v>
      </c>
      <c r="D5371" s="4" t="s">
        <v>7680</v>
      </c>
      <c r="E5371" s="5">
        <v>19.2108508335667</v>
      </c>
    </row>
    <row r="5372" ht="14.25" customHeight="1">
      <c r="A5372" s="4"/>
      <c r="B5372" s="4" t="s">
        <v>7279</v>
      </c>
      <c r="C5372" s="4" t="s">
        <v>6325</v>
      </c>
      <c r="D5372" s="4" t="s">
        <v>7681</v>
      </c>
      <c r="E5372" s="5">
        <v>176.402353230214</v>
      </c>
    </row>
    <row r="5373" ht="14.25" customHeight="1">
      <c r="A5373" s="4"/>
      <c r="B5373" s="4" t="s">
        <v>7279</v>
      </c>
      <c r="C5373" s="4" t="s">
        <v>4008</v>
      </c>
      <c r="D5373" s="4" t="s">
        <v>7284</v>
      </c>
      <c r="E5373" s="5">
        <v>65.1041860726253</v>
      </c>
    </row>
    <row r="5374" ht="14.25" customHeight="1">
      <c r="A5374" s="4"/>
      <c r="B5374" s="4" t="s">
        <v>7279</v>
      </c>
      <c r="C5374" s="4" t="s">
        <v>4663</v>
      </c>
      <c r="D5374" s="4" t="s">
        <v>7682</v>
      </c>
      <c r="E5374" s="5">
        <v>142.518380323977</v>
      </c>
    </row>
    <row r="5375" ht="14.25" customHeight="1">
      <c r="A5375" s="4"/>
      <c r="B5375" s="4" t="s">
        <v>7279</v>
      </c>
      <c r="C5375" s="4" t="s">
        <v>7683</v>
      </c>
      <c r="D5375" s="4" t="s">
        <v>7305</v>
      </c>
      <c r="E5375" s="5">
        <v>55.8035880622502</v>
      </c>
    </row>
    <row r="5376" ht="14.25" customHeight="1">
      <c r="A5376" s="4"/>
      <c r="B5376" s="4" t="s">
        <v>7279</v>
      </c>
      <c r="C5376" s="4" t="s">
        <v>6835</v>
      </c>
      <c r="D5376" s="4" t="s">
        <v>7684</v>
      </c>
      <c r="E5376" s="5">
        <v>149.36760404662303</v>
      </c>
    </row>
    <row r="5377" ht="14.25" customHeight="1">
      <c r="A5377" s="4"/>
      <c r="B5377" s="4" t="s">
        <v>7279</v>
      </c>
      <c r="C5377" s="4" t="s">
        <v>3698</v>
      </c>
      <c r="D5377" s="4" t="s">
        <v>7685</v>
      </c>
      <c r="E5377" s="5">
        <v>26.0416744290501</v>
      </c>
    </row>
    <row r="5378" ht="14.25" customHeight="1">
      <c r="A5378" s="4"/>
      <c r="B5378" s="4" t="s">
        <v>7279</v>
      </c>
      <c r="C5378" s="4" t="s">
        <v>2743</v>
      </c>
      <c r="D5378" s="4" t="s">
        <v>7280</v>
      </c>
      <c r="E5378" s="5">
        <v>186.01196020749998</v>
      </c>
    </row>
    <row r="5379" ht="14.25" customHeight="1">
      <c r="A5379" s="4"/>
      <c r="B5379" s="4" t="s">
        <v>7279</v>
      </c>
      <c r="C5379" s="4" t="s">
        <v>3228</v>
      </c>
      <c r="D5379" s="4" t="s">
        <v>7686</v>
      </c>
      <c r="E5379" s="5">
        <v>74.4047840830003</v>
      </c>
    </row>
    <row r="5380" ht="14.25" customHeight="1">
      <c r="A5380" s="4"/>
      <c r="B5380" s="4" t="s">
        <v>7279</v>
      </c>
      <c r="C5380" s="4" t="s">
        <v>6894</v>
      </c>
      <c r="D5380" s="4" t="s">
        <v>7687</v>
      </c>
      <c r="E5380" s="5">
        <v>113.110286510406</v>
      </c>
    </row>
    <row r="5381" ht="14.25" customHeight="1">
      <c r="A5381" s="4"/>
      <c r="B5381" s="4" t="s">
        <v>7279</v>
      </c>
      <c r="C5381" s="4" t="s">
        <v>1791</v>
      </c>
      <c r="D5381" s="4" t="s">
        <v>7688</v>
      </c>
      <c r="E5381" s="5">
        <v>158.57385229947602</v>
      </c>
    </row>
    <row r="5382" ht="14.25" customHeight="1">
      <c r="A5382" s="4"/>
      <c r="B5382" s="4" t="s">
        <v>7279</v>
      </c>
      <c r="C5382" s="4" t="s">
        <v>6409</v>
      </c>
      <c r="D5382" s="4" t="s">
        <v>7689</v>
      </c>
      <c r="E5382" s="5">
        <v>172.53769553619102</v>
      </c>
    </row>
    <row r="5383" ht="14.25" customHeight="1">
      <c r="A5383" s="4"/>
      <c r="B5383" s="4" t="s">
        <v>7279</v>
      </c>
      <c r="C5383" s="4" t="s">
        <v>2588</v>
      </c>
      <c r="D5383" s="4" t="s">
        <v>7280</v>
      </c>
      <c r="E5383" s="5">
        <v>186.01196020749998</v>
      </c>
    </row>
    <row r="5384" ht="14.25" customHeight="1">
      <c r="A5384" s="4"/>
      <c r="B5384" s="4" t="s">
        <v>7279</v>
      </c>
      <c r="C5384" s="4" t="s">
        <v>5968</v>
      </c>
      <c r="D5384" s="4" t="s">
        <v>7284</v>
      </c>
      <c r="E5384" s="5">
        <v>65.1041860726253</v>
      </c>
    </row>
    <row r="5385" ht="14.25" customHeight="1">
      <c r="A5385" s="4"/>
      <c r="B5385" s="4" t="s">
        <v>7279</v>
      </c>
      <c r="C5385" s="4" t="s">
        <v>6372</v>
      </c>
      <c r="D5385" s="4" t="s">
        <v>7284</v>
      </c>
      <c r="E5385" s="5">
        <v>65.1041860726253</v>
      </c>
    </row>
    <row r="5386" ht="14.25" customHeight="1">
      <c r="A5386" s="4"/>
      <c r="B5386" s="4" t="s">
        <v>7279</v>
      </c>
      <c r="C5386" s="4" t="s">
        <v>870</v>
      </c>
      <c r="D5386" s="4" t="s">
        <v>7280</v>
      </c>
      <c r="E5386" s="5">
        <v>186.01196020749998</v>
      </c>
    </row>
    <row r="5387" ht="14.25" customHeight="1">
      <c r="A5387" s="4"/>
      <c r="B5387" s="4" t="s">
        <v>7279</v>
      </c>
      <c r="C5387" s="4" t="s">
        <v>3117</v>
      </c>
      <c r="D5387" s="4" t="s">
        <v>7690</v>
      </c>
      <c r="E5387" s="5">
        <v>90.3598203138565</v>
      </c>
    </row>
    <row r="5388" ht="14.25" customHeight="1">
      <c r="A5388" s="4"/>
      <c r="B5388" s="4" t="s">
        <v>7279</v>
      </c>
      <c r="C5388" s="4" t="s">
        <v>4660</v>
      </c>
      <c r="D5388" s="4" t="s">
        <v>7691</v>
      </c>
      <c r="E5388" s="5">
        <v>65.01345105444301</v>
      </c>
    </row>
    <row r="5389" ht="14.25" customHeight="1">
      <c r="A5389" s="4"/>
      <c r="B5389" s="4" t="s">
        <v>7279</v>
      </c>
      <c r="C5389" s="4" t="s">
        <v>3368</v>
      </c>
      <c r="D5389" s="4" t="s">
        <v>7692</v>
      </c>
      <c r="E5389" s="5">
        <v>56.913227796598704</v>
      </c>
    </row>
    <row r="5390" ht="14.25" customHeight="1">
      <c r="A5390" s="4"/>
      <c r="B5390" s="4" t="s">
        <v>7279</v>
      </c>
      <c r="C5390" s="4" t="s">
        <v>3314</v>
      </c>
      <c r="D5390" s="4" t="s">
        <v>7693</v>
      </c>
      <c r="E5390" s="5">
        <v>67.0769419506479</v>
      </c>
    </row>
    <row r="5391" ht="14.25" customHeight="1">
      <c r="A5391" s="4"/>
      <c r="B5391" s="4" t="s">
        <v>7279</v>
      </c>
      <c r="C5391" s="4" t="s">
        <v>6156</v>
      </c>
      <c r="D5391" s="4" t="s">
        <v>7280</v>
      </c>
      <c r="E5391" s="5">
        <v>186.01196020749998</v>
      </c>
    </row>
    <row r="5392" ht="14.25" customHeight="1">
      <c r="A5392" s="4"/>
      <c r="B5392" s="4" t="s">
        <v>7279</v>
      </c>
      <c r="C5392" s="4" t="s">
        <v>5202</v>
      </c>
      <c r="D5392" s="4" t="s">
        <v>7694</v>
      </c>
      <c r="E5392" s="5">
        <v>25.8019353404766</v>
      </c>
    </row>
    <row r="5393" ht="14.25" customHeight="1">
      <c r="A5393" s="4"/>
      <c r="B5393" s="4" t="s">
        <v>7279</v>
      </c>
      <c r="C5393" s="4" t="s">
        <v>338</v>
      </c>
      <c r="D5393" s="4" t="s">
        <v>7695</v>
      </c>
      <c r="E5393" s="5">
        <v>14.2891584457251</v>
      </c>
    </row>
    <row r="5394" ht="14.25" customHeight="1">
      <c r="A5394" s="4"/>
      <c r="B5394" s="4" t="s">
        <v>7279</v>
      </c>
      <c r="C5394" s="4" t="s">
        <v>1645</v>
      </c>
      <c r="D5394" s="4" t="s">
        <v>7280</v>
      </c>
      <c r="E5394" s="5">
        <v>186.01196020749998</v>
      </c>
    </row>
    <row r="5395" ht="14.25" customHeight="1">
      <c r="A5395" s="4"/>
      <c r="B5395" s="4" t="s">
        <v>7279</v>
      </c>
      <c r="C5395" s="4" t="s">
        <v>5117</v>
      </c>
      <c r="D5395" s="4" t="s">
        <v>7291</v>
      </c>
      <c r="E5395" s="5">
        <v>9.30059801037504</v>
      </c>
    </row>
    <row r="5396" ht="14.25" customHeight="1">
      <c r="A5396" s="4"/>
      <c r="B5396" s="4" t="s">
        <v>7279</v>
      </c>
      <c r="C5396" s="4" t="s">
        <v>5032</v>
      </c>
      <c r="D5396" s="4" t="s">
        <v>7696</v>
      </c>
      <c r="E5396" s="5">
        <v>9.31942379463238</v>
      </c>
    </row>
    <row r="5397" ht="14.25" customHeight="1">
      <c r="A5397" s="4"/>
      <c r="B5397" s="4" t="s">
        <v>7279</v>
      </c>
      <c r="C5397" s="4" t="s">
        <v>2840</v>
      </c>
      <c r="D5397" s="4" t="s">
        <v>7280</v>
      </c>
      <c r="E5397" s="5">
        <v>186.01196020749998</v>
      </c>
    </row>
    <row r="5398" ht="14.25" customHeight="1">
      <c r="A5398" s="4"/>
      <c r="B5398" s="4" t="s">
        <v>7279</v>
      </c>
      <c r="C5398" s="4" t="s">
        <v>7697</v>
      </c>
      <c r="D5398" s="4" t="s">
        <v>7698</v>
      </c>
      <c r="E5398" s="5">
        <v>52.2503518585865</v>
      </c>
    </row>
    <row r="5399" ht="14.25" customHeight="1">
      <c r="A5399" s="4"/>
      <c r="B5399" s="4" t="s">
        <v>7279</v>
      </c>
      <c r="C5399" s="4" t="s">
        <v>7699</v>
      </c>
      <c r="D5399" s="4" t="s">
        <v>7700</v>
      </c>
      <c r="E5399" s="5">
        <v>40.789285111036904</v>
      </c>
    </row>
    <row r="5400" ht="14.25" customHeight="1">
      <c r="A5400" s="4"/>
      <c r="B5400" s="4" t="s">
        <v>7279</v>
      </c>
      <c r="C5400" s="4" t="s">
        <v>3495</v>
      </c>
      <c r="D5400" s="4" t="s">
        <v>7701</v>
      </c>
      <c r="E5400" s="5">
        <v>14.8707822877116</v>
      </c>
    </row>
    <row r="5401" ht="14.25" customHeight="1">
      <c r="A5401" s="4"/>
      <c r="B5401" s="4" t="s">
        <v>7279</v>
      </c>
      <c r="C5401" s="4" t="s">
        <v>6544</v>
      </c>
      <c r="D5401" s="4" t="s">
        <v>7702</v>
      </c>
      <c r="E5401" s="5">
        <v>1.41235021048296</v>
      </c>
    </row>
    <row r="5402" ht="14.25" customHeight="1">
      <c r="A5402" s="4"/>
      <c r="B5402" s="4" t="s">
        <v>7279</v>
      </c>
      <c r="C5402" s="4" t="s">
        <v>5550</v>
      </c>
      <c r="D5402" s="4" t="s">
        <v>7703</v>
      </c>
      <c r="E5402" s="5">
        <v>24.246634203806998</v>
      </c>
    </row>
    <row r="5403" ht="14.25" customHeight="1">
      <c r="A5403" s="4"/>
      <c r="B5403" s="4" t="s">
        <v>7279</v>
      </c>
      <c r="C5403" s="4" t="s">
        <v>7704</v>
      </c>
      <c r="D5403" s="4" t="s">
        <v>7705</v>
      </c>
      <c r="E5403" s="5">
        <v>61.022193468234704</v>
      </c>
    </row>
    <row r="5404" ht="14.25" customHeight="1">
      <c r="A5404" s="4"/>
      <c r="B5404" s="4" t="s">
        <v>7279</v>
      </c>
      <c r="C5404" s="4" t="s">
        <v>4594</v>
      </c>
      <c r="D5404" s="4" t="s">
        <v>7706</v>
      </c>
      <c r="E5404" s="5">
        <v>7.34245431525612</v>
      </c>
    </row>
    <row r="5405" ht="14.25" customHeight="1">
      <c r="A5405" s="4"/>
      <c r="B5405" s="4" t="s">
        <v>7279</v>
      </c>
      <c r="C5405" s="4" t="s">
        <v>6088</v>
      </c>
      <c r="D5405" s="4" t="s">
        <v>7280</v>
      </c>
      <c r="E5405" s="5">
        <v>186.01196020749998</v>
      </c>
    </row>
    <row r="5406" ht="14.25" customHeight="1">
      <c r="A5406" s="4"/>
      <c r="B5406" s="4" t="s">
        <v>7279</v>
      </c>
      <c r="C5406" s="4" t="s">
        <v>6747</v>
      </c>
      <c r="D5406" s="4" t="s">
        <v>7707</v>
      </c>
      <c r="E5406" s="5">
        <v>11.2305929961874</v>
      </c>
    </row>
    <row r="5407" ht="14.25" customHeight="1">
      <c r="A5407" s="4"/>
      <c r="B5407" s="4" t="s">
        <v>7279</v>
      </c>
      <c r="C5407" s="4" t="s">
        <v>4154</v>
      </c>
      <c r="D5407" s="4" t="s">
        <v>7280</v>
      </c>
      <c r="E5407" s="5">
        <v>186.01196020749998</v>
      </c>
    </row>
    <row r="5408" ht="14.25" customHeight="1">
      <c r="A5408" s="4"/>
      <c r="B5408" s="4" t="s">
        <v>7279</v>
      </c>
      <c r="C5408" s="4" t="s">
        <v>7708</v>
      </c>
      <c r="D5408" s="4" t="s">
        <v>7709</v>
      </c>
      <c r="E5408" s="5">
        <v>56.2604172612918</v>
      </c>
    </row>
    <row r="5409" ht="14.25" customHeight="1">
      <c r="A5409" s="4"/>
      <c r="B5409" s="4" t="s">
        <v>7279</v>
      </c>
      <c r="C5409" s="4" t="s">
        <v>1514</v>
      </c>
      <c r="D5409" s="4" t="s">
        <v>7280</v>
      </c>
      <c r="E5409" s="5">
        <v>186.01196020749998</v>
      </c>
    </row>
    <row r="5410" ht="14.25" customHeight="1">
      <c r="A5410" s="4"/>
      <c r="B5410" s="4" t="s">
        <v>7279</v>
      </c>
      <c r="C5410" s="4" t="s">
        <v>321</v>
      </c>
      <c r="D5410" s="4" t="s">
        <v>7710</v>
      </c>
      <c r="E5410" s="5">
        <v>157.01272114954898</v>
      </c>
    </row>
    <row r="5411" ht="14.25" customHeight="1">
      <c r="A5411" s="4"/>
      <c r="B5411" s="4" t="s">
        <v>7279</v>
      </c>
      <c r="C5411" s="4" t="s">
        <v>6689</v>
      </c>
      <c r="D5411" s="4" t="s">
        <v>7280</v>
      </c>
      <c r="E5411" s="5">
        <v>186.01196020749998</v>
      </c>
    </row>
    <row r="5412" ht="14.25" customHeight="1">
      <c r="A5412" s="4"/>
      <c r="B5412" s="4" t="s">
        <v>7279</v>
      </c>
      <c r="C5412" s="4" t="s">
        <v>610</v>
      </c>
      <c r="D5412" s="4" t="s">
        <v>7280</v>
      </c>
      <c r="E5412" s="5">
        <v>186.01196020749998</v>
      </c>
    </row>
    <row r="5413" ht="14.25" customHeight="1">
      <c r="A5413" s="4"/>
      <c r="B5413" s="4" t="s">
        <v>7279</v>
      </c>
      <c r="C5413" s="4" t="s">
        <v>480</v>
      </c>
      <c r="D5413" s="4" t="s">
        <v>7433</v>
      </c>
      <c r="E5413" s="5">
        <v>18.60119602075</v>
      </c>
    </row>
    <row r="5414" ht="14.25" customHeight="1">
      <c r="A5414" s="4"/>
      <c r="B5414" s="4" t="s">
        <v>7279</v>
      </c>
      <c r="C5414" s="4" t="s">
        <v>5595</v>
      </c>
      <c r="D5414" s="4" t="s">
        <v>7711</v>
      </c>
      <c r="E5414" s="5">
        <v>6.89524258575822</v>
      </c>
    </row>
    <row r="5415" ht="14.25" customHeight="1">
      <c r="A5415" s="4"/>
      <c r="B5415" s="4" t="s">
        <v>7279</v>
      </c>
      <c r="C5415" s="4" t="s">
        <v>613</v>
      </c>
      <c r="D5415" s="4" t="s">
        <v>7280</v>
      </c>
      <c r="E5415" s="5">
        <v>186.01196020749998</v>
      </c>
    </row>
    <row r="5416" ht="14.25" customHeight="1">
      <c r="A5416" s="4"/>
      <c r="B5416" s="4" t="s">
        <v>7279</v>
      </c>
      <c r="C5416" s="4" t="s">
        <v>4800</v>
      </c>
      <c r="D5416" s="4" t="s">
        <v>7291</v>
      </c>
      <c r="E5416" s="5">
        <v>9.30059801037504</v>
      </c>
    </row>
    <row r="5417" ht="14.25" customHeight="1">
      <c r="A5417" s="4"/>
      <c r="B5417" s="4" t="s">
        <v>7279</v>
      </c>
      <c r="C5417" s="4" t="s">
        <v>2658</v>
      </c>
      <c r="D5417" s="4" t="s">
        <v>7712</v>
      </c>
      <c r="E5417" s="5">
        <v>167.87557816501</v>
      </c>
    </row>
    <row r="5418" ht="14.25" customHeight="1">
      <c r="A5418" s="4"/>
      <c r="B5418" s="4" t="s">
        <v>7279</v>
      </c>
      <c r="C5418" s="4" t="s">
        <v>97</v>
      </c>
      <c r="D5418" s="4" t="s">
        <v>7280</v>
      </c>
      <c r="E5418" s="5">
        <v>186.01196020749998</v>
      </c>
    </row>
    <row r="5419" ht="14.25" customHeight="1">
      <c r="A5419" s="4"/>
      <c r="B5419" s="4" t="s">
        <v>7279</v>
      </c>
      <c r="C5419" s="4" t="s">
        <v>2366</v>
      </c>
      <c r="D5419" s="4" t="s">
        <v>7713</v>
      </c>
      <c r="E5419" s="5">
        <v>88.5636617836755</v>
      </c>
    </row>
    <row r="5420" ht="14.25" customHeight="1">
      <c r="A5420" s="4"/>
      <c r="B5420" s="4" t="s">
        <v>7279</v>
      </c>
      <c r="C5420" s="4" t="s">
        <v>4629</v>
      </c>
      <c r="D5420" s="4" t="s">
        <v>7714</v>
      </c>
      <c r="E5420" s="5">
        <v>140.729516063035</v>
      </c>
    </row>
    <row r="5421" ht="14.25" customHeight="1">
      <c r="A5421" s="4"/>
      <c r="B5421" s="4" t="s">
        <v>7279</v>
      </c>
      <c r="C5421" s="4" t="s">
        <v>761</v>
      </c>
      <c r="D5421" s="4" t="s">
        <v>7280</v>
      </c>
      <c r="E5421" s="5">
        <v>186.01196020749998</v>
      </c>
    </row>
    <row r="5422" ht="14.25" customHeight="1">
      <c r="A5422" s="4"/>
      <c r="B5422" s="4" t="s">
        <v>7279</v>
      </c>
      <c r="C5422" s="4" t="s">
        <v>4770</v>
      </c>
      <c r="D5422" s="4" t="s">
        <v>7715</v>
      </c>
      <c r="E5422" s="5">
        <v>139.88099407604</v>
      </c>
    </row>
    <row r="5423" ht="14.25" customHeight="1">
      <c r="A5423" s="4"/>
      <c r="B5423" s="4" t="s">
        <v>7279</v>
      </c>
      <c r="C5423" s="4" t="s">
        <v>5286</v>
      </c>
      <c r="D5423" s="4" t="s">
        <v>7280</v>
      </c>
      <c r="E5423" s="5">
        <v>186.01196020749998</v>
      </c>
    </row>
    <row r="5424" ht="14.25" customHeight="1">
      <c r="A5424" s="4"/>
      <c r="B5424" s="4" t="s">
        <v>7279</v>
      </c>
      <c r="C5424" s="4" t="s">
        <v>7716</v>
      </c>
      <c r="D5424" s="4" t="s">
        <v>7717</v>
      </c>
      <c r="E5424" s="5">
        <v>16.8195345611091</v>
      </c>
    </row>
    <row r="5425" ht="14.25" customHeight="1">
      <c r="A5425" s="4"/>
      <c r="B5425" s="4" t="s">
        <v>7279</v>
      </c>
      <c r="C5425" s="4" t="s">
        <v>2692</v>
      </c>
      <c r="D5425" s="4" t="s">
        <v>7415</v>
      </c>
      <c r="E5425" s="5">
        <v>139.508970155625</v>
      </c>
    </row>
    <row r="5426" ht="14.25" customHeight="1">
      <c r="A5426" s="4"/>
      <c r="B5426" s="4" t="s">
        <v>7279</v>
      </c>
      <c r="C5426" s="4" t="s">
        <v>7718</v>
      </c>
      <c r="D5426" s="4" t="s">
        <v>7719</v>
      </c>
      <c r="E5426" s="5">
        <v>108.493656329243</v>
      </c>
    </row>
    <row r="5427" ht="14.25" customHeight="1">
      <c r="A5427" s="4"/>
      <c r="B5427" s="4" t="s">
        <v>7279</v>
      </c>
      <c r="C5427" s="4" t="s">
        <v>7720</v>
      </c>
      <c r="D5427" s="4" t="s">
        <v>7377</v>
      </c>
      <c r="E5427" s="5">
        <v>46.5029900518752</v>
      </c>
    </row>
    <row r="5428" ht="14.25" customHeight="1">
      <c r="A5428" s="4"/>
      <c r="B5428" s="4" t="s">
        <v>7279</v>
      </c>
      <c r="C5428" s="4" t="s">
        <v>5252</v>
      </c>
      <c r="D5428" s="4" t="s">
        <v>7721</v>
      </c>
      <c r="E5428" s="5">
        <v>92.26193226292041</v>
      </c>
    </row>
    <row r="5429" ht="14.25" customHeight="1">
      <c r="A5429" s="4"/>
      <c r="B5429" s="4" t="s">
        <v>7279</v>
      </c>
      <c r="C5429" s="4" t="s">
        <v>5879</v>
      </c>
      <c r="D5429" s="4" t="s">
        <v>7722</v>
      </c>
      <c r="E5429" s="5">
        <v>9.519415512541121</v>
      </c>
    </row>
    <row r="5430" ht="14.25" customHeight="1">
      <c r="A5430" s="4"/>
      <c r="B5430" s="4" t="s">
        <v>7279</v>
      </c>
      <c r="C5430" s="4" t="s">
        <v>3843</v>
      </c>
      <c r="D5430" s="4" t="s">
        <v>7723</v>
      </c>
      <c r="E5430" s="5">
        <v>140.180363305714</v>
      </c>
    </row>
    <row r="5431" ht="14.25" customHeight="1">
      <c r="A5431" s="4"/>
      <c r="B5431" s="4" t="s">
        <v>7279</v>
      </c>
      <c r="C5431" s="4" t="s">
        <v>7241</v>
      </c>
      <c r="D5431" s="4" t="s">
        <v>7724</v>
      </c>
      <c r="E5431" s="5">
        <v>8.70091944470552</v>
      </c>
    </row>
    <row r="5432" ht="14.25" customHeight="1">
      <c r="A5432" s="4"/>
      <c r="B5432" s="4" t="s">
        <v>7279</v>
      </c>
      <c r="C5432" s="4" t="s">
        <v>4622</v>
      </c>
      <c r="D5432" s="4" t="s">
        <v>7725</v>
      </c>
      <c r="E5432" s="5">
        <v>9.593006373018419</v>
      </c>
    </row>
    <row r="5433" ht="14.25" customHeight="1">
      <c r="A5433" s="4"/>
      <c r="B5433" s="4" t="s">
        <v>7279</v>
      </c>
      <c r="C5433" s="4" t="s">
        <v>2974</v>
      </c>
      <c r="D5433" s="4" t="s">
        <v>7726</v>
      </c>
      <c r="E5433" s="5">
        <v>13.596010610167099</v>
      </c>
    </row>
    <row r="5434" ht="14.25" customHeight="1">
      <c r="A5434" s="4"/>
      <c r="B5434" s="4" t="s">
        <v>7279</v>
      </c>
      <c r="C5434" s="4" t="s">
        <v>4184</v>
      </c>
      <c r="D5434" s="4" t="s">
        <v>7727</v>
      </c>
      <c r="E5434" s="5">
        <v>18.600348422097102</v>
      </c>
    </row>
    <row r="5435" ht="14.25" customHeight="1">
      <c r="A5435" s="4"/>
      <c r="B5435" s="4" t="s">
        <v>7279</v>
      </c>
      <c r="C5435" s="4" t="s">
        <v>5031</v>
      </c>
      <c r="D5435" s="4" t="s">
        <v>7280</v>
      </c>
      <c r="E5435" s="5">
        <v>186.01196020749998</v>
      </c>
    </row>
    <row r="5436" ht="14.25" customHeight="1">
      <c r="A5436" s="4"/>
      <c r="B5436" s="4" t="s">
        <v>7279</v>
      </c>
      <c r="C5436" s="4" t="s">
        <v>7728</v>
      </c>
      <c r="D5436" s="4" t="s">
        <v>7729</v>
      </c>
      <c r="E5436" s="5">
        <v>18.368681070490698</v>
      </c>
    </row>
    <row r="5437" ht="14.25" customHeight="1">
      <c r="A5437" s="4"/>
      <c r="B5437" s="4" t="s">
        <v>7279</v>
      </c>
      <c r="C5437" s="4" t="s">
        <v>4114</v>
      </c>
      <c r="D5437" s="4" t="s">
        <v>7730</v>
      </c>
      <c r="E5437" s="5">
        <v>131.275820237947</v>
      </c>
    </row>
    <row r="5438" ht="14.25" customHeight="1">
      <c r="A5438" s="4"/>
      <c r="B5438" s="4" t="s">
        <v>7279</v>
      </c>
      <c r="C5438" s="4" t="s">
        <v>7162</v>
      </c>
      <c r="D5438" s="4" t="s">
        <v>7284</v>
      </c>
      <c r="E5438" s="5">
        <v>65.1041860726253</v>
      </c>
    </row>
    <row r="5439" ht="14.25" customHeight="1">
      <c r="A5439" s="4"/>
      <c r="B5439" s="4" t="s">
        <v>7279</v>
      </c>
      <c r="C5439" s="4" t="s">
        <v>1885</v>
      </c>
      <c r="D5439" s="4" t="s">
        <v>7731</v>
      </c>
      <c r="E5439" s="5">
        <v>74.6972599382454</v>
      </c>
    </row>
    <row r="5440" ht="14.25" customHeight="1">
      <c r="A5440" s="4"/>
      <c r="B5440" s="4" t="s">
        <v>7279</v>
      </c>
      <c r="C5440" s="4" t="s">
        <v>4567</v>
      </c>
      <c r="D5440" s="4" t="s">
        <v>7732</v>
      </c>
      <c r="E5440" s="5">
        <v>8.18300260656903</v>
      </c>
    </row>
    <row r="5441" ht="14.25" customHeight="1">
      <c r="A5441" s="4"/>
      <c r="B5441" s="4" t="s">
        <v>7279</v>
      </c>
      <c r="C5441" s="4" t="s">
        <v>1499</v>
      </c>
      <c r="D5441" s="4" t="s">
        <v>7733</v>
      </c>
      <c r="E5441" s="5">
        <v>157.46813127991499</v>
      </c>
    </row>
    <row r="5442" ht="14.25" customHeight="1">
      <c r="A5442" s="4"/>
      <c r="B5442" s="4" t="s">
        <v>7279</v>
      </c>
      <c r="C5442" s="4" t="s">
        <v>7734</v>
      </c>
      <c r="D5442" s="4" t="s">
        <v>7280</v>
      </c>
      <c r="E5442" s="5">
        <v>186.01196020749998</v>
      </c>
    </row>
    <row r="5443" ht="14.25" customHeight="1">
      <c r="A5443" s="4"/>
      <c r="B5443" s="4" t="s">
        <v>7279</v>
      </c>
      <c r="C5443" s="4" t="s">
        <v>4860</v>
      </c>
      <c r="D5443" s="4" t="s">
        <v>7735</v>
      </c>
      <c r="E5443" s="5">
        <v>18.7872079809575</v>
      </c>
    </row>
    <row r="5444" ht="14.25" customHeight="1">
      <c r="A5444" s="4"/>
      <c r="B5444" s="4" t="s">
        <v>7279</v>
      </c>
      <c r="C5444" s="4" t="s">
        <v>4643</v>
      </c>
      <c r="D5444" s="4" t="s">
        <v>7736</v>
      </c>
      <c r="E5444" s="5">
        <v>44.7082450823748</v>
      </c>
    </row>
    <row r="5445" ht="14.25" customHeight="1">
      <c r="A5445" s="4"/>
      <c r="B5445" s="4" t="s">
        <v>7279</v>
      </c>
      <c r="C5445" s="4" t="s">
        <v>505</v>
      </c>
      <c r="D5445" s="4" t="s">
        <v>7737</v>
      </c>
      <c r="E5445" s="5">
        <v>177.78678997459198</v>
      </c>
    </row>
    <row r="5446" ht="14.25" customHeight="1">
      <c r="A5446" s="4"/>
      <c r="B5446" s="4" t="s">
        <v>7279</v>
      </c>
      <c r="C5446" s="4" t="s">
        <v>6576</v>
      </c>
      <c r="D5446" s="4" t="s">
        <v>7738</v>
      </c>
      <c r="E5446" s="5">
        <v>8.65912777233087</v>
      </c>
    </row>
    <row r="5447" ht="14.25" customHeight="1">
      <c r="A5447" s="4"/>
      <c r="B5447" s="4" t="s">
        <v>7279</v>
      </c>
      <c r="C5447" s="4" t="s">
        <v>1628</v>
      </c>
      <c r="D5447" s="4" t="s">
        <v>7739</v>
      </c>
      <c r="E5447" s="5">
        <v>174.467465664087</v>
      </c>
    </row>
    <row r="5448" ht="14.25" customHeight="1">
      <c r="A5448" s="4"/>
      <c r="B5448" s="4" t="s">
        <v>7279</v>
      </c>
      <c r="C5448" s="4" t="s">
        <v>3689</v>
      </c>
      <c r="D5448" s="4" t="s">
        <v>7740</v>
      </c>
      <c r="E5448" s="5">
        <v>143.780041718808</v>
      </c>
    </row>
    <row r="5449" ht="14.25" customHeight="1">
      <c r="A5449" s="4"/>
      <c r="B5449" s="4" t="s">
        <v>7279</v>
      </c>
      <c r="C5449" s="4" t="s">
        <v>7741</v>
      </c>
      <c r="D5449" s="4" t="s">
        <v>7280</v>
      </c>
      <c r="E5449" s="5">
        <v>186.01196020749998</v>
      </c>
    </row>
    <row r="5450" ht="14.25" customHeight="1">
      <c r="A5450" s="4"/>
      <c r="B5450" s="4" t="s">
        <v>7279</v>
      </c>
      <c r="C5450" s="4" t="s">
        <v>7742</v>
      </c>
      <c r="D5450" s="4" t="s">
        <v>7280</v>
      </c>
      <c r="E5450" s="5">
        <v>186.01196020749998</v>
      </c>
    </row>
    <row r="5451" ht="14.25" customHeight="1">
      <c r="A5451" s="4"/>
      <c r="B5451" s="4" t="s">
        <v>7279</v>
      </c>
      <c r="C5451" s="4" t="s">
        <v>5624</v>
      </c>
      <c r="D5451" s="4" t="s">
        <v>7743</v>
      </c>
      <c r="E5451" s="5">
        <v>28.1074489988618</v>
      </c>
    </row>
    <row r="5452" ht="14.25" customHeight="1">
      <c r="A5452" s="4"/>
      <c r="B5452" s="4" t="s">
        <v>7279</v>
      </c>
      <c r="C5452" s="4" t="s">
        <v>7744</v>
      </c>
      <c r="D5452" s="4" t="s">
        <v>7745</v>
      </c>
      <c r="E5452" s="5">
        <v>99.2783034019473</v>
      </c>
    </row>
    <row r="5453" ht="14.25" customHeight="1">
      <c r="A5453" s="4"/>
      <c r="B5453" s="4" t="s">
        <v>7279</v>
      </c>
      <c r="C5453" s="4" t="s">
        <v>6928</v>
      </c>
      <c r="D5453" s="4" t="s">
        <v>7746</v>
      </c>
      <c r="E5453" s="5">
        <v>61.7454448153286</v>
      </c>
    </row>
    <row r="5454" ht="14.25" customHeight="1">
      <c r="A5454" s="4"/>
      <c r="B5454" s="4" t="s">
        <v>7279</v>
      </c>
      <c r="C5454" s="4" t="s">
        <v>7747</v>
      </c>
      <c r="D5454" s="4" t="s">
        <v>7748</v>
      </c>
      <c r="E5454" s="5">
        <v>74.6057879126319</v>
      </c>
    </row>
    <row r="5455" ht="14.25" customHeight="1">
      <c r="A5455" s="4"/>
      <c r="B5455" s="4" t="s">
        <v>7279</v>
      </c>
      <c r="C5455" s="4" t="s">
        <v>570</v>
      </c>
      <c r="D5455" s="4" t="s">
        <v>7280</v>
      </c>
      <c r="E5455" s="5">
        <v>186.01196020749998</v>
      </c>
    </row>
    <row r="5456" ht="14.25" customHeight="1">
      <c r="A5456" s="4"/>
      <c r="B5456" s="4" t="s">
        <v>7279</v>
      </c>
      <c r="C5456" s="4" t="s">
        <v>7749</v>
      </c>
      <c r="D5456" s="4" t="s">
        <v>7750</v>
      </c>
      <c r="E5456" s="5">
        <v>3.69910141715819</v>
      </c>
    </row>
    <row r="5457" ht="14.25" customHeight="1">
      <c r="A5457" s="4"/>
      <c r="B5457" s="4" t="s">
        <v>7279</v>
      </c>
      <c r="C5457" s="4" t="s">
        <v>7751</v>
      </c>
      <c r="D5457" s="4" t="s">
        <v>7752</v>
      </c>
      <c r="E5457" s="5">
        <v>34.0924365804534</v>
      </c>
    </row>
    <row r="5458" ht="14.25" customHeight="1">
      <c r="A5458" s="4"/>
      <c r="B5458" s="4" t="s">
        <v>7279</v>
      </c>
      <c r="C5458" s="4" t="s">
        <v>5494</v>
      </c>
      <c r="D5458" s="4" t="s">
        <v>7280</v>
      </c>
      <c r="E5458" s="5">
        <v>186.01196020749998</v>
      </c>
    </row>
    <row r="5459" ht="14.25" customHeight="1">
      <c r="A5459" s="4"/>
      <c r="B5459" s="4" t="s">
        <v>7279</v>
      </c>
      <c r="C5459" s="4" t="s">
        <v>7753</v>
      </c>
      <c r="D5459" s="4" t="s">
        <v>7754</v>
      </c>
      <c r="E5459" s="5">
        <v>22.3437845827401</v>
      </c>
    </row>
    <row r="5460" ht="14.25" customHeight="1">
      <c r="A5460" s="4"/>
      <c r="B5460" s="4" t="s">
        <v>7279</v>
      </c>
      <c r="C5460" s="4" t="s">
        <v>5163</v>
      </c>
      <c r="D5460" s="4" t="s">
        <v>7291</v>
      </c>
      <c r="E5460" s="5">
        <v>9.30059801037504</v>
      </c>
    </row>
    <row r="5461" ht="14.25" customHeight="1">
      <c r="A5461" s="4"/>
      <c r="B5461" s="4" t="s">
        <v>7279</v>
      </c>
      <c r="C5461" s="4" t="s">
        <v>6800</v>
      </c>
      <c r="D5461" s="4" t="s">
        <v>7755</v>
      </c>
      <c r="E5461" s="5">
        <v>17.2174318718628</v>
      </c>
    </row>
    <row r="5462" ht="14.25" customHeight="1">
      <c r="A5462" s="4"/>
      <c r="B5462" s="4" t="s">
        <v>7279</v>
      </c>
      <c r="C5462" s="4" t="s">
        <v>4333</v>
      </c>
      <c r="D5462" s="4" t="s">
        <v>7756</v>
      </c>
      <c r="E5462" s="5">
        <v>15.1943101524071</v>
      </c>
    </row>
    <row r="5463" ht="14.25" customHeight="1">
      <c r="A5463" s="4"/>
      <c r="B5463" s="4" t="s">
        <v>7279</v>
      </c>
      <c r="C5463" s="4" t="s">
        <v>7757</v>
      </c>
      <c r="D5463" s="4" t="s">
        <v>7758</v>
      </c>
      <c r="E5463" s="5">
        <v>9.662318540256049</v>
      </c>
    </row>
    <row r="5464" ht="14.25" customHeight="1">
      <c r="A5464" s="4"/>
      <c r="B5464" s="4" t="s">
        <v>7279</v>
      </c>
      <c r="C5464" s="4" t="s">
        <v>6979</v>
      </c>
      <c r="D5464" s="4" t="s">
        <v>7759</v>
      </c>
      <c r="E5464" s="5">
        <v>32.830153883008904</v>
      </c>
    </row>
    <row r="5465" ht="14.25" customHeight="1">
      <c r="A5465" s="4"/>
      <c r="B5465" s="4" t="s">
        <v>7279</v>
      </c>
      <c r="C5465" s="4" t="s">
        <v>856</v>
      </c>
      <c r="D5465" s="4" t="s">
        <v>7280</v>
      </c>
      <c r="E5465" s="5">
        <v>186.01196020749998</v>
      </c>
    </row>
    <row r="5466" ht="14.25" customHeight="1">
      <c r="A5466" s="4"/>
      <c r="B5466" s="4" t="s">
        <v>7279</v>
      </c>
      <c r="C5466" s="4" t="s">
        <v>6874</v>
      </c>
      <c r="D5466" s="4" t="s">
        <v>7760</v>
      </c>
      <c r="E5466" s="5">
        <v>37.3772060817031</v>
      </c>
    </row>
    <row r="5467" ht="14.25" customHeight="1">
      <c r="A5467" s="4"/>
      <c r="B5467" s="4" t="s">
        <v>7279</v>
      </c>
      <c r="C5467" s="4" t="s">
        <v>274</v>
      </c>
      <c r="D5467" s="4" t="s">
        <v>7761</v>
      </c>
      <c r="E5467" s="5">
        <v>17.9043348520559</v>
      </c>
    </row>
    <row r="5468" ht="14.25" customHeight="1">
      <c r="A5468" s="4"/>
      <c r="B5468" s="4" t="s">
        <v>7279</v>
      </c>
      <c r="C5468" s="4" t="s">
        <v>4203</v>
      </c>
      <c r="D5468" s="4" t="s">
        <v>7291</v>
      </c>
      <c r="E5468" s="5">
        <v>9.30059801037504</v>
      </c>
    </row>
    <row r="5469" ht="14.25" customHeight="1">
      <c r="A5469" s="4"/>
      <c r="B5469" s="4" t="s">
        <v>7279</v>
      </c>
      <c r="C5469" s="4" t="s">
        <v>6805</v>
      </c>
      <c r="D5469" s="4" t="s">
        <v>7762</v>
      </c>
      <c r="E5469" s="5">
        <v>7.72357553909615</v>
      </c>
    </row>
    <row r="5470" ht="14.25" customHeight="1">
      <c r="A5470" s="4"/>
      <c r="B5470" s="4" t="s">
        <v>7279</v>
      </c>
      <c r="C5470" s="4" t="s">
        <v>3912</v>
      </c>
      <c r="D5470" s="4" t="s">
        <v>7280</v>
      </c>
      <c r="E5470" s="5">
        <v>186.01196020749998</v>
      </c>
    </row>
    <row r="5471" ht="14.25" customHeight="1">
      <c r="A5471" s="4"/>
      <c r="B5471" s="4" t="s">
        <v>7279</v>
      </c>
      <c r="C5471" s="4" t="s">
        <v>5890</v>
      </c>
      <c r="D5471" s="4" t="s">
        <v>7763</v>
      </c>
      <c r="E5471" s="5">
        <v>9.63393900445306</v>
      </c>
    </row>
    <row r="5472" ht="14.25" customHeight="1">
      <c r="A5472" s="4"/>
      <c r="B5472" s="4" t="s">
        <v>7279</v>
      </c>
      <c r="C5472" s="4" t="s">
        <v>5807</v>
      </c>
      <c r="D5472" s="4" t="s">
        <v>7764</v>
      </c>
      <c r="E5472" s="5">
        <v>8.1964619083086</v>
      </c>
    </row>
    <row r="5473" ht="14.25" customHeight="1">
      <c r="A5473" s="4"/>
      <c r="B5473" s="4" t="s">
        <v>7279</v>
      </c>
      <c r="C5473" s="4" t="s">
        <v>1091</v>
      </c>
      <c r="D5473" s="4" t="s">
        <v>7280</v>
      </c>
      <c r="E5473" s="5">
        <v>186.01196020749998</v>
      </c>
    </row>
    <row r="5474" ht="14.25" customHeight="1">
      <c r="A5474" s="4"/>
      <c r="B5474" s="4" t="s">
        <v>7279</v>
      </c>
      <c r="C5474" s="4" t="s">
        <v>1661</v>
      </c>
      <c r="D5474" s="4" t="s">
        <v>7280</v>
      </c>
      <c r="E5474" s="5">
        <v>186.01196020749998</v>
      </c>
    </row>
    <row r="5475" ht="14.25" customHeight="1">
      <c r="A5475" s="4"/>
      <c r="B5475" s="4" t="s">
        <v>7279</v>
      </c>
      <c r="C5475" s="4" t="s">
        <v>7765</v>
      </c>
      <c r="D5475" s="4" t="s">
        <v>7766</v>
      </c>
      <c r="E5475" s="5">
        <v>54.045421482060995</v>
      </c>
    </row>
    <row r="5476" ht="14.25" customHeight="1">
      <c r="A5476" s="4"/>
      <c r="B5476" s="4" t="s">
        <v>7279</v>
      </c>
      <c r="C5476" s="4" t="s">
        <v>5827</v>
      </c>
      <c r="D5476" s="4" t="s">
        <v>7280</v>
      </c>
      <c r="E5476" s="5">
        <v>186.01196020749998</v>
      </c>
    </row>
    <row r="5477" ht="14.25" customHeight="1">
      <c r="A5477" s="4"/>
      <c r="B5477" s="4" t="s">
        <v>7279</v>
      </c>
      <c r="C5477" s="4" t="s">
        <v>5131</v>
      </c>
      <c r="D5477" s="4" t="s">
        <v>7280</v>
      </c>
      <c r="E5477" s="5">
        <v>186.01196020749998</v>
      </c>
    </row>
    <row r="5478" ht="14.25" customHeight="1">
      <c r="A5478" s="4"/>
      <c r="B5478" s="4" t="s">
        <v>7279</v>
      </c>
      <c r="C5478" s="4" t="s">
        <v>2359</v>
      </c>
      <c r="D5478" s="4" t="s">
        <v>7767</v>
      </c>
      <c r="E5478" s="5">
        <v>1.8601196020750002</v>
      </c>
    </row>
    <row r="5479" ht="14.25" customHeight="1">
      <c r="A5479" s="4"/>
      <c r="B5479" s="4" t="s">
        <v>7279</v>
      </c>
      <c r="C5479" s="4" t="s">
        <v>2707</v>
      </c>
      <c r="D5479" s="4" t="s">
        <v>7768</v>
      </c>
      <c r="E5479" s="5">
        <v>145.789805458583</v>
      </c>
    </row>
    <row r="5480" ht="14.25" customHeight="1">
      <c r="A5480" s="4"/>
      <c r="B5480" s="4" t="s">
        <v>7279</v>
      </c>
      <c r="C5480" s="4" t="s">
        <v>6508</v>
      </c>
      <c r="D5480" s="4" t="s">
        <v>7769</v>
      </c>
      <c r="E5480" s="5">
        <v>176.809975264652</v>
      </c>
    </row>
    <row r="5481" ht="14.25" customHeight="1">
      <c r="A5481" s="4"/>
      <c r="B5481" s="4" t="s">
        <v>7279</v>
      </c>
      <c r="C5481" s="4" t="s">
        <v>7770</v>
      </c>
      <c r="D5481" s="4" t="s">
        <v>7771</v>
      </c>
      <c r="E5481" s="5">
        <v>113.770205458234</v>
      </c>
    </row>
    <row r="5482" ht="14.25" customHeight="1">
      <c r="A5482" s="4"/>
      <c r="B5482" s="4" t="s">
        <v>7279</v>
      </c>
      <c r="C5482" s="4" t="s">
        <v>1652</v>
      </c>
      <c r="D5482" s="4" t="s">
        <v>7280</v>
      </c>
      <c r="E5482" s="5">
        <v>186.01196020749998</v>
      </c>
    </row>
    <row r="5483" ht="14.25" customHeight="1">
      <c r="A5483" s="4"/>
      <c r="B5483" s="4" t="s">
        <v>7279</v>
      </c>
      <c r="C5483" s="4" t="s">
        <v>1867</v>
      </c>
      <c r="D5483" s="4" t="s">
        <v>7369</v>
      </c>
      <c r="E5483" s="5">
        <v>93.0059801037504</v>
      </c>
    </row>
    <row r="5484" ht="14.25" customHeight="1">
      <c r="A5484" s="4"/>
      <c r="B5484" s="4" t="s">
        <v>7279</v>
      </c>
      <c r="C5484" s="4" t="s">
        <v>5676</v>
      </c>
      <c r="D5484" s="4" t="s">
        <v>7280</v>
      </c>
      <c r="E5484" s="5">
        <v>186.01196020749998</v>
      </c>
    </row>
    <row r="5485" ht="14.25" customHeight="1">
      <c r="A5485" s="4"/>
      <c r="B5485" s="4" t="s">
        <v>7279</v>
      </c>
      <c r="C5485" s="4" t="s">
        <v>7772</v>
      </c>
      <c r="D5485" s="4" t="s">
        <v>7773</v>
      </c>
      <c r="E5485" s="5">
        <v>46.536560331040896</v>
      </c>
    </row>
    <row r="5486" ht="14.25" customHeight="1">
      <c r="A5486" s="4"/>
      <c r="B5486" s="4" t="s">
        <v>7279</v>
      </c>
      <c r="C5486" s="4" t="s">
        <v>3834</v>
      </c>
      <c r="D5486" s="4" t="s">
        <v>7433</v>
      </c>
      <c r="E5486" s="5">
        <v>18.60119602075</v>
      </c>
    </row>
    <row r="5487" ht="14.25" customHeight="1">
      <c r="A5487" s="4"/>
      <c r="B5487" s="4" t="s">
        <v>7279</v>
      </c>
      <c r="C5487" s="4" t="s">
        <v>6587</v>
      </c>
      <c r="D5487" s="4" t="s">
        <v>7774</v>
      </c>
      <c r="E5487" s="5">
        <v>139.624253165621</v>
      </c>
    </row>
    <row r="5488" ht="14.25" customHeight="1">
      <c r="A5488" s="4"/>
      <c r="B5488" s="4" t="s">
        <v>7279</v>
      </c>
      <c r="C5488" s="4" t="s">
        <v>4768</v>
      </c>
      <c r="D5488" s="4" t="s">
        <v>7775</v>
      </c>
      <c r="E5488" s="5">
        <v>42.0836917106865</v>
      </c>
    </row>
    <row r="5489" ht="14.25" customHeight="1">
      <c r="A5489" s="4"/>
      <c r="B5489" s="4" t="s">
        <v>7279</v>
      </c>
      <c r="C5489" s="4" t="s">
        <v>3797</v>
      </c>
      <c r="D5489" s="4" t="s">
        <v>7776</v>
      </c>
      <c r="E5489" s="5">
        <v>9.25844022807852</v>
      </c>
    </row>
    <row r="5490" ht="14.25" customHeight="1">
      <c r="A5490" s="4"/>
      <c r="B5490" s="4" t="s">
        <v>7279</v>
      </c>
      <c r="C5490" s="4" t="s">
        <v>4759</v>
      </c>
      <c r="D5490" s="4" t="s">
        <v>7777</v>
      </c>
      <c r="E5490" s="5">
        <v>47.2098157868553</v>
      </c>
    </row>
    <row r="5491" ht="14.25" customHeight="1">
      <c r="A5491" s="4"/>
      <c r="B5491" s="4" t="s">
        <v>7279</v>
      </c>
      <c r="C5491" s="4" t="s">
        <v>5786</v>
      </c>
      <c r="D5491" s="4" t="s">
        <v>7291</v>
      </c>
      <c r="E5491" s="5">
        <v>9.30059801037504</v>
      </c>
    </row>
    <row r="5492" ht="14.25" customHeight="1">
      <c r="A5492" s="4"/>
      <c r="B5492" s="4" t="s">
        <v>7279</v>
      </c>
      <c r="C5492" s="4" t="s">
        <v>4204</v>
      </c>
      <c r="D5492" s="4" t="s">
        <v>7778</v>
      </c>
      <c r="E5492" s="5">
        <v>79.52404279276529</v>
      </c>
    </row>
    <row r="5493" ht="14.25" customHeight="1">
      <c r="A5493" s="4"/>
      <c r="B5493" s="4" t="s">
        <v>7279</v>
      </c>
      <c r="C5493" s="4" t="s">
        <v>6775</v>
      </c>
      <c r="D5493" s="4" t="s">
        <v>7280</v>
      </c>
      <c r="E5493" s="5">
        <v>186.01196020749998</v>
      </c>
    </row>
    <row r="5494" ht="14.25" customHeight="1">
      <c r="A5494" s="4"/>
      <c r="B5494" s="4" t="s">
        <v>7279</v>
      </c>
      <c r="C5494" s="4" t="s">
        <v>4601</v>
      </c>
      <c r="D5494" s="4" t="s">
        <v>7779</v>
      </c>
      <c r="E5494" s="5">
        <v>12.817346539491899</v>
      </c>
    </row>
    <row r="5495" ht="14.25" customHeight="1">
      <c r="A5495" s="4"/>
      <c r="B5495" s="4" t="s">
        <v>7279</v>
      </c>
      <c r="C5495" s="4" t="s">
        <v>1428</v>
      </c>
      <c r="D5495" s="4" t="s">
        <v>7280</v>
      </c>
      <c r="E5495" s="5">
        <v>186.01196020749998</v>
      </c>
    </row>
    <row r="5496" ht="14.25" customHeight="1">
      <c r="A5496" s="4"/>
      <c r="B5496" s="4" t="s">
        <v>7279</v>
      </c>
      <c r="C5496" s="4" t="s">
        <v>7780</v>
      </c>
      <c r="D5496" s="4" t="s">
        <v>7280</v>
      </c>
      <c r="E5496" s="5">
        <v>186.01196020749998</v>
      </c>
    </row>
    <row r="5497" ht="14.25" customHeight="1">
      <c r="A5497" s="4"/>
      <c r="B5497" s="4" t="s">
        <v>7279</v>
      </c>
      <c r="C5497" s="4" t="s">
        <v>1960</v>
      </c>
      <c r="D5497" s="4" t="s">
        <v>7280</v>
      </c>
      <c r="E5497" s="5">
        <v>186.01196020749998</v>
      </c>
    </row>
    <row r="5498" ht="14.25" customHeight="1">
      <c r="A5498" s="4"/>
      <c r="B5498" s="4" t="s">
        <v>7279</v>
      </c>
      <c r="C5498" s="4" t="s">
        <v>2048</v>
      </c>
      <c r="D5498" s="4" t="s">
        <v>7781</v>
      </c>
      <c r="E5498" s="5">
        <v>6.0257592362832995</v>
      </c>
    </row>
    <row r="5499" ht="14.25" customHeight="1">
      <c r="A5499" s="4"/>
      <c r="B5499" s="4" t="s">
        <v>7279</v>
      </c>
      <c r="C5499" s="4" t="s">
        <v>7223</v>
      </c>
      <c r="D5499" s="4" t="s">
        <v>7782</v>
      </c>
      <c r="E5499" s="5">
        <v>9.36571446784269</v>
      </c>
    </row>
    <row r="5500" ht="14.25" customHeight="1">
      <c r="A5500" s="4"/>
      <c r="B5500" s="4" t="s">
        <v>7279</v>
      </c>
      <c r="C5500" s="4" t="s">
        <v>1362</v>
      </c>
      <c r="D5500" s="4" t="s">
        <v>7783</v>
      </c>
      <c r="E5500" s="5">
        <v>86.4700129977538</v>
      </c>
    </row>
    <row r="5501" ht="14.25" customHeight="1">
      <c r="A5501" s="4"/>
      <c r="B5501" s="4" t="s">
        <v>7279</v>
      </c>
      <c r="C5501" s="4" t="s">
        <v>7784</v>
      </c>
      <c r="D5501" s="4" t="s">
        <v>7785</v>
      </c>
      <c r="E5501" s="5">
        <v>9.391522758831641</v>
      </c>
    </row>
    <row r="5502" ht="14.25" customHeight="1">
      <c r="A5502" s="4"/>
      <c r="B5502" s="4" t="s">
        <v>7279</v>
      </c>
      <c r="C5502" s="4" t="s">
        <v>3795</v>
      </c>
      <c r="D5502" s="4" t="s">
        <v>7280</v>
      </c>
      <c r="E5502" s="5">
        <v>186.01196020749998</v>
      </c>
    </row>
    <row r="5503" ht="14.25" customHeight="1">
      <c r="A5503" s="4"/>
      <c r="B5503" s="4" t="s">
        <v>7279</v>
      </c>
      <c r="C5503" s="4" t="s">
        <v>7786</v>
      </c>
      <c r="D5503" s="4" t="s">
        <v>7369</v>
      </c>
      <c r="E5503" s="5">
        <v>93.0059801037504</v>
      </c>
    </row>
    <row r="5504" ht="14.25" customHeight="1">
      <c r="A5504" s="4"/>
      <c r="B5504" s="4" t="s">
        <v>7279</v>
      </c>
      <c r="C5504" s="4" t="s">
        <v>2021</v>
      </c>
      <c r="D5504" s="4" t="s">
        <v>7787</v>
      </c>
      <c r="E5504" s="5">
        <v>55.8696341038771</v>
      </c>
    </row>
    <row r="5505" ht="14.25" customHeight="1">
      <c r="A5505" s="4"/>
      <c r="B5505" s="4" t="s">
        <v>7279</v>
      </c>
      <c r="C5505" s="4" t="s">
        <v>4175</v>
      </c>
      <c r="D5505" s="4" t="s">
        <v>7788</v>
      </c>
      <c r="E5505" s="5">
        <v>183.729519191754</v>
      </c>
    </row>
    <row r="5506" ht="14.25" customHeight="1">
      <c r="A5506" s="4"/>
      <c r="B5506" s="4" t="s">
        <v>7279</v>
      </c>
      <c r="C5506" s="4" t="s">
        <v>7789</v>
      </c>
      <c r="D5506" s="4" t="s">
        <v>7280</v>
      </c>
      <c r="E5506" s="5">
        <v>186.01196020749998</v>
      </c>
    </row>
    <row r="5507" ht="14.25" customHeight="1">
      <c r="A5507" s="4"/>
      <c r="B5507" s="4" t="s">
        <v>7279</v>
      </c>
      <c r="C5507" s="4" t="s">
        <v>1611</v>
      </c>
      <c r="D5507" s="4" t="s">
        <v>7790</v>
      </c>
      <c r="E5507" s="5">
        <v>183.264538830814</v>
      </c>
    </row>
    <row r="5508" ht="14.25" customHeight="1">
      <c r="A5508" s="4"/>
      <c r="B5508" s="4" t="s">
        <v>7279</v>
      </c>
      <c r="C5508" s="4" t="s">
        <v>7186</v>
      </c>
      <c r="D5508" s="4" t="s">
        <v>7280</v>
      </c>
      <c r="E5508" s="5">
        <v>186.01196020749998</v>
      </c>
    </row>
    <row r="5509" ht="14.25" customHeight="1">
      <c r="A5509" s="4"/>
      <c r="B5509" s="4" t="s">
        <v>7279</v>
      </c>
      <c r="C5509" s="4" t="s">
        <v>2470</v>
      </c>
      <c r="D5509" s="4" t="s">
        <v>7791</v>
      </c>
      <c r="E5509" s="5">
        <v>9.364010744492589</v>
      </c>
    </row>
    <row r="5510" ht="14.25" customHeight="1">
      <c r="A5510" s="4"/>
      <c r="B5510" s="4" t="s">
        <v>7279</v>
      </c>
      <c r="C5510" s="4" t="s">
        <v>197</v>
      </c>
      <c r="D5510" s="4" t="s">
        <v>7792</v>
      </c>
      <c r="E5510" s="5">
        <v>114.878056669968</v>
      </c>
    </row>
    <row r="5511" ht="14.25" customHeight="1">
      <c r="A5511" s="4"/>
      <c r="B5511" s="4" t="s">
        <v>7279</v>
      </c>
      <c r="C5511" s="4" t="s">
        <v>7793</v>
      </c>
      <c r="D5511" s="4" t="s">
        <v>7794</v>
      </c>
      <c r="E5511" s="5">
        <v>149.14595221399898</v>
      </c>
    </row>
    <row r="5512" ht="14.25" customHeight="1">
      <c r="A5512" s="4"/>
      <c r="B5512" s="4" t="s">
        <v>7279</v>
      </c>
      <c r="C5512" s="4" t="s">
        <v>1749</v>
      </c>
      <c r="D5512" s="4" t="s">
        <v>7795</v>
      </c>
      <c r="E5512" s="5">
        <v>168.960310586669</v>
      </c>
    </row>
    <row r="5513" ht="14.25" customHeight="1">
      <c r="A5513" s="4"/>
      <c r="B5513" s="4" t="s">
        <v>7279</v>
      </c>
      <c r="C5513" s="4" t="s">
        <v>5980</v>
      </c>
      <c r="D5513" s="4" t="s">
        <v>7280</v>
      </c>
      <c r="E5513" s="5">
        <v>186.01196020749998</v>
      </c>
    </row>
    <row r="5514" ht="14.25" customHeight="1">
      <c r="A5514" s="4"/>
      <c r="B5514" s="4" t="s">
        <v>7279</v>
      </c>
      <c r="C5514" s="4" t="s">
        <v>5396</v>
      </c>
      <c r="D5514" s="4" t="s">
        <v>7796</v>
      </c>
      <c r="E5514" s="5">
        <v>130.06651411115598</v>
      </c>
    </row>
    <row r="5515" ht="14.25" customHeight="1">
      <c r="A5515" s="4"/>
      <c r="B5515" s="4" t="s">
        <v>7279</v>
      </c>
      <c r="C5515" s="4" t="s">
        <v>4574</v>
      </c>
      <c r="D5515" s="4" t="s">
        <v>7280</v>
      </c>
      <c r="E5515" s="5">
        <v>186.01196020749998</v>
      </c>
    </row>
    <row r="5516" ht="14.25" customHeight="1">
      <c r="A5516" s="4"/>
      <c r="B5516" s="4" t="s">
        <v>7279</v>
      </c>
      <c r="C5516" s="4" t="s">
        <v>7797</v>
      </c>
      <c r="D5516" s="4" t="s">
        <v>7798</v>
      </c>
      <c r="E5516" s="5">
        <v>81.8452624913003</v>
      </c>
    </row>
    <row r="5517" ht="14.25" customHeight="1">
      <c r="A5517" s="4"/>
      <c r="B5517" s="4" t="s">
        <v>7279</v>
      </c>
      <c r="C5517" s="4" t="s">
        <v>1085</v>
      </c>
      <c r="D5517" s="4" t="s">
        <v>7280</v>
      </c>
      <c r="E5517" s="5">
        <v>186.01196020749998</v>
      </c>
    </row>
    <row r="5518" ht="14.25" customHeight="1">
      <c r="A5518" s="4"/>
      <c r="B5518" s="4" t="s">
        <v>7279</v>
      </c>
      <c r="C5518" s="4" t="s">
        <v>7799</v>
      </c>
      <c r="D5518" s="4" t="s">
        <v>7800</v>
      </c>
      <c r="E5518" s="5">
        <v>9.427969260022829</v>
      </c>
    </row>
    <row r="5519" ht="14.25" customHeight="1">
      <c r="A5519" s="4"/>
      <c r="B5519" s="4" t="s">
        <v>7279</v>
      </c>
      <c r="C5519" s="4" t="s">
        <v>6187</v>
      </c>
      <c r="D5519" s="4" t="s">
        <v>7801</v>
      </c>
      <c r="E5519" s="5">
        <v>9.30133089470808</v>
      </c>
    </row>
    <row r="5520" ht="14.25" customHeight="1">
      <c r="A5520" s="4"/>
      <c r="B5520" s="4" t="s">
        <v>7279</v>
      </c>
      <c r="C5520" s="4" t="s">
        <v>7802</v>
      </c>
      <c r="D5520" s="4" t="s">
        <v>7305</v>
      </c>
      <c r="E5520" s="5">
        <v>55.8035880622502</v>
      </c>
    </row>
    <row r="5521" ht="14.25" customHeight="1">
      <c r="A5521" s="4"/>
      <c r="B5521" s="4" t="s">
        <v>7279</v>
      </c>
      <c r="C5521" s="4" t="s">
        <v>5502</v>
      </c>
      <c r="D5521" s="4" t="s">
        <v>7803</v>
      </c>
      <c r="E5521" s="5">
        <v>11.16071761245</v>
      </c>
    </row>
    <row r="5522" ht="14.25" customHeight="1">
      <c r="A5522" s="4"/>
      <c r="B5522" s="4" t="s">
        <v>7279</v>
      </c>
      <c r="C5522" s="4" t="s">
        <v>5791</v>
      </c>
      <c r="D5522" s="4" t="s">
        <v>7280</v>
      </c>
      <c r="E5522" s="5">
        <v>186.01196020749998</v>
      </c>
    </row>
    <row r="5523" ht="14.25" customHeight="1">
      <c r="A5523" s="4"/>
      <c r="B5523" s="4" t="s">
        <v>7279</v>
      </c>
      <c r="C5523" s="4" t="s">
        <v>2937</v>
      </c>
      <c r="D5523" s="4" t="s">
        <v>7377</v>
      </c>
      <c r="E5523" s="5">
        <v>46.5029900518752</v>
      </c>
    </row>
    <row r="5524" ht="14.25" customHeight="1">
      <c r="A5524" s="4"/>
      <c r="B5524" s="4" t="s">
        <v>7279</v>
      </c>
      <c r="C5524" s="4" t="s">
        <v>4068</v>
      </c>
      <c r="D5524" s="4" t="s">
        <v>7280</v>
      </c>
      <c r="E5524" s="5">
        <v>186.01196020749998</v>
      </c>
    </row>
    <row r="5525" ht="14.25" customHeight="1">
      <c r="A5525" s="4"/>
      <c r="B5525" s="4" t="s">
        <v>7279</v>
      </c>
      <c r="C5525" s="4" t="s">
        <v>7099</v>
      </c>
      <c r="D5525" s="4" t="s">
        <v>7284</v>
      </c>
      <c r="E5525" s="5">
        <v>65.1041860726253</v>
      </c>
    </row>
    <row r="5526" ht="14.25" customHeight="1">
      <c r="A5526" s="4"/>
      <c r="B5526" s="4" t="s">
        <v>7279</v>
      </c>
      <c r="C5526" s="4" t="s">
        <v>5113</v>
      </c>
      <c r="D5526" s="4" t="s">
        <v>7284</v>
      </c>
      <c r="E5526" s="5">
        <v>65.1041860726253</v>
      </c>
    </row>
    <row r="5527" ht="14.25" customHeight="1">
      <c r="A5527" s="4"/>
      <c r="B5527" s="4" t="s">
        <v>7279</v>
      </c>
      <c r="C5527" s="4" t="s">
        <v>7168</v>
      </c>
      <c r="D5527" s="4" t="s">
        <v>7804</v>
      </c>
      <c r="E5527" s="5">
        <v>84.5132092020674</v>
      </c>
    </row>
    <row r="5528" ht="14.25" customHeight="1">
      <c r="A5528" s="4"/>
      <c r="B5528" s="4" t="s">
        <v>7279</v>
      </c>
      <c r="C5528" s="4" t="s">
        <v>6946</v>
      </c>
      <c r="D5528" s="4" t="s">
        <v>7284</v>
      </c>
      <c r="E5528" s="5">
        <v>65.1041860726253</v>
      </c>
    </row>
    <row r="5529" ht="14.25" customHeight="1">
      <c r="A5529" s="4"/>
      <c r="B5529" s="4" t="s">
        <v>7279</v>
      </c>
      <c r="C5529" s="4" t="s">
        <v>5583</v>
      </c>
      <c r="D5529" s="4" t="s">
        <v>7805</v>
      </c>
      <c r="E5529" s="5">
        <v>131.796053345247</v>
      </c>
    </row>
    <row r="5530" ht="14.25" customHeight="1">
      <c r="A5530" s="4"/>
      <c r="B5530" s="4" t="s">
        <v>7279</v>
      </c>
      <c r="C5530" s="4" t="s">
        <v>5597</v>
      </c>
      <c r="D5530" s="4" t="s">
        <v>7280</v>
      </c>
      <c r="E5530" s="5">
        <v>186.01196020749998</v>
      </c>
    </row>
    <row r="5531" ht="14.25" customHeight="1">
      <c r="A5531" s="4"/>
      <c r="B5531" s="4" t="s">
        <v>7279</v>
      </c>
      <c r="C5531" s="4" t="s">
        <v>6295</v>
      </c>
      <c r="D5531" s="4" t="s">
        <v>7806</v>
      </c>
      <c r="E5531" s="5">
        <v>63.0580545103427</v>
      </c>
    </row>
    <row r="5532" ht="14.25" customHeight="1">
      <c r="A5532" s="4"/>
      <c r="B5532" s="4" t="s">
        <v>7279</v>
      </c>
      <c r="C5532" s="4" t="s">
        <v>5546</v>
      </c>
      <c r="D5532" s="4" t="s">
        <v>7807</v>
      </c>
      <c r="E5532" s="5">
        <v>168.474096562149</v>
      </c>
    </row>
    <row r="5533" ht="14.25" customHeight="1">
      <c r="A5533" s="4"/>
      <c r="B5533" s="4" t="s">
        <v>7279</v>
      </c>
      <c r="C5533" s="4" t="s">
        <v>7134</v>
      </c>
      <c r="D5533" s="4" t="s">
        <v>7280</v>
      </c>
      <c r="E5533" s="5">
        <v>186.01196020749998</v>
      </c>
    </row>
    <row r="5534" ht="14.25" customHeight="1">
      <c r="A5534" s="4"/>
      <c r="B5534" s="4" t="s">
        <v>7279</v>
      </c>
      <c r="C5534" s="4" t="s">
        <v>3332</v>
      </c>
      <c r="D5534" s="4" t="s">
        <v>7808</v>
      </c>
      <c r="E5534" s="5">
        <v>74.41100499631291</v>
      </c>
    </row>
    <row r="5535" ht="14.25" customHeight="1">
      <c r="A5535" s="4"/>
      <c r="B5535" s="4" t="s">
        <v>7279</v>
      </c>
      <c r="C5535" s="4" t="s">
        <v>7809</v>
      </c>
      <c r="D5535" s="4" t="s">
        <v>7810</v>
      </c>
      <c r="E5535" s="5">
        <v>27.2387274216509</v>
      </c>
    </row>
    <row r="5536" ht="14.25" customHeight="1">
      <c r="A5536" s="4"/>
      <c r="B5536" s="4" t="s">
        <v>7279</v>
      </c>
      <c r="C5536" s="4" t="s">
        <v>2552</v>
      </c>
      <c r="D5536" s="4" t="s">
        <v>7811</v>
      </c>
      <c r="E5536" s="5">
        <v>10.358540377805001</v>
      </c>
    </row>
    <row r="5537" ht="14.25" customHeight="1">
      <c r="A5537" s="4"/>
      <c r="B5537" s="4" t="s">
        <v>7279</v>
      </c>
      <c r="C5537" s="4" t="s">
        <v>4383</v>
      </c>
      <c r="D5537" s="4" t="s">
        <v>7812</v>
      </c>
      <c r="E5537" s="5">
        <v>17.7381187949212</v>
      </c>
    </row>
    <row r="5538" ht="14.25" customHeight="1">
      <c r="A5538" s="4"/>
      <c r="B5538" s="4" t="s">
        <v>7279</v>
      </c>
      <c r="C5538" s="4" t="s">
        <v>7813</v>
      </c>
      <c r="D5538" s="4" t="s">
        <v>7814</v>
      </c>
      <c r="E5538" s="5">
        <v>74.7050055960381</v>
      </c>
    </row>
    <row r="5539" ht="14.25" customHeight="1">
      <c r="A5539" s="4"/>
      <c r="B5539" s="4" t="s">
        <v>7279</v>
      </c>
      <c r="C5539" s="4" t="s">
        <v>7815</v>
      </c>
      <c r="D5539" s="4" t="s">
        <v>7816</v>
      </c>
      <c r="E5539" s="5">
        <v>49.6430102577413</v>
      </c>
    </row>
    <row r="5540" ht="14.25" customHeight="1">
      <c r="A5540" s="4"/>
      <c r="B5540" s="4" t="s">
        <v>7279</v>
      </c>
      <c r="C5540" s="4" t="s">
        <v>5683</v>
      </c>
      <c r="D5540" s="4" t="s">
        <v>7817</v>
      </c>
      <c r="E5540" s="5">
        <v>24.4843268745661</v>
      </c>
    </row>
    <row r="5541" ht="14.25" customHeight="1">
      <c r="A5541" s="4"/>
      <c r="B5541" s="4" t="s">
        <v>7279</v>
      </c>
      <c r="C5541" s="4" t="s">
        <v>153</v>
      </c>
      <c r="D5541" s="4" t="s">
        <v>7280</v>
      </c>
      <c r="E5541" s="5">
        <v>186.01196020749998</v>
      </c>
    </row>
    <row r="5542" ht="14.25" customHeight="1">
      <c r="A5542" s="4"/>
      <c r="B5542" s="4" t="s">
        <v>7279</v>
      </c>
      <c r="C5542" s="4" t="s">
        <v>4289</v>
      </c>
      <c r="D5542" s="4" t="s">
        <v>7818</v>
      </c>
      <c r="E5542" s="5">
        <v>10.41666977162</v>
      </c>
    </row>
    <row r="5543" ht="14.25" customHeight="1">
      <c r="A5543" s="4"/>
      <c r="B5543" s="4" t="s">
        <v>7279</v>
      </c>
      <c r="C5543" s="4" t="s">
        <v>3883</v>
      </c>
      <c r="D5543" s="4" t="s">
        <v>7819</v>
      </c>
      <c r="E5543" s="5">
        <v>37.070288118767195</v>
      </c>
    </row>
    <row r="5544" ht="14.25" customHeight="1">
      <c r="A5544" s="4"/>
      <c r="B5544" s="4" t="s">
        <v>7279</v>
      </c>
      <c r="C5544" s="4" t="s">
        <v>2754</v>
      </c>
      <c r="D5544" s="4" t="s">
        <v>7820</v>
      </c>
      <c r="E5544" s="5">
        <v>51.284564041132995</v>
      </c>
    </row>
    <row r="5545" ht="14.25" customHeight="1">
      <c r="A5545" s="4"/>
      <c r="B5545" s="4" t="s">
        <v>7279</v>
      </c>
      <c r="C5545" s="4" t="s">
        <v>5347</v>
      </c>
      <c r="D5545" s="4" t="s">
        <v>7821</v>
      </c>
      <c r="E5545" s="5">
        <v>8.50400415814991</v>
      </c>
    </row>
    <row r="5546" ht="14.25" customHeight="1">
      <c r="A5546" s="4"/>
      <c r="B5546" s="4" t="s">
        <v>7279</v>
      </c>
      <c r="C5546" s="4" t="s">
        <v>2651</v>
      </c>
      <c r="D5546" s="4" t="s">
        <v>7822</v>
      </c>
      <c r="E5546" s="5">
        <v>35.204573986364196</v>
      </c>
    </row>
    <row r="5547" ht="14.25" customHeight="1">
      <c r="A5547" s="4"/>
      <c r="B5547" s="4" t="s">
        <v>7279</v>
      </c>
      <c r="C5547" s="4" t="s">
        <v>2390</v>
      </c>
      <c r="D5547" s="4" t="s">
        <v>7280</v>
      </c>
      <c r="E5547" s="5">
        <v>186.01196020749998</v>
      </c>
    </row>
    <row r="5548" ht="14.25" customHeight="1">
      <c r="A5548" s="4"/>
      <c r="B5548" s="4" t="s">
        <v>7279</v>
      </c>
      <c r="C5548" s="4" t="s">
        <v>7823</v>
      </c>
      <c r="D5548" s="4" t="s">
        <v>7824</v>
      </c>
      <c r="E5548" s="5">
        <v>0.18787207980957502</v>
      </c>
    </row>
    <row r="5549" ht="14.25" customHeight="1">
      <c r="A5549" s="4"/>
      <c r="B5549" s="4" t="s">
        <v>7279</v>
      </c>
      <c r="C5549" s="4" t="s">
        <v>632</v>
      </c>
      <c r="D5549" s="4" t="s">
        <v>7280</v>
      </c>
      <c r="E5549" s="5">
        <v>186.01196020749998</v>
      </c>
    </row>
    <row r="5550" ht="14.25" customHeight="1">
      <c r="A5550" s="4"/>
      <c r="B5550" s="4" t="s">
        <v>7279</v>
      </c>
      <c r="C5550" s="4" t="s">
        <v>7825</v>
      </c>
      <c r="D5550" s="4" t="s">
        <v>7826</v>
      </c>
      <c r="E5550" s="5">
        <v>69.5887070625957</v>
      </c>
    </row>
    <row r="5551" ht="14.25" customHeight="1">
      <c r="A5551" s="4"/>
      <c r="B5551" s="4" t="s">
        <v>7279</v>
      </c>
      <c r="C5551" s="4" t="s">
        <v>7827</v>
      </c>
      <c r="D5551" s="4" t="s">
        <v>7828</v>
      </c>
      <c r="E5551" s="5">
        <v>54.535948437932205</v>
      </c>
    </row>
    <row r="5552" ht="14.25" customHeight="1">
      <c r="A5552" s="4"/>
      <c r="B5552" s="4" t="s">
        <v>7279</v>
      </c>
      <c r="C5552" s="4" t="s">
        <v>7829</v>
      </c>
      <c r="D5552" s="4" t="s">
        <v>7830</v>
      </c>
      <c r="E5552" s="5">
        <v>184.999302567826</v>
      </c>
    </row>
    <row r="5553" ht="14.25" customHeight="1">
      <c r="A5553" s="4"/>
      <c r="B5553" s="4" t="s">
        <v>7279</v>
      </c>
      <c r="C5553" s="4" t="s">
        <v>7831</v>
      </c>
      <c r="D5553" s="4" t="s">
        <v>7280</v>
      </c>
      <c r="E5553" s="5">
        <v>186.01196020749998</v>
      </c>
    </row>
    <row r="5554" ht="14.25" customHeight="1">
      <c r="A5554" s="4"/>
      <c r="B5554" s="4" t="s">
        <v>7279</v>
      </c>
      <c r="C5554" s="4" t="s">
        <v>1906</v>
      </c>
      <c r="D5554" s="4" t="s">
        <v>7832</v>
      </c>
      <c r="E5554" s="5">
        <v>8.87785254035319</v>
      </c>
    </row>
    <row r="5555" ht="14.25" customHeight="1">
      <c r="A5555" s="4"/>
      <c r="B5555" s="4" t="s">
        <v>7279</v>
      </c>
      <c r="C5555" s="4" t="s">
        <v>3724</v>
      </c>
      <c r="D5555" s="4" t="s">
        <v>7833</v>
      </c>
      <c r="E5555" s="5">
        <v>0.0671304520386886</v>
      </c>
    </row>
    <row r="5556" ht="14.25" customHeight="1">
      <c r="A5556" s="4"/>
      <c r="B5556" s="4" t="s">
        <v>7279</v>
      </c>
      <c r="C5556" s="4" t="s">
        <v>954</v>
      </c>
      <c r="D5556" s="4" t="s">
        <v>7280</v>
      </c>
      <c r="E5556" s="5">
        <v>186.01196020749998</v>
      </c>
    </row>
    <row r="5557" ht="14.25" customHeight="1">
      <c r="A5557" s="4"/>
      <c r="B5557" s="4" t="s">
        <v>7279</v>
      </c>
      <c r="C5557" s="4" t="s">
        <v>7834</v>
      </c>
      <c r="D5557" s="4" t="s">
        <v>7835</v>
      </c>
      <c r="E5557" s="5">
        <v>12.319239861463599</v>
      </c>
    </row>
    <row r="5558" ht="14.25" customHeight="1">
      <c r="A5558" s="4"/>
      <c r="B5558" s="4" t="s">
        <v>7279</v>
      </c>
      <c r="C5558" s="4" t="s">
        <v>1933</v>
      </c>
      <c r="D5558" s="4" t="s">
        <v>7836</v>
      </c>
      <c r="E5558" s="5">
        <v>138.608541348333</v>
      </c>
    </row>
    <row r="5559" ht="14.25" customHeight="1">
      <c r="A5559" s="4"/>
      <c r="B5559" s="4" t="s">
        <v>7279</v>
      </c>
      <c r="C5559" s="4" t="s">
        <v>191</v>
      </c>
      <c r="D5559" s="4" t="s">
        <v>7280</v>
      </c>
      <c r="E5559" s="5">
        <v>186.01196020749998</v>
      </c>
    </row>
    <row r="5560" ht="14.25" customHeight="1">
      <c r="A5560" s="4"/>
      <c r="B5560" s="4" t="s">
        <v>7279</v>
      </c>
      <c r="C5560" s="4" t="s">
        <v>3493</v>
      </c>
      <c r="D5560" s="4" t="s">
        <v>7675</v>
      </c>
      <c r="E5560" s="5">
        <v>27.9017940311251</v>
      </c>
    </row>
    <row r="5561" ht="14.25" customHeight="1">
      <c r="A5561" s="4"/>
      <c r="B5561" s="4" t="s">
        <v>7279</v>
      </c>
      <c r="C5561" s="4" t="s">
        <v>6861</v>
      </c>
      <c r="D5561" s="4" t="s">
        <v>7837</v>
      </c>
      <c r="E5561" s="5">
        <v>55.8040115054568</v>
      </c>
    </row>
    <row r="5562" ht="14.25" customHeight="1">
      <c r="A5562" s="4"/>
      <c r="B5562" s="4" t="s">
        <v>7279</v>
      </c>
      <c r="C5562" s="4" t="s">
        <v>5063</v>
      </c>
      <c r="D5562" s="4" t="s">
        <v>7459</v>
      </c>
      <c r="E5562" s="5">
        <v>10.2306578114125</v>
      </c>
    </row>
    <row r="5563" ht="14.25" customHeight="1">
      <c r="A5563" s="4"/>
      <c r="B5563" s="4" t="s">
        <v>7279</v>
      </c>
      <c r="C5563" s="4" t="s">
        <v>6749</v>
      </c>
      <c r="D5563" s="4" t="s">
        <v>7838</v>
      </c>
      <c r="E5563" s="5">
        <v>40.9484529076756</v>
      </c>
    </row>
    <row r="5564" ht="14.25" customHeight="1">
      <c r="A5564" s="4"/>
      <c r="B5564" s="4" t="s">
        <v>7279</v>
      </c>
      <c r="C5564" s="4" t="s">
        <v>1675</v>
      </c>
      <c r="D5564" s="4" t="s">
        <v>7280</v>
      </c>
      <c r="E5564" s="5">
        <v>186.01196020749998</v>
      </c>
    </row>
    <row r="5565" ht="14.25" customHeight="1">
      <c r="A5565" s="4"/>
      <c r="B5565" s="4" t="s">
        <v>7279</v>
      </c>
      <c r="C5565" s="4" t="s">
        <v>3181</v>
      </c>
      <c r="D5565" s="4" t="s">
        <v>7839</v>
      </c>
      <c r="E5565" s="5">
        <v>46.7607380033315</v>
      </c>
    </row>
    <row r="5566" ht="14.25" customHeight="1">
      <c r="A5566" s="4"/>
      <c r="B5566" s="4" t="s">
        <v>7279</v>
      </c>
      <c r="C5566" s="4" t="s">
        <v>221</v>
      </c>
      <c r="D5566" s="4" t="s">
        <v>7280</v>
      </c>
      <c r="E5566" s="5">
        <v>186.01196020749998</v>
      </c>
    </row>
    <row r="5567" ht="14.25" customHeight="1">
      <c r="A5567" s="4"/>
      <c r="B5567" s="4" t="s">
        <v>7279</v>
      </c>
      <c r="C5567" s="4" t="s">
        <v>5299</v>
      </c>
      <c r="D5567" s="4" t="s">
        <v>7840</v>
      </c>
      <c r="E5567" s="5">
        <v>4.15807783875122</v>
      </c>
    </row>
    <row r="5568" ht="14.25" customHeight="1">
      <c r="A5568" s="4"/>
      <c r="B5568" s="4" t="s">
        <v>7279</v>
      </c>
      <c r="C5568" s="4" t="s">
        <v>4044</v>
      </c>
      <c r="D5568" s="4" t="s">
        <v>7841</v>
      </c>
      <c r="E5568" s="5">
        <v>13.4602145532679</v>
      </c>
    </row>
    <row r="5569" ht="14.25" customHeight="1">
      <c r="A5569" s="4"/>
      <c r="B5569" s="4" t="s">
        <v>7279</v>
      </c>
      <c r="C5569" s="4" t="s">
        <v>6892</v>
      </c>
      <c r="D5569" s="4" t="s">
        <v>7842</v>
      </c>
      <c r="E5569" s="5">
        <v>46.5110166400857</v>
      </c>
    </row>
    <row r="5570" ht="14.25" customHeight="1">
      <c r="A5570" s="4"/>
      <c r="B5570" s="4" t="s">
        <v>7279</v>
      </c>
      <c r="C5570" s="4" t="s">
        <v>4910</v>
      </c>
      <c r="D5570" s="4" t="s">
        <v>7843</v>
      </c>
      <c r="E5570" s="5">
        <v>6.43980557541164</v>
      </c>
    </row>
    <row r="5571" ht="14.25" customHeight="1">
      <c r="A5571" s="4"/>
      <c r="B5571" s="4" t="s">
        <v>7279</v>
      </c>
      <c r="C5571" s="4" t="s">
        <v>2209</v>
      </c>
      <c r="D5571" s="4" t="s">
        <v>7844</v>
      </c>
      <c r="E5571" s="5">
        <v>65.0003662824286</v>
      </c>
    </row>
    <row r="5572" ht="14.25" customHeight="1">
      <c r="A5572" s="4"/>
      <c r="B5572" s="4" t="s">
        <v>7279</v>
      </c>
      <c r="C5572" s="4" t="s">
        <v>3531</v>
      </c>
      <c r="D5572" s="4" t="s">
        <v>7280</v>
      </c>
      <c r="E5572" s="5">
        <v>186.01196020749998</v>
      </c>
    </row>
    <row r="5573" ht="14.25" customHeight="1">
      <c r="A5573" s="4"/>
      <c r="B5573" s="4" t="s">
        <v>7279</v>
      </c>
      <c r="C5573" s="4" t="s">
        <v>3788</v>
      </c>
      <c r="D5573" s="4" t="s">
        <v>7845</v>
      </c>
      <c r="E5573" s="5">
        <v>65.3312289379202</v>
      </c>
    </row>
    <row r="5574" ht="14.25" customHeight="1">
      <c r="A5574" s="4"/>
      <c r="B5574" s="4" t="s">
        <v>7279</v>
      </c>
      <c r="C5574" s="4" t="s">
        <v>7846</v>
      </c>
      <c r="D5574" s="4" t="s">
        <v>7291</v>
      </c>
      <c r="E5574" s="5">
        <v>9.30059801037504</v>
      </c>
    </row>
    <row r="5575" ht="14.25" customHeight="1">
      <c r="A5575" s="4"/>
      <c r="B5575" s="4" t="s">
        <v>7279</v>
      </c>
      <c r="C5575" s="4" t="s">
        <v>3069</v>
      </c>
      <c r="D5575" s="4" t="s">
        <v>7847</v>
      </c>
      <c r="E5575" s="5">
        <v>1.68879541939259</v>
      </c>
    </row>
    <row r="5576" ht="14.25" customHeight="1">
      <c r="A5576" s="4"/>
      <c r="B5576" s="4" t="s">
        <v>7279</v>
      </c>
      <c r="C5576" s="4" t="s">
        <v>2305</v>
      </c>
      <c r="D5576" s="4" t="s">
        <v>7848</v>
      </c>
      <c r="E5576" s="5">
        <v>32.1124466709485</v>
      </c>
    </row>
    <row r="5577" ht="14.25" customHeight="1">
      <c r="A5577" s="4"/>
      <c r="B5577" s="4" t="s">
        <v>7279</v>
      </c>
      <c r="C5577" s="4" t="s">
        <v>5752</v>
      </c>
      <c r="D5577" s="4" t="s">
        <v>7280</v>
      </c>
      <c r="E5577" s="5">
        <v>186.01196020749998</v>
      </c>
    </row>
    <row r="5578" ht="14.25" customHeight="1">
      <c r="A5578" s="4"/>
      <c r="B5578" s="4" t="s">
        <v>7279</v>
      </c>
      <c r="C5578" s="4" t="s">
        <v>2083</v>
      </c>
      <c r="D5578" s="4" t="s">
        <v>7541</v>
      </c>
      <c r="E5578" s="5">
        <v>83.7053820933753</v>
      </c>
    </row>
    <row r="5579" ht="14.25" customHeight="1">
      <c r="A5579" s="4"/>
      <c r="B5579" s="4" t="s">
        <v>7279</v>
      </c>
      <c r="C5579" s="4" t="s">
        <v>3891</v>
      </c>
      <c r="D5579" s="4" t="s">
        <v>7849</v>
      </c>
      <c r="E5579" s="5">
        <v>19.715050386058802</v>
      </c>
    </row>
    <row r="5580" ht="14.25" customHeight="1">
      <c r="A5580" s="4"/>
      <c r="B5580" s="4" t="s">
        <v>7279</v>
      </c>
      <c r="C5580" s="4" t="s">
        <v>3111</v>
      </c>
      <c r="D5580" s="4" t="s">
        <v>7280</v>
      </c>
      <c r="E5580" s="5">
        <v>186.01196020749998</v>
      </c>
    </row>
    <row r="5581" ht="14.25" customHeight="1">
      <c r="A5581" s="4"/>
      <c r="B5581" s="4" t="s">
        <v>7279</v>
      </c>
      <c r="C5581" s="4" t="s">
        <v>6349</v>
      </c>
      <c r="D5581" s="4" t="s">
        <v>7291</v>
      </c>
      <c r="E5581" s="5">
        <v>9.30059801037504</v>
      </c>
    </row>
    <row r="5582" ht="14.25" customHeight="1">
      <c r="A5582" s="4"/>
      <c r="B5582" s="4" t="s">
        <v>7279</v>
      </c>
      <c r="C5582" s="4" t="s">
        <v>970</v>
      </c>
      <c r="D5582" s="4" t="s">
        <v>7280</v>
      </c>
      <c r="E5582" s="5">
        <v>186.01196020749998</v>
      </c>
    </row>
    <row r="5583" ht="14.25" customHeight="1">
      <c r="A5583" s="4"/>
      <c r="B5583" s="4" t="s">
        <v>7279</v>
      </c>
      <c r="C5583" s="4" t="s">
        <v>4730</v>
      </c>
      <c r="D5583" s="4" t="s">
        <v>7850</v>
      </c>
      <c r="E5583" s="5">
        <v>9.634613201268609</v>
      </c>
    </row>
    <row r="5584" ht="14.25" customHeight="1">
      <c r="A5584" s="4"/>
      <c r="B5584" s="4" t="s">
        <v>7279</v>
      </c>
      <c r="C5584" s="4" t="s">
        <v>7851</v>
      </c>
      <c r="D5584" s="4" t="s">
        <v>7433</v>
      </c>
      <c r="E5584" s="5">
        <v>18.60119602075</v>
      </c>
    </row>
    <row r="5585" ht="14.25" customHeight="1">
      <c r="A5585" s="4"/>
      <c r="B5585" s="4" t="s">
        <v>7279</v>
      </c>
      <c r="C5585" s="4" t="s">
        <v>4600</v>
      </c>
      <c r="D5585" s="4" t="s">
        <v>7852</v>
      </c>
      <c r="E5585" s="5">
        <v>95.2381236262404</v>
      </c>
    </row>
    <row r="5586" ht="14.25" customHeight="1">
      <c r="A5586" s="4"/>
      <c r="B5586" s="4" t="s">
        <v>7279</v>
      </c>
      <c r="C5586" s="4" t="s">
        <v>5350</v>
      </c>
      <c r="D5586" s="4" t="s">
        <v>7291</v>
      </c>
      <c r="E5586" s="5">
        <v>9.30059801037504</v>
      </c>
    </row>
    <row r="5587" ht="14.25" customHeight="1">
      <c r="A5587" s="4"/>
      <c r="B5587" s="4" t="s">
        <v>7279</v>
      </c>
      <c r="C5587" s="4" t="s">
        <v>7853</v>
      </c>
      <c r="D5587" s="4" t="s">
        <v>7280</v>
      </c>
      <c r="E5587" s="5">
        <v>186.01196020749998</v>
      </c>
    </row>
    <row r="5588" ht="14.25" customHeight="1">
      <c r="A5588" s="4"/>
      <c r="B5588" s="4" t="s">
        <v>7279</v>
      </c>
      <c r="C5588" s="4" t="s">
        <v>4816</v>
      </c>
      <c r="D5588" s="4" t="s">
        <v>7854</v>
      </c>
      <c r="E5588" s="5">
        <v>157.73269380510698</v>
      </c>
    </row>
    <row r="5589" ht="14.25" customHeight="1">
      <c r="A5589" s="4"/>
      <c r="B5589" s="4" t="s">
        <v>7279</v>
      </c>
      <c r="C5589" s="4" t="s">
        <v>645</v>
      </c>
      <c r="D5589" s="4" t="s">
        <v>7280</v>
      </c>
      <c r="E5589" s="5">
        <v>186.01196020749998</v>
      </c>
    </row>
    <row r="5590" ht="14.25" customHeight="1">
      <c r="A5590" s="4"/>
      <c r="B5590" s="4" t="s">
        <v>7279</v>
      </c>
      <c r="C5590" s="4" t="s">
        <v>2914</v>
      </c>
      <c r="D5590" s="4" t="s">
        <v>7855</v>
      </c>
      <c r="E5590" s="5">
        <v>122.5206598249</v>
      </c>
    </row>
    <row r="5591" ht="14.25" customHeight="1">
      <c r="A5591" s="4"/>
      <c r="B5591" s="4" t="s">
        <v>7279</v>
      </c>
      <c r="C5591" s="4" t="s">
        <v>401</v>
      </c>
      <c r="D5591" s="4" t="s">
        <v>7280</v>
      </c>
      <c r="E5591" s="5">
        <v>186.01196020749998</v>
      </c>
    </row>
    <row r="5592" ht="14.25" customHeight="1">
      <c r="A5592" s="4"/>
      <c r="B5592" s="4" t="s">
        <v>7279</v>
      </c>
      <c r="C5592" s="4" t="s">
        <v>1482</v>
      </c>
      <c r="D5592" s="4" t="s">
        <v>7280</v>
      </c>
      <c r="E5592" s="5">
        <v>186.01196020749998</v>
      </c>
    </row>
    <row r="5593" ht="14.25" customHeight="1">
      <c r="A5593" s="4"/>
      <c r="B5593" s="4" t="s">
        <v>7279</v>
      </c>
      <c r="C5593" s="4" t="s">
        <v>2669</v>
      </c>
      <c r="D5593" s="4" t="s">
        <v>7541</v>
      </c>
      <c r="E5593" s="5">
        <v>83.7053820933753</v>
      </c>
    </row>
    <row r="5594" ht="14.25" customHeight="1">
      <c r="A5594" s="4"/>
      <c r="B5594" s="4" t="s">
        <v>7279</v>
      </c>
      <c r="C5594" s="4" t="s">
        <v>131</v>
      </c>
      <c r="D5594" s="4" t="s">
        <v>7280</v>
      </c>
      <c r="E5594" s="5">
        <v>186.01196020749998</v>
      </c>
    </row>
    <row r="5595" ht="14.25" customHeight="1">
      <c r="A5595" s="4"/>
      <c r="B5595" s="4" t="s">
        <v>7279</v>
      </c>
      <c r="C5595" s="4" t="s">
        <v>3031</v>
      </c>
      <c r="D5595" s="4" t="s">
        <v>7856</v>
      </c>
      <c r="E5595" s="5">
        <v>22.4546257312612</v>
      </c>
    </row>
    <row r="5596" ht="14.25" customHeight="1">
      <c r="A5596" s="4"/>
      <c r="B5596" s="4" t="s">
        <v>7279</v>
      </c>
      <c r="C5596" s="4" t="s">
        <v>2302</v>
      </c>
      <c r="D5596" s="4" t="s">
        <v>7857</v>
      </c>
      <c r="E5596" s="5">
        <v>169.301815240558</v>
      </c>
    </row>
    <row r="5597" ht="14.25" customHeight="1">
      <c r="A5597" s="4"/>
      <c r="B5597" s="4" t="s">
        <v>7279</v>
      </c>
      <c r="C5597" s="4" t="s">
        <v>2516</v>
      </c>
      <c r="D5597" s="4" t="s">
        <v>7858</v>
      </c>
      <c r="E5597" s="5">
        <v>46.5180740554413</v>
      </c>
    </row>
    <row r="5598" ht="14.25" customHeight="1">
      <c r="A5598" s="4"/>
      <c r="B5598" s="4" t="s">
        <v>7279</v>
      </c>
      <c r="C5598" s="4" t="s">
        <v>7859</v>
      </c>
      <c r="D5598" s="4" t="s">
        <v>7860</v>
      </c>
      <c r="E5598" s="5">
        <v>109.617018413909</v>
      </c>
    </row>
    <row r="5599" ht="14.25" customHeight="1">
      <c r="A5599" s="4"/>
      <c r="B5599" s="4" t="s">
        <v>7279</v>
      </c>
      <c r="C5599" s="4" t="s">
        <v>7861</v>
      </c>
      <c r="D5599" s="4" t="s">
        <v>7862</v>
      </c>
      <c r="E5599" s="5">
        <v>122.693505371954</v>
      </c>
    </row>
    <row r="5600" ht="14.25" customHeight="1">
      <c r="A5600" s="4"/>
      <c r="B5600" s="4" t="s">
        <v>7279</v>
      </c>
      <c r="C5600" s="4" t="s">
        <v>827</v>
      </c>
      <c r="D5600" s="4" t="s">
        <v>7280</v>
      </c>
      <c r="E5600" s="5">
        <v>186.01196020749998</v>
      </c>
    </row>
    <row r="5601" ht="14.25" customHeight="1">
      <c r="A5601" s="4"/>
      <c r="B5601" s="4" t="s">
        <v>7279</v>
      </c>
      <c r="C5601" s="4" t="s">
        <v>4207</v>
      </c>
      <c r="D5601" s="4" t="s">
        <v>7863</v>
      </c>
      <c r="E5601" s="5">
        <v>10.9626536903168</v>
      </c>
    </row>
    <row r="5602" ht="14.25" customHeight="1">
      <c r="A5602" s="4"/>
      <c r="B5602" s="4" t="s">
        <v>7279</v>
      </c>
      <c r="C5602" s="4" t="s">
        <v>4448</v>
      </c>
      <c r="D5602" s="4" t="s">
        <v>7864</v>
      </c>
      <c r="E5602" s="5">
        <v>9.21448001133692</v>
      </c>
    </row>
    <row r="5603" ht="14.25" customHeight="1">
      <c r="A5603" s="4"/>
      <c r="B5603" s="4" t="s">
        <v>7279</v>
      </c>
      <c r="C5603" s="4" t="s">
        <v>734</v>
      </c>
      <c r="D5603" s="4" t="s">
        <v>7280</v>
      </c>
      <c r="E5603" s="5">
        <v>186.01196020749998</v>
      </c>
    </row>
    <row r="5604" ht="14.25" customHeight="1">
      <c r="A5604" s="4"/>
      <c r="B5604" s="4" t="s">
        <v>7279</v>
      </c>
      <c r="C5604" s="4" t="s">
        <v>7865</v>
      </c>
      <c r="D5604" s="4" t="s">
        <v>7866</v>
      </c>
      <c r="E5604" s="5">
        <v>36.4941476225914</v>
      </c>
    </row>
    <row r="5605" ht="14.25" customHeight="1">
      <c r="A5605" s="4"/>
      <c r="B5605" s="4" t="s">
        <v>7279</v>
      </c>
      <c r="C5605" s="4" t="s">
        <v>3239</v>
      </c>
      <c r="D5605" s="4" t="s">
        <v>7369</v>
      </c>
      <c r="E5605" s="5">
        <v>93.0059801037504</v>
      </c>
    </row>
    <row r="5606" ht="14.25" customHeight="1">
      <c r="A5606" s="4"/>
      <c r="B5606" s="4" t="s">
        <v>7279</v>
      </c>
      <c r="C5606" s="4" t="s">
        <v>7867</v>
      </c>
      <c r="D5606" s="4" t="s">
        <v>7377</v>
      </c>
      <c r="E5606" s="5">
        <v>46.5029900518752</v>
      </c>
    </row>
    <row r="5607" ht="14.25" customHeight="1">
      <c r="A5607" s="4"/>
      <c r="B5607" s="4" t="s">
        <v>7279</v>
      </c>
      <c r="C5607" s="4" t="s">
        <v>5734</v>
      </c>
      <c r="D5607" s="4" t="s">
        <v>7868</v>
      </c>
      <c r="E5607" s="5">
        <v>65.4762099930403</v>
      </c>
    </row>
    <row r="5608" ht="14.25" customHeight="1">
      <c r="A5608" s="4"/>
      <c r="B5608" s="4" t="s">
        <v>7279</v>
      </c>
      <c r="C5608" s="4" t="s">
        <v>1669</v>
      </c>
      <c r="D5608" s="4" t="s">
        <v>7869</v>
      </c>
      <c r="E5608" s="5">
        <v>170.81510544937902</v>
      </c>
    </row>
    <row r="5609" ht="14.25" customHeight="1">
      <c r="A5609" s="4"/>
      <c r="B5609" s="4" t="s">
        <v>7279</v>
      </c>
      <c r="C5609" s="4" t="s">
        <v>897</v>
      </c>
      <c r="D5609" s="4" t="s">
        <v>7280</v>
      </c>
      <c r="E5609" s="5">
        <v>186.01196020749998</v>
      </c>
    </row>
    <row r="5610" ht="14.25" customHeight="1">
      <c r="A5610" s="4"/>
      <c r="B5610" s="4" t="s">
        <v>7279</v>
      </c>
      <c r="C5610" s="4" t="s">
        <v>2426</v>
      </c>
      <c r="D5610" s="4" t="s">
        <v>7870</v>
      </c>
      <c r="E5610" s="5">
        <v>82.4761969929825</v>
      </c>
    </row>
    <row r="5611" ht="14.25" customHeight="1">
      <c r="A5611" s="4"/>
      <c r="B5611" s="4" t="s">
        <v>7279</v>
      </c>
      <c r="C5611" s="4" t="s">
        <v>1774</v>
      </c>
      <c r="D5611" s="4" t="s">
        <v>7280</v>
      </c>
      <c r="E5611" s="5">
        <v>186.01196020749998</v>
      </c>
    </row>
    <row r="5612" ht="14.25" customHeight="1">
      <c r="A5612" s="4"/>
      <c r="B5612" s="4" t="s">
        <v>7279</v>
      </c>
      <c r="C5612" s="4" t="s">
        <v>2910</v>
      </c>
      <c r="D5612" s="4" t="s">
        <v>7675</v>
      </c>
      <c r="E5612" s="5">
        <v>27.9017940311251</v>
      </c>
    </row>
    <row r="5613" ht="14.25" customHeight="1">
      <c r="A5613" s="4"/>
      <c r="B5613" s="4" t="s">
        <v>7279</v>
      </c>
      <c r="C5613" s="4" t="s">
        <v>7871</v>
      </c>
      <c r="D5613" s="4" t="s">
        <v>7377</v>
      </c>
      <c r="E5613" s="5">
        <v>46.5029900518752</v>
      </c>
    </row>
    <row r="5614" ht="14.25" customHeight="1">
      <c r="A5614" s="4"/>
      <c r="B5614" s="4" t="s">
        <v>7279</v>
      </c>
      <c r="C5614" s="4" t="s">
        <v>634</v>
      </c>
      <c r="D5614" s="4" t="s">
        <v>7872</v>
      </c>
      <c r="E5614" s="5">
        <v>118.577522074308</v>
      </c>
    </row>
    <row r="5615" ht="14.25" customHeight="1">
      <c r="A5615" s="4"/>
      <c r="B5615" s="4" t="s">
        <v>7279</v>
      </c>
      <c r="C5615" s="4" t="s">
        <v>84</v>
      </c>
      <c r="D5615" s="4" t="s">
        <v>7280</v>
      </c>
      <c r="E5615" s="5">
        <v>186.01196020749998</v>
      </c>
    </row>
    <row r="5616" ht="14.25" customHeight="1">
      <c r="A5616" s="4"/>
      <c r="B5616" s="4" t="s">
        <v>7279</v>
      </c>
      <c r="C5616" s="4" t="s">
        <v>7873</v>
      </c>
      <c r="D5616" s="4" t="s">
        <v>7874</v>
      </c>
      <c r="E5616" s="5">
        <v>44.432428747389004</v>
      </c>
    </row>
    <row r="5617" ht="14.25" customHeight="1">
      <c r="A5617" s="4"/>
      <c r="B5617" s="4" t="s">
        <v>7279</v>
      </c>
      <c r="C5617" s="4" t="s">
        <v>2368</v>
      </c>
      <c r="D5617" s="4" t="s">
        <v>7284</v>
      </c>
      <c r="E5617" s="5">
        <v>65.1041860726253</v>
      </c>
    </row>
    <row r="5618" ht="14.25" customHeight="1">
      <c r="A5618" s="4"/>
      <c r="B5618" s="4" t="s">
        <v>7279</v>
      </c>
      <c r="C5618" s="4" t="s">
        <v>5871</v>
      </c>
      <c r="D5618" s="4" t="s">
        <v>7291</v>
      </c>
      <c r="E5618" s="5">
        <v>9.30059801037504</v>
      </c>
    </row>
    <row r="5619" ht="14.25" customHeight="1">
      <c r="A5619" s="4"/>
      <c r="B5619" s="4" t="s">
        <v>7279</v>
      </c>
      <c r="C5619" s="4" t="s">
        <v>5141</v>
      </c>
      <c r="D5619" s="4" t="s">
        <v>7875</v>
      </c>
      <c r="E5619" s="5">
        <v>149.529021639923</v>
      </c>
    </row>
    <row r="5620" ht="14.25" customHeight="1">
      <c r="A5620" s="4"/>
      <c r="B5620" s="4" t="s">
        <v>7279</v>
      </c>
      <c r="C5620" s="4" t="s">
        <v>4639</v>
      </c>
      <c r="D5620" s="4" t="s">
        <v>7280</v>
      </c>
      <c r="E5620" s="5">
        <v>186.01196020749998</v>
      </c>
    </row>
    <row r="5621" ht="14.25" customHeight="1">
      <c r="A5621" s="4"/>
      <c r="B5621" s="4" t="s">
        <v>7279</v>
      </c>
      <c r="C5621" s="4" t="s">
        <v>3302</v>
      </c>
      <c r="D5621" s="4" t="s">
        <v>7433</v>
      </c>
      <c r="E5621" s="5">
        <v>18.60119602075</v>
      </c>
    </row>
    <row r="5622" ht="14.25" customHeight="1">
      <c r="A5622" s="4"/>
      <c r="B5622" s="4" t="s">
        <v>7279</v>
      </c>
      <c r="C5622" s="4" t="s">
        <v>6273</v>
      </c>
      <c r="D5622" s="4" t="s">
        <v>7876</v>
      </c>
      <c r="E5622" s="5">
        <v>9.371142549259769</v>
      </c>
    </row>
    <row r="5623" ht="14.25" customHeight="1">
      <c r="A5623" s="4"/>
      <c r="B5623" s="4" t="s">
        <v>7279</v>
      </c>
      <c r="C5623" s="4" t="s">
        <v>7877</v>
      </c>
      <c r="D5623" s="4" t="s">
        <v>7878</v>
      </c>
      <c r="E5623" s="5">
        <v>105.12593925543</v>
      </c>
    </row>
    <row r="5624" ht="14.25" customHeight="1">
      <c r="A5624" s="4"/>
      <c r="B5624" s="4" t="s">
        <v>7279</v>
      </c>
      <c r="C5624" s="4" t="s">
        <v>6468</v>
      </c>
      <c r="D5624" s="4" t="s">
        <v>7879</v>
      </c>
      <c r="E5624" s="5">
        <v>14.0104279232682</v>
      </c>
    </row>
    <row r="5625" ht="14.25" customHeight="1">
      <c r="A5625" s="4"/>
      <c r="B5625" s="4" t="s">
        <v>7279</v>
      </c>
      <c r="C5625" s="4" t="s">
        <v>2291</v>
      </c>
      <c r="D5625" s="4" t="s">
        <v>7880</v>
      </c>
      <c r="E5625" s="5">
        <v>130.20837214525</v>
      </c>
    </row>
    <row r="5626" ht="14.25" customHeight="1">
      <c r="A5626" s="4"/>
      <c r="B5626" s="4" t="s">
        <v>7279</v>
      </c>
      <c r="C5626" s="4" t="s">
        <v>7881</v>
      </c>
      <c r="D5626" s="4" t="s">
        <v>7882</v>
      </c>
      <c r="E5626" s="5">
        <v>0.0609073999114954</v>
      </c>
    </row>
    <row r="5627" ht="14.25" customHeight="1">
      <c r="A5627" s="4"/>
      <c r="B5627" s="4" t="s">
        <v>7279</v>
      </c>
      <c r="C5627" s="4" t="s">
        <v>3615</v>
      </c>
      <c r="D5627" s="4" t="s">
        <v>7883</v>
      </c>
      <c r="E5627" s="5">
        <v>120.907774134875</v>
      </c>
    </row>
    <row r="5628" ht="14.25" customHeight="1">
      <c r="A5628" s="4"/>
      <c r="B5628" s="4" t="s">
        <v>7279</v>
      </c>
      <c r="C5628" s="4" t="s">
        <v>4003</v>
      </c>
      <c r="D5628" s="4" t="s">
        <v>7884</v>
      </c>
      <c r="E5628" s="5">
        <v>6.07072633165709</v>
      </c>
    </row>
    <row r="5629" ht="14.25" customHeight="1">
      <c r="A5629" s="4"/>
      <c r="B5629" s="4" t="s">
        <v>7279</v>
      </c>
      <c r="C5629" s="4" t="s">
        <v>2276</v>
      </c>
      <c r="D5629" s="4" t="s">
        <v>7885</v>
      </c>
      <c r="E5629" s="5">
        <v>55.9078059419013</v>
      </c>
    </row>
    <row r="5630" ht="14.25" customHeight="1">
      <c r="A5630" s="4"/>
      <c r="B5630" s="4" t="s">
        <v>7279</v>
      </c>
      <c r="C5630" s="4" t="s">
        <v>6891</v>
      </c>
      <c r="D5630" s="4" t="s">
        <v>7280</v>
      </c>
      <c r="E5630" s="5">
        <v>186.01196020749998</v>
      </c>
    </row>
    <row r="5631" ht="14.25" customHeight="1">
      <c r="A5631" s="4"/>
      <c r="B5631" s="4" t="s">
        <v>7279</v>
      </c>
      <c r="C5631" s="4" t="s">
        <v>3595</v>
      </c>
      <c r="D5631" s="4" t="s">
        <v>7675</v>
      </c>
      <c r="E5631" s="5">
        <v>27.9017940311251</v>
      </c>
    </row>
    <row r="5632" ht="14.25" customHeight="1">
      <c r="A5632" s="4"/>
      <c r="B5632" s="4" t="s">
        <v>7279</v>
      </c>
      <c r="C5632" s="4" t="s">
        <v>5120</v>
      </c>
      <c r="D5632" s="4" t="s">
        <v>7886</v>
      </c>
      <c r="E5632" s="5">
        <v>17.528419564111402</v>
      </c>
    </row>
    <row r="5633" ht="14.25" customHeight="1">
      <c r="A5633" s="4"/>
      <c r="B5633" s="4" t="s">
        <v>7279</v>
      </c>
      <c r="C5633" s="4" t="s">
        <v>7887</v>
      </c>
      <c r="D5633" s="4" t="s">
        <v>7888</v>
      </c>
      <c r="E5633" s="5">
        <v>28.6458418719551</v>
      </c>
    </row>
    <row r="5634" ht="14.25" customHeight="1">
      <c r="A5634" s="4"/>
      <c r="B5634" s="4" t="s">
        <v>7279</v>
      </c>
      <c r="C5634" s="4" t="s">
        <v>673</v>
      </c>
      <c r="D5634" s="4" t="s">
        <v>7889</v>
      </c>
      <c r="E5634" s="5">
        <v>80.9244634694705</v>
      </c>
    </row>
    <row r="5635" ht="14.25" customHeight="1">
      <c r="A5635" s="4"/>
      <c r="B5635" s="4" t="s">
        <v>7279</v>
      </c>
      <c r="C5635" s="4" t="s">
        <v>7890</v>
      </c>
      <c r="D5635" s="4" t="s">
        <v>7891</v>
      </c>
      <c r="E5635" s="5">
        <v>80.81082512641231</v>
      </c>
    </row>
    <row r="5636" ht="14.25" customHeight="1">
      <c r="A5636" s="4"/>
      <c r="B5636" s="4" t="s">
        <v>7279</v>
      </c>
      <c r="C5636" s="4" t="s">
        <v>7892</v>
      </c>
      <c r="D5636" s="4" t="s">
        <v>7893</v>
      </c>
      <c r="E5636" s="5">
        <v>84.9691461237446</v>
      </c>
    </row>
    <row r="5637" ht="14.25" customHeight="1">
      <c r="A5637" s="4"/>
      <c r="B5637" s="4" t="s">
        <v>7279</v>
      </c>
      <c r="C5637" s="4" t="s">
        <v>4634</v>
      </c>
      <c r="D5637" s="4" t="s">
        <v>7284</v>
      </c>
      <c r="E5637" s="5">
        <v>65.1041860726253</v>
      </c>
    </row>
    <row r="5638" ht="14.25" customHeight="1">
      <c r="A5638" s="4"/>
      <c r="B5638" s="4" t="s">
        <v>7279</v>
      </c>
      <c r="C5638" s="4" t="s">
        <v>6745</v>
      </c>
      <c r="D5638" s="4" t="s">
        <v>7291</v>
      </c>
      <c r="E5638" s="5">
        <v>9.30059801037504</v>
      </c>
    </row>
    <row r="5639" ht="14.25" customHeight="1">
      <c r="A5639" s="4"/>
      <c r="B5639" s="4" t="s">
        <v>7279</v>
      </c>
      <c r="C5639" s="4" t="s">
        <v>7894</v>
      </c>
      <c r="D5639" s="4" t="s">
        <v>7291</v>
      </c>
      <c r="E5639" s="5">
        <v>9.30059801037504</v>
      </c>
    </row>
    <row r="5640" ht="14.25" customHeight="1">
      <c r="A5640" s="4"/>
      <c r="B5640" s="4" t="s">
        <v>7279</v>
      </c>
      <c r="C5640" s="4" t="s">
        <v>7895</v>
      </c>
      <c r="D5640" s="4" t="s">
        <v>7896</v>
      </c>
      <c r="E5640" s="5">
        <v>27.2298030454618</v>
      </c>
    </row>
    <row r="5641" ht="14.25" customHeight="1">
      <c r="A5641" s="4"/>
      <c r="B5641" s="4" t="s">
        <v>7279</v>
      </c>
      <c r="C5641" s="4" t="s">
        <v>7897</v>
      </c>
      <c r="D5641" s="4" t="s">
        <v>7898</v>
      </c>
      <c r="E5641" s="5">
        <v>93.5146398035464</v>
      </c>
    </row>
    <row r="5642" ht="14.25" customHeight="1">
      <c r="A5642" s="4"/>
      <c r="B5642" s="4" t="s">
        <v>7279</v>
      </c>
      <c r="C5642" s="4" t="s">
        <v>2149</v>
      </c>
      <c r="D5642" s="4" t="s">
        <v>7899</v>
      </c>
      <c r="E5642" s="5">
        <v>58.2476806907425</v>
      </c>
    </row>
    <row r="5643" ht="14.25" customHeight="1">
      <c r="A5643" s="4"/>
      <c r="B5643" s="4" t="s">
        <v>7279</v>
      </c>
      <c r="C5643" s="4" t="s">
        <v>7900</v>
      </c>
      <c r="D5643" s="4" t="s">
        <v>7901</v>
      </c>
      <c r="E5643" s="5">
        <v>35.3383549602541</v>
      </c>
    </row>
    <row r="5644" ht="14.25" customHeight="1">
      <c r="A5644" s="4"/>
      <c r="B5644" s="4" t="s">
        <v>7279</v>
      </c>
      <c r="C5644" s="4" t="s">
        <v>7902</v>
      </c>
      <c r="D5644" s="4" t="s">
        <v>7903</v>
      </c>
      <c r="E5644" s="5">
        <v>177.385069277405</v>
      </c>
    </row>
    <row r="5645" ht="14.25" customHeight="1">
      <c r="A5645" s="4"/>
      <c r="B5645" s="4" t="s">
        <v>7279</v>
      </c>
      <c r="C5645" s="4" t="s">
        <v>7904</v>
      </c>
      <c r="D5645" s="4" t="s">
        <v>7905</v>
      </c>
      <c r="E5645" s="5">
        <v>52.7738553347486</v>
      </c>
    </row>
    <row r="5646" ht="14.25" customHeight="1">
      <c r="A5646" s="4"/>
      <c r="B5646" s="4" t="s">
        <v>7279</v>
      </c>
      <c r="C5646" s="4" t="s">
        <v>5647</v>
      </c>
      <c r="D5646" s="4" t="s">
        <v>7906</v>
      </c>
      <c r="E5646" s="5">
        <v>14.7995423352898</v>
      </c>
    </row>
    <row r="5647" ht="14.25" customHeight="1">
      <c r="A5647" s="4"/>
      <c r="B5647" s="4" t="s">
        <v>7279</v>
      </c>
      <c r="C5647" s="4" t="s">
        <v>4197</v>
      </c>
      <c r="D5647" s="4" t="s">
        <v>7907</v>
      </c>
      <c r="E5647" s="5">
        <v>8.49084008129421</v>
      </c>
    </row>
    <row r="5648" ht="14.25" customHeight="1">
      <c r="A5648" s="4"/>
      <c r="B5648" s="4" t="s">
        <v>7279</v>
      </c>
      <c r="C5648" s="4" t="s">
        <v>2193</v>
      </c>
      <c r="D5648" s="4" t="s">
        <v>7908</v>
      </c>
      <c r="E5648" s="5">
        <v>65.0865808214698</v>
      </c>
    </row>
    <row r="5649" ht="14.25" customHeight="1">
      <c r="A5649" s="4"/>
      <c r="B5649" s="4" t="s">
        <v>7279</v>
      </c>
      <c r="C5649" s="4" t="s">
        <v>6290</v>
      </c>
      <c r="D5649" s="4" t="s">
        <v>7909</v>
      </c>
      <c r="E5649" s="5">
        <v>19.5755123638112</v>
      </c>
    </row>
    <row r="5650" ht="14.25" customHeight="1">
      <c r="A5650" s="4"/>
      <c r="B5650" s="4" t="s">
        <v>7279</v>
      </c>
      <c r="C5650" s="4" t="s">
        <v>7910</v>
      </c>
      <c r="D5650" s="4" t="s">
        <v>7911</v>
      </c>
      <c r="E5650" s="5">
        <v>112.504135694875</v>
      </c>
    </row>
    <row r="5651" ht="14.25" customHeight="1">
      <c r="A5651" s="4"/>
      <c r="B5651" s="4" t="s">
        <v>7279</v>
      </c>
      <c r="C5651" s="4" t="s">
        <v>5096</v>
      </c>
      <c r="D5651" s="4" t="s">
        <v>7912</v>
      </c>
      <c r="E5651" s="5">
        <v>27.190835101952</v>
      </c>
    </row>
    <row r="5652" ht="14.25" customHeight="1">
      <c r="A5652" s="4"/>
      <c r="B5652" s="4" t="s">
        <v>7279</v>
      </c>
      <c r="C5652" s="4" t="s">
        <v>1556</v>
      </c>
      <c r="D5652" s="4" t="s">
        <v>7280</v>
      </c>
      <c r="E5652" s="5">
        <v>186.01196020749998</v>
      </c>
    </row>
    <row r="5653" ht="14.25" customHeight="1">
      <c r="A5653" s="4"/>
      <c r="B5653" s="4" t="s">
        <v>7279</v>
      </c>
      <c r="C5653" s="4" t="s">
        <v>2373</v>
      </c>
      <c r="D5653" s="4" t="s">
        <v>7913</v>
      </c>
      <c r="E5653" s="5">
        <v>92.4467567758222</v>
      </c>
    </row>
    <row r="5654" ht="14.25" customHeight="1">
      <c r="A5654" s="4"/>
      <c r="B5654" s="4" t="s">
        <v>7279</v>
      </c>
      <c r="C5654" s="4" t="s">
        <v>7914</v>
      </c>
      <c r="D5654" s="4" t="s">
        <v>7347</v>
      </c>
      <c r="E5654" s="5">
        <v>2.79017940311251</v>
      </c>
    </row>
    <row r="5655" ht="14.25" customHeight="1">
      <c r="A5655" s="4"/>
      <c r="B5655" s="4" t="s">
        <v>7279</v>
      </c>
      <c r="C5655" s="4" t="s">
        <v>7915</v>
      </c>
      <c r="D5655" s="4" t="s">
        <v>7916</v>
      </c>
      <c r="E5655" s="5">
        <v>5.39434684601752</v>
      </c>
    </row>
    <row r="5656" ht="14.25" customHeight="1">
      <c r="A5656" s="4"/>
      <c r="B5656" s="4" t="s">
        <v>7279</v>
      </c>
      <c r="C5656" s="4" t="s">
        <v>3901</v>
      </c>
      <c r="D5656" s="4" t="s">
        <v>7917</v>
      </c>
      <c r="E5656" s="5">
        <v>5.32128109125676</v>
      </c>
    </row>
    <row r="5657" ht="14.25" customHeight="1">
      <c r="A5657" s="4"/>
      <c r="B5657" s="4" t="s">
        <v>7279</v>
      </c>
      <c r="C5657" s="4" t="s">
        <v>6343</v>
      </c>
      <c r="D5657" s="4" t="s">
        <v>7918</v>
      </c>
      <c r="E5657" s="5">
        <v>157.049898003192</v>
      </c>
    </row>
    <row r="5658" ht="14.25" customHeight="1">
      <c r="A5658" s="4"/>
      <c r="B5658" s="4" t="s">
        <v>7279</v>
      </c>
      <c r="C5658" s="4" t="s">
        <v>6039</v>
      </c>
      <c r="D5658" s="4" t="s">
        <v>7919</v>
      </c>
      <c r="E5658" s="5">
        <v>9.418986072263309</v>
      </c>
    </row>
    <row r="5659" ht="14.25" customHeight="1">
      <c r="A5659" s="4"/>
      <c r="B5659" s="4" t="s">
        <v>7279</v>
      </c>
      <c r="C5659" s="4" t="s">
        <v>3970</v>
      </c>
      <c r="D5659" s="4" t="s">
        <v>7920</v>
      </c>
      <c r="E5659" s="5">
        <v>18.3572680955169</v>
      </c>
    </row>
    <row r="5660" ht="14.25" customHeight="1">
      <c r="A5660" s="4"/>
      <c r="B5660" s="4" t="s">
        <v>7279</v>
      </c>
      <c r="C5660" s="4" t="s">
        <v>4984</v>
      </c>
      <c r="D5660" s="4" t="s">
        <v>7921</v>
      </c>
      <c r="E5660" s="5">
        <v>30.037406350834402</v>
      </c>
    </row>
    <row r="5661" ht="14.25" customHeight="1">
      <c r="A5661" s="4"/>
      <c r="B5661" s="4" t="s">
        <v>7279</v>
      </c>
      <c r="C5661" s="4" t="s">
        <v>7922</v>
      </c>
      <c r="D5661" s="4" t="s">
        <v>7377</v>
      </c>
      <c r="E5661" s="5">
        <v>46.5029900518752</v>
      </c>
    </row>
    <row r="5662" ht="14.25" customHeight="1">
      <c r="A5662" s="4"/>
      <c r="B5662" s="4" t="s">
        <v>7279</v>
      </c>
      <c r="C5662" s="4" t="s">
        <v>7923</v>
      </c>
      <c r="D5662" s="4" t="s">
        <v>7924</v>
      </c>
      <c r="E5662" s="5">
        <v>185.748027220053</v>
      </c>
    </row>
    <row r="5663" ht="14.25" customHeight="1">
      <c r="A5663" s="4"/>
      <c r="B5663" s="4" t="s">
        <v>7279</v>
      </c>
      <c r="C5663" s="4" t="s">
        <v>7925</v>
      </c>
      <c r="D5663" s="4" t="s">
        <v>7926</v>
      </c>
      <c r="E5663" s="5">
        <v>120.017275816984</v>
      </c>
    </row>
    <row r="5664" ht="14.25" customHeight="1">
      <c r="A5664" s="4"/>
      <c r="B5664" s="4" t="s">
        <v>7279</v>
      </c>
      <c r="C5664" s="4" t="s">
        <v>4294</v>
      </c>
      <c r="D5664" s="4" t="s">
        <v>7927</v>
      </c>
      <c r="E5664" s="5">
        <v>8.36826415661614</v>
      </c>
    </row>
    <row r="5665" ht="14.25" customHeight="1">
      <c r="A5665" s="4"/>
      <c r="B5665" s="4" t="s">
        <v>7279</v>
      </c>
      <c r="C5665" s="4" t="s">
        <v>3771</v>
      </c>
      <c r="D5665" s="4" t="s">
        <v>7291</v>
      </c>
      <c r="E5665" s="5">
        <v>9.30059801037504</v>
      </c>
    </row>
    <row r="5666" ht="14.25" customHeight="1">
      <c r="A5666" s="4"/>
      <c r="B5666" s="4" t="s">
        <v>7279</v>
      </c>
      <c r="C5666" s="4" t="s">
        <v>7928</v>
      </c>
      <c r="D5666" s="4" t="s">
        <v>7280</v>
      </c>
      <c r="E5666" s="5">
        <v>186.01196020749998</v>
      </c>
    </row>
    <row r="5667" ht="14.25" customHeight="1">
      <c r="A5667" s="4"/>
      <c r="B5667" s="4" t="s">
        <v>7279</v>
      </c>
      <c r="C5667" s="4" t="s">
        <v>2091</v>
      </c>
      <c r="D5667" s="4" t="s">
        <v>7929</v>
      </c>
      <c r="E5667" s="5">
        <v>28.8111503916536</v>
      </c>
    </row>
    <row r="5668" ht="14.25" customHeight="1">
      <c r="A5668" s="4"/>
      <c r="B5668" s="4" t="s">
        <v>7279</v>
      </c>
      <c r="C5668" s="4" t="s">
        <v>2633</v>
      </c>
      <c r="D5668" s="4" t="s">
        <v>7280</v>
      </c>
      <c r="E5668" s="5">
        <v>186.01196020749998</v>
      </c>
    </row>
    <row r="5669" ht="14.25" customHeight="1">
      <c r="A5669" s="4"/>
      <c r="B5669" s="4" t="s">
        <v>7279</v>
      </c>
      <c r="C5669" s="4" t="s">
        <v>813</v>
      </c>
      <c r="D5669" s="4" t="s">
        <v>7280</v>
      </c>
      <c r="E5669" s="5">
        <v>186.01196020749998</v>
      </c>
    </row>
    <row r="5670" ht="14.25" customHeight="1">
      <c r="A5670" s="4"/>
      <c r="B5670" s="4" t="s">
        <v>7279</v>
      </c>
      <c r="C5670" s="4" t="s">
        <v>7160</v>
      </c>
      <c r="D5670" s="4" t="s">
        <v>7930</v>
      </c>
      <c r="E5670" s="5">
        <v>83.7055118977295</v>
      </c>
    </row>
    <row r="5671" ht="14.25" customHeight="1">
      <c r="A5671" s="4"/>
      <c r="B5671" s="4" t="s">
        <v>7279</v>
      </c>
      <c r="C5671" s="4" t="s">
        <v>4274</v>
      </c>
      <c r="D5671" s="4" t="s">
        <v>7931</v>
      </c>
      <c r="E5671" s="5">
        <v>148.824770494192</v>
      </c>
    </row>
    <row r="5672" ht="14.25" customHeight="1">
      <c r="A5672" s="4"/>
      <c r="B5672" s="4" t="s">
        <v>7279</v>
      </c>
      <c r="C5672" s="4" t="s">
        <v>6616</v>
      </c>
      <c r="D5672" s="4" t="s">
        <v>7284</v>
      </c>
      <c r="E5672" s="5">
        <v>65.1041860726253</v>
      </c>
    </row>
    <row r="5673" ht="14.25" customHeight="1">
      <c r="A5673" s="4"/>
      <c r="B5673" s="4" t="s">
        <v>7279</v>
      </c>
      <c r="C5673" s="4" t="s">
        <v>4155</v>
      </c>
      <c r="D5673" s="4" t="s">
        <v>7932</v>
      </c>
      <c r="E5673" s="5">
        <v>30.6602354221731</v>
      </c>
    </row>
    <row r="5674" ht="14.25" customHeight="1">
      <c r="A5674" s="4"/>
      <c r="B5674" s="4" t="s">
        <v>7279</v>
      </c>
      <c r="C5674" s="4" t="s">
        <v>6032</v>
      </c>
      <c r="D5674" s="4" t="s">
        <v>7933</v>
      </c>
      <c r="E5674" s="5">
        <v>102.706280779211</v>
      </c>
    </row>
    <row r="5675" ht="14.25" customHeight="1">
      <c r="A5675" s="4"/>
      <c r="B5675" s="4" t="s">
        <v>7279</v>
      </c>
      <c r="C5675" s="4" t="s">
        <v>3561</v>
      </c>
      <c r="D5675" s="4" t="s">
        <v>7934</v>
      </c>
      <c r="E5675" s="5">
        <v>9.343382913009119</v>
      </c>
    </row>
    <row r="5676" ht="14.25" customHeight="1">
      <c r="A5676" s="4"/>
      <c r="B5676" s="4" t="s">
        <v>7279</v>
      </c>
      <c r="C5676" s="4" t="s">
        <v>7935</v>
      </c>
      <c r="D5676" s="4" t="s">
        <v>7305</v>
      </c>
      <c r="E5676" s="5">
        <v>55.8035880622502</v>
      </c>
    </row>
    <row r="5677" ht="14.25" customHeight="1">
      <c r="A5677" s="4"/>
      <c r="B5677" s="4" t="s">
        <v>7279</v>
      </c>
      <c r="C5677" s="4" t="s">
        <v>7936</v>
      </c>
      <c r="D5677" s="4" t="s">
        <v>7937</v>
      </c>
      <c r="E5677" s="5">
        <v>88.07547942129159</v>
      </c>
    </row>
    <row r="5678" ht="14.25" customHeight="1">
      <c r="A5678" s="4"/>
      <c r="B5678" s="4" t="s">
        <v>7279</v>
      </c>
      <c r="C5678" s="4" t="s">
        <v>2154</v>
      </c>
      <c r="D5678" s="4" t="s">
        <v>7938</v>
      </c>
      <c r="E5678" s="5">
        <v>9.552461316135979</v>
      </c>
    </row>
    <row r="5679" ht="14.25" customHeight="1">
      <c r="A5679" s="4"/>
      <c r="B5679" s="4" t="s">
        <v>7279</v>
      </c>
      <c r="C5679" s="4" t="s">
        <v>4367</v>
      </c>
      <c r="D5679" s="4" t="s">
        <v>7280</v>
      </c>
      <c r="E5679" s="5">
        <v>186.01196020749998</v>
      </c>
    </row>
    <row r="5680" ht="14.25" customHeight="1">
      <c r="A5680" s="4"/>
      <c r="B5680" s="4" t="s">
        <v>7279</v>
      </c>
      <c r="C5680" s="4" t="s">
        <v>6829</v>
      </c>
      <c r="D5680" s="4" t="s">
        <v>7939</v>
      </c>
      <c r="E5680" s="5">
        <v>45.3873262851708</v>
      </c>
    </row>
    <row r="5681" ht="14.25" customHeight="1">
      <c r="A5681" s="4"/>
      <c r="B5681" s="4" t="s">
        <v>7279</v>
      </c>
      <c r="C5681" s="4" t="s">
        <v>7940</v>
      </c>
      <c r="D5681" s="4" t="s">
        <v>7941</v>
      </c>
      <c r="E5681" s="5">
        <v>48.565402013645</v>
      </c>
    </row>
    <row r="5682" ht="14.25" customHeight="1">
      <c r="A5682" s="4"/>
      <c r="B5682" s="4" t="s">
        <v>7279</v>
      </c>
      <c r="C5682" s="4" t="s">
        <v>3384</v>
      </c>
      <c r="D5682" s="4" t="s">
        <v>7942</v>
      </c>
      <c r="E5682" s="5">
        <v>9.28479516957815</v>
      </c>
    </row>
    <row r="5683" ht="14.25" customHeight="1">
      <c r="A5683" s="4"/>
      <c r="B5683" s="4" t="s">
        <v>7279</v>
      </c>
      <c r="C5683" s="4" t="s">
        <v>5558</v>
      </c>
      <c r="D5683" s="4" t="s">
        <v>7943</v>
      </c>
      <c r="E5683" s="5">
        <v>8.90316889473935</v>
      </c>
    </row>
    <row r="5684" ht="14.25" customHeight="1">
      <c r="A5684" s="4"/>
      <c r="B5684" s="4" t="s">
        <v>7279</v>
      </c>
      <c r="C5684" s="4" t="s">
        <v>3660</v>
      </c>
      <c r="D5684" s="4" t="s">
        <v>7944</v>
      </c>
      <c r="E5684" s="5">
        <v>65.1097821955731</v>
      </c>
    </row>
    <row r="5685" ht="14.25" customHeight="1">
      <c r="A5685" s="4"/>
      <c r="B5685" s="4" t="s">
        <v>7279</v>
      </c>
      <c r="C5685" s="4" t="s">
        <v>6257</v>
      </c>
      <c r="D5685" s="4" t="s">
        <v>7945</v>
      </c>
      <c r="E5685" s="5">
        <v>10.2625364022019</v>
      </c>
    </row>
    <row r="5686" ht="14.25" customHeight="1">
      <c r="A5686" s="4"/>
      <c r="B5686" s="4" t="s">
        <v>7279</v>
      </c>
      <c r="C5686" s="4" t="s">
        <v>4665</v>
      </c>
      <c r="D5686" s="4" t="s">
        <v>7946</v>
      </c>
      <c r="E5686" s="5">
        <v>9.35809712089209</v>
      </c>
    </row>
    <row r="5687" ht="14.25" customHeight="1">
      <c r="A5687" s="4"/>
      <c r="B5687" s="4" t="s">
        <v>7279</v>
      </c>
      <c r="C5687" s="4" t="s">
        <v>7947</v>
      </c>
      <c r="D5687" s="4" t="s">
        <v>7291</v>
      </c>
      <c r="E5687" s="5">
        <v>9.30059801037504</v>
      </c>
    </row>
    <row r="5688" ht="14.25" customHeight="1">
      <c r="A5688" s="4"/>
      <c r="B5688" s="4" t="s">
        <v>7279</v>
      </c>
      <c r="C5688" s="4" t="s">
        <v>2501</v>
      </c>
      <c r="D5688" s="4" t="s">
        <v>7948</v>
      </c>
      <c r="E5688" s="5">
        <v>42.1220858014088</v>
      </c>
    </row>
    <row r="5689" ht="14.25" customHeight="1">
      <c r="A5689" s="4"/>
      <c r="B5689" s="4" t="s">
        <v>7279</v>
      </c>
      <c r="C5689" s="4" t="s">
        <v>5331</v>
      </c>
      <c r="D5689" s="4" t="s">
        <v>7949</v>
      </c>
      <c r="E5689" s="5">
        <v>7.16285423809329</v>
      </c>
    </row>
    <row r="5690" ht="14.25" customHeight="1">
      <c r="A5690" s="4"/>
      <c r="B5690" s="4" t="s">
        <v>7279</v>
      </c>
      <c r="C5690" s="4" t="s">
        <v>7950</v>
      </c>
      <c r="D5690" s="4" t="s">
        <v>7541</v>
      </c>
      <c r="E5690" s="5">
        <v>83.7053820933753</v>
      </c>
    </row>
    <row r="5691" ht="14.25" customHeight="1">
      <c r="A5691" s="4"/>
      <c r="B5691" s="4" t="s">
        <v>7279</v>
      </c>
      <c r="C5691" s="4" t="s">
        <v>2888</v>
      </c>
      <c r="D5691" s="4" t="s">
        <v>7280</v>
      </c>
      <c r="E5691" s="5">
        <v>186.01196020749998</v>
      </c>
    </row>
    <row r="5692" ht="14.25" customHeight="1">
      <c r="A5692" s="4"/>
      <c r="B5692" s="4" t="s">
        <v>7279</v>
      </c>
      <c r="C5692" s="4" t="s">
        <v>6782</v>
      </c>
      <c r="D5692" s="4" t="s">
        <v>7951</v>
      </c>
      <c r="E5692" s="5">
        <v>33.2313241838057</v>
      </c>
    </row>
    <row r="5693" ht="14.25" customHeight="1">
      <c r="A5693" s="4"/>
      <c r="B5693" s="4" t="s">
        <v>7279</v>
      </c>
      <c r="C5693" s="4" t="s">
        <v>7952</v>
      </c>
      <c r="D5693" s="4" t="s">
        <v>7280</v>
      </c>
      <c r="E5693" s="5">
        <v>186.01196020749998</v>
      </c>
    </row>
    <row r="5694" ht="14.25" customHeight="1">
      <c r="A5694" s="4"/>
      <c r="B5694" s="4" t="s">
        <v>7279</v>
      </c>
      <c r="C5694" s="4" t="s">
        <v>7953</v>
      </c>
      <c r="D5694" s="4" t="s">
        <v>7954</v>
      </c>
      <c r="E5694" s="5">
        <v>48.6893955803598</v>
      </c>
    </row>
    <row r="5695" ht="14.25" customHeight="1">
      <c r="A5695" s="4"/>
      <c r="B5695" s="4" t="s">
        <v>7279</v>
      </c>
      <c r="C5695" s="4" t="s">
        <v>620</v>
      </c>
      <c r="D5695" s="4" t="s">
        <v>7955</v>
      </c>
      <c r="E5695" s="5">
        <v>116.121640578928</v>
      </c>
    </row>
    <row r="5696" ht="14.25" customHeight="1">
      <c r="A5696" s="4"/>
      <c r="B5696" s="4" t="s">
        <v>7279</v>
      </c>
      <c r="C5696" s="4" t="s">
        <v>4489</v>
      </c>
      <c r="D5696" s="4" t="s">
        <v>7956</v>
      </c>
      <c r="E5696" s="5">
        <v>47.283422821147305</v>
      </c>
    </row>
    <row r="5697" ht="14.25" customHeight="1">
      <c r="A5697" s="4"/>
      <c r="B5697" s="4" t="s">
        <v>7279</v>
      </c>
      <c r="C5697" s="4" t="s">
        <v>7230</v>
      </c>
      <c r="D5697" s="4" t="s">
        <v>7957</v>
      </c>
      <c r="E5697" s="5">
        <v>49.6211835161244</v>
      </c>
    </row>
    <row r="5698" ht="14.25" customHeight="1">
      <c r="A5698" s="4"/>
      <c r="B5698" s="4" t="s">
        <v>7279</v>
      </c>
      <c r="C5698" s="4" t="s">
        <v>1469</v>
      </c>
      <c r="D5698" s="4" t="s">
        <v>7280</v>
      </c>
      <c r="E5698" s="5">
        <v>186.01196020749998</v>
      </c>
    </row>
    <row r="5699" ht="14.25" customHeight="1">
      <c r="A5699" s="4"/>
      <c r="B5699" s="4" t="s">
        <v>7279</v>
      </c>
      <c r="C5699" s="4" t="s">
        <v>1996</v>
      </c>
      <c r="D5699" s="4" t="s">
        <v>7958</v>
      </c>
      <c r="E5699" s="5">
        <v>75.0029461984257</v>
      </c>
    </row>
    <row r="5700" ht="14.25" customHeight="1">
      <c r="A5700" s="4"/>
      <c r="B5700" s="4" t="s">
        <v>7279</v>
      </c>
      <c r="C5700" s="4" t="s">
        <v>56</v>
      </c>
      <c r="D5700" s="4" t="s">
        <v>7280</v>
      </c>
      <c r="E5700" s="5">
        <v>186.01196020749998</v>
      </c>
    </row>
    <row r="5701" ht="14.25" customHeight="1">
      <c r="A5701" s="4"/>
      <c r="B5701" s="4" t="s">
        <v>7279</v>
      </c>
      <c r="C5701" s="4" t="s">
        <v>3249</v>
      </c>
      <c r="D5701" s="4" t="s">
        <v>7280</v>
      </c>
      <c r="E5701" s="5">
        <v>186.01196020749998</v>
      </c>
    </row>
    <row r="5702" ht="14.25" customHeight="1">
      <c r="A5702" s="4"/>
      <c r="B5702" s="4" t="s">
        <v>7279</v>
      </c>
      <c r="C5702" s="4" t="s">
        <v>722</v>
      </c>
      <c r="D5702" s="4" t="s">
        <v>7280</v>
      </c>
      <c r="E5702" s="5">
        <v>186.01196020749998</v>
      </c>
    </row>
    <row r="5703" ht="14.25" customHeight="1">
      <c r="A5703" s="4"/>
      <c r="B5703" s="4" t="s">
        <v>7279</v>
      </c>
      <c r="C5703" s="4" t="s">
        <v>3127</v>
      </c>
      <c r="D5703" s="4" t="s">
        <v>7959</v>
      </c>
      <c r="E5703" s="5">
        <v>8.48416503718631</v>
      </c>
    </row>
    <row r="5704" ht="14.25" customHeight="1">
      <c r="A5704" s="4"/>
      <c r="B5704" s="4" t="s">
        <v>7279</v>
      </c>
      <c r="C5704" s="4" t="s">
        <v>5903</v>
      </c>
      <c r="D5704" s="4" t="s">
        <v>7960</v>
      </c>
      <c r="E5704" s="5">
        <v>6.640276285340771</v>
      </c>
    </row>
    <row r="5705" ht="14.25" customHeight="1">
      <c r="A5705" s="4"/>
      <c r="B5705" s="4" t="s">
        <v>7279</v>
      </c>
      <c r="C5705" s="4" t="s">
        <v>6524</v>
      </c>
      <c r="D5705" s="4" t="s">
        <v>7961</v>
      </c>
      <c r="E5705" s="5">
        <v>65.3003853446491</v>
      </c>
    </row>
    <row r="5706" ht="14.25" customHeight="1">
      <c r="A5706" s="4"/>
      <c r="B5706" s="4" t="s">
        <v>7279</v>
      </c>
      <c r="C5706" s="4" t="s">
        <v>43</v>
      </c>
      <c r="D5706" s="4" t="s">
        <v>7962</v>
      </c>
      <c r="E5706" s="5">
        <v>6.37735923984782</v>
      </c>
    </row>
    <row r="5707" ht="14.25" customHeight="1">
      <c r="A5707" s="4"/>
      <c r="B5707" s="4" t="s">
        <v>7279</v>
      </c>
      <c r="C5707" s="4" t="s">
        <v>6353</v>
      </c>
      <c r="D5707" s="4" t="s">
        <v>7963</v>
      </c>
      <c r="E5707" s="5">
        <v>10.044645851204999</v>
      </c>
    </row>
    <row r="5708" ht="14.25" customHeight="1">
      <c r="A5708" s="4"/>
      <c r="B5708" s="4" t="s">
        <v>7279</v>
      </c>
      <c r="C5708" s="4" t="s">
        <v>2764</v>
      </c>
      <c r="D5708" s="4" t="s">
        <v>7280</v>
      </c>
      <c r="E5708" s="5">
        <v>186.01196020749998</v>
      </c>
    </row>
    <row r="5709" ht="14.25" customHeight="1">
      <c r="A5709" s="4"/>
      <c r="B5709" s="4" t="s">
        <v>7279</v>
      </c>
      <c r="C5709" s="4" t="s">
        <v>5077</v>
      </c>
      <c r="D5709" s="4" t="s">
        <v>7291</v>
      </c>
      <c r="E5709" s="5">
        <v>9.30059801037504</v>
      </c>
    </row>
    <row r="5710" ht="14.25" customHeight="1">
      <c r="A5710" s="4"/>
      <c r="B5710" s="4" t="s">
        <v>7279</v>
      </c>
      <c r="C5710" s="4" t="s">
        <v>7964</v>
      </c>
      <c r="D5710" s="4" t="s">
        <v>7965</v>
      </c>
      <c r="E5710" s="5">
        <v>97.90216786675511</v>
      </c>
    </row>
    <row r="5711" ht="14.25" customHeight="1">
      <c r="A5711" s="4"/>
      <c r="B5711" s="4" t="s">
        <v>7279</v>
      </c>
      <c r="C5711" s="4" t="s">
        <v>7966</v>
      </c>
      <c r="D5711" s="4" t="s">
        <v>7291</v>
      </c>
      <c r="E5711" s="5">
        <v>9.30059801037504</v>
      </c>
    </row>
    <row r="5712" ht="14.25" customHeight="1">
      <c r="A5712" s="4"/>
      <c r="B5712" s="4" t="s">
        <v>7279</v>
      </c>
      <c r="C5712" s="4" t="s">
        <v>3204</v>
      </c>
      <c r="D5712" s="4" t="s">
        <v>7967</v>
      </c>
      <c r="E5712" s="5">
        <v>21.241185604545603</v>
      </c>
    </row>
    <row r="5713" ht="14.25" customHeight="1">
      <c r="A5713" s="4"/>
      <c r="B5713" s="4" t="s">
        <v>7279</v>
      </c>
      <c r="C5713" s="4" t="s">
        <v>7968</v>
      </c>
      <c r="D5713" s="4" t="s">
        <v>7969</v>
      </c>
      <c r="E5713" s="5">
        <v>50.3741479250803</v>
      </c>
    </row>
    <row r="5714" ht="14.25" customHeight="1">
      <c r="A5714" s="4"/>
      <c r="B5714" s="4" t="s">
        <v>7279</v>
      </c>
      <c r="C5714" s="4" t="s">
        <v>6760</v>
      </c>
      <c r="D5714" s="4" t="s">
        <v>7970</v>
      </c>
      <c r="E5714" s="5">
        <v>9.42955164423706</v>
      </c>
    </row>
    <row r="5715" ht="14.25" customHeight="1">
      <c r="A5715" s="4"/>
      <c r="B5715" s="4" t="s">
        <v>7279</v>
      </c>
      <c r="C5715" s="4" t="s">
        <v>5464</v>
      </c>
      <c r="D5715" s="4" t="s">
        <v>7280</v>
      </c>
      <c r="E5715" s="5">
        <v>186.01196020749998</v>
      </c>
    </row>
    <row r="5716" ht="14.25" customHeight="1">
      <c r="A5716" s="4"/>
      <c r="B5716" s="4" t="s">
        <v>7279</v>
      </c>
      <c r="C5716" s="4" t="s">
        <v>5219</v>
      </c>
      <c r="D5716" s="4" t="s">
        <v>7280</v>
      </c>
      <c r="E5716" s="5">
        <v>186.01196020749998</v>
      </c>
    </row>
    <row r="5717" ht="14.25" customHeight="1">
      <c r="A5717" s="4"/>
      <c r="B5717" s="4" t="s">
        <v>7279</v>
      </c>
      <c r="C5717" s="4" t="s">
        <v>4407</v>
      </c>
      <c r="D5717" s="4" t="s">
        <v>7305</v>
      </c>
      <c r="E5717" s="5">
        <v>55.8035880622502</v>
      </c>
    </row>
    <row r="5718" ht="14.25" customHeight="1">
      <c r="A5718" s="4"/>
      <c r="B5718" s="4" t="s">
        <v>7279</v>
      </c>
      <c r="C5718" s="4" t="s">
        <v>4532</v>
      </c>
      <c r="D5718" s="4" t="s">
        <v>7971</v>
      </c>
      <c r="E5718" s="5">
        <v>68.4120391433743</v>
      </c>
    </row>
    <row r="5719" ht="14.25" customHeight="1">
      <c r="A5719" s="4"/>
      <c r="B5719" s="4" t="s">
        <v>7279</v>
      </c>
      <c r="C5719" s="4" t="s">
        <v>7972</v>
      </c>
      <c r="D5719" s="4" t="s">
        <v>7973</v>
      </c>
      <c r="E5719" s="5">
        <v>44.316956722259796</v>
      </c>
    </row>
    <row r="5720" ht="14.25" customHeight="1">
      <c r="A5720" s="4"/>
      <c r="B5720" s="4" t="s">
        <v>7279</v>
      </c>
      <c r="C5720" s="4" t="s">
        <v>3451</v>
      </c>
      <c r="D5720" s="4" t="s">
        <v>7974</v>
      </c>
      <c r="E5720" s="5">
        <v>42.981604016042695</v>
      </c>
    </row>
    <row r="5721" ht="14.25" customHeight="1">
      <c r="A5721" s="4"/>
      <c r="B5721" s="4" t="s">
        <v>7279</v>
      </c>
      <c r="C5721" s="4" t="s">
        <v>4524</v>
      </c>
      <c r="D5721" s="4" t="s">
        <v>7284</v>
      </c>
      <c r="E5721" s="5">
        <v>65.1041860726253</v>
      </c>
    </row>
    <row r="5722" ht="14.25" customHeight="1">
      <c r="A5722" s="4"/>
      <c r="B5722" s="4" t="s">
        <v>7279</v>
      </c>
      <c r="C5722" s="4" t="s">
        <v>6479</v>
      </c>
      <c r="D5722" s="4" t="s">
        <v>7975</v>
      </c>
      <c r="E5722" s="5">
        <v>19.0515579838609</v>
      </c>
    </row>
    <row r="5723" ht="14.25" customHeight="1">
      <c r="A5723" s="4"/>
      <c r="B5723" s="4" t="s">
        <v>7279</v>
      </c>
      <c r="C5723" s="4" t="s">
        <v>7976</v>
      </c>
      <c r="D5723" s="4" t="s">
        <v>7977</v>
      </c>
      <c r="E5723" s="5">
        <v>27.7115069837235</v>
      </c>
    </row>
    <row r="5724" ht="14.25" customHeight="1">
      <c r="A5724" s="4"/>
      <c r="B5724" s="4" t="s">
        <v>7279</v>
      </c>
      <c r="C5724" s="4" t="s">
        <v>3289</v>
      </c>
      <c r="D5724" s="4" t="s">
        <v>7978</v>
      </c>
      <c r="E5724" s="5">
        <v>74.76412417597379</v>
      </c>
    </row>
    <row r="5725" ht="14.25" customHeight="1">
      <c r="A5725" s="4"/>
      <c r="B5725" s="4" t="s">
        <v>7279</v>
      </c>
      <c r="C5725" s="4" t="s">
        <v>7979</v>
      </c>
      <c r="D5725" s="4" t="s">
        <v>7280</v>
      </c>
      <c r="E5725" s="5">
        <v>186.01196020749998</v>
      </c>
    </row>
    <row r="5726" ht="14.25" customHeight="1">
      <c r="A5726" s="4"/>
      <c r="B5726" s="4" t="s">
        <v>7279</v>
      </c>
      <c r="C5726" s="4" t="s">
        <v>5788</v>
      </c>
      <c r="D5726" s="4" t="s">
        <v>7291</v>
      </c>
      <c r="E5726" s="5">
        <v>9.30059801037504</v>
      </c>
    </row>
    <row r="5727" ht="14.25" customHeight="1">
      <c r="A5727" s="4"/>
      <c r="B5727" s="4" t="s">
        <v>7279</v>
      </c>
      <c r="C5727" s="4" t="s">
        <v>4406</v>
      </c>
      <c r="D5727" s="4" t="s">
        <v>7980</v>
      </c>
      <c r="E5727" s="5">
        <v>4.651673545190251</v>
      </c>
    </row>
    <row r="5728" ht="14.25" customHeight="1">
      <c r="A5728" s="4"/>
      <c r="B5728" s="4" t="s">
        <v>7279</v>
      </c>
      <c r="C5728" s="4" t="s">
        <v>6095</v>
      </c>
      <c r="D5728" s="4" t="s">
        <v>7981</v>
      </c>
      <c r="E5728" s="5">
        <v>4.861864017958291</v>
      </c>
    </row>
    <row r="5729" ht="14.25" customHeight="1">
      <c r="A5729" s="4"/>
      <c r="B5729" s="4" t="s">
        <v>7279</v>
      </c>
      <c r="C5729" s="4" t="s">
        <v>7982</v>
      </c>
      <c r="D5729" s="4" t="s">
        <v>7983</v>
      </c>
      <c r="E5729" s="5">
        <v>34.440762297393704</v>
      </c>
    </row>
    <row r="5730" ht="14.25" customHeight="1">
      <c r="A5730" s="4"/>
      <c r="B5730" s="4" t="s">
        <v>7279</v>
      </c>
      <c r="C5730" s="4" t="s">
        <v>3258</v>
      </c>
      <c r="D5730" s="4" t="s">
        <v>7984</v>
      </c>
      <c r="E5730" s="5">
        <v>9.67626299586345</v>
      </c>
    </row>
    <row r="5731" ht="14.25" customHeight="1">
      <c r="A5731" s="4"/>
      <c r="B5731" s="4" t="s">
        <v>7279</v>
      </c>
      <c r="C5731" s="4" t="s">
        <v>5717</v>
      </c>
      <c r="D5731" s="4" t="s">
        <v>7280</v>
      </c>
      <c r="E5731" s="5">
        <v>186.01196020749998</v>
      </c>
    </row>
    <row r="5732" ht="14.25" customHeight="1">
      <c r="A5732" s="4"/>
      <c r="B5732" s="4" t="s">
        <v>7279</v>
      </c>
      <c r="C5732" s="4" t="s">
        <v>4648</v>
      </c>
      <c r="D5732" s="4" t="s">
        <v>7985</v>
      </c>
      <c r="E5732" s="5">
        <v>14.508932896185</v>
      </c>
    </row>
    <row r="5733" ht="14.25" customHeight="1">
      <c r="A5733" s="4"/>
      <c r="B5733" s="4" t="s">
        <v>7279</v>
      </c>
      <c r="C5733" s="4" t="s">
        <v>7986</v>
      </c>
      <c r="D5733" s="4" t="s">
        <v>7280</v>
      </c>
      <c r="E5733" s="5">
        <v>186.01196020749998</v>
      </c>
    </row>
    <row r="5734" ht="14.25" customHeight="1">
      <c r="A5734" s="4"/>
      <c r="B5734" s="4" t="s">
        <v>7279</v>
      </c>
      <c r="C5734" s="4" t="s">
        <v>4190</v>
      </c>
      <c r="D5734" s="4" t="s">
        <v>7987</v>
      </c>
      <c r="E5734" s="5">
        <v>84.0310208187885</v>
      </c>
    </row>
    <row r="5735" ht="14.25" customHeight="1">
      <c r="A5735" s="4"/>
      <c r="B5735" s="4" t="s">
        <v>7279</v>
      </c>
      <c r="C5735" s="4" t="s">
        <v>7988</v>
      </c>
      <c r="D5735" s="4" t="s">
        <v>7989</v>
      </c>
      <c r="E5735" s="5">
        <v>180.568167267696</v>
      </c>
    </row>
    <row r="5736" ht="14.25" customHeight="1">
      <c r="A5736" s="4"/>
      <c r="B5736" s="4" t="s">
        <v>7279</v>
      </c>
      <c r="C5736" s="4" t="s">
        <v>6299</v>
      </c>
      <c r="D5736" s="4" t="s">
        <v>7990</v>
      </c>
      <c r="E5736" s="5">
        <v>8.17298441470245</v>
      </c>
    </row>
    <row r="5737" ht="14.25" customHeight="1">
      <c r="A5737" s="4"/>
      <c r="B5737" s="4" t="s">
        <v>7279</v>
      </c>
      <c r="C5737" s="4" t="s">
        <v>7991</v>
      </c>
      <c r="D5737" s="4" t="s">
        <v>7992</v>
      </c>
      <c r="E5737" s="5">
        <v>131.245345587368</v>
      </c>
    </row>
    <row r="5738" ht="14.25" customHeight="1">
      <c r="A5738" s="4"/>
      <c r="B5738" s="4" t="s">
        <v>7279</v>
      </c>
      <c r="C5738" s="4" t="s">
        <v>4058</v>
      </c>
      <c r="D5738" s="4" t="s">
        <v>7561</v>
      </c>
      <c r="E5738" s="5">
        <v>9.67262193079004</v>
      </c>
    </row>
    <row r="5739" ht="14.25" customHeight="1">
      <c r="A5739" s="4"/>
      <c r="B5739" s="4" t="s">
        <v>7279</v>
      </c>
      <c r="C5739" s="4" t="s">
        <v>1179</v>
      </c>
      <c r="D5739" s="4" t="s">
        <v>7993</v>
      </c>
      <c r="E5739" s="5">
        <v>167.336961082654</v>
      </c>
    </row>
    <row r="5740" ht="14.25" customHeight="1">
      <c r="A5740" s="4"/>
      <c r="B5740" s="4" t="s">
        <v>7279</v>
      </c>
      <c r="C5740" s="4" t="s">
        <v>1972</v>
      </c>
      <c r="D5740" s="4" t="s">
        <v>7678</v>
      </c>
      <c r="E5740" s="5">
        <v>102.306578114125</v>
      </c>
    </row>
    <row r="5741" ht="14.25" customHeight="1">
      <c r="A5741" s="4"/>
      <c r="B5741" s="4" t="s">
        <v>7279</v>
      </c>
      <c r="C5741" s="4" t="s">
        <v>822</v>
      </c>
      <c r="D5741" s="4" t="s">
        <v>7280</v>
      </c>
      <c r="E5741" s="5">
        <v>186.01196020749998</v>
      </c>
    </row>
    <row r="5742" ht="14.25" customHeight="1">
      <c r="A5742" s="4"/>
      <c r="B5742" s="4" t="s">
        <v>7279</v>
      </c>
      <c r="C5742" s="4" t="s">
        <v>6937</v>
      </c>
      <c r="D5742" s="4" t="s">
        <v>7291</v>
      </c>
      <c r="E5742" s="5">
        <v>9.30059801037504</v>
      </c>
    </row>
    <row r="5743" ht="14.25" customHeight="1">
      <c r="A5743" s="4"/>
      <c r="B5743" s="4" t="s">
        <v>7279</v>
      </c>
      <c r="C5743" s="4" t="s">
        <v>5740</v>
      </c>
      <c r="D5743" s="4" t="s">
        <v>7377</v>
      </c>
      <c r="E5743" s="5">
        <v>46.5029900518752</v>
      </c>
    </row>
    <row r="5744" ht="14.25" customHeight="1">
      <c r="A5744" s="4"/>
      <c r="B5744" s="4" t="s">
        <v>7279</v>
      </c>
      <c r="C5744" s="4" t="s">
        <v>1966</v>
      </c>
      <c r="D5744" s="4" t="s">
        <v>7369</v>
      </c>
      <c r="E5744" s="5">
        <v>93.0059801037504</v>
      </c>
    </row>
    <row r="5745" ht="14.25" customHeight="1">
      <c r="A5745" s="4"/>
      <c r="B5745" s="4" t="s">
        <v>7279</v>
      </c>
      <c r="C5745" s="4" t="s">
        <v>1027</v>
      </c>
      <c r="D5745" s="4" t="s">
        <v>7280</v>
      </c>
      <c r="E5745" s="5">
        <v>186.01196020749998</v>
      </c>
    </row>
    <row r="5746" ht="14.25" customHeight="1">
      <c r="A5746" s="4"/>
      <c r="B5746" s="4" t="s">
        <v>7279</v>
      </c>
      <c r="C5746" s="4" t="s">
        <v>1642</v>
      </c>
      <c r="D5746" s="4" t="s">
        <v>7305</v>
      </c>
      <c r="E5746" s="5">
        <v>55.8035880622502</v>
      </c>
    </row>
    <row r="5747" ht="14.25" customHeight="1">
      <c r="A5747" s="4"/>
      <c r="B5747" s="4" t="s">
        <v>7279</v>
      </c>
      <c r="C5747" s="4" t="s">
        <v>5904</v>
      </c>
      <c r="D5747" s="4" t="s">
        <v>7280</v>
      </c>
      <c r="E5747" s="5">
        <v>186.01196020749998</v>
      </c>
    </row>
    <row r="5748" ht="14.25" customHeight="1">
      <c r="A5748" s="4"/>
      <c r="B5748" s="4" t="s">
        <v>7279</v>
      </c>
      <c r="C5748" s="4" t="s">
        <v>5804</v>
      </c>
      <c r="D5748" s="4" t="s">
        <v>7433</v>
      </c>
      <c r="E5748" s="5">
        <v>18.60119602075</v>
      </c>
    </row>
    <row r="5749" ht="14.25" customHeight="1">
      <c r="A5749" s="4"/>
      <c r="B5749" s="4" t="s">
        <v>7279</v>
      </c>
      <c r="C5749" s="4" t="s">
        <v>1283</v>
      </c>
      <c r="D5749" s="4" t="s">
        <v>7994</v>
      </c>
      <c r="E5749" s="5">
        <v>176.612034803759</v>
      </c>
    </row>
    <row r="5750" ht="14.25" customHeight="1">
      <c r="A5750" s="4"/>
      <c r="B5750" s="4" t="s">
        <v>7279</v>
      </c>
      <c r="C5750" s="4" t="s">
        <v>1095</v>
      </c>
      <c r="D5750" s="4" t="s">
        <v>7280</v>
      </c>
      <c r="E5750" s="5">
        <v>186.01196020749998</v>
      </c>
    </row>
    <row r="5751" ht="14.25" customHeight="1">
      <c r="A5751" s="4"/>
      <c r="B5751" s="4" t="s">
        <v>7279</v>
      </c>
      <c r="C5751" s="4" t="s">
        <v>3710</v>
      </c>
      <c r="D5751" s="4" t="s">
        <v>7995</v>
      </c>
      <c r="E5751" s="5">
        <v>9.27955834552271</v>
      </c>
    </row>
    <row r="5752" ht="14.25" customHeight="1">
      <c r="A5752" s="4"/>
      <c r="B5752" s="4" t="s">
        <v>7279</v>
      </c>
      <c r="C5752" s="4" t="s">
        <v>6188</v>
      </c>
      <c r="D5752" s="4" t="s">
        <v>7996</v>
      </c>
      <c r="E5752" s="5">
        <v>89.97276231885631</v>
      </c>
    </row>
    <row r="5753" ht="14.25" customHeight="1">
      <c r="A5753" s="4"/>
      <c r="B5753" s="4" t="s">
        <v>7279</v>
      </c>
      <c r="C5753" s="4" t="s">
        <v>6592</v>
      </c>
      <c r="D5753" s="4" t="s">
        <v>7997</v>
      </c>
      <c r="E5753" s="5">
        <v>10.5097746241491</v>
      </c>
    </row>
    <row r="5754" ht="14.25" customHeight="1">
      <c r="A5754" s="4"/>
      <c r="B5754" s="4" t="s">
        <v>7279</v>
      </c>
      <c r="C5754" s="4" t="s">
        <v>2762</v>
      </c>
      <c r="D5754" s="4" t="s">
        <v>7998</v>
      </c>
      <c r="E5754" s="5">
        <v>77.3905980965778</v>
      </c>
    </row>
    <row r="5755" ht="14.25" customHeight="1">
      <c r="A5755" s="4"/>
      <c r="B5755" s="4" t="s">
        <v>7279</v>
      </c>
      <c r="C5755" s="4" t="s">
        <v>5485</v>
      </c>
      <c r="D5755" s="4" t="s">
        <v>7291</v>
      </c>
      <c r="E5755" s="5">
        <v>9.30059801037504</v>
      </c>
    </row>
    <row r="5756" ht="14.25" customHeight="1">
      <c r="A5756" s="4"/>
      <c r="B5756" s="4" t="s">
        <v>7279</v>
      </c>
      <c r="C5756" s="4" t="s">
        <v>5479</v>
      </c>
      <c r="D5756" s="4" t="s">
        <v>7291</v>
      </c>
      <c r="E5756" s="5">
        <v>9.30059801037504</v>
      </c>
    </row>
    <row r="5757" ht="14.25" customHeight="1">
      <c r="A5757" s="4"/>
      <c r="B5757" s="4" t="s">
        <v>7279</v>
      </c>
      <c r="C5757" s="4" t="s">
        <v>3195</v>
      </c>
      <c r="D5757" s="4" t="s">
        <v>7999</v>
      </c>
      <c r="E5757" s="5">
        <v>28.0878059913326</v>
      </c>
    </row>
    <row r="5758" ht="14.25" customHeight="1">
      <c r="A5758" s="4"/>
      <c r="B5758" s="4" t="s">
        <v>7279</v>
      </c>
      <c r="C5758" s="4" t="s">
        <v>1376</v>
      </c>
      <c r="D5758" s="4" t="s">
        <v>7767</v>
      </c>
      <c r="E5758" s="5">
        <v>1.8601196020750002</v>
      </c>
    </row>
    <row r="5759" ht="14.25" customHeight="1">
      <c r="A5759" s="4"/>
      <c r="B5759" s="4" t="s">
        <v>7279</v>
      </c>
      <c r="C5759" s="4" t="s">
        <v>5942</v>
      </c>
      <c r="D5759" s="4" t="s">
        <v>8000</v>
      </c>
      <c r="E5759" s="5">
        <v>2.22942810671246</v>
      </c>
    </row>
    <row r="5760" ht="14.25" customHeight="1">
      <c r="A5760" s="4"/>
      <c r="B5760" s="4" t="s">
        <v>7279</v>
      </c>
      <c r="C5760" s="4" t="s">
        <v>1621</v>
      </c>
      <c r="D5760" s="4" t="s">
        <v>8001</v>
      </c>
      <c r="E5760" s="5">
        <v>176.267836460474</v>
      </c>
    </row>
    <row r="5761" ht="14.25" customHeight="1">
      <c r="A5761" s="4"/>
      <c r="B5761" s="4" t="s">
        <v>7279</v>
      </c>
      <c r="C5761" s="4" t="s">
        <v>8002</v>
      </c>
      <c r="D5761" s="4" t="s">
        <v>8003</v>
      </c>
      <c r="E5761" s="5">
        <v>18.620725324882898</v>
      </c>
    </row>
    <row r="5762" ht="14.25" customHeight="1">
      <c r="A5762" s="4"/>
      <c r="B5762" s="4" t="s">
        <v>7279</v>
      </c>
      <c r="C5762" s="4" t="s">
        <v>8004</v>
      </c>
      <c r="D5762" s="4" t="s">
        <v>8005</v>
      </c>
      <c r="E5762" s="5">
        <v>157.80138632243097</v>
      </c>
    </row>
    <row r="5763" ht="14.25" customHeight="1">
      <c r="A5763" s="4"/>
      <c r="B5763" s="4" t="s">
        <v>7279</v>
      </c>
      <c r="C5763" s="4" t="s">
        <v>4739</v>
      </c>
      <c r="D5763" s="4" t="s">
        <v>8006</v>
      </c>
      <c r="E5763" s="5">
        <v>42.0151209193227</v>
      </c>
    </row>
    <row r="5764" ht="14.25" customHeight="1">
      <c r="A5764" s="4"/>
      <c r="B5764" s="4" t="s">
        <v>7279</v>
      </c>
      <c r="C5764" s="4" t="s">
        <v>1241</v>
      </c>
      <c r="D5764" s="4" t="s">
        <v>7280</v>
      </c>
      <c r="E5764" s="5">
        <v>186.01196020749998</v>
      </c>
    </row>
    <row r="5765" ht="14.25" customHeight="1">
      <c r="A5765" s="4"/>
      <c r="B5765" s="4" t="s">
        <v>7279</v>
      </c>
      <c r="C5765" s="4" t="s">
        <v>8007</v>
      </c>
      <c r="D5765" s="4" t="s">
        <v>8008</v>
      </c>
      <c r="E5765" s="5">
        <v>94.86609970582539</v>
      </c>
    </row>
    <row r="5766" ht="14.25" customHeight="1">
      <c r="A5766" s="4"/>
      <c r="B5766" s="4" t="s">
        <v>7279</v>
      </c>
      <c r="C5766" s="4" t="s">
        <v>7077</v>
      </c>
      <c r="D5766" s="4" t="s">
        <v>7291</v>
      </c>
      <c r="E5766" s="5">
        <v>9.30059801037504</v>
      </c>
    </row>
    <row r="5767" ht="14.25" customHeight="1">
      <c r="A5767" s="4"/>
      <c r="B5767" s="4" t="s">
        <v>7279</v>
      </c>
      <c r="C5767" s="4" t="s">
        <v>8009</v>
      </c>
      <c r="D5767" s="4" t="s">
        <v>7305</v>
      </c>
      <c r="E5767" s="5">
        <v>55.8035880622502</v>
      </c>
    </row>
    <row r="5768" ht="14.25" customHeight="1">
      <c r="A5768" s="4"/>
      <c r="B5768" s="4" t="s">
        <v>7279</v>
      </c>
      <c r="C5768" s="4" t="s">
        <v>3371</v>
      </c>
      <c r="D5768" s="4" t="s">
        <v>7377</v>
      </c>
      <c r="E5768" s="5">
        <v>46.5029900518752</v>
      </c>
    </row>
    <row r="5769" ht="14.25" customHeight="1">
      <c r="A5769" s="4"/>
      <c r="B5769" s="4" t="s">
        <v>7279</v>
      </c>
      <c r="C5769" s="4" t="s">
        <v>1044</v>
      </c>
      <c r="D5769" s="4" t="s">
        <v>7280</v>
      </c>
      <c r="E5769" s="5">
        <v>186.01196020749998</v>
      </c>
    </row>
    <row r="5770" ht="14.25" customHeight="1">
      <c r="A5770" s="4"/>
      <c r="B5770" s="4" t="s">
        <v>7279</v>
      </c>
      <c r="C5770" s="4" t="s">
        <v>7149</v>
      </c>
      <c r="D5770" s="4" t="s">
        <v>8010</v>
      </c>
      <c r="E5770" s="5">
        <v>32.1800691158976</v>
      </c>
    </row>
    <row r="5771" ht="14.25" customHeight="1">
      <c r="A5771" s="4"/>
      <c r="B5771" s="4" t="s">
        <v>7279</v>
      </c>
      <c r="C5771" s="4" t="s">
        <v>6084</v>
      </c>
      <c r="D5771" s="4" t="s">
        <v>8011</v>
      </c>
      <c r="E5771" s="5">
        <v>17.1056053843942</v>
      </c>
    </row>
    <row r="5772" ht="14.25" customHeight="1">
      <c r="A5772" s="4"/>
      <c r="B5772" s="4" t="s">
        <v>7279</v>
      </c>
      <c r="C5772" s="4" t="s">
        <v>6028</v>
      </c>
      <c r="D5772" s="4" t="s">
        <v>8012</v>
      </c>
      <c r="E5772" s="5">
        <v>18.4270781575304</v>
      </c>
    </row>
    <row r="5773" ht="14.25" customHeight="1">
      <c r="A5773" s="4"/>
      <c r="B5773" s="4" t="s">
        <v>7279</v>
      </c>
      <c r="C5773" s="4" t="s">
        <v>2486</v>
      </c>
      <c r="D5773" s="4" t="s">
        <v>8013</v>
      </c>
      <c r="E5773" s="5">
        <v>20.4701461749364</v>
      </c>
    </row>
    <row r="5774" ht="14.25" customHeight="1">
      <c r="A5774" s="4"/>
      <c r="B5774" s="4" t="s">
        <v>7279</v>
      </c>
      <c r="C5774" s="4" t="s">
        <v>6583</v>
      </c>
      <c r="D5774" s="4" t="s">
        <v>7280</v>
      </c>
      <c r="E5774" s="5">
        <v>186.01196020749998</v>
      </c>
    </row>
    <row r="5775" ht="14.25" customHeight="1">
      <c r="A5775" s="4"/>
      <c r="B5775" s="4" t="s">
        <v>7279</v>
      </c>
      <c r="C5775" s="4" t="s">
        <v>6842</v>
      </c>
      <c r="D5775" s="4" t="s">
        <v>7291</v>
      </c>
      <c r="E5775" s="5">
        <v>9.30059801037504</v>
      </c>
    </row>
    <row r="5776" ht="14.25" customHeight="1">
      <c r="A5776" s="4"/>
      <c r="B5776" s="4" t="s">
        <v>7279</v>
      </c>
      <c r="C5776" s="4" t="s">
        <v>8014</v>
      </c>
      <c r="D5776" s="4" t="s">
        <v>8015</v>
      </c>
      <c r="E5776" s="5">
        <v>56.158182341681204</v>
      </c>
    </row>
    <row r="5777" ht="14.25" customHeight="1">
      <c r="A5777" s="4"/>
      <c r="B5777" s="4" t="s">
        <v>7279</v>
      </c>
      <c r="C5777" s="4" t="s">
        <v>3209</v>
      </c>
      <c r="D5777" s="4" t="s">
        <v>8016</v>
      </c>
      <c r="E5777" s="5">
        <v>0.528488065267405</v>
      </c>
    </row>
    <row r="5778" ht="14.25" customHeight="1">
      <c r="A5778" s="4"/>
      <c r="B5778" s="4" t="s">
        <v>7279</v>
      </c>
      <c r="C5778" s="4" t="s">
        <v>4588</v>
      </c>
      <c r="D5778" s="4" t="s">
        <v>8017</v>
      </c>
      <c r="E5778" s="5">
        <v>9.36349212826657</v>
      </c>
    </row>
    <row r="5779" ht="14.25" customHeight="1">
      <c r="A5779" s="4"/>
      <c r="B5779" s="4" t="s">
        <v>7279</v>
      </c>
      <c r="C5779" s="4" t="s">
        <v>842</v>
      </c>
      <c r="D5779" s="4" t="s">
        <v>7280</v>
      </c>
      <c r="E5779" s="5">
        <v>186.01196020749998</v>
      </c>
    </row>
    <row r="5780" ht="14.25" customHeight="1">
      <c r="A5780" s="4"/>
      <c r="B5780" s="4" t="s">
        <v>7279</v>
      </c>
      <c r="C5780" s="4" t="s">
        <v>8018</v>
      </c>
      <c r="D5780" s="4" t="s">
        <v>8019</v>
      </c>
      <c r="E5780" s="5">
        <v>13.600889643261</v>
      </c>
    </row>
    <row r="5781" ht="14.25" customHeight="1">
      <c r="A5781" s="4"/>
      <c r="B5781" s="4" t="s">
        <v>7279</v>
      </c>
      <c r="C5781" s="4" t="s">
        <v>2304</v>
      </c>
      <c r="D5781" s="4" t="s">
        <v>7541</v>
      </c>
      <c r="E5781" s="5">
        <v>83.7053820933753</v>
      </c>
    </row>
    <row r="5782" ht="14.25" customHeight="1">
      <c r="A5782" s="4"/>
      <c r="B5782" s="4" t="s">
        <v>7279</v>
      </c>
      <c r="C5782" s="4" t="s">
        <v>6009</v>
      </c>
      <c r="D5782" s="4" t="s">
        <v>7280</v>
      </c>
      <c r="E5782" s="5">
        <v>186.01196020749998</v>
      </c>
    </row>
    <row r="5783" ht="14.25" customHeight="1">
      <c r="A5783" s="4"/>
      <c r="B5783" s="4" t="s">
        <v>7279</v>
      </c>
      <c r="C5783" s="4" t="s">
        <v>5848</v>
      </c>
      <c r="D5783" s="4" t="s">
        <v>7291</v>
      </c>
      <c r="E5783" s="5">
        <v>9.30059801037504</v>
      </c>
    </row>
    <row r="5784" ht="14.25" customHeight="1">
      <c r="A5784" s="4"/>
      <c r="B5784" s="4" t="s">
        <v>7279</v>
      </c>
      <c r="C5784" s="4" t="s">
        <v>3738</v>
      </c>
      <c r="D5784" s="4" t="s">
        <v>7284</v>
      </c>
      <c r="E5784" s="5">
        <v>65.1041860726253</v>
      </c>
    </row>
    <row r="5785" ht="14.25" customHeight="1">
      <c r="A5785" s="4"/>
      <c r="B5785" s="4" t="s">
        <v>7279</v>
      </c>
      <c r="C5785" s="4" t="s">
        <v>3618</v>
      </c>
      <c r="D5785" s="4" t="s">
        <v>8020</v>
      </c>
      <c r="E5785" s="5">
        <v>30.4582257461363</v>
      </c>
    </row>
    <row r="5786" ht="14.25" customHeight="1">
      <c r="A5786" s="4"/>
      <c r="B5786" s="4" t="s">
        <v>7279</v>
      </c>
      <c r="C5786" s="4" t="s">
        <v>6345</v>
      </c>
      <c r="D5786" s="4" t="s">
        <v>7377</v>
      </c>
      <c r="E5786" s="5">
        <v>46.5029900518752</v>
      </c>
    </row>
    <row r="5787" ht="14.25" customHeight="1">
      <c r="A5787" s="4"/>
      <c r="B5787" s="4" t="s">
        <v>7279</v>
      </c>
      <c r="C5787" s="4" t="s">
        <v>2244</v>
      </c>
      <c r="D5787" s="4" t="s">
        <v>7291</v>
      </c>
      <c r="E5787" s="5">
        <v>9.30059801037504</v>
      </c>
    </row>
    <row r="5788" ht="14.25" customHeight="1">
      <c r="A5788" s="4"/>
      <c r="B5788" s="4" t="s">
        <v>7279</v>
      </c>
      <c r="C5788" s="4" t="s">
        <v>4226</v>
      </c>
      <c r="D5788" s="4" t="s">
        <v>8021</v>
      </c>
      <c r="E5788" s="5">
        <v>152.16320045180498</v>
      </c>
    </row>
    <row r="5789" ht="14.25" customHeight="1">
      <c r="A5789" s="4"/>
      <c r="B5789" s="4" t="s">
        <v>7279</v>
      </c>
      <c r="C5789" s="4" t="s">
        <v>3920</v>
      </c>
      <c r="D5789" s="4" t="s">
        <v>8022</v>
      </c>
      <c r="E5789" s="5">
        <v>8.92881556502182</v>
      </c>
    </row>
    <row r="5790" ht="14.25" customHeight="1">
      <c r="A5790" s="4"/>
      <c r="B5790" s="4" t="s">
        <v>7279</v>
      </c>
      <c r="C5790" s="4" t="s">
        <v>5288</v>
      </c>
      <c r="D5790" s="4" t="s">
        <v>7291</v>
      </c>
      <c r="E5790" s="5">
        <v>9.30059801037504</v>
      </c>
    </row>
    <row r="5791" ht="14.25" customHeight="1">
      <c r="A5791" s="4"/>
      <c r="B5791" s="4" t="s">
        <v>7279</v>
      </c>
      <c r="C5791" s="4" t="s">
        <v>8023</v>
      </c>
      <c r="D5791" s="4" t="s">
        <v>8024</v>
      </c>
      <c r="E5791" s="5">
        <v>62.896799029148696</v>
      </c>
    </row>
    <row r="5792" ht="14.25" customHeight="1">
      <c r="A5792" s="4"/>
      <c r="B5792" s="4" t="s">
        <v>7279</v>
      </c>
      <c r="C5792" s="4" t="s">
        <v>2342</v>
      </c>
      <c r="D5792" s="4" t="s">
        <v>7415</v>
      </c>
      <c r="E5792" s="5">
        <v>139.508970155625</v>
      </c>
    </row>
    <row r="5793" ht="14.25" customHeight="1">
      <c r="A5793" s="4"/>
      <c r="B5793" s="4" t="s">
        <v>7279</v>
      </c>
      <c r="C5793" s="4" t="s">
        <v>8025</v>
      </c>
      <c r="D5793" s="4" t="s">
        <v>7280</v>
      </c>
      <c r="E5793" s="5">
        <v>186.01196020749998</v>
      </c>
    </row>
    <row r="5794" ht="14.25" customHeight="1">
      <c r="A5794" s="4"/>
      <c r="B5794" s="4" t="s">
        <v>7279</v>
      </c>
      <c r="C5794" s="4" t="s">
        <v>6322</v>
      </c>
      <c r="D5794" s="4" t="s">
        <v>8026</v>
      </c>
      <c r="E5794" s="5">
        <v>23.243352780021</v>
      </c>
    </row>
    <row r="5795" ht="14.25" customHeight="1">
      <c r="A5795" s="4"/>
      <c r="B5795" s="4" t="s">
        <v>7279</v>
      </c>
      <c r="C5795" s="4" t="s">
        <v>6666</v>
      </c>
      <c r="D5795" s="4" t="s">
        <v>8027</v>
      </c>
      <c r="E5795" s="5">
        <v>2.907088556392</v>
      </c>
    </row>
    <row r="5796" ht="14.25" customHeight="1">
      <c r="A5796" s="4"/>
      <c r="B5796" s="4" t="s">
        <v>7279</v>
      </c>
      <c r="C5796" s="4" t="s">
        <v>3420</v>
      </c>
      <c r="D5796" s="4" t="s">
        <v>8028</v>
      </c>
      <c r="E5796" s="5">
        <v>2.29532987065502</v>
      </c>
    </row>
    <row r="5797" ht="14.25" customHeight="1">
      <c r="A5797" s="4"/>
      <c r="B5797" s="4" t="s">
        <v>7279</v>
      </c>
      <c r="C5797" s="4" t="s">
        <v>8029</v>
      </c>
      <c r="D5797" s="4" t="s">
        <v>8030</v>
      </c>
      <c r="E5797" s="5">
        <v>12.0907774134875</v>
      </c>
    </row>
    <row r="5798" ht="14.25" customHeight="1">
      <c r="A5798" s="4"/>
      <c r="B5798" s="4" t="s">
        <v>7279</v>
      </c>
      <c r="C5798" s="4" t="s">
        <v>304</v>
      </c>
      <c r="D5798" s="4" t="s">
        <v>7280</v>
      </c>
      <c r="E5798" s="5">
        <v>186.01196020749998</v>
      </c>
    </row>
    <row r="5799" ht="14.25" customHeight="1">
      <c r="A5799" s="4"/>
      <c r="B5799" s="4" t="s">
        <v>7279</v>
      </c>
      <c r="C5799" s="4" t="s">
        <v>8031</v>
      </c>
      <c r="D5799" s="4" t="s">
        <v>8032</v>
      </c>
      <c r="E5799" s="5">
        <v>111.75385447365299</v>
      </c>
    </row>
    <row r="5800" ht="14.25" customHeight="1">
      <c r="A5800" s="4"/>
      <c r="B5800" s="4" t="s">
        <v>7279</v>
      </c>
      <c r="C5800" s="4" t="s">
        <v>3163</v>
      </c>
      <c r="D5800" s="4" t="s">
        <v>8033</v>
      </c>
      <c r="E5800" s="5">
        <v>172.683142172652</v>
      </c>
    </row>
    <row r="5801" ht="14.25" customHeight="1">
      <c r="A5801" s="4"/>
      <c r="B5801" s="4" t="s">
        <v>7279</v>
      </c>
      <c r="C5801" s="4" t="s">
        <v>1870</v>
      </c>
      <c r="D5801" s="4" t="s">
        <v>7280</v>
      </c>
      <c r="E5801" s="5">
        <v>186.01196020749998</v>
      </c>
    </row>
    <row r="5802" ht="14.25" customHeight="1">
      <c r="A5802" s="4"/>
      <c r="B5802" s="4" t="s">
        <v>7279</v>
      </c>
      <c r="C5802" s="4" t="s">
        <v>3432</v>
      </c>
      <c r="D5802" s="4" t="s">
        <v>8034</v>
      </c>
      <c r="E5802" s="5">
        <v>52.0633260969203</v>
      </c>
    </row>
    <row r="5803" ht="14.25" customHeight="1">
      <c r="A5803" s="4"/>
      <c r="B5803" s="4" t="s">
        <v>7279</v>
      </c>
      <c r="C5803" s="4" t="s">
        <v>8035</v>
      </c>
      <c r="D5803" s="4" t="s">
        <v>8036</v>
      </c>
      <c r="E5803" s="5">
        <v>169.64290770923998</v>
      </c>
    </row>
    <row r="5804" ht="14.25" customHeight="1">
      <c r="A5804" s="4"/>
      <c r="B5804" s="4" t="s">
        <v>7279</v>
      </c>
      <c r="C5804" s="4" t="s">
        <v>3808</v>
      </c>
      <c r="D5804" s="4" t="s">
        <v>7280</v>
      </c>
      <c r="E5804" s="5">
        <v>186.01196020749998</v>
      </c>
    </row>
    <row r="5805" ht="14.25" customHeight="1">
      <c r="A5805" s="4"/>
      <c r="B5805" s="4" t="s">
        <v>7279</v>
      </c>
      <c r="C5805" s="4" t="s">
        <v>6192</v>
      </c>
      <c r="D5805" s="4" t="s">
        <v>8037</v>
      </c>
      <c r="E5805" s="5">
        <v>37.204894713749106</v>
      </c>
    </row>
    <row r="5806" ht="14.25" customHeight="1">
      <c r="A5806" s="4"/>
      <c r="B5806" s="4" t="s">
        <v>7279</v>
      </c>
      <c r="C5806" s="4" t="s">
        <v>8038</v>
      </c>
      <c r="D5806" s="4" t="s">
        <v>8039</v>
      </c>
      <c r="E5806" s="5">
        <v>55.8203302050755</v>
      </c>
    </row>
    <row r="5807" ht="14.25" customHeight="1">
      <c r="A5807" s="4"/>
      <c r="B5807" s="4" t="s">
        <v>7279</v>
      </c>
      <c r="C5807" s="4" t="s">
        <v>5747</v>
      </c>
      <c r="D5807" s="4" t="s">
        <v>7280</v>
      </c>
      <c r="E5807" s="5">
        <v>186.01196020749998</v>
      </c>
    </row>
    <row r="5808" ht="14.25" customHeight="1">
      <c r="A5808" s="4"/>
      <c r="B5808" s="4" t="s">
        <v>7279</v>
      </c>
      <c r="C5808" s="4" t="s">
        <v>6916</v>
      </c>
      <c r="D5808" s="4" t="s">
        <v>7280</v>
      </c>
      <c r="E5808" s="5">
        <v>186.01196020749998</v>
      </c>
    </row>
    <row r="5809" ht="14.25" customHeight="1">
      <c r="A5809" s="4"/>
      <c r="B5809" s="4" t="s">
        <v>7279</v>
      </c>
      <c r="C5809" s="4" t="s">
        <v>3636</v>
      </c>
      <c r="D5809" s="4" t="s">
        <v>7284</v>
      </c>
      <c r="E5809" s="5">
        <v>65.1041860726253</v>
      </c>
    </row>
    <row r="5810" ht="14.25" customHeight="1">
      <c r="A5810" s="4"/>
      <c r="B5810" s="4" t="s">
        <v>7279</v>
      </c>
      <c r="C5810" s="4" t="s">
        <v>1021</v>
      </c>
      <c r="D5810" s="4" t="s">
        <v>7280</v>
      </c>
      <c r="E5810" s="5">
        <v>186.01196020749998</v>
      </c>
    </row>
    <row r="5811" ht="14.25" customHeight="1">
      <c r="A5811" s="4"/>
      <c r="B5811" s="4" t="s">
        <v>7279</v>
      </c>
      <c r="C5811" s="4" t="s">
        <v>6809</v>
      </c>
      <c r="D5811" s="4" t="s">
        <v>8040</v>
      </c>
      <c r="E5811" s="5">
        <v>30.1373623644462</v>
      </c>
    </row>
    <row r="5812" ht="14.25" customHeight="1">
      <c r="A5812" s="4"/>
      <c r="B5812" s="4" t="s">
        <v>7279</v>
      </c>
      <c r="C5812" s="4" t="s">
        <v>4642</v>
      </c>
      <c r="D5812" s="4" t="s">
        <v>7291</v>
      </c>
      <c r="E5812" s="5">
        <v>9.30059801037504</v>
      </c>
    </row>
    <row r="5813" ht="14.25" customHeight="1">
      <c r="A5813" s="4"/>
      <c r="B5813" s="4" t="s">
        <v>7279</v>
      </c>
      <c r="C5813" s="4" t="s">
        <v>2757</v>
      </c>
      <c r="D5813" s="4" t="s">
        <v>8041</v>
      </c>
      <c r="E5813" s="5">
        <v>8.59278172300236</v>
      </c>
    </row>
    <row r="5814" ht="14.25" customHeight="1">
      <c r="A5814" s="4"/>
      <c r="B5814" s="4" t="s">
        <v>7279</v>
      </c>
      <c r="C5814" s="4" t="s">
        <v>3398</v>
      </c>
      <c r="D5814" s="4" t="s">
        <v>7280</v>
      </c>
      <c r="E5814" s="5">
        <v>186.01196020749998</v>
      </c>
    </row>
    <row r="5815" ht="14.25" customHeight="1">
      <c r="A5815" s="4"/>
      <c r="B5815" s="4" t="s">
        <v>7279</v>
      </c>
      <c r="C5815" s="4" t="s">
        <v>1844</v>
      </c>
      <c r="D5815" s="4" t="s">
        <v>7284</v>
      </c>
      <c r="E5815" s="5">
        <v>65.1041860726253</v>
      </c>
    </row>
    <row r="5816" ht="14.25" customHeight="1">
      <c r="A5816" s="4"/>
      <c r="B5816" s="4" t="s">
        <v>7279</v>
      </c>
      <c r="C5816" s="4" t="s">
        <v>3858</v>
      </c>
      <c r="D5816" s="4" t="s">
        <v>8042</v>
      </c>
      <c r="E5816" s="5">
        <v>65.1551614589135</v>
      </c>
    </row>
    <row r="5817" ht="14.25" customHeight="1">
      <c r="A5817" s="4"/>
      <c r="B5817" s="4" t="s">
        <v>7279</v>
      </c>
      <c r="C5817" s="4" t="s">
        <v>8043</v>
      </c>
      <c r="D5817" s="4" t="s">
        <v>7305</v>
      </c>
      <c r="E5817" s="5">
        <v>55.8035880622502</v>
      </c>
    </row>
    <row r="5818" ht="14.25" customHeight="1">
      <c r="A5818" s="4"/>
      <c r="B5818" s="4" t="s">
        <v>7279</v>
      </c>
      <c r="C5818" s="4" t="s">
        <v>8044</v>
      </c>
      <c r="D5818" s="4" t="s">
        <v>7280</v>
      </c>
      <c r="E5818" s="5">
        <v>186.01196020749998</v>
      </c>
    </row>
    <row r="5819" ht="14.25" customHeight="1">
      <c r="A5819" s="4"/>
      <c r="B5819" s="4" t="s">
        <v>7279</v>
      </c>
      <c r="C5819" s="4" t="s">
        <v>6657</v>
      </c>
      <c r="D5819" s="4" t="s">
        <v>7291</v>
      </c>
      <c r="E5819" s="5">
        <v>9.30059801037504</v>
      </c>
    </row>
    <row r="5820" ht="14.25" customHeight="1">
      <c r="A5820" s="4"/>
      <c r="B5820" s="4" t="s">
        <v>7279</v>
      </c>
      <c r="C5820" s="4" t="s">
        <v>414</v>
      </c>
      <c r="D5820" s="4" t="s">
        <v>7280</v>
      </c>
      <c r="E5820" s="5">
        <v>186.01196020749998</v>
      </c>
    </row>
    <row r="5821" ht="14.25" customHeight="1">
      <c r="A5821" s="4"/>
      <c r="B5821" s="4" t="s">
        <v>7279</v>
      </c>
      <c r="C5821" s="4" t="s">
        <v>8045</v>
      </c>
      <c r="D5821" s="4" t="s">
        <v>8046</v>
      </c>
      <c r="E5821" s="5">
        <v>57.292677300754</v>
      </c>
    </row>
    <row r="5822" ht="14.25" customHeight="1">
      <c r="A5822" s="4"/>
      <c r="B5822" s="4" t="s">
        <v>7279</v>
      </c>
      <c r="C5822" s="4" t="s">
        <v>8047</v>
      </c>
      <c r="D5822" s="4" t="s">
        <v>8048</v>
      </c>
      <c r="E5822" s="5">
        <v>112.495642978193</v>
      </c>
    </row>
    <row r="5823" ht="14.25" customHeight="1">
      <c r="A5823" s="4"/>
      <c r="B5823" s="4" t="s">
        <v>7279</v>
      </c>
      <c r="C5823" s="4" t="s">
        <v>5478</v>
      </c>
      <c r="D5823" s="4" t="s">
        <v>7280</v>
      </c>
      <c r="E5823" s="5">
        <v>186.01196020749998</v>
      </c>
    </row>
    <row r="5824" ht="14.25" customHeight="1">
      <c r="A5824" s="4"/>
      <c r="B5824" s="4" t="s">
        <v>7279</v>
      </c>
      <c r="C5824" s="4" t="s">
        <v>1154</v>
      </c>
      <c r="D5824" s="4" t="s">
        <v>7280</v>
      </c>
      <c r="E5824" s="5">
        <v>186.01196020749998</v>
      </c>
    </row>
    <row r="5825" ht="14.25" customHeight="1">
      <c r="A5825" s="4"/>
      <c r="B5825" s="4" t="s">
        <v>7279</v>
      </c>
      <c r="C5825" s="4" t="s">
        <v>4398</v>
      </c>
      <c r="D5825" s="4" t="s">
        <v>8049</v>
      </c>
      <c r="E5825" s="5">
        <v>30.2120556118704</v>
      </c>
    </row>
    <row r="5826" ht="14.25" customHeight="1">
      <c r="A5826" s="4"/>
      <c r="B5826" s="4" t="s">
        <v>7279</v>
      </c>
      <c r="C5826" s="4" t="s">
        <v>3816</v>
      </c>
      <c r="D5826" s="4" t="s">
        <v>8050</v>
      </c>
      <c r="E5826" s="5">
        <v>7.10908858728488</v>
      </c>
    </row>
    <row r="5827" ht="14.25" customHeight="1">
      <c r="A5827" s="4"/>
      <c r="B5827" s="4" t="s">
        <v>7279</v>
      </c>
      <c r="C5827" s="4" t="s">
        <v>6433</v>
      </c>
      <c r="D5827" s="4" t="s">
        <v>7280</v>
      </c>
      <c r="E5827" s="5">
        <v>186.01196020749998</v>
      </c>
    </row>
    <row r="5828" ht="14.25" customHeight="1">
      <c r="A5828" s="4"/>
      <c r="B5828" s="4" t="s">
        <v>7279</v>
      </c>
      <c r="C5828" s="4" t="s">
        <v>2438</v>
      </c>
      <c r="D5828" s="4" t="s">
        <v>8051</v>
      </c>
      <c r="E5828" s="5">
        <v>76.844538339249</v>
      </c>
    </row>
    <row r="5829" ht="14.25" customHeight="1">
      <c r="A5829" s="4"/>
      <c r="B5829" s="4" t="s">
        <v>7279</v>
      </c>
      <c r="C5829" s="4" t="s">
        <v>1596</v>
      </c>
      <c r="D5829" s="4" t="s">
        <v>7280</v>
      </c>
      <c r="E5829" s="5">
        <v>186.01196020749998</v>
      </c>
    </row>
    <row r="5830" ht="14.25" customHeight="1">
      <c r="A5830" s="4"/>
      <c r="B5830" s="4" t="s">
        <v>7279</v>
      </c>
      <c r="C5830" s="4" t="s">
        <v>4192</v>
      </c>
      <c r="D5830" s="4" t="s">
        <v>8052</v>
      </c>
      <c r="E5830" s="5">
        <v>62.299402033337806</v>
      </c>
    </row>
    <row r="5831" ht="14.25" customHeight="1">
      <c r="A5831" s="4"/>
      <c r="B5831" s="4" t="s">
        <v>7279</v>
      </c>
      <c r="C5831" s="4" t="s">
        <v>8053</v>
      </c>
      <c r="D5831" s="4" t="s">
        <v>7678</v>
      </c>
      <c r="E5831" s="5">
        <v>102.306578114125</v>
      </c>
    </row>
    <row r="5832" ht="14.25" customHeight="1">
      <c r="A5832" s="4"/>
      <c r="B5832" s="4" t="s">
        <v>7279</v>
      </c>
      <c r="C5832" s="4" t="s">
        <v>3965</v>
      </c>
      <c r="D5832" s="4" t="s">
        <v>8054</v>
      </c>
      <c r="E5832" s="5">
        <v>60.906310417998796</v>
      </c>
    </row>
    <row r="5833" ht="14.25" customHeight="1">
      <c r="A5833" s="4"/>
      <c r="B5833" s="4" t="s">
        <v>7279</v>
      </c>
      <c r="C5833" s="4" t="s">
        <v>8055</v>
      </c>
      <c r="D5833" s="4" t="s">
        <v>8056</v>
      </c>
      <c r="E5833" s="5">
        <v>47.2109855150464</v>
      </c>
    </row>
    <row r="5834" ht="14.25" customHeight="1">
      <c r="A5834" s="4"/>
      <c r="B5834" s="4" t="s">
        <v>7279</v>
      </c>
      <c r="C5834" s="4" t="s">
        <v>7094</v>
      </c>
      <c r="D5834" s="4" t="s">
        <v>8057</v>
      </c>
      <c r="E5834" s="5">
        <v>63.7452475157944</v>
      </c>
    </row>
    <row r="5835" ht="14.25" customHeight="1">
      <c r="A5835" s="4"/>
      <c r="B5835" s="4" t="s">
        <v>7279</v>
      </c>
      <c r="C5835" s="4" t="s">
        <v>3266</v>
      </c>
      <c r="D5835" s="4" t="s">
        <v>7280</v>
      </c>
      <c r="E5835" s="5">
        <v>186.01196020749998</v>
      </c>
    </row>
    <row r="5836" ht="14.25" customHeight="1">
      <c r="A5836" s="4"/>
      <c r="B5836" s="4" t="s">
        <v>7279</v>
      </c>
      <c r="C5836" s="4" t="s">
        <v>8058</v>
      </c>
      <c r="D5836" s="4" t="s">
        <v>8059</v>
      </c>
      <c r="E5836" s="5">
        <v>6.49637715218425</v>
      </c>
    </row>
    <row r="5837" ht="14.25" customHeight="1">
      <c r="A5837" s="4"/>
      <c r="B5837" s="4" t="s">
        <v>7279</v>
      </c>
      <c r="C5837" s="4" t="s">
        <v>8060</v>
      </c>
      <c r="D5837" s="4" t="s">
        <v>7291</v>
      </c>
      <c r="E5837" s="5">
        <v>9.30059801037504</v>
      </c>
    </row>
    <row r="5838" ht="14.25" customHeight="1">
      <c r="A5838" s="4"/>
      <c r="B5838" s="4" t="s">
        <v>7279</v>
      </c>
      <c r="C5838" s="4" t="s">
        <v>8061</v>
      </c>
      <c r="D5838" s="4" t="s">
        <v>8062</v>
      </c>
      <c r="E5838" s="5">
        <v>10.4629147111857</v>
      </c>
    </row>
    <row r="5839" ht="14.25" customHeight="1">
      <c r="A5839" s="4"/>
      <c r="B5839" s="4" t="s">
        <v>7279</v>
      </c>
      <c r="C5839" s="4" t="s">
        <v>8063</v>
      </c>
      <c r="D5839" s="4" t="s">
        <v>8064</v>
      </c>
      <c r="E5839" s="5">
        <v>6.18810543287787</v>
      </c>
    </row>
    <row r="5840" ht="14.25" customHeight="1">
      <c r="A5840" s="4"/>
      <c r="B5840" s="4" t="s">
        <v>7279</v>
      </c>
      <c r="C5840" s="4" t="s">
        <v>291</v>
      </c>
      <c r="D5840" s="4" t="s">
        <v>7280</v>
      </c>
      <c r="E5840" s="5">
        <v>186.01196020749998</v>
      </c>
    </row>
    <row r="5841" ht="14.25" customHeight="1">
      <c r="A5841" s="4"/>
      <c r="B5841" s="4" t="s">
        <v>7279</v>
      </c>
      <c r="C5841" s="4" t="s">
        <v>8065</v>
      </c>
      <c r="D5841" s="4" t="s">
        <v>8066</v>
      </c>
      <c r="E5841" s="5">
        <v>12.2705339425938</v>
      </c>
    </row>
    <row r="5842" ht="14.25" customHeight="1">
      <c r="A5842" s="4"/>
      <c r="B5842" s="4" t="s">
        <v>7279</v>
      </c>
      <c r="C5842" s="4" t="s">
        <v>5213</v>
      </c>
      <c r="D5842" s="4" t="s">
        <v>8067</v>
      </c>
      <c r="E5842" s="5">
        <v>88.4154136225338</v>
      </c>
    </row>
    <row r="5843" ht="14.25" customHeight="1">
      <c r="A5843" s="4"/>
      <c r="B5843" s="4" t="s">
        <v>7279</v>
      </c>
      <c r="C5843" s="4" t="s">
        <v>400</v>
      </c>
      <c r="D5843" s="4" t="s">
        <v>7433</v>
      </c>
      <c r="E5843" s="5">
        <v>18.60119602075</v>
      </c>
    </row>
    <row r="5844" ht="14.25" customHeight="1">
      <c r="A5844" s="4"/>
      <c r="B5844" s="4" t="s">
        <v>7279</v>
      </c>
      <c r="C5844" s="4" t="s">
        <v>8068</v>
      </c>
      <c r="D5844" s="4" t="s">
        <v>8069</v>
      </c>
      <c r="E5844" s="5">
        <v>145.529194632026</v>
      </c>
    </row>
    <row r="5845" ht="14.25" customHeight="1">
      <c r="A5845" s="4"/>
      <c r="B5845" s="4" t="s">
        <v>7279</v>
      </c>
      <c r="C5845" s="4" t="s">
        <v>8070</v>
      </c>
      <c r="D5845" s="4" t="s">
        <v>8071</v>
      </c>
      <c r="E5845" s="5">
        <v>7.225545801062291</v>
      </c>
    </row>
    <row r="5846" ht="14.25" customHeight="1">
      <c r="A5846" s="4"/>
      <c r="B5846" s="4" t="s">
        <v>7279</v>
      </c>
      <c r="C5846" s="4" t="s">
        <v>6762</v>
      </c>
      <c r="D5846" s="4" t="s">
        <v>8072</v>
      </c>
      <c r="E5846" s="5">
        <v>21.616237261077</v>
      </c>
    </row>
    <row r="5847" ht="14.25" customHeight="1">
      <c r="A5847" s="4"/>
      <c r="B5847" s="4" t="s">
        <v>7279</v>
      </c>
      <c r="C5847" s="4" t="s">
        <v>8073</v>
      </c>
      <c r="D5847" s="4" t="s">
        <v>7280</v>
      </c>
      <c r="E5847" s="5">
        <v>186.01196020749998</v>
      </c>
    </row>
    <row r="5848" ht="14.25" customHeight="1">
      <c r="A5848" s="4"/>
      <c r="B5848" s="4" t="s">
        <v>7279</v>
      </c>
      <c r="C5848" s="4" t="s">
        <v>4443</v>
      </c>
      <c r="D5848" s="4" t="s">
        <v>8074</v>
      </c>
      <c r="E5848" s="5">
        <v>80.9527793723333</v>
      </c>
    </row>
    <row r="5849" ht="14.25" customHeight="1">
      <c r="A5849" s="4"/>
      <c r="B5849" s="4" t="s">
        <v>7279</v>
      </c>
      <c r="C5849" s="4" t="s">
        <v>1512</v>
      </c>
      <c r="D5849" s="4" t="s">
        <v>7280</v>
      </c>
      <c r="E5849" s="5">
        <v>186.01196020749998</v>
      </c>
    </row>
    <row r="5850" ht="14.25" customHeight="1">
      <c r="A5850" s="4"/>
      <c r="B5850" s="4" t="s">
        <v>7279</v>
      </c>
      <c r="C5850" s="4" t="s">
        <v>664</v>
      </c>
      <c r="D5850" s="4" t="s">
        <v>8075</v>
      </c>
      <c r="E5850" s="5">
        <v>6.5760696928407505</v>
      </c>
    </row>
    <row r="5851" ht="14.25" customHeight="1">
      <c r="A5851" s="4"/>
      <c r="B5851" s="4" t="s">
        <v>7279</v>
      </c>
      <c r="C5851" s="4" t="s">
        <v>8076</v>
      </c>
      <c r="D5851" s="4" t="s">
        <v>8077</v>
      </c>
      <c r="E5851" s="5">
        <v>46.5436099529339</v>
      </c>
    </row>
    <row r="5852" ht="14.25" customHeight="1">
      <c r="A5852" s="4"/>
      <c r="B5852" s="4" t="s">
        <v>7279</v>
      </c>
      <c r="C5852" s="4" t="s">
        <v>792</v>
      </c>
      <c r="D5852" s="4" t="s">
        <v>7415</v>
      </c>
      <c r="E5852" s="5">
        <v>139.508970155625</v>
      </c>
    </row>
    <row r="5853" ht="14.25" customHeight="1">
      <c r="A5853" s="4"/>
      <c r="B5853" s="4" t="s">
        <v>7279</v>
      </c>
      <c r="C5853" s="4" t="s">
        <v>804</v>
      </c>
      <c r="D5853" s="4" t="s">
        <v>7280</v>
      </c>
      <c r="E5853" s="5">
        <v>186.01196020749998</v>
      </c>
    </row>
    <row r="5854" ht="14.25" customHeight="1">
      <c r="A5854" s="4"/>
      <c r="B5854" s="4" t="s">
        <v>7279</v>
      </c>
      <c r="C5854" s="4" t="s">
        <v>8078</v>
      </c>
      <c r="D5854" s="4" t="s">
        <v>8079</v>
      </c>
      <c r="E5854" s="5">
        <v>52.1171894956789</v>
      </c>
    </row>
    <row r="5855" ht="14.25" customHeight="1">
      <c r="A5855" s="4"/>
      <c r="B5855" s="4" t="s">
        <v>7279</v>
      </c>
      <c r="C5855" s="4" t="s">
        <v>8080</v>
      </c>
      <c r="D5855" s="4" t="s">
        <v>8081</v>
      </c>
      <c r="E5855" s="5">
        <v>83.7053825803547</v>
      </c>
    </row>
    <row r="5856" ht="14.25" customHeight="1">
      <c r="A5856" s="4"/>
      <c r="B5856" s="4" t="s">
        <v>7279</v>
      </c>
      <c r="C5856" s="4" t="s">
        <v>1187</v>
      </c>
      <c r="D5856" s="4" t="s">
        <v>7280</v>
      </c>
      <c r="E5856" s="5">
        <v>186.01196020749998</v>
      </c>
    </row>
    <row r="5857" ht="14.25" customHeight="1">
      <c r="A5857" s="4"/>
      <c r="B5857" s="4" t="s">
        <v>7279</v>
      </c>
      <c r="C5857" s="4" t="s">
        <v>4061</v>
      </c>
      <c r="D5857" s="4" t="s">
        <v>8082</v>
      </c>
      <c r="E5857" s="5">
        <v>8.90434966408022</v>
      </c>
    </row>
    <row r="5858" ht="14.25" customHeight="1">
      <c r="A5858" s="4"/>
      <c r="B5858" s="4" t="s">
        <v>7279</v>
      </c>
      <c r="C5858" s="4" t="s">
        <v>412</v>
      </c>
      <c r="D5858" s="4" t="s">
        <v>7280</v>
      </c>
      <c r="E5858" s="5">
        <v>186.01196020749998</v>
      </c>
    </row>
    <row r="5859" ht="14.25" customHeight="1">
      <c r="A5859" s="4"/>
      <c r="B5859" s="4" t="s">
        <v>7279</v>
      </c>
      <c r="C5859" s="4" t="s">
        <v>8083</v>
      </c>
      <c r="D5859" s="4" t="s">
        <v>7280</v>
      </c>
      <c r="E5859" s="5">
        <v>186.01196020749998</v>
      </c>
    </row>
    <row r="5860" ht="14.25" customHeight="1">
      <c r="A5860" s="4"/>
      <c r="B5860" s="4" t="s">
        <v>7279</v>
      </c>
      <c r="C5860" s="4" t="s">
        <v>1240</v>
      </c>
      <c r="D5860" s="4" t="s">
        <v>8084</v>
      </c>
      <c r="E5860" s="5">
        <v>79.1703302533401</v>
      </c>
    </row>
    <row r="5861" ht="14.25" customHeight="1">
      <c r="A5861" s="4"/>
      <c r="B5861" s="4" t="s">
        <v>7279</v>
      </c>
      <c r="C5861" s="4" t="s">
        <v>2617</v>
      </c>
      <c r="D5861" s="4" t="s">
        <v>8085</v>
      </c>
      <c r="E5861" s="5">
        <v>107.124244801083</v>
      </c>
    </row>
    <row r="5862" ht="14.25" customHeight="1">
      <c r="A5862" s="4"/>
      <c r="B5862" s="4" t="s">
        <v>7279</v>
      </c>
      <c r="C5862" s="4" t="s">
        <v>2998</v>
      </c>
      <c r="D5862" s="4" t="s">
        <v>8086</v>
      </c>
      <c r="E5862" s="5">
        <v>107.328901039727</v>
      </c>
    </row>
    <row r="5863" ht="14.25" customHeight="1">
      <c r="A5863" s="4"/>
      <c r="B5863" s="4" t="s">
        <v>7279</v>
      </c>
      <c r="C5863" s="4" t="s">
        <v>1829</v>
      </c>
      <c r="D5863" s="4" t="s">
        <v>8087</v>
      </c>
      <c r="E5863" s="5">
        <v>46.6555198592453</v>
      </c>
    </row>
    <row r="5864" ht="14.25" customHeight="1">
      <c r="A5864" s="4"/>
      <c r="B5864" s="4" t="s">
        <v>7279</v>
      </c>
      <c r="C5864" s="4" t="s">
        <v>977</v>
      </c>
      <c r="D5864" s="4" t="s">
        <v>7280</v>
      </c>
      <c r="E5864" s="5">
        <v>186.01196020749998</v>
      </c>
    </row>
    <row r="5865" ht="14.25" customHeight="1">
      <c r="A5865" s="4"/>
      <c r="B5865" s="4" t="s">
        <v>7279</v>
      </c>
      <c r="C5865" s="4" t="s">
        <v>2260</v>
      </c>
      <c r="D5865" s="4" t="s">
        <v>8088</v>
      </c>
      <c r="E5865" s="5">
        <v>0.337425502347461</v>
      </c>
    </row>
    <row r="5866" ht="14.25" customHeight="1">
      <c r="A5866" s="4"/>
      <c r="B5866" s="4" t="s">
        <v>7279</v>
      </c>
      <c r="C5866" s="4" t="s">
        <v>37</v>
      </c>
      <c r="D5866" s="4" t="s">
        <v>7678</v>
      </c>
      <c r="E5866" s="5">
        <v>102.306578114125</v>
      </c>
    </row>
    <row r="5867" ht="14.25" customHeight="1">
      <c r="A5867" s="4"/>
      <c r="B5867" s="4" t="s">
        <v>7279</v>
      </c>
      <c r="C5867" s="4" t="s">
        <v>6278</v>
      </c>
      <c r="D5867" s="4" t="s">
        <v>7284</v>
      </c>
      <c r="E5867" s="5">
        <v>65.1041860726253</v>
      </c>
    </row>
    <row r="5868" ht="14.25" customHeight="1">
      <c r="A5868" s="4"/>
      <c r="B5868" s="4" t="s">
        <v>7279</v>
      </c>
      <c r="C5868" s="4" t="s">
        <v>3033</v>
      </c>
      <c r="D5868" s="4" t="s">
        <v>8089</v>
      </c>
      <c r="E5868" s="5">
        <v>9.39383412335989</v>
      </c>
    </row>
    <row r="5869" ht="14.25" customHeight="1">
      <c r="A5869" s="4"/>
      <c r="B5869" s="4" t="s">
        <v>7279</v>
      </c>
      <c r="C5869" s="4" t="s">
        <v>3826</v>
      </c>
      <c r="D5869" s="4" t="s">
        <v>8090</v>
      </c>
      <c r="E5869" s="5">
        <v>8.92244626819301</v>
      </c>
    </row>
    <row r="5870" ht="14.25" customHeight="1">
      <c r="A5870" s="4"/>
      <c r="B5870" s="4" t="s">
        <v>7279</v>
      </c>
      <c r="C5870" s="4" t="s">
        <v>2870</v>
      </c>
      <c r="D5870" s="4" t="s">
        <v>8091</v>
      </c>
      <c r="E5870" s="5">
        <v>29.6582312728678</v>
      </c>
    </row>
    <row r="5871" ht="14.25" customHeight="1">
      <c r="A5871" s="4"/>
      <c r="B5871" s="4" t="s">
        <v>7279</v>
      </c>
      <c r="C5871" s="4" t="s">
        <v>2852</v>
      </c>
      <c r="D5871" s="4" t="s">
        <v>8092</v>
      </c>
      <c r="E5871" s="5">
        <v>179.267667680088</v>
      </c>
    </row>
    <row r="5872" ht="14.25" customHeight="1">
      <c r="A5872" s="4"/>
      <c r="B5872" s="4" t="s">
        <v>7279</v>
      </c>
      <c r="C5872" s="4" t="s">
        <v>6036</v>
      </c>
      <c r="D5872" s="4" t="s">
        <v>7433</v>
      </c>
      <c r="E5872" s="5">
        <v>18.60119602075</v>
      </c>
    </row>
    <row r="5873" ht="14.25" customHeight="1">
      <c r="A5873" s="4"/>
      <c r="B5873" s="4" t="s">
        <v>7279</v>
      </c>
      <c r="C5873" s="4" t="s">
        <v>2981</v>
      </c>
      <c r="D5873" s="4" t="s">
        <v>8093</v>
      </c>
      <c r="E5873" s="5">
        <v>142.121224574725</v>
      </c>
    </row>
    <row r="5874" ht="14.25" customHeight="1">
      <c r="A5874" s="4"/>
      <c r="B5874" s="4" t="s">
        <v>7279</v>
      </c>
      <c r="C5874" s="4" t="s">
        <v>5426</v>
      </c>
      <c r="D5874" s="4" t="s">
        <v>8094</v>
      </c>
      <c r="E5874" s="5">
        <v>10.547070588391101</v>
      </c>
    </row>
    <row r="5875" ht="14.25" customHeight="1">
      <c r="A5875" s="4"/>
      <c r="B5875" s="4" t="s">
        <v>7279</v>
      </c>
      <c r="C5875" s="4" t="s">
        <v>1360</v>
      </c>
      <c r="D5875" s="4" t="s">
        <v>8095</v>
      </c>
      <c r="E5875" s="5">
        <v>0.305329962770931</v>
      </c>
    </row>
    <row r="5876" ht="14.25" customHeight="1">
      <c r="A5876" s="4"/>
      <c r="B5876" s="4" t="s">
        <v>7279</v>
      </c>
      <c r="C5876" s="4" t="s">
        <v>3546</v>
      </c>
      <c r="D5876" s="4" t="s">
        <v>7280</v>
      </c>
      <c r="E5876" s="5">
        <v>186.01196020749998</v>
      </c>
    </row>
    <row r="5877" ht="14.25" customHeight="1">
      <c r="A5877" s="4"/>
      <c r="B5877" s="4" t="s">
        <v>7279</v>
      </c>
      <c r="C5877" s="4" t="s">
        <v>1224</v>
      </c>
      <c r="D5877" s="4" t="s">
        <v>7280</v>
      </c>
      <c r="E5877" s="5">
        <v>186.01196020749998</v>
      </c>
    </row>
    <row r="5878" ht="14.25" customHeight="1">
      <c r="A5878" s="4"/>
      <c r="B5878" s="4" t="s">
        <v>7279</v>
      </c>
      <c r="C5878" s="4" t="s">
        <v>4088</v>
      </c>
      <c r="D5878" s="4" t="s">
        <v>8096</v>
      </c>
      <c r="E5878" s="5">
        <v>48.144845772670806</v>
      </c>
    </row>
    <row r="5879" ht="14.25" customHeight="1">
      <c r="A5879" s="4"/>
      <c r="B5879" s="4" t="s">
        <v>7279</v>
      </c>
      <c r="C5879" s="4" t="s">
        <v>8097</v>
      </c>
      <c r="D5879" s="4" t="s">
        <v>8098</v>
      </c>
      <c r="E5879" s="5">
        <v>51.6715451060062</v>
      </c>
    </row>
    <row r="5880" ht="14.25" customHeight="1">
      <c r="A5880" s="4"/>
      <c r="B5880" s="4" t="s">
        <v>7279</v>
      </c>
      <c r="C5880" s="4" t="s">
        <v>2676</v>
      </c>
      <c r="D5880" s="4" t="s">
        <v>8099</v>
      </c>
      <c r="E5880" s="5">
        <v>2.7308452261966196</v>
      </c>
    </row>
    <row r="5881" ht="14.25" customHeight="1">
      <c r="A5881" s="4"/>
      <c r="B5881" s="4" t="s">
        <v>7279</v>
      </c>
      <c r="C5881" s="4" t="s">
        <v>6737</v>
      </c>
      <c r="D5881" s="4" t="s">
        <v>8100</v>
      </c>
      <c r="E5881" s="5">
        <v>13.9508970155625</v>
      </c>
    </row>
    <row r="5882" ht="14.25" customHeight="1">
      <c r="A5882" s="4"/>
      <c r="B5882" s="4" t="s">
        <v>7279</v>
      </c>
      <c r="C5882" s="4" t="s">
        <v>8101</v>
      </c>
      <c r="D5882" s="4" t="s">
        <v>8102</v>
      </c>
      <c r="E5882" s="5">
        <v>46.6767163765382</v>
      </c>
    </row>
    <row r="5883" ht="14.25" customHeight="1">
      <c r="A5883" s="4"/>
      <c r="B5883" s="4" t="s">
        <v>7279</v>
      </c>
      <c r="C5883" s="4" t="s">
        <v>7133</v>
      </c>
      <c r="D5883" s="4" t="s">
        <v>7291</v>
      </c>
      <c r="E5883" s="5">
        <v>9.30059801037504</v>
      </c>
    </row>
    <row r="5884" ht="14.25" customHeight="1">
      <c r="A5884" s="4"/>
      <c r="B5884" s="4" t="s">
        <v>7279</v>
      </c>
      <c r="C5884" s="4" t="s">
        <v>788</v>
      </c>
      <c r="D5884" s="4" t="s">
        <v>7305</v>
      </c>
      <c r="E5884" s="5">
        <v>55.8035880622502</v>
      </c>
    </row>
    <row r="5885" ht="14.25" customHeight="1">
      <c r="A5885" s="4"/>
      <c r="B5885" s="4" t="s">
        <v>7279</v>
      </c>
      <c r="C5885" s="4" t="s">
        <v>6015</v>
      </c>
      <c r="D5885" s="4" t="s">
        <v>8103</v>
      </c>
      <c r="E5885" s="5">
        <v>44.7751551281819</v>
      </c>
    </row>
    <row r="5886" ht="14.25" customHeight="1">
      <c r="A5886" s="4"/>
      <c r="B5886" s="4" t="s">
        <v>7279</v>
      </c>
      <c r="C5886" s="4" t="s">
        <v>8104</v>
      </c>
      <c r="D5886" s="4" t="s">
        <v>8105</v>
      </c>
      <c r="E5886" s="5">
        <v>25.932823714684698</v>
      </c>
    </row>
    <row r="5887" ht="14.25" customHeight="1">
      <c r="A5887" s="4"/>
      <c r="B5887" s="4" t="s">
        <v>7279</v>
      </c>
      <c r="C5887" s="4" t="s">
        <v>2876</v>
      </c>
      <c r="D5887" s="4" t="s">
        <v>7280</v>
      </c>
      <c r="E5887" s="5">
        <v>186.01196020749998</v>
      </c>
    </row>
    <row r="5888" ht="14.25" customHeight="1">
      <c r="A5888" s="4"/>
      <c r="B5888" s="4" t="s">
        <v>7279</v>
      </c>
      <c r="C5888" s="4" t="s">
        <v>8106</v>
      </c>
      <c r="D5888" s="4" t="s">
        <v>7280</v>
      </c>
      <c r="E5888" s="5">
        <v>186.01196020749998</v>
      </c>
    </row>
    <row r="5889" ht="14.25" customHeight="1">
      <c r="A5889" s="4"/>
      <c r="B5889" s="4" t="s">
        <v>7279</v>
      </c>
      <c r="C5889" s="4" t="s">
        <v>1713</v>
      </c>
      <c r="D5889" s="4" t="s">
        <v>7280</v>
      </c>
      <c r="E5889" s="5">
        <v>186.01196020749998</v>
      </c>
    </row>
    <row r="5890" ht="14.25" customHeight="1">
      <c r="A5890" s="4"/>
      <c r="B5890" s="4" t="s">
        <v>7279</v>
      </c>
      <c r="C5890" s="4" t="s">
        <v>4358</v>
      </c>
      <c r="D5890" s="4" t="s">
        <v>7377</v>
      </c>
      <c r="E5890" s="5">
        <v>46.5029900518752</v>
      </c>
    </row>
    <row r="5891" ht="14.25" customHeight="1">
      <c r="A5891" s="4"/>
      <c r="B5891" s="4" t="s">
        <v>7279</v>
      </c>
      <c r="C5891" s="4" t="s">
        <v>3988</v>
      </c>
      <c r="D5891" s="4" t="s">
        <v>8107</v>
      </c>
      <c r="E5891" s="5">
        <v>182.11582325080698</v>
      </c>
    </row>
    <row r="5892" ht="14.25" customHeight="1">
      <c r="A5892" s="4"/>
      <c r="B5892" s="4" t="s">
        <v>7279</v>
      </c>
      <c r="C5892" s="4" t="s">
        <v>3292</v>
      </c>
      <c r="D5892" s="4" t="s">
        <v>8108</v>
      </c>
      <c r="E5892" s="5">
        <v>169.096766816805</v>
      </c>
    </row>
    <row r="5893" ht="14.25" customHeight="1">
      <c r="A5893" s="4"/>
      <c r="B5893" s="4" t="s">
        <v>7279</v>
      </c>
      <c r="C5893" s="4" t="s">
        <v>4110</v>
      </c>
      <c r="D5893" s="4" t="s">
        <v>8109</v>
      </c>
      <c r="E5893" s="5">
        <v>47.821299162650696</v>
      </c>
    </row>
    <row r="5894" ht="14.25" customHeight="1">
      <c r="A5894" s="4"/>
      <c r="B5894" s="4" t="s">
        <v>7279</v>
      </c>
      <c r="C5894" s="4" t="s">
        <v>7252</v>
      </c>
      <c r="D5894" s="4" t="s">
        <v>8110</v>
      </c>
      <c r="E5894" s="5">
        <v>185.866062158059</v>
      </c>
    </row>
    <row r="5895" ht="14.25" customHeight="1">
      <c r="A5895" s="4"/>
      <c r="B5895" s="4" t="s">
        <v>7279</v>
      </c>
      <c r="C5895" s="4" t="s">
        <v>5146</v>
      </c>
      <c r="D5895" s="4" t="s">
        <v>8111</v>
      </c>
      <c r="E5895" s="5">
        <v>11.7691056674771</v>
      </c>
    </row>
    <row r="5896" ht="14.25" customHeight="1">
      <c r="A5896" s="4"/>
      <c r="B5896" s="4" t="s">
        <v>7279</v>
      </c>
      <c r="C5896" s="4" t="s">
        <v>7209</v>
      </c>
      <c r="D5896" s="4" t="s">
        <v>7280</v>
      </c>
      <c r="E5896" s="5">
        <v>186.01196020749998</v>
      </c>
    </row>
    <row r="5897" ht="14.25" customHeight="1">
      <c r="A5897" s="4"/>
      <c r="B5897" s="4" t="s">
        <v>7279</v>
      </c>
      <c r="C5897" s="4" t="s">
        <v>3953</v>
      </c>
      <c r="D5897" s="4" t="s">
        <v>7291</v>
      </c>
      <c r="E5897" s="5">
        <v>9.30059801037504</v>
      </c>
    </row>
    <row r="5898" ht="14.25" customHeight="1">
      <c r="A5898" s="4"/>
      <c r="B5898" s="4" t="s">
        <v>7279</v>
      </c>
      <c r="C5898" s="4" t="s">
        <v>6610</v>
      </c>
      <c r="D5898" s="4" t="s">
        <v>8112</v>
      </c>
      <c r="E5898" s="5">
        <v>65.1641307484174</v>
      </c>
    </row>
    <row r="5899" ht="14.25" customHeight="1">
      <c r="A5899" s="4"/>
      <c r="B5899" s="4" t="s">
        <v>7279</v>
      </c>
      <c r="C5899" s="4" t="s">
        <v>2574</v>
      </c>
      <c r="D5899" s="4" t="s">
        <v>8113</v>
      </c>
      <c r="E5899" s="5">
        <v>46.5214431009024</v>
      </c>
    </row>
    <row r="5900" ht="14.25" customHeight="1">
      <c r="A5900" s="4"/>
      <c r="B5900" s="4" t="s">
        <v>7279</v>
      </c>
      <c r="C5900" s="4" t="s">
        <v>1254</v>
      </c>
      <c r="D5900" s="4" t="s">
        <v>7280</v>
      </c>
      <c r="E5900" s="5">
        <v>186.01196020749998</v>
      </c>
    </row>
    <row r="5901" ht="14.25" customHeight="1">
      <c r="A5901" s="4"/>
      <c r="B5901" s="4" t="s">
        <v>7279</v>
      </c>
      <c r="C5901" s="4" t="s">
        <v>2182</v>
      </c>
      <c r="D5901" s="4" t="s">
        <v>8114</v>
      </c>
      <c r="E5901" s="5">
        <v>29.2163158490163</v>
      </c>
    </row>
    <row r="5902" ht="14.25" customHeight="1">
      <c r="A5902" s="4"/>
      <c r="B5902" s="4" t="s">
        <v>7279</v>
      </c>
      <c r="C5902" s="4" t="s">
        <v>8115</v>
      </c>
      <c r="D5902" s="4" t="s">
        <v>7280</v>
      </c>
      <c r="E5902" s="5">
        <v>186.01196020749998</v>
      </c>
    </row>
    <row r="5903" ht="14.25" customHeight="1">
      <c r="A5903" s="4"/>
      <c r="B5903" s="4" t="s">
        <v>7279</v>
      </c>
      <c r="C5903" s="4" t="s">
        <v>8116</v>
      </c>
      <c r="D5903" s="4" t="s">
        <v>8117</v>
      </c>
      <c r="E5903" s="5">
        <v>102.492756869211</v>
      </c>
    </row>
    <row r="5904" ht="14.25" customHeight="1">
      <c r="A5904" s="4"/>
      <c r="B5904" s="4" t="s">
        <v>7279</v>
      </c>
      <c r="C5904" s="4" t="s">
        <v>8118</v>
      </c>
      <c r="D5904" s="4" t="s">
        <v>8119</v>
      </c>
      <c r="E5904" s="5">
        <v>111.13841708391901</v>
      </c>
    </row>
    <row r="5905" ht="14.25" customHeight="1">
      <c r="A5905" s="4"/>
      <c r="B5905" s="4" t="s">
        <v>7279</v>
      </c>
      <c r="C5905" s="4" t="s">
        <v>8120</v>
      </c>
      <c r="D5905" s="4" t="s">
        <v>8121</v>
      </c>
      <c r="E5905" s="5">
        <v>117.187534930725</v>
      </c>
    </row>
    <row r="5906" ht="14.25" customHeight="1">
      <c r="A5906" s="4"/>
      <c r="B5906" s="4" t="s">
        <v>7279</v>
      </c>
      <c r="C5906" s="4" t="s">
        <v>8122</v>
      </c>
      <c r="D5906" s="4" t="s">
        <v>8123</v>
      </c>
      <c r="E5906" s="5">
        <v>131.510455866703</v>
      </c>
    </row>
    <row r="5907" ht="14.25" customHeight="1">
      <c r="A5907" s="4"/>
      <c r="B5907" s="4" t="s">
        <v>7279</v>
      </c>
      <c r="C5907" s="4" t="s">
        <v>3534</v>
      </c>
      <c r="D5907" s="4" t="s">
        <v>8124</v>
      </c>
      <c r="E5907" s="5">
        <v>94.4438867103684</v>
      </c>
    </row>
    <row r="5908" ht="14.25" customHeight="1">
      <c r="A5908" s="4"/>
      <c r="B5908" s="4" t="s">
        <v>7279</v>
      </c>
      <c r="C5908" s="4" t="s">
        <v>6799</v>
      </c>
      <c r="D5908" s="4" t="s">
        <v>7575</v>
      </c>
      <c r="E5908" s="5">
        <v>23.2514950259376</v>
      </c>
    </row>
    <row r="5909" ht="14.25" customHeight="1">
      <c r="A5909" s="4"/>
      <c r="B5909" s="4" t="s">
        <v>7279</v>
      </c>
      <c r="C5909" s="4" t="s">
        <v>8125</v>
      </c>
      <c r="D5909" s="4" t="s">
        <v>7280</v>
      </c>
      <c r="E5909" s="5">
        <v>186.01196020749998</v>
      </c>
    </row>
    <row r="5910" ht="14.25" customHeight="1">
      <c r="A5910" s="4"/>
      <c r="B5910" s="4" t="s">
        <v>7279</v>
      </c>
      <c r="C5910" s="4" t="s">
        <v>8126</v>
      </c>
      <c r="D5910" s="4" t="s">
        <v>8127</v>
      </c>
      <c r="E5910" s="5">
        <v>56.082298365193004</v>
      </c>
    </row>
    <row r="5911" ht="14.25" customHeight="1">
      <c r="A5911" s="4"/>
      <c r="B5911" s="4" t="s">
        <v>7279</v>
      </c>
      <c r="C5911" s="4" t="s">
        <v>554</v>
      </c>
      <c r="D5911" s="4" t="s">
        <v>7280</v>
      </c>
      <c r="E5911" s="5">
        <v>186.01196020749998</v>
      </c>
    </row>
    <row r="5912" ht="14.25" customHeight="1">
      <c r="A5912" s="4"/>
      <c r="B5912" s="4" t="s">
        <v>7279</v>
      </c>
      <c r="C5912" s="4" t="s">
        <v>8128</v>
      </c>
      <c r="D5912" s="4" t="s">
        <v>8129</v>
      </c>
      <c r="E5912" s="5">
        <v>2.38068138428653</v>
      </c>
    </row>
    <row r="5913" ht="14.25" customHeight="1">
      <c r="A5913" s="4"/>
      <c r="B5913" s="4" t="s">
        <v>7279</v>
      </c>
      <c r="C5913" s="4" t="s">
        <v>2942</v>
      </c>
      <c r="D5913" s="4" t="s">
        <v>8130</v>
      </c>
      <c r="E5913" s="5">
        <v>183.887657526689</v>
      </c>
    </row>
    <row r="5914" ht="14.25" customHeight="1">
      <c r="A5914" s="4"/>
      <c r="B5914" s="4" t="s">
        <v>7279</v>
      </c>
      <c r="C5914" s="4" t="s">
        <v>877</v>
      </c>
      <c r="D5914" s="4" t="s">
        <v>8131</v>
      </c>
      <c r="E5914" s="5">
        <v>5.58035880622502</v>
      </c>
    </row>
    <row r="5915" ht="14.25" customHeight="1">
      <c r="A5915" s="4"/>
      <c r="B5915" s="4" t="s">
        <v>7279</v>
      </c>
      <c r="C5915" s="4" t="s">
        <v>6050</v>
      </c>
      <c r="D5915" s="4" t="s">
        <v>7433</v>
      </c>
      <c r="E5915" s="5">
        <v>18.60119602075</v>
      </c>
    </row>
    <row r="5916" ht="14.25" customHeight="1">
      <c r="A5916" s="4"/>
      <c r="B5916" s="4" t="s">
        <v>7279</v>
      </c>
      <c r="C5916" s="4" t="s">
        <v>2067</v>
      </c>
      <c r="D5916" s="4" t="s">
        <v>7280</v>
      </c>
      <c r="E5916" s="5">
        <v>186.01196020749998</v>
      </c>
    </row>
    <row r="5917" ht="14.25" customHeight="1">
      <c r="A5917" s="4"/>
      <c r="B5917" s="4" t="s">
        <v>7279</v>
      </c>
      <c r="C5917" s="4" t="s">
        <v>1739</v>
      </c>
      <c r="D5917" s="4" t="s">
        <v>8132</v>
      </c>
      <c r="E5917" s="5">
        <v>181.73784951378198</v>
      </c>
    </row>
    <row r="5918" ht="14.25" customHeight="1">
      <c r="A5918" s="4"/>
      <c r="B5918" s="4" t="s">
        <v>7279</v>
      </c>
      <c r="C5918" s="4" t="s">
        <v>135</v>
      </c>
      <c r="D5918" s="4" t="s">
        <v>7280</v>
      </c>
      <c r="E5918" s="5">
        <v>186.01196020749998</v>
      </c>
    </row>
    <row r="5919" ht="14.25" customHeight="1">
      <c r="A5919" s="4"/>
      <c r="B5919" s="4" t="s">
        <v>7279</v>
      </c>
      <c r="C5919" s="4" t="s">
        <v>256</v>
      </c>
      <c r="D5919" s="4" t="s">
        <v>8133</v>
      </c>
      <c r="E5919" s="5">
        <v>11.721957398045399</v>
      </c>
    </row>
    <row r="5920" ht="14.25" customHeight="1">
      <c r="A5920" s="4"/>
      <c r="B5920" s="4" t="s">
        <v>7279</v>
      </c>
      <c r="C5920" s="4" t="s">
        <v>8134</v>
      </c>
      <c r="D5920" s="4" t="s">
        <v>8135</v>
      </c>
      <c r="E5920" s="5">
        <v>118.84201717137</v>
      </c>
    </row>
    <row r="5921" ht="14.25" customHeight="1">
      <c r="A5921" s="4"/>
      <c r="B5921" s="4" t="s">
        <v>7279</v>
      </c>
      <c r="C5921" s="4" t="s">
        <v>7187</v>
      </c>
      <c r="D5921" s="4" t="s">
        <v>8136</v>
      </c>
      <c r="E5921" s="5">
        <v>18.683696099842802</v>
      </c>
    </row>
    <row r="5922" ht="14.25" customHeight="1">
      <c r="A5922" s="4"/>
      <c r="B5922" s="4" t="s">
        <v>7279</v>
      </c>
      <c r="C5922" s="4" t="s">
        <v>8137</v>
      </c>
      <c r="D5922" s="4" t="s">
        <v>7305</v>
      </c>
      <c r="E5922" s="5">
        <v>55.8035880622502</v>
      </c>
    </row>
    <row r="5923" ht="14.25" customHeight="1">
      <c r="A5923" s="4"/>
      <c r="B5923" s="4" t="s">
        <v>7279</v>
      </c>
      <c r="C5923" s="4" t="s">
        <v>4178</v>
      </c>
      <c r="D5923" s="4" t="s">
        <v>8138</v>
      </c>
      <c r="E5923" s="5">
        <v>24.107248008606803</v>
      </c>
    </row>
    <row r="5924" ht="14.25" customHeight="1">
      <c r="A5924" s="4"/>
      <c r="B5924" s="4" t="s">
        <v>7279</v>
      </c>
      <c r="C5924" s="4" t="s">
        <v>8139</v>
      </c>
      <c r="D5924" s="4" t="s">
        <v>7291</v>
      </c>
      <c r="E5924" s="5">
        <v>9.30059801037504</v>
      </c>
    </row>
    <row r="5925" ht="14.25" customHeight="1">
      <c r="A5925" s="4"/>
      <c r="B5925" s="4" t="s">
        <v>7279</v>
      </c>
      <c r="C5925" s="4" t="s">
        <v>5395</v>
      </c>
      <c r="D5925" s="4" t="s">
        <v>8140</v>
      </c>
      <c r="E5925" s="5">
        <v>65.79236716652</v>
      </c>
    </row>
    <row r="5926" ht="14.25" customHeight="1">
      <c r="A5926" s="4"/>
      <c r="B5926" s="4" t="s">
        <v>7279</v>
      </c>
      <c r="C5926" s="4" t="s">
        <v>1039</v>
      </c>
      <c r="D5926" s="4" t="s">
        <v>8141</v>
      </c>
      <c r="E5926" s="5">
        <v>165.863868123136</v>
      </c>
    </row>
    <row r="5927" ht="14.25" customHeight="1">
      <c r="A5927" s="4"/>
      <c r="B5927" s="4" t="s">
        <v>7279</v>
      </c>
      <c r="C5927" s="4" t="s">
        <v>3832</v>
      </c>
      <c r="D5927" s="4" t="s">
        <v>8142</v>
      </c>
      <c r="E5927" s="5">
        <v>5.8314613229399</v>
      </c>
    </row>
    <row r="5928" ht="14.25" customHeight="1">
      <c r="A5928" s="4"/>
      <c r="B5928" s="4" t="s">
        <v>7279</v>
      </c>
      <c r="C5928" s="4" t="s">
        <v>3511</v>
      </c>
      <c r="D5928" s="4" t="s">
        <v>7291</v>
      </c>
      <c r="E5928" s="5">
        <v>9.30059801037504</v>
      </c>
    </row>
    <row r="5929" ht="14.25" customHeight="1">
      <c r="A5929" s="4"/>
      <c r="B5929" s="4" t="s">
        <v>7279</v>
      </c>
      <c r="C5929" s="4" t="s">
        <v>8143</v>
      </c>
      <c r="D5929" s="4" t="s">
        <v>8144</v>
      </c>
      <c r="E5929" s="5">
        <v>0.13639260943148301</v>
      </c>
    </row>
    <row r="5930" ht="14.25" customHeight="1">
      <c r="A5930" s="4"/>
      <c r="B5930" s="4" t="s">
        <v>7279</v>
      </c>
      <c r="C5930" s="4" t="s">
        <v>5842</v>
      </c>
      <c r="D5930" s="4" t="s">
        <v>7291</v>
      </c>
      <c r="E5930" s="5">
        <v>9.30059801037504</v>
      </c>
    </row>
    <row r="5931" ht="14.25" customHeight="1">
      <c r="A5931" s="4"/>
      <c r="B5931" s="4" t="s">
        <v>7279</v>
      </c>
      <c r="C5931" s="4" t="s">
        <v>8145</v>
      </c>
      <c r="D5931" s="4" t="s">
        <v>8146</v>
      </c>
      <c r="E5931" s="5">
        <v>13.4379890003205</v>
      </c>
    </row>
    <row r="5932" ht="14.25" customHeight="1">
      <c r="A5932" s="4"/>
      <c r="B5932" s="4" t="s">
        <v>7279</v>
      </c>
      <c r="C5932" s="4" t="s">
        <v>5822</v>
      </c>
      <c r="D5932" s="4" t="s">
        <v>8147</v>
      </c>
      <c r="E5932" s="5">
        <v>66.945132276686</v>
      </c>
    </row>
    <row r="5933" ht="14.25" customHeight="1">
      <c r="A5933" s="4"/>
      <c r="B5933" s="4" t="s">
        <v>7279</v>
      </c>
      <c r="C5933" s="4" t="s">
        <v>7006</v>
      </c>
      <c r="D5933" s="4" t="s">
        <v>8148</v>
      </c>
      <c r="E5933" s="5">
        <v>129.853738951559</v>
      </c>
    </row>
    <row r="5934" ht="14.25" customHeight="1">
      <c r="A5934" s="4"/>
      <c r="B5934" s="4" t="s">
        <v>7279</v>
      </c>
      <c r="C5934" s="4" t="s">
        <v>4361</v>
      </c>
      <c r="D5934" s="4" t="s">
        <v>7433</v>
      </c>
      <c r="E5934" s="5">
        <v>18.60119602075</v>
      </c>
    </row>
    <row r="5935" ht="14.25" customHeight="1">
      <c r="A5935" s="4"/>
      <c r="B5935" s="4" t="s">
        <v>7279</v>
      </c>
      <c r="C5935" s="4" t="s">
        <v>8149</v>
      </c>
      <c r="D5935" s="4" t="s">
        <v>8150</v>
      </c>
      <c r="E5935" s="5">
        <v>130.354502625936</v>
      </c>
    </row>
    <row r="5936" ht="14.25" customHeight="1">
      <c r="A5936" s="4"/>
      <c r="B5936" s="4" t="s">
        <v>7279</v>
      </c>
      <c r="C5936" s="4" t="s">
        <v>280</v>
      </c>
      <c r="D5936" s="4" t="s">
        <v>7280</v>
      </c>
      <c r="E5936" s="5">
        <v>186.01196020749998</v>
      </c>
    </row>
    <row r="5937" ht="14.25" customHeight="1">
      <c r="A5937" s="4"/>
      <c r="B5937" s="4" t="s">
        <v>7279</v>
      </c>
      <c r="C5937" s="4" t="s">
        <v>3539</v>
      </c>
      <c r="D5937" s="4" t="s">
        <v>7291</v>
      </c>
      <c r="E5937" s="5">
        <v>9.30059801037504</v>
      </c>
    </row>
    <row r="5938" ht="14.25" customHeight="1">
      <c r="A5938" s="4"/>
      <c r="B5938" s="4" t="s">
        <v>7279</v>
      </c>
      <c r="C5938" s="4" t="s">
        <v>5268</v>
      </c>
      <c r="D5938" s="4" t="s">
        <v>8151</v>
      </c>
      <c r="E5938" s="5">
        <v>81.4080163275118</v>
      </c>
    </row>
    <row r="5939" ht="14.25" customHeight="1">
      <c r="A5939" s="4"/>
      <c r="B5939" s="4" t="s">
        <v>7279</v>
      </c>
      <c r="C5939" s="4" t="s">
        <v>1853</v>
      </c>
      <c r="D5939" s="4" t="s">
        <v>8152</v>
      </c>
      <c r="E5939" s="5">
        <v>10.0202185167289</v>
      </c>
    </row>
    <row r="5940" ht="14.25" customHeight="1">
      <c r="A5940" s="4"/>
      <c r="B5940" s="4" t="s">
        <v>7279</v>
      </c>
      <c r="C5940" s="4" t="s">
        <v>6588</v>
      </c>
      <c r="D5940" s="4" t="s">
        <v>8153</v>
      </c>
      <c r="E5940" s="5">
        <v>45.578948795278905</v>
      </c>
    </row>
    <row r="5941" ht="14.25" customHeight="1">
      <c r="A5941" s="4"/>
      <c r="B5941" s="4" t="s">
        <v>7279</v>
      </c>
      <c r="C5941" s="4" t="s">
        <v>6687</v>
      </c>
      <c r="D5941" s="4" t="s">
        <v>8154</v>
      </c>
      <c r="E5941" s="5">
        <v>61.1915899785491</v>
      </c>
    </row>
    <row r="5942" ht="14.25" customHeight="1">
      <c r="A5942" s="4"/>
      <c r="B5942" s="4" t="s">
        <v>7279</v>
      </c>
      <c r="C5942" s="4" t="s">
        <v>5001</v>
      </c>
      <c r="D5942" s="4" t="s">
        <v>8155</v>
      </c>
      <c r="E5942" s="5">
        <v>9.472376097478161</v>
      </c>
    </row>
    <row r="5943" ht="14.25" customHeight="1">
      <c r="A5943" s="4"/>
      <c r="B5943" s="4" t="s">
        <v>7279</v>
      </c>
      <c r="C5943" s="4" t="s">
        <v>4129</v>
      </c>
      <c r="D5943" s="4" t="s">
        <v>8156</v>
      </c>
      <c r="E5943" s="5">
        <v>66.7782937144928</v>
      </c>
    </row>
    <row r="5944" ht="14.25" customHeight="1">
      <c r="A5944" s="4"/>
      <c r="B5944" s="4" t="s">
        <v>7279</v>
      </c>
      <c r="C5944" s="4" t="s">
        <v>1884</v>
      </c>
      <c r="D5944" s="4" t="s">
        <v>8157</v>
      </c>
      <c r="E5944" s="5">
        <v>175.67246679817</v>
      </c>
    </row>
    <row r="5945" ht="14.25" customHeight="1">
      <c r="A5945" s="4"/>
      <c r="B5945" s="4" t="s">
        <v>7279</v>
      </c>
      <c r="C5945" s="4" t="s">
        <v>8158</v>
      </c>
      <c r="D5945" s="4" t="s">
        <v>7280</v>
      </c>
      <c r="E5945" s="5">
        <v>186.01196020749998</v>
      </c>
    </row>
    <row r="5946" ht="14.25" customHeight="1">
      <c r="A5946" s="4"/>
      <c r="B5946" s="4" t="s">
        <v>7279</v>
      </c>
      <c r="C5946" s="4" t="s">
        <v>4045</v>
      </c>
      <c r="D5946" s="4" t="s">
        <v>8159</v>
      </c>
      <c r="E5946" s="5">
        <v>11.3198835516477</v>
      </c>
    </row>
    <row r="5947" ht="14.25" customHeight="1">
      <c r="A5947" s="4"/>
      <c r="B5947" s="4" t="s">
        <v>7279</v>
      </c>
      <c r="C5947" s="4" t="s">
        <v>4812</v>
      </c>
      <c r="D5947" s="4" t="s">
        <v>8160</v>
      </c>
      <c r="E5947" s="5">
        <v>74.2992985043106</v>
      </c>
    </row>
    <row r="5948" ht="14.25" customHeight="1">
      <c r="A5948" s="4"/>
      <c r="B5948" s="4" t="s">
        <v>7279</v>
      </c>
      <c r="C5948" s="4" t="s">
        <v>751</v>
      </c>
      <c r="D5948" s="4" t="s">
        <v>7280</v>
      </c>
      <c r="E5948" s="5">
        <v>186.01196020749998</v>
      </c>
    </row>
    <row r="5949" ht="14.25" customHeight="1">
      <c r="A5949" s="4"/>
      <c r="B5949" s="4" t="s">
        <v>7279</v>
      </c>
      <c r="C5949" s="4" t="s">
        <v>1694</v>
      </c>
      <c r="D5949" s="4" t="s">
        <v>7280</v>
      </c>
      <c r="E5949" s="5">
        <v>186.01196020749998</v>
      </c>
    </row>
    <row r="5950" ht="14.25" customHeight="1">
      <c r="A5950" s="4"/>
      <c r="B5950" s="4" t="s">
        <v>7279</v>
      </c>
      <c r="C5950" s="4" t="s">
        <v>2724</v>
      </c>
      <c r="D5950" s="4" t="s">
        <v>8161</v>
      </c>
      <c r="E5950" s="5">
        <v>9.63138626150465</v>
      </c>
    </row>
    <row r="5951" ht="14.25" customHeight="1">
      <c r="A5951" s="4"/>
      <c r="B5951" s="4" t="s">
        <v>7279</v>
      </c>
      <c r="C5951" s="4" t="s">
        <v>3079</v>
      </c>
      <c r="D5951" s="4" t="s">
        <v>8162</v>
      </c>
      <c r="E5951" s="5">
        <v>103.35974901380199</v>
      </c>
    </row>
    <row r="5952" ht="14.25" customHeight="1">
      <c r="A5952" s="4"/>
      <c r="B5952" s="4" t="s">
        <v>7279</v>
      </c>
      <c r="C5952" s="4" t="s">
        <v>8163</v>
      </c>
      <c r="D5952" s="4" t="s">
        <v>7305</v>
      </c>
      <c r="E5952" s="5">
        <v>55.8035880622502</v>
      </c>
    </row>
    <row r="5953" ht="14.25" customHeight="1">
      <c r="A5953" s="4"/>
      <c r="B5953" s="4" t="s">
        <v>7279</v>
      </c>
      <c r="C5953" s="4" t="s">
        <v>589</v>
      </c>
      <c r="D5953" s="4" t="s">
        <v>7280</v>
      </c>
      <c r="E5953" s="5">
        <v>186.01196020749998</v>
      </c>
    </row>
    <row r="5954" ht="14.25" customHeight="1">
      <c r="A5954" s="4"/>
      <c r="B5954" s="4" t="s">
        <v>7279</v>
      </c>
      <c r="C5954" s="4" t="s">
        <v>5982</v>
      </c>
      <c r="D5954" s="4" t="s">
        <v>8164</v>
      </c>
      <c r="E5954" s="5">
        <v>63.987199304269105</v>
      </c>
    </row>
    <row r="5955" ht="14.25" customHeight="1">
      <c r="A5955" s="4"/>
      <c r="B5955" s="4" t="s">
        <v>7279</v>
      </c>
      <c r="C5955" s="4" t="s">
        <v>8165</v>
      </c>
      <c r="D5955" s="4" t="s">
        <v>8166</v>
      </c>
      <c r="E5955" s="5">
        <v>69.882341808074</v>
      </c>
    </row>
    <row r="5956" ht="14.25" customHeight="1">
      <c r="A5956" s="4"/>
      <c r="B5956" s="4" t="s">
        <v>7279</v>
      </c>
      <c r="C5956" s="4" t="s">
        <v>2944</v>
      </c>
      <c r="D5956" s="4" t="s">
        <v>8167</v>
      </c>
      <c r="E5956" s="5">
        <v>108.405674601387</v>
      </c>
    </row>
    <row r="5957" ht="14.25" customHeight="1">
      <c r="A5957" s="4"/>
      <c r="B5957" s="4" t="s">
        <v>7279</v>
      </c>
      <c r="C5957" s="4" t="s">
        <v>4605</v>
      </c>
      <c r="D5957" s="4" t="s">
        <v>7284</v>
      </c>
      <c r="E5957" s="5">
        <v>65.1041860726253</v>
      </c>
    </row>
    <row r="5958" ht="14.25" customHeight="1">
      <c r="A5958" s="4"/>
      <c r="B5958" s="4" t="s">
        <v>7279</v>
      </c>
      <c r="C5958" s="4" t="s">
        <v>2956</v>
      </c>
      <c r="D5958" s="4" t="s">
        <v>7284</v>
      </c>
      <c r="E5958" s="5">
        <v>65.1041860726253</v>
      </c>
    </row>
    <row r="5959" ht="14.25" customHeight="1">
      <c r="A5959" s="4"/>
      <c r="B5959" s="4" t="s">
        <v>7279</v>
      </c>
      <c r="C5959" s="4" t="s">
        <v>4695</v>
      </c>
      <c r="D5959" s="4" t="s">
        <v>7291</v>
      </c>
      <c r="E5959" s="5">
        <v>9.30059801037504</v>
      </c>
    </row>
    <row r="5960" ht="14.25" customHeight="1">
      <c r="A5960" s="4"/>
      <c r="B5960" s="4" t="s">
        <v>7279</v>
      </c>
      <c r="C5960" s="4" t="s">
        <v>2849</v>
      </c>
      <c r="D5960" s="4" t="s">
        <v>8168</v>
      </c>
      <c r="E5960" s="5">
        <v>9.595240955343721</v>
      </c>
    </row>
    <row r="5961" ht="14.25" customHeight="1">
      <c r="A5961" s="4"/>
      <c r="B5961" s="4" t="s">
        <v>7279</v>
      </c>
      <c r="C5961" s="4" t="s">
        <v>8169</v>
      </c>
      <c r="D5961" s="4" t="s">
        <v>8030</v>
      </c>
      <c r="E5961" s="5">
        <v>12.0907774134875</v>
      </c>
    </row>
    <row r="5962" ht="14.25" customHeight="1">
      <c r="A5962" s="4"/>
      <c r="B5962" s="4" t="s">
        <v>7279</v>
      </c>
      <c r="C5962" s="4" t="s">
        <v>8170</v>
      </c>
      <c r="D5962" s="4" t="s">
        <v>8171</v>
      </c>
      <c r="E5962" s="5">
        <v>10.134083686272</v>
      </c>
    </row>
    <row r="5963" ht="14.25" customHeight="1">
      <c r="A5963" s="4"/>
      <c r="B5963" s="4" t="s">
        <v>7279</v>
      </c>
      <c r="C5963" s="4" t="s">
        <v>5836</v>
      </c>
      <c r="D5963" s="4" t="s">
        <v>8172</v>
      </c>
      <c r="E5963" s="5">
        <v>50.3627382261808</v>
      </c>
    </row>
    <row r="5964" ht="14.25" customHeight="1">
      <c r="A5964" s="4"/>
      <c r="B5964" s="4" t="s">
        <v>7279</v>
      </c>
      <c r="C5964" s="4" t="s">
        <v>178</v>
      </c>
      <c r="D5964" s="4" t="s">
        <v>7280</v>
      </c>
      <c r="E5964" s="5">
        <v>186.01196020749998</v>
      </c>
    </row>
    <row r="5965" ht="14.25" customHeight="1">
      <c r="A5965" s="4"/>
      <c r="B5965" s="4" t="s">
        <v>7279</v>
      </c>
      <c r="C5965" s="4" t="s">
        <v>7214</v>
      </c>
      <c r="D5965" s="4" t="s">
        <v>7291</v>
      </c>
      <c r="E5965" s="5">
        <v>9.30059801037504</v>
      </c>
    </row>
    <row r="5966" ht="14.25" customHeight="1">
      <c r="A5966" s="4"/>
      <c r="B5966" s="4" t="s">
        <v>7279</v>
      </c>
      <c r="C5966" s="4" t="s">
        <v>8173</v>
      </c>
      <c r="D5966" s="4" t="s">
        <v>8174</v>
      </c>
      <c r="E5966" s="5">
        <v>8.00680952773921</v>
      </c>
    </row>
    <row r="5967" ht="14.25" customHeight="1">
      <c r="A5967" s="4"/>
      <c r="B5967" s="4" t="s">
        <v>7279</v>
      </c>
      <c r="C5967" s="4" t="s">
        <v>8175</v>
      </c>
      <c r="D5967" s="4" t="s">
        <v>8176</v>
      </c>
      <c r="E5967" s="5">
        <v>78.4445891091535</v>
      </c>
    </row>
    <row r="5968" ht="14.25" customHeight="1">
      <c r="A5968" s="4"/>
      <c r="B5968" s="4" t="s">
        <v>7279</v>
      </c>
      <c r="C5968" s="4" t="s">
        <v>7034</v>
      </c>
      <c r="D5968" s="4" t="s">
        <v>7291</v>
      </c>
      <c r="E5968" s="5">
        <v>9.30059801037504</v>
      </c>
    </row>
    <row r="5969" ht="14.25" customHeight="1">
      <c r="A5969" s="4"/>
      <c r="B5969" s="4" t="s">
        <v>7279</v>
      </c>
      <c r="C5969" s="4" t="s">
        <v>3335</v>
      </c>
      <c r="D5969" s="4" t="s">
        <v>7284</v>
      </c>
      <c r="E5969" s="5">
        <v>65.1041860726253</v>
      </c>
    </row>
    <row r="5970" ht="14.25" customHeight="1">
      <c r="A5970" s="4"/>
      <c r="B5970" s="4" t="s">
        <v>7279</v>
      </c>
      <c r="C5970" s="4" t="s">
        <v>2147</v>
      </c>
      <c r="D5970" s="4" t="s">
        <v>8177</v>
      </c>
      <c r="E5970" s="5">
        <v>9.95163987110129</v>
      </c>
    </row>
    <row r="5971" ht="14.25" customHeight="1">
      <c r="A5971" s="4"/>
      <c r="B5971" s="4" t="s">
        <v>7279</v>
      </c>
      <c r="C5971" s="4" t="s">
        <v>6214</v>
      </c>
      <c r="D5971" s="4" t="s">
        <v>8178</v>
      </c>
      <c r="E5971" s="5">
        <v>4.83815154522949</v>
      </c>
    </row>
    <row r="5972" ht="14.25" customHeight="1">
      <c r="A5972" s="4"/>
      <c r="B5972" s="4" t="s">
        <v>7279</v>
      </c>
      <c r="C5972" s="4" t="s">
        <v>3960</v>
      </c>
      <c r="D5972" s="4" t="s">
        <v>8179</v>
      </c>
      <c r="E5972" s="5">
        <v>45.181597881276495</v>
      </c>
    </row>
    <row r="5973" ht="14.25" customHeight="1">
      <c r="A5973" s="4"/>
      <c r="B5973" s="4" t="s">
        <v>7279</v>
      </c>
      <c r="C5973" s="4" t="s">
        <v>8180</v>
      </c>
      <c r="D5973" s="4" t="s">
        <v>7280</v>
      </c>
      <c r="E5973" s="5">
        <v>186.01196020749998</v>
      </c>
    </row>
    <row r="5974" ht="14.25" customHeight="1">
      <c r="A5974" s="4"/>
      <c r="B5974" s="4" t="s">
        <v>7279</v>
      </c>
      <c r="C5974" s="4" t="s">
        <v>6495</v>
      </c>
      <c r="D5974" s="4" t="s">
        <v>8181</v>
      </c>
      <c r="E5974" s="5">
        <v>9.340176695349559</v>
      </c>
    </row>
    <row r="5975" ht="14.25" customHeight="1">
      <c r="A5975" s="4"/>
      <c r="B5975" s="4" t="s">
        <v>7279</v>
      </c>
      <c r="C5975" s="4" t="s">
        <v>3653</v>
      </c>
      <c r="D5975" s="4" t="s">
        <v>8182</v>
      </c>
      <c r="E5975" s="5">
        <v>9.711188273944941</v>
      </c>
    </row>
    <row r="5976" ht="14.25" customHeight="1">
      <c r="A5976" s="4"/>
      <c r="B5976" s="4" t="s">
        <v>7279</v>
      </c>
      <c r="C5976" s="4" t="s">
        <v>4211</v>
      </c>
      <c r="D5976" s="4" t="s">
        <v>7291</v>
      </c>
      <c r="E5976" s="5">
        <v>9.30059801037504</v>
      </c>
    </row>
    <row r="5977" ht="14.25" customHeight="1">
      <c r="A5977" s="4"/>
      <c r="B5977" s="4" t="s">
        <v>7279</v>
      </c>
      <c r="C5977" s="4" t="s">
        <v>5210</v>
      </c>
      <c r="D5977" s="4" t="s">
        <v>8183</v>
      </c>
      <c r="E5977" s="5">
        <v>27.9671756268786</v>
      </c>
    </row>
    <row r="5978" ht="14.25" customHeight="1">
      <c r="A5978" s="4"/>
      <c r="B5978" s="4" t="s">
        <v>7279</v>
      </c>
      <c r="C5978" s="4" t="s">
        <v>8184</v>
      </c>
      <c r="D5978" s="4" t="s">
        <v>8185</v>
      </c>
      <c r="E5978" s="5">
        <v>72.130861517416</v>
      </c>
    </row>
    <row r="5979" ht="14.25" customHeight="1">
      <c r="A5979" s="4"/>
      <c r="B5979" s="4" t="s">
        <v>7279</v>
      </c>
      <c r="C5979" s="4" t="s">
        <v>8186</v>
      </c>
      <c r="D5979" s="4" t="s">
        <v>7377</v>
      </c>
      <c r="E5979" s="5">
        <v>46.5029900518752</v>
      </c>
    </row>
    <row r="5980" ht="14.25" customHeight="1">
      <c r="A5980" s="4"/>
      <c r="B5980" s="4" t="s">
        <v>7279</v>
      </c>
      <c r="C5980" s="4" t="s">
        <v>3801</v>
      </c>
      <c r="D5980" s="4" t="s">
        <v>8187</v>
      </c>
      <c r="E5980" s="5">
        <v>52.9871135264221</v>
      </c>
    </row>
    <row r="5981" ht="14.25" customHeight="1">
      <c r="A5981" s="4"/>
      <c r="B5981" s="4" t="s">
        <v>7279</v>
      </c>
      <c r="C5981" s="4" t="s">
        <v>5653</v>
      </c>
      <c r="D5981" s="4" t="s">
        <v>8188</v>
      </c>
      <c r="E5981" s="5">
        <v>133.214671298513</v>
      </c>
    </row>
    <row r="5982" ht="14.25" customHeight="1">
      <c r="A5982" s="4"/>
      <c r="B5982" s="4" t="s">
        <v>7279</v>
      </c>
      <c r="C5982" s="4" t="s">
        <v>8189</v>
      </c>
      <c r="D5982" s="4" t="s">
        <v>8190</v>
      </c>
      <c r="E5982" s="5">
        <v>41.584914740300704</v>
      </c>
    </row>
    <row r="5983" ht="14.25" customHeight="1">
      <c r="A5983" s="4"/>
      <c r="B5983" s="4" t="s">
        <v>7279</v>
      </c>
      <c r="C5983" s="4" t="s">
        <v>8191</v>
      </c>
      <c r="D5983" s="4" t="s">
        <v>8192</v>
      </c>
      <c r="E5983" s="5">
        <v>55.834312175761</v>
      </c>
    </row>
    <row r="5984" ht="14.25" customHeight="1">
      <c r="A5984" s="4"/>
      <c r="B5984" s="4" t="s">
        <v>7279</v>
      </c>
      <c r="C5984" s="4" t="s">
        <v>2417</v>
      </c>
      <c r="D5984" s="4" t="s">
        <v>8193</v>
      </c>
      <c r="E5984" s="5">
        <v>56.975673994825</v>
      </c>
    </row>
    <row r="5985" ht="14.25" customHeight="1">
      <c r="A5985" s="4"/>
      <c r="B5985" s="4" t="s">
        <v>7279</v>
      </c>
      <c r="C5985" s="4" t="s">
        <v>2273</v>
      </c>
      <c r="D5985" s="4" t="s">
        <v>7284</v>
      </c>
      <c r="E5985" s="5">
        <v>65.1041860726253</v>
      </c>
    </row>
    <row r="5986" ht="14.25" customHeight="1">
      <c r="A5986" s="4"/>
      <c r="B5986" s="4" t="s">
        <v>7279</v>
      </c>
      <c r="C5986" s="4" t="s">
        <v>1272</v>
      </c>
      <c r="D5986" s="4" t="s">
        <v>7280</v>
      </c>
      <c r="E5986" s="5">
        <v>186.01196020749998</v>
      </c>
    </row>
    <row r="5987" ht="14.25" customHeight="1">
      <c r="A5987" s="4"/>
      <c r="B5987" s="4" t="s">
        <v>7279</v>
      </c>
      <c r="C5987" s="4" t="s">
        <v>3487</v>
      </c>
      <c r="D5987" s="4" t="s">
        <v>7675</v>
      </c>
      <c r="E5987" s="5">
        <v>27.9017940311251</v>
      </c>
    </row>
    <row r="5988" ht="14.25" customHeight="1">
      <c r="A5988" s="4"/>
      <c r="B5988" s="4" t="s">
        <v>7279</v>
      </c>
      <c r="C5988" s="4" t="s">
        <v>2970</v>
      </c>
      <c r="D5988" s="4" t="s">
        <v>8194</v>
      </c>
      <c r="E5988" s="5">
        <v>9.3005981078453</v>
      </c>
    </row>
    <row r="5989" ht="14.25" customHeight="1">
      <c r="A5989" s="4"/>
      <c r="B5989" s="4" t="s">
        <v>7279</v>
      </c>
      <c r="C5989" s="4" t="s">
        <v>4883</v>
      </c>
      <c r="D5989" s="4" t="s">
        <v>7433</v>
      </c>
      <c r="E5989" s="5">
        <v>18.60119602075</v>
      </c>
    </row>
    <row r="5990" ht="14.25" customHeight="1">
      <c r="A5990" s="4"/>
      <c r="B5990" s="4" t="s">
        <v>7279</v>
      </c>
      <c r="C5990" s="4" t="s">
        <v>8195</v>
      </c>
      <c r="D5990" s="4" t="s">
        <v>7606</v>
      </c>
      <c r="E5990" s="5">
        <v>37.2023920415001</v>
      </c>
    </row>
    <row r="5991" ht="14.25" customHeight="1">
      <c r="A5991" s="4"/>
      <c r="B5991" s="4" t="s">
        <v>7279</v>
      </c>
      <c r="C5991" s="4" t="s">
        <v>4439</v>
      </c>
      <c r="D5991" s="4" t="s">
        <v>8196</v>
      </c>
      <c r="E5991" s="5">
        <v>162.126429482736</v>
      </c>
    </row>
    <row r="5992" ht="14.25" customHeight="1">
      <c r="A5992" s="4"/>
      <c r="B5992" s="4" t="s">
        <v>7279</v>
      </c>
      <c r="C5992" s="4" t="s">
        <v>8197</v>
      </c>
      <c r="D5992" s="4" t="s">
        <v>8198</v>
      </c>
      <c r="E5992" s="5">
        <v>109.954606168521</v>
      </c>
    </row>
    <row r="5993" ht="14.25" customHeight="1">
      <c r="A5993" s="4"/>
      <c r="B5993" s="4" t="s">
        <v>7279</v>
      </c>
      <c r="C5993" s="4" t="s">
        <v>4818</v>
      </c>
      <c r="D5993" s="4" t="s">
        <v>8199</v>
      </c>
      <c r="E5993" s="5">
        <v>9.345240880824841</v>
      </c>
    </row>
    <row r="5994" ht="14.25" customHeight="1">
      <c r="A5994" s="4"/>
      <c r="B5994" s="4" t="s">
        <v>7279</v>
      </c>
      <c r="C5994" s="4" t="s">
        <v>1189</v>
      </c>
      <c r="D5994" s="4" t="s">
        <v>7280</v>
      </c>
      <c r="E5994" s="5">
        <v>186.01196020749998</v>
      </c>
    </row>
    <row r="5995" ht="14.25" customHeight="1">
      <c r="A5995" s="4"/>
      <c r="B5995" s="4" t="s">
        <v>7279</v>
      </c>
      <c r="C5995" s="4" t="s">
        <v>6417</v>
      </c>
      <c r="D5995" s="4" t="s">
        <v>8200</v>
      </c>
      <c r="E5995" s="5">
        <v>9.30291524199734</v>
      </c>
    </row>
    <row r="5996" ht="14.25" customHeight="1">
      <c r="A5996" s="4"/>
      <c r="B5996" s="4" t="s">
        <v>7279</v>
      </c>
      <c r="C5996" s="4" t="s">
        <v>4395</v>
      </c>
      <c r="D5996" s="4" t="s">
        <v>8201</v>
      </c>
      <c r="E5996" s="5">
        <v>56.118274818439</v>
      </c>
    </row>
    <row r="5997" ht="14.25" customHeight="1">
      <c r="A5997" s="4"/>
      <c r="B5997" s="4" t="s">
        <v>7279</v>
      </c>
      <c r="C5997" s="4" t="s">
        <v>2172</v>
      </c>
      <c r="D5997" s="4" t="s">
        <v>8202</v>
      </c>
      <c r="E5997" s="5">
        <v>183.428808951833</v>
      </c>
    </row>
    <row r="5998" ht="14.25" customHeight="1">
      <c r="A5998" s="4"/>
      <c r="B5998" s="4" t="s">
        <v>7279</v>
      </c>
      <c r="C5998" s="4" t="s">
        <v>5008</v>
      </c>
      <c r="D5998" s="4" t="s">
        <v>7686</v>
      </c>
      <c r="E5998" s="5">
        <v>74.4047840830003</v>
      </c>
    </row>
    <row r="5999" ht="14.25" customHeight="1">
      <c r="A5999" s="4"/>
      <c r="B5999" s="4" t="s">
        <v>7279</v>
      </c>
      <c r="C5999" s="4" t="s">
        <v>4102</v>
      </c>
      <c r="D5999" s="4" t="s">
        <v>8203</v>
      </c>
      <c r="E5999" s="5">
        <v>75.1137206369508</v>
      </c>
    </row>
    <row r="6000" ht="14.25" customHeight="1">
      <c r="A6000" s="4"/>
      <c r="B6000" s="4" t="s">
        <v>7279</v>
      </c>
      <c r="C6000" s="4" t="s">
        <v>817</v>
      </c>
      <c r="D6000" s="4" t="s">
        <v>7280</v>
      </c>
      <c r="E6000" s="5">
        <v>186.01196020749998</v>
      </c>
    </row>
    <row r="6001" ht="14.25" customHeight="1">
      <c r="A6001" s="4"/>
      <c r="B6001" s="4" t="s">
        <v>7279</v>
      </c>
      <c r="C6001" s="4" t="s">
        <v>2479</v>
      </c>
      <c r="D6001" s="4" t="s">
        <v>8204</v>
      </c>
      <c r="E6001" s="5">
        <v>25.1366644780264</v>
      </c>
    </row>
    <row r="6002" ht="14.25" customHeight="1">
      <c r="A6002" s="4"/>
      <c r="B6002" s="4" t="s">
        <v>7279</v>
      </c>
      <c r="C6002" s="4" t="s">
        <v>6037</v>
      </c>
      <c r="D6002" s="4" t="s">
        <v>8205</v>
      </c>
      <c r="E6002" s="5">
        <v>184.358149026925</v>
      </c>
    </row>
    <row r="6003" ht="14.25" customHeight="1">
      <c r="A6003" s="4"/>
      <c r="B6003" s="4" t="s">
        <v>7279</v>
      </c>
      <c r="C6003" s="4" t="s">
        <v>1507</v>
      </c>
      <c r="D6003" s="4" t="s">
        <v>7280</v>
      </c>
      <c r="E6003" s="5">
        <v>186.01196020749998</v>
      </c>
    </row>
    <row r="6004" ht="14.25" customHeight="1">
      <c r="A6004" s="4"/>
      <c r="B6004" s="4" t="s">
        <v>7279</v>
      </c>
      <c r="C6004" s="4" t="s">
        <v>528</v>
      </c>
      <c r="D6004" s="4" t="s">
        <v>7280</v>
      </c>
      <c r="E6004" s="5">
        <v>186.01196020749998</v>
      </c>
    </row>
    <row r="6005" ht="14.25" customHeight="1">
      <c r="A6005" s="4"/>
      <c r="B6005" s="4" t="s">
        <v>7279</v>
      </c>
      <c r="C6005" s="4" t="s">
        <v>4716</v>
      </c>
      <c r="D6005" s="4" t="s">
        <v>7280</v>
      </c>
      <c r="E6005" s="5">
        <v>186.01196020749998</v>
      </c>
    </row>
    <row r="6006" ht="14.25" customHeight="1">
      <c r="A6006" s="4"/>
      <c r="B6006" s="4" t="s">
        <v>7279</v>
      </c>
      <c r="C6006" s="4" t="s">
        <v>927</v>
      </c>
      <c r="D6006" s="4" t="s">
        <v>8206</v>
      </c>
      <c r="E6006" s="5">
        <v>176.693808188955</v>
      </c>
    </row>
    <row r="6007" ht="14.25" customHeight="1">
      <c r="A6007" s="4"/>
      <c r="B6007" s="4" t="s">
        <v>7279</v>
      </c>
      <c r="C6007" s="4" t="s">
        <v>8207</v>
      </c>
      <c r="D6007" s="4" t="s">
        <v>8208</v>
      </c>
      <c r="E6007" s="5">
        <v>66.9643056747003</v>
      </c>
    </row>
    <row r="6008" ht="14.25" customHeight="1">
      <c r="A6008" s="4"/>
      <c r="B6008" s="4" t="s">
        <v>7279</v>
      </c>
      <c r="C6008" s="4" t="s">
        <v>1690</v>
      </c>
      <c r="D6008" s="4" t="s">
        <v>7280</v>
      </c>
      <c r="E6008" s="5">
        <v>186.01196020749998</v>
      </c>
    </row>
    <row r="6009" ht="14.25" customHeight="1">
      <c r="A6009" s="4"/>
      <c r="B6009" s="4" t="s">
        <v>7279</v>
      </c>
      <c r="C6009" s="4" t="s">
        <v>2733</v>
      </c>
      <c r="D6009" s="4" t="s">
        <v>8209</v>
      </c>
      <c r="E6009" s="5">
        <v>58.3436403975484</v>
      </c>
    </row>
    <row r="6010" ht="14.25" customHeight="1">
      <c r="A6010" s="4"/>
      <c r="B6010" s="4" t="s">
        <v>7279</v>
      </c>
      <c r="C6010" s="4" t="s">
        <v>1220</v>
      </c>
      <c r="D6010" s="4" t="s">
        <v>7280</v>
      </c>
      <c r="E6010" s="5">
        <v>186.01196020749998</v>
      </c>
    </row>
    <row r="6011" ht="14.25" customHeight="1">
      <c r="A6011" s="4"/>
      <c r="B6011" s="4" t="s">
        <v>7279</v>
      </c>
      <c r="C6011" s="4" t="s">
        <v>1470</v>
      </c>
      <c r="D6011" s="4" t="s">
        <v>7280</v>
      </c>
      <c r="E6011" s="5">
        <v>186.01196020749998</v>
      </c>
    </row>
    <row r="6012" ht="14.25" customHeight="1">
      <c r="A6012" s="4"/>
      <c r="B6012" s="4" t="s">
        <v>7279</v>
      </c>
      <c r="C6012" s="4" t="s">
        <v>4912</v>
      </c>
      <c r="D6012" s="4" t="s">
        <v>8210</v>
      </c>
      <c r="E6012" s="5">
        <v>99.3415555753771</v>
      </c>
    </row>
    <row r="6013" ht="14.25" customHeight="1">
      <c r="A6013" s="4"/>
      <c r="B6013" s="4" t="s">
        <v>7279</v>
      </c>
      <c r="C6013" s="4" t="s">
        <v>3880</v>
      </c>
      <c r="D6013" s="4" t="s">
        <v>7377</v>
      </c>
      <c r="E6013" s="5">
        <v>46.5029900518752</v>
      </c>
    </row>
    <row r="6014" ht="14.25" customHeight="1">
      <c r="A6014" s="4"/>
      <c r="B6014" s="4" t="s">
        <v>7279</v>
      </c>
      <c r="C6014" s="4" t="s">
        <v>8211</v>
      </c>
      <c r="D6014" s="4" t="s">
        <v>8030</v>
      </c>
      <c r="E6014" s="5">
        <v>12.0907774134875</v>
      </c>
    </row>
    <row r="6015" ht="14.25" customHeight="1">
      <c r="A6015" s="4"/>
      <c r="B6015" s="4" t="s">
        <v>7279</v>
      </c>
      <c r="C6015" s="4" t="s">
        <v>6002</v>
      </c>
      <c r="D6015" s="4" t="s">
        <v>8212</v>
      </c>
      <c r="E6015" s="5">
        <v>3.2368305407125297</v>
      </c>
    </row>
    <row r="6016" ht="14.25" customHeight="1">
      <c r="A6016" s="4"/>
      <c r="B6016" s="4" t="s">
        <v>7279</v>
      </c>
      <c r="C6016" s="4" t="s">
        <v>4861</v>
      </c>
      <c r="D6016" s="4" t="s">
        <v>7291</v>
      </c>
      <c r="E6016" s="5">
        <v>9.30059801037504</v>
      </c>
    </row>
    <row r="6017" ht="14.25" customHeight="1">
      <c r="A6017" s="4"/>
      <c r="B6017" s="4" t="s">
        <v>7279</v>
      </c>
      <c r="C6017" s="4" t="s">
        <v>6932</v>
      </c>
      <c r="D6017" s="4" t="s">
        <v>8213</v>
      </c>
      <c r="E6017" s="5">
        <v>45.3238470391953</v>
      </c>
    </row>
    <row r="6018" ht="14.25" customHeight="1">
      <c r="A6018" s="4"/>
      <c r="B6018" s="4" t="s">
        <v>7279</v>
      </c>
      <c r="C6018" s="4" t="s">
        <v>6840</v>
      </c>
      <c r="D6018" s="4" t="s">
        <v>8214</v>
      </c>
      <c r="E6018" s="5">
        <v>17.328309953888102</v>
      </c>
    </row>
    <row r="6019" ht="14.25" customHeight="1">
      <c r="A6019" s="4"/>
      <c r="B6019" s="4" t="s">
        <v>7279</v>
      </c>
      <c r="C6019" s="4" t="s">
        <v>4423</v>
      </c>
      <c r="D6019" s="4" t="s">
        <v>7291</v>
      </c>
      <c r="E6019" s="5">
        <v>9.30059801037504</v>
      </c>
    </row>
    <row r="6020" ht="14.25" customHeight="1">
      <c r="A6020" s="4"/>
      <c r="B6020" s="4" t="s">
        <v>7279</v>
      </c>
      <c r="C6020" s="4" t="s">
        <v>8215</v>
      </c>
      <c r="D6020" s="4" t="s">
        <v>7280</v>
      </c>
      <c r="E6020" s="5">
        <v>186.01196020749998</v>
      </c>
    </row>
    <row r="6021" ht="14.25" customHeight="1">
      <c r="A6021" s="4"/>
      <c r="B6021" s="4" t="s">
        <v>7279</v>
      </c>
      <c r="C6021" s="4" t="s">
        <v>2783</v>
      </c>
      <c r="D6021" s="4" t="s">
        <v>7280</v>
      </c>
      <c r="E6021" s="5">
        <v>186.01196020749998</v>
      </c>
    </row>
    <row r="6022" ht="14.25" customHeight="1">
      <c r="A6022" s="4"/>
      <c r="B6022" s="4" t="s">
        <v>7279</v>
      </c>
      <c r="C6022" s="4" t="s">
        <v>3537</v>
      </c>
      <c r="D6022" s="4" t="s">
        <v>7291</v>
      </c>
      <c r="E6022" s="5">
        <v>9.30059801037504</v>
      </c>
    </row>
    <row r="6023" ht="14.25" customHeight="1">
      <c r="A6023" s="4"/>
      <c r="B6023" s="4" t="s">
        <v>7279</v>
      </c>
      <c r="C6023" s="4" t="s">
        <v>3333</v>
      </c>
      <c r="D6023" s="4" t="s">
        <v>8216</v>
      </c>
      <c r="E6023" s="5">
        <v>13.567985620991001</v>
      </c>
    </row>
    <row r="6024" ht="14.25" customHeight="1">
      <c r="A6024" s="4"/>
      <c r="B6024" s="4" t="s">
        <v>7279</v>
      </c>
      <c r="C6024" s="4" t="s">
        <v>1459</v>
      </c>
      <c r="D6024" s="4" t="s">
        <v>7280</v>
      </c>
      <c r="E6024" s="5">
        <v>186.01196020749998</v>
      </c>
    </row>
    <row r="6025" ht="14.25" customHeight="1">
      <c r="A6025" s="4"/>
      <c r="B6025" s="4" t="s">
        <v>7279</v>
      </c>
      <c r="C6025" s="4" t="s">
        <v>8217</v>
      </c>
      <c r="D6025" s="4" t="s">
        <v>7280</v>
      </c>
      <c r="E6025" s="5">
        <v>186.01196020749998</v>
      </c>
    </row>
    <row r="6026" ht="14.25" customHeight="1">
      <c r="A6026" s="4"/>
      <c r="B6026" s="4" t="s">
        <v>7279</v>
      </c>
      <c r="C6026" s="4" t="s">
        <v>3705</v>
      </c>
      <c r="D6026" s="4" t="s">
        <v>7291</v>
      </c>
      <c r="E6026" s="5">
        <v>9.30059801037504</v>
      </c>
    </row>
    <row r="6027" ht="14.25" customHeight="1">
      <c r="A6027" s="4"/>
      <c r="B6027" s="4" t="s">
        <v>7279</v>
      </c>
      <c r="C6027" s="4" t="s">
        <v>3547</v>
      </c>
      <c r="D6027" s="4" t="s">
        <v>8218</v>
      </c>
      <c r="E6027" s="5">
        <v>28.972774966615603</v>
      </c>
    </row>
    <row r="6028" ht="14.25" customHeight="1">
      <c r="A6028" s="4"/>
      <c r="B6028" s="4" t="s">
        <v>7279</v>
      </c>
      <c r="C6028" s="4" t="s">
        <v>4304</v>
      </c>
      <c r="D6028" s="4" t="s">
        <v>8219</v>
      </c>
      <c r="E6028" s="5">
        <v>91.5903438205489</v>
      </c>
    </row>
    <row r="6029" ht="14.25" customHeight="1">
      <c r="A6029" s="4"/>
      <c r="B6029" s="4" t="s">
        <v>7279</v>
      </c>
      <c r="C6029" s="4" t="s">
        <v>4269</v>
      </c>
      <c r="D6029" s="4" t="s">
        <v>8220</v>
      </c>
      <c r="E6029" s="5">
        <v>82.6193551652738</v>
      </c>
    </row>
    <row r="6030" ht="14.25" customHeight="1">
      <c r="A6030" s="4"/>
      <c r="B6030" s="4" t="s">
        <v>7279</v>
      </c>
      <c r="C6030" s="4" t="s">
        <v>4804</v>
      </c>
      <c r="D6030" s="4" t="s">
        <v>8221</v>
      </c>
      <c r="E6030" s="5">
        <v>61.3839468684752</v>
      </c>
    </row>
    <row r="6031" ht="14.25" customHeight="1">
      <c r="A6031" s="4"/>
      <c r="B6031" s="4" t="s">
        <v>7279</v>
      </c>
      <c r="C6031" s="4" t="s">
        <v>1839</v>
      </c>
      <c r="D6031" s="4" t="s">
        <v>8222</v>
      </c>
      <c r="E6031" s="5">
        <v>111.28069468529401</v>
      </c>
    </row>
    <row r="6032" ht="14.25" customHeight="1">
      <c r="A6032" s="4"/>
      <c r="B6032" s="4" t="s">
        <v>7279</v>
      </c>
      <c r="C6032" s="4" t="s">
        <v>7191</v>
      </c>
      <c r="D6032" s="4" t="s">
        <v>7678</v>
      </c>
      <c r="E6032" s="5">
        <v>102.306578114125</v>
      </c>
    </row>
    <row r="6033" ht="14.25" customHeight="1">
      <c r="A6033" s="4"/>
      <c r="B6033" s="4" t="s">
        <v>7279</v>
      </c>
      <c r="C6033" s="4" t="s">
        <v>2717</v>
      </c>
      <c r="D6033" s="4" t="s">
        <v>7280</v>
      </c>
      <c r="E6033" s="5">
        <v>186.01196020749998</v>
      </c>
    </row>
    <row r="6034" ht="14.25" customHeight="1">
      <c r="A6034" s="4"/>
      <c r="B6034" s="4" t="s">
        <v>7279</v>
      </c>
      <c r="C6034" s="4" t="s">
        <v>2420</v>
      </c>
      <c r="D6034" s="4" t="s">
        <v>8223</v>
      </c>
      <c r="E6034" s="5">
        <v>83.6342741504908</v>
      </c>
    </row>
    <row r="6035" ht="14.25" customHeight="1">
      <c r="A6035" s="4"/>
      <c r="B6035" s="4" t="s">
        <v>7279</v>
      </c>
      <c r="C6035" s="4" t="s">
        <v>6438</v>
      </c>
      <c r="D6035" s="4" t="s">
        <v>8224</v>
      </c>
      <c r="E6035" s="5">
        <v>139.66424105161</v>
      </c>
    </row>
    <row r="6036" ht="14.25" customHeight="1">
      <c r="A6036" s="4"/>
      <c r="B6036" s="4" t="s">
        <v>7279</v>
      </c>
      <c r="C6036" s="4" t="s">
        <v>5099</v>
      </c>
      <c r="D6036" s="4" t="s">
        <v>8225</v>
      </c>
      <c r="E6036" s="5">
        <v>4.98853532477482</v>
      </c>
    </row>
    <row r="6037" ht="14.25" customHeight="1">
      <c r="A6037" s="4"/>
      <c r="B6037" s="4" t="s">
        <v>7279</v>
      </c>
      <c r="C6037" s="4" t="s">
        <v>398</v>
      </c>
      <c r="D6037" s="4" t="s">
        <v>7280</v>
      </c>
      <c r="E6037" s="5">
        <v>186.01196020749998</v>
      </c>
    </row>
    <row r="6038" ht="14.25" customHeight="1">
      <c r="A6038" s="4"/>
      <c r="B6038" s="4" t="s">
        <v>7279</v>
      </c>
      <c r="C6038" s="4" t="s">
        <v>4742</v>
      </c>
      <c r="D6038" s="4" t="s">
        <v>8226</v>
      </c>
      <c r="E6038" s="5">
        <v>47.974849508643494</v>
      </c>
    </row>
    <row r="6039" ht="14.25" customHeight="1">
      <c r="A6039" s="4"/>
      <c r="B6039" s="4" t="s">
        <v>7279</v>
      </c>
      <c r="C6039" s="4" t="s">
        <v>4185</v>
      </c>
      <c r="D6039" s="4" t="s">
        <v>7280</v>
      </c>
      <c r="E6039" s="5">
        <v>186.01196020749998</v>
      </c>
    </row>
    <row r="6040" ht="14.25" customHeight="1">
      <c r="A6040" s="4"/>
      <c r="B6040" s="4" t="s">
        <v>7279</v>
      </c>
      <c r="C6040" s="4" t="s">
        <v>946</v>
      </c>
      <c r="D6040" s="4" t="s">
        <v>8227</v>
      </c>
      <c r="E6040" s="5">
        <v>182.957480312401</v>
      </c>
    </row>
    <row r="6041" ht="14.25" customHeight="1">
      <c r="A6041" s="4"/>
      <c r="B6041" s="4" t="s">
        <v>7279</v>
      </c>
      <c r="C6041" s="4" t="s">
        <v>3504</v>
      </c>
      <c r="D6041" s="4" t="s">
        <v>8228</v>
      </c>
      <c r="E6041" s="5">
        <v>47.89692259944071</v>
      </c>
    </row>
    <row r="6042" ht="14.25" customHeight="1">
      <c r="A6042" s="4"/>
      <c r="B6042" s="4" t="s">
        <v>7279</v>
      </c>
      <c r="C6042" s="4" t="s">
        <v>2202</v>
      </c>
      <c r="D6042" s="4" t="s">
        <v>7280</v>
      </c>
      <c r="E6042" s="5">
        <v>186.01196020749998</v>
      </c>
    </row>
    <row r="6043" ht="14.25" customHeight="1">
      <c r="A6043" s="4"/>
      <c r="B6043" s="4" t="s">
        <v>7279</v>
      </c>
      <c r="C6043" s="4" t="s">
        <v>8229</v>
      </c>
      <c r="D6043" s="4" t="s">
        <v>7675</v>
      </c>
      <c r="E6043" s="5">
        <v>27.9017940311251</v>
      </c>
    </row>
    <row r="6044" ht="14.25" customHeight="1">
      <c r="A6044" s="4"/>
      <c r="B6044" s="4" t="s">
        <v>7279</v>
      </c>
      <c r="C6044" s="4" t="s">
        <v>1493</v>
      </c>
      <c r="D6044" s="4" t="s">
        <v>7280</v>
      </c>
      <c r="E6044" s="5">
        <v>186.01196020749998</v>
      </c>
    </row>
    <row r="6045" ht="14.25" customHeight="1">
      <c r="A6045" s="4"/>
      <c r="B6045" s="4" t="s">
        <v>7279</v>
      </c>
      <c r="C6045" s="4" t="s">
        <v>8230</v>
      </c>
      <c r="D6045" s="4" t="s">
        <v>7280</v>
      </c>
      <c r="E6045" s="5">
        <v>186.01196020749998</v>
      </c>
    </row>
    <row r="6046" ht="14.25" customHeight="1">
      <c r="A6046" s="4"/>
      <c r="B6046" s="4" t="s">
        <v>7279</v>
      </c>
      <c r="C6046" s="4" t="s">
        <v>296</v>
      </c>
      <c r="D6046" s="4" t="s">
        <v>8231</v>
      </c>
      <c r="E6046" s="5">
        <v>43.056694736064</v>
      </c>
    </row>
    <row r="6047" ht="14.25" customHeight="1">
      <c r="A6047" s="4"/>
      <c r="B6047" s="4" t="s">
        <v>7279</v>
      </c>
      <c r="C6047" s="4" t="s">
        <v>1631</v>
      </c>
      <c r="D6047" s="4" t="s">
        <v>7280</v>
      </c>
      <c r="E6047" s="5">
        <v>186.01196020749998</v>
      </c>
    </row>
    <row r="6048" ht="14.25" customHeight="1">
      <c r="A6048" s="4"/>
      <c r="B6048" s="4" t="s">
        <v>7279</v>
      </c>
      <c r="C6048" s="4" t="s">
        <v>8232</v>
      </c>
      <c r="D6048" s="4" t="s">
        <v>7280</v>
      </c>
      <c r="E6048" s="5">
        <v>186.01196020749998</v>
      </c>
    </row>
    <row r="6049" ht="14.25" customHeight="1">
      <c r="A6049" s="4"/>
      <c r="B6049" s="4" t="s">
        <v>7279</v>
      </c>
      <c r="C6049" s="4" t="s">
        <v>6820</v>
      </c>
      <c r="D6049" s="4" t="s">
        <v>7284</v>
      </c>
      <c r="E6049" s="5">
        <v>65.1041860726253</v>
      </c>
    </row>
    <row r="6050" ht="14.25" customHeight="1">
      <c r="A6050" s="4"/>
      <c r="B6050" s="4" t="s">
        <v>7279</v>
      </c>
      <c r="C6050" s="4" t="s">
        <v>8233</v>
      </c>
      <c r="D6050" s="4" t="s">
        <v>8234</v>
      </c>
      <c r="E6050" s="5">
        <v>34.188591919599304</v>
      </c>
    </row>
    <row r="6051" ht="14.25" customHeight="1">
      <c r="A6051" s="4"/>
      <c r="B6051" s="4" t="s">
        <v>7279</v>
      </c>
      <c r="C6051" s="4" t="s">
        <v>8235</v>
      </c>
      <c r="D6051" s="4" t="s">
        <v>8236</v>
      </c>
      <c r="E6051" s="5">
        <v>9.563910374762282</v>
      </c>
    </row>
    <row r="6052" ht="14.25" customHeight="1">
      <c r="A6052" s="4"/>
      <c r="B6052" s="4" t="s">
        <v>7279</v>
      </c>
      <c r="C6052" s="4" t="s">
        <v>5855</v>
      </c>
      <c r="D6052" s="4" t="s">
        <v>8237</v>
      </c>
      <c r="E6052" s="5">
        <v>5.027883428273</v>
      </c>
    </row>
    <row r="6053" ht="14.25" customHeight="1">
      <c r="A6053" s="4"/>
      <c r="B6053" s="4" t="s">
        <v>7279</v>
      </c>
      <c r="C6053" s="4" t="s">
        <v>8238</v>
      </c>
      <c r="D6053" s="4" t="s">
        <v>8239</v>
      </c>
      <c r="E6053" s="5">
        <v>45.8683783405098</v>
      </c>
    </row>
    <row r="6054" ht="14.25" customHeight="1">
      <c r="A6054" s="4"/>
      <c r="B6054" s="4" t="s">
        <v>7279</v>
      </c>
      <c r="C6054" s="4" t="s">
        <v>7277</v>
      </c>
      <c r="D6054" s="4" t="s">
        <v>8240</v>
      </c>
      <c r="E6054" s="5">
        <v>71.5422293345585</v>
      </c>
    </row>
    <row r="6055" ht="14.25" customHeight="1">
      <c r="A6055" s="4"/>
      <c r="B6055" s="4" t="s">
        <v>7279</v>
      </c>
      <c r="C6055" s="4" t="s">
        <v>8241</v>
      </c>
      <c r="D6055" s="4" t="s">
        <v>7305</v>
      </c>
      <c r="E6055" s="5">
        <v>55.8035880622502</v>
      </c>
    </row>
    <row r="6056" ht="14.25" customHeight="1">
      <c r="A6056" s="4"/>
      <c r="B6056" s="4" t="s">
        <v>7279</v>
      </c>
      <c r="C6056" s="4" t="s">
        <v>2235</v>
      </c>
      <c r="D6056" s="4" t="s">
        <v>8242</v>
      </c>
      <c r="E6056" s="5">
        <v>9.35900263782648</v>
      </c>
    </row>
    <row r="6057" ht="14.25" customHeight="1">
      <c r="A6057" s="4"/>
      <c r="B6057" s="4" t="s">
        <v>7279</v>
      </c>
      <c r="C6057" s="4" t="s">
        <v>396</v>
      </c>
      <c r="D6057" s="4" t="s">
        <v>8243</v>
      </c>
      <c r="E6057" s="5">
        <v>7.03833025476139</v>
      </c>
    </row>
    <row r="6058" ht="14.25" customHeight="1">
      <c r="A6058" s="4"/>
      <c r="B6058" s="4" t="s">
        <v>7279</v>
      </c>
      <c r="C6058" s="4" t="s">
        <v>3962</v>
      </c>
      <c r="D6058" s="4" t="s">
        <v>8244</v>
      </c>
      <c r="E6058" s="5">
        <v>9.124732696398489</v>
      </c>
    </row>
    <row r="6059" ht="14.25" customHeight="1">
      <c r="A6059" s="4"/>
      <c r="B6059" s="4" t="s">
        <v>7279</v>
      </c>
      <c r="C6059" s="4" t="s">
        <v>7060</v>
      </c>
      <c r="D6059" s="4" t="s">
        <v>7377</v>
      </c>
      <c r="E6059" s="5">
        <v>46.5029900518752</v>
      </c>
    </row>
    <row r="6060" ht="14.25" customHeight="1">
      <c r="A6060" s="4"/>
      <c r="B6060" s="4" t="s">
        <v>7279</v>
      </c>
      <c r="C6060" s="4" t="s">
        <v>3255</v>
      </c>
      <c r="D6060" s="4" t="s">
        <v>8245</v>
      </c>
      <c r="E6060" s="5">
        <v>8.80845806869784</v>
      </c>
    </row>
    <row r="6061" ht="14.25" customHeight="1">
      <c r="A6061" s="4"/>
      <c r="B6061" s="4" t="s">
        <v>7279</v>
      </c>
      <c r="C6061" s="4" t="s">
        <v>2641</v>
      </c>
      <c r="D6061" s="4" t="s">
        <v>8246</v>
      </c>
      <c r="E6061" s="5">
        <v>52.7358490977954</v>
      </c>
    </row>
    <row r="6062" ht="14.25" customHeight="1">
      <c r="A6062" s="4"/>
      <c r="B6062" s="4" t="s">
        <v>7279</v>
      </c>
      <c r="C6062" s="4" t="s">
        <v>5340</v>
      </c>
      <c r="D6062" s="4" t="s">
        <v>7284</v>
      </c>
      <c r="E6062" s="5">
        <v>65.1041860726253</v>
      </c>
    </row>
    <row r="6063" ht="14.25" customHeight="1">
      <c r="A6063" s="4"/>
      <c r="B6063" s="4" t="s">
        <v>7279</v>
      </c>
      <c r="C6063" s="4" t="s">
        <v>6072</v>
      </c>
      <c r="D6063" s="4" t="s">
        <v>7291</v>
      </c>
      <c r="E6063" s="5">
        <v>9.30059801037504</v>
      </c>
    </row>
    <row r="6064" ht="14.25" customHeight="1">
      <c r="A6064" s="4"/>
      <c r="B6064" s="4" t="s">
        <v>7279</v>
      </c>
      <c r="C6064" s="4" t="s">
        <v>5264</v>
      </c>
      <c r="D6064" s="4" t="s">
        <v>8247</v>
      </c>
      <c r="E6064" s="5">
        <v>86.8845351243361</v>
      </c>
    </row>
    <row r="6065" ht="14.25" customHeight="1">
      <c r="A6065" s="4"/>
      <c r="B6065" s="4" t="s">
        <v>7279</v>
      </c>
      <c r="C6065" s="4" t="s">
        <v>6159</v>
      </c>
      <c r="D6065" s="4" t="s">
        <v>7369</v>
      </c>
      <c r="E6065" s="5">
        <v>93.0059801037504</v>
      </c>
    </row>
    <row r="6066" ht="14.25" customHeight="1">
      <c r="A6066" s="4"/>
      <c r="B6066" s="4" t="s">
        <v>7279</v>
      </c>
      <c r="C6066" s="4" t="s">
        <v>6184</v>
      </c>
      <c r="D6066" s="4" t="s">
        <v>8248</v>
      </c>
      <c r="E6066" s="5">
        <v>9.362036800823851</v>
      </c>
    </row>
    <row r="6067" ht="14.25" customHeight="1">
      <c r="A6067" s="4"/>
      <c r="B6067" s="4" t="s">
        <v>7279</v>
      </c>
      <c r="C6067" s="4" t="s">
        <v>4072</v>
      </c>
      <c r="D6067" s="4" t="s">
        <v>8249</v>
      </c>
      <c r="E6067" s="5">
        <v>36.9102848153856</v>
      </c>
    </row>
    <row r="6068" ht="14.25" customHeight="1">
      <c r="A6068" s="4"/>
      <c r="B6068" s="4" t="s">
        <v>7279</v>
      </c>
      <c r="C6068" s="4" t="s">
        <v>808</v>
      </c>
      <c r="D6068" s="4" t="s">
        <v>7280</v>
      </c>
      <c r="E6068" s="5">
        <v>186.01196020749998</v>
      </c>
    </row>
    <row r="6069" ht="14.25" customHeight="1">
      <c r="A6069" s="4"/>
      <c r="B6069" s="4" t="s">
        <v>7279</v>
      </c>
      <c r="C6069" s="4" t="s">
        <v>8250</v>
      </c>
      <c r="D6069" s="4" t="s">
        <v>8251</v>
      </c>
      <c r="E6069" s="5">
        <v>82.4849195779668</v>
      </c>
    </row>
    <row r="6070" ht="14.25" customHeight="1">
      <c r="A6070" s="4"/>
      <c r="B6070" s="4" t="s">
        <v>7279</v>
      </c>
      <c r="C6070" s="4" t="s">
        <v>8252</v>
      </c>
      <c r="D6070" s="4" t="s">
        <v>8253</v>
      </c>
      <c r="E6070" s="5">
        <v>111.325074737608</v>
      </c>
    </row>
    <row r="6071" ht="14.25" customHeight="1">
      <c r="A6071" s="4"/>
      <c r="B6071" s="4" t="s">
        <v>7279</v>
      </c>
      <c r="C6071" s="4" t="s">
        <v>4704</v>
      </c>
      <c r="D6071" s="4" t="s">
        <v>8254</v>
      </c>
      <c r="E6071" s="5">
        <v>79.4270119587233</v>
      </c>
    </row>
    <row r="6072" ht="14.25" customHeight="1">
      <c r="A6072" s="4"/>
      <c r="B6072" s="4" t="s">
        <v>7279</v>
      </c>
      <c r="C6072" s="4" t="s">
        <v>8255</v>
      </c>
      <c r="D6072" s="4" t="s">
        <v>8256</v>
      </c>
      <c r="E6072" s="5">
        <v>56.0004209217025</v>
      </c>
    </row>
    <row r="6073" ht="14.25" customHeight="1">
      <c r="A6073" s="4"/>
      <c r="B6073" s="4" t="s">
        <v>7279</v>
      </c>
      <c r="C6073" s="4" t="s">
        <v>5679</v>
      </c>
      <c r="D6073" s="4" t="s">
        <v>7291</v>
      </c>
      <c r="E6073" s="5">
        <v>9.30059801037504</v>
      </c>
    </row>
    <row r="6074" ht="14.25" customHeight="1">
      <c r="A6074" s="4"/>
      <c r="B6074" s="4" t="s">
        <v>7279</v>
      </c>
      <c r="C6074" s="4" t="s">
        <v>4733</v>
      </c>
      <c r="D6074" s="4" t="s">
        <v>8257</v>
      </c>
      <c r="E6074" s="5">
        <v>183.03983098433397</v>
      </c>
    </row>
    <row r="6075" ht="14.25" customHeight="1">
      <c r="A6075" s="4"/>
      <c r="B6075" s="4" t="s">
        <v>7279</v>
      </c>
      <c r="C6075" s="4" t="s">
        <v>1125</v>
      </c>
      <c r="D6075" s="4" t="s">
        <v>7280</v>
      </c>
      <c r="E6075" s="5">
        <v>186.01196020749998</v>
      </c>
    </row>
    <row r="6076" ht="14.25" customHeight="1">
      <c r="A6076" s="4"/>
      <c r="B6076" s="4" t="s">
        <v>7279</v>
      </c>
      <c r="C6076" s="4" t="s">
        <v>4967</v>
      </c>
      <c r="D6076" s="4" t="s">
        <v>8258</v>
      </c>
      <c r="E6076" s="5">
        <v>148.201160632714</v>
      </c>
    </row>
    <row r="6077" ht="14.25" customHeight="1">
      <c r="A6077" s="4"/>
      <c r="B6077" s="4" t="s">
        <v>7279</v>
      </c>
      <c r="C6077" s="4" t="s">
        <v>5941</v>
      </c>
      <c r="D6077" s="4" t="s">
        <v>7280</v>
      </c>
      <c r="E6077" s="5">
        <v>186.01196020749998</v>
      </c>
    </row>
    <row r="6078" ht="14.25" customHeight="1">
      <c r="A6078" s="4"/>
      <c r="B6078" s="4" t="s">
        <v>7279</v>
      </c>
      <c r="C6078" s="4" t="s">
        <v>6077</v>
      </c>
      <c r="D6078" s="4" t="s">
        <v>8259</v>
      </c>
      <c r="E6078" s="5">
        <v>64.4386192437678</v>
      </c>
    </row>
    <row r="6079" ht="14.25" customHeight="1">
      <c r="A6079" s="4"/>
      <c r="B6079" s="4" t="s">
        <v>7279</v>
      </c>
      <c r="C6079" s="4" t="s">
        <v>107</v>
      </c>
      <c r="D6079" s="4" t="s">
        <v>7280</v>
      </c>
      <c r="E6079" s="5">
        <v>186.01196020749998</v>
      </c>
    </row>
    <row r="6080" ht="14.25" customHeight="1">
      <c r="A6080" s="4"/>
      <c r="B6080" s="4" t="s">
        <v>7279</v>
      </c>
      <c r="C6080" s="4" t="s">
        <v>5090</v>
      </c>
      <c r="D6080" s="4" t="s">
        <v>7675</v>
      </c>
      <c r="E6080" s="5">
        <v>27.9017940311251</v>
      </c>
    </row>
    <row r="6081" ht="14.25" customHeight="1">
      <c r="A6081" s="4"/>
      <c r="B6081" s="4" t="s">
        <v>7279</v>
      </c>
      <c r="C6081" s="4" t="s">
        <v>5307</v>
      </c>
      <c r="D6081" s="4" t="s">
        <v>8260</v>
      </c>
      <c r="E6081" s="5">
        <v>139.490618004365</v>
      </c>
    </row>
    <row r="6082" ht="14.25" customHeight="1">
      <c r="A6082" s="4"/>
      <c r="B6082" s="4" t="s">
        <v>7279</v>
      </c>
      <c r="C6082" s="4" t="s">
        <v>123</v>
      </c>
      <c r="D6082" s="4" t="s">
        <v>7280</v>
      </c>
      <c r="E6082" s="5">
        <v>186.01196020749998</v>
      </c>
    </row>
    <row r="6083" ht="14.25" customHeight="1">
      <c r="A6083" s="4"/>
      <c r="B6083" s="4" t="s">
        <v>7279</v>
      </c>
      <c r="C6083" s="4" t="s">
        <v>6179</v>
      </c>
      <c r="D6083" s="4" t="s">
        <v>7280</v>
      </c>
      <c r="E6083" s="5">
        <v>186.01196020749998</v>
      </c>
    </row>
    <row r="6084" ht="14.25" customHeight="1">
      <c r="A6084" s="4"/>
      <c r="B6084" s="4" t="s">
        <v>7279</v>
      </c>
      <c r="C6084" s="4" t="s">
        <v>8261</v>
      </c>
      <c r="D6084" s="4" t="s">
        <v>7305</v>
      </c>
      <c r="E6084" s="5">
        <v>55.8035880622502</v>
      </c>
    </row>
    <row r="6085" ht="14.25" customHeight="1">
      <c r="A6085" s="4"/>
      <c r="B6085" s="4" t="s">
        <v>7279</v>
      </c>
      <c r="C6085" s="4" t="s">
        <v>4982</v>
      </c>
      <c r="D6085" s="4" t="s">
        <v>8262</v>
      </c>
      <c r="E6085" s="5">
        <v>39.0625116435751</v>
      </c>
    </row>
    <row r="6086" ht="14.25" customHeight="1">
      <c r="A6086" s="4"/>
      <c r="B6086" s="4" t="s">
        <v>7279</v>
      </c>
      <c r="C6086" s="4" t="s">
        <v>8263</v>
      </c>
      <c r="D6086" s="4" t="s">
        <v>8264</v>
      </c>
      <c r="E6086" s="5">
        <v>65.161130666794</v>
      </c>
    </row>
    <row r="6087" ht="14.25" customHeight="1">
      <c r="A6087" s="4"/>
      <c r="B6087" s="4" t="s">
        <v>7279</v>
      </c>
      <c r="C6087" s="4" t="s">
        <v>5179</v>
      </c>
      <c r="D6087" s="4" t="s">
        <v>7433</v>
      </c>
      <c r="E6087" s="5">
        <v>18.60119602075</v>
      </c>
    </row>
    <row r="6088" ht="14.25" customHeight="1">
      <c r="A6088" s="4"/>
      <c r="B6088" s="4" t="s">
        <v>7279</v>
      </c>
      <c r="C6088" s="4" t="s">
        <v>3972</v>
      </c>
      <c r="D6088" s="4" t="s">
        <v>8265</v>
      </c>
      <c r="E6088" s="5">
        <v>56.0216756034593</v>
      </c>
    </row>
    <row r="6089" ht="14.25" customHeight="1">
      <c r="A6089" s="4"/>
      <c r="B6089" s="4" t="s">
        <v>7279</v>
      </c>
      <c r="C6089" s="4" t="s">
        <v>4484</v>
      </c>
      <c r="D6089" s="4" t="s">
        <v>8266</v>
      </c>
      <c r="E6089" s="5">
        <v>64.9456929599062</v>
      </c>
    </row>
    <row r="6090" ht="14.25" customHeight="1">
      <c r="A6090" s="4"/>
      <c r="B6090" s="4" t="s">
        <v>7279</v>
      </c>
      <c r="C6090" s="4" t="s">
        <v>8267</v>
      </c>
      <c r="D6090" s="4" t="s">
        <v>8030</v>
      </c>
      <c r="E6090" s="5">
        <v>12.0907774134875</v>
      </c>
    </row>
    <row r="6091" ht="14.25" customHeight="1">
      <c r="A6091" s="4"/>
      <c r="B6091" s="4" t="s">
        <v>7279</v>
      </c>
      <c r="C6091" s="4" t="s">
        <v>8268</v>
      </c>
      <c r="D6091" s="4" t="s">
        <v>7333</v>
      </c>
      <c r="E6091" s="5">
        <v>111.6071761245</v>
      </c>
    </row>
    <row r="6092" ht="14.25" customHeight="1">
      <c r="A6092" s="4"/>
      <c r="B6092" s="4" t="s">
        <v>7279</v>
      </c>
      <c r="C6092" s="4" t="s">
        <v>4209</v>
      </c>
      <c r="D6092" s="4" t="s">
        <v>7280</v>
      </c>
      <c r="E6092" s="5">
        <v>186.01196020749998</v>
      </c>
    </row>
    <row r="6093" ht="14.25" customHeight="1">
      <c r="A6093" s="4"/>
      <c r="B6093" s="4" t="s">
        <v>7279</v>
      </c>
      <c r="C6093" s="4" t="s">
        <v>72</v>
      </c>
      <c r="D6093" s="4" t="s">
        <v>7280</v>
      </c>
      <c r="E6093" s="5">
        <v>186.01196020749998</v>
      </c>
    </row>
    <row r="6094" ht="14.25" customHeight="1">
      <c r="A6094" s="4"/>
      <c r="B6094" s="4" t="s">
        <v>7279</v>
      </c>
      <c r="C6094" s="4" t="s">
        <v>2237</v>
      </c>
      <c r="D6094" s="4" t="s">
        <v>8269</v>
      </c>
      <c r="E6094" s="5">
        <v>143.620725832689</v>
      </c>
    </row>
    <row r="6095" ht="14.25" customHeight="1">
      <c r="A6095" s="4"/>
      <c r="B6095" s="4" t="s">
        <v>7279</v>
      </c>
      <c r="C6095" s="4" t="s">
        <v>3938</v>
      </c>
      <c r="D6095" s="4" t="s">
        <v>8270</v>
      </c>
      <c r="E6095" s="5">
        <v>89.4717528598079</v>
      </c>
    </row>
    <row r="6096" ht="14.25" customHeight="1">
      <c r="A6096" s="4"/>
      <c r="B6096" s="4" t="s">
        <v>7279</v>
      </c>
      <c r="C6096" s="4" t="s">
        <v>3275</v>
      </c>
      <c r="D6096" s="4" t="s">
        <v>8271</v>
      </c>
      <c r="E6096" s="5">
        <v>64.57599053249331</v>
      </c>
    </row>
    <row r="6097" ht="14.25" customHeight="1">
      <c r="A6097" s="4"/>
      <c r="B6097" s="4" t="s">
        <v>7279</v>
      </c>
      <c r="C6097" s="4" t="s">
        <v>5164</v>
      </c>
      <c r="D6097" s="4" t="s">
        <v>8272</v>
      </c>
      <c r="E6097" s="5">
        <v>149.14438969437398</v>
      </c>
    </row>
    <row r="6098" ht="14.25" customHeight="1">
      <c r="A6098" s="4"/>
      <c r="B6098" s="4" t="s">
        <v>7279</v>
      </c>
      <c r="C6098" s="4" t="s">
        <v>3969</v>
      </c>
      <c r="D6098" s="4" t="s">
        <v>8273</v>
      </c>
      <c r="E6098" s="5">
        <v>75.5195602039782</v>
      </c>
    </row>
    <row r="6099" ht="14.25" customHeight="1">
      <c r="A6099" s="4"/>
      <c r="B6099" s="4" t="s">
        <v>7279</v>
      </c>
      <c r="C6099" s="4" t="s">
        <v>4065</v>
      </c>
      <c r="D6099" s="4" t="s">
        <v>8274</v>
      </c>
      <c r="E6099" s="5">
        <v>18.6406665481402</v>
      </c>
    </row>
    <row r="6100" ht="14.25" customHeight="1">
      <c r="A6100" s="4"/>
      <c r="B6100" s="4" t="s">
        <v>7279</v>
      </c>
      <c r="C6100" s="4" t="s">
        <v>7120</v>
      </c>
      <c r="D6100" s="4" t="s">
        <v>8275</v>
      </c>
      <c r="E6100" s="5">
        <v>10.4059638275806</v>
      </c>
    </row>
    <row r="6101" ht="14.25" customHeight="1">
      <c r="A6101" s="4"/>
      <c r="B6101" s="4" t="s">
        <v>7279</v>
      </c>
      <c r="C6101" s="4" t="s">
        <v>3172</v>
      </c>
      <c r="D6101" s="4" t="s">
        <v>8276</v>
      </c>
      <c r="E6101" s="5">
        <v>83.5193701331678</v>
      </c>
    </row>
    <row r="6102" ht="14.25" customHeight="1">
      <c r="A6102" s="4"/>
      <c r="B6102" s="4" t="s">
        <v>7279</v>
      </c>
      <c r="C6102" s="4" t="s">
        <v>4182</v>
      </c>
      <c r="D6102" s="4" t="s">
        <v>7284</v>
      </c>
      <c r="E6102" s="5">
        <v>65.1041860726253</v>
      </c>
    </row>
    <row r="6103" ht="14.25" customHeight="1">
      <c r="A6103" s="4"/>
      <c r="B6103" s="4" t="s">
        <v>7279</v>
      </c>
      <c r="C6103" s="4" t="s">
        <v>3737</v>
      </c>
      <c r="D6103" s="4" t="s">
        <v>8277</v>
      </c>
      <c r="E6103" s="5">
        <v>67.3873607202594</v>
      </c>
    </row>
    <row r="6104" ht="14.25" customHeight="1">
      <c r="A6104" s="4"/>
      <c r="B6104" s="4" t="s">
        <v>7279</v>
      </c>
      <c r="C6104" s="4" t="s">
        <v>2660</v>
      </c>
      <c r="D6104" s="4" t="s">
        <v>8278</v>
      </c>
      <c r="E6104" s="5">
        <v>65.6018938091493</v>
      </c>
    </row>
    <row r="6105" ht="14.25" customHeight="1">
      <c r="A6105" s="4"/>
      <c r="B6105" s="4" t="s">
        <v>7279</v>
      </c>
      <c r="C6105" s="4" t="s">
        <v>4202</v>
      </c>
      <c r="D6105" s="4" t="s">
        <v>7369</v>
      </c>
      <c r="E6105" s="5">
        <v>93.0059801037504</v>
      </c>
    </row>
    <row r="6106" ht="14.25" customHeight="1">
      <c r="A6106" s="4"/>
      <c r="B6106" s="4" t="s">
        <v>7279</v>
      </c>
      <c r="C6106" s="4" t="s">
        <v>3678</v>
      </c>
      <c r="D6106" s="4" t="s">
        <v>7291</v>
      </c>
      <c r="E6106" s="5">
        <v>9.30059801037504</v>
      </c>
    </row>
    <row r="6107" ht="14.25" customHeight="1">
      <c r="A6107" s="4"/>
      <c r="B6107" s="4" t="s">
        <v>7279</v>
      </c>
      <c r="C6107" s="4" t="s">
        <v>8279</v>
      </c>
      <c r="D6107" s="4" t="s">
        <v>7561</v>
      </c>
      <c r="E6107" s="5">
        <v>9.67262193079004</v>
      </c>
    </row>
    <row r="6108" ht="14.25" customHeight="1">
      <c r="A6108" s="4"/>
      <c r="B6108" s="4" t="s">
        <v>7279</v>
      </c>
      <c r="C6108" s="4" t="s">
        <v>1570</v>
      </c>
      <c r="D6108" s="4" t="s">
        <v>8280</v>
      </c>
      <c r="E6108" s="5">
        <v>58.0357315847402</v>
      </c>
    </row>
    <row r="6109" ht="14.25" customHeight="1">
      <c r="A6109" s="4"/>
      <c r="B6109" s="4" t="s">
        <v>7279</v>
      </c>
      <c r="C6109" s="4" t="s">
        <v>8281</v>
      </c>
      <c r="D6109" s="4" t="s">
        <v>8282</v>
      </c>
      <c r="E6109" s="5">
        <v>157.51961216943002</v>
      </c>
    </row>
    <row r="6110" ht="14.25" customHeight="1">
      <c r="A6110" s="4"/>
      <c r="B6110" s="4" t="s">
        <v>7279</v>
      </c>
      <c r="C6110" s="4" t="s">
        <v>8283</v>
      </c>
      <c r="D6110" s="4" t="s">
        <v>8284</v>
      </c>
      <c r="E6110" s="5">
        <v>179.57334366014499</v>
      </c>
    </row>
    <row r="6111" ht="14.25" customHeight="1">
      <c r="A6111" s="4"/>
      <c r="B6111" s="4" t="s">
        <v>7279</v>
      </c>
      <c r="C6111" s="4" t="s">
        <v>1957</v>
      </c>
      <c r="D6111" s="4" t="s">
        <v>8285</v>
      </c>
      <c r="E6111" s="5">
        <v>50.293936242317</v>
      </c>
    </row>
    <row r="6112" ht="14.25" customHeight="1">
      <c r="A6112" s="4"/>
      <c r="B6112" s="4" t="s">
        <v>7279</v>
      </c>
      <c r="C6112" s="4" t="s">
        <v>5577</v>
      </c>
      <c r="D6112" s="4" t="s">
        <v>8286</v>
      </c>
      <c r="E6112" s="5">
        <v>62.0572886706111</v>
      </c>
    </row>
    <row r="6113" ht="14.25" customHeight="1">
      <c r="A6113" s="4"/>
      <c r="B6113" s="4" t="s">
        <v>7279</v>
      </c>
      <c r="C6113" s="4" t="s">
        <v>3517</v>
      </c>
      <c r="D6113" s="4" t="s">
        <v>7377</v>
      </c>
      <c r="E6113" s="5">
        <v>46.5029900518752</v>
      </c>
    </row>
    <row r="6114" ht="14.25" customHeight="1">
      <c r="A6114" s="4"/>
      <c r="B6114" s="4" t="s">
        <v>7279</v>
      </c>
      <c r="C6114" s="4" t="s">
        <v>5821</v>
      </c>
      <c r="D6114" s="4" t="s">
        <v>7280</v>
      </c>
      <c r="E6114" s="5">
        <v>186.01196020749998</v>
      </c>
    </row>
    <row r="6115" ht="14.25" customHeight="1">
      <c r="A6115" s="4"/>
      <c r="B6115" s="4" t="s">
        <v>7279</v>
      </c>
      <c r="C6115" s="4" t="s">
        <v>1444</v>
      </c>
      <c r="D6115" s="4" t="s">
        <v>7280</v>
      </c>
      <c r="E6115" s="5">
        <v>186.01196020749998</v>
      </c>
    </row>
    <row r="6116" ht="14.25" customHeight="1">
      <c r="A6116" s="4"/>
      <c r="B6116" s="4" t="s">
        <v>7279</v>
      </c>
      <c r="C6116" s="4" t="s">
        <v>5453</v>
      </c>
      <c r="D6116" s="4" t="s">
        <v>8287</v>
      </c>
      <c r="E6116" s="5">
        <v>9.41927661029634</v>
      </c>
    </row>
    <row r="6117" ht="14.25" customHeight="1">
      <c r="A6117" s="4"/>
      <c r="B6117" s="4" t="s">
        <v>7279</v>
      </c>
      <c r="C6117" s="4" t="s">
        <v>2593</v>
      </c>
      <c r="D6117" s="4" t="s">
        <v>8288</v>
      </c>
      <c r="E6117" s="5">
        <v>158.51151659047298</v>
      </c>
    </row>
    <row r="6118" ht="14.25" customHeight="1">
      <c r="A6118" s="4"/>
      <c r="B6118" s="4" t="s">
        <v>7279</v>
      </c>
      <c r="C6118" s="4" t="s">
        <v>1920</v>
      </c>
      <c r="D6118" s="4" t="s">
        <v>8289</v>
      </c>
      <c r="E6118" s="5">
        <v>170.758979470485</v>
      </c>
    </row>
    <row r="6119" ht="14.25" customHeight="1">
      <c r="A6119" s="4"/>
      <c r="B6119" s="4" t="s">
        <v>7279</v>
      </c>
      <c r="C6119" s="4" t="s">
        <v>7073</v>
      </c>
      <c r="D6119" s="4" t="s">
        <v>8290</v>
      </c>
      <c r="E6119" s="5">
        <v>68.0563544721283</v>
      </c>
    </row>
    <row r="6120" ht="14.25" customHeight="1">
      <c r="A6120" s="4"/>
      <c r="B6120" s="4" t="s">
        <v>7279</v>
      </c>
      <c r="C6120" s="4" t="s">
        <v>2190</v>
      </c>
      <c r="D6120" s="4" t="s">
        <v>7291</v>
      </c>
      <c r="E6120" s="5">
        <v>9.30059801037504</v>
      </c>
    </row>
    <row r="6121" ht="14.25" customHeight="1">
      <c r="A6121" s="4"/>
      <c r="B6121" s="4" t="s">
        <v>7279</v>
      </c>
      <c r="C6121" s="4" t="s">
        <v>3086</v>
      </c>
      <c r="D6121" s="4" t="s">
        <v>8291</v>
      </c>
      <c r="E6121" s="5">
        <v>125.97996355804199</v>
      </c>
    </row>
    <row r="6122" ht="14.25" customHeight="1">
      <c r="A6122" s="4"/>
      <c r="B6122" s="4" t="s">
        <v>7279</v>
      </c>
      <c r="C6122" s="4" t="s">
        <v>5236</v>
      </c>
      <c r="D6122" s="4" t="s">
        <v>8292</v>
      </c>
      <c r="E6122" s="5">
        <v>46.7596865569615</v>
      </c>
    </row>
    <row r="6123" ht="14.25" customHeight="1">
      <c r="A6123" s="4"/>
      <c r="B6123" s="4" t="s">
        <v>7279</v>
      </c>
      <c r="C6123" s="4" t="s">
        <v>2935</v>
      </c>
      <c r="D6123" s="4" t="s">
        <v>8293</v>
      </c>
      <c r="E6123" s="5">
        <v>96.43604064997669</v>
      </c>
    </row>
    <row r="6124" ht="14.25" customHeight="1">
      <c r="A6124" s="4"/>
      <c r="B6124" s="4" t="s">
        <v>7279</v>
      </c>
      <c r="C6124" s="4" t="s">
        <v>6464</v>
      </c>
      <c r="D6124" s="4" t="s">
        <v>8294</v>
      </c>
      <c r="E6124" s="5">
        <v>185.480088150904</v>
      </c>
    </row>
    <row r="6125" ht="14.25" customHeight="1">
      <c r="A6125" s="4"/>
      <c r="B6125" s="4" t="s">
        <v>7279</v>
      </c>
      <c r="C6125" s="4" t="s">
        <v>6380</v>
      </c>
      <c r="D6125" s="4" t="s">
        <v>8295</v>
      </c>
      <c r="E6125" s="5">
        <v>120.937254068364</v>
      </c>
    </row>
    <row r="6126" ht="14.25" customHeight="1">
      <c r="A6126" s="4"/>
      <c r="B6126" s="4" t="s">
        <v>7279</v>
      </c>
      <c r="C6126" s="4" t="s">
        <v>5416</v>
      </c>
      <c r="D6126" s="4" t="s">
        <v>8296</v>
      </c>
      <c r="E6126" s="5">
        <v>9.30061353232907</v>
      </c>
    </row>
    <row r="6127" ht="14.25" customHeight="1">
      <c r="A6127" s="4"/>
      <c r="B6127" s="4" t="s">
        <v>7279</v>
      </c>
      <c r="C6127" s="4" t="s">
        <v>3039</v>
      </c>
      <c r="D6127" s="4" t="s">
        <v>8297</v>
      </c>
      <c r="E6127" s="5">
        <v>16.4501449795382</v>
      </c>
    </row>
    <row r="6128" ht="14.25" customHeight="1">
      <c r="A6128" s="4"/>
      <c r="B6128" s="4" t="s">
        <v>7279</v>
      </c>
      <c r="C6128" s="4" t="s">
        <v>3589</v>
      </c>
      <c r="D6128" s="4" t="s">
        <v>8298</v>
      </c>
      <c r="E6128" s="5">
        <v>88.4524039024072</v>
      </c>
    </row>
    <row r="6129" ht="14.25" customHeight="1">
      <c r="A6129" s="4"/>
      <c r="B6129" s="4" t="s">
        <v>7279</v>
      </c>
      <c r="C6129" s="4" t="s">
        <v>2556</v>
      </c>
      <c r="D6129" s="4" t="s">
        <v>8299</v>
      </c>
      <c r="E6129" s="5">
        <v>86.3390620084329</v>
      </c>
    </row>
    <row r="6130" ht="14.25" customHeight="1">
      <c r="A6130" s="4"/>
      <c r="B6130" s="4" t="s">
        <v>7279</v>
      </c>
      <c r="C6130" s="4" t="s">
        <v>254</v>
      </c>
      <c r="D6130" s="4" t="s">
        <v>7280</v>
      </c>
      <c r="E6130" s="5">
        <v>186.01196020749998</v>
      </c>
    </row>
    <row r="6131" ht="14.25" customHeight="1">
      <c r="A6131" s="4"/>
      <c r="B6131" s="4" t="s">
        <v>7279</v>
      </c>
      <c r="C6131" s="4" t="s">
        <v>143</v>
      </c>
      <c r="D6131" s="4" t="s">
        <v>7280</v>
      </c>
      <c r="E6131" s="5">
        <v>186.01196020749998</v>
      </c>
    </row>
    <row r="6132" ht="14.25" customHeight="1">
      <c r="A6132" s="4"/>
      <c r="B6132" s="4" t="s">
        <v>7279</v>
      </c>
      <c r="C6132" s="4" t="s">
        <v>8300</v>
      </c>
      <c r="D6132" s="4" t="s">
        <v>8301</v>
      </c>
      <c r="E6132" s="5">
        <v>0.124416022576431</v>
      </c>
    </row>
    <row r="6133" ht="14.25" customHeight="1">
      <c r="A6133" s="4"/>
      <c r="B6133" s="4" t="s">
        <v>7279</v>
      </c>
      <c r="C6133" s="4" t="s">
        <v>4900</v>
      </c>
      <c r="D6133" s="4" t="s">
        <v>8302</v>
      </c>
      <c r="E6133" s="5">
        <v>55.3027618449505</v>
      </c>
    </row>
    <row r="6134" ht="14.25" customHeight="1">
      <c r="A6134" s="4"/>
      <c r="B6134" s="4" t="s">
        <v>7279</v>
      </c>
      <c r="C6134" s="4" t="s">
        <v>2969</v>
      </c>
      <c r="D6134" s="4" t="s">
        <v>7280</v>
      </c>
      <c r="E6134" s="5">
        <v>186.01196020749998</v>
      </c>
    </row>
    <row r="6135" ht="14.25" customHeight="1">
      <c r="A6135" s="4"/>
      <c r="B6135" s="4" t="s">
        <v>7279</v>
      </c>
      <c r="C6135" s="4" t="s">
        <v>8303</v>
      </c>
      <c r="D6135" s="4" t="s">
        <v>8304</v>
      </c>
      <c r="E6135" s="5">
        <v>3.78026588633759</v>
      </c>
    </row>
    <row r="6136" ht="14.25" customHeight="1">
      <c r="A6136" s="4"/>
      <c r="B6136" s="4" t="s">
        <v>7279</v>
      </c>
      <c r="C6136" s="4" t="s">
        <v>6695</v>
      </c>
      <c r="D6136" s="4" t="s">
        <v>7291</v>
      </c>
      <c r="E6136" s="5">
        <v>9.30059801037504</v>
      </c>
    </row>
    <row r="6137" ht="14.25" customHeight="1">
      <c r="A6137" s="4"/>
      <c r="B6137" s="4" t="s">
        <v>7279</v>
      </c>
      <c r="C6137" s="4" t="s">
        <v>3512</v>
      </c>
      <c r="D6137" s="4" t="s">
        <v>8305</v>
      </c>
      <c r="E6137" s="5">
        <v>9.47496033578566</v>
      </c>
    </row>
    <row r="6138" ht="14.25" customHeight="1">
      <c r="A6138" s="4"/>
      <c r="B6138" s="4" t="s">
        <v>7279</v>
      </c>
      <c r="C6138" s="4" t="s">
        <v>4349</v>
      </c>
      <c r="D6138" s="4" t="s">
        <v>7280</v>
      </c>
      <c r="E6138" s="5">
        <v>186.01196020749998</v>
      </c>
    </row>
    <row r="6139" ht="14.25" customHeight="1">
      <c r="A6139" s="4"/>
      <c r="B6139" s="4" t="s">
        <v>7279</v>
      </c>
      <c r="C6139" s="4" t="s">
        <v>5784</v>
      </c>
      <c r="D6139" s="4" t="s">
        <v>8306</v>
      </c>
      <c r="E6139" s="5">
        <v>9.784017828242291</v>
      </c>
    </row>
    <row r="6140" ht="14.25" customHeight="1">
      <c r="A6140" s="4"/>
      <c r="B6140" s="4" t="s">
        <v>7279</v>
      </c>
      <c r="C6140" s="4" t="s">
        <v>4364</v>
      </c>
      <c r="D6140" s="4" t="s">
        <v>8307</v>
      </c>
      <c r="E6140" s="5">
        <v>43.3791971415519</v>
      </c>
    </row>
    <row r="6141" ht="14.25" customHeight="1">
      <c r="A6141" s="4"/>
      <c r="B6141" s="4" t="s">
        <v>7279</v>
      </c>
      <c r="C6141" s="4" t="s">
        <v>1370</v>
      </c>
      <c r="D6141" s="4" t="s">
        <v>8308</v>
      </c>
      <c r="E6141" s="5">
        <v>185.028083533392</v>
      </c>
    </row>
    <row r="6142" ht="14.25" customHeight="1">
      <c r="A6142" s="4"/>
      <c r="B6142" s="4" t="s">
        <v>7279</v>
      </c>
      <c r="C6142" s="4" t="s">
        <v>8309</v>
      </c>
      <c r="D6142" s="4" t="s">
        <v>8310</v>
      </c>
      <c r="E6142" s="5">
        <v>22.5156270101837</v>
      </c>
    </row>
    <row r="6143" ht="14.25" customHeight="1">
      <c r="A6143" s="4"/>
      <c r="B6143" s="4" t="s">
        <v>7279</v>
      </c>
      <c r="C6143" s="4" t="s">
        <v>5073</v>
      </c>
      <c r="D6143" s="4" t="s">
        <v>8311</v>
      </c>
      <c r="E6143" s="5">
        <v>83.3987926911627</v>
      </c>
    </row>
    <row r="6144" ht="14.25" customHeight="1">
      <c r="A6144" s="4"/>
      <c r="B6144" s="4" t="s">
        <v>7279</v>
      </c>
      <c r="C6144" s="4" t="s">
        <v>35</v>
      </c>
      <c r="D6144" s="4" t="s">
        <v>7280</v>
      </c>
      <c r="E6144" s="5">
        <v>186.01196020749998</v>
      </c>
    </row>
    <row r="6145" ht="14.25" customHeight="1">
      <c r="A6145" s="4"/>
      <c r="B6145" s="4" t="s">
        <v>7279</v>
      </c>
      <c r="C6145" s="4" t="s">
        <v>2807</v>
      </c>
      <c r="D6145" s="4" t="s">
        <v>7284</v>
      </c>
      <c r="E6145" s="5">
        <v>65.1041860726253</v>
      </c>
    </row>
    <row r="6146" ht="14.25" customHeight="1">
      <c r="A6146" s="4"/>
      <c r="B6146" s="4" t="s">
        <v>7279</v>
      </c>
      <c r="C6146" s="4" t="s">
        <v>1465</v>
      </c>
      <c r="D6146" s="4" t="s">
        <v>7280</v>
      </c>
      <c r="E6146" s="5">
        <v>186.01196020749998</v>
      </c>
    </row>
    <row r="6147" ht="14.25" customHeight="1">
      <c r="A6147" s="4"/>
      <c r="B6147" s="4" t="s">
        <v>7279</v>
      </c>
      <c r="C6147" s="4" t="s">
        <v>8312</v>
      </c>
      <c r="D6147" s="4" t="s">
        <v>8313</v>
      </c>
      <c r="E6147" s="5">
        <v>22.3214352249001</v>
      </c>
    </row>
    <row r="6148" ht="14.25" customHeight="1">
      <c r="A6148" s="4"/>
      <c r="B6148" s="4" t="s">
        <v>7279</v>
      </c>
      <c r="C6148" s="4" t="s">
        <v>8314</v>
      </c>
      <c r="D6148" s="4" t="s">
        <v>8315</v>
      </c>
      <c r="E6148" s="5">
        <v>19.157695184396598</v>
      </c>
    </row>
    <row r="6149" ht="14.25" customHeight="1">
      <c r="A6149" s="4"/>
      <c r="B6149" s="4" t="s">
        <v>7279</v>
      </c>
      <c r="C6149" s="4" t="s">
        <v>2314</v>
      </c>
      <c r="D6149" s="4" t="s">
        <v>8316</v>
      </c>
      <c r="E6149" s="5">
        <v>6.3281913027006</v>
      </c>
    </row>
    <row r="6150" ht="14.25" customHeight="1">
      <c r="A6150" s="4"/>
      <c r="B6150" s="4" t="s">
        <v>7279</v>
      </c>
      <c r="C6150" s="4" t="s">
        <v>3650</v>
      </c>
      <c r="D6150" s="4" t="s">
        <v>8317</v>
      </c>
      <c r="E6150" s="5">
        <v>52.0106735804851</v>
      </c>
    </row>
    <row r="6151" ht="14.25" customHeight="1">
      <c r="A6151" s="4"/>
      <c r="B6151" s="4" t="s">
        <v>7279</v>
      </c>
      <c r="C6151" s="4" t="s">
        <v>4005</v>
      </c>
      <c r="D6151" s="4" t="s">
        <v>7291</v>
      </c>
      <c r="E6151" s="5">
        <v>9.30059801037504</v>
      </c>
    </row>
    <row r="6152" ht="14.25" customHeight="1">
      <c r="A6152" s="4"/>
      <c r="B6152" s="4" t="s">
        <v>7279</v>
      </c>
      <c r="C6152" s="4" t="s">
        <v>4764</v>
      </c>
      <c r="D6152" s="4" t="s">
        <v>8318</v>
      </c>
      <c r="E6152" s="5">
        <v>27.333004178951402</v>
      </c>
    </row>
    <row r="6153" ht="14.25" customHeight="1">
      <c r="A6153" s="4"/>
      <c r="B6153" s="4" t="s">
        <v>7279</v>
      </c>
      <c r="C6153" s="4" t="s">
        <v>3372</v>
      </c>
      <c r="D6153" s="4" t="s">
        <v>8319</v>
      </c>
      <c r="E6153" s="5">
        <v>17.261459905819798</v>
      </c>
    </row>
    <row r="6154" ht="14.25" customHeight="1">
      <c r="A6154" s="4"/>
      <c r="B6154" s="4" t="s">
        <v>7279</v>
      </c>
      <c r="C6154" s="4" t="s">
        <v>1639</v>
      </c>
      <c r="D6154" s="4" t="s">
        <v>7280</v>
      </c>
      <c r="E6154" s="5">
        <v>186.01196020749998</v>
      </c>
    </row>
    <row r="6155" ht="14.25" customHeight="1">
      <c r="A6155" s="4"/>
      <c r="B6155" s="4" t="s">
        <v>7279</v>
      </c>
      <c r="C6155" s="4" t="s">
        <v>6367</v>
      </c>
      <c r="D6155" s="4" t="s">
        <v>7280</v>
      </c>
      <c r="E6155" s="5">
        <v>186.01196020749998</v>
      </c>
    </row>
    <row r="6156" ht="14.25" customHeight="1">
      <c r="A6156" s="4"/>
      <c r="B6156" s="4" t="s">
        <v>7279</v>
      </c>
      <c r="C6156" s="4" t="s">
        <v>306</v>
      </c>
      <c r="D6156" s="4" t="s">
        <v>8320</v>
      </c>
      <c r="E6156" s="5">
        <v>109.38754544559801</v>
      </c>
    </row>
    <row r="6157" ht="14.25" customHeight="1">
      <c r="A6157" s="4"/>
      <c r="B6157" s="4" t="s">
        <v>7279</v>
      </c>
      <c r="C6157" s="4" t="s">
        <v>8321</v>
      </c>
      <c r="D6157" s="4" t="s">
        <v>8322</v>
      </c>
      <c r="E6157" s="5">
        <v>155.161774693552</v>
      </c>
    </row>
    <row r="6158" ht="14.25" customHeight="1">
      <c r="A6158" s="4"/>
      <c r="B6158" s="4" t="s">
        <v>7279</v>
      </c>
      <c r="C6158" s="4" t="s">
        <v>1834</v>
      </c>
      <c r="D6158" s="4" t="s">
        <v>8323</v>
      </c>
      <c r="E6158" s="5">
        <v>42.5319927519822</v>
      </c>
    </row>
    <row r="6159" ht="14.25" customHeight="1">
      <c r="A6159" s="4"/>
      <c r="B6159" s="4" t="s">
        <v>7279</v>
      </c>
      <c r="C6159" s="4" t="s">
        <v>8324</v>
      </c>
      <c r="D6159" s="4" t="s">
        <v>8325</v>
      </c>
      <c r="E6159" s="5">
        <v>65.9464970335189</v>
      </c>
    </row>
    <row r="6160" ht="14.25" customHeight="1">
      <c r="A6160" s="4"/>
      <c r="B6160" s="4" t="s">
        <v>7279</v>
      </c>
      <c r="C6160" s="4" t="s">
        <v>8326</v>
      </c>
      <c r="D6160" s="4" t="s">
        <v>7280</v>
      </c>
      <c r="E6160" s="5">
        <v>186.01196020749998</v>
      </c>
    </row>
    <row r="6161" ht="14.25" customHeight="1">
      <c r="A6161" s="4"/>
      <c r="B6161" s="4" t="s">
        <v>7279</v>
      </c>
      <c r="C6161" s="4" t="s">
        <v>4305</v>
      </c>
      <c r="D6161" s="4" t="s">
        <v>8327</v>
      </c>
      <c r="E6161" s="5">
        <v>40.05099054468231</v>
      </c>
    </row>
    <row r="6162" ht="14.25" customHeight="1">
      <c r="A6162" s="4"/>
      <c r="B6162" s="4" t="s">
        <v>7279</v>
      </c>
      <c r="C6162" s="4" t="s">
        <v>834</v>
      </c>
      <c r="D6162" s="4" t="s">
        <v>7280</v>
      </c>
      <c r="E6162" s="5">
        <v>186.01196020749998</v>
      </c>
    </row>
    <row r="6163" ht="14.25" customHeight="1">
      <c r="A6163" s="4"/>
      <c r="B6163" s="4" t="s">
        <v>7279</v>
      </c>
      <c r="C6163" s="4" t="s">
        <v>239</v>
      </c>
      <c r="D6163" s="4" t="s">
        <v>7280</v>
      </c>
      <c r="E6163" s="5">
        <v>186.01196020749998</v>
      </c>
    </row>
    <row r="6164" ht="14.25" customHeight="1">
      <c r="A6164" s="4"/>
      <c r="B6164" s="4" t="s">
        <v>7279</v>
      </c>
      <c r="C6164" s="4" t="s">
        <v>3024</v>
      </c>
      <c r="D6164" s="4" t="s">
        <v>8328</v>
      </c>
      <c r="E6164" s="5">
        <v>65.56605689863599</v>
      </c>
    </row>
    <row r="6165" ht="14.25" customHeight="1">
      <c r="A6165" s="4"/>
      <c r="B6165" s="4" t="s">
        <v>7279</v>
      </c>
      <c r="C6165" s="4" t="s">
        <v>3688</v>
      </c>
      <c r="D6165" s="4" t="s">
        <v>8329</v>
      </c>
      <c r="E6165" s="5">
        <v>84.1839878506193</v>
      </c>
    </row>
    <row r="6166" ht="14.25" customHeight="1">
      <c r="A6166" s="4"/>
      <c r="B6166" s="4" t="s">
        <v>7279</v>
      </c>
      <c r="C6166" s="4" t="s">
        <v>1041</v>
      </c>
      <c r="D6166" s="4" t="s">
        <v>7280</v>
      </c>
      <c r="E6166" s="5">
        <v>186.01196020749998</v>
      </c>
    </row>
    <row r="6167" ht="14.25" customHeight="1">
      <c r="A6167" s="4"/>
      <c r="B6167" s="4" t="s">
        <v>7279</v>
      </c>
      <c r="C6167" s="4" t="s">
        <v>522</v>
      </c>
      <c r="D6167" s="4" t="s">
        <v>8330</v>
      </c>
      <c r="E6167" s="5">
        <v>161.088284332068</v>
      </c>
    </row>
    <row r="6168" ht="14.25" customHeight="1">
      <c r="A6168" s="4"/>
      <c r="B6168" s="4" t="s">
        <v>7279</v>
      </c>
      <c r="C6168" s="4" t="s">
        <v>8331</v>
      </c>
      <c r="D6168" s="4" t="s">
        <v>8121</v>
      </c>
      <c r="E6168" s="5">
        <v>117.187534930725</v>
      </c>
    </row>
    <row r="6169" ht="14.25" customHeight="1">
      <c r="A6169" s="4"/>
      <c r="B6169" s="4" t="s">
        <v>7279</v>
      </c>
      <c r="C6169" s="4" t="s">
        <v>3756</v>
      </c>
      <c r="D6169" s="4" t="s">
        <v>8332</v>
      </c>
      <c r="E6169" s="5">
        <v>19.044083715078</v>
      </c>
    </row>
    <row r="6170" ht="14.25" customHeight="1">
      <c r="A6170" s="4"/>
      <c r="B6170" s="4" t="s">
        <v>7279</v>
      </c>
      <c r="C6170" s="4" t="s">
        <v>6561</v>
      </c>
      <c r="D6170" s="4" t="s">
        <v>8333</v>
      </c>
      <c r="E6170" s="5">
        <v>49.0318962160222</v>
      </c>
    </row>
    <row r="6171" ht="14.25" customHeight="1">
      <c r="A6171" s="4"/>
      <c r="B6171" s="4" t="s">
        <v>7279</v>
      </c>
      <c r="C6171" s="4" t="s">
        <v>3789</v>
      </c>
      <c r="D6171" s="4" t="s">
        <v>7280</v>
      </c>
      <c r="E6171" s="5">
        <v>186.01196020749998</v>
      </c>
    </row>
    <row r="6172" ht="14.25" customHeight="1">
      <c r="A6172" s="4"/>
      <c r="B6172" s="4" t="s">
        <v>7279</v>
      </c>
      <c r="C6172" s="4" t="s">
        <v>3103</v>
      </c>
      <c r="D6172" s="4" t="s">
        <v>7433</v>
      </c>
      <c r="E6172" s="5">
        <v>18.60119602075</v>
      </c>
    </row>
    <row r="6173" ht="14.25" customHeight="1">
      <c r="A6173" s="4"/>
      <c r="B6173" s="4" t="s">
        <v>7279</v>
      </c>
      <c r="C6173" s="4" t="s">
        <v>8334</v>
      </c>
      <c r="D6173" s="4" t="s">
        <v>7280</v>
      </c>
      <c r="E6173" s="5">
        <v>186.01196020749998</v>
      </c>
    </row>
    <row r="6174" ht="14.25" customHeight="1">
      <c r="A6174" s="4"/>
      <c r="B6174" s="4" t="s">
        <v>7279</v>
      </c>
      <c r="C6174" s="4" t="s">
        <v>1294</v>
      </c>
      <c r="D6174" s="4" t="s">
        <v>8335</v>
      </c>
      <c r="E6174" s="5">
        <v>109.91509561650301</v>
      </c>
    </row>
    <row r="6175" ht="14.25" customHeight="1">
      <c r="A6175" s="4"/>
      <c r="B6175" s="4" t="s">
        <v>7279</v>
      </c>
      <c r="C6175" s="4" t="s">
        <v>8336</v>
      </c>
      <c r="D6175" s="4" t="s">
        <v>8337</v>
      </c>
      <c r="E6175" s="5">
        <v>56.0805029554316</v>
      </c>
    </row>
    <row r="6176" ht="14.25" customHeight="1">
      <c r="A6176" s="4"/>
      <c r="B6176" s="4" t="s">
        <v>7279</v>
      </c>
      <c r="C6176" s="4" t="s">
        <v>4755</v>
      </c>
      <c r="D6176" s="4" t="s">
        <v>8338</v>
      </c>
      <c r="E6176" s="5">
        <v>91.6608527892965</v>
      </c>
    </row>
    <row r="6177" ht="14.25" customHeight="1">
      <c r="A6177" s="4"/>
      <c r="B6177" s="4" t="s">
        <v>7279</v>
      </c>
      <c r="C6177" s="4" t="s">
        <v>5818</v>
      </c>
      <c r="D6177" s="4" t="s">
        <v>7280</v>
      </c>
      <c r="E6177" s="5">
        <v>186.01196020749998</v>
      </c>
    </row>
    <row r="6178" ht="14.25" customHeight="1">
      <c r="A6178" s="4"/>
      <c r="B6178" s="4" t="s">
        <v>7279</v>
      </c>
      <c r="C6178" s="4" t="s">
        <v>966</v>
      </c>
      <c r="D6178" s="4" t="s">
        <v>8339</v>
      </c>
      <c r="E6178" s="5">
        <v>180.413645761101</v>
      </c>
    </row>
    <row r="6179" ht="14.25" customHeight="1">
      <c r="A6179" s="4"/>
      <c r="B6179" s="4" t="s">
        <v>7279</v>
      </c>
      <c r="C6179" s="4" t="s">
        <v>3791</v>
      </c>
      <c r="D6179" s="4" t="s">
        <v>8340</v>
      </c>
      <c r="E6179" s="5">
        <v>9.40868044344741</v>
      </c>
    </row>
    <row r="6180" ht="14.25" customHeight="1">
      <c r="A6180" s="4"/>
      <c r="B6180" s="4" t="s">
        <v>7279</v>
      </c>
      <c r="C6180" s="4" t="s">
        <v>6005</v>
      </c>
      <c r="D6180" s="4" t="s">
        <v>8341</v>
      </c>
      <c r="E6180" s="5">
        <v>65.1204806135686</v>
      </c>
    </row>
    <row r="6181" ht="14.25" customHeight="1">
      <c r="A6181" s="4"/>
      <c r="B6181" s="4" t="s">
        <v>7279</v>
      </c>
      <c r="C6181" s="4" t="s">
        <v>2738</v>
      </c>
      <c r="D6181" s="4" t="s">
        <v>8342</v>
      </c>
      <c r="E6181" s="5">
        <v>56.2522199111921</v>
      </c>
    </row>
    <row r="6182" ht="14.25" customHeight="1">
      <c r="A6182" s="4"/>
      <c r="B6182" s="4" t="s">
        <v>7279</v>
      </c>
      <c r="C6182" s="4" t="s">
        <v>5640</v>
      </c>
      <c r="D6182" s="4" t="s">
        <v>8343</v>
      </c>
      <c r="E6182" s="5">
        <v>26.2045343998207</v>
      </c>
    </row>
    <row r="6183" ht="14.25" customHeight="1">
      <c r="A6183" s="4"/>
      <c r="B6183" s="4" t="s">
        <v>7279</v>
      </c>
      <c r="C6183" s="4" t="s">
        <v>4382</v>
      </c>
      <c r="D6183" s="4" t="s">
        <v>8344</v>
      </c>
      <c r="E6183" s="5">
        <v>10.438427999930699</v>
      </c>
    </row>
    <row r="6184" ht="14.25" customHeight="1">
      <c r="A6184" s="4"/>
      <c r="B6184" s="4" t="s">
        <v>7279</v>
      </c>
      <c r="C6184" s="4" t="s">
        <v>2287</v>
      </c>
      <c r="D6184" s="4" t="s">
        <v>8345</v>
      </c>
      <c r="E6184" s="5">
        <v>56.2153973167852</v>
      </c>
    </row>
    <row r="6185" ht="14.25" customHeight="1">
      <c r="A6185" s="4"/>
      <c r="B6185" s="4" t="s">
        <v>7279</v>
      </c>
      <c r="C6185" s="4" t="s">
        <v>2592</v>
      </c>
      <c r="D6185" s="4" t="s">
        <v>8346</v>
      </c>
      <c r="E6185" s="5">
        <v>8.84169739925768</v>
      </c>
    </row>
    <row r="6186" ht="14.25" customHeight="1">
      <c r="A6186" s="4"/>
      <c r="B6186" s="4" t="s">
        <v>7279</v>
      </c>
      <c r="C6186" s="4" t="s">
        <v>662</v>
      </c>
      <c r="D6186" s="4" t="s">
        <v>7280</v>
      </c>
      <c r="E6186" s="5">
        <v>186.01196020749998</v>
      </c>
    </row>
    <row r="6187" ht="14.25" customHeight="1">
      <c r="A6187" s="4"/>
      <c r="B6187" s="4" t="s">
        <v>7279</v>
      </c>
      <c r="C6187" s="4" t="s">
        <v>3401</v>
      </c>
      <c r="D6187" s="4" t="s">
        <v>7291</v>
      </c>
      <c r="E6187" s="5">
        <v>9.30059801037504</v>
      </c>
    </row>
    <row r="6188" ht="14.25" customHeight="1">
      <c r="A6188" s="4"/>
      <c r="B6188" s="4" t="s">
        <v>7279</v>
      </c>
      <c r="C6188" s="4" t="s">
        <v>5220</v>
      </c>
      <c r="D6188" s="4" t="s">
        <v>8347</v>
      </c>
      <c r="E6188" s="5">
        <v>134.580544735774</v>
      </c>
    </row>
    <row r="6189" ht="14.25" customHeight="1">
      <c r="A6189" s="4"/>
      <c r="B6189" s="4" t="s">
        <v>7279</v>
      </c>
      <c r="C6189" s="4" t="s">
        <v>4284</v>
      </c>
      <c r="D6189" s="4" t="s">
        <v>7291</v>
      </c>
      <c r="E6189" s="5">
        <v>9.30059801037504</v>
      </c>
    </row>
    <row r="6190" ht="14.25" customHeight="1">
      <c r="A6190" s="4"/>
      <c r="B6190" s="4" t="s">
        <v>7279</v>
      </c>
      <c r="C6190" s="4" t="s">
        <v>8348</v>
      </c>
      <c r="D6190" s="4" t="s">
        <v>8349</v>
      </c>
      <c r="E6190" s="5">
        <v>146.743300622591</v>
      </c>
    </row>
    <row r="6191" ht="14.25" customHeight="1">
      <c r="A6191" s="4"/>
      <c r="B6191" s="4" t="s">
        <v>7279</v>
      </c>
      <c r="C6191" s="4" t="s">
        <v>5167</v>
      </c>
      <c r="D6191" s="4" t="s">
        <v>8350</v>
      </c>
      <c r="E6191" s="5">
        <v>9.67337295835765</v>
      </c>
    </row>
    <row r="6192" ht="14.25" customHeight="1">
      <c r="A6192" s="4"/>
      <c r="B6192" s="4" t="s">
        <v>7279</v>
      </c>
      <c r="C6192" s="4" t="s">
        <v>204</v>
      </c>
      <c r="D6192" s="4" t="s">
        <v>8351</v>
      </c>
      <c r="E6192" s="5">
        <v>138.371410189497</v>
      </c>
    </row>
    <row r="6193" ht="14.25" customHeight="1">
      <c r="A6193" s="4"/>
      <c r="B6193" s="4" t="s">
        <v>7279</v>
      </c>
      <c r="C6193" s="4" t="s">
        <v>8352</v>
      </c>
      <c r="D6193" s="4" t="s">
        <v>8353</v>
      </c>
      <c r="E6193" s="5">
        <v>12.0911500802653</v>
      </c>
    </row>
    <row r="6194" ht="14.25" customHeight="1">
      <c r="A6194" s="4"/>
      <c r="B6194" s="4" t="s">
        <v>7279</v>
      </c>
      <c r="C6194" s="4" t="s">
        <v>3983</v>
      </c>
      <c r="D6194" s="4" t="s">
        <v>8354</v>
      </c>
      <c r="E6194" s="5">
        <v>19.1813613620234</v>
      </c>
    </row>
    <row r="6195" ht="14.25" customHeight="1">
      <c r="A6195" s="4"/>
      <c r="B6195" s="4" t="s">
        <v>7279</v>
      </c>
      <c r="C6195" s="4" t="s">
        <v>4976</v>
      </c>
      <c r="D6195" s="4" t="s">
        <v>8355</v>
      </c>
      <c r="E6195" s="5">
        <v>4.762272953633089</v>
      </c>
    </row>
    <row r="6196" ht="14.25" customHeight="1">
      <c r="A6196" s="4"/>
      <c r="B6196" s="4" t="s">
        <v>7279</v>
      </c>
      <c r="C6196" s="4" t="s">
        <v>7185</v>
      </c>
      <c r="D6196" s="4" t="s">
        <v>7291</v>
      </c>
      <c r="E6196" s="5">
        <v>9.30059801037504</v>
      </c>
    </row>
    <row r="6197" ht="14.25" customHeight="1">
      <c r="A6197" s="4"/>
      <c r="B6197" s="4" t="s">
        <v>7279</v>
      </c>
      <c r="C6197" s="4" t="s">
        <v>367</v>
      </c>
      <c r="D6197" s="4" t="s">
        <v>7280</v>
      </c>
      <c r="E6197" s="5">
        <v>186.01196020749998</v>
      </c>
    </row>
    <row r="6198" ht="14.25" customHeight="1">
      <c r="A6198" s="4"/>
      <c r="B6198" s="4" t="s">
        <v>7279</v>
      </c>
      <c r="C6198" s="4" t="s">
        <v>3121</v>
      </c>
      <c r="D6198" s="4" t="s">
        <v>8356</v>
      </c>
      <c r="E6198" s="5">
        <v>39.756317389072095</v>
      </c>
    </row>
    <row r="6199" ht="14.25" customHeight="1">
      <c r="A6199" s="4"/>
      <c r="B6199" s="4" t="s">
        <v>7279</v>
      </c>
      <c r="C6199" s="4" t="s">
        <v>6571</v>
      </c>
      <c r="D6199" s="4" t="s">
        <v>8357</v>
      </c>
      <c r="E6199" s="5">
        <v>34.2967043429125</v>
      </c>
    </row>
    <row r="6200" ht="14.25" customHeight="1">
      <c r="A6200" s="4"/>
      <c r="B6200" s="4" t="s">
        <v>7279</v>
      </c>
      <c r="C6200" s="4" t="s">
        <v>6280</v>
      </c>
      <c r="D6200" s="4" t="s">
        <v>7284</v>
      </c>
      <c r="E6200" s="5">
        <v>65.1041860726253</v>
      </c>
    </row>
    <row r="6201" ht="14.25" customHeight="1">
      <c r="A6201" s="4"/>
      <c r="B6201" s="4" t="s">
        <v>7279</v>
      </c>
      <c r="C6201" s="4" t="s">
        <v>4346</v>
      </c>
      <c r="D6201" s="4" t="s">
        <v>8358</v>
      </c>
      <c r="E6201" s="5">
        <v>9.893072721376399</v>
      </c>
    </row>
    <row r="6202" ht="14.25" customHeight="1">
      <c r="A6202" s="4"/>
      <c r="B6202" s="4" t="s">
        <v>7279</v>
      </c>
      <c r="C6202" s="4" t="s">
        <v>8359</v>
      </c>
      <c r="D6202" s="4" t="s">
        <v>8030</v>
      </c>
      <c r="E6202" s="5">
        <v>12.0907774134875</v>
      </c>
    </row>
    <row r="6203" ht="14.25" customHeight="1">
      <c r="A6203" s="4"/>
      <c r="B6203" s="4" t="s">
        <v>7279</v>
      </c>
      <c r="C6203" s="4" t="s">
        <v>4445</v>
      </c>
      <c r="D6203" s="4" t="s">
        <v>7284</v>
      </c>
      <c r="E6203" s="5">
        <v>65.1041860726253</v>
      </c>
    </row>
    <row r="6204" ht="14.25" customHeight="1">
      <c r="A6204" s="4"/>
      <c r="B6204" s="4" t="s">
        <v>7279</v>
      </c>
      <c r="C6204" s="4" t="s">
        <v>6487</v>
      </c>
      <c r="D6204" s="4" t="s">
        <v>7280</v>
      </c>
      <c r="E6204" s="5">
        <v>186.01196020749998</v>
      </c>
    </row>
    <row r="6205" ht="14.25" customHeight="1">
      <c r="A6205" s="4"/>
      <c r="B6205" s="4" t="s">
        <v>7279</v>
      </c>
      <c r="C6205" s="4" t="s">
        <v>1048</v>
      </c>
      <c r="D6205" s="4" t="s">
        <v>7280</v>
      </c>
      <c r="E6205" s="5">
        <v>186.01196020749998</v>
      </c>
    </row>
    <row r="6206" ht="14.25" customHeight="1">
      <c r="A6206" s="4"/>
      <c r="B6206" s="4" t="s">
        <v>7279</v>
      </c>
      <c r="C6206" s="4" t="s">
        <v>5817</v>
      </c>
      <c r="D6206" s="4" t="s">
        <v>7280</v>
      </c>
      <c r="E6206" s="5">
        <v>186.01196020749998</v>
      </c>
    </row>
    <row r="6207" ht="14.25" customHeight="1">
      <c r="A6207" s="4"/>
      <c r="B6207" s="4" t="s">
        <v>7279</v>
      </c>
      <c r="C6207" s="4" t="s">
        <v>8360</v>
      </c>
      <c r="D6207" s="4" t="s">
        <v>8361</v>
      </c>
      <c r="E6207" s="5">
        <v>53.8517625276848</v>
      </c>
    </row>
    <row r="6208" ht="14.25" customHeight="1">
      <c r="A6208" s="4"/>
      <c r="B6208" s="4" t="s">
        <v>7279</v>
      </c>
      <c r="C6208" s="4" t="s">
        <v>31</v>
      </c>
      <c r="D6208" s="4" t="s">
        <v>7280</v>
      </c>
      <c r="E6208" s="5">
        <v>186.01196020749998</v>
      </c>
    </row>
    <row r="6209" ht="14.25" customHeight="1">
      <c r="A6209" s="4"/>
      <c r="B6209" s="4" t="s">
        <v>7279</v>
      </c>
      <c r="C6209" s="4" t="s">
        <v>4244</v>
      </c>
      <c r="D6209" s="4" t="s">
        <v>8362</v>
      </c>
      <c r="E6209" s="5">
        <v>16.8610541330089</v>
      </c>
    </row>
    <row r="6210" ht="14.25" customHeight="1">
      <c r="A6210" s="4"/>
      <c r="B6210" s="4" t="s">
        <v>7279</v>
      </c>
      <c r="C6210" s="4" t="s">
        <v>2581</v>
      </c>
      <c r="D6210" s="4" t="s">
        <v>8363</v>
      </c>
      <c r="E6210" s="5">
        <v>7.62649036850753</v>
      </c>
    </row>
    <row r="6211" ht="14.25" customHeight="1">
      <c r="A6211" s="4"/>
      <c r="B6211" s="4" t="s">
        <v>7279</v>
      </c>
      <c r="C6211" s="4" t="s">
        <v>1334</v>
      </c>
      <c r="D6211" s="4" t="s">
        <v>7280</v>
      </c>
      <c r="E6211" s="5">
        <v>186.01196020749998</v>
      </c>
    </row>
    <row r="6212" ht="14.25" customHeight="1">
      <c r="A6212" s="4"/>
      <c r="B6212" s="4" t="s">
        <v>7279</v>
      </c>
      <c r="C6212" s="4" t="s">
        <v>2375</v>
      </c>
      <c r="D6212" s="4" t="s">
        <v>7291</v>
      </c>
      <c r="E6212" s="5">
        <v>9.30059801037504</v>
      </c>
    </row>
    <row r="6213" ht="14.25" customHeight="1">
      <c r="A6213" s="4"/>
      <c r="B6213" s="4" t="s">
        <v>7279</v>
      </c>
      <c r="C6213" s="4" t="s">
        <v>5401</v>
      </c>
      <c r="D6213" s="4" t="s">
        <v>8364</v>
      </c>
      <c r="E6213" s="5">
        <v>105.2597904564</v>
      </c>
    </row>
    <row r="6214" ht="14.25" customHeight="1">
      <c r="A6214" s="4"/>
      <c r="B6214" s="4" t="s">
        <v>7279</v>
      </c>
      <c r="C6214" s="4" t="s">
        <v>5958</v>
      </c>
      <c r="D6214" s="4" t="s">
        <v>7377</v>
      </c>
      <c r="E6214" s="5">
        <v>46.5029900518752</v>
      </c>
    </row>
    <row r="6215" ht="14.25" customHeight="1">
      <c r="A6215" s="4"/>
      <c r="B6215" s="4" t="s">
        <v>7279</v>
      </c>
      <c r="C6215" s="4" t="s">
        <v>4117</v>
      </c>
      <c r="D6215" s="4" t="s">
        <v>8365</v>
      </c>
      <c r="E6215" s="5">
        <v>3.9928659932680697</v>
      </c>
    </row>
    <row r="6216" ht="14.25" customHeight="1">
      <c r="A6216" s="4"/>
      <c r="B6216" s="4" t="s">
        <v>7279</v>
      </c>
      <c r="C6216" s="4" t="s">
        <v>3659</v>
      </c>
      <c r="D6216" s="4" t="s">
        <v>8366</v>
      </c>
      <c r="E6216" s="5">
        <v>133.45878228862398</v>
      </c>
    </row>
    <row r="6217" ht="14.25" customHeight="1">
      <c r="A6217" s="4"/>
      <c r="B6217" s="4" t="s">
        <v>7279</v>
      </c>
      <c r="C6217" s="4" t="s">
        <v>8367</v>
      </c>
      <c r="D6217" s="4" t="s">
        <v>8368</v>
      </c>
      <c r="E6217" s="5">
        <v>111.79083395082101</v>
      </c>
    </row>
    <row r="6218" ht="14.25" customHeight="1">
      <c r="A6218" s="4"/>
      <c r="B6218" s="4" t="s">
        <v>7279</v>
      </c>
      <c r="C6218" s="4" t="s">
        <v>6013</v>
      </c>
      <c r="D6218" s="4" t="s">
        <v>7291</v>
      </c>
      <c r="E6218" s="5">
        <v>9.30059801037504</v>
      </c>
    </row>
    <row r="6219" ht="14.25" customHeight="1">
      <c r="A6219" s="4"/>
      <c r="B6219" s="4" t="s">
        <v>7279</v>
      </c>
      <c r="C6219" s="4" t="s">
        <v>6556</v>
      </c>
      <c r="D6219" s="4" t="s">
        <v>8369</v>
      </c>
      <c r="E6219" s="5">
        <v>152.518578957546</v>
      </c>
    </row>
    <row r="6220" ht="14.25" customHeight="1">
      <c r="A6220" s="4"/>
      <c r="B6220" s="4" t="s">
        <v>7279</v>
      </c>
      <c r="C6220" s="4" t="s">
        <v>1495</v>
      </c>
      <c r="D6220" s="4" t="s">
        <v>7280</v>
      </c>
      <c r="E6220" s="5">
        <v>186.01196020749998</v>
      </c>
    </row>
    <row r="6221" ht="14.25" customHeight="1">
      <c r="A6221" s="4"/>
      <c r="B6221" s="4" t="s">
        <v>7279</v>
      </c>
      <c r="C6221" s="4" t="s">
        <v>5190</v>
      </c>
      <c r="D6221" s="4" t="s">
        <v>8370</v>
      </c>
      <c r="E6221" s="5">
        <v>93.08331114875031</v>
      </c>
    </row>
    <row r="6222" ht="14.25" customHeight="1">
      <c r="A6222" s="4"/>
      <c r="B6222" s="4" t="s">
        <v>7279</v>
      </c>
      <c r="C6222" s="4" t="s">
        <v>5584</v>
      </c>
      <c r="D6222" s="4" t="s">
        <v>8371</v>
      </c>
      <c r="E6222" s="5">
        <v>25.9243919305414</v>
      </c>
    </row>
    <row r="6223" ht="14.25" customHeight="1">
      <c r="A6223" s="4"/>
      <c r="B6223" s="4" t="s">
        <v>7279</v>
      </c>
      <c r="C6223" s="4" t="s">
        <v>1969</v>
      </c>
      <c r="D6223" s="4" t="s">
        <v>8372</v>
      </c>
      <c r="E6223" s="5">
        <v>55.419365062306106</v>
      </c>
    </row>
    <row r="6224" ht="14.25" customHeight="1">
      <c r="A6224" s="4"/>
      <c r="B6224" s="4" t="s">
        <v>7279</v>
      </c>
      <c r="C6224" s="4" t="s">
        <v>7123</v>
      </c>
      <c r="D6224" s="4" t="s">
        <v>8373</v>
      </c>
      <c r="E6224" s="5">
        <v>9.024690305215021</v>
      </c>
    </row>
    <row r="6225" ht="14.25" customHeight="1">
      <c r="A6225" s="4"/>
      <c r="B6225" s="4" t="s">
        <v>7279</v>
      </c>
      <c r="C6225" s="4" t="s">
        <v>4585</v>
      </c>
      <c r="D6225" s="4" t="s">
        <v>7377</v>
      </c>
      <c r="E6225" s="5">
        <v>46.5029900518752</v>
      </c>
    </row>
    <row r="6226" ht="14.25" customHeight="1">
      <c r="A6226" s="4"/>
      <c r="B6226" s="4" t="s">
        <v>7279</v>
      </c>
      <c r="C6226" s="4" t="s">
        <v>2551</v>
      </c>
      <c r="D6226" s="4" t="s">
        <v>8374</v>
      </c>
      <c r="E6226" s="5">
        <v>7.711704751175789</v>
      </c>
    </row>
    <row r="6227" ht="14.25" customHeight="1">
      <c r="A6227" s="4"/>
      <c r="B6227" s="4" t="s">
        <v>7279</v>
      </c>
      <c r="C6227" s="4" t="s">
        <v>8375</v>
      </c>
      <c r="D6227" s="4" t="s">
        <v>8376</v>
      </c>
      <c r="E6227" s="5">
        <v>42.8725172738882</v>
      </c>
    </row>
    <row r="6228" ht="14.25" customHeight="1">
      <c r="A6228" s="4"/>
      <c r="B6228" s="4" t="s">
        <v>7279</v>
      </c>
      <c r="C6228" s="4" t="s">
        <v>8377</v>
      </c>
      <c r="D6228" s="4" t="s">
        <v>7280</v>
      </c>
      <c r="E6228" s="5">
        <v>186.01196020749998</v>
      </c>
    </row>
    <row r="6229" ht="14.25" customHeight="1">
      <c r="A6229" s="4"/>
      <c r="B6229" s="4" t="s">
        <v>7279</v>
      </c>
      <c r="C6229" s="4" t="s">
        <v>6511</v>
      </c>
      <c r="D6229" s="4" t="s">
        <v>8378</v>
      </c>
      <c r="E6229" s="5">
        <v>18.7767151714683</v>
      </c>
    </row>
    <row r="6230" ht="14.25" customHeight="1">
      <c r="A6230" s="4"/>
      <c r="B6230" s="4" t="s">
        <v>7279</v>
      </c>
      <c r="C6230" s="4" t="s">
        <v>6121</v>
      </c>
      <c r="D6230" s="4" t="s">
        <v>8379</v>
      </c>
      <c r="E6230" s="5">
        <v>93.1305514770527</v>
      </c>
    </row>
    <row r="6231" ht="14.25" customHeight="1">
      <c r="A6231" s="4"/>
      <c r="B6231" s="4" t="s">
        <v>7279</v>
      </c>
      <c r="C6231" s="4" t="s">
        <v>7220</v>
      </c>
      <c r="D6231" s="4" t="s">
        <v>8380</v>
      </c>
      <c r="E6231" s="5">
        <v>70.677774623112</v>
      </c>
    </row>
    <row r="6232" ht="14.25" customHeight="1">
      <c r="A6232" s="4"/>
      <c r="B6232" s="4" t="s">
        <v>7279</v>
      </c>
      <c r="C6232" s="4" t="s">
        <v>4687</v>
      </c>
      <c r="D6232" s="4" t="s">
        <v>8381</v>
      </c>
      <c r="E6232" s="5">
        <v>134.097530180815</v>
      </c>
    </row>
    <row r="6233" ht="14.25" customHeight="1">
      <c r="A6233" s="4"/>
      <c r="B6233" s="4" t="s">
        <v>7279</v>
      </c>
      <c r="C6233" s="4" t="s">
        <v>1954</v>
      </c>
      <c r="D6233" s="4" t="s">
        <v>8382</v>
      </c>
      <c r="E6233" s="5">
        <v>9.928643287981691</v>
      </c>
    </row>
    <row r="6234" ht="14.25" customHeight="1">
      <c r="A6234" s="4"/>
      <c r="B6234" s="4" t="s">
        <v>7279</v>
      </c>
      <c r="C6234" s="4" t="s">
        <v>8383</v>
      </c>
      <c r="D6234" s="4" t="s">
        <v>8384</v>
      </c>
      <c r="E6234" s="5">
        <v>73.9303029287372</v>
      </c>
    </row>
    <row r="6235" ht="14.25" customHeight="1">
      <c r="A6235" s="4"/>
      <c r="B6235" s="4" t="s">
        <v>7279</v>
      </c>
      <c r="C6235" s="4" t="s">
        <v>5704</v>
      </c>
      <c r="D6235" s="4" t="s">
        <v>8385</v>
      </c>
      <c r="E6235" s="5">
        <v>47.4367012490903</v>
      </c>
    </row>
    <row r="6236" ht="14.25" customHeight="1">
      <c r="A6236" s="4"/>
      <c r="B6236" s="4" t="s">
        <v>7279</v>
      </c>
      <c r="C6236" s="4" t="s">
        <v>8386</v>
      </c>
      <c r="D6236" s="4" t="s">
        <v>7433</v>
      </c>
      <c r="E6236" s="5">
        <v>18.60119602075</v>
      </c>
    </row>
    <row r="6237" ht="14.25" customHeight="1">
      <c r="A6237" s="4"/>
      <c r="B6237" s="4" t="s">
        <v>7279</v>
      </c>
      <c r="C6237" s="4" t="s">
        <v>6792</v>
      </c>
      <c r="D6237" s="4" t="s">
        <v>8387</v>
      </c>
      <c r="E6237" s="5">
        <v>45.57293025083769</v>
      </c>
    </row>
    <row r="6238" ht="14.25" customHeight="1">
      <c r="A6238" s="4"/>
      <c r="B6238" s="4" t="s">
        <v>7279</v>
      </c>
      <c r="C6238" s="4" t="s">
        <v>8388</v>
      </c>
      <c r="D6238" s="4" t="s">
        <v>8389</v>
      </c>
      <c r="E6238" s="5">
        <v>27.715782070917598</v>
      </c>
    </row>
    <row r="6239" ht="14.25" customHeight="1">
      <c r="A6239" s="4"/>
      <c r="B6239" s="4" t="s">
        <v>7279</v>
      </c>
      <c r="C6239" s="4" t="s">
        <v>4380</v>
      </c>
      <c r="D6239" s="4" t="s">
        <v>7675</v>
      </c>
      <c r="E6239" s="5">
        <v>27.9017940311251</v>
      </c>
    </row>
    <row r="6240" ht="14.25" customHeight="1">
      <c r="A6240" s="4"/>
      <c r="B6240" s="4" t="s">
        <v>7279</v>
      </c>
      <c r="C6240" s="4" t="s">
        <v>390</v>
      </c>
      <c r="D6240" s="4" t="s">
        <v>7280</v>
      </c>
      <c r="E6240" s="5">
        <v>186.01196020749998</v>
      </c>
    </row>
    <row r="6241" ht="14.25" customHeight="1">
      <c r="A6241" s="4"/>
      <c r="B6241" s="4" t="s">
        <v>7279</v>
      </c>
      <c r="C6241" s="4" t="s">
        <v>252</v>
      </c>
      <c r="D6241" s="4" t="s">
        <v>7280</v>
      </c>
      <c r="E6241" s="5">
        <v>186.01196020749998</v>
      </c>
    </row>
    <row r="6242" ht="14.25" customHeight="1">
      <c r="A6242" s="4"/>
      <c r="B6242" s="4" t="s">
        <v>7279</v>
      </c>
      <c r="C6242" s="4" t="s">
        <v>2070</v>
      </c>
      <c r="D6242" s="4" t="s">
        <v>8390</v>
      </c>
      <c r="E6242" s="5">
        <v>102.32443526230499</v>
      </c>
    </row>
    <row r="6243" ht="14.25" customHeight="1">
      <c r="A6243" s="4"/>
      <c r="B6243" s="4" t="s">
        <v>7279</v>
      </c>
      <c r="C6243" s="4" t="s">
        <v>5440</v>
      </c>
      <c r="D6243" s="4" t="s">
        <v>7284</v>
      </c>
      <c r="E6243" s="5">
        <v>65.1041860726253</v>
      </c>
    </row>
    <row r="6244" ht="14.25" customHeight="1">
      <c r="A6244" s="4"/>
      <c r="B6244" s="4" t="s">
        <v>7279</v>
      </c>
      <c r="C6244" s="4" t="s">
        <v>6235</v>
      </c>
      <c r="D6244" s="4" t="s">
        <v>8391</v>
      </c>
      <c r="E6244" s="5">
        <v>57.2484514257782</v>
      </c>
    </row>
    <row r="6245" ht="14.25" customHeight="1">
      <c r="A6245" s="4"/>
      <c r="B6245" s="4" t="s">
        <v>7279</v>
      </c>
      <c r="C6245" s="4" t="s">
        <v>8392</v>
      </c>
      <c r="D6245" s="4" t="s">
        <v>8393</v>
      </c>
      <c r="E6245" s="5">
        <v>80.8978425519693</v>
      </c>
    </row>
    <row r="6246" ht="14.25" customHeight="1">
      <c r="A6246" s="4"/>
      <c r="B6246" s="4" t="s">
        <v>7279</v>
      </c>
      <c r="C6246" s="4" t="s">
        <v>6034</v>
      </c>
      <c r="D6246" s="4" t="s">
        <v>8394</v>
      </c>
      <c r="E6246" s="5">
        <v>62.686030589927704</v>
      </c>
    </row>
    <row r="6247" ht="14.25" customHeight="1">
      <c r="A6247" s="4"/>
      <c r="B6247" s="4" t="s">
        <v>7279</v>
      </c>
      <c r="C6247" s="4" t="s">
        <v>352</v>
      </c>
      <c r="D6247" s="4" t="s">
        <v>8395</v>
      </c>
      <c r="E6247" s="5">
        <v>79.2514385078232</v>
      </c>
    </row>
    <row r="6248" ht="14.25" customHeight="1">
      <c r="A6248" s="4"/>
      <c r="B6248" s="4" t="s">
        <v>7279</v>
      </c>
      <c r="C6248" s="4" t="s">
        <v>8396</v>
      </c>
      <c r="D6248" s="4" t="s">
        <v>8397</v>
      </c>
      <c r="E6248" s="5">
        <v>93.27721239330339</v>
      </c>
    </row>
    <row r="6249" ht="14.25" customHeight="1">
      <c r="A6249" s="4"/>
      <c r="B6249" s="4" t="s">
        <v>7279</v>
      </c>
      <c r="C6249" s="4" t="s">
        <v>2284</v>
      </c>
      <c r="D6249" s="4" t="s">
        <v>8398</v>
      </c>
      <c r="E6249" s="5">
        <v>74.4728013212805</v>
      </c>
    </row>
    <row r="6250" ht="14.25" customHeight="1">
      <c r="A6250" s="4"/>
      <c r="B6250" s="4" t="s">
        <v>7279</v>
      </c>
      <c r="C6250" s="4" t="s">
        <v>8399</v>
      </c>
      <c r="D6250" s="4" t="s">
        <v>8400</v>
      </c>
      <c r="E6250" s="5">
        <v>62.7952851189596</v>
      </c>
    </row>
    <row r="6251" ht="14.25" customHeight="1">
      <c r="A6251" s="4"/>
      <c r="B6251" s="4" t="s">
        <v>7279</v>
      </c>
      <c r="C6251" s="4" t="s">
        <v>8401</v>
      </c>
      <c r="D6251" s="4" t="s">
        <v>8402</v>
      </c>
      <c r="E6251" s="5">
        <v>31.0875278177676</v>
      </c>
    </row>
    <row r="6252" ht="14.25" customHeight="1">
      <c r="A6252" s="4"/>
      <c r="B6252" s="4" t="s">
        <v>7279</v>
      </c>
      <c r="C6252" s="4" t="s">
        <v>2537</v>
      </c>
      <c r="D6252" s="4" t="s">
        <v>8403</v>
      </c>
      <c r="E6252" s="5">
        <v>120.386452250873</v>
      </c>
    </row>
    <row r="6253" ht="14.25" customHeight="1">
      <c r="A6253" s="4"/>
      <c r="B6253" s="4" t="s">
        <v>7279</v>
      </c>
      <c r="C6253" s="4" t="s">
        <v>8404</v>
      </c>
      <c r="D6253" s="4" t="s">
        <v>7305</v>
      </c>
      <c r="E6253" s="5">
        <v>55.8035880622502</v>
      </c>
    </row>
    <row r="6254" ht="14.25" customHeight="1">
      <c r="A6254" s="4"/>
      <c r="B6254" s="4" t="s">
        <v>7279</v>
      </c>
      <c r="C6254" s="4" t="s">
        <v>8405</v>
      </c>
      <c r="D6254" s="4" t="s">
        <v>8406</v>
      </c>
      <c r="E6254" s="5">
        <v>93.2190859162936</v>
      </c>
    </row>
    <row r="6255" ht="14.25" customHeight="1">
      <c r="A6255" s="4"/>
      <c r="B6255" s="4" t="s">
        <v>7279</v>
      </c>
      <c r="C6255" s="4" t="s">
        <v>5638</v>
      </c>
      <c r="D6255" s="4" t="s">
        <v>8407</v>
      </c>
      <c r="E6255" s="5">
        <v>88.497675647006</v>
      </c>
    </row>
    <row r="6256" ht="14.25" customHeight="1">
      <c r="A6256" s="4"/>
      <c r="B6256" s="4" t="s">
        <v>7279</v>
      </c>
      <c r="C6256" s="4" t="s">
        <v>2003</v>
      </c>
      <c r="D6256" s="4" t="s">
        <v>8408</v>
      </c>
      <c r="E6256" s="5">
        <v>7.049680092888201</v>
      </c>
    </row>
    <row r="6257" ht="14.25" customHeight="1">
      <c r="A6257" s="4"/>
      <c r="B6257" s="4" t="s">
        <v>7279</v>
      </c>
      <c r="C6257" s="4" t="s">
        <v>8409</v>
      </c>
      <c r="D6257" s="4" t="s">
        <v>8410</v>
      </c>
      <c r="E6257" s="5">
        <v>21.5024848768104</v>
      </c>
    </row>
    <row r="6258" ht="14.25" customHeight="1">
      <c r="A6258" s="4"/>
      <c r="B6258" s="4" t="s">
        <v>7279</v>
      </c>
      <c r="C6258" s="4" t="s">
        <v>6250</v>
      </c>
      <c r="D6258" s="4" t="s">
        <v>8411</v>
      </c>
      <c r="E6258" s="5">
        <v>6.43756607795023</v>
      </c>
    </row>
    <row r="6259" ht="14.25" customHeight="1">
      <c r="A6259" s="4"/>
      <c r="B6259" s="4" t="s">
        <v>7279</v>
      </c>
      <c r="C6259" s="4" t="s">
        <v>8412</v>
      </c>
      <c r="D6259" s="4" t="s">
        <v>8413</v>
      </c>
      <c r="E6259" s="5">
        <v>45.865657663426006</v>
      </c>
    </row>
    <row r="6260" ht="14.25" customHeight="1">
      <c r="A6260" s="4"/>
      <c r="B6260" s="4" t="s">
        <v>7279</v>
      </c>
      <c r="C6260" s="4" t="s">
        <v>8414</v>
      </c>
      <c r="D6260" s="4" t="s">
        <v>7280</v>
      </c>
      <c r="E6260" s="5">
        <v>186.01196020749998</v>
      </c>
    </row>
    <row r="6261" ht="14.25" customHeight="1">
      <c r="A6261" s="4"/>
      <c r="B6261" s="4" t="s">
        <v>7279</v>
      </c>
      <c r="C6261" s="4" t="s">
        <v>655</v>
      </c>
      <c r="D6261" s="4" t="s">
        <v>8415</v>
      </c>
      <c r="E6261" s="5">
        <v>175.037254555258</v>
      </c>
    </row>
    <row r="6262" ht="14.25" customHeight="1">
      <c r="A6262" s="4"/>
      <c r="B6262" s="4" t="s">
        <v>7279</v>
      </c>
      <c r="C6262" s="4" t="s">
        <v>5042</v>
      </c>
      <c r="D6262" s="4" t="s">
        <v>7606</v>
      </c>
      <c r="E6262" s="5">
        <v>37.2023920415001</v>
      </c>
    </row>
    <row r="6263" ht="14.25" customHeight="1">
      <c r="A6263" s="4"/>
      <c r="B6263" s="4" t="s">
        <v>7279</v>
      </c>
      <c r="C6263" s="4" t="s">
        <v>2521</v>
      </c>
      <c r="D6263" s="4" t="s">
        <v>8416</v>
      </c>
      <c r="E6263" s="5">
        <v>21.465420961000703</v>
      </c>
    </row>
    <row r="6264" ht="14.25" customHeight="1">
      <c r="A6264" s="4"/>
      <c r="B6264" s="4" t="s">
        <v>7279</v>
      </c>
      <c r="C6264" s="4" t="s">
        <v>5874</v>
      </c>
      <c r="D6264" s="4" t="s">
        <v>8417</v>
      </c>
      <c r="E6264" s="5">
        <v>31.551034798747597</v>
      </c>
    </row>
    <row r="6265" ht="14.25" customHeight="1">
      <c r="A6265" s="4"/>
      <c r="B6265" s="4" t="s">
        <v>7279</v>
      </c>
      <c r="C6265" s="4" t="s">
        <v>6617</v>
      </c>
      <c r="D6265" s="4" t="s">
        <v>8418</v>
      </c>
      <c r="E6265" s="5">
        <v>148.809129070073</v>
      </c>
    </row>
    <row r="6266" ht="14.25" customHeight="1">
      <c r="A6266" s="4"/>
      <c r="B6266" s="4" t="s">
        <v>7279</v>
      </c>
      <c r="C6266" s="4" t="s">
        <v>2248</v>
      </c>
      <c r="D6266" s="4" t="s">
        <v>8419</v>
      </c>
      <c r="E6266" s="5">
        <v>47.0610259324977</v>
      </c>
    </row>
    <row r="6267" ht="14.25" customHeight="1">
      <c r="A6267" s="4"/>
      <c r="B6267" s="4" t="s">
        <v>7279</v>
      </c>
      <c r="C6267" s="4" t="s">
        <v>8420</v>
      </c>
      <c r="D6267" s="4" t="s">
        <v>8421</v>
      </c>
      <c r="E6267" s="5">
        <v>21.2099330797865</v>
      </c>
    </row>
    <row r="6268" ht="14.25" customHeight="1">
      <c r="A6268" s="4"/>
      <c r="B6268" s="4" t="s">
        <v>7279</v>
      </c>
      <c r="C6268" s="4" t="s">
        <v>8422</v>
      </c>
      <c r="D6268" s="4" t="s">
        <v>7280</v>
      </c>
      <c r="E6268" s="5">
        <v>186.01196020749998</v>
      </c>
    </row>
    <row r="6269" ht="14.25" customHeight="1">
      <c r="A6269" s="4"/>
      <c r="B6269" s="4" t="s">
        <v>7279</v>
      </c>
      <c r="C6269" s="4" t="s">
        <v>3668</v>
      </c>
      <c r="D6269" s="4" t="s">
        <v>7280</v>
      </c>
      <c r="E6269" s="5">
        <v>186.01196020749998</v>
      </c>
    </row>
    <row r="6270" ht="14.25" customHeight="1">
      <c r="A6270" s="4"/>
      <c r="B6270" s="4" t="s">
        <v>7279</v>
      </c>
      <c r="C6270" s="4" t="s">
        <v>2986</v>
      </c>
      <c r="D6270" s="4" t="s">
        <v>7280</v>
      </c>
      <c r="E6270" s="5">
        <v>186.01196020749998</v>
      </c>
    </row>
    <row r="6271" ht="14.25" customHeight="1">
      <c r="A6271" s="4"/>
      <c r="B6271" s="4" t="s">
        <v>7279</v>
      </c>
      <c r="C6271" s="4" t="s">
        <v>3987</v>
      </c>
      <c r="D6271" s="4" t="s">
        <v>7280</v>
      </c>
      <c r="E6271" s="5">
        <v>186.01196020749998</v>
      </c>
    </row>
    <row r="6272" ht="14.25" customHeight="1">
      <c r="A6272" s="4"/>
      <c r="B6272" s="4" t="s">
        <v>7279</v>
      </c>
      <c r="C6272" s="4" t="s">
        <v>8423</v>
      </c>
      <c r="D6272" s="4" t="s">
        <v>8424</v>
      </c>
      <c r="E6272" s="5">
        <v>33.8295719826706</v>
      </c>
    </row>
    <row r="6273" ht="14.25" customHeight="1">
      <c r="A6273" s="4"/>
      <c r="B6273" s="4" t="s">
        <v>7279</v>
      </c>
      <c r="C6273" s="4" t="s">
        <v>1858</v>
      </c>
      <c r="D6273" s="4" t="s">
        <v>8425</v>
      </c>
      <c r="E6273" s="5">
        <v>126.70193470248499</v>
      </c>
    </row>
    <row r="6274" ht="14.25" customHeight="1">
      <c r="A6274" s="4"/>
      <c r="B6274" s="4" t="s">
        <v>7279</v>
      </c>
      <c r="C6274" s="4" t="s">
        <v>2036</v>
      </c>
      <c r="D6274" s="4" t="s">
        <v>7291</v>
      </c>
      <c r="E6274" s="5">
        <v>9.30059801037504</v>
      </c>
    </row>
    <row r="6275" ht="14.25" customHeight="1">
      <c r="A6275" s="4"/>
      <c r="B6275" s="4" t="s">
        <v>7279</v>
      </c>
      <c r="C6275" s="4" t="s">
        <v>5473</v>
      </c>
      <c r="D6275" s="4" t="s">
        <v>7291</v>
      </c>
      <c r="E6275" s="5">
        <v>9.30059801037504</v>
      </c>
    </row>
    <row r="6276" ht="14.25" customHeight="1">
      <c r="A6276" s="4"/>
      <c r="B6276" s="4" t="s">
        <v>7279</v>
      </c>
      <c r="C6276" s="4" t="s">
        <v>5735</v>
      </c>
      <c r="D6276" s="4" t="s">
        <v>7280</v>
      </c>
      <c r="E6276" s="5">
        <v>186.01196020749998</v>
      </c>
    </row>
    <row r="6277" ht="14.25" customHeight="1">
      <c r="A6277" s="4"/>
      <c r="B6277" s="4" t="s">
        <v>7279</v>
      </c>
      <c r="C6277" s="4" t="s">
        <v>3287</v>
      </c>
      <c r="D6277" s="4" t="s">
        <v>7291</v>
      </c>
      <c r="E6277" s="5">
        <v>9.30059801037504</v>
      </c>
    </row>
    <row r="6278" ht="14.25" customHeight="1">
      <c r="A6278" s="4"/>
      <c r="B6278" s="4" t="s">
        <v>7279</v>
      </c>
      <c r="C6278" s="4" t="s">
        <v>8426</v>
      </c>
      <c r="D6278" s="4" t="s">
        <v>7305</v>
      </c>
      <c r="E6278" s="5">
        <v>55.8035880622502</v>
      </c>
    </row>
    <row r="6279" ht="14.25" customHeight="1">
      <c r="A6279" s="4"/>
      <c r="B6279" s="4" t="s">
        <v>7279</v>
      </c>
      <c r="C6279" s="4" t="s">
        <v>2663</v>
      </c>
      <c r="D6279" s="4" t="s">
        <v>7280</v>
      </c>
      <c r="E6279" s="5">
        <v>186.01196020749998</v>
      </c>
    </row>
    <row r="6280" ht="14.25" customHeight="1">
      <c r="A6280" s="4"/>
      <c r="B6280" s="4" t="s">
        <v>7279</v>
      </c>
      <c r="C6280" s="4" t="s">
        <v>1358</v>
      </c>
      <c r="D6280" s="4" t="s">
        <v>7280</v>
      </c>
      <c r="E6280" s="5">
        <v>186.01196020749998</v>
      </c>
    </row>
    <row r="6281" ht="14.25" customHeight="1">
      <c r="A6281" s="4"/>
      <c r="B6281" s="4" t="s">
        <v>7279</v>
      </c>
      <c r="C6281" s="4" t="s">
        <v>8427</v>
      </c>
      <c r="D6281" s="4" t="s">
        <v>8428</v>
      </c>
      <c r="E6281" s="5">
        <v>37.218074209307</v>
      </c>
    </row>
    <row r="6282" ht="14.25" customHeight="1">
      <c r="A6282" s="4"/>
      <c r="B6282" s="4" t="s">
        <v>7279</v>
      </c>
      <c r="C6282" s="4" t="s">
        <v>5196</v>
      </c>
      <c r="D6282" s="4" t="s">
        <v>7606</v>
      </c>
      <c r="E6282" s="5">
        <v>37.2023920415001</v>
      </c>
    </row>
    <row r="6283" ht="14.25" customHeight="1">
      <c r="A6283" s="4"/>
      <c r="B6283" s="4" t="s">
        <v>7279</v>
      </c>
      <c r="C6283" s="4" t="s">
        <v>3614</v>
      </c>
      <c r="D6283" s="4" t="s">
        <v>8429</v>
      </c>
      <c r="E6283" s="5">
        <v>35.901159322864004</v>
      </c>
    </row>
    <row r="6284" ht="14.25" customHeight="1">
      <c r="A6284" s="4"/>
      <c r="B6284" s="4" t="s">
        <v>7279</v>
      </c>
      <c r="C6284" s="4" t="s">
        <v>699</v>
      </c>
      <c r="D6284" s="4" t="s">
        <v>8430</v>
      </c>
      <c r="E6284" s="5">
        <v>183.43023212635998</v>
      </c>
    </row>
    <row r="6285" ht="14.25" customHeight="1">
      <c r="A6285" s="4"/>
      <c r="B6285" s="4" t="s">
        <v>7279</v>
      </c>
      <c r="C6285" s="4" t="s">
        <v>558</v>
      </c>
      <c r="D6285" s="4" t="s">
        <v>7280</v>
      </c>
      <c r="E6285" s="5">
        <v>186.01196020749998</v>
      </c>
    </row>
    <row r="6286" ht="14.25" customHeight="1">
      <c r="A6286" s="4"/>
      <c r="B6286" s="4" t="s">
        <v>7279</v>
      </c>
      <c r="C6286" s="4" t="s">
        <v>2278</v>
      </c>
      <c r="D6286" s="4" t="s">
        <v>7280</v>
      </c>
      <c r="E6286" s="5">
        <v>186.01196020749998</v>
      </c>
    </row>
    <row r="6287" ht="14.25" customHeight="1">
      <c r="A6287" s="4"/>
      <c r="B6287" s="4" t="s">
        <v>7279</v>
      </c>
      <c r="C6287" s="4" t="s">
        <v>6917</v>
      </c>
      <c r="D6287" s="4" t="s">
        <v>7675</v>
      </c>
      <c r="E6287" s="5">
        <v>27.9017940311251</v>
      </c>
    </row>
    <row r="6288" ht="14.25" customHeight="1">
      <c r="A6288" s="4"/>
      <c r="B6288" s="4" t="s">
        <v>7279</v>
      </c>
      <c r="C6288" s="4" t="s">
        <v>6348</v>
      </c>
      <c r="D6288" s="4" t="s">
        <v>7280</v>
      </c>
      <c r="E6288" s="5">
        <v>186.01196020749998</v>
      </c>
    </row>
    <row r="6289" ht="14.25" customHeight="1">
      <c r="A6289" s="4"/>
      <c r="B6289" s="4" t="s">
        <v>7279</v>
      </c>
      <c r="C6289" s="4" t="s">
        <v>2983</v>
      </c>
      <c r="D6289" s="4" t="s">
        <v>8431</v>
      </c>
      <c r="E6289" s="5">
        <v>18.6936773928105</v>
      </c>
    </row>
    <row r="6290" ht="14.25" customHeight="1">
      <c r="A6290" s="4"/>
      <c r="B6290" s="4" t="s">
        <v>7279</v>
      </c>
      <c r="C6290" s="4" t="s">
        <v>598</v>
      </c>
      <c r="D6290" s="4" t="s">
        <v>8432</v>
      </c>
      <c r="E6290" s="5">
        <v>158.624137524236</v>
      </c>
    </row>
    <row r="6291" ht="14.25" customHeight="1">
      <c r="A6291" s="4"/>
      <c r="B6291" s="4" t="s">
        <v>7279</v>
      </c>
      <c r="C6291" s="4" t="s">
        <v>4655</v>
      </c>
      <c r="D6291" s="4" t="s">
        <v>8433</v>
      </c>
      <c r="E6291" s="5">
        <v>59.8748646494957</v>
      </c>
    </row>
    <row r="6292" ht="14.25" customHeight="1">
      <c r="A6292" s="4"/>
      <c r="B6292" s="4" t="s">
        <v>7279</v>
      </c>
      <c r="C6292" s="4" t="s">
        <v>6390</v>
      </c>
      <c r="D6292" s="4" t="s">
        <v>8434</v>
      </c>
      <c r="E6292" s="5">
        <v>11.6289863917244</v>
      </c>
    </row>
    <row r="6293" ht="14.25" customHeight="1">
      <c r="A6293" s="4"/>
      <c r="B6293" s="4" t="s">
        <v>7279</v>
      </c>
      <c r="C6293" s="4" t="s">
        <v>163</v>
      </c>
      <c r="D6293" s="4" t="s">
        <v>7280</v>
      </c>
      <c r="E6293" s="5">
        <v>186.01196020749998</v>
      </c>
    </row>
    <row r="6294" ht="14.25" customHeight="1">
      <c r="A6294" s="4"/>
      <c r="B6294" s="4" t="s">
        <v>7279</v>
      </c>
      <c r="C6294" s="4" t="s">
        <v>942</v>
      </c>
      <c r="D6294" s="4" t="s">
        <v>7280</v>
      </c>
      <c r="E6294" s="5">
        <v>186.01196020749998</v>
      </c>
    </row>
    <row r="6295" ht="14.25" customHeight="1">
      <c r="A6295" s="4"/>
      <c r="B6295" s="4" t="s">
        <v>7279</v>
      </c>
      <c r="C6295" s="4" t="s">
        <v>6522</v>
      </c>
      <c r="D6295" s="4" t="s">
        <v>8435</v>
      </c>
      <c r="E6295" s="5">
        <v>6.27537176563797</v>
      </c>
    </row>
    <row r="6296" ht="14.25" customHeight="1">
      <c r="A6296" s="4"/>
      <c r="B6296" s="4" t="s">
        <v>7279</v>
      </c>
      <c r="C6296" s="4" t="s">
        <v>2780</v>
      </c>
      <c r="D6296" s="4" t="s">
        <v>7280</v>
      </c>
      <c r="E6296" s="5">
        <v>186.01196020749998</v>
      </c>
    </row>
    <row r="6297" ht="14.25" customHeight="1">
      <c r="A6297" s="4"/>
      <c r="B6297" s="4" t="s">
        <v>7279</v>
      </c>
      <c r="C6297" s="4" t="s">
        <v>8436</v>
      </c>
      <c r="D6297" s="4" t="s">
        <v>7280</v>
      </c>
      <c r="E6297" s="5">
        <v>186.01196020749998</v>
      </c>
    </row>
    <row r="6298" ht="14.25" customHeight="1">
      <c r="A6298" s="4"/>
      <c r="B6298" s="4" t="s">
        <v>7279</v>
      </c>
      <c r="C6298" s="4" t="s">
        <v>8437</v>
      </c>
      <c r="D6298" s="4" t="s">
        <v>8438</v>
      </c>
      <c r="E6298" s="5">
        <v>167.53781035557202</v>
      </c>
    </row>
    <row r="6299" ht="14.25" customHeight="1">
      <c r="A6299" s="4"/>
      <c r="B6299" s="4" t="s">
        <v>7279</v>
      </c>
      <c r="C6299" s="4" t="s">
        <v>4787</v>
      </c>
      <c r="D6299" s="4" t="s">
        <v>8439</v>
      </c>
      <c r="E6299" s="5">
        <v>1.9738547110763</v>
      </c>
    </row>
    <row r="6300" ht="14.25" customHeight="1">
      <c r="A6300" s="4"/>
      <c r="B6300" s="4" t="s">
        <v>7279</v>
      </c>
      <c r="C6300" s="4" t="s">
        <v>895</v>
      </c>
      <c r="D6300" s="4" t="s">
        <v>8440</v>
      </c>
      <c r="E6300" s="5">
        <v>61.972341011770304</v>
      </c>
    </row>
    <row r="6301" ht="14.25" customHeight="1">
      <c r="A6301" s="4"/>
      <c r="B6301" s="4" t="s">
        <v>7279</v>
      </c>
      <c r="C6301" s="4" t="s">
        <v>3325</v>
      </c>
      <c r="D6301" s="4" t="s">
        <v>8441</v>
      </c>
      <c r="E6301" s="5">
        <v>8.56382158744075</v>
      </c>
    </row>
    <row r="6302" ht="14.25" customHeight="1">
      <c r="A6302" s="4"/>
      <c r="B6302" s="4" t="s">
        <v>7279</v>
      </c>
      <c r="C6302" s="4" t="s">
        <v>6870</v>
      </c>
      <c r="D6302" s="4" t="s">
        <v>8442</v>
      </c>
      <c r="E6302" s="5">
        <v>70.4213333804853</v>
      </c>
    </row>
    <row r="6303" ht="14.25" customHeight="1">
      <c r="A6303" s="4"/>
      <c r="B6303" s="4" t="s">
        <v>7279</v>
      </c>
      <c r="C6303" s="4" t="s">
        <v>6938</v>
      </c>
      <c r="D6303" s="4" t="s">
        <v>8443</v>
      </c>
      <c r="E6303" s="5">
        <v>46.2894896261776</v>
      </c>
    </row>
    <row r="6304" ht="14.25" customHeight="1">
      <c r="A6304" s="4"/>
      <c r="B6304" s="4" t="s">
        <v>7279</v>
      </c>
      <c r="C6304" s="4" t="s">
        <v>3187</v>
      </c>
      <c r="D6304" s="4" t="s">
        <v>7284</v>
      </c>
      <c r="E6304" s="5">
        <v>65.1041860726253</v>
      </c>
    </row>
    <row r="6305" ht="14.25" customHeight="1">
      <c r="A6305" s="4"/>
      <c r="B6305" s="4" t="s">
        <v>7279</v>
      </c>
      <c r="C6305" s="4" t="s">
        <v>6476</v>
      </c>
      <c r="D6305" s="4" t="s">
        <v>7333</v>
      </c>
      <c r="E6305" s="5">
        <v>111.6071761245</v>
      </c>
    </row>
    <row r="6306" ht="14.25" customHeight="1">
      <c r="A6306" s="4"/>
      <c r="B6306" s="4" t="s">
        <v>7279</v>
      </c>
      <c r="C6306" s="4" t="s">
        <v>1121</v>
      </c>
      <c r="D6306" s="4" t="s">
        <v>7280</v>
      </c>
      <c r="E6306" s="5">
        <v>186.01196020749998</v>
      </c>
    </row>
    <row r="6307" ht="14.25" customHeight="1">
      <c r="A6307" s="4"/>
      <c r="B6307" s="4" t="s">
        <v>7279</v>
      </c>
      <c r="C6307" s="4" t="s">
        <v>501</v>
      </c>
      <c r="D6307" s="4" t="s">
        <v>8444</v>
      </c>
      <c r="E6307" s="5">
        <v>176.00444796492</v>
      </c>
    </row>
    <row r="6308" ht="14.25" customHeight="1">
      <c r="A6308" s="4"/>
      <c r="B6308" s="4" t="s">
        <v>7279</v>
      </c>
      <c r="C6308" s="4" t="s">
        <v>2031</v>
      </c>
      <c r="D6308" s="4" t="s">
        <v>8445</v>
      </c>
      <c r="E6308" s="5">
        <v>32.9278162976478</v>
      </c>
    </row>
    <row r="6309" ht="14.25" customHeight="1">
      <c r="A6309" s="4"/>
      <c r="B6309" s="4" t="s">
        <v>7279</v>
      </c>
      <c r="C6309" s="4" t="s">
        <v>2830</v>
      </c>
      <c r="D6309" s="4" t="s">
        <v>8446</v>
      </c>
      <c r="E6309" s="5">
        <v>85.7517732366504</v>
      </c>
    </row>
    <row r="6310" ht="14.25" customHeight="1">
      <c r="A6310" s="4"/>
      <c r="B6310" s="4" t="s">
        <v>7279</v>
      </c>
      <c r="C6310" s="4" t="s">
        <v>1830</v>
      </c>
      <c r="D6310" s="4" t="s">
        <v>7291</v>
      </c>
      <c r="E6310" s="5">
        <v>9.30059801037504</v>
      </c>
    </row>
    <row r="6311" ht="14.25" customHeight="1">
      <c r="A6311" s="4"/>
      <c r="B6311" s="4" t="s">
        <v>7279</v>
      </c>
      <c r="C6311" s="4" t="s">
        <v>8447</v>
      </c>
      <c r="D6311" s="4" t="s">
        <v>8448</v>
      </c>
      <c r="E6311" s="5">
        <v>0.9128763344199979</v>
      </c>
    </row>
    <row r="6312" ht="14.25" customHeight="1">
      <c r="A6312" s="4"/>
      <c r="B6312" s="4" t="s">
        <v>7279</v>
      </c>
      <c r="C6312" s="4" t="s">
        <v>3645</v>
      </c>
      <c r="D6312" s="4" t="s">
        <v>8449</v>
      </c>
      <c r="E6312" s="5">
        <v>33.5479536734592</v>
      </c>
    </row>
    <row r="6313" ht="14.25" customHeight="1">
      <c r="A6313" s="4"/>
      <c r="B6313" s="4" t="s">
        <v>7279</v>
      </c>
      <c r="C6313" s="4" t="s">
        <v>5891</v>
      </c>
      <c r="D6313" s="4" t="s">
        <v>7377</v>
      </c>
      <c r="E6313" s="5">
        <v>46.5029900518752</v>
      </c>
    </row>
    <row r="6314" ht="14.25" customHeight="1">
      <c r="A6314" s="4"/>
      <c r="B6314" s="4" t="s">
        <v>7279</v>
      </c>
      <c r="C6314" s="4" t="s">
        <v>8450</v>
      </c>
      <c r="D6314" s="4" t="s">
        <v>7280</v>
      </c>
      <c r="E6314" s="5">
        <v>186.01196020749998</v>
      </c>
    </row>
    <row r="6315" ht="14.25" customHeight="1">
      <c r="A6315" s="4"/>
      <c r="B6315" s="4" t="s">
        <v>7279</v>
      </c>
      <c r="C6315" s="4" t="s">
        <v>884</v>
      </c>
      <c r="D6315" s="4" t="s">
        <v>7280</v>
      </c>
      <c r="E6315" s="5">
        <v>186.01196020749998</v>
      </c>
    </row>
    <row r="6316" ht="14.25" customHeight="1">
      <c r="A6316" s="4"/>
      <c r="B6316" s="4" t="s">
        <v>7279</v>
      </c>
      <c r="C6316" s="4" t="s">
        <v>6392</v>
      </c>
      <c r="D6316" s="4" t="s">
        <v>7377</v>
      </c>
      <c r="E6316" s="5">
        <v>46.5029900518752</v>
      </c>
    </row>
    <row r="6317" ht="14.25" customHeight="1">
      <c r="A6317" s="4"/>
      <c r="B6317" s="4" t="s">
        <v>7279</v>
      </c>
      <c r="C6317" s="4" t="s">
        <v>6598</v>
      </c>
      <c r="D6317" s="4" t="s">
        <v>8451</v>
      </c>
      <c r="E6317" s="5">
        <v>35.5259428228361</v>
      </c>
    </row>
    <row r="6318" ht="14.25" customHeight="1">
      <c r="A6318" s="4"/>
      <c r="B6318" s="4" t="s">
        <v>7279</v>
      </c>
      <c r="C6318" s="4" t="s">
        <v>3691</v>
      </c>
      <c r="D6318" s="4" t="s">
        <v>8452</v>
      </c>
      <c r="E6318" s="5">
        <v>97.3196580257125</v>
      </c>
    </row>
    <row r="6319" ht="14.25" customHeight="1">
      <c r="A6319" s="4"/>
      <c r="B6319" s="4" t="s">
        <v>7279</v>
      </c>
      <c r="C6319" s="4" t="s">
        <v>8453</v>
      </c>
      <c r="D6319" s="4" t="s">
        <v>7280</v>
      </c>
      <c r="E6319" s="5">
        <v>186.01196020749998</v>
      </c>
    </row>
    <row r="6320" ht="14.25" customHeight="1">
      <c r="A6320" s="4"/>
      <c r="B6320" s="4" t="s">
        <v>7279</v>
      </c>
      <c r="C6320" s="4" t="s">
        <v>5695</v>
      </c>
      <c r="D6320" s="4" t="s">
        <v>7280</v>
      </c>
      <c r="E6320" s="5">
        <v>186.01196020749998</v>
      </c>
    </row>
    <row r="6321" ht="14.25" customHeight="1">
      <c r="A6321" s="4"/>
      <c r="B6321" s="4" t="s">
        <v>7279</v>
      </c>
      <c r="C6321" s="4" t="s">
        <v>3248</v>
      </c>
      <c r="D6321" s="4" t="s">
        <v>7291</v>
      </c>
      <c r="E6321" s="5">
        <v>9.30059801037504</v>
      </c>
    </row>
    <row r="6322" ht="14.25" customHeight="1">
      <c r="A6322" s="4"/>
      <c r="B6322" s="4" t="s">
        <v>7279</v>
      </c>
      <c r="C6322" s="4" t="s">
        <v>5815</v>
      </c>
      <c r="D6322" s="4" t="s">
        <v>7305</v>
      </c>
      <c r="E6322" s="5">
        <v>55.8035880622502</v>
      </c>
    </row>
    <row r="6323" ht="14.25" customHeight="1">
      <c r="A6323" s="4"/>
      <c r="B6323" s="4" t="s">
        <v>7279</v>
      </c>
      <c r="C6323" s="4" t="s">
        <v>1520</v>
      </c>
      <c r="D6323" s="4" t="s">
        <v>8454</v>
      </c>
      <c r="E6323" s="5">
        <v>101.961504012913</v>
      </c>
    </row>
    <row r="6324" ht="14.25" customHeight="1">
      <c r="A6324" s="4"/>
      <c r="B6324" s="4" t="s">
        <v>7279</v>
      </c>
      <c r="C6324" s="4" t="s">
        <v>45</v>
      </c>
      <c r="D6324" s="4" t="s">
        <v>7280</v>
      </c>
      <c r="E6324" s="5">
        <v>186.01196020749998</v>
      </c>
    </row>
    <row r="6325" ht="14.25" customHeight="1">
      <c r="A6325" s="4"/>
      <c r="B6325" s="4" t="s">
        <v>7279</v>
      </c>
      <c r="C6325" s="4" t="s">
        <v>3212</v>
      </c>
      <c r="D6325" s="4" t="s">
        <v>7280</v>
      </c>
      <c r="E6325" s="5">
        <v>186.01196020749998</v>
      </c>
    </row>
    <row r="6326" ht="14.25" customHeight="1">
      <c r="A6326" s="4"/>
      <c r="B6326" s="4" t="s">
        <v>7279</v>
      </c>
      <c r="C6326" s="4" t="s">
        <v>185</v>
      </c>
      <c r="D6326" s="4" t="s">
        <v>8455</v>
      </c>
      <c r="E6326" s="5">
        <v>177.071834586382</v>
      </c>
    </row>
    <row r="6327" ht="14.25" customHeight="1">
      <c r="A6327" s="4"/>
      <c r="B6327" s="4" t="s">
        <v>7279</v>
      </c>
      <c r="C6327" s="4" t="s">
        <v>5012</v>
      </c>
      <c r="D6327" s="4" t="s">
        <v>8456</v>
      </c>
      <c r="E6327" s="5">
        <v>40.4915117723126</v>
      </c>
    </row>
    <row r="6328" ht="14.25" customHeight="1">
      <c r="A6328" s="4"/>
      <c r="B6328" s="4" t="s">
        <v>7279</v>
      </c>
      <c r="C6328" s="4" t="s">
        <v>5025</v>
      </c>
      <c r="D6328" s="4" t="s">
        <v>8457</v>
      </c>
      <c r="E6328" s="5">
        <v>43.613933379037896</v>
      </c>
    </row>
    <row r="6329" ht="14.25" customHeight="1">
      <c r="A6329" s="4"/>
      <c r="B6329" s="4" t="s">
        <v>7279</v>
      </c>
      <c r="C6329" s="4" t="s">
        <v>2959</v>
      </c>
      <c r="D6329" s="4" t="s">
        <v>8458</v>
      </c>
      <c r="E6329" s="5">
        <v>9.913536746276419</v>
      </c>
    </row>
    <row r="6330" ht="14.25" customHeight="1">
      <c r="A6330" s="4"/>
      <c r="B6330" s="4" t="s">
        <v>7279</v>
      </c>
      <c r="C6330" s="4" t="s">
        <v>1036</v>
      </c>
      <c r="D6330" s="4" t="s">
        <v>8459</v>
      </c>
      <c r="E6330" s="5">
        <v>175.550758903472</v>
      </c>
    </row>
    <row r="6331" ht="14.25" customHeight="1">
      <c r="A6331" s="4"/>
      <c r="B6331" s="4" t="s">
        <v>7279</v>
      </c>
      <c r="C6331" s="4" t="s">
        <v>8460</v>
      </c>
      <c r="D6331" s="4" t="s">
        <v>7333</v>
      </c>
      <c r="E6331" s="5">
        <v>111.6071761245</v>
      </c>
    </row>
    <row r="6332" ht="14.25" customHeight="1">
      <c r="A6332" s="4"/>
      <c r="B6332" s="4" t="s">
        <v>7279</v>
      </c>
      <c r="C6332" s="4" t="s">
        <v>4177</v>
      </c>
      <c r="D6332" s="4" t="s">
        <v>7280</v>
      </c>
      <c r="E6332" s="5">
        <v>186.01196020749998</v>
      </c>
    </row>
    <row r="6333" ht="14.25" customHeight="1">
      <c r="A6333" s="4"/>
      <c r="B6333" s="4" t="s">
        <v>7279</v>
      </c>
      <c r="C6333" s="4" t="s">
        <v>455</v>
      </c>
      <c r="D6333" s="4" t="s">
        <v>8461</v>
      </c>
      <c r="E6333" s="5">
        <v>17.5865684524558</v>
      </c>
    </row>
    <row r="6334" ht="14.25" customHeight="1">
      <c r="A6334" s="4"/>
      <c r="B6334" s="4" t="s">
        <v>7279</v>
      </c>
      <c r="C6334" s="4" t="s">
        <v>133</v>
      </c>
      <c r="D6334" s="4" t="s">
        <v>7280</v>
      </c>
      <c r="E6334" s="5">
        <v>186.01196020749998</v>
      </c>
    </row>
    <row r="6335" ht="14.25" customHeight="1">
      <c r="A6335" s="4"/>
      <c r="B6335" s="4" t="s">
        <v>7279</v>
      </c>
      <c r="C6335" s="4" t="s">
        <v>983</v>
      </c>
      <c r="D6335" s="4" t="s">
        <v>7280</v>
      </c>
      <c r="E6335" s="5">
        <v>186.01196020749998</v>
      </c>
    </row>
    <row r="6336" ht="14.25" customHeight="1">
      <c r="A6336" s="4"/>
      <c r="B6336" s="4" t="s">
        <v>7279</v>
      </c>
      <c r="C6336" s="4" t="s">
        <v>8462</v>
      </c>
      <c r="D6336" s="4" t="s">
        <v>7305</v>
      </c>
      <c r="E6336" s="5">
        <v>55.8035880622502</v>
      </c>
    </row>
    <row r="6337" ht="14.25" customHeight="1">
      <c r="A6337" s="4"/>
      <c r="B6337" s="4" t="s">
        <v>7279</v>
      </c>
      <c r="C6337" s="4" t="s">
        <v>5977</v>
      </c>
      <c r="D6337" s="4" t="s">
        <v>7433</v>
      </c>
      <c r="E6337" s="5">
        <v>18.60119602075</v>
      </c>
    </row>
    <row r="6338" ht="14.25" customHeight="1">
      <c r="A6338" s="4"/>
      <c r="B6338" s="4" t="s">
        <v>7279</v>
      </c>
      <c r="C6338" s="4" t="s">
        <v>1822</v>
      </c>
      <c r="D6338" s="4" t="s">
        <v>8463</v>
      </c>
      <c r="E6338" s="5">
        <v>35.0446533030931</v>
      </c>
    </row>
    <row r="6339" ht="14.25" customHeight="1">
      <c r="A6339" s="4"/>
      <c r="B6339" s="4" t="s">
        <v>7279</v>
      </c>
      <c r="C6339" s="4" t="s">
        <v>8464</v>
      </c>
      <c r="D6339" s="4" t="s">
        <v>8465</v>
      </c>
      <c r="E6339" s="5">
        <v>17.5938335670245</v>
      </c>
    </row>
    <row r="6340" ht="14.25" customHeight="1">
      <c r="A6340" s="4"/>
      <c r="B6340" s="4" t="s">
        <v>7279</v>
      </c>
      <c r="C6340" s="4" t="s">
        <v>155</v>
      </c>
      <c r="D6340" s="4" t="s">
        <v>8466</v>
      </c>
      <c r="E6340" s="5">
        <v>6.28268986909447</v>
      </c>
    </row>
    <row r="6341" ht="14.25" customHeight="1">
      <c r="A6341" s="4"/>
      <c r="B6341" s="4" t="s">
        <v>7279</v>
      </c>
      <c r="C6341" s="4" t="s">
        <v>4561</v>
      </c>
      <c r="D6341" s="4" t="s">
        <v>8467</v>
      </c>
      <c r="E6341" s="5">
        <v>10.895288527193701</v>
      </c>
    </row>
    <row r="6342" ht="14.25" customHeight="1">
      <c r="A6342" s="4"/>
      <c r="B6342" s="4" t="s">
        <v>7279</v>
      </c>
      <c r="C6342" s="4" t="s">
        <v>3513</v>
      </c>
      <c r="D6342" s="4" t="s">
        <v>8468</v>
      </c>
      <c r="E6342" s="5">
        <v>46.6345508003536</v>
      </c>
    </row>
    <row r="6343" ht="14.25" customHeight="1">
      <c r="A6343" s="4"/>
      <c r="B6343" s="4" t="s">
        <v>7279</v>
      </c>
      <c r="C6343" s="4" t="s">
        <v>5075</v>
      </c>
      <c r="D6343" s="4" t="s">
        <v>8469</v>
      </c>
      <c r="E6343" s="5">
        <v>16.9824778337291</v>
      </c>
    </row>
    <row r="6344" ht="14.25" customHeight="1">
      <c r="A6344" s="4"/>
      <c r="B6344" s="4" t="s">
        <v>7279</v>
      </c>
      <c r="C6344" s="4" t="s">
        <v>2225</v>
      </c>
      <c r="D6344" s="4" t="s">
        <v>7280</v>
      </c>
      <c r="E6344" s="5">
        <v>186.01196020749998</v>
      </c>
    </row>
    <row r="6345" ht="14.25" customHeight="1">
      <c r="A6345" s="4"/>
      <c r="B6345" s="4" t="s">
        <v>7279</v>
      </c>
      <c r="C6345" s="4" t="s">
        <v>6500</v>
      </c>
      <c r="D6345" s="4" t="s">
        <v>8470</v>
      </c>
      <c r="E6345" s="5">
        <v>76.8611207188197</v>
      </c>
    </row>
    <row r="6346" ht="14.25" customHeight="1">
      <c r="A6346" s="4"/>
      <c r="B6346" s="4" t="s">
        <v>7279</v>
      </c>
      <c r="C6346" s="4" t="s">
        <v>6437</v>
      </c>
      <c r="D6346" s="4" t="s">
        <v>8471</v>
      </c>
      <c r="E6346" s="5">
        <v>114.460922011962</v>
      </c>
    </row>
    <row r="6347" ht="14.25" customHeight="1">
      <c r="A6347" s="4"/>
      <c r="B6347" s="4" t="s">
        <v>7279</v>
      </c>
      <c r="C6347" s="4" t="s">
        <v>2485</v>
      </c>
      <c r="D6347" s="4" t="s">
        <v>7291</v>
      </c>
      <c r="E6347" s="5">
        <v>9.30059801037504</v>
      </c>
    </row>
    <row r="6348" ht="14.25" customHeight="1">
      <c r="A6348" s="4"/>
      <c r="B6348" s="4" t="s">
        <v>7279</v>
      </c>
      <c r="C6348" s="4" t="s">
        <v>8472</v>
      </c>
      <c r="D6348" s="4" t="s">
        <v>8473</v>
      </c>
      <c r="E6348" s="5">
        <v>9.807944729869</v>
      </c>
    </row>
    <row r="6349" ht="14.25" customHeight="1">
      <c r="A6349" s="4"/>
      <c r="B6349" s="4" t="s">
        <v>7279</v>
      </c>
      <c r="C6349" s="4" t="s">
        <v>8474</v>
      </c>
      <c r="D6349" s="4" t="s">
        <v>7280</v>
      </c>
      <c r="E6349" s="5">
        <v>186.01196020749998</v>
      </c>
    </row>
    <row r="6350" ht="14.25" customHeight="1">
      <c r="A6350" s="4"/>
      <c r="B6350" s="4" t="s">
        <v>7279</v>
      </c>
      <c r="C6350" s="4" t="s">
        <v>929</v>
      </c>
      <c r="D6350" s="4" t="s">
        <v>7280</v>
      </c>
      <c r="E6350" s="5">
        <v>186.01196020749998</v>
      </c>
    </row>
    <row r="6351" ht="14.25" customHeight="1">
      <c r="A6351" s="4"/>
      <c r="B6351" s="4" t="s">
        <v>7279</v>
      </c>
      <c r="C6351" s="4" t="s">
        <v>661</v>
      </c>
      <c r="D6351" s="4" t="s">
        <v>7280</v>
      </c>
      <c r="E6351" s="5">
        <v>186.01196020749998</v>
      </c>
    </row>
    <row r="6352" ht="14.25" customHeight="1">
      <c r="A6352" s="4"/>
      <c r="B6352" s="4" t="s">
        <v>7279</v>
      </c>
      <c r="C6352" s="4" t="s">
        <v>2139</v>
      </c>
      <c r="D6352" s="4" t="s">
        <v>7291</v>
      </c>
      <c r="E6352" s="5">
        <v>9.30059801037504</v>
      </c>
    </row>
    <row r="6353" ht="14.25" customHeight="1">
      <c r="A6353" s="4"/>
      <c r="B6353" s="4" t="s">
        <v>7279</v>
      </c>
      <c r="C6353" s="4" t="s">
        <v>4614</v>
      </c>
      <c r="D6353" s="4" t="s">
        <v>8475</v>
      </c>
      <c r="E6353" s="5">
        <v>10.0370305368071</v>
      </c>
    </row>
    <row r="6354" ht="14.25" customHeight="1">
      <c r="A6354" s="4"/>
      <c r="B6354" s="4" t="s">
        <v>7279</v>
      </c>
      <c r="C6354" s="4" t="s">
        <v>3665</v>
      </c>
      <c r="D6354" s="4" t="s">
        <v>8476</v>
      </c>
      <c r="E6354" s="5">
        <v>99.8073659615092</v>
      </c>
    </row>
    <row r="6355" ht="14.25" customHeight="1">
      <c r="A6355" s="4"/>
      <c r="B6355" s="4" t="s">
        <v>7279</v>
      </c>
      <c r="C6355" s="4" t="s">
        <v>5143</v>
      </c>
      <c r="D6355" s="4" t="s">
        <v>8477</v>
      </c>
      <c r="E6355" s="5">
        <v>9.20222111930437</v>
      </c>
    </row>
    <row r="6356" ht="14.25" customHeight="1">
      <c r="A6356" s="4"/>
      <c r="B6356" s="4" t="s">
        <v>7279</v>
      </c>
      <c r="C6356" s="4" t="s">
        <v>8478</v>
      </c>
      <c r="D6356" s="4" t="s">
        <v>7291</v>
      </c>
      <c r="E6356" s="5">
        <v>9.30059801037504</v>
      </c>
    </row>
    <row r="6357" ht="14.25" customHeight="1">
      <c r="A6357" s="4"/>
      <c r="B6357" s="4" t="s">
        <v>7279</v>
      </c>
      <c r="C6357" s="4" t="s">
        <v>113</v>
      </c>
      <c r="D6357" s="4" t="s">
        <v>8479</v>
      </c>
      <c r="E6357" s="5">
        <v>2.67858298108347</v>
      </c>
    </row>
    <row r="6358" ht="14.25" customHeight="1">
      <c r="A6358" s="4"/>
      <c r="B6358" s="4" t="s">
        <v>7279</v>
      </c>
      <c r="C6358" s="4" t="s">
        <v>2379</v>
      </c>
      <c r="D6358" s="4" t="s">
        <v>8480</v>
      </c>
      <c r="E6358" s="5">
        <v>108.443875475311</v>
      </c>
    </row>
    <row r="6359" ht="14.25" customHeight="1">
      <c r="A6359" s="4"/>
      <c r="B6359" s="4" t="s">
        <v>7279</v>
      </c>
      <c r="C6359" s="4" t="s">
        <v>3557</v>
      </c>
      <c r="D6359" s="4" t="s">
        <v>7284</v>
      </c>
      <c r="E6359" s="5">
        <v>65.1041860726253</v>
      </c>
    </row>
    <row r="6360" ht="14.25" customHeight="1">
      <c r="A6360" s="4"/>
      <c r="B6360" s="4" t="s">
        <v>7279</v>
      </c>
      <c r="C6360" s="4" t="s">
        <v>4953</v>
      </c>
      <c r="D6360" s="4" t="s">
        <v>8481</v>
      </c>
      <c r="E6360" s="5">
        <v>8.42995969310571</v>
      </c>
    </row>
    <row r="6361" ht="14.25" customHeight="1">
      <c r="A6361" s="4"/>
      <c r="B6361" s="4" t="s">
        <v>7279</v>
      </c>
      <c r="C6361" s="4" t="s">
        <v>3918</v>
      </c>
      <c r="D6361" s="4" t="s">
        <v>8482</v>
      </c>
      <c r="E6361" s="5">
        <v>8.667480085991231</v>
      </c>
    </row>
    <row r="6362" ht="14.25" customHeight="1">
      <c r="A6362" s="4"/>
      <c r="B6362" s="4" t="s">
        <v>7279</v>
      </c>
      <c r="C6362" s="4" t="s">
        <v>8483</v>
      </c>
      <c r="D6362" s="4" t="s">
        <v>8484</v>
      </c>
      <c r="E6362" s="5">
        <v>11.8194221222445</v>
      </c>
    </row>
    <row r="6363" ht="14.25" customHeight="1">
      <c r="A6363" s="4"/>
      <c r="B6363" s="4" t="s">
        <v>7279</v>
      </c>
      <c r="C6363" s="4" t="s">
        <v>923</v>
      </c>
      <c r="D6363" s="4" t="s">
        <v>7280</v>
      </c>
      <c r="E6363" s="5">
        <v>186.01196020749998</v>
      </c>
    </row>
    <row r="6364" ht="14.25" customHeight="1">
      <c r="A6364" s="4"/>
      <c r="B6364" s="4" t="s">
        <v>7279</v>
      </c>
      <c r="C6364" s="4" t="s">
        <v>615</v>
      </c>
      <c r="D6364" s="4" t="s">
        <v>7284</v>
      </c>
      <c r="E6364" s="5">
        <v>65.1041860726253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40.57"/>
    <col customWidth="1" min="3" max="3" width="8.71"/>
    <col customWidth="1" min="4" max="4" width="32.29"/>
    <col customWidth="1" min="5" max="5" width="8.71"/>
    <col customWidth="1" min="6" max="6" width="49.57"/>
    <col customWidth="1" min="7" max="7" width="32.29"/>
    <col customWidth="1" min="9" max="9" width="57.57"/>
    <col customWidth="1" min="11" max="11" width="41.0"/>
    <col customWidth="1" min="12" max="12" width="32.29"/>
    <col customWidth="1" min="13" max="13" width="43.71"/>
  </cols>
  <sheetData>
    <row r="1">
      <c r="A1" s="6"/>
      <c r="B1" s="7"/>
      <c r="C1" s="2"/>
      <c r="D1" s="8" t="s">
        <v>2</v>
      </c>
      <c r="E1" s="2" t="s">
        <v>1</v>
      </c>
      <c r="F1" s="4"/>
      <c r="G1" s="7"/>
      <c r="H1" s="9"/>
      <c r="I1" s="10" t="s">
        <v>8485</v>
      </c>
      <c r="J1" s="11" t="s">
        <v>8486</v>
      </c>
      <c r="K1" s="10" t="str">
        <f>"tokens owed ($"&amp;B6&amp;"/token)"</f>
        <v>tokens owed ($0.08/token)</v>
      </c>
      <c r="L1" s="12" t="str">
        <f>"tokens owed "&amp;B3&amp;"dp"</f>
        <v>tokens owed 18dp</v>
      </c>
      <c r="M1" s="13" t="str">
        <f>"tokens owed *"&amp;B9&amp;""</f>
        <v>tokens owed *0.1</v>
      </c>
    </row>
    <row r="2">
      <c r="A2" s="14"/>
      <c r="B2" s="15" t="s">
        <v>8487</v>
      </c>
      <c r="C2" s="4"/>
      <c r="D2" s="4">
        <v>12.1817113930263</v>
      </c>
      <c r="E2" s="4" t="s">
        <v>5</v>
      </c>
      <c r="F2" s="9"/>
      <c r="G2" s="16" t="s">
        <v>8488</v>
      </c>
      <c r="H2" s="4"/>
      <c r="I2" s="17" t="str">
        <f>IFERROR(__xludf.DUMMYFUNCTION("UNIQUE(E2:E6364)"),"0xf3a3dc2f49381deae54537caf448af85a0ebdc68")</f>
        <v>0xf3a3dc2f49381deae54537caf448af85a0ebdc68</v>
      </c>
      <c r="J2" s="18">
        <f t="array" ref="J2:J6364">sumif(E2:E6364,I2:I6364,D2:D6364)</f>
        <v>12.18171139</v>
      </c>
      <c r="K2" s="4">
        <f t="array" ref="K2:K6364">IF(J2:J6364,J2:J6364/$B$6,"")</f>
        <v>152.2713924</v>
      </c>
      <c r="L2" s="19">
        <f t="array" ref="L2:L6364">IF(K2:K6364,K2:K6364*10^$B$3,"")</f>
        <v>1.52271E+20</v>
      </c>
      <c r="M2" s="20">
        <f t="array" ref="M2:M6364">IF(L2:L6364,L2:L6364*$B$9,"")</f>
        <v>1.52271E+19</v>
      </c>
    </row>
    <row r="3">
      <c r="A3" s="14"/>
      <c r="B3" s="21">
        <v>18.0</v>
      </c>
      <c r="C3" s="4"/>
      <c r="D3" s="4">
        <v>20.4987708214389</v>
      </c>
      <c r="E3" s="4" t="s">
        <v>7</v>
      </c>
      <c r="F3" s="9"/>
      <c r="G3" s="22">
        <f>sum(K2:K6364)</f>
        <v>4471108.371</v>
      </c>
      <c r="H3" s="4"/>
      <c r="I3" s="4" t="str">
        <f>IFERROR(__xludf.DUMMYFUNCTION("""COMPUTED_VALUE"""),"0x14474536ea9d8fe761edf527f35a30f43c39a097")</f>
        <v>0x14474536ea9d8fe761edf527f35a30f43c39a097</v>
      </c>
      <c r="J3" s="18">
        <v>68.8628984210355</v>
      </c>
      <c r="K3" s="4">
        <v>860.7862302629437</v>
      </c>
      <c r="L3" s="19">
        <v>8.607862302629437E20</v>
      </c>
      <c r="M3" s="20">
        <v>8.607862302629437E19</v>
      </c>
    </row>
    <row r="4">
      <c r="A4" s="6"/>
      <c r="B4" s="23"/>
      <c r="C4" s="4"/>
      <c r="D4" s="4">
        <v>8.25212645926561</v>
      </c>
      <c r="E4" s="4" t="s">
        <v>9</v>
      </c>
      <c r="F4" s="4"/>
      <c r="G4" s="7"/>
      <c r="H4" s="4"/>
      <c r="I4" s="4" t="str">
        <f>IFERROR(__xludf.DUMMYFUNCTION("""COMPUTED_VALUE"""),"0x337262fae811132807c349ce6d31832f012ff112")</f>
        <v>0x337262fae811132807c349ce6d31832f012ff112</v>
      </c>
      <c r="J4" s="18">
        <v>8.25212645926561</v>
      </c>
      <c r="K4" s="4">
        <v>103.15158074082011</v>
      </c>
      <c r="L4" s="19">
        <v>1.031515807408201E20</v>
      </c>
      <c r="M4" s="20">
        <v>1.0315158074082011E19</v>
      </c>
    </row>
    <row r="5">
      <c r="A5" s="14"/>
      <c r="B5" s="16" t="s">
        <v>8489</v>
      </c>
      <c r="C5" s="4"/>
      <c r="D5" s="4">
        <v>0.0273230393025751</v>
      </c>
      <c r="E5" s="4" t="s">
        <v>11</v>
      </c>
      <c r="F5" s="9"/>
      <c r="G5" s="16" t="s">
        <v>8490</v>
      </c>
      <c r="H5" s="4"/>
      <c r="I5" s="4" t="str">
        <f>IFERROR(__xludf.DUMMYFUNCTION("""COMPUTED_VALUE"""),"0x8e05b7ed600e8e29f7e1faa67381efb8925bdad8")</f>
        <v>0x8e05b7ed600e8e29f7e1faa67381efb8925bdad8</v>
      </c>
      <c r="J5" s="18">
        <v>0.0273230393025751</v>
      </c>
      <c r="K5" s="4">
        <v>0.34153799128218876</v>
      </c>
      <c r="L5" s="19">
        <v>3.4153799128218874E17</v>
      </c>
      <c r="M5" s="20">
        <v>3.4153799128218876E16</v>
      </c>
    </row>
    <row r="6">
      <c r="A6" s="14"/>
      <c r="B6" s="24">
        <v>0.08</v>
      </c>
      <c r="C6" s="4"/>
      <c r="D6" s="4">
        <v>0.6298044171913489</v>
      </c>
      <c r="E6" s="4" t="s">
        <v>13</v>
      </c>
      <c r="F6" s="9"/>
      <c r="G6" s="25">
        <f>COUNTA(I2:I6364)</f>
        <v>4806</v>
      </c>
      <c r="H6" s="4"/>
      <c r="I6" s="4" t="str">
        <f>IFERROR(__xludf.DUMMYFUNCTION("""COMPUTED_VALUE"""),"0x8f4714060188f4b878739f72228f5d7451f18589")</f>
        <v>0x8f4714060188f4b878739f72228f5d7451f18589</v>
      </c>
      <c r="J6" s="18">
        <v>0.6298044171913489</v>
      </c>
      <c r="K6" s="4">
        <v>7.872555214891862</v>
      </c>
      <c r="L6" s="19">
        <v>7.872555214891862E18</v>
      </c>
      <c r="M6" s="20">
        <v>7.872555214891863E17</v>
      </c>
    </row>
    <row r="7">
      <c r="A7" s="6"/>
      <c r="B7" s="23"/>
      <c r="C7" s="4"/>
      <c r="D7" s="4">
        <v>6.13164642458479</v>
      </c>
      <c r="E7" s="4" t="s">
        <v>15</v>
      </c>
      <c r="F7" s="4"/>
      <c r="G7" s="7"/>
      <c r="H7" s="4"/>
      <c r="I7" s="4" t="str">
        <f>IFERROR(__xludf.DUMMYFUNCTION("""COMPUTED_VALUE"""),"0xa96ba069b95e767b588cce0090bc5936fd867e57")</f>
        <v>0xa96ba069b95e767b588cce0090bc5936fd867e57</v>
      </c>
      <c r="J7" s="18">
        <v>6.13164642458479</v>
      </c>
      <c r="K7" s="4">
        <v>76.64558030730988</v>
      </c>
      <c r="L7" s="19">
        <v>7.664558030730989E19</v>
      </c>
      <c r="M7" s="20">
        <v>7.66455803073099E18</v>
      </c>
    </row>
    <row r="8">
      <c r="A8" s="14"/>
      <c r="B8" s="16" t="s">
        <v>8491</v>
      </c>
      <c r="C8" s="4"/>
      <c r="D8" s="4">
        <v>7.06855228474546</v>
      </c>
      <c r="E8" s="4" t="s">
        <v>17</v>
      </c>
      <c r="F8" s="9"/>
      <c r="G8" s="26" t="s">
        <v>8492</v>
      </c>
      <c r="H8" s="4"/>
      <c r="I8" s="4" t="str">
        <f>IFERROR(__xludf.DUMMYFUNCTION("""COMPUTED_VALUE"""),"0x7657e4cdb6d8b00a14040e6c1af23203aac8876b")</f>
        <v>0x7657e4cdb6d8b00a14040e6c1af23203aac8876b</v>
      </c>
      <c r="J8" s="18">
        <v>55.43267988434206</v>
      </c>
      <c r="K8" s="4">
        <v>692.9084985542758</v>
      </c>
      <c r="L8" s="19">
        <v>6.929084985542758E20</v>
      </c>
      <c r="M8" s="20">
        <v>6.9290849855427576E19</v>
      </c>
    </row>
    <row r="9">
      <c r="A9" s="14"/>
      <c r="B9" s="27">
        <v>0.1</v>
      </c>
      <c r="C9" s="4"/>
      <c r="D9" s="4">
        <v>283.54368343093</v>
      </c>
      <c r="E9" s="4" t="s">
        <v>19</v>
      </c>
      <c r="F9" s="9"/>
      <c r="G9" s="28">
        <f>SUM(D2:D6364)</f>
        <v>357688.6697</v>
      </c>
      <c r="H9" s="4"/>
      <c r="I9" s="4" t="str">
        <f>IFERROR(__xludf.DUMMYFUNCTION("""COMPUTED_VALUE"""),"0x238a4a5429333d71c6c8ed7362d6efe80f84ed50")</f>
        <v>0x238a4a5429333d71c6c8ed7362d6efe80f84ed50</v>
      </c>
      <c r="J9" s="18">
        <v>283.54368343093</v>
      </c>
      <c r="K9" s="4">
        <v>3544.296042886625</v>
      </c>
      <c r="L9" s="19">
        <v>3.544296042886625E21</v>
      </c>
      <c r="M9" s="20">
        <v>3.5442960428866254E20</v>
      </c>
    </row>
    <row r="10">
      <c r="A10" s="6"/>
      <c r="B10" s="6"/>
      <c r="C10" s="4"/>
      <c r="D10" s="4">
        <v>5.60859942081695</v>
      </c>
      <c r="E10" s="4" t="s">
        <v>21</v>
      </c>
      <c r="F10" s="4"/>
      <c r="G10" s="7"/>
      <c r="H10" s="4"/>
      <c r="I10" s="4" t="str">
        <f>IFERROR(__xludf.DUMMYFUNCTION("""COMPUTED_VALUE"""),"0xd6bdae6dc6daf48fe5f65cffd81a80087fdf1fe1")</f>
        <v>0xd6bdae6dc6daf48fe5f65cffd81a80087fdf1fe1</v>
      </c>
      <c r="J10" s="18">
        <v>43.89889885516955</v>
      </c>
      <c r="K10" s="4">
        <v>548.7362356896193</v>
      </c>
      <c r="L10" s="19">
        <v>5.487362356896193E20</v>
      </c>
      <c r="M10" s="20">
        <v>5.487362356896193E19</v>
      </c>
    </row>
    <row r="11">
      <c r="A11" s="6"/>
      <c r="B11" s="6"/>
      <c r="C11" s="4"/>
      <c r="D11" s="4">
        <v>18.9701013747203</v>
      </c>
      <c r="E11" s="4" t="s">
        <v>23</v>
      </c>
      <c r="F11" s="9"/>
      <c r="G11" s="29" t="s">
        <v>8493</v>
      </c>
      <c r="H11" s="4"/>
      <c r="I11" s="4" t="str">
        <f>IFERROR(__xludf.DUMMYFUNCTION("""COMPUTED_VALUE"""),"0x94ba53f75771f15c28900dc89f01452eecbd8c4f")</f>
        <v>0x94ba53f75771f15c28900dc89f01452eecbd8c4f</v>
      </c>
      <c r="J11" s="18">
        <v>18.9701013747203</v>
      </c>
      <c r="K11" s="4">
        <v>237.12626718400375</v>
      </c>
      <c r="L11" s="19">
        <v>2.3712626718400374E20</v>
      </c>
      <c r="M11" s="20">
        <v>2.3712626718400377E19</v>
      </c>
    </row>
    <row r="12">
      <c r="A12" s="6"/>
      <c r="B12" s="6"/>
      <c r="C12" s="4"/>
      <c r="D12" s="4">
        <v>13.2929070438954</v>
      </c>
      <c r="E12" s="4" t="s">
        <v>25</v>
      </c>
      <c r="F12" s="9"/>
      <c r="G12" s="25">
        <f>COUNTA(D2:D6364)</f>
        <v>6363</v>
      </c>
      <c r="H12" s="4"/>
      <c r="I12" s="4" t="str">
        <f>IFERROR(__xludf.DUMMYFUNCTION("""COMPUTED_VALUE"""),"0xcedb60fe5584462c5a1b2ff5abeea42071702fc8")</f>
        <v>0xcedb60fe5584462c5a1b2ff5abeea42071702fc8</v>
      </c>
      <c r="J12" s="18">
        <v>14.33745747086451</v>
      </c>
      <c r="K12" s="4">
        <v>179.21821838580638</v>
      </c>
      <c r="L12" s="19">
        <v>1.792182183858064E20</v>
      </c>
      <c r="M12" s="20">
        <v>1.792182183858064E19</v>
      </c>
    </row>
    <row r="13">
      <c r="A13" s="6"/>
      <c r="B13" s="6"/>
      <c r="C13" s="4"/>
      <c r="D13" s="4">
        <v>9.89595832759124</v>
      </c>
      <c r="E13" s="4" t="s">
        <v>27</v>
      </c>
      <c r="F13" s="4"/>
      <c r="G13" s="4"/>
      <c r="H13" s="4"/>
      <c r="I13" s="4" t="str">
        <f>IFERROR(__xludf.DUMMYFUNCTION("""COMPUTED_VALUE"""),"0x21fec8fab25613d3d1d1294346c04177e565b1c2")</f>
        <v>0x21fec8fab25613d3d1d1294346c04177e565b1c2</v>
      </c>
      <c r="J13" s="18">
        <v>58.26008592718784</v>
      </c>
      <c r="K13" s="4">
        <v>728.251074089848</v>
      </c>
      <c r="L13" s="19">
        <v>7.28251074089848E20</v>
      </c>
      <c r="M13" s="20">
        <v>7.28251074089848E19</v>
      </c>
    </row>
    <row r="14">
      <c r="A14" s="6"/>
      <c r="B14" s="6"/>
      <c r="C14" s="4"/>
      <c r="D14" s="4">
        <v>7.0685416625651705</v>
      </c>
      <c r="E14" s="4" t="s">
        <v>29</v>
      </c>
      <c r="F14" s="4"/>
      <c r="G14" s="4"/>
      <c r="H14" s="4"/>
      <c r="I14" s="4" t="str">
        <f>IFERROR(__xludf.DUMMYFUNCTION("""COMPUTED_VALUE"""),"0x6f32b1793f7a1a7b169dc599e94a8d05306bfa85")</f>
        <v>0x6f32b1793f7a1a7b169dc599e94a8d05306bfa85</v>
      </c>
      <c r="J14" s="18">
        <v>7.0685416625651705</v>
      </c>
      <c r="K14" s="4">
        <v>88.35677078206463</v>
      </c>
      <c r="L14" s="19">
        <v>8.835677078206462E19</v>
      </c>
      <c r="M14" s="20">
        <v>8.835677078206463E18</v>
      </c>
    </row>
    <row r="15">
      <c r="A15" s="6"/>
      <c r="B15" s="6"/>
      <c r="C15" s="4"/>
      <c r="D15" s="4">
        <v>391.344262039165</v>
      </c>
      <c r="E15" s="4" t="s">
        <v>31</v>
      </c>
      <c r="F15" s="4"/>
      <c r="G15" s="4"/>
      <c r="H15" s="4"/>
      <c r="I15" s="4" t="str">
        <f>IFERROR(__xludf.DUMMYFUNCTION("""COMPUTED_VALUE"""),"0x740320f15bf19a2ece2eb13576e69fd6700bb8d4")</f>
        <v>0x740320f15bf19a2ece2eb13576e69fd6700bb8d4</v>
      </c>
      <c r="J15" s="18">
        <v>625.7203498462616</v>
      </c>
      <c r="K15" s="4">
        <v>7821.504373078269</v>
      </c>
      <c r="L15" s="19">
        <v>7.821504373078269E21</v>
      </c>
      <c r="M15" s="20">
        <v>7.82150437307827E20</v>
      </c>
    </row>
    <row r="16">
      <c r="A16" s="6"/>
      <c r="B16" s="6"/>
      <c r="C16" s="4"/>
      <c r="D16" s="4">
        <v>6.39752722308159</v>
      </c>
      <c r="E16" s="4" t="s">
        <v>33</v>
      </c>
      <c r="F16" s="4"/>
      <c r="G16" s="4"/>
      <c r="H16" s="4"/>
      <c r="I16" s="4" t="str">
        <f>IFERROR(__xludf.DUMMYFUNCTION("""COMPUTED_VALUE"""),"0xb84466d33a34fbc2f46c56df0c5eedacd262a2cf")</f>
        <v>0xb84466d33a34fbc2f46c56df0c5eedacd262a2cf</v>
      </c>
      <c r="J16" s="18">
        <v>6.39752722308159</v>
      </c>
      <c r="K16" s="4">
        <v>79.96909028851987</v>
      </c>
      <c r="L16" s="19">
        <v>7.996909028851987E19</v>
      </c>
      <c r="M16" s="20">
        <v>7.996909028851987E18</v>
      </c>
    </row>
    <row r="17">
      <c r="A17" s="6"/>
      <c r="B17" s="6"/>
      <c r="C17" s="4"/>
      <c r="D17" s="4">
        <v>531.837074691403</v>
      </c>
      <c r="E17" s="4" t="s">
        <v>35</v>
      </c>
      <c r="F17" s="4"/>
      <c r="G17" s="4"/>
      <c r="H17" s="4"/>
      <c r="I17" s="4" t="str">
        <f>IFERROR(__xludf.DUMMYFUNCTION("""COMPUTED_VALUE"""),"0xbd261bda33b5812bbc5e330974d4a6b6f587ce66")</f>
        <v>0xbd261bda33b5812bbc5e330974d4a6b6f587ce66</v>
      </c>
      <c r="J17" s="18">
        <v>766.2131624984996</v>
      </c>
      <c r="K17" s="4">
        <v>9577.664531231245</v>
      </c>
      <c r="L17" s="19">
        <v>9.577664531231245E21</v>
      </c>
      <c r="M17" s="20">
        <v>9.577664531231246E20</v>
      </c>
    </row>
    <row r="18">
      <c r="A18" s="6"/>
      <c r="B18" s="6"/>
      <c r="C18" s="4"/>
      <c r="D18" s="4">
        <v>28.2741666502606</v>
      </c>
      <c r="E18" s="4" t="s">
        <v>37</v>
      </c>
      <c r="F18" s="4"/>
      <c r="G18" s="4"/>
      <c r="H18" s="4"/>
      <c r="I18" s="4" t="str">
        <f>IFERROR(__xludf.DUMMYFUNCTION("""COMPUTED_VALUE"""),"0xfebb129c028c2335ecda3268cb3187a7a5650e02")</f>
        <v>0xfebb129c028c2335ecda3268cb3187a7a5650e02</v>
      </c>
      <c r="J18" s="18">
        <v>178.9448723639822</v>
      </c>
      <c r="K18" s="4">
        <v>2236.8109045497777</v>
      </c>
      <c r="L18" s="19">
        <v>2.2368109045497777E21</v>
      </c>
      <c r="M18" s="20">
        <v>2.2368109045497777E20</v>
      </c>
    </row>
    <row r="19">
      <c r="A19" s="6"/>
      <c r="B19" s="6"/>
      <c r="C19" s="4"/>
      <c r="D19" s="4">
        <v>6.4879281645861395</v>
      </c>
      <c r="E19" s="4" t="s">
        <v>39</v>
      </c>
      <c r="F19" s="4"/>
      <c r="G19" s="4"/>
      <c r="H19" s="4"/>
      <c r="I19" s="4" t="str">
        <f>IFERROR(__xludf.DUMMYFUNCTION("""COMPUTED_VALUE"""),"0xf2d667f27492e21fc52c9a921368e8b82fe4cba1")</f>
        <v>0xf2d667f27492e21fc52c9a921368e8b82fe4cba1</v>
      </c>
      <c r="J19" s="18">
        <v>6.4879281645861395</v>
      </c>
      <c r="K19" s="4">
        <v>81.09910205732675</v>
      </c>
      <c r="L19" s="19">
        <v>8.109910205732674E19</v>
      </c>
      <c r="M19" s="20">
        <v>8.109910205732675E18</v>
      </c>
    </row>
    <row r="20">
      <c r="A20" s="6"/>
      <c r="B20" s="6"/>
      <c r="C20" s="4"/>
      <c r="D20" s="4">
        <v>14.1429222635759</v>
      </c>
      <c r="E20" s="4" t="s">
        <v>41</v>
      </c>
      <c r="F20" s="4"/>
      <c r="G20" s="4"/>
      <c r="H20" s="4"/>
      <c r="I20" s="4" t="str">
        <f>IFERROR(__xludf.DUMMYFUNCTION("""COMPUTED_VALUE"""),"0x9d06433feefa692baac1213f46c366f03c86a095")</f>
        <v>0x9d06433feefa692baac1213f46c366f03c86a095</v>
      </c>
      <c r="J20" s="18">
        <v>14.1429222635759</v>
      </c>
      <c r="K20" s="4">
        <v>176.78652829469874</v>
      </c>
      <c r="L20" s="19">
        <v>1.7678652829469875E20</v>
      </c>
      <c r="M20" s="20">
        <v>1.7678652829469876E19</v>
      </c>
    </row>
    <row r="21">
      <c r="A21" s="6"/>
      <c r="B21" s="6"/>
      <c r="C21" s="4"/>
      <c r="D21" s="4">
        <v>20.80651681748</v>
      </c>
      <c r="E21" s="4" t="s">
        <v>43</v>
      </c>
      <c r="F21" s="4"/>
      <c r="G21" s="4"/>
      <c r="H21" s="4"/>
      <c r="I21" s="4" t="str">
        <f>IFERROR(__xludf.DUMMYFUNCTION("""COMPUTED_VALUE"""),"0xe35da6b78074adc8550b04b17b6cf35747706c72")</f>
        <v>0xe35da6b78074adc8550b04b17b6cf35747706c72</v>
      </c>
      <c r="J21" s="18">
        <v>43.71603112660472</v>
      </c>
      <c r="K21" s="4">
        <v>546.450389082559</v>
      </c>
      <c r="L21" s="19">
        <v>5.46450389082559E20</v>
      </c>
      <c r="M21" s="20">
        <v>5.46450389082559E19</v>
      </c>
    </row>
    <row r="22">
      <c r="A22" s="6"/>
      <c r="B22" s="6"/>
      <c r="C22" s="4"/>
      <c r="D22" s="4">
        <v>268.604583177476</v>
      </c>
      <c r="E22" s="4" t="s">
        <v>45</v>
      </c>
      <c r="F22" s="4"/>
      <c r="G22" s="4"/>
      <c r="H22" s="4"/>
      <c r="I22" s="4" t="str">
        <f>IFERROR(__xludf.DUMMYFUNCTION("""COMPUTED_VALUE"""),"0x6f7499ae339f3b03dcf9582debe12b2856829561")</f>
        <v>0x6f7499ae339f3b03dcf9582debe12b2856829561</v>
      </c>
      <c r="J22" s="18">
        <v>502.9806709845726</v>
      </c>
      <c r="K22" s="4">
        <v>6287.258387307157</v>
      </c>
      <c r="L22" s="19">
        <v>6.287258387307157E21</v>
      </c>
      <c r="M22" s="20">
        <v>6.287258387307157E20</v>
      </c>
    </row>
    <row r="23">
      <c r="A23" s="6"/>
      <c r="B23" s="6"/>
      <c r="C23" s="4"/>
      <c r="D23" s="4">
        <v>8.25797378100165</v>
      </c>
      <c r="E23" s="4" t="s">
        <v>47</v>
      </c>
      <c r="F23" s="4"/>
      <c r="G23" s="4"/>
      <c r="H23" s="4"/>
      <c r="I23" s="4" t="str">
        <f>IFERROR(__xludf.DUMMYFUNCTION("""COMPUTED_VALUE"""),"0xd09d54e254765cc874963a1a7faee0f24b1491ba")</f>
        <v>0xd09d54e254765cc874963a1a7faee0f24b1491ba</v>
      </c>
      <c r="J23" s="18">
        <v>8.25797378100165</v>
      </c>
      <c r="K23" s="4">
        <v>103.22467226252063</v>
      </c>
      <c r="L23" s="19">
        <v>1.0322467226252064E20</v>
      </c>
      <c r="M23" s="20">
        <v>1.0322467226252065E19</v>
      </c>
    </row>
    <row r="24">
      <c r="A24" s="6"/>
      <c r="B24" s="6"/>
      <c r="C24" s="4"/>
      <c r="D24" s="4">
        <v>7.0685416625651705</v>
      </c>
      <c r="E24" s="4" t="s">
        <v>49</v>
      </c>
      <c r="F24" s="4"/>
      <c r="G24" s="4"/>
      <c r="H24" s="4"/>
      <c r="I24" s="4" t="str">
        <f>IFERROR(__xludf.DUMMYFUNCTION("""COMPUTED_VALUE"""),"0xb6d24cb0a663b79c62ebb2d6d0c745d18a4a6b61")</f>
        <v>0xb6d24cb0a663b79c62ebb2d6d0c745d18a4a6b61</v>
      </c>
      <c r="J24" s="18">
        <v>7.0685416625651705</v>
      </c>
      <c r="K24" s="4">
        <v>88.35677078206463</v>
      </c>
      <c r="L24" s="19">
        <v>8.835677078206462E19</v>
      </c>
      <c r="M24" s="20">
        <v>8.835677078206463E18</v>
      </c>
    </row>
    <row r="25">
      <c r="A25" s="6"/>
      <c r="B25" s="6"/>
      <c r="C25" s="4"/>
      <c r="D25" s="4">
        <v>3.9815159051215003</v>
      </c>
      <c r="E25" s="4" t="s">
        <v>50</v>
      </c>
      <c r="F25" s="4"/>
      <c r="G25" s="4"/>
      <c r="H25" s="4"/>
      <c r="I25" s="4" t="str">
        <f>IFERROR(__xludf.DUMMYFUNCTION("""COMPUTED_VALUE"""),"0x40e202d737d55c8ccd76fa7d48ff2bbb071b2bc1")</f>
        <v>0x40e202d737d55c8ccd76fa7d48ff2bbb071b2bc1</v>
      </c>
      <c r="J25" s="18">
        <v>3.9815159051215003</v>
      </c>
      <c r="K25" s="4">
        <v>49.768948814018756</v>
      </c>
      <c r="L25" s="19">
        <v>4.976894881401876E19</v>
      </c>
      <c r="M25" s="20">
        <v>4.976894881401875E18</v>
      </c>
    </row>
    <row r="26">
      <c r="A26" s="6"/>
      <c r="B26" s="6"/>
      <c r="C26" s="4"/>
      <c r="D26" s="4">
        <v>5.40691424293286</v>
      </c>
      <c r="E26" s="4" t="s">
        <v>52</v>
      </c>
      <c r="F26" s="4"/>
      <c r="G26" s="4"/>
      <c r="H26" s="4"/>
      <c r="I26" s="4" t="str">
        <f>IFERROR(__xludf.DUMMYFUNCTION("""COMPUTED_VALUE"""),"0x02e20a1cdaa83b3ba759f7f71fab45af37e3c4e6")</f>
        <v>0x02e20a1cdaa83b3ba759f7f71fab45af37e3c4e6</v>
      </c>
      <c r="J26" s="18">
        <v>5.40691424293286</v>
      </c>
      <c r="K26" s="4">
        <v>67.58642803666075</v>
      </c>
      <c r="L26" s="19">
        <v>6.758642803666075E19</v>
      </c>
      <c r="M26" s="20">
        <v>6.758642803666076E18</v>
      </c>
    </row>
    <row r="27">
      <c r="A27" s="6"/>
      <c r="B27" s="6"/>
      <c r="C27" s="4"/>
      <c r="D27" s="4">
        <v>1.44252434976356</v>
      </c>
      <c r="E27" s="4" t="s">
        <v>54</v>
      </c>
      <c r="F27" s="4"/>
      <c r="G27" s="4"/>
      <c r="H27" s="4"/>
      <c r="I27" s="4" t="str">
        <f>IFERROR(__xludf.DUMMYFUNCTION("""COMPUTED_VALUE"""),"0x3c9c961f562ec7bcfe1b1ca8264c7c6aa086cbb0")</f>
        <v>0x3c9c961f562ec7bcfe1b1ca8264c7c6aa086cbb0</v>
      </c>
      <c r="J27" s="18">
        <v>38.57700195447566</v>
      </c>
      <c r="K27" s="4">
        <v>482.2125244309458</v>
      </c>
      <c r="L27" s="19">
        <v>4.822125244309458E20</v>
      </c>
      <c r="M27" s="20">
        <v>4.822125244309458E19</v>
      </c>
    </row>
    <row r="28">
      <c r="A28" s="6"/>
      <c r="B28" s="6"/>
      <c r="C28" s="4"/>
      <c r="D28" s="4">
        <v>1097.99396010294</v>
      </c>
      <c r="E28" s="4" t="s">
        <v>56</v>
      </c>
      <c r="F28" s="4"/>
      <c r="G28" s="4"/>
      <c r="H28" s="4"/>
      <c r="I28" s="4" t="str">
        <f>IFERROR(__xludf.DUMMYFUNCTION("""COMPUTED_VALUE"""),"0xfadb56a7b0cf6d498dbc8b2eee826e2f43f8a39c")</f>
        <v>0xfadb56a7b0cf6d498dbc8b2eee826e2f43f8a39c</v>
      </c>
      <c r="J28" s="18">
        <v>1332.3700479100364</v>
      </c>
      <c r="K28" s="4">
        <v>16654.625598875456</v>
      </c>
      <c r="L28" s="19">
        <v>1.6654625598875455E22</v>
      </c>
      <c r="M28" s="20">
        <v>1.6654625598875456E21</v>
      </c>
    </row>
    <row r="29">
      <c r="A29" s="6"/>
      <c r="B29" s="6"/>
      <c r="C29" s="4"/>
      <c r="D29" s="4">
        <v>5.51644686157293</v>
      </c>
      <c r="E29" s="4" t="s">
        <v>58</v>
      </c>
      <c r="F29" s="4"/>
      <c r="G29" s="4"/>
      <c r="H29" s="4"/>
      <c r="I29" s="4" t="str">
        <f>IFERROR(__xludf.DUMMYFUNCTION("""COMPUTED_VALUE"""),"0x05910495121d2a226906d19d815640fbe1e2cb47")</f>
        <v>0x05910495121d2a226906d19d815640fbe1e2cb47</v>
      </c>
      <c r="J29" s="18">
        <v>5.51644686157293</v>
      </c>
      <c r="K29" s="4">
        <v>68.95558576966162</v>
      </c>
      <c r="L29" s="19">
        <v>6.895558576966163E19</v>
      </c>
      <c r="M29" s="20">
        <v>6.895558576966163E18</v>
      </c>
    </row>
    <row r="30">
      <c r="A30" s="6"/>
      <c r="B30" s="6"/>
      <c r="C30" s="4"/>
      <c r="D30" s="4">
        <v>7.08004004896759</v>
      </c>
      <c r="E30" s="4" t="s">
        <v>60</v>
      </c>
      <c r="F30" s="4"/>
      <c r="G30" s="4"/>
      <c r="H30" s="4"/>
      <c r="I30" s="4" t="str">
        <f>IFERROR(__xludf.DUMMYFUNCTION("""COMPUTED_VALUE"""),"0x4205d5cea5431c8bf9371b82acd9bd3c97cafa18")</f>
        <v>0x4205d5cea5431c8bf9371b82acd9bd3c97cafa18</v>
      </c>
      <c r="J30" s="18">
        <v>7.08004004896759</v>
      </c>
      <c r="K30" s="4">
        <v>88.50050061209488</v>
      </c>
      <c r="L30" s="19">
        <v>8.850050061209489E19</v>
      </c>
      <c r="M30" s="20">
        <v>8.850050061209489E18</v>
      </c>
    </row>
    <row r="31">
      <c r="A31" s="6"/>
      <c r="B31" s="6"/>
      <c r="C31" s="4"/>
      <c r="D31" s="4">
        <v>13.204796434352598</v>
      </c>
      <c r="E31" s="4" t="s">
        <v>62</v>
      </c>
      <c r="F31" s="4"/>
      <c r="G31" s="4"/>
      <c r="H31" s="4"/>
      <c r="I31" s="4" t="str">
        <f>IFERROR(__xludf.DUMMYFUNCTION("""COMPUTED_VALUE"""),"0x7dc442b4e2ffe6467bef67700f655974b6867cea")</f>
        <v>0x7dc442b4e2ffe6467bef67700f655974b6867cea</v>
      </c>
      <c r="J31" s="18">
        <v>13.204796434352598</v>
      </c>
      <c r="K31" s="4">
        <v>165.05995542940747</v>
      </c>
      <c r="L31" s="19">
        <v>1.6505995542940746E20</v>
      </c>
      <c r="M31" s="20">
        <v>1.6505995542940746E19</v>
      </c>
    </row>
    <row r="32">
      <c r="A32" s="6"/>
      <c r="B32" s="6"/>
      <c r="C32" s="4"/>
      <c r="D32" s="4">
        <v>7.31752543063106</v>
      </c>
      <c r="E32" s="4" t="s">
        <v>64</v>
      </c>
      <c r="F32" s="4"/>
      <c r="G32" s="4"/>
      <c r="H32" s="4"/>
      <c r="I32" s="4" t="str">
        <f>IFERROR(__xludf.DUMMYFUNCTION("""COMPUTED_VALUE"""),"0x3795ecbd018fa3c4a0c1cc17e123f97b727de3c5")</f>
        <v>0x3795ecbd018fa3c4a0c1cc17e123f97b727de3c5</v>
      </c>
      <c r="J32" s="18">
        <v>7.31752543063106</v>
      </c>
      <c r="K32" s="4">
        <v>91.46906788288825</v>
      </c>
      <c r="L32" s="19">
        <v>9.146906788288825E19</v>
      </c>
      <c r="M32" s="20">
        <v>9.146906788288825E18</v>
      </c>
    </row>
    <row r="33">
      <c r="A33" s="6"/>
      <c r="B33" s="6"/>
      <c r="C33" s="4"/>
      <c r="D33" s="4">
        <v>17.052290642671</v>
      </c>
      <c r="E33" s="4" t="s">
        <v>66</v>
      </c>
      <c r="F33" s="4"/>
      <c r="G33" s="4"/>
      <c r="H33" s="4"/>
      <c r="I33" s="4" t="str">
        <f>IFERROR(__xludf.DUMMYFUNCTION("""COMPUTED_VALUE"""),"0xaee9cfe0aa8c57ff28a300f820f56d064a288054")</f>
        <v>0xaee9cfe0aa8c57ff28a300f820f56d064a288054</v>
      </c>
      <c r="J33" s="18">
        <v>17.052290642671</v>
      </c>
      <c r="K33" s="4">
        <v>213.1536330333875</v>
      </c>
      <c r="L33" s="19">
        <v>2.131536330333875E20</v>
      </c>
      <c r="M33" s="20">
        <v>2.131536330333875E19</v>
      </c>
    </row>
    <row r="34">
      <c r="A34" s="6"/>
      <c r="B34" s="6"/>
      <c r="C34" s="4"/>
      <c r="D34" s="4">
        <v>12.4144214548498</v>
      </c>
      <c r="E34" s="4" t="s">
        <v>68</v>
      </c>
      <c r="F34" s="4"/>
      <c r="G34" s="4"/>
      <c r="H34" s="4"/>
      <c r="I34" s="4" t="str">
        <f>IFERROR(__xludf.DUMMYFUNCTION("""COMPUTED_VALUE"""),"0x710ad656c7375e8a42afdc7484e87f2f50bb389b")</f>
        <v>0x710ad656c7375e8a42afdc7484e87f2f50bb389b</v>
      </c>
      <c r="J34" s="18">
        <v>12.4144214548498</v>
      </c>
      <c r="K34" s="4">
        <v>155.18026818562248</v>
      </c>
      <c r="L34" s="19">
        <v>1.5518026818562248E20</v>
      </c>
      <c r="M34" s="20">
        <v>1.5518026818562249E19</v>
      </c>
    </row>
    <row r="35">
      <c r="A35" s="6"/>
      <c r="B35" s="6"/>
      <c r="C35" s="4"/>
      <c r="D35" s="4">
        <v>7.2674331801114</v>
      </c>
      <c r="E35" s="4" t="s">
        <v>70</v>
      </c>
      <c r="F35" s="4"/>
      <c r="G35" s="4"/>
      <c r="H35" s="4"/>
      <c r="I35" s="4" t="str">
        <f>IFERROR(__xludf.DUMMYFUNCTION("""COMPUTED_VALUE"""),"0xadb001e1078b17654872ca7fdfb5f1f9b576dffd")</f>
        <v>0xadb001e1078b17654872ca7fdfb5f1f9b576dffd</v>
      </c>
      <c r="J35" s="18">
        <v>7.2674331801114</v>
      </c>
      <c r="K35" s="4">
        <v>90.8429147513925</v>
      </c>
      <c r="L35" s="19">
        <v>9.08429147513925E19</v>
      </c>
      <c r="M35" s="20">
        <v>9.08429147513925E18</v>
      </c>
    </row>
    <row r="36">
      <c r="A36" s="6"/>
      <c r="B36" s="6"/>
      <c r="C36" s="4"/>
      <c r="D36" s="4">
        <v>0.706854166256517</v>
      </c>
      <c r="E36" s="4" t="s">
        <v>72</v>
      </c>
      <c r="F36" s="4"/>
      <c r="G36" s="4"/>
      <c r="H36" s="4"/>
      <c r="I36" s="4" t="str">
        <f>IFERROR(__xludf.DUMMYFUNCTION("""COMPUTED_VALUE"""),"0xf2e2c98164ac3f4931ce56e2721d44a00455e55f")</f>
        <v>0xf2e2c98164ac3f4931ce56e2721d44a00455e55f</v>
      </c>
      <c r="J36" s="18">
        <v>235.08294197335312</v>
      </c>
      <c r="K36" s="4">
        <v>2938.536774666914</v>
      </c>
      <c r="L36" s="19">
        <v>2.938536774666914E21</v>
      </c>
      <c r="M36" s="20">
        <v>2.9385367746669144E20</v>
      </c>
    </row>
    <row r="37">
      <c r="A37" s="6"/>
      <c r="B37" s="6"/>
      <c r="C37" s="4"/>
      <c r="D37" s="4">
        <v>7.0685416625651705</v>
      </c>
      <c r="E37" s="4" t="s">
        <v>74</v>
      </c>
      <c r="F37" s="4"/>
      <c r="G37" s="4"/>
      <c r="H37" s="4"/>
      <c r="I37" s="4" t="str">
        <f>IFERROR(__xludf.DUMMYFUNCTION("""COMPUTED_VALUE"""),"0x4aa4fe7fa07cc200d131eae7a0becc2a56e9db83")</f>
        <v>0x4aa4fe7fa07cc200d131eae7a0becc2a56e9db83</v>
      </c>
      <c r="J37" s="18">
        <v>7.0685416625651705</v>
      </c>
      <c r="K37" s="4">
        <v>88.35677078206463</v>
      </c>
      <c r="L37" s="19">
        <v>8.835677078206462E19</v>
      </c>
      <c r="M37" s="20">
        <v>8.835677078206463E18</v>
      </c>
    </row>
    <row r="38">
      <c r="A38" s="6"/>
      <c r="B38" s="6"/>
      <c r="C38" s="4"/>
      <c r="D38" s="4">
        <v>1.30780278554748</v>
      </c>
      <c r="E38" s="4" t="s">
        <v>75</v>
      </c>
      <c r="F38" s="4"/>
      <c r="G38" s="4"/>
      <c r="H38" s="4"/>
      <c r="I38" s="4" t="str">
        <f>IFERROR(__xludf.DUMMYFUNCTION("""COMPUTED_VALUE"""),"0x498ff98e55ef5e6f2fc4f26ec6a4b4d909a055cd")</f>
        <v>0x498ff98e55ef5e6f2fc4f26ec6a4b4d909a055cd</v>
      </c>
      <c r="J38" s="18">
        <v>1.30780278554748</v>
      </c>
      <c r="K38" s="4">
        <v>16.3475348193435</v>
      </c>
      <c r="L38" s="19">
        <v>1.6347534819343501E19</v>
      </c>
      <c r="M38" s="20">
        <v>1.6347534819343503E18</v>
      </c>
    </row>
    <row r="39">
      <c r="A39" s="6"/>
      <c r="B39" s="6"/>
      <c r="C39" s="4"/>
      <c r="D39" s="4">
        <v>7.0685416625651705</v>
      </c>
      <c r="E39" s="4" t="s">
        <v>77</v>
      </c>
      <c r="F39" s="4"/>
      <c r="G39" s="4"/>
      <c r="H39" s="4"/>
      <c r="I39" s="4" t="str">
        <f>IFERROR(__xludf.DUMMYFUNCTION("""COMPUTED_VALUE"""),"0x4e2a06abd4403f61c36dc7f9a1661c9a4ba994b5")</f>
        <v>0x4e2a06abd4403f61c36dc7f9a1661c9a4ba994b5</v>
      </c>
      <c r="J39" s="18">
        <v>7.0685416625651705</v>
      </c>
      <c r="K39" s="4">
        <v>88.35677078206463</v>
      </c>
      <c r="L39" s="19">
        <v>8.835677078206462E19</v>
      </c>
      <c r="M39" s="20">
        <v>8.835677078206463E18</v>
      </c>
    </row>
    <row r="40">
      <c r="A40" s="6"/>
      <c r="B40" s="6"/>
      <c r="C40" s="4"/>
      <c r="D40" s="4">
        <v>18.1958122703349</v>
      </c>
      <c r="E40" s="4" t="s">
        <v>78</v>
      </c>
      <c r="F40" s="4"/>
      <c r="G40" s="4"/>
      <c r="H40" s="4"/>
      <c r="I40" s="4" t="str">
        <f>IFERROR(__xludf.DUMMYFUNCTION("""COMPUTED_VALUE"""),"0x4aa21e8335d20d6aa47e8819fd32bd9b49b2213f")</f>
        <v>0x4aa21e8335d20d6aa47e8819fd32bd9b49b2213f</v>
      </c>
      <c r="J40" s="18">
        <v>18.1958122703349</v>
      </c>
      <c r="K40" s="4">
        <v>227.44765337918625</v>
      </c>
      <c r="L40" s="19">
        <v>2.2744765337918626E20</v>
      </c>
      <c r="M40" s="20">
        <v>2.2744765337918628E19</v>
      </c>
    </row>
    <row r="41">
      <c r="A41" s="6"/>
      <c r="B41" s="6"/>
      <c r="C41" s="4"/>
      <c r="D41" s="4">
        <v>31.5113169255243</v>
      </c>
      <c r="E41" s="4" t="s">
        <v>80</v>
      </c>
      <c r="F41" s="4"/>
      <c r="G41" s="4"/>
      <c r="H41" s="4"/>
      <c r="I41" s="4" t="str">
        <f>IFERROR(__xludf.DUMMYFUNCTION("""COMPUTED_VALUE"""),"0xf3a95cfd15f14560858373fcbfa7077709f0d5a2")</f>
        <v>0xf3a95cfd15f14560858373fcbfa7077709f0d5a2</v>
      </c>
      <c r="J41" s="18">
        <v>198.0157528821793</v>
      </c>
      <c r="K41" s="4">
        <v>2475.196911027241</v>
      </c>
      <c r="L41" s="19">
        <v>2.4751969110272414E21</v>
      </c>
      <c r="M41" s="20">
        <v>2.4751969110272416E20</v>
      </c>
    </row>
    <row r="42">
      <c r="A42" s="6"/>
      <c r="B42" s="6"/>
      <c r="C42" s="4"/>
      <c r="D42" s="4">
        <v>0.351869869687023</v>
      </c>
      <c r="E42" s="4" t="s">
        <v>82</v>
      </c>
      <c r="F42" s="4"/>
      <c r="G42" s="4"/>
      <c r="H42" s="4"/>
      <c r="I42" s="4" t="str">
        <f>IFERROR(__xludf.DUMMYFUNCTION("""COMPUTED_VALUE"""),"0xaa2352e64f1e51fb73a4349257a58022c20231db")</f>
        <v>0xaa2352e64f1e51fb73a4349257a58022c20231db</v>
      </c>
      <c r="J42" s="18">
        <v>3.656502846617583</v>
      </c>
      <c r="K42" s="4">
        <v>45.70628558271979</v>
      </c>
      <c r="L42" s="19">
        <v>4.570628558271979E19</v>
      </c>
      <c r="M42" s="20">
        <v>4.570628558271979E18</v>
      </c>
    </row>
    <row r="43">
      <c r="A43" s="6"/>
      <c r="B43" s="6"/>
      <c r="C43" s="4"/>
      <c r="D43" s="4">
        <v>0.316749817750523</v>
      </c>
      <c r="E43" s="4" t="s">
        <v>84</v>
      </c>
      <c r="F43" s="4"/>
      <c r="G43" s="4"/>
      <c r="H43" s="4"/>
      <c r="I43" s="4" t="str">
        <f>IFERROR(__xludf.DUMMYFUNCTION("""COMPUTED_VALUE"""),"0xe1b1d29a14faa0d43bfcc6a6a8b3856011af2746")</f>
        <v>0xe1b1d29a14faa0d43bfcc6a6a8b3856011af2746</v>
      </c>
      <c r="J43" s="18">
        <v>234.6928376248471</v>
      </c>
      <c r="K43" s="4">
        <v>2933.6604703105886</v>
      </c>
      <c r="L43" s="19">
        <v>2.9336604703105886E21</v>
      </c>
      <c r="M43" s="20">
        <v>2.933660470310589E20</v>
      </c>
    </row>
    <row r="44">
      <c r="A44" s="6"/>
      <c r="B44" s="6"/>
      <c r="C44" s="4"/>
      <c r="D44" s="4">
        <v>24.7398958189781</v>
      </c>
      <c r="E44" s="4" t="s">
        <v>86</v>
      </c>
      <c r="F44" s="4"/>
      <c r="G44" s="4"/>
      <c r="H44" s="4"/>
      <c r="I44" s="4" t="str">
        <f>IFERROR(__xludf.DUMMYFUNCTION("""COMPUTED_VALUE"""),"0xebf911299a4350165f8045bd773a8872010565ad")</f>
        <v>0xebf911299a4350165f8045bd773a8872010565ad</v>
      </c>
      <c r="J44" s="18">
        <v>24.7398958189781</v>
      </c>
      <c r="K44" s="4">
        <v>309.2486977372262</v>
      </c>
      <c r="L44" s="19">
        <v>3.092486977372262E20</v>
      </c>
      <c r="M44" s="20">
        <v>3.0924869773722624E19</v>
      </c>
    </row>
    <row r="45">
      <c r="A45" s="6"/>
      <c r="B45" s="6"/>
      <c r="C45" s="4"/>
      <c r="D45" s="4">
        <v>6.91378276892563</v>
      </c>
      <c r="E45" s="4" t="s">
        <v>88</v>
      </c>
      <c r="F45" s="4"/>
      <c r="G45" s="4"/>
      <c r="H45" s="4"/>
      <c r="I45" s="4" t="str">
        <f>IFERROR(__xludf.DUMMYFUNCTION("""COMPUTED_VALUE"""),"0xd967282b7ecb3b982396f22646d94912b153a58a")</f>
        <v>0xd967282b7ecb3b982396f22646d94912b153a58a</v>
      </c>
      <c r="J45" s="18">
        <v>6.91378276892563</v>
      </c>
      <c r="K45" s="4">
        <v>86.42228461157038</v>
      </c>
      <c r="L45" s="19">
        <v>8.642228461157037E19</v>
      </c>
      <c r="M45" s="20">
        <v>8.642228461157037E18</v>
      </c>
    </row>
    <row r="46">
      <c r="A46" s="6"/>
      <c r="B46" s="6"/>
      <c r="C46" s="4"/>
      <c r="D46" s="4">
        <v>1.97919166551824</v>
      </c>
      <c r="E46" s="4" t="s">
        <v>90</v>
      </c>
      <c r="F46" s="4"/>
      <c r="G46" s="4"/>
      <c r="H46" s="4"/>
      <c r="I46" s="4" t="str">
        <f>IFERROR(__xludf.DUMMYFUNCTION("""COMPUTED_VALUE"""),"0x28d59cdc5cb8bad8f348c05448e2fc090d8d9601")</f>
        <v>0x28d59cdc5cb8bad8f348c05448e2fc090d8d9601</v>
      </c>
      <c r="J46" s="18">
        <v>1.97919166551824</v>
      </c>
      <c r="K46" s="4">
        <v>24.739895818978</v>
      </c>
      <c r="L46" s="19">
        <v>2.4739895818978E19</v>
      </c>
      <c r="M46" s="20">
        <v>2.4739895818978E18</v>
      </c>
    </row>
    <row r="47">
      <c r="A47" s="6"/>
      <c r="B47" s="6"/>
      <c r="C47" s="4"/>
      <c r="D47" s="4">
        <v>7.10586462706588</v>
      </c>
      <c r="E47" s="4" t="s">
        <v>92</v>
      </c>
      <c r="F47" s="4"/>
      <c r="G47" s="4"/>
      <c r="H47" s="4"/>
      <c r="I47" s="4" t="str">
        <f>IFERROR(__xludf.DUMMYFUNCTION("""COMPUTED_VALUE"""),"0x47de8c24b17737df7d6dd3c6eee276e7296f1754")</f>
        <v>0x47de8c24b17737df7d6dd3c6eee276e7296f1754</v>
      </c>
      <c r="J47" s="18">
        <v>7.10586462706588</v>
      </c>
      <c r="K47" s="4">
        <v>88.82330783832349</v>
      </c>
      <c r="L47" s="19">
        <v>8.882330783832349E19</v>
      </c>
      <c r="M47" s="20">
        <v>8.88233078383235E18</v>
      </c>
    </row>
    <row r="48">
      <c r="A48" s="6"/>
      <c r="B48" s="6"/>
      <c r="C48" s="4"/>
      <c r="D48" s="4">
        <v>7.0685416625651705</v>
      </c>
      <c r="E48" s="4" t="s">
        <v>94</v>
      </c>
      <c r="F48" s="4"/>
      <c r="G48" s="4"/>
      <c r="H48" s="4"/>
      <c r="I48" s="4" t="str">
        <f>IFERROR(__xludf.DUMMYFUNCTION("""COMPUTED_VALUE"""),"0x1167d99c406f3be606cd8db020709c5f40856d94")</f>
        <v>0x1167d99c406f3be606cd8db020709c5f40856d94</v>
      </c>
      <c r="J48" s="18">
        <v>7.0685416625651705</v>
      </c>
      <c r="K48" s="4">
        <v>88.35677078206463</v>
      </c>
      <c r="L48" s="19">
        <v>8.835677078206462E19</v>
      </c>
      <c r="M48" s="20">
        <v>8.835677078206463E18</v>
      </c>
    </row>
    <row r="49">
      <c r="A49" s="6"/>
      <c r="B49" s="6"/>
      <c r="C49" s="4"/>
      <c r="D49" s="4">
        <v>14.005015878170301</v>
      </c>
      <c r="E49" s="4" t="s">
        <v>95</v>
      </c>
      <c r="F49" s="4"/>
      <c r="G49" s="4"/>
      <c r="H49" s="4"/>
      <c r="I49" s="4" t="str">
        <f>IFERROR(__xludf.DUMMYFUNCTION("""COMPUTED_VALUE"""),"0xe7e31d814c777d16c19eeb320d354d90c718d821")</f>
        <v>0xe7e31d814c777d16c19eeb320d354d90c718d821</v>
      </c>
      <c r="J49" s="18">
        <v>14.005015878170301</v>
      </c>
      <c r="K49" s="4">
        <v>175.06269847712875</v>
      </c>
      <c r="L49" s="19">
        <v>1.7506269847712874E20</v>
      </c>
      <c r="M49" s="20">
        <v>1.7506269847712874E19</v>
      </c>
    </row>
    <row r="50">
      <c r="A50" s="6"/>
      <c r="B50" s="6"/>
      <c r="C50" s="4"/>
      <c r="D50" s="4">
        <v>167.665808236045</v>
      </c>
      <c r="E50" s="4" t="s">
        <v>97</v>
      </c>
      <c r="F50" s="4"/>
      <c r="G50" s="4"/>
      <c r="H50" s="4"/>
      <c r="I50" s="4" t="str">
        <f>IFERROR(__xludf.DUMMYFUNCTION("""COMPUTED_VALUE"""),"0xe926ec993150b7513efbb9ba8103665805912877")</f>
        <v>0xe926ec993150b7513efbb9ba8103665805912877</v>
      </c>
      <c r="J50" s="18">
        <v>402.0418960431416</v>
      </c>
      <c r="K50" s="4">
        <v>5025.52370053927</v>
      </c>
      <c r="L50" s="19">
        <v>5.02552370053927E21</v>
      </c>
      <c r="M50" s="20">
        <v>5.02552370053927E20</v>
      </c>
    </row>
    <row r="51">
      <c r="A51" s="6"/>
      <c r="B51" s="6"/>
      <c r="C51" s="4"/>
      <c r="D51" s="4">
        <v>566.0138011611041</v>
      </c>
      <c r="E51" s="4" t="s">
        <v>99</v>
      </c>
      <c r="F51" s="4"/>
      <c r="G51" s="4"/>
      <c r="H51" s="4"/>
      <c r="I51" s="4" t="str">
        <f>IFERROR(__xludf.DUMMYFUNCTION("""COMPUTED_VALUE"""),"0x710751fde40475ae92c8b267a1e5738de609156a")</f>
        <v>0x710751fde40475ae92c8b267a1e5738de609156a</v>
      </c>
      <c r="J51" s="18">
        <v>566.0138011611041</v>
      </c>
      <c r="K51" s="4">
        <v>7075.172514513801</v>
      </c>
      <c r="L51" s="19">
        <v>7.075172514513801E21</v>
      </c>
      <c r="M51" s="20">
        <v>7.075172514513802E20</v>
      </c>
    </row>
    <row r="52">
      <c r="A52" s="6"/>
      <c r="B52" s="6"/>
      <c r="C52" s="4"/>
      <c r="D52" s="4">
        <v>44.8435650797891</v>
      </c>
      <c r="E52" s="4" t="s">
        <v>101</v>
      </c>
      <c r="F52" s="4"/>
      <c r="G52" s="4"/>
      <c r="H52" s="4"/>
      <c r="I52" s="4" t="str">
        <f>IFERROR(__xludf.DUMMYFUNCTION("""COMPUTED_VALUE"""),"0xab61914d7ceef1090a5538d5c0098c64cbec37b9")</f>
        <v>0xab61914d7ceef1090a5538d5c0098c64cbec37b9</v>
      </c>
      <c r="J52" s="18">
        <v>44.8435650797891</v>
      </c>
      <c r="K52" s="4">
        <v>560.5445634973638</v>
      </c>
      <c r="L52" s="19">
        <v>5.6054456349736383E20</v>
      </c>
      <c r="M52" s="20">
        <v>5.605445634973639E19</v>
      </c>
    </row>
    <row r="53">
      <c r="A53" s="6"/>
      <c r="B53" s="6"/>
      <c r="C53" s="4"/>
      <c r="D53" s="4">
        <v>49.4797916379562</v>
      </c>
      <c r="E53" s="4" t="s">
        <v>103</v>
      </c>
      <c r="F53" s="4"/>
      <c r="G53" s="4"/>
      <c r="H53" s="4"/>
      <c r="I53" s="4" t="str">
        <f>IFERROR(__xludf.DUMMYFUNCTION("""COMPUTED_VALUE"""),"0x722d2fc3be44dcf33bfb67c27c308a9f58893293")</f>
        <v>0x722d2fc3be44dcf33bfb67c27c308a9f58893293</v>
      </c>
      <c r="J53" s="18">
        <v>97.8439192375528</v>
      </c>
      <c r="K53" s="4">
        <v>1223.04899046941</v>
      </c>
      <c r="L53" s="19">
        <v>1.22304899046941E21</v>
      </c>
      <c r="M53" s="20">
        <v>1.22304899046941E20</v>
      </c>
    </row>
    <row r="54">
      <c r="A54" s="6"/>
      <c r="B54" s="6"/>
      <c r="C54" s="4"/>
      <c r="D54" s="4">
        <v>13.8474391445196</v>
      </c>
      <c r="E54" s="4" t="s">
        <v>105</v>
      </c>
      <c r="F54" s="4"/>
      <c r="G54" s="4"/>
      <c r="H54" s="4"/>
      <c r="I54" s="4" t="str">
        <f>IFERROR(__xludf.DUMMYFUNCTION("""COMPUTED_VALUE"""),"0x5eb0c03b73f7e910ccca99fa9a161c267c966dfd")</f>
        <v>0x5eb0c03b73f7e910ccca99fa9a161c267c966dfd</v>
      </c>
      <c r="J54" s="18">
        <v>13.8474391445196</v>
      </c>
      <c r="K54" s="4">
        <v>173.09298930649499</v>
      </c>
      <c r="L54" s="19">
        <v>1.7309298930649498E20</v>
      </c>
      <c r="M54" s="20">
        <v>1.7309298930649498E19</v>
      </c>
    </row>
    <row r="55">
      <c r="A55" s="6"/>
      <c r="B55" s="6"/>
      <c r="C55" s="4"/>
      <c r="D55" s="4">
        <v>1053.36962934711</v>
      </c>
      <c r="E55" s="4" t="s">
        <v>107</v>
      </c>
      <c r="F55" s="4"/>
      <c r="G55" s="4"/>
      <c r="H55" s="4"/>
      <c r="I55" s="4" t="str">
        <f>IFERROR(__xludf.DUMMYFUNCTION("""COMPUTED_VALUE"""),"0x092cda2230d41979999fdd210af1b73a7da46ce4")</f>
        <v>0x092cda2230d41979999fdd210af1b73a7da46ce4</v>
      </c>
      <c r="J55" s="18">
        <v>1287.7457171542067</v>
      </c>
      <c r="K55" s="4">
        <v>16096.821464427583</v>
      </c>
      <c r="L55" s="19">
        <v>1.6096821464427584E22</v>
      </c>
      <c r="M55" s="20">
        <v>1.6096821464427586E21</v>
      </c>
    </row>
    <row r="56">
      <c r="A56" s="6"/>
      <c r="B56" s="6"/>
      <c r="C56" s="4"/>
      <c r="D56" s="4">
        <v>185.748226062759</v>
      </c>
      <c r="E56" s="4" t="s">
        <v>109</v>
      </c>
      <c r="F56" s="4"/>
      <c r="G56" s="4"/>
      <c r="H56" s="4"/>
      <c r="I56" s="4" t="str">
        <f>IFERROR(__xludf.DUMMYFUNCTION("""COMPUTED_VALUE"""),"0x9f4aad857799731c44cce345ee39a5639472904c")</f>
        <v>0x9f4aad857799731c44cce345ee39a5639472904c</v>
      </c>
      <c r="J56" s="18">
        <v>185.748226062759</v>
      </c>
      <c r="K56" s="4">
        <v>2321.8528257844873</v>
      </c>
      <c r="L56" s="19">
        <v>2.3218528257844872E21</v>
      </c>
      <c r="M56" s="20">
        <v>2.3218528257844874E20</v>
      </c>
    </row>
    <row r="57">
      <c r="A57" s="6"/>
      <c r="B57" s="6"/>
      <c r="C57" s="4"/>
      <c r="D57" s="4">
        <v>3.3242477966737605</v>
      </c>
      <c r="E57" s="4" t="s">
        <v>111</v>
      </c>
      <c r="F57" s="4"/>
      <c r="G57" s="4"/>
      <c r="H57" s="4"/>
      <c r="I57" s="4" t="str">
        <f>IFERROR(__xludf.DUMMYFUNCTION("""COMPUTED_VALUE"""),"0xa18ad530c4f1d77517e06bb609ed06a351e0be95")</f>
        <v>0xa18ad530c4f1d77517e06bb609ed06a351e0be95</v>
      </c>
      <c r="J57" s="18">
        <v>3.3242477966737605</v>
      </c>
      <c r="K57" s="4">
        <v>41.553097458422</v>
      </c>
      <c r="L57" s="19">
        <v>4.1553097458422006E19</v>
      </c>
      <c r="M57" s="20">
        <v>4.1553097458422006E18</v>
      </c>
    </row>
    <row r="58">
      <c r="A58" s="6"/>
      <c r="B58" s="6"/>
      <c r="C58" s="4"/>
      <c r="D58" s="4">
        <v>18.4990418814135</v>
      </c>
      <c r="E58" s="4" t="s">
        <v>113</v>
      </c>
      <c r="F58" s="4"/>
      <c r="G58" s="4"/>
      <c r="H58" s="4"/>
      <c r="I58" s="4" t="str">
        <f>IFERROR(__xludf.DUMMYFUNCTION("""COMPUTED_VALUE"""),"0x55ccdd0c0a0ed989a83d0948f85234dfb893ec6c")</f>
        <v>0x55ccdd0c0a0ed989a83d0948f85234dfb893ec6c</v>
      </c>
      <c r="J58" s="18">
        <v>21.17762486249697</v>
      </c>
      <c r="K58" s="4">
        <v>264.7203107812121</v>
      </c>
      <c r="L58" s="19">
        <v>2.647203107812121E20</v>
      </c>
      <c r="M58" s="20">
        <v>2.647203107812121E19</v>
      </c>
    </row>
    <row r="59">
      <c r="A59" s="6"/>
      <c r="B59" s="6"/>
      <c r="C59" s="4"/>
      <c r="D59" s="4">
        <v>7.57232477124163</v>
      </c>
      <c r="E59" s="4" t="s">
        <v>115</v>
      </c>
      <c r="F59" s="4"/>
      <c r="G59" s="4"/>
      <c r="H59" s="4"/>
      <c r="I59" s="4" t="str">
        <f>IFERROR(__xludf.DUMMYFUNCTION("""COMPUTED_VALUE"""),"0xb8d2b6bb061ec3271f68bff7e917ff523f95e485")</f>
        <v>0xb8d2b6bb061ec3271f68bff7e917ff523f95e485</v>
      </c>
      <c r="J59" s="18">
        <v>7.57232477124163</v>
      </c>
      <c r="K59" s="4">
        <v>94.65405964052037</v>
      </c>
      <c r="L59" s="19">
        <v>9.465405964052038E19</v>
      </c>
      <c r="M59" s="20">
        <v>9.465405964052038E18</v>
      </c>
    </row>
    <row r="60">
      <c r="A60" s="6"/>
      <c r="B60" s="6"/>
      <c r="C60" s="4"/>
      <c r="D60" s="4">
        <v>99.33591310115631</v>
      </c>
      <c r="E60" s="4" t="s">
        <v>117</v>
      </c>
      <c r="F60" s="4"/>
      <c r="G60" s="4"/>
      <c r="H60" s="4"/>
      <c r="I60" s="4" t="str">
        <f>IFERROR(__xludf.DUMMYFUNCTION("""COMPUTED_VALUE"""),"0x3b6ba58ca6cfc4191694aeabd415bb579bcf95c9")</f>
        <v>0x3b6ba58ca6cfc4191694aeabd415bb579bcf95c9</v>
      </c>
      <c r="J60" s="18">
        <v>333.7120009082529</v>
      </c>
      <c r="K60" s="4">
        <v>4171.400011353161</v>
      </c>
      <c r="L60" s="19">
        <v>4.171400011353161E21</v>
      </c>
      <c r="M60" s="20">
        <v>4.171400011353162E20</v>
      </c>
    </row>
    <row r="61">
      <c r="A61" s="6"/>
      <c r="B61" s="6"/>
      <c r="C61" s="4"/>
      <c r="D61" s="4">
        <v>1.96806885116116</v>
      </c>
      <c r="E61" s="4" t="s">
        <v>119</v>
      </c>
      <c r="F61" s="4"/>
      <c r="G61" s="4"/>
      <c r="H61" s="4"/>
      <c r="I61" s="4" t="str">
        <f>IFERROR(__xludf.DUMMYFUNCTION("""COMPUTED_VALUE"""),"0xf9ce98fd4a9c80ab572a063bbc992029fb91f89b")</f>
        <v>0xf9ce98fd4a9c80ab572a063bbc992029fb91f89b</v>
      </c>
      <c r="J61" s="18">
        <v>14.84735564047956</v>
      </c>
      <c r="K61" s="4">
        <v>185.5919455059945</v>
      </c>
      <c r="L61" s="19">
        <v>1.8559194550599447E20</v>
      </c>
      <c r="M61" s="20">
        <v>1.8559194550599447E19</v>
      </c>
    </row>
    <row r="62">
      <c r="A62" s="6"/>
      <c r="B62" s="6"/>
      <c r="C62" s="4"/>
      <c r="D62" s="4">
        <v>4.92837057895755</v>
      </c>
      <c r="E62" s="4" t="s">
        <v>121</v>
      </c>
      <c r="F62" s="4"/>
      <c r="G62" s="4"/>
      <c r="H62" s="4"/>
      <c r="I62" s="4" t="str">
        <f>IFERROR(__xludf.DUMMYFUNCTION("""COMPUTED_VALUE"""),"0xb84ca0100c87d8bb55b16e2cafd2c81cdf7e98c1")</f>
        <v>0xb84ca0100c87d8bb55b16e2cafd2c81cdf7e98c1</v>
      </c>
      <c r="J62" s="18">
        <v>4.92837057895755</v>
      </c>
      <c r="K62" s="4">
        <v>61.604632236969366</v>
      </c>
      <c r="L62" s="19">
        <v>6.160463223696937E19</v>
      </c>
      <c r="M62" s="20">
        <v>6.160463223696937E18</v>
      </c>
    </row>
    <row r="63">
      <c r="A63" s="6"/>
      <c r="B63" s="6"/>
      <c r="C63" s="4"/>
      <c r="D63" s="4">
        <v>1.2864974648699299</v>
      </c>
      <c r="E63" s="4" t="s">
        <v>123</v>
      </c>
      <c r="F63" s="4"/>
      <c r="G63" s="4"/>
      <c r="H63" s="4"/>
      <c r="I63" s="4" t="str">
        <f>IFERROR(__xludf.DUMMYFUNCTION("""COMPUTED_VALUE"""),"0x9026c69e1a6092249fa21f5a00b5dcb8c1e88318")</f>
        <v>0x9026c69e1a6092249fa21f5a00b5dcb8c1e88318</v>
      </c>
      <c r="J63" s="18">
        <v>235.66258527196652</v>
      </c>
      <c r="K63" s="4">
        <v>2945.7823158995816</v>
      </c>
      <c r="L63" s="19">
        <v>2.9457823158995816E21</v>
      </c>
      <c r="M63" s="20">
        <v>2.945782315899582E20</v>
      </c>
    </row>
    <row r="64">
      <c r="A64" s="6"/>
      <c r="B64" s="6"/>
      <c r="C64" s="4"/>
      <c r="D64" s="4">
        <v>11.6501610561392</v>
      </c>
      <c r="E64" s="4" t="s">
        <v>125</v>
      </c>
      <c r="F64" s="4"/>
      <c r="G64" s="4"/>
      <c r="H64" s="4"/>
      <c r="I64" s="4" t="str">
        <f>IFERROR(__xludf.DUMMYFUNCTION("""COMPUTED_VALUE"""),"0xf7d284e6612f9b486819c85236f699c1fa1faf76")</f>
        <v>0xf7d284e6612f9b486819c85236f699c1fa1faf76</v>
      </c>
      <c r="J64" s="18">
        <v>60.0142886557358</v>
      </c>
      <c r="K64" s="4">
        <v>750.1786081966975</v>
      </c>
      <c r="L64" s="19">
        <v>7.501786081966975E20</v>
      </c>
      <c r="M64" s="20">
        <v>7.501786081966975E19</v>
      </c>
    </row>
    <row r="65">
      <c r="A65" s="6"/>
      <c r="B65" s="6"/>
      <c r="C65" s="4"/>
      <c r="D65" s="4">
        <v>1.71373048897171</v>
      </c>
      <c r="E65" s="4" t="s">
        <v>127</v>
      </c>
      <c r="F65" s="4"/>
      <c r="G65" s="4"/>
      <c r="H65" s="4"/>
      <c r="I65" s="4" t="str">
        <f>IFERROR(__xludf.DUMMYFUNCTION("""COMPUTED_VALUE"""),"0x98cccd2975b00ae49fa7b861e5613948f0ce7a97")</f>
        <v>0x98cccd2975b00ae49fa7b861e5613948f0ce7a97</v>
      </c>
      <c r="J65" s="18">
        <v>50.07785808856831</v>
      </c>
      <c r="K65" s="4">
        <v>625.9732261071039</v>
      </c>
      <c r="L65" s="19">
        <v>6.259732261071039E20</v>
      </c>
      <c r="M65" s="20">
        <v>6.259732261071039E19</v>
      </c>
    </row>
    <row r="66">
      <c r="A66" s="6"/>
      <c r="B66" s="6"/>
      <c r="C66" s="4"/>
      <c r="D66" s="4">
        <v>7.031161549459431</v>
      </c>
      <c r="E66" s="4" t="s">
        <v>129</v>
      </c>
      <c r="F66" s="4"/>
      <c r="G66" s="4"/>
      <c r="H66" s="4"/>
      <c r="I66" s="4" t="str">
        <f>IFERROR(__xludf.DUMMYFUNCTION("""COMPUTED_VALUE"""),"0x83acb695210c0ef1d3338a8e0a0b0ca75eedacae")</f>
        <v>0x83acb695210c0ef1d3338a8e0a0b0ca75eedacae</v>
      </c>
      <c r="J66" s="18">
        <v>54.83463109030283</v>
      </c>
      <c r="K66" s="4">
        <v>685.4328886287853</v>
      </c>
      <c r="L66" s="19">
        <v>6.854328886287853E20</v>
      </c>
      <c r="M66" s="20">
        <v>6.854328886287853E19</v>
      </c>
    </row>
    <row r="67">
      <c r="A67" s="6"/>
      <c r="B67" s="6"/>
      <c r="C67" s="4"/>
      <c r="D67" s="4">
        <v>106.727005206442</v>
      </c>
      <c r="E67" s="4" t="s">
        <v>131</v>
      </c>
      <c r="F67" s="4"/>
      <c r="G67" s="4"/>
      <c r="H67" s="4"/>
      <c r="I67" s="4" t="str">
        <f>IFERROR(__xludf.DUMMYFUNCTION("""COMPUTED_VALUE"""),"0x36cc35145dbea5a020ddde8c37818996c0f3480c")</f>
        <v>0x36cc35145dbea5a020ddde8c37818996c0f3480c</v>
      </c>
      <c r="J67" s="18">
        <v>341.10309301353857</v>
      </c>
      <c r="K67" s="4">
        <v>4263.788662669232</v>
      </c>
      <c r="L67" s="19">
        <v>4.263788662669232E21</v>
      </c>
      <c r="M67" s="20">
        <v>4.263788662669232E20</v>
      </c>
    </row>
    <row r="68">
      <c r="A68" s="6"/>
      <c r="B68" s="6"/>
      <c r="C68" s="4"/>
      <c r="D68" s="4">
        <v>536.643683021947</v>
      </c>
      <c r="E68" s="4" t="s">
        <v>133</v>
      </c>
      <c r="F68" s="4"/>
      <c r="G68" s="4"/>
      <c r="H68" s="4"/>
      <c r="I68" s="4" t="str">
        <f>IFERROR(__xludf.DUMMYFUNCTION("""COMPUTED_VALUE"""),"0x5dc1af17c2a8d677654683d152fe6bb8b40a2fa2")</f>
        <v>0x5dc1af17c2a8d677654683d152fe6bb8b40a2fa2</v>
      </c>
      <c r="J68" s="18">
        <v>771.0197708290436</v>
      </c>
      <c r="K68" s="4">
        <v>9637.747135363044</v>
      </c>
      <c r="L68" s="19">
        <v>9.637747135363045E21</v>
      </c>
      <c r="M68" s="20">
        <v>9.637747135363045E20</v>
      </c>
    </row>
    <row r="69">
      <c r="A69" s="6"/>
      <c r="B69" s="6"/>
      <c r="C69" s="4"/>
      <c r="D69" s="4">
        <v>2069.54250683973</v>
      </c>
      <c r="E69" s="4" t="s">
        <v>135</v>
      </c>
      <c r="F69" s="4"/>
      <c r="G69" s="4"/>
      <c r="H69" s="4"/>
      <c r="I69" s="4" t="str">
        <f>IFERROR(__xludf.DUMMYFUNCTION("""COMPUTED_VALUE"""),"0x39bbb8c321fdf88804c4f82487cb91115f1ec780")</f>
        <v>0x39bbb8c321fdf88804c4f82487cb91115f1ec780</v>
      </c>
      <c r="J69" s="18">
        <v>2303.9185946468265</v>
      </c>
      <c r="K69" s="4">
        <v>28798.98243308533</v>
      </c>
      <c r="L69" s="19">
        <v>2.879898243308533E22</v>
      </c>
      <c r="M69" s="20">
        <v>2.8798982433085336E21</v>
      </c>
    </row>
    <row r="70">
      <c r="A70" s="6"/>
      <c r="B70" s="6"/>
      <c r="C70" s="4"/>
      <c r="D70" s="4">
        <v>6.61980246750754</v>
      </c>
      <c r="E70" s="4" t="s">
        <v>137</v>
      </c>
      <c r="F70" s="4"/>
      <c r="G70" s="4"/>
      <c r="H70" s="4"/>
      <c r="I70" s="4" t="str">
        <f>IFERROR(__xludf.DUMMYFUNCTION("""COMPUTED_VALUE"""),"0xe12a20eaf5b10ebce026e67ce48610eebd0f2ac2")</f>
        <v>0xe12a20eaf5b10ebce026e67ce48610eebd0f2ac2</v>
      </c>
      <c r="J70" s="18">
        <v>6.61980246750754</v>
      </c>
      <c r="K70" s="4">
        <v>82.74753084384425</v>
      </c>
      <c r="L70" s="19">
        <v>8.274753084384425E19</v>
      </c>
      <c r="M70" s="20">
        <v>8.274753084384425E18</v>
      </c>
    </row>
    <row r="71">
      <c r="A71" s="6"/>
      <c r="B71" s="6"/>
      <c r="C71" s="4"/>
      <c r="D71" s="4">
        <v>17.6713541564129</v>
      </c>
      <c r="E71" s="4" t="s">
        <v>139</v>
      </c>
      <c r="F71" s="4"/>
      <c r="G71" s="4"/>
      <c r="H71" s="4"/>
      <c r="I71" s="4" t="str">
        <f>IFERROR(__xludf.DUMMYFUNCTION("""COMPUTED_VALUE"""),"0xeaf88464b5628f666dc88577d20de97c79f10428")</f>
        <v>0xeaf88464b5628f666dc88577d20de97c79f10428</v>
      </c>
      <c r="J71" s="18">
        <v>39.5319398314305</v>
      </c>
      <c r="K71" s="4">
        <v>494.14924789288125</v>
      </c>
      <c r="L71" s="19">
        <v>4.941492478928813E20</v>
      </c>
      <c r="M71" s="20">
        <v>4.941492478928813E19</v>
      </c>
    </row>
    <row r="72">
      <c r="A72" s="6"/>
      <c r="B72" s="6"/>
      <c r="C72" s="4"/>
      <c r="D72" s="4">
        <v>283.483918919373</v>
      </c>
      <c r="E72" s="4" t="s">
        <v>141</v>
      </c>
      <c r="F72" s="4"/>
      <c r="G72" s="4"/>
      <c r="H72" s="4"/>
      <c r="I72" s="4" t="str">
        <f>IFERROR(__xludf.DUMMYFUNCTION("""COMPUTED_VALUE"""),"0x439c2c8fe01335025c8b024ac9a2bf92444f5775")</f>
        <v>0x439c2c8fe01335025c8b024ac9a2bf92444f5775</v>
      </c>
      <c r="J72" s="18">
        <v>283.483918919373</v>
      </c>
      <c r="K72" s="4">
        <v>3543.548986492163</v>
      </c>
      <c r="L72" s="19">
        <v>3.543548986492163E21</v>
      </c>
      <c r="M72" s="20">
        <v>3.543548986492163E20</v>
      </c>
    </row>
    <row r="73">
      <c r="A73" s="6"/>
      <c r="B73" s="6"/>
      <c r="C73" s="4"/>
      <c r="D73" s="4">
        <v>297.275398913804</v>
      </c>
      <c r="E73" s="4" t="s">
        <v>143</v>
      </c>
      <c r="F73" s="4"/>
      <c r="G73" s="4"/>
      <c r="H73" s="4"/>
      <c r="I73" s="4" t="str">
        <f>IFERROR(__xludf.DUMMYFUNCTION("""COMPUTED_VALUE"""),"0x28e68b92dd41d3aa2a469cb385a7bc04e85647e4")</f>
        <v>0x28e68b92dd41d3aa2a469cb385a7bc04e85647e4</v>
      </c>
      <c r="J73" s="18">
        <v>531.6514867209006</v>
      </c>
      <c r="K73" s="4">
        <v>6645.643584011257</v>
      </c>
      <c r="L73" s="19">
        <v>6.645643584011257E21</v>
      </c>
      <c r="M73" s="20">
        <v>6.645643584011258E20</v>
      </c>
    </row>
    <row r="74">
      <c r="A74" s="6"/>
      <c r="B74" s="6"/>
      <c r="C74" s="4"/>
      <c r="D74" s="4">
        <v>720.1430245821391</v>
      </c>
      <c r="E74" s="4" t="s">
        <v>145</v>
      </c>
      <c r="F74" s="4"/>
      <c r="G74" s="4"/>
      <c r="H74" s="4"/>
      <c r="I74" s="4" t="str">
        <f>IFERROR(__xludf.DUMMYFUNCTION("""COMPUTED_VALUE"""),"0xe3fdc35660f39d20eea4abfa64782ea024beeb9b")</f>
        <v>0xe3fdc35660f39d20eea4abfa64782ea024beeb9b</v>
      </c>
      <c r="J74" s="18">
        <v>720.1430245821391</v>
      </c>
      <c r="K74" s="4">
        <v>9001.787807276738</v>
      </c>
      <c r="L74" s="19">
        <v>9.001787807276738E21</v>
      </c>
      <c r="M74" s="20">
        <v>9.001787807276739E20</v>
      </c>
    </row>
    <row r="75">
      <c r="A75" s="6"/>
      <c r="B75" s="6"/>
      <c r="C75" s="4"/>
      <c r="D75" s="4">
        <v>7.31611836305206</v>
      </c>
      <c r="E75" s="4" t="s">
        <v>147</v>
      </c>
      <c r="F75" s="4"/>
      <c r="G75" s="4"/>
      <c r="H75" s="4"/>
      <c r="I75" s="4" t="str">
        <f>IFERROR(__xludf.DUMMYFUNCTION("""COMPUTED_VALUE"""),"0xf1d1d20db01d283b3baf524c69695d161e2b5f1e")</f>
        <v>0xf1d1d20db01d283b3baf524c69695d161e2b5f1e</v>
      </c>
      <c r="J75" s="18">
        <v>7.31611836305206</v>
      </c>
      <c r="K75" s="4">
        <v>91.45147953815075</v>
      </c>
      <c r="L75" s="19">
        <v>9.145147953815075E19</v>
      </c>
      <c r="M75" s="20">
        <v>9.145147953815076E18</v>
      </c>
    </row>
    <row r="76">
      <c r="A76" s="6"/>
      <c r="B76" s="6"/>
      <c r="C76" s="4"/>
      <c r="D76" s="4">
        <v>7.21951259976729</v>
      </c>
      <c r="E76" s="4" t="s">
        <v>149</v>
      </c>
      <c r="F76" s="4"/>
      <c r="G76" s="4"/>
      <c r="H76" s="4"/>
      <c r="I76" s="4" t="str">
        <f>IFERROR(__xludf.DUMMYFUNCTION("""COMPUTED_VALUE"""),"0xb4ca68c882c7642413f626f09ecda3f714f04943")</f>
        <v>0xb4ca68c882c7642413f626f09ecda3f714f04943</v>
      </c>
      <c r="J76" s="18">
        <v>7.21951259976729</v>
      </c>
      <c r="K76" s="4">
        <v>90.24390749709113</v>
      </c>
      <c r="L76" s="19">
        <v>9.024390749709112E19</v>
      </c>
      <c r="M76" s="20">
        <v>9.024390749709112E18</v>
      </c>
    </row>
    <row r="77">
      <c r="A77" s="6"/>
      <c r="B77" s="6"/>
      <c r="C77" s="4"/>
      <c r="D77" s="4">
        <v>21.346995820946802</v>
      </c>
      <c r="E77" s="4" t="s">
        <v>151</v>
      </c>
      <c r="F77" s="4"/>
      <c r="G77" s="4"/>
      <c r="H77" s="4"/>
      <c r="I77" s="4" t="str">
        <f>IFERROR(__xludf.DUMMYFUNCTION("""COMPUTED_VALUE"""),"0x10a0af198f0a9e05e534a8b9db91287099c5ad50")</f>
        <v>0x10a0af198f0a9e05e534a8b9db91287099c5ad50</v>
      </c>
      <c r="J77" s="18">
        <v>21.346995820946802</v>
      </c>
      <c r="K77" s="4">
        <v>266.837447761835</v>
      </c>
      <c r="L77" s="19">
        <v>2.66837447761835E20</v>
      </c>
      <c r="M77" s="20">
        <v>2.66837447761835E19</v>
      </c>
    </row>
    <row r="78">
      <c r="A78" s="6"/>
      <c r="B78" s="6"/>
      <c r="C78" s="4"/>
      <c r="D78" s="4">
        <v>73.3753103504036</v>
      </c>
      <c r="E78" s="4" t="s">
        <v>153</v>
      </c>
      <c r="F78" s="4"/>
      <c r="G78" s="4"/>
      <c r="H78" s="4"/>
      <c r="I78" s="4" t="str">
        <f>IFERROR(__xludf.DUMMYFUNCTION("""COMPUTED_VALUE"""),"0x077018a17317d8d5d761acbc2d33e32d15ebb916")</f>
        <v>0x077018a17317d8d5d761acbc2d33e32d15ebb916</v>
      </c>
      <c r="J78" s="18">
        <v>307.75139815750015</v>
      </c>
      <c r="K78" s="4">
        <v>3846.892476968752</v>
      </c>
      <c r="L78" s="19">
        <v>3.846892476968752E21</v>
      </c>
      <c r="M78" s="20">
        <v>3.846892476968752E20</v>
      </c>
    </row>
    <row r="79">
      <c r="A79" s="6"/>
      <c r="B79" s="6"/>
      <c r="C79" s="4"/>
      <c r="D79" s="4">
        <v>8.22275196756531</v>
      </c>
      <c r="E79" s="4" t="s">
        <v>155</v>
      </c>
      <c r="F79" s="4"/>
      <c r="G79" s="4"/>
      <c r="H79" s="4"/>
      <c r="I79" s="4" t="str">
        <f>IFERROR(__xludf.DUMMYFUNCTION("""COMPUTED_VALUE"""),"0xc44393552aa131d854c8e18ccb35fc176b6727f1")</f>
        <v>0xc44393552aa131d854c8e18ccb35fc176b6727f1</v>
      </c>
      <c r="J79" s="18">
        <v>22.656429345094587</v>
      </c>
      <c r="K79" s="4">
        <v>283.2053668136823</v>
      </c>
      <c r="L79" s="19">
        <v>2.832053668136823E20</v>
      </c>
      <c r="M79" s="20">
        <v>2.832053668136823E19</v>
      </c>
    </row>
    <row r="80">
      <c r="A80" s="6"/>
      <c r="B80" s="6"/>
      <c r="C80" s="4"/>
      <c r="D80" s="4">
        <v>0.272796896710816</v>
      </c>
      <c r="E80" s="4" t="s">
        <v>157</v>
      </c>
      <c r="F80" s="4"/>
      <c r="G80" s="4"/>
      <c r="H80" s="4"/>
      <c r="I80" s="4" t="str">
        <f>IFERROR(__xludf.DUMMYFUNCTION("""COMPUTED_VALUE"""),"0x66df9ea6a031fbfcd65f8cc873abfb9f921d09dc")</f>
        <v>0x66df9ea6a031fbfcd65f8cc873abfb9f921d09dc</v>
      </c>
      <c r="J80" s="18">
        <v>0.272796896710816</v>
      </c>
      <c r="K80" s="4">
        <v>3.4099612088851994</v>
      </c>
      <c r="L80" s="19">
        <v>3.4099612088851994E18</v>
      </c>
      <c r="M80" s="20">
        <v>3.4099612088851994E17</v>
      </c>
    </row>
    <row r="81">
      <c r="A81" s="6"/>
      <c r="B81" s="6"/>
      <c r="C81" s="4"/>
      <c r="D81" s="4">
        <v>14.1370833251303</v>
      </c>
      <c r="E81" s="4" t="s">
        <v>159</v>
      </c>
      <c r="F81" s="4"/>
      <c r="G81" s="4"/>
      <c r="H81" s="4"/>
      <c r="I81" s="4" t="str">
        <f>IFERROR(__xludf.DUMMYFUNCTION("""COMPUTED_VALUE"""),"0xad0f5c9690efeebebd8f0bd484712a52a8a739f2")</f>
        <v>0xad0f5c9690efeebebd8f0bd484712a52a8a739f2</v>
      </c>
      <c r="J81" s="18">
        <v>23.809908845049627</v>
      </c>
      <c r="K81" s="4">
        <v>297.62386056312033</v>
      </c>
      <c r="L81" s="19">
        <v>2.9762386056312036E20</v>
      </c>
      <c r="M81" s="20">
        <v>2.9762386056312037E19</v>
      </c>
    </row>
    <row r="82">
      <c r="A82" s="6"/>
      <c r="B82" s="6"/>
      <c r="C82" s="4"/>
      <c r="D82" s="4">
        <v>7.04933168419097</v>
      </c>
      <c r="E82" s="4" t="s">
        <v>161</v>
      </c>
      <c r="F82" s="4"/>
      <c r="G82" s="4"/>
      <c r="H82" s="4"/>
      <c r="I82" s="4" t="str">
        <f>IFERROR(__xludf.DUMMYFUNCTION("""COMPUTED_VALUE"""),"0xafe22541e09835423aee69e14a416b5c9449b6dc")</f>
        <v>0xafe22541e09835423aee69e14a416b5c9449b6dc</v>
      </c>
      <c r="J82" s="18">
        <v>7.04933168419097</v>
      </c>
      <c r="K82" s="4">
        <v>88.11664605238713</v>
      </c>
      <c r="L82" s="19">
        <v>8.811664605238713E19</v>
      </c>
      <c r="M82" s="20">
        <v>8.811664605238713E18</v>
      </c>
    </row>
    <row r="83">
      <c r="A83" s="6"/>
      <c r="B83" s="6"/>
      <c r="C83" s="4"/>
      <c r="D83" s="4">
        <v>0.835076855630669</v>
      </c>
      <c r="E83" s="4" t="s">
        <v>163</v>
      </c>
      <c r="F83" s="4"/>
      <c r="G83" s="4"/>
      <c r="H83" s="4"/>
      <c r="I83" s="4" t="str">
        <f>IFERROR(__xludf.DUMMYFUNCTION("""COMPUTED_VALUE"""),"0x78a191fe5158b1f64d6e9d7f3167b495fc1b5d50")</f>
        <v>0x78a191fe5158b1f64d6e9d7f3167b495fc1b5d50</v>
      </c>
      <c r="J83" s="18">
        <v>235.21116466272724</v>
      </c>
      <c r="K83" s="4">
        <v>2940.1395582840905</v>
      </c>
      <c r="L83" s="19">
        <v>2.9401395582840907E21</v>
      </c>
      <c r="M83" s="20">
        <v>2.9401395582840907E20</v>
      </c>
    </row>
    <row r="84">
      <c r="A84" s="6"/>
      <c r="B84" s="6"/>
      <c r="C84" s="4"/>
      <c r="D84" s="4">
        <v>6.40822013810588</v>
      </c>
      <c r="E84" s="4" t="s">
        <v>165</v>
      </c>
      <c r="F84" s="4"/>
      <c r="G84" s="4"/>
      <c r="H84" s="4"/>
      <c r="I84" s="4" t="str">
        <f>IFERROR(__xludf.DUMMYFUNCTION("""COMPUTED_VALUE"""),"0x63f92e2e9836ad93e2328da65a9433965be552fe")</f>
        <v>0x63f92e2e9836ad93e2328da65a9433965be552fe</v>
      </c>
      <c r="J84" s="18">
        <v>6.40822013810588</v>
      </c>
      <c r="K84" s="4">
        <v>80.10275172632349</v>
      </c>
      <c r="L84" s="19">
        <v>8.010275172632348E19</v>
      </c>
      <c r="M84" s="20">
        <v>8.010275172632349E18</v>
      </c>
    </row>
    <row r="85">
      <c r="A85" s="6"/>
      <c r="B85" s="6"/>
      <c r="C85" s="4"/>
      <c r="D85" s="4">
        <v>0.353332840652686</v>
      </c>
      <c r="E85" s="4" t="s">
        <v>167</v>
      </c>
      <c r="F85" s="4"/>
      <c r="G85" s="4"/>
      <c r="H85" s="4"/>
      <c r="I85" s="4" t="str">
        <f>IFERROR(__xludf.DUMMYFUNCTION("""COMPUTED_VALUE"""),"0xd8f5b8348c450f8f3b61984867e4ad40230c7760")</f>
        <v>0xd8f5b8348c450f8f3b61984867e4ad40230c7760</v>
      </c>
      <c r="J85" s="18">
        <v>0.353332840652686</v>
      </c>
      <c r="K85" s="4">
        <v>4.416660508158575</v>
      </c>
      <c r="L85" s="19">
        <v>4.416660508158575E18</v>
      </c>
      <c r="M85" s="20">
        <v>4.4166605081585754E17</v>
      </c>
    </row>
    <row r="86">
      <c r="A86" s="6"/>
      <c r="B86" s="6"/>
      <c r="C86" s="4"/>
      <c r="D86" s="4">
        <v>7.14368436980561</v>
      </c>
      <c r="E86" s="4" t="s">
        <v>169</v>
      </c>
      <c r="F86" s="4"/>
      <c r="G86" s="4"/>
      <c r="H86" s="4"/>
      <c r="I86" s="4" t="str">
        <f>IFERROR(__xludf.DUMMYFUNCTION("""COMPUTED_VALUE"""),"0xe06c1a71230126b56b63ea73e40d4eb7fe86e711")</f>
        <v>0xe06c1a71230126b56b63ea73e40d4eb7fe86e711</v>
      </c>
      <c r="J86" s="18">
        <v>55.50781196940221</v>
      </c>
      <c r="K86" s="4">
        <v>693.8476496175276</v>
      </c>
      <c r="L86" s="19">
        <v>6.938476496175276E20</v>
      </c>
      <c r="M86" s="20">
        <v>6.938476496175276E19</v>
      </c>
    </row>
    <row r="87">
      <c r="A87" s="6"/>
      <c r="B87" s="6"/>
      <c r="C87" s="4"/>
      <c r="D87" s="4">
        <v>2.13423720149996</v>
      </c>
      <c r="E87" s="4" t="s">
        <v>171</v>
      </c>
      <c r="F87" s="4"/>
      <c r="G87" s="4"/>
      <c r="H87" s="4"/>
      <c r="I87" s="4" t="str">
        <f>IFERROR(__xludf.DUMMYFUNCTION("""COMPUTED_VALUE"""),"0xc335a14dbc3b6b35d93b96da16546dd1229a1fa6")</f>
        <v>0xc335a14dbc3b6b35d93b96da16546dd1229a1fa6</v>
      </c>
      <c r="J87" s="18">
        <v>2.13423720149996</v>
      </c>
      <c r="K87" s="4">
        <v>26.6779650187495</v>
      </c>
      <c r="L87" s="19">
        <v>2.66779650187495E19</v>
      </c>
      <c r="M87" s="20">
        <v>2.66779650187495E18</v>
      </c>
    </row>
    <row r="88">
      <c r="A88" s="6"/>
      <c r="B88" s="6"/>
      <c r="C88" s="4"/>
      <c r="D88" s="4">
        <v>7.0685416625651705</v>
      </c>
      <c r="E88" s="4" t="s">
        <v>173</v>
      </c>
      <c r="F88" s="4"/>
      <c r="G88" s="4"/>
      <c r="H88" s="4"/>
      <c r="I88" s="4" t="str">
        <f>IFERROR(__xludf.DUMMYFUNCTION("""COMPUTED_VALUE"""),"0x54d051034a0a5fec7aa2562a8fff76937ec41596")</f>
        <v>0x54d051034a0a5fec7aa2562a8fff76937ec41596</v>
      </c>
      <c r="J88" s="18">
        <v>7.0685416625651705</v>
      </c>
      <c r="K88" s="4">
        <v>88.35677078206463</v>
      </c>
      <c r="L88" s="19">
        <v>8.835677078206462E19</v>
      </c>
      <c r="M88" s="20">
        <v>8.835677078206463E18</v>
      </c>
    </row>
    <row r="89">
      <c r="A89" s="6"/>
      <c r="B89" s="6"/>
      <c r="C89" s="4"/>
      <c r="D89" s="4">
        <v>3.6386492131544004</v>
      </c>
      <c r="E89" s="4" t="s">
        <v>174</v>
      </c>
      <c r="F89" s="4"/>
      <c r="G89" s="4"/>
      <c r="H89" s="4"/>
      <c r="I89" s="4" t="str">
        <f>IFERROR(__xludf.DUMMYFUNCTION("""COMPUTED_VALUE"""),"0x8ce340b670e1ff1f639a55e8857476961edafc3d")</f>
        <v>0x8ce340b670e1ff1f639a55e8857476961edafc3d</v>
      </c>
      <c r="J89" s="18">
        <v>51.1809015265404</v>
      </c>
      <c r="K89" s="4">
        <v>639.761269081755</v>
      </c>
      <c r="L89" s="19">
        <v>6.39761269081755E20</v>
      </c>
      <c r="M89" s="20">
        <v>6.39761269081755E19</v>
      </c>
    </row>
    <row r="90">
      <c r="A90" s="6"/>
      <c r="B90" s="6"/>
      <c r="C90" s="4"/>
      <c r="D90" s="4">
        <v>0.539812176924384</v>
      </c>
      <c r="E90" s="4" t="s">
        <v>176</v>
      </c>
      <c r="F90" s="4"/>
      <c r="G90" s="4"/>
      <c r="H90" s="4"/>
      <c r="I90" s="4" t="str">
        <f>IFERROR(__xludf.DUMMYFUNCTION("""COMPUTED_VALUE"""),"0xd811d4d4abddb93cd29a7d8b374b69223509a6a6")</f>
        <v>0xd811d4d4abddb93cd29a7d8b374b69223509a6a6</v>
      </c>
      <c r="J90" s="18">
        <v>0.539812176924384</v>
      </c>
      <c r="K90" s="4">
        <v>6.7476522115548</v>
      </c>
      <c r="L90" s="19">
        <v>6.7476522115548E18</v>
      </c>
      <c r="M90" s="20">
        <v>6.747652211554799E17</v>
      </c>
    </row>
    <row r="91">
      <c r="A91" s="6"/>
      <c r="B91" s="6"/>
      <c r="C91" s="4"/>
      <c r="D91" s="4">
        <v>635.177367194795</v>
      </c>
      <c r="E91" s="4" t="s">
        <v>178</v>
      </c>
      <c r="F91" s="4"/>
      <c r="G91" s="4"/>
      <c r="H91" s="4"/>
      <c r="I91" s="4" t="str">
        <f>IFERROR(__xludf.DUMMYFUNCTION("""COMPUTED_VALUE"""),"0x83219c959e973e326f12baefe1ba745647a9cd50")</f>
        <v>0x83219c959e973e326f12baefe1ba745647a9cd50</v>
      </c>
      <c r="J91" s="18">
        <v>869.5534550018916</v>
      </c>
      <c r="K91" s="4">
        <v>10869.418187523645</v>
      </c>
      <c r="L91" s="19">
        <v>1.0869418187523644E22</v>
      </c>
      <c r="M91" s="20">
        <v>1.0869418187523644E21</v>
      </c>
    </row>
    <row r="92">
      <c r="A92" s="6"/>
      <c r="B92" s="6"/>
      <c r="C92" s="4"/>
      <c r="D92" s="4">
        <v>0.572154746265908</v>
      </c>
      <c r="E92" s="4" t="s">
        <v>180</v>
      </c>
      <c r="F92" s="4"/>
      <c r="G92" s="4"/>
      <c r="H92" s="4"/>
      <c r="I92" s="4" t="str">
        <f>IFERROR(__xludf.DUMMYFUNCTION("""COMPUTED_VALUE"""),"0x85c6153b1a5b59b9ebb928cc5a54356146354d6d")</f>
        <v>0x85c6153b1a5b59b9ebb928cc5a54356146354d6d</v>
      </c>
      <c r="J92" s="18">
        <v>0.572154746265908</v>
      </c>
      <c r="K92" s="4">
        <v>7.15193432832385</v>
      </c>
      <c r="L92" s="19">
        <v>7.151934328323849E18</v>
      </c>
      <c r="M92" s="20">
        <v>7.15193432832385E17</v>
      </c>
    </row>
    <row r="93">
      <c r="A93" s="6"/>
      <c r="B93" s="6"/>
      <c r="C93" s="4"/>
      <c r="D93" s="4">
        <v>2.82741666502606</v>
      </c>
      <c r="E93" s="4" t="s">
        <v>182</v>
      </c>
      <c r="F93" s="4"/>
      <c r="G93" s="4"/>
      <c r="H93" s="4"/>
      <c r="I93" s="4" t="str">
        <f>IFERROR(__xludf.DUMMYFUNCTION("""COMPUTED_VALUE"""),"0xe0220db7734973e825bd893e314822e640f6dacf")</f>
        <v>0xe0220db7734973e825bd893e314822e640f6dacf</v>
      </c>
      <c r="J93" s="18">
        <v>2.82741666502606</v>
      </c>
      <c r="K93" s="4">
        <v>35.34270831282575</v>
      </c>
      <c r="L93" s="19">
        <v>3.534270831282575E19</v>
      </c>
      <c r="M93" s="20">
        <v>3.5342708312825754E18</v>
      </c>
    </row>
    <row r="94">
      <c r="A94" s="6"/>
      <c r="B94" s="6"/>
      <c r="C94" s="4"/>
      <c r="D94" s="4">
        <v>7.0685416625651705</v>
      </c>
      <c r="E94" s="4" t="s">
        <v>184</v>
      </c>
      <c r="F94" s="4"/>
      <c r="G94" s="4"/>
      <c r="H94" s="4"/>
      <c r="I94" s="4" t="str">
        <f>IFERROR(__xludf.DUMMYFUNCTION("""COMPUTED_VALUE"""),"0x05edb5c69984b5b48a7cd342dcc523ef6a5f0975")</f>
        <v>0x05edb5c69984b5b48a7cd342dcc523ef6a5f0975</v>
      </c>
      <c r="J94" s="18">
        <v>55.43266926216177</v>
      </c>
      <c r="K94" s="4">
        <v>692.908365777022</v>
      </c>
      <c r="L94" s="19">
        <v>6.929083657770221E20</v>
      </c>
      <c r="M94" s="20">
        <v>6.9290836577702216E19</v>
      </c>
    </row>
    <row r="95">
      <c r="A95" s="6"/>
      <c r="B95" s="6"/>
      <c r="C95" s="4"/>
      <c r="D95" s="4">
        <v>570.34218034282</v>
      </c>
      <c r="E95" s="4" t="s">
        <v>185</v>
      </c>
      <c r="F95" s="4"/>
      <c r="G95" s="4"/>
      <c r="H95" s="4"/>
      <c r="I95" s="4" t="str">
        <f>IFERROR(__xludf.DUMMYFUNCTION("""COMPUTED_VALUE"""),"0xcda52838ef354ac7166bec9a7f631bcea34d1001")</f>
        <v>0xcda52838ef354ac7166bec9a7f631bcea34d1001</v>
      </c>
      <c r="J95" s="18">
        <v>793.378997841706</v>
      </c>
      <c r="K95" s="4">
        <v>9917.237473021325</v>
      </c>
      <c r="L95" s="19">
        <v>9.917237473021325E21</v>
      </c>
      <c r="M95" s="20">
        <v>9.917237473021325E20</v>
      </c>
    </row>
    <row r="96">
      <c r="A96" s="6"/>
      <c r="B96" s="6"/>
      <c r="C96" s="4"/>
      <c r="D96" s="4">
        <v>148.986421827555</v>
      </c>
      <c r="E96" s="4" t="s">
        <v>187</v>
      </c>
      <c r="F96" s="4"/>
      <c r="G96" s="4"/>
      <c r="H96" s="4"/>
      <c r="I96" s="4" t="str">
        <f>IFERROR(__xludf.DUMMYFUNCTION("""COMPUTED_VALUE"""),"0xb76af3b2d258c35ccbc2384f26259618b5a4eb73")</f>
        <v>0xb76af3b2d258c35ccbc2384f26259618b5a4eb73</v>
      </c>
      <c r="J96" s="18">
        <v>148.986421827555</v>
      </c>
      <c r="K96" s="4">
        <v>1862.3302728444376</v>
      </c>
      <c r="L96" s="19">
        <v>1.8623302728444375E21</v>
      </c>
      <c r="M96" s="20">
        <v>1.8623302728444376E20</v>
      </c>
    </row>
    <row r="97">
      <c r="A97" s="6"/>
      <c r="B97" s="6"/>
      <c r="C97" s="4"/>
      <c r="D97" s="4">
        <v>0.250708176926558</v>
      </c>
      <c r="E97" s="4" t="s">
        <v>189</v>
      </c>
      <c r="F97" s="4"/>
      <c r="G97" s="4"/>
      <c r="H97" s="4"/>
      <c r="I97" s="4" t="str">
        <f>IFERROR(__xludf.DUMMYFUNCTION("""COMPUTED_VALUE"""),"0xec2d46ffc49555ef561c8b30ce49b33b8a39122f")</f>
        <v>0xec2d46ffc49555ef561c8b30ce49b33b8a39122f</v>
      </c>
      <c r="J97" s="18">
        <v>0.250708176926558</v>
      </c>
      <c r="K97" s="4">
        <v>3.133852211581975</v>
      </c>
      <c r="L97" s="19">
        <v>3.133852211581975E18</v>
      </c>
      <c r="M97" s="20">
        <v>3.133852211581975E17</v>
      </c>
    </row>
    <row r="98">
      <c r="A98" s="6"/>
      <c r="B98" s="6"/>
      <c r="C98" s="4"/>
      <c r="D98" s="4">
        <v>1373.14074700034</v>
      </c>
      <c r="E98" s="4" t="s">
        <v>191</v>
      </c>
      <c r="F98" s="4"/>
      <c r="G98" s="4"/>
      <c r="H98" s="4"/>
      <c r="I98" s="4" t="str">
        <f>IFERROR(__xludf.DUMMYFUNCTION("""COMPUTED_VALUE"""),"0x2137dcced98c0f43956d8233f901b06a6c5b721b")</f>
        <v>0x2137dcced98c0f43956d8233f901b06a6c5b721b</v>
      </c>
      <c r="J98" s="18">
        <v>1607.5168348074365</v>
      </c>
      <c r="K98" s="4">
        <v>20093.960435092955</v>
      </c>
      <c r="L98" s="19">
        <v>2.0093960435092955E22</v>
      </c>
      <c r="M98" s="20">
        <v>2.0093960435092957E21</v>
      </c>
    </row>
    <row r="99">
      <c r="A99" s="6"/>
      <c r="B99" s="6"/>
      <c r="C99" s="4"/>
      <c r="D99" s="4">
        <v>7.645533841576641</v>
      </c>
      <c r="E99" s="4" t="s">
        <v>193</v>
      </c>
      <c r="F99" s="4"/>
      <c r="G99" s="4"/>
      <c r="H99" s="4"/>
      <c r="I99" s="4" t="str">
        <f>IFERROR(__xludf.DUMMYFUNCTION("""COMPUTED_VALUE"""),"0xf10ef0771751b103ac02f1ae67c91bf2b5431970")</f>
        <v>0xf10ef0771751b103ac02f1ae67c91bf2b5431970</v>
      </c>
      <c r="J99" s="18">
        <v>7.645533841576641</v>
      </c>
      <c r="K99" s="4">
        <v>95.569173019708</v>
      </c>
      <c r="L99" s="19">
        <v>9.5569173019708E19</v>
      </c>
      <c r="M99" s="20">
        <v>9.5569173019708E18</v>
      </c>
    </row>
    <row r="100">
      <c r="A100" s="6"/>
      <c r="B100" s="6"/>
      <c r="C100" s="4"/>
      <c r="D100" s="4">
        <v>27.852586069190902</v>
      </c>
      <c r="E100" s="4" t="s">
        <v>195</v>
      </c>
      <c r="F100" s="4"/>
      <c r="G100" s="4"/>
      <c r="H100" s="4"/>
      <c r="I100" s="4" t="str">
        <f>IFERROR(__xludf.DUMMYFUNCTION("""COMPUTED_VALUE"""),"0xa50c55f952e38be453fdca01d4c0feeaaaa2a6a1")</f>
        <v>0xa50c55f952e38be453fdca01d4c0feeaaaa2a6a1</v>
      </c>
      <c r="J100" s="18">
        <v>27.852586069190902</v>
      </c>
      <c r="K100" s="4">
        <v>348.1573258648863</v>
      </c>
      <c r="L100" s="19">
        <v>3.481573258648863E20</v>
      </c>
      <c r="M100" s="20">
        <v>3.4815732586488627E19</v>
      </c>
    </row>
    <row r="101">
      <c r="A101" s="6"/>
      <c r="B101" s="6"/>
      <c r="C101" s="4"/>
      <c r="D101" s="4">
        <v>112.791101973075</v>
      </c>
      <c r="E101" s="4" t="s">
        <v>197</v>
      </c>
      <c r="F101" s="4"/>
      <c r="G101" s="4"/>
      <c r="H101" s="4"/>
      <c r="I101" s="4" t="str">
        <f>IFERROR(__xludf.DUMMYFUNCTION("""COMPUTED_VALUE"""),"0xb5e8fa24965a96cc88d39a1d5ff39776a7c4bb6a")</f>
        <v>0xb5e8fa24965a96cc88d39a1d5ff39776a7c4bb6a</v>
      </c>
      <c r="J101" s="18">
        <v>227.669158643043</v>
      </c>
      <c r="K101" s="4">
        <v>2845.8644830380376</v>
      </c>
      <c r="L101" s="19">
        <v>2.8458644830380375E21</v>
      </c>
      <c r="M101" s="20">
        <v>2.8458644830380376E20</v>
      </c>
    </row>
    <row r="102">
      <c r="A102" s="6"/>
      <c r="B102" s="6"/>
      <c r="C102" s="4"/>
      <c r="D102" s="4">
        <v>7.0685416625651705</v>
      </c>
      <c r="E102" s="4" t="s">
        <v>199</v>
      </c>
      <c r="F102" s="4"/>
      <c r="G102" s="4"/>
      <c r="H102" s="4"/>
      <c r="I102" s="4" t="str">
        <f>IFERROR(__xludf.DUMMYFUNCTION("""COMPUTED_VALUE"""),"0xe1c56fd123d81dfecb57c0c6153e8f35f6fe7e13")</f>
        <v>0xe1c56fd123d81dfecb57c0c6153e8f35f6fe7e13</v>
      </c>
      <c r="J102" s="18">
        <v>7.0685416625651705</v>
      </c>
      <c r="K102" s="4">
        <v>88.35677078206463</v>
      </c>
      <c r="L102" s="19">
        <v>8.835677078206462E19</v>
      </c>
      <c r="M102" s="20">
        <v>8.835677078206463E18</v>
      </c>
    </row>
    <row r="103">
      <c r="A103" s="6"/>
      <c r="B103" s="6"/>
      <c r="C103" s="4"/>
      <c r="D103" s="4">
        <v>1.30126028018015</v>
      </c>
      <c r="E103" s="4" t="s">
        <v>200</v>
      </c>
      <c r="F103" s="4"/>
      <c r="G103" s="4"/>
      <c r="H103" s="4"/>
      <c r="I103" s="4" t="str">
        <f>IFERROR(__xludf.DUMMYFUNCTION("""COMPUTED_VALUE"""),"0x6b866df76052226adfda4cfca91bc6e0b7c9d927")</f>
        <v>0x6b866df76052226adfda4cfca91bc6e0b7c9d927</v>
      </c>
      <c r="J103" s="18">
        <v>1.30126028018015</v>
      </c>
      <c r="K103" s="4">
        <v>16.265753502251876</v>
      </c>
      <c r="L103" s="19">
        <v>1.6265753502251876E19</v>
      </c>
      <c r="M103" s="20">
        <v>1.6265753502251878E18</v>
      </c>
    </row>
    <row r="104">
      <c r="A104" s="6"/>
      <c r="B104" s="6"/>
      <c r="C104" s="4"/>
      <c r="D104" s="4">
        <v>14.1370833251303</v>
      </c>
      <c r="E104" s="4" t="s">
        <v>202</v>
      </c>
      <c r="F104" s="4"/>
      <c r="G104" s="4"/>
      <c r="H104" s="4"/>
      <c r="I104" s="4" t="str">
        <f>IFERROR(__xludf.DUMMYFUNCTION("""COMPUTED_VALUE"""),"0x14a2dabc6f6405e4b6ae14f11eec4b89b2a65592")</f>
        <v>0x14a2dabc6f6405e4b6ae14f11eec4b89b2a65592</v>
      </c>
      <c r="J104" s="18">
        <v>14.1370833251303</v>
      </c>
      <c r="K104" s="4">
        <v>176.71354156412875</v>
      </c>
      <c r="L104" s="19">
        <v>1.7671354156412876E20</v>
      </c>
      <c r="M104" s="20">
        <v>1.7671354156412877E19</v>
      </c>
    </row>
    <row r="105">
      <c r="A105" s="6"/>
      <c r="B105" s="6"/>
      <c r="C105" s="4"/>
      <c r="D105" s="4">
        <v>7.0685416625651705</v>
      </c>
      <c r="E105" s="4" t="s">
        <v>203</v>
      </c>
      <c r="F105" s="4"/>
      <c r="G105" s="4"/>
      <c r="H105" s="4"/>
      <c r="I105" s="4" t="str">
        <f>IFERROR(__xludf.DUMMYFUNCTION("""COMPUTED_VALUE"""),"0x75d71dd3a10e4a46d4eefe4f5762a5370d2805c7")</f>
        <v>0x75d71dd3a10e4a46d4eefe4f5762a5370d2805c7</v>
      </c>
      <c r="J105" s="18">
        <v>55.43266926216177</v>
      </c>
      <c r="K105" s="4">
        <v>692.908365777022</v>
      </c>
      <c r="L105" s="19">
        <v>6.929083657770221E20</v>
      </c>
      <c r="M105" s="20">
        <v>6.9290836577702216E19</v>
      </c>
    </row>
    <row r="106">
      <c r="A106" s="6"/>
      <c r="B106" s="6"/>
      <c r="C106" s="4"/>
      <c r="D106" s="4">
        <v>132.281437462201</v>
      </c>
      <c r="E106" s="4" t="s">
        <v>204</v>
      </c>
      <c r="F106" s="4"/>
      <c r="G106" s="4"/>
      <c r="H106" s="4"/>
      <c r="I106" s="4" t="str">
        <f>IFERROR(__xludf.DUMMYFUNCTION("""COMPUTED_VALUE"""),"0x25c8196dbdf8eeb6fb7e0ceddd891f709bb26c3b")</f>
        <v>0x25c8196dbdf8eeb6fb7e0ceddd891f709bb26c3b</v>
      </c>
      <c r="J106" s="18">
        <v>306.3907490356512</v>
      </c>
      <c r="K106" s="4">
        <v>3829.88436294564</v>
      </c>
      <c r="L106" s="19">
        <v>3.82988436294564E21</v>
      </c>
      <c r="M106" s="20">
        <v>3.8298843629456405E20</v>
      </c>
    </row>
    <row r="107">
      <c r="A107" s="6"/>
      <c r="B107" s="6"/>
      <c r="C107" s="4"/>
      <c r="D107" s="4">
        <v>6.74091010013192</v>
      </c>
      <c r="E107" s="4" t="s">
        <v>206</v>
      </c>
      <c r="F107" s="4"/>
      <c r="G107" s="4"/>
      <c r="H107" s="4"/>
      <c r="I107" s="4" t="str">
        <f>IFERROR(__xludf.DUMMYFUNCTION("""COMPUTED_VALUE"""),"0x33a2115ff0315cb2716a3e6ac8cce0d2178d684f")</f>
        <v>0x33a2115ff0315cb2716a3e6ac8cce0d2178d684f</v>
      </c>
      <c r="J107" s="18">
        <v>6.74091010013192</v>
      </c>
      <c r="K107" s="4">
        <v>84.261376251649</v>
      </c>
      <c r="L107" s="19">
        <v>8.4261376251649E19</v>
      </c>
      <c r="M107" s="20">
        <v>8.4261376251649E18</v>
      </c>
    </row>
    <row r="108">
      <c r="A108" s="6"/>
      <c r="B108" s="6"/>
      <c r="C108" s="4"/>
      <c r="D108" s="4">
        <v>35.3427083128258</v>
      </c>
      <c r="E108" s="4" t="s">
        <v>208</v>
      </c>
      <c r="F108" s="4"/>
      <c r="G108" s="4"/>
      <c r="H108" s="4"/>
      <c r="I108" s="4" t="str">
        <f>IFERROR(__xludf.DUMMYFUNCTION("""COMPUTED_VALUE"""),"0x0b753550642bda332fc089fab91ab356095a1f3c")</f>
        <v>0x0b753550642bda332fc089fab91ab356095a1f3c</v>
      </c>
      <c r="J108" s="18">
        <v>269.7187961199224</v>
      </c>
      <c r="K108" s="4">
        <v>3371.4849514990296</v>
      </c>
      <c r="L108" s="19">
        <v>3.3714849514990296E21</v>
      </c>
      <c r="M108" s="20">
        <v>3.37148495149903E20</v>
      </c>
    </row>
    <row r="109">
      <c r="A109" s="6"/>
      <c r="B109" s="6"/>
      <c r="C109" s="4"/>
      <c r="D109" s="4">
        <v>5.00138766856098</v>
      </c>
      <c r="E109" s="4" t="s">
        <v>210</v>
      </c>
      <c r="F109" s="4"/>
      <c r="G109" s="4"/>
      <c r="H109" s="4"/>
      <c r="I109" s="4" t="str">
        <f>IFERROR(__xludf.DUMMYFUNCTION("""COMPUTED_VALUE"""),"0xe280eade00567ee89465f9302fb4620bac7905ed")</f>
        <v>0xe280eade00567ee89465f9302fb4620bac7905ed</v>
      </c>
      <c r="J109" s="18">
        <v>53.36551526815758</v>
      </c>
      <c r="K109" s="4">
        <v>667.0689408519697</v>
      </c>
      <c r="L109" s="19">
        <v>6.670689408519698E20</v>
      </c>
      <c r="M109" s="20">
        <v>6.670689408519698E19</v>
      </c>
    </row>
    <row r="110">
      <c r="A110" s="6"/>
      <c r="B110" s="6"/>
      <c r="C110" s="4"/>
      <c r="D110" s="4">
        <v>28.959778296145302</v>
      </c>
      <c r="E110" s="4" t="s">
        <v>212</v>
      </c>
      <c r="F110" s="4"/>
      <c r="G110" s="4"/>
      <c r="H110" s="4"/>
      <c r="I110" s="4" t="str">
        <f>IFERROR(__xludf.DUMMYFUNCTION("""COMPUTED_VALUE"""),"0x946548d9cb0b25517d311478d85b4e93bb1a16de")</f>
        <v>0x946548d9cb0b25517d311478d85b4e93bb1a16de</v>
      </c>
      <c r="J110" s="18">
        <v>28.959778296145302</v>
      </c>
      <c r="K110" s="4">
        <v>361.99722870181625</v>
      </c>
      <c r="L110" s="19">
        <v>3.6199722870181626E20</v>
      </c>
      <c r="M110" s="20">
        <v>3.6199722870181626E19</v>
      </c>
    </row>
    <row r="111">
      <c r="A111" s="6"/>
      <c r="B111" s="6"/>
      <c r="C111" s="4"/>
      <c r="D111" s="4">
        <v>7.0685416625651705</v>
      </c>
      <c r="E111" s="4" t="s">
        <v>214</v>
      </c>
      <c r="F111" s="4"/>
      <c r="G111" s="4"/>
      <c r="H111" s="4"/>
      <c r="I111" s="4" t="str">
        <f>IFERROR(__xludf.DUMMYFUNCTION("""COMPUTED_VALUE"""),"0xec4a3857e62acb88e42c9b2c363e41c3b478da41")</f>
        <v>0xec4a3857e62acb88e42c9b2c363e41c3b478da41</v>
      </c>
      <c r="J111" s="18">
        <v>55.43266926216177</v>
      </c>
      <c r="K111" s="4">
        <v>692.908365777022</v>
      </c>
      <c r="L111" s="19">
        <v>6.929083657770221E20</v>
      </c>
      <c r="M111" s="20">
        <v>6.9290836577702216E19</v>
      </c>
    </row>
    <row r="112">
      <c r="A112" s="6"/>
      <c r="B112" s="6"/>
      <c r="C112" s="4"/>
      <c r="D112" s="4">
        <v>1.82579901551954</v>
      </c>
      <c r="E112" s="4" t="s">
        <v>215</v>
      </c>
      <c r="F112" s="4"/>
      <c r="G112" s="4"/>
      <c r="H112" s="4"/>
      <c r="I112" s="4" t="str">
        <f>IFERROR(__xludf.DUMMYFUNCTION("""COMPUTED_VALUE"""),"0x33d4e093798894fe14dc8ed7aaa46eb5fc82dd99")</f>
        <v>0x33d4e093798894fe14dc8ed7aaa46eb5fc82dd99</v>
      </c>
      <c r="J112" s="18">
        <v>2.85401441566836</v>
      </c>
      <c r="K112" s="4">
        <v>35.6751801958545</v>
      </c>
      <c r="L112" s="19">
        <v>3.56751801958545E19</v>
      </c>
      <c r="M112" s="20">
        <v>3.56751801958545E18</v>
      </c>
    </row>
    <row r="113">
      <c r="A113" s="6"/>
      <c r="B113" s="6"/>
      <c r="C113" s="4"/>
      <c r="D113" s="4">
        <v>8.9690480979134</v>
      </c>
      <c r="E113" s="4" t="s">
        <v>217</v>
      </c>
      <c r="F113" s="4"/>
      <c r="G113" s="4"/>
      <c r="H113" s="4"/>
      <c r="I113" s="4" t="str">
        <f>IFERROR(__xludf.DUMMYFUNCTION("""COMPUTED_VALUE"""),"0x7d41e5ce410175f0289a9238fdaa4611ea17bc1f")</f>
        <v>0x7d41e5ce410175f0289a9238fdaa4611ea17bc1f</v>
      </c>
      <c r="J113" s="18">
        <v>8.9690480979134</v>
      </c>
      <c r="K113" s="4">
        <v>112.11310122391751</v>
      </c>
      <c r="L113" s="19">
        <v>1.121131012239175E20</v>
      </c>
      <c r="M113" s="20">
        <v>1.121131012239175E19</v>
      </c>
    </row>
    <row r="114">
      <c r="A114" s="6"/>
      <c r="B114" s="6"/>
      <c r="C114" s="4"/>
      <c r="D114" s="4">
        <v>0.0187504260225915</v>
      </c>
      <c r="E114" s="4" t="s">
        <v>219</v>
      </c>
      <c r="F114" s="4"/>
      <c r="G114" s="4"/>
      <c r="H114" s="4"/>
      <c r="I114" s="4" t="str">
        <f>IFERROR(__xludf.DUMMYFUNCTION("""COMPUTED_VALUE"""),"0xca49e9cf70555164f85d8f727b95947b8c77b7cd")</f>
        <v>0xca49e9cf70555164f85d8f727b95947b8c77b7cd</v>
      </c>
      <c r="J114" s="18">
        <v>0.0187504260225915</v>
      </c>
      <c r="K114" s="4">
        <v>0.23438032528239372</v>
      </c>
      <c r="L114" s="19">
        <v>2.3438032528239373E17</v>
      </c>
      <c r="M114" s="20">
        <v>2.3438032528239376E16</v>
      </c>
    </row>
    <row r="115">
      <c r="A115" s="6"/>
      <c r="B115" s="6"/>
      <c r="C115" s="4"/>
      <c r="D115" s="4">
        <v>75.6333957894473</v>
      </c>
      <c r="E115" s="4" t="s">
        <v>221</v>
      </c>
      <c r="F115" s="4"/>
      <c r="G115" s="4"/>
      <c r="H115" s="4"/>
      <c r="I115" s="4" t="str">
        <f>IFERROR(__xludf.DUMMYFUNCTION("""COMPUTED_VALUE"""),"0x73b6ed061568270f95849bdf61a1ac8fc1a382f8")</f>
        <v>0x73b6ed061568270f95849bdf61a1ac8fc1a382f8</v>
      </c>
      <c r="J115" s="18">
        <v>310.0094835965439</v>
      </c>
      <c r="K115" s="4">
        <v>3875.1185449567984</v>
      </c>
      <c r="L115" s="19">
        <v>3.8751185449567985E21</v>
      </c>
      <c r="M115" s="20">
        <v>3.875118544956799E20</v>
      </c>
    </row>
    <row r="116">
      <c r="A116" s="6"/>
      <c r="B116" s="6"/>
      <c r="C116" s="4"/>
      <c r="D116" s="4">
        <v>11.175363509687699</v>
      </c>
      <c r="E116" s="4" t="s">
        <v>223</v>
      </c>
      <c r="F116" s="4"/>
      <c r="G116" s="4"/>
      <c r="H116" s="4"/>
      <c r="I116" s="4" t="str">
        <f>IFERROR(__xludf.DUMMYFUNCTION("""COMPUTED_VALUE"""),"0x152902d1d80c9478b1d246714d256ef15c6276fe")</f>
        <v>0x152902d1d80c9478b1d246714d256ef15c6276fe</v>
      </c>
      <c r="J116" s="18">
        <v>11.175363509687699</v>
      </c>
      <c r="K116" s="4">
        <v>139.69204387109625</v>
      </c>
      <c r="L116" s="19">
        <v>1.3969204387109624E20</v>
      </c>
      <c r="M116" s="20">
        <v>1.3969204387109626E19</v>
      </c>
    </row>
    <row r="117">
      <c r="A117" s="6"/>
      <c r="B117" s="6"/>
      <c r="C117" s="4"/>
      <c r="D117" s="4">
        <v>7.0685416625651705</v>
      </c>
      <c r="E117" s="4" t="s">
        <v>225</v>
      </c>
      <c r="F117" s="4"/>
      <c r="G117" s="4"/>
      <c r="H117" s="4"/>
      <c r="I117" s="4" t="str">
        <f>IFERROR(__xludf.DUMMYFUNCTION("""COMPUTED_VALUE"""),"0xbbb460c0e0bbaa1d9b50dd746c9c22eb269ba99d")</f>
        <v>0xbbb460c0e0bbaa1d9b50dd746c9c22eb269ba99d</v>
      </c>
      <c r="J117" s="18">
        <v>7.0685416625651705</v>
      </c>
      <c r="K117" s="4">
        <v>88.35677078206463</v>
      </c>
      <c r="L117" s="19">
        <v>8.835677078206462E19</v>
      </c>
      <c r="M117" s="20">
        <v>8.835677078206463E18</v>
      </c>
    </row>
    <row r="118">
      <c r="A118" s="6"/>
      <c r="B118" s="6"/>
      <c r="C118" s="4"/>
      <c r="D118" s="4">
        <v>35.673231352802595</v>
      </c>
      <c r="E118" s="4" t="s">
        <v>226</v>
      </c>
      <c r="F118" s="4"/>
      <c r="G118" s="4"/>
      <c r="H118" s="4"/>
      <c r="I118" s="4" t="str">
        <f>IFERROR(__xludf.DUMMYFUNCTION("""COMPUTED_VALUE"""),"0xa9f76a1e4f5ff511083e59dfadaf689fb14b2b43")</f>
        <v>0xa9f76a1e4f5ff511083e59dfadaf689fb14b2b43</v>
      </c>
      <c r="J118" s="18">
        <v>84.03735895239919</v>
      </c>
      <c r="K118" s="4">
        <v>1050.4669869049899</v>
      </c>
      <c r="L118" s="19">
        <v>1.0504669869049899E21</v>
      </c>
      <c r="M118" s="20">
        <v>1.0504669869049899E20</v>
      </c>
    </row>
    <row r="119">
      <c r="A119" s="6"/>
      <c r="B119" s="6"/>
      <c r="C119" s="4"/>
      <c r="D119" s="4">
        <v>7.0685416625651705</v>
      </c>
      <c r="E119" s="4" t="s">
        <v>228</v>
      </c>
      <c r="F119" s="4"/>
      <c r="G119" s="4"/>
      <c r="H119" s="4"/>
      <c r="I119" s="4" t="str">
        <f>IFERROR(__xludf.DUMMYFUNCTION("""COMPUTED_VALUE"""),"0xeec9ee07061729a6af1c291da12fd0008b266f2a")</f>
        <v>0xeec9ee07061729a6af1c291da12fd0008b266f2a</v>
      </c>
      <c r="J119" s="18">
        <v>7.0685416625651705</v>
      </c>
      <c r="K119" s="4">
        <v>88.35677078206463</v>
      </c>
      <c r="L119" s="19">
        <v>8.835677078206462E19</v>
      </c>
      <c r="M119" s="20">
        <v>8.835677078206463E18</v>
      </c>
    </row>
    <row r="120">
      <c r="A120" s="6"/>
      <c r="B120" s="6"/>
      <c r="C120" s="4"/>
      <c r="D120" s="4">
        <v>1.32280791436287</v>
      </c>
      <c r="E120" s="4" t="s">
        <v>229</v>
      </c>
      <c r="F120" s="4"/>
      <c r="G120" s="4"/>
      <c r="H120" s="4"/>
      <c r="I120" s="4" t="str">
        <f>IFERROR(__xludf.DUMMYFUNCTION("""COMPUTED_VALUE"""),"0x4b064c63ab29a91f907a9c1ffe47398c1f15d971")</f>
        <v>0x4b064c63ab29a91f907a9c1ffe47398c1f15d971</v>
      </c>
      <c r="J120" s="18">
        <v>1.32280791436287</v>
      </c>
      <c r="K120" s="4">
        <v>16.535098929535874</v>
      </c>
      <c r="L120" s="19">
        <v>1.6535098929535873E19</v>
      </c>
      <c r="M120" s="20">
        <v>1.6535098929535875E18</v>
      </c>
    </row>
    <row r="121">
      <c r="A121" s="6"/>
      <c r="B121" s="6"/>
      <c r="C121" s="4"/>
      <c r="D121" s="4">
        <v>7.0685416625651705</v>
      </c>
      <c r="E121" s="4" t="s">
        <v>231</v>
      </c>
      <c r="F121" s="4"/>
      <c r="G121" s="4"/>
      <c r="H121" s="4"/>
      <c r="I121" s="4" t="str">
        <f>IFERROR(__xludf.DUMMYFUNCTION("""COMPUTED_VALUE"""),"0x5f9aed0f00492f402c31c4cc4104624a238323f5")</f>
        <v>0x5f9aed0f00492f402c31c4cc4104624a238323f5</v>
      </c>
      <c r="J121" s="18">
        <v>7.0685416625651705</v>
      </c>
      <c r="K121" s="4">
        <v>88.35677078206463</v>
      </c>
      <c r="L121" s="19">
        <v>8.835677078206462E19</v>
      </c>
      <c r="M121" s="20">
        <v>8.835677078206463E18</v>
      </c>
    </row>
    <row r="122">
      <c r="A122" s="6"/>
      <c r="B122" s="6"/>
      <c r="C122" s="4"/>
      <c r="D122" s="4">
        <v>1.0944264827283399</v>
      </c>
      <c r="E122" s="4" t="s">
        <v>232</v>
      </c>
      <c r="F122" s="4"/>
      <c r="G122" s="4"/>
      <c r="H122" s="4"/>
      <c r="I122" s="4" t="str">
        <f>IFERROR(__xludf.DUMMYFUNCTION("""COMPUTED_VALUE"""),"0x8d2c9a924d7dcc0a70da97e9606348774eb3e815")</f>
        <v>0x8d2c9a924d7dcc0a70da97e9606348774eb3e815</v>
      </c>
      <c r="J122" s="18">
        <v>2.63908255409692</v>
      </c>
      <c r="K122" s="4">
        <v>32.9885319262115</v>
      </c>
      <c r="L122" s="19">
        <v>3.2988531926211502E19</v>
      </c>
      <c r="M122" s="20">
        <v>3.29885319262115E18</v>
      </c>
    </row>
    <row r="123">
      <c r="A123" s="6"/>
      <c r="B123" s="6"/>
      <c r="C123" s="4"/>
      <c r="D123" s="4">
        <v>7.0685416625651705</v>
      </c>
      <c r="E123" s="4" t="s">
        <v>234</v>
      </c>
      <c r="F123" s="4"/>
      <c r="G123" s="4"/>
      <c r="H123" s="4"/>
      <c r="I123" s="4" t="str">
        <f>IFERROR(__xludf.DUMMYFUNCTION("""COMPUTED_VALUE"""),"0x8a4e77a0d0e510a104105fb614a0ca685eea3fce")</f>
        <v>0x8a4e77a0d0e510a104105fb614a0ca685eea3fce</v>
      </c>
      <c r="J123" s="18">
        <v>7.0685416625651705</v>
      </c>
      <c r="K123" s="4">
        <v>88.35677078206463</v>
      </c>
      <c r="L123" s="19">
        <v>8.835677078206462E19</v>
      </c>
      <c r="M123" s="20">
        <v>8.835677078206463E18</v>
      </c>
    </row>
    <row r="124">
      <c r="A124" s="6"/>
      <c r="B124" s="6"/>
      <c r="C124" s="4"/>
      <c r="D124" s="4">
        <v>7.27464859815294</v>
      </c>
      <c r="E124" s="4" t="s">
        <v>235</v>
      </c>
      <c r="F124" s="4"/>
      <c r="G124" s="4"/>
      <c r="H124" s="4"/>
      <c r="I124" s="4" t="str">
        <f>IFERROR(__xludf.DUMMYFUNCTION("""COMPUTED_VALUE"""),"0x714816133d78372a8759a9e9cb6b75d2596f045e")</f>
        <v>0x714816133d78372a8759a9e9cb6b75d2596f045e</v>
      </c>
      <c r="J124" s="18">
        <v>7.27464859815294</v>
      </c>
      <c r="K124" s="4">
        <v>90.93310747691174</v>
      </c>
      <c r="L124" s="19">
        <v>9.093310747691175E19</v>
      </c>
      <c r="M124" s="20">
        <v>9.093310747691176E18</v>
      </c>
    </row>
    <row r="125">
      <c r="A125" s="6"/>
      <c r="B125" s="6"/>
      <c r="C125" s="4"/>
      <c r="D125" s="4">
        <v>7.1372739681821</v>
      </c>
      <c r="E125" s="4" t="s">
        <v>237</v>
      </c>
      <c r="F125" s="4"/>
      <c r="G125" s="4"/>
      <c r="H125" s="4"/>
      <c r="I125" s="4" t="str">
        <f>IFERROR(__xludf.DUMMYFUNCTION("""COMPUTED_VALUE"""),"0xd2ed4e17076882df4d796ab34b415dbd7a21a9ea")</f>
        <v>0xd2ed4e17076882df4d796ab34b415dbd7a21a9ea</v>
      </c>
      <c r="J125" s="18">
        <v>7.1372739681821</v>
      </c>
      <c r="K125" s="4">
        <v>89.21592460227625</v>
      </c>
      <c r="L125" s="19">
        <v>8.921592460227625E19</v>
      </c>
      <c r="M125" s="20">
        <v>8.921592460227625E18</v>
      </c>
    </row>
    <row r="126">
      <c r="A126" s="6"/>
      <c r="B126" s="6"/>
      <c r="C126" s="4"/>
      <c r="D126" s="4">
        <v>521.890809840661</v>
      </c>
      <c r="E126" s="4" t="s">
        <v>239</v>
      </c>
      <c r="F126" s="4"/>
      <c r="G126" s="4"/>
      <c r="H126" s="4"/>
      <c r="I126" s="4" t="str">
        <f>IFERROR(__xludf.DUMMYFUNCTION("""COMPUTED_VALUE"""),"0xd598e2906913ac80ffde233772f56cf26ed90d55")</f>
        <v>0xd598e2906913ac80ffde233772f56cf26ed90d55</v>
      </c>
      <c r="J126" s="18">
        <v>756.2668976477576</v>
      </c>
      <c r="K126" s="4">
        <v>9453.33622059697</v>
      </c>
      <c r="L126" s="19">
        <v>9.45333622059697E21</v>
      </c>
      <c r="M126" s="20">
        <v>9.45333622059697E20</v>
      </c>
    </row>
    <row r="127">
      <c r="A127" s="6"/>
      <c r="B127" s="6"/>
      <c r="C127" s="4"/>
      <c r="D127" s="4">
        <v>7.0685416625651705</v>
      </c>
      <c r="E127" s="4" t="s">
        <v>241</v>
      </c>
      <c r="F127" s="4"/>
      <c r="G127" s="4"/>
      <c r="H127" s="4"/>
      <c r="I127" s="4" t="str">
        <f>IFERROR(__xludf.DUMMYFUNCTION("""COMPUTED_VALUE"""),"0x19b006398fb28893fca7f4dda9d44327bff7026f")</f>
        <v>0x19b006398fb28893fca7f4dda9d44327bff7026f</v>
      </c>
      <c r="J127" s="18">
        <v>7.0685416625651705</v>
      </c>
      <c r="K127" s="4">
        <v>88.35677078206463</v>
      </c>
      <c r="L127" s="19">
        <v>8.835677078206462E19</v>
      </c>
      <c r="M127" s="20">
        <v>8.835677078206463E18</v>
      </c>
    </row>
    <row r="128">
      <c r="A128" s="6"/>
      <c r="B128" s="6"/>
      <c r="C128" s="4"/>
      <c r="D128" s="4">
        <v>0.204800033010927</v>
      </c>
      <c r="E128" s="4" t="s">
        <v>242</v>
      </c>
      <c r="F128" s="4"/>
      <c r="G128" s="4"/>
      <c r="H128" s="4"/>
      <c r="I128" s="4" t="str">
        <f>IFERROR(__xludf.DUMMYFUNCTION("""COMPUTED_VALUE"""),"0xffab30adf9b3b654ee408f3cf6eb8f2491207124")</f>
        <v>0xffab30adf9b3b654ee408f3cf6eb8f2491207124</v>
      </c>
      <c r="J128" s="18">
        <v>0.204800033010927</v>
      </c>
      <c r="K128" s="4">
        <v>2.5600004126365876</v>
      </c>
      <c r="L128" s="19">
        <v>2.5600004126365875E18</v>
      </c>
      <c r="M128" s="20">
        <v>2.5600004126365875E17</v>
      </c>
    </row>
    <row r="129">
      <c r="A129" s="6"/>
      <c r="B129" s="6"/>
      <c r="C129" s="4"/>
      <c r="D129" s="4">
        <v>6.113366623739241</v>
      </c>
      <c r="E129" s="4" t="s">
        <v>244</v>
      </c>
      <c r="F129" s="4"/>
      <c r="G129" s="4"/>
      <c r="H129" s="4"/>
      <c r="I129" s="4" t="str">
        <f>IFERROR(__xludf.DUMMYFUNCTION("""COMPUTED_VALUE"""),"0x4d9d26d1192b1e96194abc3bc678493e1921ae22")</f>
        <v>0x4d9d26d1192b1e96194abc3bc678493e1921ae22</v>
      </c>
      <c r="J129" s="18">
        <v>216.56309309726583</v>
      </c>
      <c r="K129" s="4">
        <v>2707.038663715823</v>
      </c>
      <c r="L129" s="19">
        <v>2.707038663715823E21</v>
      </c>
      <c r="M129" s="20">
        <v>2.7070386637158233E20</v>
      </c>
    </row>
    <row r="130">
      <c r="A130" s="6"/>
      <c r="B130" s="6"/>
      <c r="C130" s="4"/>
      <c r="D130" s="4">
        <v>7.07504676200682</v>
      </c>
      <c r="E130" s="4" t="s">
        <v>246</v>
      </c>
      <c r="F130" s="4"/>
      <c r="G130" s="4"/>
      <c r="H130" s="4"/>
      <c r="I130" s="4" t="str">
        <f>IFERROR(__xludf.DUMMYFUNCTION("""COMPUTED_VALUE"""),"0x0eabd12d4e91d16d6f047b980ec4856a07ffe856")</f>
        <v>0x0eabd12d4e91d16d6f047b980ec4856a07ffe856</v>
      </c>
      <c r="J130" s="18">
        <v>7.07504676200682</v>
      </c>
      <c r="K130" s="4">
        <v>88.43808452508524</v>
      </c>
      <c r="L130" s="19">
        <v>8.843808452508525E19</v>
      </c>
      <c r="M130" s="20">
        <v>8.843808452508525E18</v>
      </c>
    </row>
    <row r="131">
      <c r="A131" s="6"/>
      <c r="B131" s="6"/>
      <c r="C131" s="4"/>
      <c r="D131" s="4">
        <v>1.2366833123589398</v>
      </c>
      <c r="E131" s="4" t="s">
        <v>248</v>
      </c>
      <c r="F131" s="4"/>
      <c r="G131" s="4"/>
      <c r="H131" s="4"/>
      <c r="I131" s="4" t="str">
        <f>IFERROR(__xludf.DUMMYFUNCTION("""COMPUTED_VALUE"""),"0x4142bd71bd7ce555b45883a11aa3f8461f8236b4")</f>
        <v>0x4142bd71bd7ce555b45883a11aa3f8461f8236b4</v>
      </c>
      <c r="J131" s="18">
        <v>1.2366833123589398</v>
      </c>
      <c r="K131" s="4">
        <v>15.458541404486747</v>
      </c>
      <c r="L131" s="19">
        <v>1.5458541404486746E19</v>
      </c>
      <c r="M131" s="20">
        <v>1.5458541404486748E18</v>
      </c>
    </row>
    <row r="132">
      <c r="A132" s="6"/>
      <c r="B132" s="6"/>
      <c r="C132" s="4"/>
      <c r="D132" s="4">
        <v>16.585629033091102</v>
      </c>
      <c r="E132" s="4" t="s">
        <v>250</v>
      </c>
      <c r="F132" s="4"/>
      <c r="G132" s="4"/>
      <c r="H132" s="4"/>
      <c r="I132" s="4" t="str">
        <f>IFERROR(__xludf.DUMMYFUNCTION("""COMPUTED_VALUE"""),"0x89450dad63f537dfd26b660c1c4ef478b25e9c8f")</f>
        <v>0x89450dad63f537dfd26b660c1c4ef478b25e9c8f</v>
      </c>
      <c r="J132" s="18">
        <v>16.585629033091102</v>
      </c>
      <c r="K132" s="4">
        <v>207.32036291363877</v>
      </c>
      <c r="L132" s="19">
        <v>2.0732036291363878E20</v>
      </c>
      <c r="M132" s="20">
        <v>2.0732036291363877E19</v>
      </c>
    </row>
    <row r="133">
      <c r="A133" s="6"/>
      <c r="B133" s="6"/>
      <c r="C133" s="4"/>
      <c r="D133" s="4">
        <v>2.159534499471</v>
      </c>
      <c r="E133" s="4" t="s">
        <v>252</v>
      </c>
      <c r="F133" s="4"/>
      <c r="G133" s="4"/>
      <c r="H133" s="4"/>
      <c r="I133" s="4" t="str">
        <f>IFERROR(__xludf.DUMMYFUNCTION("""COMPUTED_VALUE"""),"0x3d82bd8155005dd721dfdc311534cfde980cd11c")</f>
        <v>0x3d82bd8155005dd721dfdc311534cfde980cd11c</v>
      </c>
      <c r="J133" s="18">
        <v>236.53562230656757</v>
      </c>
      <c r="K133" s="4">
        <v>2956.6952788320946</v>
      </c>
      <c r="L133" s="19">
        <v>2.9566952788320945E21</v>
      </c>
      <c r="M133" s="20">
        <v>2.9566952788320944E20</v>
      </c>
    </row>
    <row r="134">
      <c r="A134" s="6"/>
      <c r="B134" s="6"/>
      <c r="C134" s="4"/>
      <c r="D134" s="4">
        <v>183.314820696316</v>
      </c>
      <c r="E134" s="4" t="s">
        <v>254</v>
      </c>
      <c r="F134" s="4"/>
      <c r="G134" s="4"/>
      <c r="H134" s="4"/>
      <c r="I134" s="4" t="str">
        <f>IFERROR(__xludf.DUMMYFUNCTION("""COMPUTED_VALUE"""),"0x345fa4f148bfdca72ad3590f7986c537e8067ea3")</f>
        <v>0x345fa4f148bfdca72ad3590f7986c537e8067ea3</v>
      </c>
      <c r="J134" s="18">
        <v>417.6909085034126</v>
      </c>
      <c r="K134" s="4">
        <v>5221.136356292657</v>
      </c>
      <c r="L134" s="19">
        <v>5.221136356292657E21</v>
      </c>
      <c r="M134" s="20">
        <v>5.221136356292658E20</v>
      </c>
    </row>
    <row r="135">
      <c r="A135" s="6"/>
      <c r="B135" s="6"/>
      <c r="C135" s="4"/>
      <c r="D135" s="4">
        <v>8.76499166158081</v>
      </c>
      <c r="E135" s="4" t="s">
        <v>256</v>
      </c>
      <c r="F135" s="4"/>
      <c r="G135" s="4"/>
      <c r="H135" s="4"/>
      <c r="I135" s="4" t="str">
        <f>IFERROR(__xludf.DUMMYFUNCTION("""COMPUTED_VALUE"""),"0x9c2aa05fe6f85847973e5bb81384cd0561940ed0")</f>
        <v>0x9c2aa05fe6f85847973e5bb81384cd0561940ed0</v>
      </c>
      <c r="J135" s="18">
        <v>68.85107665922281</v>
      </c>
      <c r="K135" s="4">
        <v>860.6384582402851</v>
      </c>
      <c r="L135" s="19">
        <v>8.606384582402851E20</v>
      </c>
      <c r="M135" s="20">
        <v>8.606384582402852E19</v>
      </c>
    </row>
    <row r="136">
      <c r="A136" s="6"/>
      <c r="B136" s="6"/>
      <c r="C136" s="4"/>
      <c r="D136" s="4">
        <v>7.20991249581647</v>
      </c>
      <c r="E136" s="4" t="s">
        <v>258</v>
      </c>
      <c r="F136" s="4"/>
      <c r="G136" s="4"/>
      <c r="H136" s="4"/>
      <c r="I136" s="4" t="str">
        <f>IFERROR(__xludf.DUMMYFUNCTION("""COMPUTED_VALUE"""),"0x5ad45d0e46299118e887eca909bd727aa5c31e7e")</f>
        <v>0x5ad45d0e46299118e887eca909bd727aa5c31e7e</v>
      </c>
      <c r="J136" s="18">
        <v>55.57404009541307</v>
      </c>
      <c r="K136" s="4">
        <v>694.6755011926633</v>
      </c>
      <c r="L136" s="19">
        <v>6.946755011926633E20</v>
      </c>
      <c r="M136" s="20">
        <v>6.946755011926633E19</v>
      </c>
    </row>
    <row r="137">
      <c r="A137" s="6"/>
      <c r="B137" s="6"/>
      <c r="C137" s="4"/>
      <c r="D137" s="4">
        <v>0.570784823367782</v>
      </c>
      <c r="E137" s="4" t="s">
        <v>260</v>
      </c>
      <c r="F137" s="4"/>
      <c r="G137" s="4"/>
      <c r="H137" s="4"/>
      <c r="I137" s="4" t="str">
        <f>IFERROR(__xludf.DUMMYFUNCTION("""COMPUTED_VALUE"""),"0xae0ba28d9d07587debe1c0c87ff0b341789655a7")</f>
        <v>0xae0ba28d9d07587debe1c0c87ff0b341789655a7</v>
      </c>
      <c r="J137" s="18">
        <v>0.570784823367782</v>
      </c>
      <c r="K137" s="4">
        <v>7.134810292097275</v>
      </c>
      <c r="L137" s="19">
        <v>7.134810292097275E18</v>
      </c>
      <c r="M137" s="20">
        <v>7.134810292097275E17</v>
      </c>
    </row>
    <row r="138">
      <c r="A138" s="6"/>
      <c r="B138" s="6"/>
      <c r="C138" s="4"/>
      <c r="D138" s="4">
        <v>3.6625563526250597</v>
      </c>
      <c r="E138" s="4" t="s">
        <v>262</v>
      </c>
      <c r="F138" s="4"/>
      <c r="G138" s="4"/>
      <c r="H138" s="4"/>
      <c r="I138" s="4" t="str">
        <f>IFERROR(__xludf.DUMMYFUNCTION("""COMPUTED_VALUE"""),"0x0e06aa2814a2fb67912c7c4a1684e4d42af8fa02")</f>
        <v>0x0e06aa2814a2fb67912c7c4a1684e4d42af8fa02</v>
      </c>
      <c r="J138" s="18">
        <v>3.6625563526250597</v>
      </c>
      <c r="K138" s="4">
        <v>45.781954407813245</v>
      </c>
      <c r="L138" s="19">
        <v>4.578195440781324E19</v>
      </c>
      <c r="M138" s="20">
        <v>4.5781954407813243E18</v>
      </c>
    </row>
    <row r="139">
      <c r="A139" s="6"/>
      <c r="B139" s="6"/>
      <c r="C139" s="4"/>
      <c r="D139" s="4">
        <v>7.67570187397094</v>
      </c>
      <c r="E139" s="4" t="s">
        <v>264</v>
      </c>
      <c r="F139" s="4"/>
      <c r="G139" s="4"/>
      <c r="H139" s="4"/>
      <c r="I139" s="4" t="str">
        <f>IFERROR(__xludf.DUMMYFUNCTION("""COMPUTED_VALUE"""),"0xa0f55c60fa596469f4f16ddbb194a6c1618714ea")</f>
        <v>0xa0f55c60fa596469f4f16ddbb194a6c1618714ea</v>
      </c>
      <c r="J139" s="18">
        <v>8.220742029859906</v>
      </c>
      <c r="K139" s="4">
        <v>102.75927537324883</v>
      </c>
      <c r="L139" s="19">
        <v>1.0275927537324882E20</v>
      </c>
      <c r="M139" s="20">
        <v>1.0275927537324882E19</v>
      </c>
    </row>
    <row r="140">
      <c r="A140" s="6"/>
      <c r="B140" s="6"/>
      <c r="C140" s="4"/>
      <c r="D140" s="4">
        <v>4.2411249975391</v>
      </c>
      <c r="E140" s="4" t="s">
        <v>266</v>
      </c>
      <c r="F140" s="4"/>
      <c r="G140" s="4"/>
      <c r="H140" s="4"/>
      <c r="I140" s="4" t="str">
        <f>IFERROR(__xludf.DUMMYFUNCTION("""COMPUTED_VALUE"""),"0x9eb8b2a40367dc283408a59d0ba8b859b5ddb524")</f>
        <v>0x9eb8b2a40367dc283408a59d0ba8b859b5ddb524</v>
      </c>
      <c r="J140" s="18">
        <v>4.2411249975391</v>
      </c>
      <c r="K140" s="4">
        <v>53.01406246923875</v>
      </c>
      <c r="L140" s="19">
        <v>5.301406246923875E19</v>
      </c>
      <c r="M140" s="20">
        <v>5.301406246923875E18</v>
      </c>
    </row>
    <row r="141">
      <c r="A141" s="6"/>
      <c r="B141" s="6"/>
      <c r="C141" s="4"/>
      <c r="D141" s="4">
        <v>16.2470537842876</v>
      </c>
      <c r="E141" s="4" t="s">
        <v>268</v>
      </c>
      <c r="F141" s="4"/>
      <c r="G141" s="4"/>
      <c r="H141" s="4"/>
      <c r="I141" s="4" t="str">
        <f>IFERROR(__xludf.DUMMYFUNCTION("""COMPUTED_VALUE"""),"0xcdf16a03a01071de6584cd104884c753715abe7f")</f>
        <v>0xcdf16a03a01071de6584cd104884c753715abe7f</v>
      </c>
      <c r="J141" s="18">
        <v>16.2470537842876</v>
      </c>
      <c r="K141" s="4">
        <v>203.088172303595</v>
      </c>
      <c r="L141" s="19">
        <v>2.03088172303595E20</v>
      </c>
      <c r="M141" s="20">
        <v>2.0308817230359503E19</v>
      </c>
    </row>
    <row r="142">
      <c r="A142" s="6"/>
      <c r="B142" s="6"/>
      <c r="C142" s="4"/>
      <c r="D142" s="4">
        <v>1.13977095189454</v>
      </c>
      <c r="E142" s="4" t="s">
        <v>270</v>
      </c>
      <c r="F142" s="4"/>
      <c r="G142" s="4"/>
      <c r="H142" s="4"/>
      <c r="I142" s="4" t="str">
        <f>IFERROR(__xludf.DUMMYFUNCTION("""COMPUTED_VALUE"""),"0x0ed1144e93568aa6932fe4df2a5a49dac64238fe")</f>
        <v>0x0ed1144e93568aa6932fe4df2a5a49dac64238fe</v>
      </c>
      <c r="J142" s="18">
        <v>14.29204595909804</v>
      </c>
      <c r="K142" s="4">
        <v>178.65057448872548</v>
      </c>
      <c r="L142" s="19">
        <v>1.786505744887255E20</v>
      </c>
      <c r="M142" s="20">
        <v>1.786505744887255E19</v>
      </c>
    </row>
    <row r="143">
      <c r="A143" s="6"/>
      <c r="B143" s="6"/>
      <c r="C143" s="4"/>
      <c r="D143" s="4">
        <v>3.46651727417964</v>
      </c>
      <c r="E143" s="4" t="s">
        <v>272</v>
      </c>
      <c r="F143" s="4"/>
      <c r="G143" s="4"/>
      <c r="H143" s="4"/>
      <c r="I143" s="4" t="str">
        <f>IFERROR(__xludf.DUMMYFUNCTION("""COMPUTED_VALUE"""),"0x8ab10d39a7958ef31ead4ef48bc06cbff4fa59e4")</f>
        <v>0x8ab10d39a7958ef31ead4ef48bc06cbff4fa59e4</v>
      </c>
      <c r="J143" s="18">
        <v>3.46651727417964</v>
      </c>
      <c r="K143" s="4">
        <v>43.331465927245496</v>
      </c>
      <c r="L143" s="19">
        <v>4.33314659272455E19</v>
      </c>
      <c r="M143" s="20">
        <v>4.3331465927245496E18</v>
      </c>
    </row>
    <row r="144">
      <c r="A144" s="6"/>
      <c r="B144" s="6"/>
      <c r="C144" s="4"/>
      <c r="D144" s="4">
        <v>0.03870547058718769</v>
      </c>
      <c r="E144" s="4" t="s">
        <v>274</v>
      </c>
      <c r="F144" s="4"/>
      <c r="G144" s="4"/>
      <c r="H144" s="4"/>
      <c r="I144" s="4" t="str">
        <f>IFERROR(__xludf.DUMMYFUNCTION("""COMPUTED_VALUE"""),"0xf6cfddd5643fa03c8c490e577aeabfeacb069b24")</f>
        <v>0xf6cfddd5643fa03c8c490e577aeabfeacb069b24</v>
      </c>
      <c r="J144" s="18">
        <v>22.682119791672847</v>
      </c>
      <c r="K144" s="4">
        <v>283.52649739591055</v>
      </c>
      <c r="L144" s="19">
        <v>2.8352649739591054E20</v>
      </c>
      <c r="M144" s="20">
        <v>2.8352649739591057E19</v>
      </c>
    </row>
    <row r="145">
      <c r="A145" s="6"/>
      <c r="B145" s="6"/>
      <c r="C145" s="4"/>
      <c r="D145" s="4">
        <v>4.0476244751987505</v>
      </c>
      <c r="E145" s="4" t="s">
        <v>276</v>
      </c>
      <c r="F145" s="4"/>
      <c r="G145" s="4"/>
      <c r="H145" s="4"/>
      <c r="I145" s="4" t="str">
        <f>IFERROR(__xludf.DUMMYFUNCTION("""COMPUTED_VALUE"""),"0x1484505f65da8da59b91ee4e861e86c90f9ddfe1")</f>
        <v>0x1484505f65da8da59b91ee4e861e86c90f9ddfe1</v>
      </c>
      <c r="J145" s="18">
        <v>4.0476244751987505</v>
      </c>
      <c r="K145" s="4">
        <v>50.59530593998438</v>
      </c>
      <c r="L145" s="19">
        <v>5.0595305939984376E19</v>
      </c>
      <c r="M145" s="20">
        <v>5.059530593998437E18</v>
      </c>
    </row>
    <row r="146">
      <c r="A146" s="6"/>
      <c r="B146" s="6"/>
      <c r="C146" s="4"/>
      <c r="D146" s="4">
        <v>4.9835512282375</v>
      </c>
      <c r="E146" s="4" t="s">
        <v>278</v>
      </c>
      <c r="F146" s="4"/>
      <c r="G146" s="4"/>
      <c r="H146" s="4"/>
      <c r="I146" s="4" t="str">
        <f>IFERROR(__xludf.DUMMYFUNCTION("""COMPUTED_VALUE"""),"0x9ceb07c0fb10ea0183a5ce7f5d55288141a54337")</f>
        <v>0x9ceb07c0fb10ea0183a5ce7f5d55288141a54337</v>
      </c>
      <c r="J146" s="18">
        <v>4.9835512282375</v>
      </c>
      <c r="K146" s="4">
        <v>62.294390352968755</v>
      </c>
      <c r="L146" s="19">
        <v>6.229439035296875E19</v>
      </c>
      <c r="M146" s="20">
        <v>6.229439035296876E18</v>
      </c>
    </row>
    <row r="147">
      <c r="A147" s="6"/>
      <c r="B147" s="6"/>
      <c r="C147" s="4"/>
      <c r="D147" s="4">
        <v>713.352287508956</v>
      </c>
      <c r="E147" s="4" t="s">
        <v>280</v>
      </c>
      <c r="F147" s="4"/>
      <c r="G147" s="4"/>
      <c r="H147" s="4"/>
      <c r="I147" s="4" t="str">
        <f>IFERROR(__xludf.DUMMYFUNCTION("""COMPUTED_VALUE"""),"0xb0e218c5be3ae27507f2c9e35460bfbbb1f5db35")</f>
        <v>0xb0e218c5be3ae27507f2c9e35460bfbbb1f5db35</v>
      </c>
      <c r="J147" s="18">
        <v>947.7283753160526</v>
      </c>
      <c r="K147" s="4">
        <v>11846.604691450657</v>
      </c>
      <c r="L147" s="19">
        <v>1.1846604691450658E22</v>
      </c>
      <c r="M147" s="20">
        <v>1.1846604691450658E21</v>
      </c>
    </row>
    <row r="148">
      <c r="A148" s="6"/>
      <c r="B148" s="6"/>
      <c r="C148" s="4"/>
      <c r="D148" s="4">
        <v>7.95444654625273</v>
      </c>
      <c r="E148" s="4" t="s">
        <v>282</v>
      </c>
      <c r="F148" s="4"/>
      <c r="G148" s="4"/>
      <c r="H148" s="4"/>
      <c r="I148" s="4" t="str">
        <f>IFERROR(__xludf.DUMMYFUNCTION("""COMPUTED_VALUE"""),"0xc63b90655e832cc4206f562756f3a78f69afe1d0")</f>
        <v>0xc63b90655e832cc4206f562756f3a78f69afe1d0</v>
      </c>
      <c r="J148" s="18">
        <v>7.95444654625273</v>
      </c>
      <c r="K148" s="4">
        <v>99.43058182815912</v>
      </c>
      <c r="L148" s="19">
        <v>9.943058182815913E19</v>
      </c>
      <c r="M148" s="20">
        <v>9.943058182815914E18</v>
      </c>
    </row>
    <row r="149">
      <c r="A149" s="6"/>
      <c r="B149" s="6"/>
      <c r="C149" s="4"/>
      <c r="D149" s="4">
        <v>9.844016802091659</v>
      </c>
      <c r="E149" s="4" t="s">
        <v>284</v>
      </c>
      <c r="F149" s="4"/>
      <c r="G149" s="4"/>
      <c r="H149" s="4"/>
      <c r="I149" s="4" t="str">
        <f>IFERROR(__xludf.DUMMYFUNCTION("""COMPUTED_VALUE"""),"0x395f78fa07383c32fe183bb0ffa8a7e49cffc282")</f>
        <v>0x395f78fa07383c32fe183bb0ffa8a7e49cffc282</v>
      </c>
      <c r="J149" s="18">
        <v>9.844016802091659</v>
      </c>
      <c r="K149" s="4">
        <v>123.05021002614573</v>
      </c>
      <c r="L149" s="19">
        <v>1.2305021002614573E20</v>
      </c>
      <c r="M149" s="20">
        <v>1.2305021002614573E19</v>
      </c>
    </row>
    <row r="150">
      <c r="A150" s="6"/>
      <c r="B150" s="6"/>
      <c r="C150" s="4"/>
      <c r="D150" s="4">
        <v>7.0685416625651705</v>
      </c>
      <c r="E150" s="4" t="s">
        <v>286</v>
      </c>
      <c r="F150" s="4"/>
      <c r="G150" s="4"/>
      <c r="H150" s="4"/>
      <c r="I150" s="4" t="str">
        <f>IFERROR(__xludf.DUMMYFUNCTION("""COMPUTED_VALUE"""),"0x8f4f21f0ee2f53aad8af4f0a919a57ce7cf8e46d")</f>
        <v>0x8f4f21f0ee2f53aad8af4f0a919a57ce7cf8e46d</v>
      </c>
      <c r="J150" s="18">
        <v>7.0685416625651705</v>
      </c>
      <c r="K150" s="4">
        <v>88.35677078206463</v>
      </c>
      <c r="L150" s="19">
        <v>8.835677078206462E19</v>
      </c>
      <c r="M150" s="20">
        <v>8.835677078206463E18</v>
      </c>
    </row>
    <row r="151">
      <c r="A151" s="6"/>
      <c r="B151" s="6"/>
      <c r="C151" s="4"/>
      <c r="D151" s="4">
        <v>7.2022031922659</v>
      </c>
      <c r="E151" s="4" t="s">
        <v>287</v>
      </c>
      <c r="F151" s="4"/>
      <c r="G151" s="4"/>
      <c r="H151" s="4"/>
      <c r="I151" s="4" t="str">
        <f>IFERROR(__xludf.DUMMYFUNCTION("""COMPUTED_VALUE"""),"0x78737d9f978ac75eb34b656701f4f4900de7f24b")</f>
        <v>0x78737d9f978ac75eb34b656701f4f4900de7f24b</v>
      </c>
      <c r="J151" s="18">
        <v>55.5663307918625</v>
      </c>
      <c r="K151" s="4">
        <v>694.5791348982812</v>
      </c>
      <c r="L151" s="19">
        <v>6.945791348982811E20</v>
      </c>
      <c r="M151" s="20">
        <v>6.945791348982812E19</v>
      </c>
    </row>
    <row r="152">
      <c r="A152" s="6"/>
      <c r="B152" s="6"/>
      <c r="C152" s="4"/>
      <c r="D152" s="4">
        <v>0.0781109963071788</v>
      </c>
      <c r="E152" s="4" t="s">
        <v>289</v>
      </c>
      <c r="F152" s="4"/>
      <c r="G152" s="4"/>
      <c r="H152" s="4"/>
      <c r="I152" s="4" t="str">
        <f>IFERROR(__xludf.DUMMYFUNCTION("""COMPUTED_VALUE"""),"0xca19509388d5a40e42398f2fbe28c35a3147ca07")</f>
        <v>0xca19509388d5a40e42398f2fbe28c35a3147ca07</v>
      </c>
      <c r="J152" s="18">
        <v>0.0781109963071788</v>
      </c>
      <c r="K152" s="4">
        <v>0.9763874538397349</v>
      </c>
      <c r="L152" s="19">
        <v>9.763874538397349E17</v>
      </c>
      <c r="M152" s="20">
        <v>9.76387453839735E16</v>
      </c>
    </row>
    <row r="153">
      <c r="A153" s="6"/>
      <c r="B153" s="6"/>
      <c r="C153" s="4"/>
      <c r="D153" s="4">
        <v>530.281995525639</v>
      </c>
      <c r="E153" s="4" t="s">
        <v>291</v>
      </c>
      <c r="F153" s="4"/>
      <c r="G153" s="4"/>
      <c r="H153" s="4"/>
      <c r="I153" s="4" t="str">
        <f>IFERROR(__xludf.DUMMYFUNCTION("""COMPUTED_VALUE"""),"0x0a4d01d364136395254ac6a55890c2723f866a8b")</f>
        <v>0x0a4d01d364136395254ac6a55890c2723f866a8b</v>
      </c>
      <c r="J153" s="18">
        <v>764.6580833327356</v>
      </c>
      <c r="K153" s="4">
        <v>9558.226041659194</v>
      </c>
      <c r="L153" s="19">
        <v>9.558226041659195E21</v>
      </c>
      <c r="M153" s="20">
        <v>9.558226041659195E20</v>
      </c>
    </row>
    <row r="154">
      <c r="A154" s="6"/>
      <c r="B154" s="6"/>
      <c r="C154" s="4"/>
      <c r="D154" s="4">
        <v>0.00384134556680389</v>
      </c>
      <c r="E154" s="4" t="s">
        <v>293</v>
      </c>
      <c r="F154" s="4"/>
      <c r="G154" s="4"/>
      <c r="H154" s="4"/>
      <c r="I154" s="4" t="str">
        <f>IFERROR(__xludf.DUMMYFUNCTION("""COMPUTED_VALUE"""),"0xf247e25f9921c25491573283b2a436f8e666ae76")</f>
        <v>0xf247e25f9921c25491573283b2a436f8e666ae76</v>
      </c>
      <c r="J154" s="18">
        <v>0.00384134556680389</v>
      </c>
      <c r="K154" s="4">
        <v>0.04801681958504863</v>
      </c>
      <c r="L154" s="19">
        <v>4.801681958504863E16</v>
      </c>
      <c r="M154" s="20">
        <v>4.801681958504863E15</v>
      </c>
    </row>
    <row r="155">
      <c r="A155" s="6"/>
      <c r="B155" s="6"/>
      <c r="C155" s="4"/>
      <c r="D155" s="4">
        <v>7.0685416625651705</v>
      </c>
      <c r="E155" s="4" t="s">
        <v>295</v>
      </c>
      <c r="F155" s="4"/>
      <c r="G155" s="4"/>
      <c r="H155" s="4"/>
      <c r="I155" s="4" t="str">
        <f>IFERROR(__xludf.DUMMYFUNCTION("""COMPUTED_VALUE"""),"0xa1835a2ac686899896c471ae7578544b67185026")</f>
        <v>0xa1835a2ac686899896c471ae7578544b67185026</v>
      </c>
      <c r="J155" s="18">
        <v>7.0685416625651705</v>
      </c>
      <c r="K155" s="4">
        <v>88.35677078206463</v>
      </c>
      <c r="L155" s="19">
        <v>8.835677078206462E19</v>
      </c>
      <c r="M155" s="20">
        <v>8.835677078206463E18</v>
      </c>
    </row>
    <row r="156">
      <c r="A156" s="6"/>
      <c r="B156" s="6"/>
      <c r="C156" s="4"/>
      <c r="D156" s="4">
        <v>6.64714911896336</v>
      </c>
      <c r="E156" s="4" t="s">
        <v>296</v>
      </c>
      <c r="F156" s="4"/>
      <c r="G156" s="4"/>
      <c r="H156" s="4"/>
      <c r="I156" s="4" t="str">
        <f>IFERROR(__xludf.DUMMYFUNCTION("""COMPUTED_VALUE"""),"0x85aea15c8f7621f5d69bac3274d26e8ce21fd034")</f>
        <v>0x85aea15c8f7621f5d69bac3274d26e8ce21fd034</v>
      </c>
      <c r="J156" s="18">
        <v>49.703843855027365</v>
      </c>
      <c r="K156" s="4">
        <v>621.298048187842</v>
      </c>
      <c r="L156" s="19">
        <v>6.21298048187842E20</v>
      </c>
      <c r="M156" s="20">
        <v>6.212980481878421E19</v>
      </c>
    </row>
    <row r="157">
      <c r="A157" s="6"/>
      <c r="B157" s="6"/>
      <c r="C157" s="4"/>
      <c r="D157" s="4">
        <v>1.35393735336059</v>
      </c>
      <c r="E157" s="4" t="s">
        <v>298</v>
      </c>
      <c r="F157" s="4"/>
      <c r="G157" s="4"/>
      <c r="H157" s="4"/>
      <c r="I157" s="4" t="str">
        <f>IFERROR(__xludf.DUMMYFUNCTION("""COMPUTED_VALUE"""),"0xf4ab5b7b68b50cbef88745cc9a631cbf5e000ea4")</f>
        <v>0xf4ab5b7b68b50cbef88745cc9a631cbf5e000ea4</v>
      </c>
      <c r="J157" s="18">
        <v>14.663831480999791</v>
      </c>
      <c r="K157" s="4">
        <v>183.29789351249738</v>
      </c>
      <c r="L157" s="19">
        <v>1.832978935124974E20</v>
      </c>
      <c r="M157" s="20">
        <v>1.832978935124974E19</v>
      </c>
    </row>
    <row r="158">
      <c r="A158" s="6"/>
      <c r="B158" s="6"/>
      <c r="C158" s="4"/>
      <c r="D158" s="4">
        <v>86.9149566763452</v>
      </c>
      <c r="E158" s="4" t="s">
        <v>300</v>
      </c>
      <c r="F158" s="4"/>
      <c r="G158" s="4"/>
      <c r="H158" s="4"/>
      <c r="I158" s="4" t="str">
        <f>IFERROR(__xludf.DUMMYFUNCTION("""COMPUTED_VALUE"""),"0x3021a64d45f722f3a8e58ee6bc001055c39f4fe3")</f>
        <v>0x3021a64d45f722f3a8e58ee6bc001055c39f4fe3</v>
      </c>
      <c r="J158" s="18">
        <v>86.9149566763452</v>
      </c>
      <c r="K158" s="4">
        <v>1086.436958454315</v>
      </c>
      <c r="L158" s="19">
        <v>1.0864369584543148E21</v>
      </c>
      <c r="M158" s="20">
        <v>1.086436958454315E20</v>
      </c>
    </row>
    <row r="159">
      <c r="A159" s="6"/>
      <c r="B159" s="6"/>
      <c r="C159" s="4"/>
      <c r="D159" s="4">
        <v>19.927420142505202</v>
      </c>
      <c r="E159" s="4" t="s">
        <v>302</v>
      </c>
      <c r="F159" s="4"/>
      <c r="G159" s="4"/>
      <c r="H159" s="4"/>
      <c r="I159" s="4" t="str">
        <f>IFERROR(__xludf.DUMMYFUNCTION("""COMPUTED_VALUE"""),"0x1c73e48eaad8019f2aa5ee05d16162594c69bf73")</f>
        <v>0x1c73e48eaad8019f2aa5ee05d16162594c69bf73</v>
      </c>
      <c r="J159" s="18">
        <v>254.3035079496018</v>
      </c>
      <c r="K159" s="4">
        <v>3178.793849370022</v>
      </c>
      <c r="L159" s="19">
        <v>3.178793849370022E21</v>
      </c>
      <c r="M159" s="20">
        <v>3.1787938493700224E20</v>
      </c>
    </row>
    <row r="160">
      <c r="A160" s="6"/>
      <c r="B160" s="6"/>
      <c r="C160" s="4"/>
      <c r="D160" s="4">
        <v>14.7167352011363</v>
      </c>
      <c r="E160" s="4" t="s">
        <v>304</v>
      </c>
      <c r="F160" s="4"/>
      <c r="G160" s="4"/>
      <c r="H160" s="4"/>
      <c r="I160" s="4" t="str">
        <f>IFERROR(__xludf.DUMMYFUNCTION("""COMPUTED_VALUE"""),"0xa32d651feee95a9cc57f12aea7c6e3544bd31b30")</f>
        <v>0xa32d651feee95a9cc57f12aea7c6e3544bd31b30</v>
      </c>
      <c r="J160" s="18">
        <v>249.09282300823287</v>
      </c>
      <c r="K160" s="4">
        <v>3113.660287602911</v>
      </c>
      <c r="L160" s="19">
        <v>3.113660287602911E21</v>
      </c>
      <c r="M160" s="20">
        <v>3.1136602876029115E20</v>
      </c>
    </row>
    <row r="161">
      <c r="A161" s="6"/>
      <c r="B161" s="6"/>
      <c r="C161" s="4"/>
      <c r="D161" s="4">
        <v>311.30948376777604</v>
      </c>
      <c r="E161" s="4" t="s">
        <v>306</v>
      </c>
      <c r="F161" s="4"/>
      <c r="G161" s="4"/>
      <c r="H161" s="4"/>
      <c r="I161" s="4" t="str">
        <f>IFERROR(__xludf.DUMMYFUNCTION("""COMPUTED_VALUE"""),"0x00f9d3006853d08d6a161bfac109a02493aae8d6")</f>
        <v>0x00f9d3006853d08d6a161bfac109a02493aae8d6</v>
      </c>
      <c r="J161" s="18">
        <v>448.95170767374174</v>
      </c>
      <c r="K161" s="4">
        <v>5611.896345921771</v>
      </c>
      <c r="L161" s="19">
        <v>5.611896345921771E21</v>
      </c>
      <c r="M161" s="20">
        <v>5.611896345921771E20</v>
      </c>
    </row>
    <row r="162">
      <c r="A162" s="6"/>
      <c r="B162" s="6"/>
      <c r="C162" s="4"/>
      <c r="D162" s="4">
        <v>247.399023653807</v>
      </c>
      <c r="E162" s="4" t="s">
        <v>308</v>
      </c>
      <c r="F162" s="4"/>
      <c r="G162" s="4"/>
      <c r="H162" s="4"/>
      <c r="I162" s="4" t="str">
        <f>IFERROR(__xludf.DUMMYFUNCTION("""COMPUTED_VALUE"""),"0xf5bbab0216b69477de1b7b7ae0519f3b527fff77")</f>
        <v>0xf5bbab0216b69477de1b7b7ae0519f3b527fff77</v>
      </c>
      <c r="J162" s="18">
        <v>481.77511146090364</v>
      </c>
      <c r="K162" s="4">
        <v>6022.188893261296</v>
      </c>
      <c r="L162" s="19">
        <v>6.022188893261295E21</v>
      </c>
      <c r="M162" s="20">
        <v>6.022188893261296E20</v>
      </c>
    </row>
    <row r="163">
      <c r="A163" s="6"/>
      <c r="B163" s="6"/>
      <c r="C163" s="4"/>
      <c r="D163" s="4">
        <v>1.34690096696352</v>
      </c>
      <c r="E163" s="4" t="s">
        <v>310</v>
      </c>
      <c r="F163" s="4"/>
      <c r="G163" s="4"/>
      <c r="H163" s="4"/>
      <c r="I163" s="4" t="str">
        <f>IFERROR(__xludf.DUMMYFUNCTION("""COMPUTED_VALUE"""),"0x8871d16cb578c4de063dd7b7b5915e6efb552e34")</f>
        <v>0x8871d16cb578c4de063dd7b7b5915e6efb552e34</v>
      </c>
      <c r="J163" s="18">
        <v>1.34690096696352</v>
      </c>
      <c r="K163" s="4">
        <v>16.836262087044</v>
      </c>
      <c r="L163" s="19">
        <v>1.6836262087043998E19</v>
      </c>
      <c r="M163" s="20">
        <v>1.6836262087044E18</v>
      </c>
    </row>
    <row r="164">
      <c r="A164" s="6"/>
      <c r="B164" s="6"/>
      <c r="C164" s="4"/>
      <c r="D164" s="4">
        <v>8.83094315175151</v>
      </c>
      <c r="E164" s="4" t="s">
        <v>312</v>
      </c>
      <c r="F164" s="4"/>
      <c r="G164" s="4"/>
      <c r="H164" s="4"/>
      <c r="I164" s="4" t="str">
        <f>IFERROR(__xludf.DUMMYFUNCTION("""COMPUTED_VALUE"""),"0xf7a6b890dd759d6a943d879729f23b18d9020a9c")</f>
        <v>0xf7a6b890dd759d6a943d879729f23b18d9020a9c</v>
      </c>
      <c r="J164" s="18">
        <v>23.73404433655051</v>
      </c>
      <c r="K164" s="4">
        <v>296.6755542068814</v>
      </c>
      <c r="L164" s="19">
        <v>2.9667555420688135E20</v>
      </c>
      <c r="M164" s="20">
        <v>2.966755542068814E19</v>
      </c>
    </row>
    <row r="165">
      <c r="A165" s="6"/>
      <c r="B165" s="6"/>
      <c r="C165" s="4"/>
      <c r="D165" s="4">
        <v>3.38352678684297</v>
      </c>
      <c r="E165" s="4" t="s">
        <v>314</v>
      </c>
      <c r="F165" s="4"/>
      <c r="G165" s="4"/>
      <c r="H165" s="4"/>
      <c r="I165" s="4" t="str">
        <f>IFERROR(__xludf.DUMMYFUNCTION("""COMPUTED_VALUE"""),"0x8d93d89028393e94b69bf090ae5fe9a532714562")</f>
        <v>0x8d93d89028393e94b69bf090ae5fe9a532714562</v>
      </c>
      <c r="J165" s="18">
        <v>3.38352678684297</v>
      </c>
      <c r="K165" s="4">
        <v>42.29408483553713</v>
      </c>
      <c r="L165" s="19">
        <v>4.2294084835537125E19</v>
      </c>
      <c r="M165" s="20">
        <v>4.2294084835537126E18</v>
      </c>
    </row>
    <row r="166">
      <c r="A166" s="6"/>
      <c r="B166" s="6"/>
      <c r="C166" s="4"/>
      <c r="D166" s="4">
        <v>2.5453472056810598</v>
      </c>
      <c r="E166" s="4" t="s">
        <v>316</v>
      </c>
      <c r="F166" s="4"/>
      <c r="G166" s="4"/>
      <c r="H166" s="4"/>
      <c r="I166" s="4" t="str">
        <f>IFERROR(__xludf.DUMMYFUNCTION("""COMPUTED_VALUE"""),"0x848458bbb846eba1bdaae2c326ff7596006694d4")</f>
        <v>0x848458bbb846eba1bdaae2c326ff7596006694d4</v>
      </c>
      <c r="J166" s="18">
        <v>2.5453472056810598</v>
      </c>
      <c r="K166" s="4">
        <v>31.816840071013246</v>
      </c>
      <c r="L166" s="19">
        <v>3.1816840071013245E19</v>
      </c>
      <c r="M166" s="20">
        <v>3.181684007101325E18</v>
      </c>
    </row>
    <row r="167">
      <c r="A167" s="6"/>
      <c r="B167" s="6"/>
      <c r="C167" s="4"/>
      <c r="D167" s="4">
        <v>0.126997694215295</v>
      </c>
      <c r="E167" s="4" t="s">
        <v>318</v>
      </c>
      <c r="F167" s="4"/>
      <c r="G167" s="4"/>
      <c r="H167" s="4"/>
      <c r="I167" s="4" t="str">
        <f>IFERROR(__xludf.DUMMYFUNCTION("""COMPUTED_VALUE"""),"0xbfa722f3ed00488231dbc431b47ef78f4d7590d7")</f>
        <v>0xbfa722f3ed00488231dbc431b47ef78f4d7590d7</v>
      </c>
      <c r="J167" s="18">
        <v>0.126997694215295</v>
      </c>
      <c r="K167" s="4">
        <v>1.5874711776911874</v>
      </c>
      <c r="L167" s="19">
        <v>1.5874711776911875E18</v>
      </c>
      <c r="M167" s="20">
        <v>1.5874711776911875E17</v>
      </c>
    </row>
    <row r="168">
      <c r="A168" s="6"/>
      <c r="B168" s="6"/>
      <c r="C168" s="4"/>
      <c r="D168" s="4">
        <v>7.0685416625651705</v>
      </c>
      <c r="E168" s="4" t="s">
        <v>320</v>
      </c>
      <c r="F168" s="4"/>
      <c r="G168" s="4"/>
      <c r="H168" s="4"/>
      <c r="I168" s="4" t="str">
        <f>IFERROR(__xludf.DUMMYFUNCTION("""COMPUTED_VALUE"""),"0x31f6ca96e16729d66bbcda233947f0dbce4ef10f")</f>
        <v>0x31f6ca96e16729d66bbcda233947f0dbce4ef10f</v>
      </c>
      <c r="J168" s="18">
        <v>7.0685416625651705</v>
      </c>
      <c r="K168" s="4">
        <v>88.35677078206463</v>
      </c>
      <c r="L168" s="19">
        <v>8.835677078206462E19</v>
      </c>
      <c r="M168" s="20">
        <v>8.835677078206463E18</v>
      </c>
    </row>
    <row r="169">
      <c r="A169" s="6"/>
      <c r="B169" s="6"/>
      <c r="C169" s="4"/>
      <c r="D169" s="4">
        <v>445.823901822911</v>
      </c>
      <c r="E169" s="4" t="s">
        <v>321</v>
      </c>
      <c r="F169" s="4"/>
      <c r="G169" s="4"/>
      <c r="H169" s="4"/>
      <c r="I169" s="4" t="str">
        <f>IFERROR(__xludf.DUMMYFUNCTION("""COMPUTED_VALUE"""),"0x14dd38e5524926e802ea4f7dfd81490e958ab901")</f>
        <v>0x14dd38e5524926e802ea4f7dfd81490e958ab901</v>
      </c>
      <c r="J169" s="18">
        <v>643.469955093562</v>
      </c>
      <c r="K169" s="4">
        <v>8043.374438669525</v>
      </c>
      <c r="L169" s="19">
        <v>8.043374438669525E21</v>
      </c>
      <c r="M169" s="20">
        <v>8.043374438669526E20</v>
      </c>
    </row>
    <row r="170">
      <c r="A170" s="6"/>
      <c r="B170" s="6"/>
      <c r="C170" s="4"/>
      <c r="D170" s="4">
        <v>35.4441308628584</v>
      </c>
      <c r="E170" s="4" t="s">
        <v>323</v>
      </c>
      <c r="F170" s="4"/>
      <c r="G170" s="4"/>
      <c r="H170" s="4"/>
      <c r="I170" s="4" t="str">
        <f>IFERROR(__xludf.DUMMYFUNCTION("""COMPUTED_VALUE"""),"0x20db1d0cb15ae6d626c43740ee51a413ea5ed1a9")</f>
        <v>0x20db1d0cb15ae6d626c43740ee51a413ea5ed1a9</v>
      </c>
      <c r="J170" s="18">
        <v>83.808258462455</v>
      </c>
      <c r="K170" s="4">
        <v>1047.6032307806875</v>
      </c>
      <c r="L170" s="19">
        <v>1.0476032307806875E21</v>
      </c>
      <c r="M170" s="20">
        <v>1.0476032307806876E20</v>
      </c>
    </row>
    <row r="171">
      <c r="A171" s="6"/>
      <c r="B171" s="6"/>
      <c r="C171" s="4"/>
      <c r="D171" s="4">
        <v>1.68190310943642</v>
      </c>
      <c r="E171" s="4" t="s">
        <v>325</v>
      </c>
      <c r="F171" s="4"/>
      <c r="G171" s="4"/>
      <c r="H171" s="4"/>
      <c r="I171" s="4" t="str">
        <f>IFERROR(__xludf.DUMMYFUNCTION("""COMPUTED_VALUE"""),"0x979f489733dd28793a2540e2e24f96962717d7a4")</f>
        <v>0x979f489733dd28793a2540e2e24f96962717d7a4</v>
      </c>
      <c r="J171" s="18">
        <v>1.68190310943642</v>
      </c>
      <c r="K171" s="4">
        <v>21.02378886795525</v>
      </c>
      <c r="L171" s="19">
        <v>2.102378886795525E19</v>
      </c>
      <c r="M171" s="20">
        <v>2.102378886795525E18</v>
      </c>
    </row>
    <row r="172">
      <c r="A172" s="6"/>
      <c r="B172" s="6"/>
      <c r="C172" s="4"/>
      <c r="D172" s="4">
        <v>7.14291099020087</v>
      </c>
      <c r="E172" s="4" t="s">
        <v>327</v>
      </c>
      <c r="F172" s="4"/>
      <c r="G172" s="4"/>
      <c r="H172" s="4"/>
      <c r="I172" s="4" t="str">
        <f>IFERROR(__xludf.DUMMYFUNCTION("""COMPUTED_VALUE"""),"0x8079f545072bfed6f1f5904b43b0f7ec81e9fbfc")</f>
        <v>0x8079f545072bfed6f1f5904b43b0f7ec81e9fbfc</v>
      </c>
      <c r="J172" s="18">
        <v>7.14291099020087</v>
      </c>
      <c r="K172" s="4">
        <v>89.28638737751088</v>
      </c>
      <c r="L172" s="19">
        <v>8.928638737751088E19</v>
      </c>
      <c r="M172" s="20">
        <v>8.928638737751088E18</v>
      </c>
    </row>
    <row r="173">
      <c r="A173" s="6"/>
      <c r="B173" s="6"/>
      <c r="C173" s="4"/>
      <c r="D173" s="4">
        <v>7.0685416625651705</v>
      </c>
      <c r="E173" s="4" t="s">
        <v>329</v>
      </c>
      <c r="F173" s="4"/>
      <c r="G173" s="4"/>
      <c r="H173" s="4"/>
      <c r="I173" s="4" t="str">
        <f>IFERROR(__xludf.DUMMYFUNCTION("""COMPUTED_VALUE"""),"0xc98c36adbca3e14dc12ac08e194b1b844188f0cd")</f>
        <v>0xc98c36adbca3e14dc12ac08e194b1b844188f0cd</v>
      </c>
      <c r="J173" s="18">
        <v>7.0685416625651705</v>
      </c>
      <c r="K173" s="4">
        <v>88.35677078206463</v>
      </c>
      <c r="L173" s="19">
        <v>8.835677078206462E19</v>
      </c>
      <c r="M173" s="20">
        <v>8.835677078206463E18</v>
      </c>
    </row>
    <row r="174">
      <c r="A174" s="6"/>
      <c r="B174" s="6"/>
      <c r="C174" s="4"/>
      <c r="D174" s="4">
        <v>0.706854166256517</v>
      </c>
      <c r="E174" s="4" t="s">
        <v>330</v>
      </c>
      <c r="F174" s="4"/>
      <c r="G174" s="4"/>
      <c r="H174" s="4"/>
      <c r="I174" s="4" t="str">
        <f>IFERROR(__xludf.DUMMYFUNCTION("""COMPUTED_VALUE"""),"0x3ab6e6c6dfa5d05fe081a5c13c1c7b132fffe906")</f>
        <v>0x3ab6e6c6dfa5d05fe081a5c13c1c7b132fffe906</v>
      </c>
      <c r="J174" s="18">
        <v>0.706854166256517</v>
      </c>
      <c r="K174" s="4">
        <v>8.835677078206462</v>
      </c>
      <c r="L174" s="19">
        <v>8.835677078206462E18</v>
      </c>
      <c r="M174" s="20">
        <v>8.835677078206463E17</v>
      </c>
    </row>
    <row r="175">
      <c r="A175" s="6"/>
      <c r="B175" s="6"/>
      <c r="C175" s="4"/>
      <c r="D175" s="4">
        <v>2.05678453076592</v>
      </c>
      <c r="E175" s="4" t="s">
        <v>331</v>
      </c>
      <c r="F175" s="4"/>
      <c r="G175" s="4"/>
      <c r="H175" s="4"/>
      <c r="I175" s="4" t="str">
        <f>IFERROR(__xludf.DUMMYFUNCTION("""COMPUTED_VALUE"""),"0xc6030be7970d0546f9023c4eb08c88fa587fde94")</f>
        <v>0xc6030be7970d0546f9023c4eb08c88fa587fde94</v>
      </c>
      <c r="J175" s="18">
        <v>2.05678453076592</v>
      </c>
      <c r="K175" s="4">
        <v>25.709806634574</v>
      </c>
      <c r="L175" s="19">
        <v>2.5709806634574E19</v>
      </c>
      <c r="M175" s="20">
        <v>2.5709806634574003E18</v>
      </c>
    </row>
    <row r="176">
      <c r="A176" s="6"/>
      <c r="B176" s="6"/>
      <c r="C176" s="4"/>
      <c r="D176" s="4">
        <v>2.78820024562076</v>
      </c>
      <c r="E176" s="4" t="s">
        <v>333</v>
      </c>
      <c r="F176" s="4"/>
      <c r="G176" s="4"/>
      <c r="H176" s="4"/>
      <c r="I176" s="4" t="str">
        <f>IFERROR(__xludf.DUMMYFUNCTION("""COMPUTED_VALUE"""),"0xb2256022797be8f92c3d946097769bfa9e572316")</f>
        <v>0xb2256022797be8f92c3d946097769bfa9e572316</v>
      </c>
      <c r="J176" s="18">
        <v>2.78820024562076</v>
      </c>
      <c r="K176" s="4">
        <v>34.8525030702595</v>
      </c>
      <c r="L176" s="19">
        <v>3.4852503070259503E19</v>
      </c>
      <c r="M176" s="20">
        <v>3.4852503070259507E18</v>
      </c>
    </row>
    <row r="177">
      <c r="A177" s="6"/>
      <c r="B177" s="6"/>
      <c r="C177" s="4"/>
      <c r="D177" s="4">
        <v>7.0685416625651705</v>
      </c>
      <c r="E177" s="4" t="s">
        <v>335</v>
      </c>
      <c r="F177" s="4"/>
      <c r="G177" s="4"/>
      <c r="H177" s="4"/>
      <c r="I177" s="4" t="str">
        <f>IFERROR(__xludf.DUMMYFUNCTION("""COMPUTED_VALUE"""),"0xe20f65e7e0d3138c31570a6cfd7c5fb23aae0231")</f>
        <v>0xe20f65e7e0d3138c31570a6cfd7c5fb23aae0231</v>
      </c>
      <c r="J177" s="18">
        <v>7.0685416625651705</v>
      </c>
      <c r="K177" s="4">
        <v>88.35677078206463</v>
      </c>
      <c r="L177" s="19">
        <v>8.835677078206462E19</v>
      </c>
      <c r="M177" s="20">
        <v>8.835677078206463E18</v>
      </c>
    </row>
    <row r="178">
      <c r="A178" s="6"/>
      <c r="B178" s="6"/>
      <c r="C178" s="4"/>
      <c r="D178" s="4">
        <v>1.30616003319251</v>
      </c>
      <c r="E178" s="4" t="s">
        <v>336</v>
      </c>
      <c r="F178" s="4"/>
      <c r="G178" s="4"/>
      <c r="H178" s="4"/>
      <c r="I178" s="4" t="str">
        <f>IFERROR(__xludf.DUMMYFUNCTION("""COMPUTED_VALUE"""),"0x14785a131446afe308c9a8e841af5c06fe1fd77a")</f>
        <v>0x14785a131446afe308c9a8e841af5c06fe1fd77a</v>
      </c>
      <c r="J178" s="18">
        <v>1.30616003319251</v>
      </c>
      <c r="K178" s="4">
        <v>16.327000414906376</v>
      </c>
      <c r="L178" s="19">
        <v>1.6327000414906376E19</v>
      </c>
      <c r="M178" s="20">
        <v>1.6327000414906378E18</v>
      </c>
    </row>
    <row r="179">
      <c r="A179" s="6"/>
      <c r="B179" s="6"/>
      <c r="C179" s="4"/>
      <c r="D179" s="4">
        <v>35.4840791460771</v>
      </c>
      <c r="E179" s="4" t="s">
        <v>338</v>
      </c>
      <c r="F179" s="4"/>
      <c r="G179" s="4"/>
      <c r="H179" s="4"/>
      <c r="I179" s="4" t="str">
        <f>IFERROR(__xludf.DUMMYFUNCTION("""COMPUTED_VALUE"""),"0xbad19e37e23ebb8e91ad0b7bfdbc193f4010ba2e")</f>
        <v>0xbad19e37e23ebb8e91ad0b7bfdbc193f4010ba2e</v>
      </c>
      <c r="J179" s="18">
        <v>98.1373651913988</v>
      </c>
      <c r="K179" s="4">
        <v>1226.717064892485</v>
      </c>
      <c r="L179" s="19">
        <v>1.226717064892485E21</v>
      </c>
      <c r="M179" s="20">
        <v>1.226717064892485E20</v>
      </c>
    </row>
    <row r="180">
      <c r="A180" s="6"/>
      <c r="B180" s="6"/>
      <c r="C180" s="4"/>
      <c r="D180" s="4">
        <v>77.9253155162334</v>
      </c>
      <c r="E180" s="4" t="s">
        <v>340</v>
      </c>
      <c r="F180" s="4"/>
      <c r="G180" s="4"/>
      <c r="H180" s="4"/>
      <c r="I180" s="4" t="str">
        <f>IFERROR(__xludf.DUMMYFUNCTION("""COMPUTED_VALUE"""),"0x2c0bbdffb1db56ed9142527a3bedec8dda37afc3")</f>
        <v>0x2c0bbdffb1db56ed9142527a3bedec8dda37afc3</v>
      </c>
      <c r="J180" s="18">
        <v>77.9253155162334</v>
      </c>
      <c r="K180" s="4">
        <v>974.0664439529174</v>
      </c>
      <c r="L180" s="19">
        <v>9.740664439529174E20</v>
      </c>
      <c r="M180" s="20">
        <v>9.740664439529175E19</v>
      </c>
    </row>
    <row r="181">
      <c r="A181" s="6"/>
      <c r="B181" s="6"/>
      <c r="C181" s="4"/>
      <c r="D181" s="4">
        <v>3.76036297421162</v>
      </c>
      <c r="E181" s="4" t="s">
        <v>342</v>
      </c>
      <c r="F181" s="4"/>
      <c r="G181" s="4"/>
      <c r="H181" s="4"/>
      <c r="I181" s="4" t="str">
        <f>IFERROR(__xludf.DUMMYFUNCTION("""COMPUTED_VALUE"""),"0x1b2e3c88048c699c1ff3a7691ac4596e6b5b6a9e")</f>
        <v>0x1b2e3c88048c699c1ff3a7691ac4596e6b5b6a9e</v>
      </c>
      <c r="J181" s="18">
        <v>3.76036297421162</v>
      </c>
      <c r="K181" s="4">
        <v>47.00453717764525</v>
      </c>
      <c r="L181" s="19">
        <v>4.7004537177645244E19</v>
      </c>
      <c r="M181" s="20">
        <v>4.700453717764525E18</v>
      </c>
    </row>
    <row r="182">
      <c r="A182" s="6"/>
      <c r="B182" s="6"/>
      <c r="C182" s="4"/>
      <c r="D182" s="4">
        <v>0.529537777105344</v>
      </c>
      <c r="E182" s="4" t="s">
        <v>344</v>
      </c>
      <c r="F182" s="4"/>
      <c r="G182" s="4"/>
      <c r="H182" s="4"/>
      <c r="I182" s="4" t="str">
        <f>IFERROR(__xludf.DUMMYFUNCTION("""COMPUTED_VALUE"""),"0xe517bb5fff04a8741dceae778990be639359fd19")</f>
        <v>0xe517bb5fff04a8741dceae778990be639359fd19</v>
      </c>
      <c r="J182" s="18">
        <v>0.529537777105344</v>
      </c>
      <c r="K182" s="4">
        <v>6.6192222138167995</v>
      </c>
      <c r="L182" s="19">
        <v>6.619222213816799E18</v>
      </c>
      <c r="M182" s="20">
        <v>6.6192222138168E17</v>
      </c>
    </row>
    <row r="183">
      <c r="A183" s="6"/>
      <c r="B183" s="6"/>
      <c r="C183" s="4"/>
      <c r="D183" s="4">
        <v>6.21806124968083</v>
      </c>
      <c r="E183" s="4" t="s">
        <v>346</v>
      </c>
      <c r="F183" s="4"/>
      <c r="G183" s="4"/>
      <c r="H183" s="4"/>
      <c r="I183" s="4" t="str">
        <f>IFERROR(__xludf.DUMMYFUNCTION("""COMPUTED_VALUE"""),"0x7eec1992852d626b843a256ee692015af346fd6d")</f>
        <v>0x7eec1992852d626b843a256ee692015af346fd6d</v>
      </c>
      <c r="J183" s="18">
        <v>48.76507741459713</v>
      </c>
      <c r="K183" s="4">
        <v>609.5634676824641</v>
      </c>
      <c r="L183" s="19">
        <v>6.095634676824641E20</v>
      </c>
      <c r="M183" s="20">
        <v>6.0956346768246415E19</v>
      </c>
    </row>
    <row r="184">
      <c r="A184" s="6"/>
      <c r="B184" s="6"/>
      <c r="C184" s="4"/>
      <c r="D184" s="4">
        <v>6.42381699112533</v>
      </c>
      <c r="E184" s="4" t="s">
        <v>348</v>
      </c>
      <c r="F184" s="4"/>
      <c r="G184" s="4"/>
      <c r="H184" s="4"/>
      <c r="I184" s="4" t="str">
        <f>IFERROR(__xludf.DUMMYFUNCTION("""COMPUTED_VALUE"""),"0xeddc9823a9683c7cdf207d6fac6d4fa7ba3808f5")</f>
        <v>0xeddc9823a9683c7cdf207d6fac6d4fa7ba3808f5</v>
      </c>
      <c r="J184" s="18">
        <v>50.42290393290263</v>
      </c>
      <c r="K184" s="4">
        <v>630.2862991612828</v>
      </c>
      <c r="L184" s="19">
        <v>6.302862991612829E20</v>
      </c>
      <c r="M184" s="20">
        <v>6.302862991612829E19</v>
      </c>
    </row>
    <row r="185">
      <c r="A185" s="6"/>
      <c r="B185" s="6"/>
      <c r="C185" s="4"/>
      <c r="D185" s="4">
        <v>13.5912338571783</v>
      </c>
      <c r="E185" s="4" t="s">
        <v>350</v>
      </c>
      <c r="F185" s="4"/>
      <c r="G185" s="4"/>
      <c r="H185" s="4"/>
      <c r="I185" s="4" t="str">
        <f>IFERROR(__xludf.DUMMYFUNCTION("""COMPUTED_VALUE"""),"0x965a67ee271c0ef4c856063acc594cc3e53a38d6")</f>
        <v>0x965a67ee271c0ef4c856063acc594cc3e53a38d6</v>
      </c>
      <c r="J185" s="18">
        <v>14.056090932096362</v>
      </c>
      <c r="K185" s="4">
        <v>175.70113665120454</v>
      </c>
      <c r="L185" s="19">
        <v>1.7570113665120453E20</v>
      </c>
      <c r="M185" s="20">
        <v>1.7570113665120453E19</v>
      </c>
    </row>
    <row r="186">
      <c r="A186" s="6"/>
      <c r="B186" s="6"/>
      <c r="C186" s="4"/>
      <c r="D186" s="4">
        <v>3.18316651768904</v>
      </c>
      <c r="E186" s="4" t="s">
        <v>352</v>
      </c>
      <c r="F186" s="4"/>
      <c r="G186" s="4"/>
      <c r="H186" s="4"/>
      <c r="I186" s="4" t="str">
        <f>IFERROR(__xludf.DUMMYFUNCTION("""COMPUTED_VALUE"""),"0x9a0fa9da9d86d6d15eaf4c6bdf4e9fe3662edbb0")</f>
        <v>0x9a0fa9da9d86d6d15eaf4c6bdf4e9fe3662edbb0</v>
      </c>
      <c r="J186" s="18">
        <v>125.44597184202144</v>
      </c>
      <c r="K186" s="4">
        <v>1568.0746480252678</v>
      </c>
      <c r="L186" s="19">
        <v>1.568074648025268E21</v>
      </c>
      <c r="M186" s="20">
        <v>1.568074648025268E20</v>
      </c>
    </row>
    <row r="187">
      <c r="A187" s="6"/>
      <c r="B187" s="6"/>
      <c r="C187" s="4"/>
      <c r="D187" s="4">
        <v>7.09652624917547</v>
      </c>
      <c r="E187" s="4" t="s">
        <v>354</v>
      </c>
      <c r="F187" s="4"/>
      <c r="G187" s="4"/>
      <c r="H187" s="4"/>
      <c r="I187" s="4" t="str">
        <f>IFERROR(__xludf.DUMMYFUNCTION("""COMPUTED_VALUE"""),"0x128ad93ac317c10adef92ee2c9b1f862928d2afc")</f>
        <v>0x128ad93ac317c10adef92ee2c9b1f862928d2afc</v>
      </c>
      <c r="J187" s="18">
        <v>55.46065384877207</v>
      </c>
      <c r="K187" s="4">
        <v>693.2581731096508</v>
      </c>
      <c r="L187" s="19">
        <v>6.932581731096507E20</v>
      </c>
      <c r="M187" s="20">
        <v>6.932581731096507E19</v>
      </c>
    </row>
    <row r="188">
      <c r="A188" s="6"/>
      <c r="B188" s="6"/>
      <c r="C188" s="4"/>
      <c r="D188" s="4">
        <v>6.69845152804393</v>
      </c>
      <c r="E188" s="4" t="s">
        <v>356</v>
      </c>
      <c r="F188" s="4"/>
      <c r="G188" s="4"/>
      <c r="H188" s="4"/>
      <c r="I188" s="4" t="str">
        <f>IFERROR(__xludf.DUMMYFUNCTION("""COMPUTED_VALUE"""),"0x5897be671a01048cb6d599e20e929a50667d62d3")</f>
        <v>0x5897be671a01048cb6d599e20e929a50667d62d3</v>
      </c>
      <c r="J188" s="18">
        <v>15.714009586488519</v>
      </c>
      <c r="K188" s="4">
        <v>196.42511983110649</v>
      </c>
      <c r="L188" s="19">
        <v>1.964251198311065E20</v>
      </c>
      <c r="M188" s="20">
        <v>1.9642511983110648E19</v>
      </c>
    </row>
    <row r="189">
      <c r="A189" s="6"/>
      <c r="B189" s="6"/>
      <c r="C189" s="4"/>
      <c r="D189" s="4">
        <v>7.675671346070461</v>
      </c>
      <c r="E189" s="4" t="s">
        <v>358</v>
      </c>
      <c r="F189" s="4"/>
      <c r="G189" s="4"/>
      <c r="H189" s="4"/>
      <c r="I189" s="4" t="str">
        <f>IFERROR(__xludf.DUMMYFUNCTION("""COMPUTED_VALUE"""),"0xde6aa1bb2074309a2c0821c06c55a89d1e326436")</f>
        <v>0xde6aa1bb2074309a2c0821c06c55a89d1e326436</v>
      </c>
      <c r="J189" s="18">
        <v>7.675671346070461</v>
      </c>
      <c r="K189" s="4">
        <v>95.94589182588075</v>
      </c>
      <c r="L189" s="19">
        <v>9.594589182588074E19</v>
      </c>
      <c r="M189" s="20">
        <v>9.594589182588074E18</v>
      </c>
    </row>
    <row r="190">
      <c r="A190" s="6"/>
      <c r="B190" s="6"/>
      <c r="C190" s="4"/>
      <c r="D190" s="4">
        <v>7.277310591433889</v>
      </c>
      <c r="E190" s="4" t="s">
        <v>360</v>
      </c>
      <c r="F190" s="4"/>
      <c r="G190" s="4"/>
      <c r="H190" s="4"/>
      <c r="I190" s="4" t="str">
        <f>IFERROR(__xludf.DUMMYFUNCTION("""COMPUTED_VALUE"""),"0x061ee3889997744731aa791d64cdff41f512892f")</f>
        <v>0x061ee3889997744731aa791d64cdff41f512892f</v>
      </c>
      <c r="J190" s="18">
        <v>55.64143819103049</v>
      </c>
      <c r="K190" s="4">
        <v>695.517977387881</v>
      </c>
      <c r="L190" s="19">
        <v>6.955179773878811E20</v>
      </c>
      <c r="M190" s="20">
        <v>6.955179773878811E19</v>
      </c>
    </row>
    <row r="191">
      <c r="A191" s="6"/>
      <c r="B191" s="6"/>
      <c r="C191" s="4"/>
      <c r="D191" s="4">
        <v>7.0685416625651705</v>
      </c>
      <c r="E191" s="4" t="s">
        <v>362</v>
      </c>
      <c r="F191" s="4"/>
      <c r="G191" s="4"/>
      <c r="H191" s="4"/>
      <c r="I191" s="4" t="str">
        <f>IFERROR(__xludf.DUMMYFUNCTION("""COMPUTED_VALUE"""),"0xeb06301d471b0f8c8c5cc965b09ce0b85021d398")</f>
        <v>0xeb06301d471b0f8c8c5cc965b09ce0b85021d398</v>
      </c>
      <c r="J191" s="18">
        <v>7.0685416625651705</v>
      </c>
      <c r="K191" s="4">
        <v>88.35677078206463</v>
      </c>
      <c r="L191" s="19">
        <v>8.835677078206462E19</v>
      </c>
      <c r="M191" s="20">
        <v>8.835677078206463E18</v>
      </c>
    </row>
    <row r="192">
      <c r="A192" s="6"/>
      <c r="B192" s="6"/>
      <c r="C192" s="4"/>
      <c r="D192" s="4">
        <v>4.01663627115036</v>
      </c>
      <c r="E192" s="4" t="s">
        <v>363</v>
      </c>
      <c r="F192" s="4"/>
      <c r="G192" s="4"/>
      <c r="H192" s="4"/>
      <c r="I192" s="4" t="str">
        <f>IFERROR(__xludf.DUMMYFUNCTION("""COMPUTED_VALUE"""),"0x36a82d43b635b1e8600093d6701b70ced92b3938")</f>
        <v>0x36a82d43b635b1e8600093d6701b70ced92b3938</v>
      </c>
      <c r="J192" s="18">
        <v>13.697143457137699</v>
      </c>
      <c r="K192" s="4">
        <v>171.21429321422124</v>
      </c>
      <c r="L192" s="19">
        <v>1.7121429321422124E20</v>
      </c>
      <c r="M192" s="20">
        <v>1.7121429321422125E19</v>
      </c>
    </row>
    <row r="193">
      <c r="A193" s="6"/>
      <c r="B193" s="6"/>
      <c r="C193" s="4"/>
      <c r="D193" s="4">
        <v>3.8638654821422196</v>
      </c>
      <c r="E193" s="4" t="s">
        <v>365</v>
      </c>
      <c r="F193" s="4"/>
      <c r="G193" s="4"/>
      <c r="H193" s="4"/>
      <c r="I193" s="4" t="str">
        <f>IFERROR(__xludf.DUMMYFUNCTION("""COMPUTED_VALUE"""),"0x889e89d0c121c50199fe7554ddc99001e31ca770")</f>
        <v>0x889e89d0c121c50199fe7554ddc99001e31ca770</v>
      </c>
      <c r="J193" s="18">
        <v>3.8638654821422196</v>
      </c>
      <c r="K193" s="4">
        <v>48.29831852677774</v>
      </c>
      <c r="L193" s="19">
        <v>4.8298318526777745E19</v>
      </c>
      <c r="M193" s="20">
        <v>4.829831852677774E18</v>
      </c>
    </row>
    <row r="194">
      <c r="A194" s="6"/>
      <c r="B194" s="6"/>
      <c r="C194" s="4"/>
      <c r="D194" s="4">
        <v>353.42708312825795</v>
      </c>
      <c r="E194" s="4" t="s">
        <v>367</v>
      </c>
      <c r="F194" s="4"/>
      <c r="G194" s="4"/>
      <c r="H194" s="4"/>
      <c r="I194" s="4" t="str">
        <f>IFERROR(__xludf.DUMMYFUNCTION("""COMPUTED_VALUE"""),"0x7b60440260b91a98f7b760c17795c5ff2dba094d")</f>
        <v>0x7b60440260b91a98f7b760c17795c5ff2dba094d</v>
      </c>
      <c r="J194" s="18">
        <v>587.8031709353545</v>
      </c>
      <c r="K194" s="4">
        <v>7347.539636691931</v>
      </c>
      <c r="L194" s="19">
        <v>7.347539636691931E21</v>
      </c>
      <c r="M194" s="20">
        <v>7.347539636691932E20</v>
      </c>
    </row>
    <row r="195">
      <c r="A195" s="6"/>
      <c r="B195" s="6"/>
      <c r="C195" s="4"/>
      <c r="D195" s="4">
        <v>89.54406081097011</v>
      </c>
      <c r="E195" s="4" t="s">
        <v>369</v>
      </c>
      <c r="F195" s="4"/>
      <c r="G195" s="4"/>
      <c r="H195" s="4"/>
      <c r="I195" s="4" t="str">
        <f>IFERROR(__xludf.DUMMYFUNCTION("""COMPUTED_VALUE"""),"0xd2ba24f1d33a506d3e023c1ac2f958a1e8409707")</f>
        <v>0xd2ba24f1d33a506d3e023c1ac2f958a1e8409707</v>
      </c>
      <c r="J195" s="18">
        <v>314.9513675297051</v>
      </c>
      <c r="K195" s="4">
        <v>3936.892094121314</v>
      </c>
      <c r="L195" s="19">
        <v>3.9368920941213144E21</v>
      </c>
      <c r="M195" s="20">
        <v>3.936892094121315E20</v>
      </c>
    </row>
    <row r="196">
      <c r="A196" s="6"/>
      <c r="B196" s="6"/>
      <c r="C196" s="4"/>
      <c r="D196" s="4">
        <v>66.075702192169</v>
      </c>
      <c r="E196" s="4" t="s">
        <v>371</v>
      </c>
      <c r="F196" s="4"/>
      <c r="G196" s="4"/>
      <c r="H196" s="4"/>
      <c r="I196" s="4" t="str">
        <f>IFERROR(__xludf.DUMMYFUNCTION("""COMPUTED_VALUE"""),"0xd495d1fba5d37d704e922d5f776441165b411a97")</f>
        <v>0xd495d1fba5d37d704e922d5f776441165b411a97</v>
      </c>
      <c r="J196" s="18">
        <v>66.075702192169</v>
      </c>
      <c r="K196" s="4">
        <v>825.9462774021125</v>
      </c>
      <c r="L196" s="19">
        <v>8.259462774021126E20</v>
      </c>
      <c r="M196" s="20">
        <v>8.259462774021127E19</v>
      </c>
    </row>
    <row r="197">
      <c r="A197" s="6"/>
      <c r="B197" s="6"/>
      <c r="C197" s="4"/>
      <c r="D197" s="4">
        <v>168.210266056007</v>
      </c>
      <c r="E197" s="4" t="s">
        <v>373</v>
      </c>
      <c r="F197" s="4"/>
      <c r="G197" s="4"/>
      <c r="H197" s="4"/>
      <c r="I197" s="4" t="str">
        <f>IFERROR(__xludf.DUMMYFUNCTION("""COMPUTED_VALUE"""),"0x18d8032f7c11663068d36ca79954b9e28d653ca3")</f>
        <v>0x18d8032f7c11663068d36ca79954b9e28d653ca3</v>
      </c>
      <c r="J197" s="18">
        <v>392.0075013015685</v>
      </c>
      <c r="K197" s="4">
        <v>4900.093766269606</v>
      </c>
      <c r="L197" s="19">
        <v>4.900093766269606E21</v>
      </c>
      <c r="M197" s="20">
        <v>4.9000937662696056E20</v>
      </c>
    </row>
    <row r="198">
      <c r="A198" s="6"/>
      <c r="B198" s="6"/>
      <c r="C198" s="4"/>
      <c r="D198" s="4">
        <v>7.35128332906777</v>
      </c>
      <c r="E198" s="4" t="s">
        <v>375</v>
      </c>
      <c r="F198" s="4"/>
      <c r="G198" s="4"/>
      <c r="H198" s="4"/>
      <c r="I198" s="4" t="str">
        <f>IFERROR(__xludf.DUMMYFUNCTION("""COMPUTED_VALUE"""),"0x61412be4424150e9bcd38f0b61d9a748c4af21b1")</f>
        <v>0x61412be4424150e9bcd38f0b61d9a748c4af21b1</v>
      </c>
      <c r="J198" s="18">
        <v>20.71318387401167</v>
      </c>
      <c r="K198" s="4">
        <v>258.9147984251459</v>
      </c>
      <c r="L198" s="19">
        <v>2.5891479842514587E20</v>
      </c>
      <c r="M198" s="20">
        <v>2.5891479842514588E19</v>
      </c>
    </row>
    <row r="199">
      <c r="A199" s="6"/>
      <c r="B199" s="6"/>
      <c r="C199" s="4"/>
      <c r="D199" s="4">
        <v>7.18753171107481</v>
      </c>
      <c r="E199" s="4" t="s">
        <v>377</v>
      </c>
      <c r="F199" s="4"/>
      <c r="G199" s="4"/>
      <c r="H199" s="4"/>
      <c r="I199" s="4" t="str">
        <f>IFERROR(__xludf.DUMMYFUNCTION("""COMPUTED_VALUE"""),"0x559433efec8b0183a2f33f3fa0d1144825162561")</f>
        <v>0x559433efec8b0183a2f33f3fa0d1144825162561</v>
      </c>
      <c r="J199" s="18">
        <v>7.18753171107481</v>
      </c>
      <c r="K199" s="4">
        <v>89.84414638843512</v>
      </c>
      <c r="L199" s="19">
        <v>8.984414638843512E19</v>
      </c>
      <c r="M199" s="20">
        <v>8.984414638843513E18</v>
      </c>
    </row>
    <row r="200">
      <c r="A200" s="6"/>
      <c r="B200" s="6"/>
      <c r="C200" s="4"/>
      <c r="D200" s="4">
        <v>7.14018878891986</v>
      </c>
      <c r="E200" s="4" t="s">
        <v>379</v>
      </c>
      <c r="F200" s="4"/>
      <c r="G200" s="4"/>
      <c r="H200" s="4"/>
      <c r="I200" s="4" t="str">
        <f>IFERROR(__xludf.DUMMYFUNCTION("""COMPUTED_VALUE"""),"0x0fea7ebb6166a348df9b6654ca203d3c07eb013b")</f>
        <v>0x0fea7ebb6166a348df9b6654ca203d3c07eb013b</v>
      </c>
      <c r="J200" s="18">
        <v>7.14018878891986</v>
      </c>
      <c r="K200" s="4">
        <v>89.25235986149825</v>
      </c>
      <c r="L200" s="19">
        <v>8.925235986149825E19</v>
      </c>
      <c r="M200" s="20">
        <v>8.925235986149826E18</v>
      </c>
    </row>
    <row r="201">
      <c r="A201" s="6"/>
      <c r="B201" s="6"/>
      <c r="C201" s="4"/>
      <c r="D201" s="4">
        <v>7.02319609399498</v>
      </c>
      <c r="E201" s="4" t="s">
        <v>381</v>
      </c>
      <c r="F201" s="4"/>
      <c r="G201" s="4"/>
      <c r="H201" s="4"/>
      <c r="I201" s="4" t="str">
        <f>IFERROR(__xludf.DUMMYFUNCTION("""COMPUTED_VALUE"""),"0xe8bf24926e6469c1c734715a643e040a63ea4958")</f>
        <v>0xe8bf24926e6469c1c734715a643e040a63ea4958</v>
      </c>
      <c r="J201" s="18">
        <v>16.44242101904621</v>
      </c>
      <c r="K201" s="4">
        <v>205.53026273807762</v>
      </c>
      <c r="L201" s="19">
        <v>2.055302627380776E20</v>
      </c>
      <c r="M201" s="20">
        <v>2.055302627380776E19</v>
      </c>
    </row>
    <row r="202">
      <c r="A202" s="6"/>
      <c r="B202" s="6"/>
      <c r="C202" s="4"/>
      <c r="D202" s="4">
        <v>38.3501645714678</v>
      </c>
      <c r="E202" s="4" t="s">
        <v>383</v>
      </c>
      <c r="F202" s="4"/>
      <c r="G202" s="4"/>
      <c r="H202" s="4"/>
      <c r="I202" s="4" t="str">
        <f>IFERROR(__xludf.DUMMYFUNCTION("""COMPUTED_VALUE"""),"0x87acb05e1be80928de0ab00445cb7796335bbced")</f>
        <v>0x87acb05e1be80928de0ab00445cb7796335bbced</v>
      </c>
      <c r="J202" s="18">
        <v>82.12836040006749</v>
      </c>
      <c r="K202" s="4">
        <v>1026.6045050008436</v>
      </c>
      <c r="L202" s="19">
        <v>1.0266045050008435E21</v>
      </c>
      <c r="M202" s="20">
        <v>1.0266045050008437E20</v>
      </c>
    </row>
    <row r="203">
      <c r="A203" s="6"/>
      <c r="B203" s="6"/>
      <c r="C203" s="4"/>
      <c r="D203" s="4">
        <v>7.0685416625651705</v>
      </c>
      <c r="E203" s="4" t="s">
        <v>385</v>
      </c>
      <c r="F203" s="4"/>
      <c r="G203" s="4"/>
      <c r="H203" s="4"/>
      <c r="I203" s="4" t="str">
        <f>IFERROR(__xludf.DUMMYFUNCTION("""COMPUTED_VALUE"""),"0x37378245d4c1167e05c9e3755864350a07005a43")</f>
        <v>0x37378245d4c1167e05c9e3755864350a07005a43</v>
      </c>
      <c r="J203" s="18">
        <v>55.43266926216177</v>
      </c>
      <c r="K203" s="4">
        <v>692.908365777022</v>
      </c>
      <c r="L203" s="19">
        <v>6.929083657770221E20</v>
      </c>
      <c r="M203" s="20">
        <v>6.9290836577702216E19</v>
      </c>
    </row>
    <row r="204">
      <c r="A204" s="6"/>
      <c r="B204" s="6"/>
      <c r="C204" s="4"/>
      <c r="D204" s="4">
        <v>7.0685416625651705</v>
      </c>
      <c r="E204" s="4" t="s">
        <v>386</v>
      </c>
      <c r="F204" s="4"/>
      <c r="G204" s="4"/>
      <c r="H204" s="4"/>
      <c r="I204" s="4" t="str">
        <f>IFERROR(__xludf.DUMMYFUNCTION("""COMPUTED_VALUE"""),"0x3e130bf009279c13fab3faff734632f889633ad3")</f>
        <v>0x3e130bf009279c13fab3faff734632f889633ad3</v>
      </c>
      <c r="J204" s="18">
        <v>54.07930255103757</v>
      </c>
      <c r="K204" s="4">
        <v>675.9912818879696</v>
      </c>
      <c r="L204" s="19">
        <v>6.759912818879697E20</v>
      </c>
      <c r="M204" s="20">
        <v>6.759912818879697E19</v>
      </c>
    </row>
    <row r="205">
      <c r="A205" s="6"/>
      <c r="B205" s="6"/>
      <c r="C205" s="4"/>
      <c r="D205" s="4">
        <v>7.0685416625651705</v>
      </c>
      <c r="E205" s="4" t="s">
        <v>387</v>
      </c>
      <c r="F205" s="4"/>
      <c r="G205" s="4"/>
      <c r="H205" s="4"/>
      <c r="I205" s="4" t="str">
        <f>IFERROR(__xludf.DUMMYFUNCTION("""COMPUTED_VALUE"""),"0x8b199aeb0dfcd555061f00f001dfa2b54ff50245")</f>
        <v>0x8b199aeb0dfcd555061f00f001dfa2b54ff50245</v>
      </c>
      <c r="J205" s="18">
        <v>7.0685416625651705</v>
      </c>
      <c r="K205" s="4">
        <v>88.35677078206463</v>
      </c>
      <c r="L205" s="19">
        <v>8.835677078206462E19</v>
      </c>
      <c r="M205" s="20">
        <v>8.835677078206463E18</v>
      </c>
    </row>
    <row r="206">
      <c r="A206" s="6"/>
      <c r="B206" s="6"/>
      <c r="C206" s="4"/>
      <c r="D206" s="4">
        <v>17.871869431499302</v>
      </c>
      <c r="E206" s="4" t="s">
        <v>388</v>
      </c>
      <c r="F206" s="4"/>
      <c r="G206" s="4"/>
      <c r="H206" s="4"/>
      <c r="I206" s="4" t="str">
        <f>IFERROR(__xludf.DUMMYFUNCTION("""COMPUTED_VALUE"""),"0x4c1dd08ba316f336d353fee93781ee45cf2cda83")</f>
        <v>0x4c1dd08ba316f336d353fee93781ee45cf2cda83</v>
      </c>
      <c r="J206" s="18">
        <v>66.2359970310959</v>
      </c>
      <c r="K206" s="4">
        <v>827.9499628886988</v>
      </c>
      <c r="L206" s="19">
        <v>8.279499628886988E20</v>
      </c>
      <c r="M206" s="20">
        <v>8.279499628886988E19</v>
      </c>
    </row>
    <row r="207">
      <c r="A207" s="6"/>
      <c r="B207" s="6"/>
      <c r="C207" s="4"/>
      <c r="D207" s="4">
        <v>25.443807822964303</v>
      </c>
      <c r="E207" s="4" t="s">
        <v>390</v>
      </c>
      <c r="F207" s="4"/>
      <c r="G207" s="4"/>
      <c r="H207" s="4"/>
      <c r="I207" s="4" t="str">
        <f>IFERROR(__xludf.DUMMYFUNCTION("""COMPUTED_VALUE"""),"0x61e5776b24e2e2db07d2ac729a39ed70f96a9b7c")</f>
        <v>0x61e5776b24e2e2db07d2ac729a39ed70f96a9b7c</v>
      </c>
      <c r="J207" s="18">
        <v>259.8198956300609</v>
      </c>
      <c r="K207" s="4">
        <v>3247.748695375761</v>
      </c>
      <c r="L207" s="19">
        <v>3.2477486953757614E21</v>
      </c>
      <c r="M207" s="20">
        <v>3.247748695375761E20</v>
      </c>
    </row>
    <row r="208">
      <c r="A208" s="6"/>
      <c r="B208" s="6"/>
      <c r="C208" s="4"/>
      <c r="D208" s="4">
        <v>7.75176853620361</v>
      </c>
      <c r="E208" s="4" t="s">
        <v>392</v>
      </c>
      <c r="F208" s="4"/>
      <c r="G208" s="4"/>
      <c r="H208" s="4"/>
      <c r="I208" s="4" t="str">
        <f>IFERROR(__xludf.DUMMYFUNCTION("""COMPUTED_VALUE"""),"0x049e8b23dd0bdc20a39d7a847d4fbaeeb0f2811b")</f>
        <v>0x049e8b23dd0bdc20a39d7a847d4fbaeeb0f2811b</v>
      </c>
      <c r="J208" s="18">
        <v>55.97576167613221</v>
      </c>
      <c r="K208" s="4">
        <v>699.6970209516526</v>
      </c>
      <c r="L208" s="19">
        <v>6.996970209516526E20</v>
      </c>
      <c r="M208" s="20">
        <v>6.996970209516526E19</v>
      </c>
    </row>
    <row r="209">
      <c r="A209" s="6"/>
      <c r="B209" s="6"/>
      <c r="C209" s="4"/>
      <c r="D209" s="4">
        <v>179.60257926017098</v>
      </c>
      <c r="E209" s="4" t="s">
        <v>394</v>
      </c>
      <c r="F209" s="4"/>
      <c r="G209" s="4"/>
      <c r="H209" s="4"/>
      <c r="I209" s="4" t="str">
        <f>IFERROR(__xludf.DUMMYFUNCTION("""COMPUTED_VALUE"""),"0x4ac4ab29f4a87150d89d3fdd5cbc46112606e5e8")</f>
        <v>0x4ac4ab29f4a87150d89d3fdd5cbc46112606e5e8</v>
      </c>
      <c r="J209" s="18">
        <v>179.60257926017098</v>
      </c>
      <c r="K209" s="4">
        <v>2245.032240752137</v>
      </c>
      <c r="L209" s="19">
        <v>2.245032240752137E21</v>
      </c>
      <c r="M209" s="20">
        <v>2.2450322407521373E20</v>
      </c>
    </row>
    <row r="210">
      <c r="A210" s="6"/>
      <c r="B210" s="6"/>
      <c r="C210" s="4"/>
      <c r="D210" s="4">
        <v>0.5062335068474499</v>
      </c>
      <c r="E210" s="4" t="s">
        <v>396</v>
      </c>
      <c r="F210" s="4"/>
      <c r="G210" s="4"/>
      <c r="H210" s="4"/>
      <c r="I210" s="4" t="str">
        <f>IFERROR(__xludf.DUMMYFUNCTION("""COMPUTED_VALUE"""),"0x06b752707c80b599550b08179324b0607dbb74f5")</f>
        <v>0x06b752707c80b599550b08179324b0607dbb74f5</v>
      </c>
      <c r="J210" s="18">
        <v>13.9286286047556</v>
      </c>
      <c r="K210" s="4">
        <v>174.107857559445</v>
      </c>
      <c r="L210" s="19">
        <v>1.7410785755944498E20</v>
      </c>
      <c r="M210" s="20">
        <v>1.74107857559445E19</v>
      </c>
    </row>
    <row r="211">
      <c r="A211" s="6"/>
      <c r="B211" s="6"/>
      <c r="C211" s="4"/>
      <c r="D211" s="4">
        <v>530.281995525639</v>
      </c>
      <c r="E211" s="4" t="s">
        <v>398</v>
      </c>
      <c r="F211" s="4"/>
      <c r="G211" s="4"/>
      <c r="H211" s="4"/>
      <c r="I211" s="4" t="str">
        <f>IFERROR(__xludf.DUMMYFUNCTION("""COMPUTED_VALUE"""),"0xb105608d0fb6fec617afdd7d5147aa7ab7a86612")</f>
        <v>0xb105608d0fb6fec617afdd7d5147aa7ab7a86612</v>
      </c>
      <c r="J211" s="18">
        <v>764.6580833327356</v>
      </c>
      <c r="K211" s="4">
        <v>9558.226041659194</v>
      </c>
      <c r="L211" s="19">
        <v>9.558226041659195E21</v>
      </c>
      <c r="M211" s="20">
        <v>9.558226041659195E20</v>
      </c>
    </row>
    <row r="212">
      <c r="A212" s="6"/>
      <c r="B212" s="6"/>
      <c r="C212" s="4"/>
      <c r="D212" s="4">
        <v>14.1370833251303</v>
      </c>
      <c r="E212" s="4" t="s">
        <v>399</v>
      </c>
      <c r="F212" s="4"/>
      <c r="G212" s="4"/>
      <c r="H212" s="4"/>
      <c r="I212" s="4" t="str">
        <f>IFERROR(__xludf.DUMMYFUNCTION("""COMPUTED_VALUE"""),"0xee88ce5df03c0fc35a9e8d94913568b77aa92374")</f>
        <v>0xee88ce5df03c0fc35a9e8d94913568b77aa92374</v>
      </c>
      <c r="J212" s="18">
        <v>14.1370833251303</v>
      </c>
      <c r="K212" s="4">
        <v>176.71354156412875</v>
      </c>
      <c r="L212" s="19">
        <v>1.7671354156412876E20</v>
      </c>
      <c r="M212" s="20">
        <v>1.7671354156412877E19</v>
      </c>
    </row>
    <row r="213">
      <c r="A213" s="6"/>
      <c r="B213" s="6"/>
      <c r="C213" s="4"/>
      <c r="D213" s="4">
        <v>7.0685416625651705</v>
      </c>
      <c r="E213" s="4" t="s">
        <v>400</v>
      </c>
      <c r="F213" s="4"/>
      <c r="G213" s="4"/>
      <c r="H213" s="4"/>
      <c r="I213" s="4" t="str">
        <f>IFERROR(__xludf.DUMMYFUNCTION("""COMPUTED_VALUE"""),"0x331f06a19c7b3b5f620180664ef4a0d7fa2c8f92")</f>
        <v>0x331f06a19c7b3b5f620180664ef4a0d7fa2c8f92</v>
      </c>
      <c r="J213" s="18">
        <v>45.51328226160207</v>
      </c>
      <c r="K213" s="4">
        <v>568.9160282700259</v>
      </c>
      <c r="L213" s="19">
        <v>5.689160282700259E20</v>
      </c>
      <c r="M213" s="20">
        <v>5.689160282700259E19</v>
      </c>
    </row>
    <row r="214">
      <c r="A214" s="6"/>
      <c r="B214" s="6"/>
      <c r="C214" s="4"/>
      <c r="D214" s="4">
        <v>106.02812493847699</v>
      </c>
      <c r="E214" s="4" t="s">
        <v>401</v>
      </c>
      <c r="F214" s="4"/>
      <c r="G214" s="4"/>
      <c r="H214" s="4"/>
      <c r="I214" s="4" t="str">
        <f>IFERROR(__xludf.DUMMYFUNCTION("""COMPUTED_VALUE"""),"0x505180b5570ef6e607aa42db4b67b5e7a8253c5c")</f>
        <v>0x505180b5570ef6e607aa42db4b67b5e7a8253c5c</v>
      </c>
      <c r="J214" s="18">
        <v>340.40421274557355</v>
      </c>
      <c r="K214" s="4">
        <v>4255.052659319669</v>
      </c>
      <c r="L214" s="19">
        <v>4.255052659319669E21</v>
      </c>
      <c r="M214" s="20">
        <v>4.2550526593196694E20</v>
      </c>
    </row>
    <row r="215">
      <c r="A215" s="6"/>
      <c r="B215" s="6"/>
      <c r="C215" s="4"/>
      <c r="D215" s="4">
        <v>7.0685416625651705</v>
      </c>
      <c r="E215" s="4" t="s">
        <v>403</v>
      </c>
      <c r="F215" s="4"/>
      <c r="G215" s="4"/>
      <c r="H215" s="4"/>
      <c r="I215" s="4" t="str">
        <f>IFERROR(__xludf.DUMMYFUNCTION("""COMPUTED_VALUE"""),"0xd66cd02b8ce99ab0e12c08b29f14d6a0a3c6d847")</f>
        <v>0xd66cd02b8ce99ab0e12c08b29f14d6a0a3c6d847</v>
      </c>
      <c r="J215" s="18">
        <v>55.43266926216177</v>
      </c>
      <c r="K215" s="4">
        <v>692.908365777022</v>
      </c>
      <c r="L215" s="19">
        <v>6.929083657770221E20</v>
      </c>
      <c r="M215" s="20">
        <v>6.9290836577702216E19</v>
      </c>
    </row>
    <row r="216">
      <c r="A216" s="6"/>
      <c r="B216" s="6"/>
      <c r="C216" s="4"/>
      <c r="D216" s="4">
        <v>11.0556374928196</v>
      </c>
      <c r="E216" s="4" t="s">
        <v>404</v>
      </c>
      <c r="F216" s="4"/>
      <c r="G216" s="4"/>
      <c r="H216" s="4"/>
      <c r="I216" s="4" t="str">
        <f>IFERROR(__xludf.DUMMYFUNCTION("""COMPUTED_VALUE"""),"0x99c7a92799ebcdb83e869c696fadf4e236967fba")</f>
        <v>0x99c7a92799ebcdb83e869c696fadf4e236967fba</v>
      </c>
      <c r="J216" s="18">
        <v>12.4098330656083</v>
      </c>
      <c r="K216" s="4">
        <v>155.12291332010375</v>
      </c>
      <c r="L216" s="19">
        <v>1.5512291332010374E20</v>
      </c>
      <c r="M216" s="20">
        <v>1.5512291332010375E19</v>
      </c>
    </row>
    <row r="217">
      <c r="A217" s="6"/>
      <c r="B217" s="6"/>
      <c r="C217" s="4"/>
      <c r="D217" s="4">
        <v>8.395307683048129</v>
      </c>
      <c r="E217" s="4" t="s">
        <v>406</v>
      </c>
      <c r="F217" s="4"/>
      <c r="G217" s="4"/>
      <c r="H217" s="4"/>
      <c r="I217" s="4" t="str">
        <f>IFERROR(__xludf.DUMMYFUNCTION("""COMPUTED_VALUE"""),"0xed8f08714553e15ac21007da5235099e41900705")</f>
        <v>0xed8f08714553e15ac21007da5235099e41900705</v>
      </c>
      <c r="J217" s="18">
        <v>8.395307683048129</v>
      </c>
      <c r="K217" s="4">
        <v>104.94134603810161</v>
      </c>
      <c r="L217" s="19">
        <v>1.049413460381016E20</v>
      </c>
      <c r="M217" s="20">
        <v>1.049413460381016E19</v>
      </c>
    </row>
    <row r="218">
      <c r="A218" s="6"/>
      <c r="B218" s="6"/>
      <c r="C218" s="4"/>
      <c r="D218" s="4">
        <v>8.69055116009225</v>
      </c>
      <c r="E218" s="4" t="s">
        <v>408</v>
      </c>
      <c r="F218" s="4"/>
      <c r="G218" s="4"/>
      <c r="H218" s="4"/>
      <c r="I218" s="4" t="str">
        <f>IFERROR(__xludf.DUMMYFUNCTION("""COMPUTED_VALUE"""),"0x1ffd84bf9ffc34122402f2e90f56a2d9b45686f0")</f>
        <v>0x1ffd84bf9ffc34122402f2e90f56a2d9b45686f0</v>
      </c>
      <c r="J218" s="18">
        <v>194.70251136759222</v>
      </c>
      <c r="K218" s="4">
        <v>2433.781392094903</v>
      </c>
      <c r="L218" s="19">
        <v>2.433781392094903E21</v>
      </c>
      <c r="M218" s="20">
        <v>2.433781392094903E20</v>
      </c>
    </row>
    <row r="219">
      <c r="A219" s="6"/>
      <c r="B219" s="6"/>
      <c r="C219" s="4"/>
      <c r="D219" s="4">
        <v>1.41370833251303</v>
      </c>
      <c r="E219" s="4" t="s">
        <v>410</v>
      </c>
      <c r="F219" s="4"/>
      <c r="G219" s="4"/>
      <c r="H219" s="4"/>
      <c r="I219" s="4" t="str">
        <f>IFERROR(__xludf.DUMMYFUNCTION("""COMPUTED_VALUE"""),"0x2552932df8f6cc397b7356dda2c2a15b865ae8ff")</f>
        <v>0x2552932df8f6cc397b7356dda2c2a15b865ae8ff</v>
      </c>
      <c r="J219" s="18">
        <v>1.41370833251303</v>
      </c>
      <c r="K219" s="4">
        <v>17.671354156412875</v>
      </c>
      <c r="L219" s="19">
        <v>1.7671354156412875E19</v>
      </c>
      <c r="M219" s="20">
        <v>1.7671354156412877E18</v>
      </c>
    </row>
    <row r="220">
      <c r="A220" s="6"/>
      <c r="B220" s="6"/>
      <c r="C220" s="4"/>
      <c r="D220" s="4">
        <v>69.9233462683103</v>
      </c>
      <c r="E220" s="4" t="s">
        <v>412</v>
      </c>
      <c r="F220" s="4"/>
      <c r="G220" s="4"/>
      <c r="H220" s="4"/>
      <c r="I220" s="4" t="str">
        <f>IFERROR(__xludf.DUMMYFUNCTION("""COMPUTED_VALUE"""),"0xab0a79fd7c97b9c1115f9793a359a3529636e325")</f>
        <v>0xab0a79fd7c97b9c1115f9793a359a3529636e325</v>
      </c>
      <c r="J220" s="18">
        <v>304.2994340754069</v>
      </c>
      <c r="K220" s="4">
        <v>3803.742925942586</v>
      </c>
      <c r="L220" s="19">
        <v>3.803742925942586E21</v>
      </c>
      <c r="M220" s="20">
        <v>3.803742925942586E20</v>
      </c>
    </row>
    <row r="221">
      <c r="A221" s="6"/>
      <c r="B221" s="6"/>
      <c r="C221" s="4"/>
      <c r="D221" s="4">
        <v>8.2996325706186</v>
      </c>
      <c r="E221" s="4" t="s">
        <v>414</v>
      </c>
      <c r="F221" s="4"/>
      <c r="G221" s="4"/>
      <c r="H221" s="4"/>
      <c r="I221" s="4" t="str">
        <f>IFERROR(__xludf.DUMMYFUNCTION("""COMPUTED_VALUE"""),"0x79bf225fbfd40f78b1878a6d1eec1bb03df92aeb")</f>
        <v>0x79bf225fbfd40f78b1878a6d1eec1bb03df92aeb</v>
      </c>
      <c r="J221" s="18">
        <v>242.67572037771518</v>
      </c>
      <c r="K221" s="4">
        <v>3033.44650472144</v>
      </c>
      <c r="L221" s="19">
        <v>3.03344650472144E21</v>
      </c>
      <c r="M221" s="20">
        <v>3.03344650472144E20</v>
      </c>
    </row>
    <row r="222">
      <c r="A222" s="6"/>
      <c r="B222" s="6"/>
      <c r="C222" s="4"/>
      <c r="D222" s="4">
        <v>7.0685416625651705</v>
      </c>
      <c r="E222" s="4" t="s">
        <v>416</v>
      </c>
      <c r="F222" s="4"/>
      <c r="G222" s="4"/>
      <c r="H222" s="4"/>
      <c r="I222" s="4" t="str">
        <f>IFERROR(__xludf.DUMMYFUNCTION("""COMPUTED_VALUE"""),"0x8a79dc213b42cb086f26bfe677514106b8d1bf51")</f>
        <v>0x8a79dc213b42cb086f26bfe677514106b8d1bf51</v>
      </c>
      <c r="J222" s="18">
        <v>7.0685416625651705</v>
      </c>
      <c r="K222" s="4">
        <v>88.35677078206463</v>
      </c>
      <c r="L222" s="19">
        <v>8.835677078206462E19</v>
      </c>
      <c r="M222" s="20">
        <v>8.835677078206463E18</v>
      </c>
    </row>
    <row r="223">
      <c r="A223" s="6"/>
      <c r="B223" s="6"/>
      <c r="C223" s="4"/>
      <c r="D223" s="4">
        <v>662.45679578382</v>
      </c>
      <c r="E223" s="4" t="s">
        <v>417</v>
      </c>
      <c r="F223" s="4"/>
      <c r="G223" s="4"/>
      <c r="H223" s="4"/>
      <c r="I223" s="4" t="str">
        <f>IFERROR(__xludf.DUMMYFUNCTION("""COMPUTED_VALUE"""),"0xdb71a18336e01ac76fd93b15ed89a720cb8c0734")</f>
        <v>0xdb71a18336e01ac76fd93b15ed89a720cb8c0734</v>
      </c>
      <c r="J223" s="18">
        <v>868.3787434897702</v>
      </c>
      <c r="K223" s="4">
        <v>10854.734293622127</v>
      </c>
      <c r="L223" s="19">
        <v>1.0854734293622126E22</v>
      </c>
      <c r="M223" s="20">
        <v>1.0854734293622126E21</v>
      </c>
    </row>
    <row r="224">
      <c r="A224" s="6"/>
      <c r="B224" s="6"/>
      <c r="C224" s="4"/>
      <c r="D224" s="4">
        <v>7.3339595201196</v>
      </c>
      <c r="E224" s="4" t="s">
        <v>419</v>
      </c>
      <c r="F224" s="4"/>
      <c r="G224" s="4"/>
      <c r="H224" s="4"/>
      <c r="I224" s="4" t="str">
        <f>IFERROR(__xludf.DUMMYFUNCTION("""COMPUTED_VALUE"""),"0x5f2a60bad3292ebcb990f4d16dd2b2fc64f7f8b6")</f>
        <v>0x5f2a60bad3292ebcb990f4d16dd2b2fc64f7f8b6</v>
      </c>
      <c r="J224" s="18">
        <v>7.3339595201196</v>
      </c>
      <c r="K224" s="4">
        <v>91.67449400149499</v>
      </c>
      <c r="L224" s="19">
        <v>9.1674494001495E19</v>
      </c>
      <c r="M224" s="20">
        <v>9.1674494001495E18</v>
      </c>
    </row>
    <row r="225">
      <c r="A225" s="6"/>
      <c r="B225" s="6"/>
      <c r="C225" s="4"/>
      <c r="D225" s="4">
        <v>0.71254873977602</v>
      </c>
      <c r="E225" s="4" t="s">
        <v>421</v>
      </c>
      <c r="F225" s="4"/>
      <c r="G225" s="4"/>
      <c r="H225" s="4"/>
      <c r="I225" s="4" t="str">
        <f>IFERROR(__xludf.DUMMYFUNCTION("""COMPUTED_VALUE"""),"0x71d9403181fa26bc39c1a7ae625ddb987492f92d")</f>
        <v>0x71d9403181fa26bc39c1a7ae625ddb987492f92d</v>
      </c>
      <c r="J225" s="18">
        <v>0.71254873977602</v>
      </c>
      <c r="K225" s="4">
        <v>8.906859247200249</v>
      </c>
      <c r="L225" s="19">
        <v>8.906859247200249E18</v>
      </c>
      <c r="M225" s="20">
        <v>8.90685924720025E17</v>
      </c>
    </row>
    <row r="226">
      <c r="A226" s="6"/>
      <c r="B226" s="6"/>
      <c r="C226" s="4"/>
      <c r="D226" s="4">
        <v>14.2564681160663</v>
      </c>
      <c r="E226" s="4" t="s">
        <v>423</v>
      </c>
      <c r="F226" s="4"/>
      <c r="G226" s="4"/>
      <c r="H226" s="4"/>
      <c r="I226" s="4" t="str">
        <f>IFERROR(__xludf.DUMMYFUNCTION("""COMPUTED_VALUE"""),"0x42710eeee077098d6042e2eb7d8d08da3dae5845")</f>
        <v>0x42710eeee077098d6042e2eb7d8d08da3dae5845</v>
      </c>
      <c r="J226" s="18">
        <v>14.2564681160663</v>
      </c>
      <c r="K226" s="4">
        <v>178.20585145082873</v>
      </c>
      <c r="L226" s="19">
        <v>1.7820585145082872E20</v>
      </c>
      <c r="M226" s="20">
        <v>1.7820585145082872E19</v>
      </c>
    </row>
    <row r="227">
      <c r="A227" s="6"/>
      <c r="B227" s="6"/>
      <c r="C227" s="4"/>
      <c r="D227" s="4">
        <v>13.485686755547698</v>
      </c>
      <c r="E227" s="4" t="s">
        <v>425</v>
      </c>
      <c r="F227" s="4"/>
      <c r="G227" s="4"/>
      <c r="H227" s="4"/>
      <c r="I227" s="4" t="str">
        <f>IFERROR(__xludf.DUMMYFUNCTION("""COMPUTED_VALUE"""),"0xb71667b32a69fb3712a7e0824bdea7cc146ccfcd")</f>
        <v>0xb71667b32a69fb3712a7e0824bdea7cc146ccfcd</v>
      </c>
      <c r="J227" s="18">
        <v>13.485686755547698</v>
      </c>
      <c r="K227" s="4">
        <v>168.57108444434624</v>
      </c>
      <c r="L227" s="19">
        <v>1.6857108444434625E20</v>
      </c>
      <c r="M227" s="20">
        <v>1.6857108444434627E19</v>
      </c>
    </row>
    <row r="228">
      <c r="A228" s="6"/>
      <c r="B228" s="6"/>
      <c r="C228" s="4"/>
      <c r="D228" s="4">
        <v>37.6795922251684</v>
      </c>
      <c r="E228" s="4" t="s">
        <v>427</v>
      </c>
      <c r="F228" s="4"/>
      <c r="G228" s="4"/>
      <c r="H228" s="4"/>
      <c r="I228" s="4" t="str">
        <f>IFERROR(__xludf.DUMMYFUNCTION("""COMPUTED_VALUE"""),"0x95a169165462bf7ffffbecd980de8b49caaef79a")</f>
        <v>0x95a169165462bf7ffffbecd980de8b49caaef79a</v>
      </c>
      <c r="J228" s="18">
        <v>37.6795922251684</v>
      </c>
      <c r="K228" s="4">
        <v>470.994902814605</v>
      </c>
      <c r="L228" s="19">
        <v>4.70994902814605E20</v>
      </c>
      <c r="M228" s="20">
        <v>4.70994902814605E19</v>
      </c>
    </row>
    <row r="229">
      <c r="A229" s="6"/>
      <c r="B229" s="6"/>
      <c r="C229" s="4"/>
      <c r="D229" s="4">
        <v>6.90412641538398</v>
      </c>
      <c r="E229" s="4" t="s">
        <v>429</v>
      </c>
      <c r="F229" s="4"/>
      <c r="G229" s="4"/>
      <c r="H229" s="4"/>
      <c r="I229" s="4" t="str">
        <f>IFERROR(__xludf.DUMMYFUNCTION("""COMPUTED_VALUE"""),"0xd87a09cb4f1ac56b465e805380d74935b2691d7a")</f>
        <v>0xd87a09cb4f1ac56b465e805380d74935b2691d7a</v>
      </c>
      <c r="J229" s="18">
        <v>6.90412641538398</v>
      </c>
      <c r="K229" s="4">
        <v>86.30158019229975</v>
      </c>
      <c r="L229" s="19">
        <v>8.630158019229975E19</v>
      </c>
      <c r="M229" s="20">
        <v>8.630158019229975E18</v>
      </c>
    </row>
    <row r="230">
      <c r="A230" s="6"/>
      <c r="B230" s="6"/>
      <c r="C230" s="4"/>
      <c r="D230" s="4">
        <v>8.610540653977889</v>
      </c>
      <c r="E230" s="4" t="s">
        <v>431</v>
      </c>
      <c r="F230" s="4"/>
      <c r="G230" s="4"/>
      <c r="H230" s="4"/>
      <c r="I230" s="4" t="str">
        <f>IFERROR(__xludf.DUMMYFUNCTION("""COMPUTED_VALUE"""),"0xa4c34a0dbefbe1b224cc093f466a0bc7375a96fa")</f>
        <v>0xa4c34a0dbefbe1b224cc093f466a0bc7375a96fa</v>
      </c>
      <c r="J230" s="18">
        <v>8.610540653977889</v>
      </c>
      <c r="K230" s="4">
        <v>107.63175817472361</v>
      </c>
      <c r="L230" s="19">
        <v>1.0763175817472362E20</v>
      </c>
      <c r="M230" s="20">
        <v>1.0763175817472362E19</v>
      </c>
    </row>
    <row r="231">
      <c r="A231" s="6"/>
      <c r="B231" s="6"/>
      <c r="C231" s="4"/>
      <c r="D231" s="4">
        <v>4.94988873950061</v>
      </c>
      <c r="E231" s="4" t="s">
        <v>433</v>
      </c>
      <c r="F231" s="4"/>
      <c r="G231" s="4"/>
      <c r="H231" s="4"/>
      <c r="I231" s="4" t="str">
        <f>IFERROR(__xludf.DUMMYFUNCTION("""COMPUTED_VALUE"""),"0x048054f6e13bb29c6453a12337999faaf8ebd72f")</f>
        <v>0x048054f6e13bb29c6453a12337999faaf8ebd72f</v>
      </c>
      <c r="J231" s="18">
        <v>4.94988873950061</v>
      </c>
      <c r="K231" s="4">
        <v>61.87360924375762</v>
      </c>
      <c r="L231" s="19">
        <v>6.187360924375762E19</v>
      </c>
      <c r="M231" s="20">
        <v>6.187360924375762E18</v>
      </c>
    </row>
    <row r="232">
      <c r="A232" s="6"/>
      <c r="B232" s="6"/>
      <c r="C232" s="4"/>
      <c r="D232" s="4">
        <v>6.474279025497871</v>
      </c>
      <c r="E232" s="4" t="s">
        <v>435</v>
      </c>
      <c r="F232" s="4"/>
      <c r="G232" s="4"/>
      <c r="H232" s="4"/>
      <c r="I232" s="4" t="str">
        <f>IFERROR(__xludf.DUMMYFUNCTION("""COMPUTED_VALUE"""),"0x06ca0cf7824371fbf0f3e06a5893e9a6c4b14292")</f>
        <v>0x06ca0cf7824371fbf0f3e06a5893e9a6c4b14292</v>
      </c>
      <c r="J232" s="18">
        <v>6.474279025497871</v>
      </c>
      <c r="K232" s="4">
        <v>80.92848781872338</v>
      </c>
      <c r="L232" s="19">
        <v>8.092848781872338E19</v>
      </c>
      <c r="M232" s="20">
        <v>8.092848781872338E18</v>
      </c>
    </row>
    <row r="233">
      <c r="A233" s="6"/>
      <c r="B233" s="6"/>
      <c r="C233" s="4"/>
      <c r="D233" s="4">
        <v>0.08163104801804179</v>
      </c>
      <c r="E233" s="4" t="s">
        <v>437</v>
      </c>
      <c r="F233" s="4"/>
      <c r="G233" s="4"/>
      <c r="H233" s="4"/>
      <c r="I233" s="4" t="str">
        <f>IFERROR(__xludf.DUMMYFUNCTION("""COMPUTED_VALUE"""),"0xf728fd7a58d5c69a2344bf7fb7acfe95f1ecac1c")</f>
        <v>0xf728fd7a58d5c69a2344bf7fb7acfe95f1ecac1c</v>
      </c>
      <c r="J233" s="18">
        <v>48.44575864761464</v>
      </c>
      <c r="K233" s="4">
        <v>605.571983095183</v>
      </c>
      <c r="L233" s="19">
        <v>6.05571983095183E20</v>
      </c>
      <c r="M233" s="20">
        <v>6.055719830951831E19</v>
      </c>
    </row>
    <row r="234">
      <c r="A234" s="6"/>
      <c r="B234" s="6"/>
      <c r="C234" s="4"/>
      <c r="D234" s="4">
        <v>14.1370833251303</v>
      </c>
      <c r="E234" s="4" t="s">
        <v>439</v>
      </c>
      <c r="F234" s="4"/>
      <c r="G234" s="4"/>
      <c r="H234" s="4"/>
      <c r="I234" s="4" t="str">
        <f>IFERROR(__xludf.DUMMYFUNCTION("""COMPUTED_VALUE"""),"0xab801519668c3139d266edfa2372d566bb600b06")</f>
        <v>0xab801519668c3139d266edfa2372d566bb600b06</v>
      </c>
      <c r="J234" s="18">
        <v>14.1370833251303</v>
      </c>
      <c r="K234" s="4">
        <v>176.71354156412875</v>
      </c>
      <c r="L234" s="19">
        <v>1.7671354156412876E20</v>
      </c>
      <c r="M234" s="20">
        <v>1.7671354156412877E19</v>
      </c>
    </row>
    <row r="235">
      <c r="A235" s="6"/>
      <c r="B235" s="6"/>
      <c r="C235" s="4"/>
      <c r="D235" s="4">
        <v>0.18107933188629502</v>
      </c>
      <c r="E235" s="4" t="s">
        <v>440</v>
      </c>
      <c r="F235" s="4"/>
      <c r="G235" s="4"/>
      <c r="H235" s="4"/>
      <c r="I235" s="4" t="str">
        <f>IFERROR(__xludf.DUMMYFUNCTION("""COMPUTED_VALUE"""),"0xd1569e77f03fdd98bb5e448e5f27fac29837bc00")</f>
        <v>0xd1569e77f03fdd98bb5e448e5f27fac29837bc00</v>
      </c>
      <c r="J235" s="18">
        <v>48.545206931482895</v>
      </c>
      <c r="K235" s="4">
        <v>606.8150866435361</v>
      </c>
      <c r="L235" s="19">
        <v>6.068150866435361E20</v>
      </c>
      <c r="M235" s="20">
        <v>6.068150866435361E19</v>
      </c>
    </row>
    <row r="236">
      <c r="A236" s="6"/>
      <c r="B236" s="6"/>
      <c r="C236" s="4"/>
      <c r="D236" s="4">
        <v>0.0536182860794274</v>
      </c>
      <c r="E236" s="4" t="s">
        <v>442</v>
      </c>
      <c r="F236" s="4"/>
      <c r="G236" s="4"/>
      <c r="H236" s="4"/>
      <c r="I236" s="4" t="str">
        <f>IFERROR(__xludf.DUMMYFUNCTION("""COMPUTED_VALUE"""),"0xe9c27f19789c9fa189f5d3174ed468fbc610e914")</f>
        <v>0xe9c27f19789c9fa189f5d3174ed468fbc610e914</v>
      </c>
      <c r="J236" s="18">
        <v>0.0536182860794274</v>
      </c>
      <c r="K236" s="4">
        <v>0.6702285759928426</v>
      </c>
      <c r="L236" s="19">
        <v>6.702285759928426E17</v>
      </c>
      <c r="M236" s="20">
        <v>6.7022857599284264E16</v>
      </c>
    </row>
    <row r="237">
      <c r="A237" s="6"/>
      <c r="B237" s="6"/>
      <c r="C237" s="4"/>
      <c r="D237" s="4">
        <v>7.36467938946517</v>
      </c>
      <c r="E237" s="4" t="s">
        <v>444</v>
      </c>
      <c r="F237" s="4"/>
      <c r="G237" s="4"/>
      <c r="H237" s="4"/>
      <c r="I237" s="4" t="str">
        <f>IFERROR(__xludf.DUMMYFUNCTION("""COMPUTED_VALUE"""),"0x0ea7fb17503a88787c3eec0022f2a698300e8929")</f>
        <v>0x0ea7fb17503a88787c3eec0022f2a698300e8929</v>
      </c>
      <c r="J237" s="18">
        <v>7.36467938946517</v>
      </c>
      <c r="K237" s="4">
        <v>92.05849236831462</v>
      </c>
      <c r="L237" s="19">
        <v>9.205849236831461E19</v>
      </c>
      <c r="M237" s="20">
        <v>9.205849236831461E18</v>
      </c>
    </row>
    <row r="238">
      <c r="A238" s="6"/>
      <c r="B238" s="6"/>
      <c r="C238" s="4"/>
      <c r="D238" s="4">
        <v>46.5775502783894</v>
      </c>
      <c r="E238" s="4" t="s">
        <v>446</v>
      </c>
      <c r="F238" s="4"/>
      <c r="G238" s="4"/>
      <c r="H238" s="4"/>
      <c r="I238" s="4" t="str">
        <f>IFERROR(__xludf.DUMMYFUNCTION("""COMPUTED_VALUE"""),"0x64088495a1dbefbb96fe9aa5e4ddd889ddf2adae")</f>
        <v>0x64088495a1dbefbb96fe9aa5e4ddd889ddf2adae</v>
      </c>
      <c r="J238" s="18">
        <v>46.5775502783894</v>
      </c>
      <c r="K238" s="4">
        <v>582.2193784798675</v>
      </c>
      <c r="L238" s="19">
        <v>5.822193784798675E20</v>
      </c>
      <c r="M238" s="20">
        <v>5.822193784798675E19</v>
      </c>
    </row>
    <row r="239">
      <c r="A239" s="6"/>
      <c r="B239" s="6"/>
      <c r="C239" s="4"/>
      <c r="D239" s="4">
        <v>45.3800374736684</v>
      </c>
      <c r="E239" s="4" t="s">
        <v>448</v>
      </c>
      <c r="F239" s="4"/>
      <c r="G239" s="4"/>
      <c r="H239" s="4"/>
      <c r="I239" s="4" t="str">
        <f>IFERROR(__xludf.DUMMYFUNCTION("""COMPUTED_VALUE"""),"0xf558cc64dd8459bc7899bb04a348f1cabcfbc7a0")</f>
        <v>0xf558cc64dd8459bc7899bb04a348f1cabcfbc7a0</v>
      </c>
      <c r="J239" s="18">
        <v>93.74416507326501</v>
      </c>
      <c r="K239" s="4">
        <v>1171.8020634158127</v>
      </c>
      <c r="L239" s="19">
        <v>1.1718020634158127E21</v>
      </c>
      <c r="M239" s="20">
        <v>1.1718020634158128E20</v>
      </c>
    </row>
    <row r="240">
      <c r="A240" s="6"/>
      <c r="B240" s="6"/>
      <c r="C240" s="4"/>
      <c r="D240" s="4">
        <v>24.7058005780649</v>
      </c>
      <c r="E240" s="4" t="s">
        <v>450</v>
      </c>
      <c r="F240" s="4"/>
      <c r="G240" s="4"/>
      <c r="H240" s="4"/>
      <c r="I240" s="4" t="str">
        <f>IFERROR(__xludf.DUMMYFUNCTION("""COMPUTED_VALUE"""),"0x9bb4b08a82ef647babe5ccd73339374315018156")</f>
        <v>0x9bb4b08a82ef647babe5ccd73339374315018156</v>
      </c>
      <c r="J240" s="18">
        <v>58.348590501533394</v>
      </c>
      <c r="K240" s="4">
        <v>729.3573812691674</v>
      </c>
      <c r="L240" s="19">
        <v>7.293573812691674E20</v>
      </c>
      <c r="M240" s="20">
        <v>7.293573812691675E19</v>
      </c>
    </row>
    <row r="241">
      <c r="A241" s="6"/>
      <c r="B241" s="6"/>
      <c r="C241" s="4"/>
      <c r="D241" s="4">
        <v>7.0685416625651705</v>
      </c>
      <c r="E241" s="4" t="s">
        <v>452</v>
      </c>
      <c r="F241" s="4"/>
      <c r="G241" s="4"/>
      <c r="H241" s="4"/>
      <c r="I241" s="4" t="str">
        <f>IFERROR(__xludf.DUMMYFUNCTION("""COMPUTED_VALUE"""),"0xdcae611be1470b5c23cfdf2502cb9cbd9a925720")</f>
        <v>0xdcae611be1470b5c23cfdf2502cb9cbd9a925720</v>
      </c>
      <c r="J241" s="18">
        <v>7.0685416625651705</v>
      </c>
      <c r="K241" s="4">
        <v>88.35677078206463</v>
      </c>
      <c r="L241" s="19">
        <v>8.835677078206462E19</v>
      </c>
      <c r="M241" s="20">
        <v>8.835677078206463E18</v>
      </c>
    </row>
    <row r="242">
      <c r="A242" s="6"/>
      <c r="B242" s="6"/>
      <c r="C242" s="4"/>
      <c r="D242" s="4">
        <v>677.454402450619</v>
      </c>
      <c r="E242" s="4" t="s">
        <v>453</v>
      </c>
      <c r="F242" s="4"/>
      <c r="G242" s="4"/>
      <c r="H242" s="4"/>
      <c r="I242" s="4" t="str">
        <f>IFERROR(__xludf.DUMMYFUNCTION("""COMPUTED_VALUE"""),"0x48d716e6801cd09c7cd696e56c8b904fb7589f1d")</f>
        <v>0x48d716e6801cd09c7cd696e56c8b904fb7589f1d</v>
      </c>
      <c r="J242" s="18">
        <v>677.454402450619</v>
      </c>
      <c r="K242" s="4">
        <v>8468.180030632737</v>
      </c>
      <c r="L242" s="19">
        <v>8.468180030632736E21</v>
      </c>
      <c r="M242" s="20">
        <v>8.468180030632737E20</v>
      </c>
    </row>
    <row r="243">
      <c r="A243" s="6"/>
      <c r="B243" s="6"/>
      <c r="C243" s="4"/>
      <c r="D243" s="4">
        <v>49.4843415690193</v>
      </c>
      <c r="E243" s="4" t="s">
        <v>455</v>
      </c>
      <c r="F243" s="4"/>
      <c r="G243" s="4"/>
      <c r="H243" s="4"/>
      <c r="I243" s="4" t="str">
        <f>IFERROR(__xludf.DUMMYFUNCTION("""COMPUTED_VALUE"""),"0xa3c7e0c3a3c8182f5f5d2e6ae7a275ded53eb8fc")</f>
        <v>0xa3c7e0c3a3c8182f5f5d2e6ae7a275ded53eb8fc</v>
      </c>
      <c r="J243" s="18">
        <v>115.4350376210717</v>
      </c>
      <c r="K243" s="4">
        <v>1442.9379702633962</v>
      </c>
      <c r="L243" s="19">
        <v>1.4429379702633962E21</v>
      </c>
      <c r="M243" s="20">
        <v>1.4429379702633962E20</v>
      </c>
    </row>
    <row r="244">
      <c r="A244" s="6"/>
      <c r="B244" s="6"/>
      <c r="C244" s="4"/>
      <c r="D244" s="4">
        <v>7.18721096793873</v>
      </c>
      <c r="E244" s="4" t="s">
        <v>457</v>
      </c>
      <c r="F244" s="4"/>
      <c r="G244" s="4"/>
      <c r="H244" s="4"/>
      <c r="I244" s="4" t="str">
        <f>IFERROR(__xludf.DUMMYFUNCTION("""COMPUTED_VALUE"""),"0xbcb169ad3962fbf4536d842942c81e9b4d25a75e")</f>
        <v>0xbcb169ad3962fbf4536d842942c81e9b4d25a75e</v>
      </c>
      <c r="J244" s="18">
        <v>55.55133856753533</v>
      </c>
      <c r="K244" s="4">
        <v>694.3917320941916</v>
      </c>
      <c r="L244" s="19">
        <v>6.943917320941917E20</v>
      </c>
      <c r="M244" s="20">
        <v>6.943917320941917E19</v>
      </c>
    </row>
    <row r="245">
      <c r="A245" s="6"/>
      <c r="B245" s="6"/>
      <c r="C245" s="4"/>
      <c r="D245" s="4">
        <v>15.133049108935</v>
      </c>
      <c r="E245" s="4" t="s">
        <v>459</v>
      </c>
      <c r="F245" s="4"/>
      <c r="G245" s="4"/>
      <c r="H245" s="4"/>
      <c r="I245" s="4" t="str">
        <f>IFERROR(__xludf.DUMMYFUNCTION("""COMPUTED_VALUE"""),"0xc2548133d78d48d898fba72a152c2bd45b512e82")</f>
        <v>0xc2548133d78d48d898fba72a152c2bd45b512e82</v>
      </c>
      <c r="J245" s="18">
        <v>15.133049108935</v>
      </c>
      <c r="K245" s="4">
        <v>189.1631138616875</v>
      </c>
      <c r="L245" s="19">
        <v>1.8916311386168748E20</v>
      </c>
      <c r="M245" s="20">
        <v>1.891631138616875E19</v>
      </c>
    </row>
    <row r="246">
      <c r="A246" s="6"/>
      <c r="B246" s="6"/>
      <c r="C246" s="4"/>
      <c r="D246" s="4">
        <v>47.9247124721918</v>
      </c>
      <c r="E246" s="4" t="s">
        <v>461</v>
      </c>
      <c r="F246" s="4"/>
      <c r="G246" s="4"/>
      <c r="H246" s="4"/>
      <c r="I246" s="4" t="str">
        <f>IFERROR(__xludf.DUMMYFUNCTION("""COMPUTED_VALUE"""),"0xa3321a9b550f30deb5612b250252bfef39987b11")</f>
        <v>0xa3321a9b550f30deb5612b250252bfef39987b11</v>
      </c>
      <c r="J246" s="18">
        <v>47.9247124721918</v>
      </c>
      <c r="K246" s="4">
        <v>599.0589059023974</v>
      </c>
      <c r="L246" s="19">
        <v>5.990589059023974E20</v>
      </c>
      <c r="M246" s="20">
        <v>5.990589059023974E19</v>
      </c>
    </row>
    <row r="247">
      <c r="A247" s="6"/>
      <c r="B247" s="6"/>
      <c r="C247" s="4"/>
      <c r="D247" s="4">
        <v>23.5420652868435</v>
      </c>
      <c r="E247" s="4" t="s">
        <v>463</v>
      </c>
      <c r="F247" s="4"/>
      <c r="G247" s="4"/>
      <c r="H247" s="4"/>
      <c r="I247" s="4" t="str">
        <f>IFERROR(__xludf.DUMMYFUNCTION("""COMPUTED_VALUE"""),"0xdd722d79ba5e1e8e360c0c41dd9f20463a411589")</f>
        <v>0xdd722d79ba5e1e8e360c0c41dd9f20463a411589</v>
      </c>
      <c r="J247" s="18">
        <v>23.5420652868435</v>
      </c>
      <c r="K247" s="4">
        <v>294.27581608554374</v>
      </c>
      <c r="L247" s="19">
        <v>2.9427581608554375E20</v>
      </c>
      <c r="M247" s="20">
        <v>2.9427581608554377E19</v>
      </c>
    </row>
    <row r="248">
      <c r="A248" s="6"/>
      <c r="B248" s="6"/>
      <c r="C248" s="4"/>
      <c r="D248" s="4">
        <v>6.552811258619419</v>
      </c>
      <c r="E248" s="4" t="s">
        <v>465</v>
      </c>
      <c r="F248" s="4"/>
      <c r="G248" s="4"/>
      <c r="H248" s="4"/>
      <c r="I248" s="4" t="str">
        <f>IFERROR(__xludf.DUMMYFUNCTION("""COMPUTED_VALUE"""),"0x7184303b1b9e46ac83fa9d585f34660141897281")</f>
        <v>0x7184303b1b9e46ac83fa9d585f34660141897281</v>
      </c>
      <c r="J248" s="18">
        <v>6.552811258619419</v>
      </c>
      <c r="K248" s="4">
        <v>81.91014073274275</v>
      </c>
      <c r="L248" s="19">
        <v>8.191014073274275E19</v>
      </c>
      <c r="M248" s="20">
        <v>8.191014073274275E18</v>
      </c>
    </row>
    <row r="249">
      <c r="A249" s="6"/>
      <c r="B249" s="6"/>
      <c r="C249" s="4"/>
      <c r="D249" s="4">
        <v>46.64985418351171</v>
      </c>
      <c r="E249" s="4" t="s">
        <v>467</v>
      </c>
      <c r="F249" s="4"/>
      <c r="G249" s="4"/>
      <c r="H249" s="4"/>
      <c r="I249" s="4" t="str">
        <f>IFERROR(__xludf.DUMMYFUNCTION("""COMPUTED_VALUE"""),"0x0473a13cb3088ebd0092ea137170508da3f7fb8c")</f>
        <v>0x0473a13cb3088ebd0092ea137170508da3f7fb8c</v>
      </c>
      <c r="J249" s="18">
        <v>46.64985418351171</v>
      </c>
      <c r="K249" s="4">
        <v>583.1231772938963</v>
      </c>
      <c r="L249" s="19">
        <v>5.8312317729389635E20</v>
      </c>
      <c r="M249" s="20">
        <v>5.831231772938964E19</v>
      </c>
    </row>
    <row r="250">
      <c r="A250" s="6"/>
      <c r="B250" s="6"/>
      <c r="C250" s="4"/>
      <c r="D250" s="4">
        <v>7.641093749006449</v>
      </c>
      <c r="E250" s="4" t="s">
        <v>469</v>
      </c>
      <c r="F250" s="4"/>
      <c r="G250" s="4"/>
      <c r="H250" s="4"/>
      <c r="I250" s="4" t="str">
        <f>IFERROR(__xludf.DUMMYFUNCTION("""COMPUTED_VALUE"""),"0x631a148bc74ad8a7d9b57355391df1d38725986d")</f>
        <v>0x631a148bc74ad8a7d9b57355391df1d38725986d</v>
      </c>
      <c r="J250" s="18">
        <v>7.641093749006449</v>
      </c>
      <c r="K250" s="4">
        <v>95.51367186258062</v>
      </c>
      <c r="L250" s="19">
        <v>9.551367186258063E19</v>
      </c>
      <c r="M250" s="20">
        <v>9.551367186258063E18</v>
      </c>
    </row>
    <row r="251">
      <c r="A251" s="6"/>
      <c r="B251" s="6"/>
      <c r="C251" s="4"/>
      <c r="D251" s="4">
        <v>6.326898747707061</v>
      </c>
      <c r="E251" s="4" t="s">
        <v>471</v>
      </c>
      <c r="F251" s="4"/>
      <c r="G251" s="4"/>
      <c r="H251" s="4"/>
      <c r="I251" s="4" t="str">
        <f>IFERROR(__xludf.DUMMYFUNCTION("""COMPUTED_VALUE"""),"0x18333621593b886e9a2d43b52d8de527c76e1206")</f>
        <v>0x18333621593b886e9a2d43b52d8de527c76e1206</v>
      </c>
      <c r="J251" s="18">
        <v>49.639834952550466</v>
      </c>
      <c r="K251" s="4">
        <v>620.4979369068808</v>
      </c>
      <c r="L251" s="19">
        <v>6.204979369068808E20</v>
      </c>
      <c r="M251" s="20">
        <v>6.204979369068809E19</v>
      </c>
    </row>
    <row r="252">
      <c r="A252" s="6"/>
      <c r="B252" s="6"/>
      <c r="C252" s="4"/>
      <c r="D252" s="4">
        <v>7.19461868961459</v>
      </c>
      <c r="E252" s="4" t="s">
        <v>473</v>
      </c>
      <c r="F252" s="4"/>
      <c r="G252" s="4"/>
      <c r="H252" s="4"/>
      <c r="I252" s="4" t="str">
        <f>IFERROR(__xludf.DUMMYFUNCTION("""COMPUTED_VALUE"""),"0x26dbcf1172884be361ce0dc20181cdaba02ea39f")</f>
        <v>0x26dbcf1172884be361ce0dc20181cdaba02ea39f</v>
      </c>
      <c r="J252" s="18">
        <v>7.19461868961459</v>
      </c>
      <c r="K252" s="4">
        <v>89.93273362018236</v>
      </c>
      <c r="L252" s="19">
        <v>8.993273362018237E19</v>
      </c>
      <c r="M252" s="20">
        <v>8.993273362018237E18</v>
      </c>
    </row>
    <row r="253">
      <c r="A253" s="6"/>
      <c r="B253" s="6"/>
      <c r="C253" s="4"/>
      <c r="D253" s="4">
        <v>4004.6882888756</v>
      </c>
      <c r="E253" s="4" t="s">
        <v>475</v>
      </c>
      <c r="F253" s="4"/>
      <c r="G253" s="4"/>
      <c r="H253" s="4"/>
      <c r="I253" s="4" t="str">
        <f>IFERROR(__xludf.DUMMYFUNCTION("""COMPUTED_VALUE"""),"0x13fefdd563a930f07b1ac8a2227acc27c3c12946")</f>
        <v>0x13fefdd563a930f07b1ac8a2227acc27c3c12946</v>
      </c>
      <c r="J253" s="18">
        <v>4224.554847446892</v>
      </c>
      <c r="K253" s="4">
        <v>52806.93559308616</v>
      </c>
      <c r="L253" s="19">
        <v>5.280693559308616E22</v>
      </c>
      <c r="M253" s="20">
        <v>5.280693559308615E21</v>
      </c>
    </row>
    <row r="254">
      <c r="A254" s="6"/>
      <c r="B254" s="6"/>
      <c r="C254" s="4"/>
      <c r="D254" s="4">
        <v>7.0685416625651705</v>
      </c>
      <c r="E254" s="4" t="s">
        <v>477</v>
      </c>
      <c r="F254" s="4"/>
      <c r="G254" s="4"/>
      <c r="H254" s="4"/>
      <c r="I254" s="4" t="str">
        <f>IFERROR(__xludf.DUMMYFUNCTION("""COMPUTED_VALUE"""),"0xef070bdade2ed75b87862010bc1c5394e88df2d8")</f>
        <v>0xef070bdade2ed75b87862010bc1c5394e88df2d8</v>
      </c>
      <c r="J254" s="18">
        <v>7.0685416625651705</v>
      </c>
      <c r="K254" s="4">
        <v>88.35677078206463</v>
      </c>
      <c r="L254" s="19">
        <v>8.835677078206462E19</v>
      </c>
      <c r="M254" s="20">
        <v>8.835677078206463E18</v>
      </c>
    </row>
    <row r="255">
      <c r="A255" s="6"/>
      <c r="B255" s="6"/>
      <c r="C255" s="4"/>
      <c r="D255" s="4">
        <v>2.90998376637022</v>
      </c>
      <c r="E255" s="4" t="s">
        <v>478</v>
      </c>
      <c r="F255" s="4"/>
      <c r="G255" s="4"/>
      <c r="H255" s="4"/>
      <c r="I255" s="4" t="str">
        <f>IFERROR(__xludf.DUMMYFUNCTION("""COMPUTED_VALUE"""),"0x576cfc154de79c58dcafd17d87c3bc0de2e26513")</f>
        <v>0x576cfc154de79c58dcafd17d87c3bc0de2e26513</v>
      </c>
      <c r="J255" s="18">
        <v>2.90998376637022</v>
      </c>
      <c r="K255" s="4">
        <v>36.374797079627754</v>
      </c>
      <c r="L255" s="19">
        <v>3.6374797079627756E19</v>
      </c>
      <c r="M255" s="20">
        <v>3.6374797079627756E18</v>
      </c>
    </row>
    <row r="256">
      <c r="A256" s="6"/>
      <c r="B256" s="6"/>
      <c r="C256" s="4"/>
      <c r="D256" s="4">
        <v>28.2741666502606</v>
      </c>
      <c r="E256" s="4" t="s">
        <v>480</v>
      </c>
      <c r="F256" s="4"/>
      <c r="G256" s="4"/>
      <c r="H256" s="4"/>
      <c r="I256" s="4" t="str">
        <f>IFERROR(__xludf.DUMMYFUNCTION("""COMPUTED_VALUE"""),"0xa20039e396d4fd251b53b947e2862fd2262f780d")</f>
        <v>0xa20039e396d4fd251b53b947e2862fd2262f780d</v>
      </c>
      <c r="J256" s="18">
        <v>66.2129086281541</v>
      </c>
      <c r="K256" s="4">
        <v>827.6613578519261</v>
      </c>
      <c r="L256" s="19">
        <v>8.276613578519262E20</v>
      </c>
      <c r="M256" s="20">
        <v>8.276613578519262E19</v>
      </c>
    </row>
    <row r="257">
      <c r="A257" s="6"/>
      <c r="B257" s="6"/>
      <c r="C257" s="4"/>
      <c r="D257" s="4">
        <v>9.452095466066229</v>
      </c>
      <c r="E257" s="4" t="s">
        <v>481</v>
      </c>
      <c r="F257" s="4"/>
      <c r="G257" s="4"/>
      <c r="H257" s="4"/>
      <c r="I257" s="4" t="str">
        <f>IFERROR(__xludf.DUMMYFUNCTION("""COMPUTED_VALUE"""),"0xe430d0a7c6140447ca64c16ce09466c808bd077b")</f>
        <v>0xe430d0a7c6140447ca64c16ce09466c808bd077b</v>
      </c>
      <c r="J257" s="18">
        <v>9.452095466066229</v>
      </c>
      <c r="K257" s="4">
        <v>118.15119332582786</v>
      </c>
      <c r="L257" s="19">
        <v>1.1815119332582787E20</v>
      </c>
      <c r="M257" s="20">
        <v>1.1815119332582787E19</v>
      </c>
    </row>
    <row r="258">
      <c r="A258" s="6"/>
      <c r="B258" s="6"/>
      <c r="C258" s="4"/>
      <c r="D258" s="4">
        <v>7.82359168588681</v>
      </c>
      <c r="E258" s="4" t="s">
        <v>483</v>
      </c>
      <c r="F258" s="4"/>
      <c r="G258" s="4"/>
      <c r="H258" s="4"/>
      <c r="I258" s="4" t="str">
        <f>IFERROR(__xludf.DUMMYFUNCTION("""COMPUTED_VALUE"""),"0xb840270ca2e24ef6a332a462aaa1993e3dd659a9")</f>
        <v>0xb840270ca2e24ef6a332a462aaa1993e3dd659a9</v>
      </c>
      <c r="J258" s="18">
        <v>12.294003553038841</v>
      </c>
      <c r="K258" s="4">
        <v>153.67504441298553</v>
      </c>
      <c r="L258" s="19">
        <v>1.5367504441298554E20</v>
      </c>
      <c r="M258" s="20">
        <v>1.5367504441298555E19</v>
      </c>
    </row>
    <row r="259">
      <c r="A259" s="6"/>
      <c r="B259" s="6"/>
      <c r="C259" s="4"/>
      <c r="D259" s="4">
        <v>44.309294782623</v>
      </c>
      <c r="E259" s="4" t="s">
        <v>485</v>
      </c>
      <c r="F259" s="4"/>
      <c r="G259" s="4"/>
      <c r="H259" s="4"/>
      <c r="I259" s="4" t="str">
        <f>IFERROR(__xludf.DUMMYFUNCTION("""COMPUTED_VALUE"""),"0x266d8e3b85dd66758854e4e2ae27c4a161236828")</f>
        <v>0x266d8e3b85dd66758854e4e2ae27c4a161236828</v>
      </c>
      <c r="J259" s="18">
        <v>92.6734223822196</v>
      </c>
      <c r="K259" s="4">
        <v>1158.417779777745</v>
      </c>
      <c r="L259" s="19">
        <v>1.1584177797777449E21</v>
      </c>
      <c r="M259" s="20">
        <v>1.158417779777745E20</v>
      </c>
    </row>
    <row r="260">
      <c r="A260" s="6"/>
      <c r="B260" s="6"/>
      <c r="C260" s="4"/>
      <c r="D260" s="4">
        <v>8.4822499950782</v>
      </c>
      <c r="E260" s="4" t="s">
        <v>487</v>
      </c>
      <c r="F260" s="4"/>
      <c r="G260" s="4"/>
      <c r="H260" s="4"/>
      <c r="I260" s="4" t="str">
        <f>IFERROR(__xludf.DUMMYFUNCTION("""COMPUTED_VALUE"""),"0x9a0b1794b3648a94c4fbf5ad610f97c0a7a19afa")</f>
        <v>0x9a0b1794b3648a94c4fbf5ad610f97c0a7a19afa</v>
      </c>
      <c r="J260" s="18">
        <v>242.8583378021748</v>
      </c>
      <c r="K260" s="4">
        <v>3035.729222527185</v>
      </c>
      <c r="L260" s="19">
        <v>3.035729222527185E21</v>
      </c>
      <c r="M260" s="20">
        <v>3.035729222527185E20</v>
      </c>
    </row>
    <row r="261">
      <c r="A261" s="6"/>
      <c r="B261" s="6"/>
      <c r="C261" s="4"/>
      <c r="D261" s="4">
        <v>40.8348227535244</v>
      </c>
      <c r="E261" s="4" t="s">
        <v>489</v>
      </c>
      <c r="F261" s="4"/>
      <c r="G261" s="4"/>
      <c r="H261" s="4"/>
      <c r="I261" s="4" t="str">
        <f>IFERROR(__xludf.DUMMYFUNCTION("""COMPUTED_VALUE"""),"0x01ec202abb571e073c144691b848f947b017fd16")</f>
        <v>0x01ec202abb571e073c144691b848f947b017fd16</v>
      </c>
      <c r="J261" s="18">
        <v>275.21091056062096</v>
      </c>
      <c r="K261" s="4">
        <v>3440.1363820077618</v>
      </c>
      <c r="L261" s="19">
        <v>3.440136382007762E21</v>
      </c>
      <c r="M261" s="20">
        <v>3.440136382007762E20</v>
      </c>
    </row>
    <row r="262">
      <c r="A262" s="6"/>
      <c r="B262" s="6"/>
      <c r="C262" s="4"/>
      <c r="D262" s="4">
        <v>3.31826420721832</v>
      </c>
      <c r="E262" s="4" t="s">
        <v>491</v>
      </c>
      <c r="F262" s="4"/>
      <c r="G262" s="4"/>
      <c r="H262" s="4"/>
      <c r="I262" s="4" t="str">
        <f>IFERROR(__xludf.DUMMYFUNCTION("""COMPUTED_VALUE"""),"0xaef368c69b23ee997b75aeeadf35a9360a452941")</f>
        <v>0xaef368c69b23ee997b75aeeadf35a9360a452941</v>
      </c>
      <c r="J262" s="18">
        <v>3.31826420721832</v>
      </c>
      <c r="K262" s="4">
        <v>41.478302590229</v>
      </c>
      <c r="L262" s="19">
        <v>4.1478302590229E19</v>
      </c>
      <c r="M262" s="20">
        <v>4.1478302590228997E18</v>
      </c>
    </row>
    <row r="263">
      <c r="A263" s="6"/>
      <c r="B263" s="6"/>
      <c r="C263" s="4"/>
      <c r="D263" s="4">
        <v>201.103506918102</v>
      </c>
      <c r="E263" s="4" t="s">
        <v>493</v>
      </c>
      <c r="F263" s="4"/>
      <c r="G263" s="4"/>
      <c r="H263" s="4"/>
      <c r="I263" s="4" t="str">
        <f>IFERROR(__xludf.DUMMYFUNCTION("""COMPUTED_VALUE"""),"0x9c61592baf26d931079acb91b1e546bf14f80db2")</f>
        <v>0x9c61592baf26d931079acb91b1e546bf14f80db2</v>
      </c>
      <c r="J263" s="18">
        <v>201.103506918102</v>
      </c>
      <c r="K263" s="4">
        <v>2513.793836476275</v>
      </c>
      <c r="L263" s="19">
        <v>2.513793836476275E21</v>
      </c>
      <c r="M263" s="20">
        <v>2.513793836476275E20</v>
      </c>
    </row>
    <row r="264">
      <c r="A264" s="6"/>
      <c r="B264" s="6"/>
      <c r="C264" s="4"/>
      <c r="D264" s="4">
        <v>49.925910914602696</v>
      </c>
      <c r="E264" s="4" t="s">
        <v>495</v>
      </c>
      <c r="F264" s="4"/>
      <c r="G264" s="4"/>
      <c r="H264" s="4"/>
      <c r="I264" s="4" t="str">
        <f>IFERROR(__xludf.DUMMYFUNCTION("""COMPUTED_VALUE"""),"0xba5b0827556dc36fefe521b9a89f7c007dcbb7cf")</f>
        <v>0xba5b0827556dc36fefe521b9a89f7c007dcbb7cf</v>
      </c>
      <c r="J264" s="18">
        <v>98.2900385141993</v>
      </c>
      <c r="K264" s="4">
        <v>1228.6254814274912</v>
      </c>
      <c r="L264" s="19">
        <v>1.2286254814274912E21</v>
      </c>
      <c r="M264" s="20">
        <v>1.2286254814274912E20</v>
      </c>
    </row>
    <row r="265">
      <c r="A265" s="6"/>
      <c r="B265" s="6"/>
      <c r="C265" s="4"/>
      <c r="D265" s="4">
        <v>0.48530887891796104</v>
      </c>
      <c r="E265" s="4" t="s">
        <v>497</v>
      </c>
      <c r="F265" s="4"/>
      <c r="G265" s="4"/>
      <c r="H265" s="4"/>
      <c r="I265" s="4" t="str">
        <f>IFERROR(__xludf.DUMMYFUNCTION("""COMPUTED_VALUE"""),"0xe8502c7f6b17fb5d539c92c30334a60c3bcb23a0")</f>
        <v>0xe8502c7f6b17fb5d539c92c30334a60c3bcb23a0</v>
      </c>
      <c r="J265" s="18">
        <v>2.419873982901821</v>
      </c>
      <c r="K265" s="4">
        <v>30.248424786272764</v>
      </c>
      <c r="L265" s="19">
        <v>3.0248424786272764E19</v>
      </c>
      <c r="M265" s="20">
        <v>3.024842478627277E18</v>
      </c>
    </row>
    <row r="266">
      <c r="A266" s="6"/>
      <c r="B266" s="6"/>
      <c r="C266" s="4"/>
      <c r="D266" s="4">
        <v>2.23914107670198</v>
      </c>
      <c r="E266" s="4" t="s">
        <v>499</v>
      </c>
      <c r="F266" s="4"/>
      <c r="G266" s="4"/>
      <c r="H266" s="4"/>
      <c r="I266" s="4" t="str">
        <f>IFERROR(__xludf.DUMMYFUNCTION("""COMPUTED_VALUE"""),"0xe042fd38c9e99abc078e0084e289c149f8fe4571")</f>
        <v>0xe042fd38c9e99abc078e0084e289c149f8fe4571</v>
      </c>
      <c r="J266" s="18">
        <v>2.23914107670198</v>
      </c>
      <c r="K266" s="4">
        <v>27.989263458774747</v>
      </c>
      <c r="L266" s="19">
        <v>2.798926345877475E19</v>
      </c>
      <c r="M266" s="20">
        <v>2.7989263458774753E18</v>
      </c>
    </row>
    <row r="267">
      <c r="A267" s="6"/>
      <c r="B267" s="6"/>
      <c r="C267" s="4"/>
      <c r="D267" s="4">
        <v>166.709035200748</v>
      </c>
      <c r="E267" s="4" t="s">
        <v>501</v>
      </c>
      <c r="F267" s="4"/>
      <c r="G267" s="4"/>
      <c r="H267" s="4"/>
      <c r="I267" s="4" t="str">
        <f>IFERROR(__xludf.DUMMYFUNCTION("""COMPUTED_VALUE"""),"0x2f866300cdbe379df062cf499b3d6ba6644d7d25")</f>
        <v>0x2f866300cdbe379df062cf499b3d6ba6644d7d25</v>
      </c>
      <c r="J267" s="18">
        <v>388.3968298102192</v>
      </c>
      <c r="K267" s="4">
        <v>4854.960372627739</v>
      </c>
      <c r="L267" s="19">
        <v>4.854960372627739E21</v>
      </c>
      <c r="M267" s="20">
        <v>4.85496037262774E20</v>
      </c>
    </row>
    <row r="268">
      <c r="A268" s="6"/>
      <c r="B268" s="6"/>
      <c r="C268" s="4"/>
      <c r="D268" s="4">
        <v>76.43295825970091</v>
      </c>
      <c r="E268" s="4" t="s">
        <v>503</v>
      </c>
      <c r="F268" s="4"/>
      <c r="G268" s="4"/>
      <c r="H268" s="4"/>
      <c r="I268" s="4" t="str">
        <f>IFERROR(__xludf.DUMMYFUNCTION("""COMPUTED_VALUE"""),"0xd4c0cf88ef87872a0fcfe7eaa2ecac1a10ca3d7c")</f>
        <v>0xd4c0cf88ef87872a0fcfe7eaa2ecac1a10ca3d7c</v>
      </c>
      <c r="J268" s="18">
        <v>76.43295825970091</v>
      </c>
      <c r="K268" s="4">
        <v>955.4119782462614</v>
      </c>
      <c r="L268" s="19">
        <v>9.554119782462613E20</v>
      </c>
      <c r="M268" s="20">
        <v>9.554119782462613E19</v>
      </c>
    </row>
    <row r="269">
      <c r="A269" s="6"/>
      <c r="B269" s="6"/>
      <c r="C269" s="4"/>
      <c r="D269" s="4">
        <v>174.954601565549</v>
      </c>
      <c r="E269" s="4" t="s">
        <v>505</v>
      </c>
      <c r="F269" s="4"/>
      <c r="G269" s="4"/>
      <c r="H269" s="4"/>
      <c r="I269" s="4" t="str">
        <f>IFERROR(__xludf.DUMMYFUNCTION("""COMPUTED_VALUE"""),"0xfcee9fff52093a2059bc53fed9e37c2c7b17cfc2")</f>
        <v>0xfcee9fff52093a2059bc53fed9e37c2c7b17cfc2</v>
      </c>
      <c r="J269" s="18">
        <v>398.8959211784125</v>
      </c>
      <c r="K269" s="4">
        <v>4986.199014730156</v>
      </c>
      <c r="L269" s="19">
        <v>4.986199014730156E21</v>
      </c>
      <c r="M269" s="20">
        <v>4.9861990147301566E20</v>
      </c>
    </row>
    <row r="270">
      <c r="A270" s="6"/>
      <c r="B270" s="6"/>
      <c r="C270" s="4"/>
      <c r="D270" s="4">
        <v>831.724548699463</v>
      </c>
      <c r="E270" s="4" t="s">
        <v>507</v>
      </c>
      <c r="F270" s="4"/>
      <c r="G270" s="4"/>
      <c r="H270" s="4"/>
      <c r="I270" s="4" t="str">
        <f>IFERROR(__xludf.DUMMYFUNCTION("""COMPUTED_VALUE"""),"0x4f262395cdead58c12f97daaf1b44b1d0215d1c5")</f>
        <v>0x4f262395cdead58c12f97daaf1b44b1d0215d1c5</v>
      </c>
      <c r="J270" s="18">
        <v>1066.1006365065596</v>
      </c>
      <c r="K270" s="4">
        <v>13326.257956331994</v>
      </c>
      <c r="L270" s="19">
        <v>1.3326257956331993E22</v>
      </c>
      <c r="M270" s="20">
        <v>1.3326257956331994E21</v>
      </c>
    </row>
    <row r="271">
      <c r="A271" s="6"/>
      <c r="B271" s="6"/>
      <c r="C271" s="4"/>
      <c r="D271" s="4">
        <v>12.111482367677999</v>
      </c>
      <c r="E271" s="4" t="s">
        <v>509</v>
      </c>
      <c r="F271" s="4"/>
      <c r="G271" s="4"/>
      <c r="H271" s="4"/>
      <c r="I271" s="4" t="str">
        <f>IFERROR(__xludf.DUMMYFUNCTION("""COMPUTED_VALUE"""),"0x0954065a1cf2379da0e1115240b7063df01d3e9d")</f>
        <v>0x0954065a1cf2379da0e1115240b7063df01d3e9d</v>
      </c>
      <c r="J271" s="18">
        <v>12.111482367677999</v>
      </c>
      <c r="K271" s="4">
        <v>151.39352959597497</v>
      </c>
      <c r="L271" s="19">
        <v>1.5139352959597498E20</v>
      </c>
      <c r="M271" s="20">
        <v>1.5139352959597498E19</v>
      </c>
    </row>
    <row r="272">
      <c r="A272" s="6"/>
      <c r="B272" s="6"/>
      <c r="C272" s="4"/>
      <c r="D272" s="4">
        <v>7.1802246208337</v>
      </c>
      <c r="E272" s="4" t="s">
        <v>511</v>
      </c>
      <c r="F272" s="4"/>
      <c r="G272" s="4"/>
      <c r="H272" s="4"/>
      <c r="I272" s="4" t="str">
        <f>IFERROR(__xludf.DUMMYFUNCTION("""COMPUTED_VALUE"""),"0x69dc6cfda136f759f3b935aa3354495a70a604bd")</f>
        <v>0x69dc6cfda136f759f3b935aa3354495a70a604bd</v>
      </c>
      <c r="J272" s="18">
        <v>7.1802246208337</v>
      </c>
      <c r="K272" s="4">
        <v>89.75280776042125</v>
      </c>
      <c r="L272" s="19">
        <v>8.975280776042124E19</v>
      </c>
      <c r="M272" s="20">
        <v>8.975280776042124E18</v>
      </c>
    </row>
    <row r="273">
      <c r="A273" s="6"/>
      <c r="B273" s="6"/>
      <c r="C273" s="4"/>
      <c r="D273" s="4">
        <v>1.7238329754330801</v>
      </c>
      <c r="E273" s="4" t="s">
        <v>513</v>
      </c>
      <c r="F273" s="4"/>
      <c r="G273" s="4"/>
      <c r="H273" s="4"/>
      <c r="I273" s="4" t="str">
        <f>IFERROR(__xludf.DUMMYFUNCTION("""COMPUTED_VALUE"""),"0xbf245ad0755b29b418485d03f5dac70202f9f379")</f>
        <v>0xbf245ad0755b29b418485d03f5dac70202f9f379</v>
      </c>
      <c r="J273" s="18">
        <v>1.7238329754330801</v>
      </c>
      <c r="K273" s="4">
        <v>21.5479121929135</v>
      </c>
      <c r="L273" s="19">
        <v>2.1547912192913502E19</v>
      </c>
      <c r="M273" s="20">
        <v>2.1547912192913503E18</v>
      </c>
    </row>
    <row r="274">
      <c r="A274" s="6"/>
      <c r="B274" s="6"/>
      <c r="C274" s="4"/>
      <c r="D274" s="4">
        <v>9.165783480801</v>
      </c>
      <c r="E274" s="4" t="s">
        <v>515</v>
      </c>
      <c r="F274" s="4"/>
      <c r="G274" s="4"/>
      <c r="H274" s="4"/>
      <c r="I274" s="4" t="str">
        <f>IFERROR(__xludf.DUMMYFUNCTION("""COMPUTED_VALUE"""),"0xd4053424be3e5ef26da0fd05da41b5d903fc9394")</f>
        <v>0xd4053424be3e5ef26da0fd05da41b5d903fc9394</v>
      </c>
      <c r="J274" s="18">
        <v>9.165783480801</v>
      </c>
      <c r="K274" s="4">
        <v>114.5722935100125</v>
      </c>
      <c r="L274" s="19">
        <v>1.145722935100125E20</v>
      </c>
      <c r="M274" s="20">
        <v>1.1457229351001252E19</v>
      </c>
    </row>
    <row r="275">
      <c r="A275" s="6"/>
      <c r="B275" s="6"/>
      <c r="C275" s="4"/>
      <c r="D275" s="4">
        <v>1.41370833251303</v>
      </c>
      <c r="E275" s="4" t="s">
        <v>517</v>
      </c>
      <c r="F275" s="4"/>
      <c r="G275" s="4"/>
      <c r="H275" s="4"/>
      <c r="I275" s="4" t="str">
        <f>IFERROR(__xludf.DUMMYFUNCTION("""COMPUTED_VALUE"""),"0xefcf8f842962e2700e3b6405e80ffc6300838e91")</f>
        <v>0xefcf8f842962e2700e3b6405e80ffc6300838e91</v>
      </c>
      <c r="J275" s="18">
        <v>1.41370833251303</v>
      </c>
      <c r="K275" s="4">
        <v>17.671354156412875</v>
      </c>
      <c r="L275" s="19">
        <v>1.7671354156412875E19</v>
      </c>
      <c r="M275" s="20">
        <v>1.7671354156412877E18</v>
      </c>
    </row>
    <row r="276">
      <c r="A276" s="6"/>
      <c r="B276" s="6"/>
      <c r="C276" s="4"/>
      <c r="D276" s="4">
        <v>5.3511873442206594</v>
      </c>
      <c r="E276" s="4" t="s">
        <v>518</v>
      </c>
      <c r="F276" s="4"/>
      <c r="G276" s="4"/>
      <c r="H276" s="4"/>
      <c r="I276" s="4" t="str">
        <f>IFERROR(__xludf.DUMMYFUNCTION("""COMPUTED_VALUE"""),"0x4795872535de6da285430df754d1cca07186d4e1")</f>
        <v>0x4795872535de6da285430df754d1cca07186d4e1</v>
      </c>
      <c r="J276" s="18">
        <v>5.3511873442206594</v>
      </c>
      <c r="K276" s="4">
        <v>66.88984180275824</v>
      </c>
      <c r="L276" s="19">
        <v>6.688984180275824E19</v>
      </c>
      <c r="M276" s="20">
        <v>6.688984180275825E18</v>
      </c>
    </row>
    <row r="277">
      <c r="A277" s="6"/>
      <c r="B277" s="6"/>
      <c r="C277" s="4"/>
      <c r="D277" s="4">
        <v>7.2135208739454</v>
      </c>
      <c r="E277" s="4" t="s">
        <v>520</v>
      </c>
      <c r="F277" s="4"/>
      <c r="G277" s="4"/>
      <c r="H277" s="4"/>
      <c r="I277" s="4" t="str">
        <f>IFERROR(__xludf.DUMMYFUNCTION("""COMPUTED_VALUE"""),"0x1aef683d8852e1a9ce71c4756cc567e33798f1b5")</f>
        <v>0x1aef683d8852e1a9ce71c4756cc567e33798f1b5</v>
      </c>
      <c r="J277" s="18">
        <v>7.2135208739454</v>
      </c>
      <c r="K277" s="4">
        <v>90.1690109243175</v>
      </c>
      <c r="L277" s="19">
        <v>9.01690109243175E19</v>
      </c>
      <c r="M277" s="20">
        <v>9.016901092431751E18</v>
      </c>
    </row>
    <row r="278">
      <c r="A278" s="6"/>
      <c r="B278" s="6"/>
      <c r="C278" s="4"/>
      <c r="D278" s="4">
        <v>95.5898503681364</v>
      </c>
      <c r="E278" s="4" t="s">
        <v>522</v>
      </c>
      <c r="F278" s="4"/>
      <c r="G278" s="4"/>
      <c r="H278" s="4"/>
      <c r="I278" s="4" t="str">
        <f>IFERROR(__xludf.DUMMYFUNCTION("""COMPUTED_VALUE"""),"0x61c8327824f125753a370a8d730fc6f67e00eb75")</f>
        <v>0x61c8327824f125753a370a8d730fc6f67e00eb75</v>
      </c>
      <c r="J278" s="18">
        <v>298.38344016023404</v>
      </c>
      <c r="K278" s="4">
        <v>3729.7930020029253</v>
      </c>
      <c r="L278" s="19">
        <v>3.7297930020029255E21</v>
      </c>
      <c r="M278" s="20">
        <v>3.7297930020029255E20</v>
      </c>
    </row>
    <row r="279">
      <c r="A279" s="6"/>
      <c r="B279" s="6"/>
      <c r="C279" s="4"/>
      <c r="D279" s="4">
        <v>7.153223371585851</v>
      </c>
      <c r="E279" s="4" t="s">
        <v>524</v>
      </c>
      <c r="F279" s="4"/>
      <c r="G279" s="4"/>
      <c r="H279" s="4"/>
      <c r="I279" s="4" t="str">
        <f>IFERROR(__xludf.DUMMYFUNCTION("""COMPUTED_VALUE"""),"0x187a0f79ea756f53bb659544c75ec36fd1e889fe")</f>
        <v>0x187a0f79ea756f53bb659544c75ec36fd1e889fe</v>
      </c>
      <c r="J279" s="18">
        <v>7.153223371585851</v>
      </c>
      <c r="K279" s="4">
        <v>89.41529214482313</v>
      </c>
      <c r="L279" s="19">
        <v>8.941529214482312E19</v>
      </c>
      <c r="M279" s="20">
        <v>8.941529214482313E18</v>
      </c>
    </row>
    <row r="280">
      <c r="A280" s="6"/>
      <c r="B280" s="6"/>
      <c r="C280" s="4"/>
      <c r="D280" s="4">
        <v>124.627733244829</v>
      </c>
      <c r="E280" s="4" t="s">
        <v>526</v>
      </c>
      <c r="F280" s="4"/>
      <c r="G280" s="4"/>
      <c r="H280" s="4"/>
      <c r="I280" s="4" t="str">
        <f>IFERROR(__xludf.DUMMYFUNCTION("""COMPUTED_VALUE"""),"0xf0e5fbedbf83edc03b321860973ac48cc533c188")</f>
        <v>0xf0e5fbedbf83edc03b321860973ac48cc533c188</v>
      </c>
      <c r="J280" s="18">
        <v>124.627733244829</v>
      </c>
      <c r="K280" s="4">
        <v>1557.8466655603625</v>
      </c>
      <c r="L280" s="19">
        <v>1.5578466655603626E21</v>
      </c>
      <c r="M280" s="20">
        <v>1.5578466655603625E20</v>
      </c>
    </row>
    <row r="281">
      <c r="A281" s="6"/>
      <c r="B281" s="6"/>
      <c r="C281" s="4"/>
      <c r="D281" s="4">
        <v>600.8787873421151</v>
      </c>
      <c r="E281" s="4" t="s">
        <v>528</v>
      </c>
      <c r="F281" s="4"/>
      <c r="G281" s="4"/>
      <c r="H281" s="4"/>
      <c r="I281" s="4" t="str">
        <f>IFERROR(__xludf.DUMMYFUNCTION("""COMPUTED_VALUE"""),"0x3598a53d18b801a048d099818ba55890b6885ec5")</f>
        <v>0x3598a53d18b801a048d099818ba55890b6885ec5</v>
      </c>
      <c r="J281" s="18">
        <v>835.2548751492117</v>
      </c>
      <c r="K281" s="4">
        <v>10440.685939365145</v>
      </c>
      <c r="L281" s="19">
        <v>1.0440685939365144E22</v>
      </c>
      <c r="M281" s="20">
        <v>1.0440685939365144E21</v>
      </c>
    </row>
    <row r="282">
      <c r="A282" s="6"/>
      <c r="B282" s="6"/>
      <c r="C282" s="4"/>
      <c r="D282" s="4">
        <v>10.086507822002801</v>
      </c>
      <c r="E282" s="4" t="s">
        <v>530</v>
      </c>
      <c r="F282" s="4"/>
      <c r="G282" s="4"/>
      <c r="H282" s="4"/>
      <c r="I282" s="4" t="str">
        <f>IFERROR(__xludf.DUMMYFUNCTION("""COMPUTED_VALUE"""),"0x12bc1b3d8fdc9fc527af3ba867ea8bfe4e12a56a")</f>
        <v>0x12bc1b3d8fdc9fc527af3ba867ea8bfe4e12a56a</v>
      </c>
      <c r="J282" s="18">
        <v>10.086507822002801</v>
      </c>
      <c r="K282" s="4">
        <v>126.08134777503501</v>
      </c>
      <c r="L282" s="19">
        <v>1.2608134777503502E20</v>
      </c>
      <c r="M282" s="20">
        <v>1.2608134777503502E19</v>
      </c>
    </row>
    <row r="283">
      <c r="A283" s="6"/>
      <c r="B283" s="6"/>
      <c r="C283" s="4"/>
      <c r="D283" s="4">
        <v>138.682087535188</v>
      </c>
      <c r="E283" s="4" t="s">
        <v>532</v>
      </c>
      <c r="F283" s="4"/>
      <c r="G283" s="4"/>
      <c r="H283" s="4"/>
      <c r="I283" s="4" t="str">
        <f>IFERROR(__xludf.DUMMYFUNCTION("""COMPUTED_VALUE"""),"0x31292dd471bac1e10c71b36a53bc3619fe6f27e2")</f>
        <v>0x31292dd471bac1e10c71b36a53bc3619fe6f27e2</v>
      </c>
      <c r="J283" s="18">
        <v>373.0581753422846</v>
      </c>
      <c r="K283" s="4">
        <v>4663.227191778557</v>
      </c>
      <c r="L283" s="19">
        <v>4.6632271917785573E21</v>
      </c>
      <c r="M283" s="20">
        <v>4.663227191778557E20</v>
      </c>
    </row>
    <row r="284">
      <c r="A284" s="6"/>
      <c r="B284" s="6"/>
      <c r="C284" s="4"/>
      <c r="D284" s="4">
        <v>5750.40001333001</v>
      </c>
      <c r="E284" s="4" t="s">
        <v>534</v>
      </c>
      <c r="F284" s="4"/>
      <c r="G284" s="4"/>
      <c r="H284" s="4"/>
      <c r="I284" s="4" t="str">
        <f>IFERROR(__xludf.DUMMYFUNCTION("""COMPUTED_VALUE"""),"0x357401e7b6cce28b01d3ecd900bdf5ef168aca19")</f>
        <v>0x357401e7b6cce28b01d3ecd900bdf5ef168aca19</v>
      </c>
      <c r="J284" s="18">
        <v>5936.41197353751</v>
      </c>
      <c r="K284" s="4">
        <v>74205.14966921887</v>
      </c>
      <c r="L284" s="19">
        <v>7.420514966921886E22</v>
      </c>
      <c r="M284" s="20">
        <v>7.420514966921887E21</v>
      </c>
    </row>
    <row r="285">
      <c r="A285" s="6"/>
      <c r="B285" s="6"/>
      <c r="C285" s="4"/>
      <c r="D285" s="4">
        <v>10.5346059364637</v>
      </c>
      <c r="E285" s="4" t="s">
        <v>536</v>
      </c>
      <c r="F285" s="4"/>
      <c r="G285" s="4"/>
      <c r="H285" s="4"/>
      <c r="I285" s="4" t="str">
        <f>IFERROR(__xludf.DUMMYFUNCTION("""COMPUTED_VALUE"""),"0x7ab78ba9c285d6c40f9078d38d8ed46aba51e7e0")</f>
        <v>0x7ab78ba9c285d6c40f9078d38d8ed46aba51e7e0</v>
      </c>
      <c r="J285" s="18">
        <v>10.5346059364637</v>
      </c>
      <c r="K285" s="4">
        <v>131.68257420579624</v>
      </c>
      <c r="L285" s="19">
        <v>1.3168257420579624E20</v>
      </c>
      <c r="M285" s="20">
        <v>1.3168257420579625E19</v>
      </c>
    </row>
    <row r="286">
      <c r="A286" s="6"/>
      <c r="B286" s="6"/>
      <c r="C286" s="4"/>
      <c r="D286" s="4">
        <v>723.598847524948</v>
      </c>
      <c r="E286" s="4" t="s">
        <v>538</v>
      </c>
      <c r="F286" s="4"/>
      <c r="G286" s="4"/>
      <c r="H286" s="4"/>
      <c r="I286" s="4" t="str">
        <f>IFERROR(__xludf.DUMMYFUNCTION("""COMPUTED_VALUE"""),"0xae151eeb1e090673f0bf077254c5c3fe9911e167")</f>
        <v>0xae151eeb1e090673f0bf077254c5c3fe9911e167</v>
      </c>
      <c r="J286" s="18">
        <v>723.598847524948</v>
      </c>
      <c r="K286" s="4">
        <v>9044.98559406185</v>
      </c>
      <c r="L286" s="19">
        <v>9.044985594061851E21</v>
      </c>
      <c r="M286" s="20">
        <v>9.044985594061851E20</v>
      </c>
    </row>
    <row r="287">
      <c r="A287" s="6"/>
      <c r="B287" s="6"/>
      <c r="C287" s="4"/>
      <c r="D287" s="4">
        <v>2.32737975851373</v>
      </c>
      <c r="E287" s="4" t="s">
        <v>540</v>
      </c>
      <c r="F287" s="4"/>
      <c r="G287" s="4"/>
      <c r="H287" s="4"/>
      <c r="I287" s="4" t="str">
        <f>IFERROR(__xludf.DUMMYFUNCTION("""COMPUTED_VALUE"""),"0x4208a3d37db93fc1965a4ba6b3f419abc9340731")</f>
        <v>0x4208a3d37db93fc1965a4ba6b3f419abc9340731</v>
      </c>
      <c r="J287" s="18">
        <v>2.32737975851373</v>
      </c>
      <c r="K287" s="4">
        <v>29.092246981421628</v>
      </c>
      <c r="L287" s="19">
        <v>2.909224698142163E19</v>
      </c>
      <c r="M287" s="20">
        <v>2.909224698142163E18</v>
      </c>
    </row>
    <row r="288">
      <c r="A288" s="6"/>
      <c r="B288" s="6"/>
      <c r="C288" s="4"/>
      <c r="D288" s="4">
        <v>938.485117331556</v>
      </c>
      <c r="E288" s="4" t="s">
        <v>542</v>
      </c>
      <c r="F288" s="4"/>
      <c r="G288" s="4"/>
      <c r="H288" s="4"/>
      <c r="I288" s="4" t="str">
        <f>IFERROR(__xludf.DUMMYFUNCTION("""COMPUTED_VALUE"""),"0x1d900608c195f76f746e793cea49394913400168")</f>
        <v>0x1d900608c195f76f746e793cea49394913400168</v>
      </c>
      <c r="J288" s="18">
        <v>1172.8612051386526</v>
      </c>
      <c r="K288" s="4">
        <v>14660.765064233157</v>
      </c>
      <c r="L288" s="19">
        <v>1.4660765064233157E22</v>
      </c>
      <c r="M288" s="20">
        <v>1.466076506423316E21</v>
      </c>
    </row>
    <row r="289">
      <c r="A289" s="6"/>
      <c r="B289" s="6"/>
      <c r="C289" s="4"/>
      <c r="D289" s="4">
        <v>4.0594907994156</v>
      </c>
      <c r="E289" s="4" t="s">
        <v>544</v>
      </c>
      <c r="F289" s="4"/>
      <c r="G289" s="4"/>
      <c r="H289" s="4"/>
      <c r="I289" s="4" t="str">
        <f>IFERROR(__xludf.DUMMYFUNCTION("""COMPUTED_VALUE"""),"0x2cc7da5ef8fd01f4a7cd03e785a01941f28fe8da")</f>
        <v>0x2cc7da5ef8fd01f4a7cd03e785a01941f28fe8da</v>
      </c>
      <c r="J289" s="18">
        <v>30.0469519210863</v>
      </c>
      <c r="K289" s="4">
        <v>375.5868990135788</v>
      </c>
      <c r="L289" s="19">
        <v>3.755868990135788E20</v>
      </c>
      <c r="M289" s="20">
        <v>3.755868990135788E19</v>
      </c>
    </row>
    <row r="290">
      <c r="A290" s="6"/>
      <c r="B290" s="6"/>
      <c r="C290" s="4"/>
      <c r="D290" s="4">
        <v>7.0685416625651705</v>
      </c>
      <c r="E290" s="4" t="s">
        <v>546</v>
      </c>
      <c r="F290" s="4"/>
      <c r="G290" s="4"/>
      <c r="H290" s="4"/>
      <c r="I290" s="4" t="str">
        <f>IFERROR(__xludf.DUMMYFUNCTION("""COMPUTED_VALUE"""),"0x316d8e3697c4f588960ba4c2deeda31ecc7d9ccb")</f>
        <v>0x316d8e3697c4f588960ba4c2deeda31ecc7d9ccb</v>
      </c>
      <c r="J290" s="18">
        <v>7.0685416625651705</v>
      </c>
      <c r="K290" s="4">
        <v>88.35677078206463</v>
      </c>
      <c r="L290" s="19">
        <v>8.835677078206462E19</v>
      </c>
      <c r="M290" s="20">
        <v>8.835677078206463E18</v>
      </c>
    </row>
    <row r="291">
      <c r="A291" s="6"/>
      <c r="B291" s="6"/>
      <c r="C291" s="4"/>
      <c r="D291" s="4">
        <v>6.8979971037755</v>
      </c>
      <c r="E291" s="4" t="s">
        <v>547</v>
      </c>
      <c r="F291" s="4"/>
      <c r="G291" s="4"/>
      <c r="H291" s="4"/>
      <c r="I291" s="4" t="str">
        <f>IFERROR(__xludf.DUMMYFUNCTION("""COMPUTED_VALUE"""),"0xd251261d5ffe5e0c660f88eda704dbcb76918da2")</f>
        <v>0xd251261d5ffe5e0c660f88eda704dbcb76918da2</v>
      </c>
      <c r="J291" s="18">
        <v>6.8979971037755</v>
      </c>
      <c r="K291" s="4">
        <v>86.22496379719375</v>
      </c>
      <c r="L291" s="19">
        <v>8.622496379719375E19</v>
      </c>
      <c r="M291" s="20">
        <v>8.622496379719376E18</v>
      </c>
    </row>
    <row r="292">
      <c r="A292" s="6"/>
      <c r="B292" s="6"/>
      <c r="C292" s="4"/>
      <c r="D292" s="4">
        <v>7.0685416625651705</v>
      </c>
      <c r="E292" s="4" t="s">
        <v>549</v>
      </c>
      <c r="F292" s="4"/>
      <c r="G292" s="4"/>
      <c r="H292" s="4"/>
      <c r="I292" s="4" t="str">
        <f>IFERROR(__xludf.DUMMYFUNCTION("""COMPUTED_VALUE"""),"0x119e8861d32caea83279220a5b7e0b6bd07122b2")</f>
        <v>0x119e8861d32caea83279220a5b7e0b6bd07122b2</v>
      </c>
      <c r="J292" s="18">
        <v>7.0685416625651705</v>
      </c>
      <c r="K292" s="4">
        <v>88.35677078206463</v>
      </c>
      <c r="L292" s="19">
        <v>8.835677078206462E19</v>
      </c>
      <c r="M292" s="20">
        <v>8.835677078206463E18</v>
      </c>
    </row>
    <row r="293">
      <c r="A293" s="6"/>
      <c r="B293" s="6"/>
      <c r="C293" s="4"/>
      <c r="D293" s="4">
        <v>0.560586604862852</v>
      </c>
      <c r="E293" s="4" t="s">
        <v>550</v>
      </c>
      <c r="F293" s="4"/>
      <c r="G293" s="4"/>
      <c r="H293" s="4"/>
      <c r="I293" s="4" t="str">
        <f>IFERROR(__xludf.DUMMYFUNCTION("""COMPUTED_VALUE"""),"0x187c6e4cdf93ef74080e151ca31d042f80cad8d8")</f>
        <v>0x187c6e4cdf93ef74080e151ca31d042f80cad8d8</v>
      </c>
      <c r="J293" s="18">
        <v>47.72322402606615</v>
      </c>
      <c r="K293" s="4">
        <v>596.5403003258268</v>
      </c>
      <c r="L293" s="19">
        <v>5.965403003258269E20</v>
      </c>
      <c r="M293" s="20">
        <v>5.965403003258269E19</v>
      </c>
    </row>
    <row r="294">
      <c r="A294" s="6"/>
      <c r="B294" s="6"/>
      <c r="C294" s="4"/>
      <c r="D294" s="4">
        <v>35.6221242622846</v>
      </c>
      <c r="E294" s="4" t="s">
        <v>552</v>
      </c>
      <c r="F294" s="4"/>
      <c r="G294" s="4"/>
      <c r="H294" s="4"/>
      <c r="I294" s="4" t="str">
        <f>IFERROR(__xludf.DUMMYFUNCTION("""COMPUTED_VALUE"""),"0x941030d19a19ff10c1686f1d1c00b4b37bc48156")</f>
        <v>0x941030d19a19ff10c1686f1d1c00b4b37bc48156</v>
      </c>
      <c r="J294" s="18">
        <v>107.0507169819649</v>
      </c>
      <c r="K294" s="4">
        <v>1338.133962274561</v>
      </c>
      <c r="L294" s="19">
        <v>1.338133962274561E21</v>
      </c>
      <c r="M294" s="20">
        <v>1.338133962274561E20</v>
      </c>
    </row>
    <row r="295">
      <c r="A295" s="6"/>
      <c r="B295" s="6"/>
      <c r="C295" s="4"/>
      <c r="D295" s="4">
        <v>103.701535282226</v>
      </c>
      <c r="E295" s="4" t="s">
        <v>554</v>
      </c>
      <c r="F295" s="4"/>
      <c r="G295" s="4"/>
      <c r="H295" s="4"/>
      <c r="I295" s="4" t="str">
        <f>IFERROR(__xludf.DUMMYFUNCTION("""COMPUTED_VALUE"""),"0xf7e1874e96535dcf8e8e915aacaeaf40f8b038f6")</f>
        <v>0xf7e1874e96535dcf8e8e915aacaeaf40f8b038f6</v>
      </c>
      <c r="J295" s="18">
        <v>338.0776230893226</v>
      </c>
      <c r="K295" s="4">
        <v>4225.970288616532</v>
      </c>
      <c r="L295" s="19">
        <v>4.2259702886165323E21</v>
      </c>
      <c r="M295" s="20">
        <v>4.225970288616533E20</v>
      </c>
    </row>
    <row r="296">
      <c r="A296" s="6"/>
      <c r="B296" s="6"/>
      <c r="C296" s="4"/>
      <c r="D296" s="4">
        <v>8.88664658337801</v>
      </c>
      <c r="E296" s="4" t="s">
        <v>556</v>
      </c>
      <c r="F296" s="4"/>
      <c r="G296" s="4"/>
      <c r="H296" s="4"/>
      <c r="I296" s="4" t="str">
        <f>IFERROR(__xludf.DUMMYFUNCTION("""COMPUTED_VALUE"""),"0x35bc5733ff0056a5d26dd10bb2f5cdf18926b5b1")</f>
        <v>0x35bc5733ff0056a5d26dd10bb2f5cdf18926b5b1</v>
      </c>
      <c r="J296" s="18">
        <v>8.88664658337801</v>
      </c>
      <c r="K296" s="4">
        <v>111.08308229222511</v>
      </c>
      <c r="L296" s="19">
        <v>1.1108308229222511E20</v>
      </c>
      <c r="M296" s="20">
        <v>1.1108308229222513E19</v>
      </c>
    </row>
    <row r="297">
      <c r="A297" s="6"/>
      <c r="B297" s="6"/>
      <c r="C297" s="4"/>
      <c r="D297" s="4">
        <v>716.462757833949</v>
      </c>
      <c r="E297" s="4" t="s">
        <v>558</v>
      </c>
      <c r="F297" s="4"/>
      <c r="G297" s="4"/>
      <c r="H297" s="4"/>
      <c r="I297" s="4" t="str">
        <f>IFERROR(__xludf.DUMMYFUNCTION("""COMPUTED_VALUE"""),"0x2e771628e765c04a06252801177332d078a19a21")</f>
        <v>0x2e771628e765c04a06252801177332d078a19a21</v>
      </c>
      <c r="J297" s="18">
        <v>950.8388456410456</v>
      </c>
      <c r="K297" s="4">
        <v>11885.48557051307</v>
      </c>
      <c r="L297" s="19">
        <v>1.188548557051307E22</v>
      </c>
      <c r="M297" s="20">
        <v>1.188548557051307E21</v>
      </c>
    </row>
    <row r="298">
      <c r="A298" s="6"/>
      <c r="B298" s="6"/>
      <c r="C298" s="4"/>
      <c r="D298" s="4">
        <v>148.190865989072</v>
      </c>
      <c r="E298" s="4" t="s">
        <v>560</v>
      </c>
      <c r="F298" s="4"/>
      <c r="G298" s="4"/>
      <c r="H298" s="4"/>
      <c r="I298" s="4" t="str">
        <f>IFERROR(__xludf.DUMMYFUNCTION("""COMPUTED_VALUE"""),"0xb52c1fc731089aa81e9b63df97815fc59a430c06")</f>
        <v>0xb52c1fc731089aa81e9b63df97815fc59a430c06</v>
      </c>
      <c r="J298" s="18">
        <v>188.9884882996141</v>
      </c>
      <c r="K298" s="4">
        <v>2362.356103745176</v>
      </c>
      <c r="L298" s="19">
        <v>2.362356103745176E21</v>
      </c>
      <c r="M298" s="20">
        <v>2.3623561037451762E20</v>
      </c>
    </row>
    <row r="299">
      <c r="A299" s="6"/>
      <c r="B299" s="6"/>
      <c r="C299" s="4"/>
      <c r="D299" s="4">
        <v>52.5426652936683</v>
      </c>
      <c r="E299" s="4" t="s">
        <v>562</v>
      </c>
      <c r="F299" s="4"/>
      <c r="G299" s="4"/>
      <c r="H299" s="4"/>
      <c r="I299" s="4" t="str">
        <f>IFERROR(__xludf.DUMMYFUNCTION("""COMPUTED_VALUE"""),"0x72fbfe8c6c09491190103ba1325a13c75065a245")</f>
        <v>0x72fbfe8c6c09491190103ba1325a13c75065a245</v>
      </c>
      <c r="J299" s="18">
        <v>100.9067928932649</v>
      </c>
      <c r="K299" s="4">
        <v>1261.3349111658113</v>
      </c>
      <c r="L299" s="19">
        <v>1.2613349111658114E21</v>
      </c>
      <c r="M299" s="20">
        <v>1.2613349111658114E20</v>
      </c>
    </row>
    <row r="300">
      <c r="A300" s="6"/>
      <c r="B300" s="6"/>
      <c r="C300" s="4"/>
      <c r="D300" s="4">
        <v>5.798755624148501</v>
      </c>
      <c r="E300" s="4" t="s">
        <v>564</v>
      </c>
      <c r="F300" s="4"/>
      <c r="G300" s="4"/>
      <c r="H300" s="4"/>
      <c r="I300" s="4" t="str">
        <f>IFERROR(__xludf.DUMMYFUNCTION("""COMPUTED_VALUE"""),"0x83ca3a6ebb3d20da15eac6a209743a5e756afa30")</f>
        <v>0x83ca3a6ebb3d20da15eac6a209743a5e756afa30</v>
      </c>
      <c r="J300" s="18">
        <v>5.798755624148501</v>
      </c>
      <c r="K300" s="4">
        <v>72.48444530185625</v>
      </c>
      <c r="L300" s="19">
        <v>7.248444530185626E19</v>
      </c>
      <c r="M300" s="20">
        <v>7.248444530185626E18</v>
      </c>
    </row>
    <row r="301">
      <c r="A301" s="6"/>
      <c r="B301" s="6"/>
      <c r="C301" s="4"/>
      <c r="D301" s="4">
        <v>3.53427083128258</v>
      </c>
      <c r="E301" s="4" t="s">
        <v>566</v>
      </c>
      <c r="F301" s="4"/>
      <c r="G301" s="4"/>
      <c r="H301" s="4"/>
      <c r="I301" s="4" t="str">
        <f>IFERROR(__xludf.DUMMYFUNCTION("""COMPUTED_VALUE"""),"0x23366b3ef129f6b83be06b67228ab9e7c0d53cca")</f>
        <v>0x23366b3ef129f6b83be06b67228ab9e7c0d53cca</v>
      </c>
      <c r="J301" s="18">
        <v>3.53427083128258</v>
      </c>
      <c r="K301" s="4">
        <v>44.17838539103225</v>
      </c>
      <c r="L301" s="19">
        <v>4.4178385391032254E19</v>
      </c>
      <c r="M301" s="20">
        <v>4.417838539103226E18</v>
      </c>
    </row>
    <row r="302">
      <c r="A302" s="6"/>
      <c r="B302" s="6"/>
      <c r="C302" s="4"/>
      <c r="D302" s="4">
        <v>604.360312149322</v>
      </c>
      <c r="E302" s="4" t="s">
        <v>568</v>
      </c>
      <c r="F302" s="4"/>
      <c r="G302" s="4"/>
      <c r="H302" s="4"/>
      <c r="I302" s="4" t="str">
        <f>IFERROR(__xludf.DUMMYFUNCTION("""COMPUTED_VALUE"""),"0x070c8eba534900e54d74b215d1dc54d8b05514be")</f>
        <v>0x070c8eba534900e54d74b215d1dc54d8b05514be</v>
      </c>
      <c r="J302" s="18">
        <v>838.7363999564186</v>
      </c>
      <c r="K302" s="4">
        <v>10484.204999455233</v>
      </c>
      <c r="L302" s="19">
        <v>1.0484204999455233E22</v>
      </c>
      <c r="M302" s="20">
        <v>1.0484204999455234E21</v>
      </c>
    </row>
    <row r="303">
      <c r="A303" s="6"/>
      <c r="B303" s="6"/>
      <c r="C303" s="4"/>
      <c r="D303" s="4">
        <v>179.27671527306597</v>
      </c>
      <c r="E303" s="4" t="s">
        <v>570</v>
      </c>
      <c r="F303" s="4"/>
      <c r="G303" s="4"/>
      <c r="H303" s="4"/>
      <c r="I303" s="4" t="str">
        <f>IFERROR(__xludf.DUMMYFUNCTION("""COMPUTED_VALUE"""),"0x511652f5f25f613331cd95e580c1a357146f4af1")</f>
        <v>0x511652f5f25f613331cd95e580c1a357146f4af1</v>
      </c>
      <c r="J303" s="18">
        <v>413.6528030801626</v>
      </c>
      <c r="K303" s="4">
        <v>5170.660038502032</v>
      </c>
      <c r="L303" s="19">
        <v>5.170660038502032E21</v>
      </c>
      <c r="M303" s="20">
        <v>5.1706600385020323E20</v>
      </c>
    </row>
    <row r="304">
      <c r="A304" s="6"/>
      <c r="B304" s="6"/>
      <c r="C304" s="4"/>
      <c r="D304" s="4">
        <v>30.5001888473548</v>
      </c>
      <c r="E304" s="4" t="s">
        <v>572</v>
      </c>
      <c r="F304" s="4"/>
      <c r="G304" s="4"/>
      <c r="H304" s="4"/>
      <c r="I304" s="4" t="str">
        <f>IFERROR(__xludf.DUMMYFUNCTION("""COMPUTED_VALUE"""),"0x094e50b0f5793fd9798416b3561923ffbbd657d7")</f>
        <v>0x094e50b0f5793fd9798416b3561923ffbbd657d7</v>
      </c>
      <c r="J304" s="18">
        <v>30.5001888473548</v>
      </c>
      <c r="K304" s="4">
        <v>381.252360591935</v>
      </c>
      <c r="L304" s="19">
        <v>3.8125236059193495E20</v>
      </c>
      <c r="M304" s="20">
        <v>3.81252360591935E19</v>
      </c>
    </row>
    <row r="305">
      <c r="A305" s="6"/>
      <c r="B305" s="6"/>
      <c r="C305" s="4"/>
      <c r="D305" s="4">
        <v>69.96972005980369</v>
      </c>
      <c r="E305" s="4" t="s">
        <v>574</v>
      </c>
      <c r="F305" s="4"/>
      <c r="G305" s="4"/>
      <c r="H305" s="4"/>
      <c r="I305" s="4" t="str">
        <f>IFERROR(__xludf.DUMMYFUNCTION("""COMPUTED_VALUE"""),"0x8d32635559038f61911b8fd64e77203a4d399526")</f>
        <v>0x8d32635559038f61911b8fd64e77203a4d399526</v>
      </c>
      <c r="J305" s="18">
        <v>69.96972005980369</v>
      </c>
      <c r="K305" s="4">
        <v>874.6215007475462</v>
      </c>
      <c r="L305" s="19">
        <v>8.746215007475462E20</v>
      </c>
      <c r="M305" s="20">
        <v>8.746215007475463E19</v>
      </c>
    </row>
    <row r="306">
      <c r="A306" s="6"/>
      <c r="B306" s="6"/>
      <c r="C306" s="4"/>
      <c r="D306" s="4">
        <v>42.5735775712009</v>
      </c>
      <c r="E306" s="4" t="s">
        <v>576</v>
      </c>
      <c r="F306" s="4"/>
      <c r="G306" s="4"/>
      <c r="H306" s="4"/>
      <c r="I306" s="4" t="str">
        <f>IFERROR(__xludf.DUMMYFUNCTION("""COMPUTED_VALUE"""),"0x995e218d989d5869f72785097097b1bc93217eea")</f>
        <v>0x995e218d989d5869f72785097097b1bc93217eea</v>
      </c>
      <c r="J306" s="18">
        <v>42.5735775712009</v>
      </c>
      <c r="K306" s="4">
        <v>532.1697196400113</v>
      </c>
      <c r="L306" s="19">
        <v>5.321697196400113E20</v>
      </c>
      <c r="M306" s="20">
        <v>5.321697196400113E19</v>
      </c>
    </row>
    <row r="307">
      <c r="A307" s="6"/>
      <c r="B307" s="6"/>
      <c r="C307" s="4"/>
      <c r="D307" s="4">
        <v>7.0685416625651705</v>
      </c>
      <c r="E307" s="4" t="s">
        <v>578</v>
      </c>
      <c r="F307" s="4"/>
      <c r="G307" s="4"/>
      <c r="H307" s="4"/>
      <c r="I307" s="4" t="str">
        <f>IFERROR(__xludf.DUMMYFUNCTION("""COMPUTED_VALUE"""),"0x6585ba4bff5a3188045ce7a00571507367be3475")</f>
        <v>0x6585ba4bff5a3188045ce7a00571507367be3475</v>
      </c>
      <c r="J307" s="18">
        <v>7.0685416625651705</v>
      </c>
      <c r="K307" s="4">
        <v>88.35677078206463</v>
      </c>
      <c r="L307" s="19">
        <v>8.835677078206462E19</v>
      </c>
      <c r="M307" s="20">
        <v>8.835677078206463E18</v>
      </c>
    </row>
    <row r="308">
      <c r="A308" s="6"/>
      <c r="B308" s="6"/>
      <c r="C308" s="4"/>
      <c r="D308" s="4">
        <v>7.0685416625651705</v>
      </c>
      <c r="E308" s="4" t="s">
        <v>579</v>
      </c>
      <c r="F308" s="4"/>
      <c r="G308" s="4"/>
      <c r="H308" s="4"/>
      <c r="I308" s="4" t="str">
        <f>IFERROR(__xludf.DUMMYFUNCTION("""COMPUTED_VALUE"""),"0xb121c379752da402003132d612dc758b9494a717")</f>
        <v>0xb121c379752da402003132d612dc758b9494a717</v>
      </c>
      <c r="J308" s="18">
        <v>55.43266926216177</v>
      </c>
      <c r="K308" s="4">
        <v>692.908365777022</v>
      </c>
      <c r="L308" s="19">
        <v>6.929083657770221E20</v>
      </c>
      <c r="M308" s="20">
        <v>6.9290836577702216E19</v>
      </c>
    </row>
    <row r="309">
      <c r="A309" s="6"/>
      <c r="B309" s="6"/>
      <c r="C309" s="4"/>
      <c r="D309" s="4">
        <v>137.129708253764</v>
      </c>
      <c r="E309" s="4" t="s">
        <v>580</v>
      </c>
      <c r="F309" s="4"/>
      <c r="G309" s="4"/>
      <c r="H309" s="4"/>
      <c r="I309" s="4" t="str">
        <f>IFERROR(__xludf.DUMMYFUNCTION("""COMPUTED_VALUE"""),"0x2d7b356cc7ae278c50918ee0cb95abe3ec56452e")</f>
        <v>0x2d7b356cc7ae278c50918ee0cb95abe3ec56452e</v>
      </c>
      <c r="J309" s="18">
        <v>371.5057960608606</v>
      </c>
      <c r="K309" s="4">
        <v>4643.822450760757</v>
      </c>
      <c r="L309" s="19">
        <v>4.6438224507607575E21</v>
      </c>
      <c r="M309" s="20">
        <v>4.643822450760758E20</v>
      </c>
    </row>
    <row r="310">
      <c r="A310" s="6"/>
      <c r="B310" s="6"/>
      <c r="C310" s="4"/>
      <c r="D310" s="4">
        <v>2.45445927604051</v>
      </c>
      <c r="E310" s="4" t="s">
        <v>582</v>
      </c>
      <c r="F310" s="4"/>
      <c r="G310" s="4"/>
      <c r="H310" s="4"/>
      <c r="I310" s="4" t="str">
        <f>IFERROR(__xludf.DUMMYFUNCTION("""COMPUTED_VALUE"""),"0x944fc25484f9ed0b90464c7da0c5d1be463a669a")</f>
        <v>0x944fc25484f9ed0b90464c7da0c5d1be463a669a</v>
      </c>
      <c r="J310" s="18">
        <v>2.45445927604051</v>
      </c>
      <c r="K310" s="4">
        <v>30.680740950506372</v>
      </c>
      <c r="L310" s="19">
        <v>3.0680740950506373E19</v>
      </c>
      <c r="M310" s="20">
        <v>3.0680740950506373E18</v>
      </c>
    </row>
    <row r="311">
      <c r="A311" s="6"/>
      <c r="B311" s="6"/>
      <c r="C311" s="4"/>
      <c r="D311" s="4">
        <v>6.2860856190569505</v>
      </c>
      <c r="E311" s="4" t="s">
        <v>584</v>
      </c>
      <c r="F311" s="4"/>
      <c r="G311" s="4"/>
      <c r="H311" s="4"/>
      <c r="I311" s="4" t="str">
        <f>IFERROR(__xludf.DUMMYFUNCTION("""COMPUTED_VALUE"""),"0x241dce9d184630f2f59388637af1d57b0e4e0360")</f>
        <v>0x241dce9d184630f2f59388637af1d57b0e4e0360</v>
      </c>
      <c r="J311" s="18">
        <v>6.2860856190569505</v>
      </c>
      <c r="K311" s="4">
        <v>78.57607023821188</v>
      </c>
      <c r="L311" s="19">
        <v>7.857607023821188E19</v>
      </c>
      <c r="M311" s="20">
        <v>7.857607023821189E18</v>
      </c>
    </row>
    <row r="312">
      <c r="A312" s="6"/>
      <c r="B312" s="6"/>
      <c r="C312" s="4"/>
      <c r="D312" s="4">
        <v>35.3427083128258</v>
      </c>
      <c r="E312" s="4" t="s">
        <v>586</v>
      </c>
      <c r="F312" s="4"/>
      <c r="G312" s="4"/>
      <c r="H312" s="4"/>
      <c r="I312" s="4" t="str">
        <f>IFERROR(__xludf.DUMMYFUNCTION("""COMPUTED_VALUE"""),"0xa5c12a760b680fcb0f898fd94bbe94d34f8fd435")</f>
        <v>0xa5c12a760b680fcb0f898fd94bbe94d34f8fd435</v>
      </c>
      <c r="J312" s="18">
        <v>35.3427083128258</v>
      </c>
      <c r="K312" s="4">
        <v>441.7838539103225</v>
      </c>
      <c r="L312" s="19">
        <v>4.4178385391032245E20</v>
      </c>
      <c r="M312" s="20">
        <v>4.417838539103225E19</v>
      </c>
    </row>
    <row r="313">
      <c r="A313" s="6"/>
      <c r="B313" s="6"/>
      <c r="C313" s="4"/>
      <c r="D313" s="4">
        <v>28.855697214493297</v>
      </c>
      <c r="E313" s="4" t="s">
        <v>587</v>
      </c>
      <c r="F313" s="4"/>
      <c r="G313" s="4"/>
      <c r="H313" s="4"/>
      <c r="I313" s="4" t="str">
        <f>IFERROR(__xludf.DUMMYFUNCTION("""COMPUTED_VALUE"""),"0xfc4755e96e7a935d72f7181adb0ae8b683d5d467")</f>
        <v>0xfc4755e96e7a935d72f7181adb0ae8b683d5d467</v>
      </c>
      <c r="J313" s="18">
        <v>28.855697214493297</v>
      </c>
      <c r="K313" s="4">
        <v>360.6962151811662</v>
      </c>
      <c r="L313" s="19">
        <v>3.6069621518116625E20</v>
      </c>
      <c r="M313" s="20">
        <v>3.6069621518116626E19</v>
      </c>
    </row>
    <row r="314">
      <c r="A314" s="6"/>
      <c r="B314" s="6"/>
      <c r="C314" s="4"/>
      <c r="D314" s="4">
        <v>530.474471254894</v>
      </c>
      <c r="E314" s="4" t="s">
        <v>589</v>
      </c>
      <c r="F314" s="4"/>
      <c r="G314" s="4"/>
      <c r="H314" s="4"/>
      <c r="I314" s="4" t="str">
        <f>IFERROR(__xludf.DUMMYFUNCTION("""COMPUTED_VALUE"""),"0x8ee8bec88c2e2b6d1c464f856f90ea9ea5dba947")</f>
        <v>0x8ee8bec88c2e2b6d1c464f856f90ea9ea5dba947</v>
      </c>
      <c r="J314" s="18">
        <v>764.8505590619906</v>
      </c>
      <c r="K314" s="4">
        <v>9560.631988274881</v>
      </c>
      <c r="L314" s="19">
        <v>9.560631988274881E21</v>
      </c>
      <c r="M314" s="20">
        <v>9.560631988274882E20</v>
      </c>
    </row>
    <row r="315">
      <c r="A315" s="6"/>
      <c r="B315" s="6"/>
      <c r="C315" s="4"/>
      <c r="D315" s="4">
        <v>530.281995525639</v>
      </c>
      <c r="E315" s="4" t="s">
        <v>591</v>
      </c>
      <c r="F315" s="4"/>
      <c r="G315" s="4"/>
      <c r="H315" s="4"/>
      <c r="I315" s="4" t="str">
        <f>IFERROR(__xludf.DUMMYFUNCTION("""COMPUTED_VALUE"""),"0xbbda8c587de8dc04abb35de738c04e4413355007")</f>
        <v>0xbbda8c587de8dc04abb35de738c04e4413355007</v>
      </c>
      <c r="J315" s="18">
        <v>764.6580833327356</v>
      </c>
      <c r="K315" s="4">
        <v>9558.226041659194</v>
      </c>
      <c r="L315" s="19">
        <v>9.558226041659195E21</v>
      </c>
      <c r="M315" s="20">
        <v>9.558226041659195E20</v>
      </c>
    </row>
    <row r="316">
      <c r="A316" s="6"/>
      <c r="B316" s="6"/>
      <c r="C316" s="4"/>
      <c r="D316" s="4">
        <v>0.494116073757212</v>
      </c>
      <c r="E316" s="4" t="s">
        <v>592</v>
      </c>
      <c r="F316" s="4"/>
      <c r="G316" s="4"/>
      <c r="H316" s="4"/>
      <c r="I316" s="4" t="str">
        <f>IFERROR(__xludf.DUMMYFUNCTION("""COMPUTED_VALUE"""),"0xf17382c751b850fb8f0985f878340df25a1759ac")</f>
        <v>0xf17382c751b850fb8f0985f878340df25a1759ac</v>
      </c>
      <c r="J316" s="18">
        <v>1.311086143936365</v>
      </c>
      <c r="K316" s="4">
        <v>16.38857679920456</v>
      </c>
      <c r="L316" s="19">
        <v>1.638857679920456E19</v>
      </c>
      <c r="M316" s="20">
        <v>1.6388576799204562E18</v>
      </c>
    </row>
    <row r="317">
      <c r="A317" s="6"/>
      <c r="B317" s="6"/>
      <c r="C317" s="4"/>
      <c r="D317" s="4">
        <v>7.19189676061381</v>
      </c>
      <c r="E317" s="4" t="s">
        <v>594</v>
      </c>
      <c r="F317" s="4"/>
      <c r="G317" s="4"/>
      <c r="H317" s="4"/>
      <c r="I317" s="4" t="str">
        <f>IFERROR(__xludf.DUMMYFUNCTION("""COMPUTED_VALUE"""),"0xdd6299067d18d84f82cc179e7bfd12dd77c22d12")</f>
        <v>0xdd6299067d18d84f82cc179e7bfd12dd77c22d12</v>
      </c>
      <c r="J317" s="18">
        <v>55.55602436021041</v>
      </c>
      <c r="K317" s="4">
        <v>694.45030450263</v>
      </c>
      <c r="L317" s="19">
        <v>6.9445030450263E20</v>
      </c>
      <c r="M317" s="20">
        <v>6.944503045026301E19</v>
      </c>
    </row>
    <row r="318">
      <c r="A318" s="6"/>
      <c r="B318" s="6"/>
      <c r="C318" s="4"/>
      <c r="D318" s="4">
        <v>36.2934517119517</v>
      </c>
      <c r="E318" s="4" t="s">
        <v>596</v>
      </c>
      <c r="F318" s="4"/>
      <c r="G318" s="4"/>
      <c r="H318" s="4"/>
      <c r="I318" s="4" t="str">
        <f>IFERROR(__xludf.DUMMYFUNCTION("""COMPUTED_VALUE"""),"0x38084b751e6a1a7d2adc3af11df5f285d26877b9")</f>
        <v>0x38084b751e6a1a7d2adc3af11df5f285d26877b9</v>
      </c>
      <c r="J318" s="18">
        <v>84.65757931154829</v>
      </c>
      <c r="K318" s="4">
        <v>1058.2197413943536</v>
      </c>
      <c r="L318" s="19">
        <v>1.0582197413943537E21</v>
      </c>
      <c r="M318" s="20">
        <v>1.0582197413943537E20</v>
      </c>
    </row>
    <row r="319">
      <c r="A319" s="6"/>
      <c r="B319" s="6"/>
      <c r="C319" s="4"/>
      <c r="D319" s="4">
        <v>815.779706122019</v>
      </c>
      <c r="E319" s="4" t="s">
        <v>598</v>
      </c>
      <c r="F319" s="4"/>
      <c r="G319" s="4"/>
      <c r="H319" s="4"/>
      <c r="I319" s="4" t="str">
        <f>IFERROR(__xludf.DUMMYFUNCTION("""COMPUTED_VALUE"""),"0x7258fe1885c4bcefe5e16c3722c9429aaa5bff51")</f>
        <v>0x7258fe1885c4bcefe5e16c3722c9429aaa5bff51</v>
      </c>
      <c r="J319" s="18">
        <v>1015.4630298081581</v>
      </c>
      <c r="K319" s="4">
        <v>12693.287872601977</v>
      </c>
      <c r="L319" s="19">
        <v>1.2693287872601977E22</v>
      </c>
      <c r="M319" s="20">
        <v>1.2693287872601978E21</v>
      </c>
    </row>
    <row r="320">
      <c r="A320" s="6"/>
      <c r="B320" s="6"/>
      <c r="C320" s="4"/>
      <c r="D320" s="4">
        <v>2.08769989051014</v>
      </c>
      <c r="E320" s="4" t="s">
        <v>600</v>
      </c>
      <c r="F320" s="4"/>
      <c r="G320" s="4"/>
      <c r="H320" s="4"/>
      <c r="I320" s="4" t="str">
        <f>IFERROR(__xludf.DUMMYFUNCTION("""COMPUTED_VALUE"""),"0x7f8b661ce6bde4d83587e0d47b2c19c382f00807")</f>
        <v>0x7f8b661ce6bde4d83587e0d47b2c19c382f00807</v>
      </c>
      <c r="J320" s="18">
        <v>2.08769989051014</v>
      </c>
      <c r="K320" s="4">
        <v>26.09624863137675</v>
      </c>
      <c r="L320" s="19">
        <v>2.609624863137675E19</v>
      </c>
      <c r="M320" s="20">
        <v>2.609624863137675E18</v>
      </c>
    </row>
    <row r="321">
      <c r="A321" s="6"/>
      <c r="B321" s="6"/>
      <c r="C321" s="4"/>
      <c r="D321" s="4">
        <v>5.7009141737989495</v>
      </c>
      <c r="E321" s="4" t="s">
        <v>602</v>
      </c>
      <c r="F321" s="4"/>
      <c r="G321" s="4"/>
      <c r="H321" s="4"/>
      <c r="I321" s="4" t="str">
        <f>IFERROR(__xludf.DUMMYFUNCTION("""COMPUTED_VALUE"""),"0x9614eeed1edf87877678dcf6951ad2ecb35a7ea4")</f>
        <v>0x9614eeed1edf87877678dcf6951ad2ecb35a7ea4</v>
      </c>
      <c r="J321" s="18">
        <v>8.2885049965923</v>
      </c>
      <c r="K321" s="4">
        <v>103.60631245740375</v>
      </c>
      <c r="L321" s="19">
        <v>1.0360631245740374E20</v>
      </c>
      <c r="M321" s="20">
        <v>1.0360631245740374E19</v>
      </c>
    </row>
    <row r="322">
      <c r="A322" s="6"/>
      <c r="B322" s="6"/>
      <c r="C322" s="4"/>
      <c r="D322" s="4">
        <v>363.79376782724</v>
      </c>
      <c r="E322" s="4" t="s">
        <v>604</v>
      </c>
      <c r="F322" s="4"/>
      <c r="G322" s="4"/>
      <c r="H322" s="4"/>
      <c r="I322" s="4" t="str">
        <f>IFERROR(__xludf.DUMMYFUNCTION("""COMPUTED_VALUE"""),"0x79e821c178a47479b5ca6075a209b7c4d82a72eb")</f>
        <v>0x79e821c178a47479b5ca6075a209b7c4d82a72eb</v>
      </c>
      <c r="J322" s="18">
        <v>363.79376782724</v>
      </c>
      <c r="K322" s="4">
        <v>4547.4220978405</v>
      </c>
      <c r="L322" s="19">
        <v>4.5474220978405E21</v>
      </c>
      <c r="M322" s="20">
        <v>4.5474220978405E20</v>
      </c>
    </row>
    <row r="323">
      <c r="A323" s="6"/>
      <c r="B323" s="6"/>
      <c r="C323" s="4"/>
      <c r="D323" s="4">
        <v>7.40438293315776</v>
      </c>
      <c r="E323" s="4" t="s">
        <v>606</v>
      </c>
      <c r="F323" s="4"/>
      <c r="G323" s="4"/>
      <c r="H323" s="4"/>
      <c r="I323" s="4" t="str">
        <f>IFERROR(__xludf.DUMMYFUNCTION("""COMPUTED_VALUE"""),"0x6455471cbb3e09d355cecc2206d8a8319a6c5581")</f>
        <v>0x6455471cbb3e09d355cecc2206d8a8319a6c5581</v>
      </c>
      <c r="J323" s="18">
        <v>7.40438293315776</v>
      </c>
      <c r="K323" s="4">
        <v>92.554786664472</v>
      </c>
      <c r="L323" s="19">
        <v>9.2554786664472E19</v>
      </c>
      <c r="M323" s="20">
        <v>9.2554786664472E18</v>
      </c>
    </row>
    <row r="324">
      <c r="A324" s="6"/>
      <c r="B324" s="6"/>
      <c r="C324" s="4"/>
      <c r="D324" s="4">
        <v>6.96188602259841</v>
      </c>
      <c r="E324" s="4" t="s">
        <v>608</v>
      </c>
      <c r="F324" s="4"/>
      <c r="G324" s="4"/>
      <c r="H324" s="4"/>
      <c r="I324" s="4" t="str">
        <f>IFERROR(__xludf.DUMMYFUNCTION("""COMPUTED_VALUE"""),"0x1ec66cee24533add54055c0c496f40f8626d24bb")</f>
        <v>0x1ec66cee24533add54055c0c496f40f8626d24bb</v>
      </c>
      <c r="J324" s="18">
        <v>54.615644242251705</v>
      </c>
      <c r="K324" s="4">
        <v>682.6955530281463</v>
      </c>
      <c r="L324" s="19">
        <v>6.826955530281462E20</v>
      </c>
      <c r="M324" s="20">
        <v>6.826955530281462E19</v>
      </c>
    </row>
    <row r="325">
      <c r="A325" s="6"/>
      <c r="B325" s="6"/>
      <c r="C325" s="4"/>
      <c r="D325" s="4">
        <v>169.064975267851</v>
      </c>
      <c r="E325" s="4" t="s">
        <v>610</v>
      </c>
      <c r="F325" s="4"/>
      <c r="G325" s="4"/>
      <c r="H325" s="4"/>
      <c r="I325" s="4" t="str">
        <f>IFERROR(__xludf.DUMMYFUNCTION("""COMPUTED_VALUE"""),"0x0b70497633a9d7f73615c9b5021f4acc2f82a754")</f>
        <v>0x0b70497633a9d7f73615c9b5021f4acc2f82a754</v>
      </c>
      <c r="J325" s="18">
        <v>403.4410630749476</v>
      </c>
      <c r="K325" s="4">
        <v>5043.013288436845</v>
      </c>
      <c r="L325" s="19">
        <v>5.043013288436845E21</v>
      </c>
      <c r="M325" s="20">
        <v>5.043013288436845E20</v>
      </c>
    </row>
    <row r="326">
      <c r="A326" s="6"/>
      <c r="B326" s="6"/>
      <c r="C326" s="4"/>
      <c r="D326" s="4">
        <v>7.20991249581647</v>
      </c>
      <c r="E326" s="4" t="s">
        <v>612</v>
      </c>
      <c r="F326" s="4"/>
      <c r="G326" s="4"/>
      <c r="H326" s="4"/>
      <c r="I326" s="4" t="str">
        <f>IFERROR(__xludf.DUMMYFUNCTION("""COMPUTED_VALUE"""),"0x425075e222b01fb5fe68471900f587d754b964aa")</f>
        <v>0x425075e222b01fb5fe68471900f587d754b964aa</v>
      </c>
      <c r="J326" s="18">
        <v>7.20991249581647</v>
      </c>
      <c r="K326" s="4">
        <v>90.12390619770586</v>
      </c>
      <c r="L326" s="19">
        <v>9.012390619770587E19</v>
      </c>
      <c r="M326" s="20">
        <v>9.012390619770587E18</v>
      </c>
    </row>
    <row r="327">
      <c r="A327" s="6"/>
      <c r="B327" s="6"/>
      <c r="C327" s="4"/>
      <c r="D327" s="4">
        <v>531.612719179033</v>
      </c>
      <c r="E327" s="4" t="s">
        <v>613</v>
      </c>
      <c r="F327" s="4"/>
      <c r="G327" s="4"/>
      <c r="H327" s="4"/>
      <c r="I327" s="4" t="str">
        <f>IFERROR(__xludf.DUMMYFUNCTION("""COMPUTED_VALUE"""),"0x0eb8745407a211a718d6921691ceb99fb5ac9f48")</f>
        <v>0x0eb8745407a211a718d6921691ceb99fb5ac9f48</v>
      </c>
      <c r="J327" s="18">
        <v>765.9888069861296</v>
      </c>
      <c r="K327" s="4">
        <v>9574.86008732662</v>
      </c>
      <c r="L327" s="19">
        <v>9.57486008732662E21</v>
      </c>
      <c r="M327" s="20">
        <v>9.574860087326621E20</v>
      </c>
    </row>
    <row r="328">
      <c r="A328" s="6"/>
      <c r="B328" s="6"/>
      <c r="C328" s="4"/>
      <c r="D328" s="4">
        <v>35.3427083128258</v>
      </c>
      <c r="E328" s="4" t="s">
        <v>615</v>
      </c>
      <c r="F328" s="4"/>
      <c r="G328" s="4"/>
      <c r="H328" s="4"/>
      <c r="I328" s="4" t="str">
        <f>IFERROR(__xludf.DUMMYFUNCTION("""COMPUTED_VALUE"""),"0x34f585e9e99695a1e48b127e4a5055348def9d29")</f>
        <v>0x34f585e9e99695a1e48b127e4a5055348def9d29</v>
      </c>
      <c r="J328" s="18">
        <v>100.44689438545109</v>
      </c>
      <c r="K328" s="4">
        <v>1255.5861798181386</v>
      </c>
      <c r="L328" s="19">
        <v>1.2555861798181386E21</v>
      </c>
      <c r="M328" s="20">
        <v>1.2555861798181387E20</v>
      </c>
    </row>
    <row r="329">
      <c r="A329" s="6"/>
      <c r="B329" s="6"/>
      <c r="C329" s="4"/>
      <c r="D329" s="4">
        <v>0.583524325270736</v>
      </c>
      <c r="E329" s="4" t="s">
        <v>616</v>
      </c>
      <c r="F329" s="4"/>
      <c r="G329" s="4"/>
      <c r="H329" s="4"/>
      <c r="I329" s="4" t="str">
        <f>IFERROR(__xludf.DUMMYFUNCTION("""COMPUTED_VALUE"""),"0x82c81b7f10987be36257e897168bcfe2c300ac56")</f>
        <v>0x82c81b7f10987be36257e897168bcfe2c300ac56</v>
      </c>
      <c r="J329" s="18">
        <v>0.583524325270736</v>
      </c>
      <c r="K329" s="4">
        <v>7.2940540658842</v>
      </c>
      <c r="L329" s="19">
        <v>7.2940540658842E18</v>
      </c>
      <c r="M329" s="20">
        <v>7.294054065884201E17</v>
      </c>
    </row>
    <row r="330">
      <c r="A330" s="6"/>
      <c r="B330" s="6"/>
      <c r="C330" s="4"/>
      <c r="D330" s="4">
        <v>3.84011064036416</v>
      </c>
      <c r="E330" s="4" t="s">
        <v>618</v>
      </c>
      <c r="F330" s="4"/>
      <c r="G330" s="4"/>
      <c r="H330" s="4"/>
      <c r="I330" s="4" t="str">
        <f>IFERROR(__xludf.DUMMYFUNCTION("""COMPUTED_VALUE"""),"0x90019003e9d559d61bbb90daa1e79dea5d6ab368")</f>
        <v>0x90019003e9d559d61bbb90daa1e79dea5d6ab368</v>
      </c>
      <c r="J330" s="18">
        <v>3.84011064036416</v>
      </c>
      <c r="K330" s="4">
        <v>48.001383004552</v>
      </c>
      <c r="L330" s="19">
        <v>4.8001383004551995E19</v>
      </c>
      <c r="M330" s="20">
        <v>4.8001383004552E18</v>
      </c>
    </row>
    <row r="331">
      <c r="A331" s="6"/>
      <c r="B331" s="6"/>
      <c r="C331" s="4"/>
      <c r="D331" s="4">
        <v>0.301394828249144</v>
      </c>
      <c r="E331" s="4" t="s">
        <v>620</v>
      </c>
      <c r="F331" s="4"/>
      <c r="G331" s="4"/>
      <c r="H331" s="4"/>
      <c r="I331" s="4" t="str">
        <f>IFERROR(__xludf.DUMMYFUNCTION("""COMPUTED_VALUE"""),"0x4ffdd791745ca1b939c69c6edb78de488e1dafdb")</f>
        <v>0x4ffdd791745ca1b939c69c6edb78de488e1dafdb</v>
      </c>
      <c r="J331" s="18">
        <v>146.41170145741623</v>
      </c>
      <c r="K331" s="4">
        <v>1830.1462682177028</v>
      </c>
      <c r="L331" s="19">
        <v>1.830146268217703E21</v>
      </c>
      <c r="M331" s="20">
        <v>1.830146268217703E20</v>
      </c>
    </row>
    <row r="332">
      <c r="A332" s="6"/>
      <c r="B332" s="6"/>
      <c r="C332" s="4"/>
      <c r="D332" s="4">
        <v>35.469942062752</v>
      </c>
      <c r="E332" s="4" t="s">
        <v>622</v>
      </c>
      <c r="F332" s="4"/>
      <c r="G332" s="4"/>
      <c r="H332" s="4"/>
      <c r="I332" s="4" t="str">
        <f>IFERROR(__xludf.DUMMYFUNCTION("""COMPUTED_VALUE"""),"0x52ab9078e7cf1f6b940e5d331a6544f2f209ca04")</f>
        <v>0x52ab9078e7cf1f6b940e5d331a6544f2f209ca04</v>
      </c>
      <c r="J332" s="18">
        <v>35.469942062752</v>
      </c>
      <c r="K332" s="4">
        <v>443.37427578439997</v>
      </c>
      <c r="L332" s="19">
        <v>4.433742757844E20</v>
      </c>
      <c r="M332" s="20">
        <v>4.433742757844E19</v>
      </c>
    </row>
    <row r="333">
      <c r="A333" s="6"/>
      <c r="B333" s="6"/>
      <c r="C333" s="4"/>
      <c r="D333" s="4">
        <v>3.90197589087317</v>
      </c>
      <c r="E333" s="4" t="s">
        <v>624</v>
      </c>
      <c r="F333" s="4"/>
      <c r="G333" s="4"/>
      <c r="H333" s="4"/>
      <c r="I333" s="4" t="str">
        <f>IFERROR(__xludf.DUMMYFUNCTION("""COMPUTED_VALUE"""),"0x370f4d2c3672eed2e5c93dfba76eab9195e01dd8")</f>
        <v>0x370f4d2c3672eed2e5c93dfba76eab9195e01dd8</v>
      </c>
      <c r="J333" s="18">
        <v>3.90197589087317</v>
      </c>
      <c r="K333" s="4">
        <v>48.774698635914625</v>
      </c>
      <c r="L333" s="19">
        <v>4.8774698635914625E19</v>
      </c>
      <c r="M333" s="20">
        <v>4.877469863591463E18</v>
      </c>
    </row>
    <row r="334">
      <c r="A334" s="6"/>
      <c r="B334" s="6"/>
      <c r="C334" s="4"/>
      <c r="D334" s="4">
        <v>42.411249975391</v>
      </c>
      <c r="E334" s="4" t="s">
        <v>626</v>
      </c>
      <c r="F334" s="4"/>
      <c r="G334" s="4"/>
      <c r="H334" s="4"/>
      <c r="I334" s="4" t="str">
        <f>IFERROR(__xludf.DUMMYFUNCTION("""COMPUTED_VALUE"""),"0x41868a8e43bfd46f2db34bd38df81cf87e318cff")</f>
        <v>0x41868a8e43bfd46f2db34bd38df81cf87e318cff</v>
      </c>
      <c r="J334" s="18">
        <v>42.411249975391</v>
      </c>
      <c r="K334" s="4">
        <v>530.1406246923875</v>
      </c>
      <c r="L334" s="19">
        <v>5.301406246923875E20</v>
      </c>
      <c r="M334" s="20">
        <v>5.301406246923875E19</v>
      </c>
    </row>
    <row r="335">
      <c r="A335" s="6"/>
      <c r="B335" s="6"/>
      <c r="C335" s="4"/>
      <c r="D335" s="4">
        <v>19.328966542155502</v>
      </c>
      <c r="E335" s="4" t="s">
        <v>628</v>
      </c>
      <c r="F335" s="4"/>
      <c r="G335" s="4"/>
      <c r="H335" s="4"/>
      <c r="I335" s="4" t="str">
        <f>IFERROR(__xludf.DUMMYFUNCTION("""COMPUTED_VALUE"""),"0x3391be5c8112100f3ff79f3e8f27d3b70ead243d")</f>
        <v>0x3391be5c8112100f3ff79f3e8f27d3b70ead243d</v>
      </c>
      <c r="J335" s="18">
        <v>62.5185324449518</v>
      </c>
      <c r="K335" s="4">
        <v>781.4816555618975</v>
      </c>
      <c r="L335" s="19">
        <v>7.814816555618975E20</v>
      </c>
      <c r="M335" s="20">
        <v>7.814816555618976E19</v>
      </c>
    </row>
    <row r="336">
      <c r="A336" s="6"/>
      <c r="B336" s="6"/>
      <c r="C336" s="4"/>
      <c r="D336" s="4">
        <v>42.8311213501474</v>
      </c>
      <c r="E336" s="4" t="s">
        <v>630</v>
      </c>
      <c r="F336" s="4"/>
      <c r="G336" s="4"/>
      <c r="H336" s="4"/>
      <c r="I336" s="4" t="str">
        <f>IFERROR(__xludf.DUMMYFUNCTION("""COMPUTED_VALUE"""),"0xc5091c6b9d62fd9cecb3402c4e926f8aca25f696")</f>
        <v>0xc5091c6b9d62fd9cecb3402c4e926f8aca25f696</v>
      </c>
      <c r="J336" s="18">
        <v>42.8311213501474</v>
      </c>
      <c r="K336" s="4">
        <v>535.3890168768424</v>
      </c>
      <c r="L336" s="19">
        <v>5.353890168768424E20</v>
      </c>
      <c r="M336" s="20">
        <v>5.353890168768424E19</v>
      </c>
    </row>
    <row r="337">
      <c r="A337" s="6"/>
      <c r="B337" s="6"/>
      <c r="C337" s="4"/>
      <c r="D337" s="4">
        <v>61.6376832975682</v>
      </c>
      <c r="E337" s="4" t="s">
        <v>632</v>
      </c>
      <c r="F337" s="4"/>
      <c r="G337" s="4"/>
      <c r="H337" s="4"/>
      <c r="I337" s="4" t="str">
        <f>IFERROR(__xludf.DUMMYFUNCTION("""COMPUTED_VALUE"""),"0x022a625e05621b3acf63f298681cce74e6ee3243")</f>
        <v>0x022a625e05621b3acf63f298681cce74e6ee3243</v>
      </c>
      <c r="J337" s="18">
        <v>296.0137711046648</v>
      </c>
      <c r="K337" s="4">
        <v>3700.1721388083097</v>
      </c>
      <c r="L337" s="19">
        <v>3.7001721388083094E21</v>
      </c>
      <c r="M337" s="20">
        <v>3.70017213880831E20</v>
      </c>
    </row>
    <row r="338">
      <c r="A338" s="6"/>
      <c r="B338" s="6"/>
      <c r="C338" s="4"/>
      <c r="D338" s="4">
        <v>2.13117909926914</v>
      </c>
      <c r="E338" s="4" t="s">
        <v>634</v>
      </c>
      <c r="F338" s="4"/>
      <c r="G338" s="4"/>
      <c r="H338" s="4"/>
      <c r="I338" s="4" t="str">
        <f>IFERROR(__xludf.DUMMYFUNCTION("""COMPUTED_VALUE"""),"0x0eae04591c492c60d15c5aeb371a658ec13feb52")</f>
        <v>0x0eae04591c492c60d15c5aeb371a658ec13feb52</v>
      </c>
      <c r="J338" s="18">
        <v>151.32663649508726</v>
      </c>
      <c r="K338" s="4">
        <v>1891.5829561885907</v>
      </c>
      <c r="L338" s="19">
        <v>1.8915829561885907E21</v>
      </c>
      <c r="M338" s="20">
        <v>1.8915829561885907E20</v>
      </c>
    </row>
    <row r="339">
      <c r="A339" s="6"/>
      <c r="B339" s="6"/>
      <c r="C339" s="4"/>
      <c r="D339" s="4">
        <v>62.013595684288106</v>
      </c>
      <c r="E339" s="4" t="s">
        <v>636</v>
      </c>
      <c r="F339" s="4"/>
      <c r="G339" s="4"/>
      <c r="H339" s="4"/>
      <c r="I339" s="4" t="str">
        <f>IFERROR(__xludf.DUMMYFUNCTION("""COMPUTED_VALUE"""),"0x9dd561747b6f8b6b12217ed4e680d598f0ff9302")</f>
        <v>0x9dd561747b6f8b6b12217ed4e680d598f0ff9302</v>
      </c>
      <c r="J339" s="18">
        <v>110.3777232838847</v>
      </c>
      <c r="K339" s="4">
        <v>1379.7215410485587</v>
      </c>
      <c r="L339" s="19">
        <v>1.3797215410485587E21</v>
      </c>
      <c r="M339" s="20">
        <v>1.3797215410485587E20</v>
      </c>
    </row>
    <row r="340">
      <c r="A340" s="6"/>
      <c r="B340" s="6"/>
      <c r="C340" s="4"/>
      <c r="D340" s="4">
        <v>7.0685416625651705</v>
      </c>
      <c r="E340" s="4" t="s">
        <v>638</v>
      </c>
      <c r="F340" s="4"/>
      <c r="G340" s="4"/>
      <c r="H340" s="4"/>
      <c r="I340" s="4" t="str">
        <f>IFERROR(__xludf.DUMMYFUNCTION("""COMPUTED_VALUE"""),"0x079601a1a437c2a36a092f2d5477d64fc3ccdbb2")</f>
        <v>0x079601a1a437c2a36a092f2d5477d64fc3ccdbb2</v>
      </c>
      <c r="J340" s="18">
        <v>7.0685416625651705</v>
      </c>
      <c r="K340" s="4">
        <v>88.35677078206463</v>
      </c>
      <c r="L340" s="19">
        <v>8.835677078206462E19</v>
      </c>
      <c r="M340" s="20">
        <v>8.835677078206463E18</v>
      </c>
    </row>
    <row r="341">
      <c r="A341" s="6"/>
      <c r="B341" s="6"/>
      <c r="C341" s="4"/>
      <c r="D341" s="4">
        <v>14.566356852721102</v>
      </c>
      <c r="E341" s="4" t="s">
        <v>639</v>
      </c>
      <c r="F341" s="4"/>
      <c r="G341" s="4"/>
      <c r="H341" s="4"/>
      <c r="I341" s="4" t="str">
        <f>IFERROR(__xludf.DUMMYFUNCTION("""COMPUTED_VALUE"""),"0xe5aa64c6aef762ad352f9aaab17d2242a0777939")</f>
        <v>0xe5aa64c6aef762ad352f9aaab17d2242a0777939</v>
      </c>
      <c r="J341" s="18">
        <v>14.566356852721102</v>
      </c>
      <c r="K341" s="4">
        <v>182.07946065901376</v>
      </c>
      <c r="L341" s="19">
        <v>1.8207946065901375E20</v>
      </c>
      <c r="M341" s="20">
        <v>1.8207946065901375E19</v>
      </c>
    </row>
    <row r="342">
      <c r="A342" s="6"/>
      <c r="B342" s="6"/>
      <c r="C342" s="4"/>
      <c r="D342" s="4">
        <v>6.19617302622978</v>
      </c>
      <c r="E342" s="4" t="s">
        <v>641</v>
      </c>
      <c r="F342" s="4"/>
      <c r="G342" s="4"/>
      <c r="H342" s="4"/>
      <c r="I342" s="4" t="str">
        <f>IFERROR(__xludf.DUMMYFUNCTION("""COMPUTED_VALUE"""),"0x816d7b421e3f7f0bdd7c3d900b91f8adc142cedd")</f>
        <v>0x816d7b421e3f7f0bdd7c3d900b91f8adc142cedd</v>
      </c>
      <c r="J342" s="18">
        <v>6.19617302622978</v>
      </c>
      <c r="K342" s="4">
        <v>77.45216282787224</v>
      </c>
      <c r="L342" s="19">
        <v>7.745216282787224E19</v>
      </c>
      <c r="M342" s="20">
        <v>7.745216282787225E18</v>
      </c>
    </row>
    <row r="343">
      <c r="A343" s="6"/>
      <c r="B343" s="6"/>
      <c r="C343" s="4"/>
      <c r="D343" s="4">
        <v>9.66133294454096</v>
      </c>
      <c r="E343" s="4" t="s">
        <v>643</v>
      </c>
      <c r="F343" s="4"/>
      <c r="G343" s="4"/>
      <c r="H343" s="4"/>
      <c r="I343" s="4" t="str">
        <f>IFERROR(__xludf.DUMMYFUNCTION("""COMPUTED_VALUE"""),"0x38ebb35382281a3b434680c6f62b2702a978cd44")</f>
        <v>0x38ebb35382281a3b434680c6f62b2702a978cd44</v>
      </c>
      <c r="J343" s="18">
        <v>26.586536508494362</v>
      </c>
      <c r="K343" s="4">
        <v>332.3317063561795</v>
      </c>
      <c r="L343" s="19">
        <v>3.323317063561795E20</v>
      </c>
      <c r="M343" s="20">
        <v>3.3233170635617948E19</v>
      </c>
    </row>
    <row r="344">
      <c r="A344" s="6"/>
      <c r="B344" s="6"/>
      <c r="C344" s="4"/>
      <c r="D344" s="4">
        <v>1.3153190685835898</v>
      </c>
      <c r="E344" s="4" t="s">
        <v>645</v>
      </c>
      <c r="F344" s="4"/>
      <c r="G344" s="4"/>
      <c r="H344" s="4"/>
      <c r="I344" s="4" t="str">
        <f>IFERROR(__xludf.DUMMYFUNCTION("""COMPUTED_VALUE"""),"0xbf6ad28484f234a9e358aefc4cd610f6ad92f523")</f>
        <v>0xbf6ad28484f234a9e358aefc4cd610f6ad92f523</v>
      </c>
      <c r="J344" s="18">
        <v>235.69140687568017</v>
      </c>
      <c r="K344" s="4">
        <v>2946.142585946002</v>
      </c>
      <c r="L344" s="19">
        <v>2.946142585946002E21</v>
      </c>
      <c r="M344" s="20">
        <v>2.946142585946002E20</v>
      </c>
    </row>
    <row r="345">
      <c r="A345" s="6"/>
      <c r="B345" s="6"/>
      <c r="C345" s="4"/>
      <c r="D345" s="4">
        <v>2.52252491237929</v>
      </c>
      <c r="E345" s="4" t="s">
        <v>647</v>
      </c>
      <c r="F345" s="4"/>
      <c r="G345" s="4"/>
      <c r="H345" s="4"/>
      <c r="I345" s="4" t="str">
        <f>IFERROR(__xludf.DUMMYFUNCTION("""COMPUTED_VALUE"""),"0x6e04809e10f70eb65befc210da1674dab5bfbc75")</f>
        <v>0x6e04809e10f70eb65befc210da1674dab5bfbc75</v>
      </c>
      <c r="J345" s="18">
        <v>2.52252491237929</v>
      </c>
      <c r="K345" s="4">
        <v>31.531561404741126</v>
      </c>
      <c r="L345" s="19">
        <v>3.1531561404741124E19</v>
      </c>
      <c r="M345" s="20">
        <v>3.1531561404741125E18</v>
      </c>
    </row>
    <row r="346">
      <c r="A346" s="6"/>
      <c r="B346" s="6"/>
      <c r="C346" s="4"/>
      <c r="D346" s="4">
        <v>149.853083246381</v>
      </c>
      <c r="E346" s="4" t="s">
        <v>649</v>
      </c>
      <c r="F346" s="4"/>
      <c r="G346" s="4"/>
      <c r="H346" s="4"/>
      <c r="I346" s="4" t="str">
        <f>IFERROR(__xludf.DUMMYFUNCTION("""COMPUTED_VALUE"""),"0xf5fd30be8bb640df8556c60b54a30cd5f5cc071d")</f>
        <v>0xf5fd30be8bb640df8556c60b54a30cd5f5cc071d</v>
      </c>
      <c r="J346" s="18">
        <v>384.22917105347756</v>
      </c>
      <c r="K346" s="4">
        <v>4802.864638168469</v>
      </c>
      <c r="L346" s="19">
        <v>4.802864638168469E21</v>
      </c>
      <c r="M346" s="20">
        <v>4.8028646381684693E20</v>
      </c>
    </row>
    <row r="347">
      <c r="A347" s="6"/>
      <c r="B347" s="6"/>
      <c r="C347" s="4"/>
      <c r="D347" s="4">
        <v>14.2326125027261</v>
      </c>
      <c r="E347" s="4" t="s">
        <v>651</v>
      </c>
      <c r="F347" s="4"/>
      <c r="G347" s="4"/>
      <c r="H347" s="4"/>
      <c r="I347" s="4" t="str">
        <f>IFERROR(__xludf.DUMMYFUNCTION("""COMPUTED_VALUE"""),"0xe0cf619f6ae22e7aaccfca92886dd46c5dcca065")</f>
        <v>0xe0cf619f6ae22e7aaccfca92886dd46c5dcca065</v>
      </c>
      <c r="J347" s="18">
        <v>14.2326125027261</v>
      </c>
      <c r="K347" s="4">
        <v>177.90765628407624</v>
      </c>
      <c r="L347" s="19">
        <v>1.7790765628407624E20</v>
      </c>
      <c r="M347" s="20">
        <v>1.7790765628407626E19</v>
      </c>
    </row>
    <row r="348">
      <c r="A348" s="6"/>
      <c r="B348" s="6"/>
      <c r="C348" s="4"/>
      <c r="D348" s="4">
        <v>7.08683331221268</v>
      </c>
      <c r="E348" s="4" t="s">
        <v>653</v>
      </c>
      <c r="F348" s="4"/>
      <c r="G348" s="4"/>
      <c r="H348" s="4"/>
      <c r="I348" s="4" t="str">
        <f>IFERROR(__xludf.DUMMYFUNCTION("""COMPUTED_VALUE"""),"0x92cc5409e23b577cbf3c60601cd4341ba331e54d")</f>
        <v>0x92cc5409e23b577cbf3c60601cd4341ba331e54d</v>
      </c>
      <c r="J348" s="18">
        <v>7.08683331221268</v>
      </c>
      <c r="K348" s="4">
        <v>88.5854164026585</v>
      </c>
      <c r="L348" s="19">
        <v>8.85854164026585E19</v>
      </c>
      <c r="M348" s="20">
        <v>8.85854164026585E18</v>
      </c>
    </row>
    <row r="349">
      <c r="A349" s="6"/>
      <c r="B349" s="6"/>
      <c r="C349" s="4"/>
      <c r="D349" s="4">
        <v>68.16055029034669</v>
      </c>
      <c r="E349" s="4" t="s">
        <v>655</v>
      </c>
      <c r="F349" s="4"/>
      <c r="G349" s="4"/>
      <c r="H349" s="4"/>
      <c r="I349" s="4" t="str">
        <f>IFERROR(__xludf.DUMMYFUNCTION("""COMPUTED_VALUE"""),"0x783f5c16094b30d610cb5d2f2eb12a91a452eff0")</f>
        <v>0x783f5c16094b30d610cb5d2f2eb12a91a452eff0</v>
      </c>
      <c r="J349" s="18">
        <v>291.56193244520125</v>
      </c>
      <c r="K349" s="4">
        <v>3644.5241555650155</v>
      </c>
      <c r="L349" s="19">
        <v>3.6445241555650153E21</v>
      </c>
      <c r="M349" s="20">
        <v>3.644524155565016E20</v>
      </c>
    </row>
    <row r="350">
      <c r="A350" s="6"/>
      <c r="B350" s="6"/>
      <c r="C350" s="4"/>
      <c r="D350" s="4">
        <v>1.22546075727192</v>
      </c>
      <c r="E350" s="4" t="s">
        <v>657</v>
      </c>
      <c r="F350" s="4"/>
      <c r="G350" s="4"/>
      <c r="H350" s="4"/>
      <c r="I350" s="4" t="str">
        <f>IFERROR(__xludf.DUMMYFUNCTION("""COMPUTED_VALUE"""),"0x5f5246468af4a589623a1232951bbefb222a4a1b")</f>
        <v>0x5f5246468af4a589623a1232951bbefb222a4a1b</v>
      </c>
      <c r="J350" s="18">
        <v>43.38389789836002</v>
      </c>
      <c r="K350" s="4">
        <v>542.2987237295002</v>
      </c>
      <c r="L350" s="19">
        <v>5.422987237295002E20</v>
      </c>
      <c r="M350" s="20">
        <v>5.4229872372950024E19</v>
      </c>
    </row>
    <row r="351">
      <c r="A351" s="6"/>
      <c r="B351" s="6"/>
      <c r="C351" s="4"/>
      <c r="D351" s="4">
        <v>1.33000688443575</v>
      </c>
      <c r="E351" s="4" t="s">
        <v>659</v>
      </c>
      <c r="F351" s="4"/>
      <c r="G351" s="4"/>
      <c r="H351" s="4"/>
      <c r="I351" s="4" t="str">
        <f>IFERROR(__xludf.DUMMYFUNCTION("""COMPUTED_VALUE"""),"0x3324b75e74992e876a23b66e3265e5a79d5784cf")</f>
        <v>0x3324b75e74992e876a23b66e3265e5a79d5784cf</v>
      </c>
      <c r="J351" s="18">
        <v>1.33000688443575</v>
      </c>
      <c r="K351" s="4">
        <v>16.625086055446875</v>
      </c>
      <c r="L351" s="19">
        <v>1.6625086055446874E19</v>
      </c>
      <c r="M351" s="20">
        <v>1.6625086055446876E18</v>
      </c>
    </row>
    <row r="352">
      <c r="A352" s="6"/>
      <c r="B352" s="6"/>
      <c r="C352" s="4"/>
      <c r="D352" s="4">
        <v>7.0685416625651705</v>
      </c>
      <c r="E352" s="4" t="s">
        <v>661</v>
      </c>
      <c r="F352" s="4"/>
      <c r="G352" s="4"/>
      <c r="H352" s="4"/>
      <c r="I352" s="4" t="str">
        <f>IFERROR(__xludf.DUMMYFUNCTION("""COMPUTED_VALUE"""),"0xaa8e03b1ed158bea87a5f774de0b2816ae292520")</f>
        <v>0xaa8e03b1ed158bea87a5f774de0b2816ae292520</v>
      </c>
      <c r="J352" s="18">
        <v>241.44462946966175</v>
      </c>
      <c r="K352" s="4">
        <v>3018.0578683707718</v>
      </c>
      <c r="L352" s="19">
        <v>3.018057868370772E21</v>
      </c>
      <c r="M352" s="20">
        <v>3.018057868370772E20</v>
      </c>
    </row>
    <row r="353">
      <c r="A353" s="6"/>
      <c r="B353" s="6"/>
      <c r="C353" s="4"/>
      <c r="D353" s="4">
        <v>30.8124180877947</v>
      </c>
      <c r="E353" s="4" t="s">
        <v>662</v>
      </c>
      <c r="F353" s="4"/>
      <c r="G353" s="4"/>
      <c r="H353" s="4"/>
      <c r="I353" s="4" t="str">
        <f>IFERROR(__xludf.DUMMYFUNCTION("""COMPUTED_VALUE"""),"0xb6d6af966c83997e2d985c024ec6ac665cc52277")</f>
        <v>0xb6d6af966c83997e2d985c024ec6ac665cc52277</v>
      </c>
      <c r="J353" s="18">
        <v>265.18850589489125</v>
      </c>
      <c r="K353" s="4">
        <v>3314.8563236861405</v>
      </c>
      <c r="L353" s="19">
        <v>3.3148563236861405E21</v>
      </c>
      <c r="M353" s="20">
        <v>3.3148563236861405E20</v>
      </c>
    </row>
    <row r="354">
      <c r="A354" s="6"/>
      <c r="B354" s="6"/>
      <c r="C354" s="4"/>
      <c r="D354" s="4">
        <v>24.877786010948398</v>
      </c>
      <c r="E354" s="4" t="s">
        <v>664</v>
      </c>
      <c r="F354" s="4"/>
      <c r="G354" s="4"/>
      <c r="H354" s="4"/>
      <c r="I354" s="4" t="str">
        <f>IFERROR(__xludf.DUMMYFUNCTION("""COMPUTED_VALUE"""),"0x8e0fd6ab040360dd674dff0f0c24308b3b056499")</f>
        <v>0x8e0fd6ab040360dd674dff0f0c24308b3b056499</v>
      </c>
      <c r="J354" s="18">
        <v>31.45385570378915</v>
      </c>
      <c r="K354" s="4">
        <v>393.17319629736437</v>
      </c>
      <c r="L354" s="19">
        <v>3.931731962973644E20</v>
      </c>
      <c r="M354" s="20">
        <v>3.9317319629736436E19</v>
      </c>
    </row>
    <row r="355">
      <c r="A355" s="6"/>
      <c r="B355" s="6"/>
      <c r="C355" s="4"/>
      <c r="D355" s="4">
        <v>5.47950509838293</v>
      </c>
      <c r="E355" s="4" t="s">
        <v>666</v>
      </c>
      <c r="F355" s="4"/>
      <c r="G355" s="4"/>
      <c r="H355" s="4"/>
      <c r="I355" s="4" t="str">
        <f>IFERROR(__xludf.DUMMYFUNCTION("""COMPUTED_VALUE"""),"0xcbd156366e974840f7938266473c423a1737af27")</f>
        <v>0xcbd156366e974840f7938266473c423a1737af27</v>
      </c>
      <c r="J355" s="18">
        <v>5.47950509838293</v>
      </c>
      <c r="K355" s="4">
        <v>68.49381372978662</v>
      </c>
      <c r="L355" s="19">
        <v>6.849381372978663E19</v>
      </c>
      <c r="M355" s="20">
        <v>6.849381372978663E18</v>
      </c>
    </row>
    <row r="356">
      <c r="A356" s="6"/>
      <c r="B356" s="6"/>
      <c r="C356" s="4"/>
      <c r="D356" s="4">
        <v>0.0997210269304568</v>
      </c>
      <c r="E356" s="4" t="s">
        <v>668</v>
      </c>
      <c r="F356" s="4"/>
      <c r="G356" s="4"/>
      <c r="H356" s="4"/>
      <c r="I356" s="4" t="str">
        <f>IFERROR(__xludf.DUMMYFUNCTION("""COMPUTED_VALUE"""),"0xd1b85b544df78fb9b00d22c976ef5afafcec8d4d")</f>
        <v>0xd1b85b544df78fb9b00d22c976ef5afafcec8d4d</v>
      </c>
      <c r="J356" s="18">
        <v>0.0997210269304568</v>
      </c>
      <c r="K356" s="4">
        <v>1.2465128366307099</v>
      </c>
      <c r="L356" s="19">
        <v>1.2465128366307098E18</v>
      </c>
      <c r="M356" s="20">
        <v>1.2465128366307098E17</v>
      </c>
    </row>
    <row r="357">
      <c r="A357" s="6"/>
      <c r="B357" s="6"/>
      <c r="C357" s="4"/>
      <c r="D357" s="4">
        <v>7.0685416625651705</v>
      </c>
      <c r="E357" s="4" t="s">
        <v>670</v>
      </c>
      <c r="F357" s="4"/>
      <c r="G357" s="4"/>
      <c r="H357" s="4"/>
      <c r="I357" s="4" t="str">
        <f>IFERROR(__xludf.DUMMYFUNCTION("""COMPUTED_VALUE"""),"0x90e2bb9c5030e38ea1d4e3c46c81a9f1bf66e7f6")</f>
        <v>0x90e2bb9c5030e38ea1d4e3c46c81a9f1bf66e7f6</v>
      </c>
      <c r="J357" s="18">
        <v>7.0685416625651705</v>
      </c>
      <c r="K357" s="4">
        <v>88.35677078206463</v>
      </c>
      <c r="L357" s="19">
        <v>8.835677078206462E19</v>
      </c>
      <c r="M357" s="20">
        <v>8.835677078206463E18</v>
      </c>
    </row>
    <row r="358">
      <c r="A358" s="6"/>
      <c r="B358" s="6"/>
      <c r="C358" s="4"/>
      <c r="D358" s="4">
        <v>7.4981440468469405</v>
      </c>
      <c r="E358" s="4" t="s">
        <v>671</v>
      </c>
      <c r="F358" s="4"/>
      <c r="G358" s="4"/>
      <c r="H358" s="4"/>
      <c r="I358" s="4" t="str">
        <f>IFERROR(__xludf.DUMMYFUNCTION("""COMPUTED_VALUE"""),"0x42a0e6df1b0f302c29dd7ee19692640e1f93e7c3")</f>
        <v>0x42a0e6df1b0f302c29dd7ee19692640e1f93e7c3</v>
      </c>
      <c r="J358" s="18">
        <v>7.4981440468469405</v>
      </c>
      <c r="K358" s="4">
        <v>93.72680058558676</v>
      </c>
      <c r="L358" s="19">
        <v>9.372680058558675E19</v>
      </c>
      <c r="M358" s="20">
        <v>9.372680058558675E18</v>
      </c>
    </row>
    <row r="359">
      <c r="A359" s="6"/>
      <c r="B359" s="6"/>
      <c r="C359" s="4"/>
      <c r="D359" s="4">
        <v>82.86895729812039</v>
      </c>
      <c r="E359" s="4" t="s">
        <v>673</v>
      </c>
      <c r="F359" s="4"/>
      <c r="G359" s="4"/>
      <c r="H359" s="4"/>
      <c r="I359" s="4" t="str">
        <f>IFERROR(__xludf.DUMMYFUNCTION("""COMPUTED_VALUE"""),"0x1a1d8a4da8d4c67e13c7ab22ea403ba747943cd4")</f>
        <v>0x1a1d8a4da8d4c67e13c7ab22ea403ba747943cd4</v>
      </c>
      <c r="J359" s="18">
        <v>184.71763249364068</v>
      </c>
      <c r="K359" s="4">
        <v>2308.9704061705083</v>
      </c>
      <c r="L359" s="19">
        <v>2.3089704061705084E21</v>
      </c>
      <c r="M359" s="20">
        <v>2.3089704061705087E20</v>
      </c>
    </row>
    <row r="360">
      <c r="A360" s="6"/>
      <c r="B360" s="6"/>
      <c r="C360" s="4"/>
      <c r="D360" s="4">
        <v>228.680579568591</v>
      </c>
      <c r="E360" s="4" t="s">
        <v>675</v>
      </c>
      <c r="F360" s="4"/>
      <c r="G360" s="4"/>
      <c r="H360" s="4"/>
      <c r="I360" s="4" t="str">
        <f>IFERROR(__xludf.DUMMYFUNCTION("""COMPUTED_VALUE"""),"0x64b384e47d67b62d981aee727018e765a8540072")</f>
        <v>0x64b384e47d67b62d981aee727018e765a8540072</v>
      </c>
      <c r="J360" s="18">
        <v>449.84522884696855</v>
      </c>
      <c r="K360" s="4">
        <v>5623.065360587107</v>
      </c>
      <c r="L360" s="19">
        <v>5.623065360587107E21</v>
      </c>
      <c r="M360" s="20">
        <v>5.623065360587107E20</v>
      </c>
    </row>
    <row r="361">
      <c r="A361" s="6"/>
      <c r="B361" s="6"/>
      <c r="C361" s="4"/>
      <c r="D361" s="4">
        <v>1.29654687202944</v>
      </c>
      <c r="E361" s="4" t="s">
        <v>677</v>
      </c>
      <c r="F361" s="4"/>
      <c r="G361" s="4"/>
      <c r="H361" s="4"/>
      <c r="I361" s="4" t="str">
        <f>IFERROR(__xludf.DUMMYFUNCTION("""COMPUTED_VALUE"""),"0xfc6002cbc251cd082ab0ed1316ed1dad29776ebe")</f>
        <v>0xfc6002cbc251cd082ab0ed1316ed1dad29776ebe</v>
      </c>
      <c r="J361" s="18">
        <v>1.29654687202944</v>
      </c>
      <c r="K361" s="4">
        <v>16.206835900368</v>
      </c>
      <c r="L361" s="19">
        <v>1.6206835900368E19</v>
      </c>
      <c r="M361" s="20">
        <v>1.6206835900368E18</v>
      </c>
    </row>
    <row r="362">
      <c r="A362" s="6"/>
      <c r="B362" s="6"/>
      <c r="C362" s="4"/>
      <c r="D362" s="4">
        <v>49.9268027845954</v>
      </c>
      <c r="E362" s="4" t="s">
        <v>679</v>
      </c>
      <c r="F362" s="4"/>
      <c r="G362" s="4"/>
      <c r="H362" s="4"/>
      <c r="I362" s="4" t="str">
        <f>IFERROR(__xludf.DUMMYFUNCTION("""COMPUTED_VALUE"""),"0xe027eac99d78a793a04aa6aeb94ae7cf333ba147")</f>
        <v>0xe027eac99d78a793a04aa6aeb94ae7cf333ba147</v>
      </c>
      <c r="J362" s="18">
        <v>98.290930384192</v>
      </c>
      <c r="K362" s="4">
        <v>1228.6366298024</v>
      </c>
      <c r="L362" s="19">
        <v>1.2286366298024E21</v>
      </c>
      <c r="M362" s="20">
        <v>1.2286366298024002E20</v>
      </c>
    </row>
    <row r="363">
      <c r="A363" s="6"/>
      <c r="B363" s="6"/>
      <c r="C363" s="4"/>
      <c r="D363" s="4">
        <v>6.28016565669381</v>
      </c>
      <c r="E363" s="4" t="s">
        <v>681</v>
      </c>
      <c r="F363" s="4"/>
      <c r="G363" s="4"/>
      <c r="H363" s="4"/>
      <c r="I363" s="4" t="str">
        <f>IFERROR(__xludf.DUMMYFUNCTION("""COMPUTED_VALUE"""),"0x0f30c0a9175ca55b84c8d0c60e8e610df9385c7d")</f>
        <v>0x0f30c0a9175ca55b84c8d0c60e8e610df9385c7d</v>
      </c>
      <c r="J363" s="18">
        <v>31.795825822090908</v>
      </c>
      <c r="K363" s="4">
        <v>397.4478227761363</v>
      </c>
      <c r="L363" s="19">
        <v>3.974478227761363E20</v>
      </c>
      <c r="M363" s="20">
        <v>3.974478227761363E19</v>
      </c>
    </row>
    <row r="364">
      <c r="A364" s="6"/>
      <c r="B364" s="6"/>
      <c r="C364" s="4"/>
      <c r="D364" s="4">
        <v>2650.7031234619303</v>
      </c>
      <c r="E364" s="4" t="s">
        <v>683</v>
      </c>
      <c r="F364" s="4"/>
      <c r="G364" s="4"/>
      <c r="H364" s="4"/>
      <c r="I364" s="4" t="str">
        <f>IFERROR(__xludf.DUMMYFUNCTION("""COMPUTED_VALUE"""),"0x14d316262d575e7074491a5e95e69c1fee3e65c2")</f>
        <v>0x14d316262d575e7074491a5e95e69c1fee3e65c2</v>
      </c>
      <c r="J364" s="18">
        <v>2885.079211269027</v>
      </c>
      <c r="K364" s="4">
        <v>36063.490140862836</v>
      </c>
      <c r="L364" s="19">
        <v>3.6063490140862834E22</v>
      </c>
      <c r="M364" s="20">
        <v>3.6063490140862834E21</v>
      </c>
    </row>
    <row r="365">
      <c r="A365" s="6"/>
      <c r="B365" s="6"/>
      <c r="C365" s="4"/>
      <c r="D365" s="4">
        <v>619.617114768975</v>
      </c>
      <c r="E365" s="4" t="s">
        <v>685</v>
      </c>
      <c r="F365" s="4"/>
      <c r="G365" s="4"/>
      <c r="H365" s="4"/>
      <c r="I365" s="4" t="str">
        <f>IFERROR(__xludf.DUMMYFUNCTION("""COMPUTED_VALUE"""),"0xfea567b1989c3221d37434e273b0d85cbf8bacf8")</f>
        <v>0xfea567b1989c3221d37434e273b0d85cbf8bacf8</v>
      </c>
      <c r="J365" s="18">
        <v>619.617114768975</v>
      </c>
      <c r="K365" s="4">
        <v>7745.213934612187</v>
      </c>
      <c r="L365" s="19">
        <v>7.745213934612187E21</v>
      </c>
      <c r="M365" s="20">
        <v>7.745213934612188E20</v>
      </c>
    </row>
    <row r="366">
      <c r="A366" s="6"/>
      <c r="B366" s="6"/>
      <c r="C366" s="4"/>
      <c r="D366" s="4">
        <v>6.60546709278916</v>
      </c>
      <c r="E366" s="4" t="s">
        <v>687</v>
      </c>
      <c r="F366" s="4"/>
      <c r="G366" s="4"/>
      <c r="H366" s="4"/>
      <c r="I366" s="4" t="str">
        <f>IFERROR(__xludf.DUMMYFUNCTION("""COMPUTED_VALUE"""),"0x711352636f56f52c6d92eeac7392dd8463d27320")</f>
        <v>0x711352636f56f52c6d92eeac7392dd8463d27320</v>
      </c>
      <c r="J366" s="18">
        <v>6.60546709278916</v>
      </c>
      <c r="K366" s="4">
        <v>82.56833865986451</v>
      </c>
      <c r="L366" s="19">
        <v>8.256833865986451E19</v>
      </c>
      <c r="M366" s="20">
        <v>8.256833865986451E18</v>
      </c>
    </row>
    <row r="367">
      <c r="A367" s="6"/>
      <c r="B367" s="6"/>
      <c r="C367" s="4"/>
      <c r="D367" s="4">
        <v>14.1589383705454</v>
      </c>
      <c r="E367" s="4" t="s">
        <v>689</v>
      </c>
      <c r="F367" s="4"/>
      <c r="G367" s="4"/>
      <c r="H367" s="4"/>
      <c r="I367" s="4" t="str">
        <f>IFERROR(__xludf.DUMMYFUNCTION("""COMPUTED_VALUE"""),"0xc048b9190bcca91d3e740cc1aa682b4a50e7af52")</f>
        <v>0xc048b9190bcca91d3e740cc1aa682b4a50e7af52</v>
      </c>
      <c r="J367" s="18">
        <v>14.1589383705454</v>
      </c>
      <c r="K367" s="4">
        <v>176.9867296318175</v>
      </c>
      <c r="L367" s="19">
        <v>1.769867296318175E20</v>
      </c>
      <c r="M367" s="20">
        <v>1.769867296318175E19</v>
      </c>
    </row>
    <row r="368">
      <c r="A368" s="6"/>
      <c r="B368" s="6"/>
      <c r="C368" s="4"/>
      <c r="D368" s="4">
        <v>26.9351156157587</v>
      </c>
      <c r="E368" s="4" t="s">
        <v>691</v>
      </c>
      <c r="F368" s="4"/>
      <c r="G368" s="4"/>
      <c r="H368" s="4"/>
      <c r="I368" s="4" t="str">
        <f>IFERROR(__xludf.DUMMYFUNCTION("""COMPUTED_VALUE"""),"0x8a4d328a29fa61d23aef27e968981e2f8f7f18d3")</f>
        <v>0x8a4d328a29fa61d23aef27e968981e2f8f7f18d3</v>
      </c>
      <c r="J368" s="18">
        <v>26.9351156157587</v>
      </c>
      <c r="K368" s="4">
        <v>336.68894519698375</v>
      </c>
      <c r="L368" s="19">
        <v>3.366889451969838E20</v>
      </c>
      <c r="M368" s="20">
        <v>3.366889451969838E19</v>
      </c>
    </row>
    <row r="369">
      <c r="A369" s="6"/>
      <c r="B369" s="6"/>
      <c r="C369" s="4"/>
      <c r="D369" s="4">
        <v>6.30754189884287</v>
      </c>
      <c r="E369" s="4" t="s">
        <v>693</v>
      </c>
      <c r="F369" s="4"/>
      <c r="G369" s="4"/>
      <c r="H369" s="4"/>
      <c r="I369" s="4" t="str">
        <f>IFERROR(__xludf.DUMMYFUNCTION("""COMPUTED_VALUE"""),"0xa96c4007bdc9048726b1da6df8b319db00ccb05d")</f>
        <v>0xa96c4007bdc9048726b1da6df8b319db00ccb05d</v>
      </c>
      <c r="J369" s="18">
        <v>6.30754189884287</v>
      </c>
      <c r="K369" s="4">
        <v>78.84427373553588</v>
      </c>
      <c r="L369" s="19">
        <v>7.884427373553589E19</v>
      </c>
      <c r="M369" s="20">
        <v>7.884427373553589E18</v>
      </c>
    </row>
    <row r="370">
      <c r="A370" s="6"/>
      <c r="B370" s="6"/>
      <c r="C370" s="4"/>
      <c r="D370" s="4">
        <v>45.73647510278639</v>
      </c>
      <c r="E370" s="4" t="s">
        <v>695</v>
      </c>
      <c r="F370" s="4"/>
      <c r="G370" s="4"/>
      <c r="H370" s="4"/>
      <c r="I370" s="4" t="str">
        <f>IFERROR(__xludf.DUMMYFUNCTION("""COMPUTED_VALUE"""),"0x216b1e8dadad6bbdcf14ff837cdfa9227110cc50")</f>
        <v>0x216b1e8dadad6bbdcf14ff837cdfa9227110cc50</v>
      </c>
      <c r="J370" s="18">
        <v>45.73647510278639</v>
      </c>
      <c r="K370" s="4">
        <v>571.7059387848299</v>
      </c>
      <c r="L370" s="19">
        <v>5.717059387848299E20</v>
      </c>
      <c r="M370" s="20">
        <v>5.717059387848299E19</v>
      </c>
    </row>
    <row r="371">
      <c r="A371" s="6"/>
      <c r="B371" s="6"/>
      <c r="C371" s="4"/>
      <c r="D371" s="4">
        <v>7.19857276580045</v>
      </c>
      <c r="E371" s="4" t="s">
        <v>697</v>
      </c>
      <c r="F371" s="4"/>
      <c r="G371" s="4"/>
      <c r="H371" s="4"/>
      <c r="I371" s="4" t="str">
        <f>IFERROR(__xludf.DUMMYFUNCTION("""COMPUTED_VALUE"""),"0x309f978587672484df6c6d4ff514ac7b4bf1be50")</f>
        <v>0x309f978587672484df6c6d4ff514ac7b4bf1be50</v>
      </c>
      <c r="J371" s="18">
        <v>7.19857276580045</v>
      </c>
      <c r="K371" s="4">
        <v>89.98215957250562</v>
      </c>
      <c r="L371" s="19">
        <v>8.998215957250562E19</v>
      </c>
      <c r="M371" s="20">
        <v>8.998215957250563E18</v>
      </c>
    </row>
    <row r="372">
      <c r="A372" s="6"/>
      <c r="B372" s="6"/>
      <c r="C372" s="4"/>
      <c r="D372" s="4">
        <v>389.904482650893</v>
      </c>
      <c r="E372" s="4" t="s">
        <v>699</v>
      </c>
      <c r="F372" s="4"/>
      <c r="G372" s="4"/>
      <c r="H372" s="4"/>
      <c r="I372" s="4" t="str">
        <f>IFERROR(__xludf.DUMMYFUNCTION("""COMPUTED_VALUE"""),"0x95fcdfb381d13e1663ec0efa5b64cca851d34550")</f>
        <v>0x95fcdfb381d13e1663ec0efa5b64cca851d34550</v>
      </c>
      <c r="J372" s="18">
        <v>573.334714777253</v>
      </c>
      <c r="K372" s="4">
        <v>7166.683934715662</v>
      </c>
      <c r="L372" s="19">
        <v>7.166683934715662E21</v>
      </c>
      <c r="M372" s="20">
        <v>7.166683934715663E20</v>
      </c>
    </row>
    <row r="373">
      <c r="A373" s="6"/>
      <c r="B373" s="6"/>
      <c r="C373" s="4"/>
      <c r="D373" s="4">
        <v>43.213064098264205</v>
      </c>
      <c r="E373" s="4" t="s">
        <v>701</v>
      </c>
      <c r="F373" s="4"/>
      <c r="G373" s="4"/>
      <c r="H373" s="4"/>
      <c r="I373" s="4" t="str">
        <f>IFERROR(__xludf.DUMMYFUNCTION("""COMPUTED_VALUE"""),"0x6487a63db2be75c0c8a8a3c23ac6dfb532a7f765")</f>
        <v>0x6487a63db2be75c0c8a8a3c23ac6dfb532a7f765</v>
      </c>
      <c r="J373" s="18">
        <v>43.213064098264205</v>
      </c>
      <c r="K373" s="4">
        <v>540.1633012283025</v>
      </c>
      <c r="L373" s="19">
        <v>5.4016330122830257E20</v>
      </c>
      <c r="M373" s="20">
        <v>5.401633012283026E19</v>
      </c>
    </row>
    <row r="374">
      <c r="A374" s="6"/>
      <c r="B374" s="6"/>
      <c r="C374" s="4"/>
      <c r="D374" s="4">
        <v>7.0685416625651705</v>
      </c>
      <c r="E374" s="4" t="s">
        <v>703</v>
      </c>
      <c r="F374" s="4"/>
      <c r="G374" s="4"/>
      <c r="H374" s="4"/>
      <c r="I374" s="4" t="str">
        <f>IFERROR(__xludf.DUMMYFUNCTION("""COMPUTED_VALUE"""),"0xc888d999c8351dba892463b5901d94442a84bf57")</f>
        <v>0xc888d999c8351dba892463b5901d94442a84bf57</v>
      </c>
      <c r="J374" s="18">
        <v>7.0685416625651705</v>
      </c>
      <c r="K374" s="4">
        <v>88.35677078206463</v>
      </c>
      <c r="L374" s="19">
        <v>8.835677078206462E19</v>
      </c>
      <c r="M374" s="20">
        <v>8.835677078206463E18</v>
      </c>
    </row>
    <row r="375">
      <c r="A375" s="6"/>
      <c r="B375" s="6"/>
      <c r="C375" s="4"/>
      <c r="D375" s="4">
        <v>8.19877029125505</v>
      </c>
      <c r="E375" s="4" t="s">
        <v>704</v>
      </c>
      <c r="F375" s="4"/>
      <c r="G375" s="4"/>
      <c r="H375" s="4"/>
      <c r="I375" s="4" t="str">
        <f>IFERROR(__xludf.DUMMYFUNCTION("""COMPUTED_VALUE"""),"0x49e835a2d7517e6715fd7253b11e5d323e125ff5")</f>
        <v>0x49e835a2d7517e6715fd7253b11e5d323e125ff5</v>
      </c>
      <c r="J375" s="18">
        <v>56.56289789085165</v>
      </c>
      <c r="K375" s="4">
        <v>707.0362236356457</v>
      </c>
      <c r="L375" s="19">
        <v>7.070362236356457E20</v>
      </c>
      <c r="M375" s="20">
        <v>7.070362236356457E19</v>
      </c>
    </row>
    <row r="376">
      <c r="A376" s="6"/>
      <c r="B376" s="6"/>
      <c r="C376" s="4"/>
      <c r="D376" s="4">
        <v>1.8859585240385102</v>
      </c>
      <c r="E376" s="4" t="s">
        <v>706</v>
      </c>
      <c r="F376" s="4"/>
      <c r="G376" s="4"/>
      <c r="H376" s="4"/>
      <c r="I376" s="4" t="str">
        <f>IFERROR(__xludf.DUMMYFUNCTION("""COMPUTED_VALUE"""),"0x1a55d6683388a9e74db6c86b4744e3a6a2b23602")</f>
        <v>0x1a55d6683388a9e74db6c86b4744e3a6a2b23602</v>
      </c>
      <c r="J376" s="18">
        <v>1.8859585240385102</v>
      </c>
      <c r="K376" s="4">
        <v>23.574481550481377</v>
      </c>
      <c r="L376" s="19">
        <v>2.3574481550481375E19</v>
      </c>
      <c r="M376" s="20">
        <v>2.3574481550481377E18</v>
      </c>
    </row>
    <row r="377">
      <c r="A377" s="6"/>
      <c r="B377" s="6"/>
      <c r="C377" s="4"/>
      <c r="D377" s="4">
        <v>7.0685416625651705</v>
      </c>
      <c r="E377" s="4" t="s">
        <v>708</v>
      </c>
      <c r="F377" s="4"/>
      <c r="G377" s="4"/>
      <c r="H377" s="4"/>
      <c r="I377" s="4" t="str">
        <f>IFERROR(__xludf.DUMMYFUNCTION("""COMPUTED_VALUE"""),"0xc51a3f5d9f1d902db05699ee587903129e79d05c")</f>
        <v>0xc51a3f5d9f1d902db05699ee587903129e79d05c</v>
      </c>
      <c r="J377" s="18">
        <v>7.0685416625651705</v>
      </c>
      <c r="K377" s="4">
        <v>88.35677078206463</v>
      </c>
      <c r="L377" s="19">
        <v>8.835677078206462E19</v>
      </c>
      <c r="M377" s="20">
        <v>8.835677078206463E18</v>
      </c>
    </row>
    <row r="378">
      <c r="A378" s="6"/>
      <c r="B378" s="6"/>
      <c r="C378" s="4"/>
      <c r="D378" s="4">
        <v>7.0685416625651705</v>
      </c>
      <c r="E378" s="4" t="s">
        <v>709</v>
      </c>
      <c r="F378" s="4"/>
      <c r="G378" s="4"/>
      <c r="H378" s="4"/>
      <c r="I378" s="4" t="str">
        <f>IFERROR(__xludf.DUMMYFUNCTION("""COMPUTED_VALUE"""),"0xc18aa93025216cb20351bb8c4980e400cfed462b")</f>
        <v>0xc18aa93025216cb20351bb8c4980e400cfed462b</v>
      </c>
      <c r="J378" s="18">
        <v>7.0685416625651705</v>
      </c>
      <c r="K378" s="4">
        <v>88.35677078206463</v>
      </c>
      <c r="L378" s="19">
        <v>8.835677078206462E19</v>
      </c>
      <c r="M378" s="20">
        <v>8.835677078206463E18</v>
      </c>
    </row>
    <row r="379">
      <c r="A379" s="6"/>
      <c r="B379" s="6"/>
      <c r="C379" s="4"/>
      <c r="D379" s="4">
        <v>6.5058941960815595</v>
      </c>
      <c r="E379" s="4" t="s">
        <v>710</v>
      </c>
      <c r="F379" s="4"/>
      <c r="G379" s="4"/>
      <c r="H379" s="4"/>
      <c r="I379" s="4" t="str">
        <f>IFERROR(__xludf.DUMMYFUNCTION("""COMPUTED_VALUE"""),"0x976cf729c0d4521eed03309d67df6672249c9824")</f>
        <v>0x976cf729c0d4521eed03309d67df6672249c9824</v>
      </c>
      <c r="J379" s="18">
        <v>54.870021795678156</v>
      </c>
      <c r="K379" s="4">
        <v>685.875272445977</v>
      </c>
      <c r="L379" s="19">
        <v>6.85875272445977E20</v>
      </c>
      <c r="M379" s="20">
        <v>6.858752724459771E19</v>
      </c>
    </row>
    <row r="380">
      <c r="A380" s="6"/>
      <c r="B380" s="6"/>
      <c r="C380" s="4"/>
      <c r="D380" s="4">
        <v>6.2208689991727</v>
      </c>
      <c r="E380" s="4" t="s">
        <v>712</v>
      </c>
      <c r="F380" s="4"/>
      <c r="G380" s="4"/>
      <c r="H380" s="4"/>
      <c r="I380" s="4" t="str">
        <f>IFERROR(__xludf.DUMMYFUNCTION("""COMPUTED_VALUE"""),"0x2fd6d6c8a66ae756192e0f13a8c984375ea725db")</f>
        <v>0x2fd6d6c8a66ae756192e0f13a8c984375ea725db</v>
      </c>
      <c r="J380" s="18">
        <v>6.2208689991727</v>
      </c>
      <c r="K380" s="4">
        <v>77.76086248965875</v>
      </c>
      <c r="L380" s="19">
        <v>7.776086248965875E19</v>
      </c>
      <c r="M380" s="20">
        <v>7.776086248965876E18</v>
      </c>
    </row>
    <row r="381">
      <c r="A381" s="6"/>
      <c r="B381" s="6"/>
      <c r="C381" s="4"/>
      <c r="D381" s="4">
        <v>12.0165208263607</v>
      </c>
      <c r="E381" s="4" t="s">
        <v>714</v>
      </c>
      <c r="F381" s="4"/>
      <c r="G381" s="4"/>
      <c r="H381" s="4"/>
      <c r="I381" s="4" t="str">
        <f>IFERROR(__xludf.DUMMYFUNCTION("""COMPUTED_VALUE"""),"0xbf3ff025e545cba73ad99498803800d53b2db6af")</f>
        <v>0xbf3ff025e545cba73ad99498803800d53b2db6af</v>
      </c>
      <c r="J381" s="18">
        <v>12.0165208263607</v>
      </c>
      <c r="K381" s="4">
        <v>150.20651032950875</v>
      </c>
      <c r="L381" s="19">
        <v>1.5020651032950876E20</v>
      </c>
      <c r="M381" s="20">
        <v>1.5020651032950876E19</v>
      </c>
    </row>
    <row r="382">
      <c r="A382" s="6"/>
      <c r="B382" s="6"/>
      <c r="C382" s="4"/>
      <c r="D382" s="4">
        <v>6.9398701498981605</v>
      </c>
      <c r="E382" s="4" t="s">
        <v>716</v>
      </c>
      <c r="F382" s="4"/>
      <c r="G382" s="4"/>
      <c r="H382" s="4"/>
      <c r="I382" s="4" t="str">
        <f>IFERROR(__xludf.DUMMYFUNCTION("""COMPUTED_VALUE"""),"0x09d50ad5afd484c8bb425ecec16b0458e1d92eac")</f>
        <v>0x09d50ad5afd484c8bb425ecec16b0458e1d92eac</v>
      </c>
      <c r="J382" s="18">
        <v>6.9398701498981605</v>
      </c>
      <c r="K382" s="4">
        <v>86.74837687372701</v>
      </c>
      <c r="L382" s="19">
        <v>8.674837687372702E19</v>
      </c>
      <c r="M382" s="20">
        <v>8.674837687372702E18</v>
      </c>
    </row>
    <row r="383">
      <c r="A383" s="6"/>
      <c r="B383" s="6"/>
      <c r="C383" s="4"/>
      <c r="D383" s="4">
        <v>14.456430891007</v>
      </c>
      <c r="E383" s="4" t="s">
        <v>718</v>
      </c>
      <c r="F383" s="4"/>
      <c r="G383" s="4"/>
      <c r="H383" s="4"/>
      <c r="I383" s="4" t="str">
        <f>IFERROR(__xludf.DUMMYFUNCTION("""COMPUTED_VALUE"""),"0x3d72398e8ef210894db7208a46ec55fd92c350f4")</f>
        <v>0x3d72398e8ef210894db7208a46ec55fd92c350f4</v>
      </c>
      <c r="J383" s="18">
        <v>14.456430891007</v>
      </c>
      <c r="K383" s="4">
        <v>180.7053861375875</v>
      </c>
      <c r="L383" s="19">
        <v>1.807053861375875E20</v>
      </c>
      <c r="M383" s="20">
        <v>1.8070538613758753E19</v>
      </c>
    </row>
    <row r="384">
      <c r="A384" s="6"/>
      <c r="B384" s="6"/>
      <c r="C384" s="4"/>
      <c r="D384" s="4">
        <v>3.86317780494055</v>
      </c>
      <c r="E384" s="4" t="s">
        <v>720</v>
      </c>
      <c r="F384" s="4"/>
      <c r="G384" s="4"/>
      <c r="H384" s="4"/>
      <c r="I384" s="4" t="str">
        <f>IFERROR(__xludf.DUMMYFUNCTION("""COMPUTED_VALUE"""),"0xb5a16fbe2341691a808995948055b0450811f35a")</f>
        <v>0xb5a16fbe2341691a808995948055b0450811f35a</v>
      </c>
      <c r="J384" s="18">
        <v>3.86317780494055</v>
      </c>
      <c r="K384" s="4">
        <v>48.289722561756875</v>
      </c>
      <c r="L384" s="19">
        <v>4.828972256175687E19</v>
      </c>
      <c r="M384" s="20">
        <v>4.828972256175688E18</v>
      </c>
    </row>
    <row r="385">
      <c r="A385" s="6"/>
      <c r="B385" s="6"/>
      <c r="C385" s="4"/>
      <c r="D385" s="4">
        <v>107.740231749641</v>
      </c>
      <c r="E385" s="4" t="s">
        <v>722</v>
      </c>
      <c r="F385" s="4"/>
      <c r="G385" s="4"/>
      <c r="H385" s="4"/>
      <c r="I385" s="4" t="str">
        <f>IFERROR(__xludf.DUMMYFUNCTION("""COMPUTED_VALUE"""),"0xd4d00a14d2d3181dbebeaf062933d150e9bafb27")</f>
        <v>0xd4d00a14d2d3181dbebeaf062933d150e9bafb27</v>
      </c>
      <c r="J385" s="18">
        <v>342.1163195567376</v>
      </c>
      <c r="K385" s="4">
        <v>4276.45399445922</v>
      </c>
      <c r="L385" s="19">
        <v>4.2764539944592196E21</v>
      </c>
      <c r="M385" s="20">
        <v>4.27645399445922E20</v>
      </c>
    </row>
    <row r="386">
      <c r="A386" s="6"/>
      <c r="B386" s="6"/>
      <c r="C386" s="4"/>
      <c r="D386" s="4">
        <v>0.297508891385903</v>
      </c>
      <c r="E386" s="4" t="s">
        <v>724</v>
      </c>
      <c r="F386" s="4"/>
      <c r="G386" s="4"/>
      <c r="H386" s="4"/>
      <c r="I386" s="4" t="str">
        <f>IFERROR(__xludf.DUMMYFUNCTION("""COMPUTED_VALUE"""),"0xb918d6fab29ffcdbaa5d75e893c78bcdd1f08844")</f>
        <v>0xb918d6fab29ffcdbaa5d75e893c78bcdd1f08844</v>
      </c>
      <c r="J386" s="18">
        <v>122.68471084838899</v>
      </c>
      <c r="K386" s="4">
        <v>1533.5588856048623</v>
      </c>
      <c r="L386" s="19">
        <v>1.5335588856048622E21</v>
      </c>
      <c r="M386" s="20">
        <v>1.5335588856048622E20</v>
      </c>
    </row>
    <row r="387">
      <c r="A387" s="6"/>
      <c r="B387" s="6"/>
      <c r="C387" s="4"/>
      <c r="D387" s="4">
        <v>7.0685416625651705</v>
      </c>
      <c r="E387" s="4" t="s">
        <v>726</v>
      </c>
      <c r="F387" s="4"/>
      <c r="G387" s="4"/>
      <c r="H387" s="4"/>
      <c r="I387" s="4" t="str">
        <f>IFERROR(__xludf.DUMMYFUNCTION("""COMPUTED_VALUE"""),"0xd7f0ad1c4a8509c82c9b7a2853eba11ce5a5872a")</f>
        <v>0xd7f0ad1c4a8509c82c9b7a2853eba11ce5a5872a</v>
      </c>
      <c r="J387" s="18">
        <v>7.0685416625651705</v>
      </c>
      <c r="K387" s="4">
        <v>88.35677078206463</v>
      </c>
      <c r="L387" s="19">
        <v>8.835677078206462E19</v>
      </c>
      <c r="M387" s="20">
        <v>8.835677078206463E18</v>
      </c>
    </row>
    <row r="388">
      <c r="A388" s="6"/>
      <c r="B388" s="6"/>
      <c r="C388" s="4"/>
      <c r="D388" s="4">
        <v>7.095650389413099</v>
      </c>
      <c r="E388" s="4" t="s">
        <v>727</v>
      </c>
      <c r="F388" s="4"/>
      <c r="G388" s="4"/>
      <c r="H388" s="4"/>
      <c r="I388" s="4" t="str">
        <f>IFERROR(__xludf.DUMMYFUNCTION("""COMPUTED_VALUE"""),"0xc86fca1cec172c35135cf61973aeddeff59d6220")</f>
        <v>0xc86fca1cec172c35135cf61973aeddeff59d6220</v>
      </c>
      <c r="J388" s="18">
        <v>55.4597779890097</v>
      </c>
      <c r="K388" s="4">
        <v>693.2472248626212</v>
      </c>
      <c r="L388" s="19">
        <v>6.932472248626213E20</v>
      </c>
      <c r="M388" s="20">
        <v>6.932472248626214E19</v>
      </c>
    </row>
    <row r="389">
      <c r="A389" s="6"/>
      <c r="B389" s="6"/>
      <c r="C389" s="4"/>
      <c r="D389" s="4">
        <v>8.23667375309538</v>
      </c>
      <c r="E389" s="4" t="s">
        <v>729</v>
      </c>
      <c r="F389" s="4"/>
      <c r="G389" s="4"/>
      <c r="H389" s="4"/>
      <c r="I389" s="4" t="str">
        <f>IFERROR(__xludf.DUMMYFUNCTION("""COMPUTED_VALUE"""),"0x1a4579432838ddb609e3959850586a4310123e80")</f>
        <v>0x1a4579432838ddb609e3959850586a4310123e80</v>
      </c>
      <c r="J389" s="18">
        <v>8.23667375309538</v>
      </c>
      <c r="K389" s="4">
        <v>102.95842191369225</v>
      </c>
      <c r="L389" s="19">
        <v>1.0295842191369224E20</v>
      </c>
      <c r="M389" s="20">
        <v>1.0295842191369224E19</v>
      </c>
    </row>
    <row r="390">
      <c r="A390" s="6"/>
      <c r="B390" s="6"/>
      <c r="C390" s="4"/>
      <c r="D390" s="4">
        <v>7.1848351691655195</v>
      </c>
      <c r="E390" s="4" t="s">
        <v>731</v>
      </c>
      <c r="F390" s="4"/>
      <c r="G390" s="4"/>
      <c r="H390" s="4"/>
      <c r="I390" s="4" t="str">
        <f>IFERROR(__xludf.DUMMYFUNCTION("""COMPUTED_VALUE"""),"0x2b1e747fd93a52af8f9498bbfda7c288f539fe0d")</f>
        <v>0x2b1e747fd93a52af8f9498bbfda7c288f539fe0d</v>
      </c>
      <c r="J390" s="18">
        <v>7.1848351691655195</v>
      </c>
      <c r="K390" s="4">
        <v>89.81043961456899</v>
      </c>
      <c r="L390" s="19">
        <v>8.981043961456899E19</v>
      </c>
      <c r="M390" s="20">
        <v>8.981043961456899E18</v>
      </c>
    </row>
    <row r="391">
      <c r="A391" s="6"/>
      <c r="B391" s="6"/>
      <c r="C391" s="4"/>
      <c r="D391" s="4">
        <v>7.0685416625651705</v>
      </c>
      <c r="E391" s="4" t="s">
        <v>733</v>
      </c>
      <c r="F391" s="4"/>
      <c r="G391" s="4"/>
      <c r="H391" s="4"/>
      <c r="I391" s="4" t="str">
        <f>IFERROR(__xludf.DUMMYFUNCTION("""COMPUTED_VALUE"""),"0x10389227c4bc20d1ea1c634b4b2e55a6a0ae1c2b")</f>
        <v>0x10389227c4bc20d1ea1c634b4b2e55a6a0ae1c2b</v>
      </c>
      <c r="J391" s="18">
        <v>7.0685416625651705</v>
      </c>
      <c r="K391" s="4">
        <v>88.35677078206463</v>
      </c>
      <c r="L391" s="19">
        <v>8.835677078206462E19</v>
      </c>
      <c r="M391" s="20">
        <v>8.835677078206463E18</v>
      </c>
    </row>
    <row r="392">
      <c r="A392" s="6"/>
      <c r="B392" s="6"/>
      <c r="C392" s="4"/>
      <c r="D392" s="4">
        <v>36.163468283909395</v>
      </c>
      <c r="E392" s="4" t="s">
        <v>734</v>
      </c>
      <c r="F392" s="4"/>
      <c r="G392" s="4"/>
      <c r="H392" s="4"/>
      <c r="I392" s="4" t="str">
        <f>IFERROR(__xludf.DUMMYFUNCTION("""COMPUTED_VALUE"""),"0xe1a2da58329027591d43885457ed048d3092b515")</f>
        <v>0xe1a2da58329027591d43885457ed048d3092b515</v>
      </c>
      <c r="J392" s="18">
        <v>270.539556091006</v>
      </c>
      <c r="K392" s="4">
        <v>3381.7444511375747</v>
      </c>
      <c r="L392" s="19">
        <v>3.3817444511375745E21</v>
      </c>
      <c r="M392" s="20">
        <v>3.3817444511375747E20</v>
      </c>
    </row>
    <row r="393">
      <c r="A393" s="6"/>
      <c r="B393" s="6"/>
      <c r="C393" s="4"/>
      <c r="D393" s="4">
        <v>8.07653325766332</v>
      </c>
      <c r="E393" s="4" t="s">
        <v>736</v>
      </c>
      <c r="F393" s="4"/>
      <c r="G393" s="4"/>
      <c r="H393" s="4"/>
      <c r="I393" s="4" t="str">
        <f>IFERROR(__xludf.DUMMYFUNCTION("""COMPUTED_VALUE"""),"0xe953e98b21f112d70ddd1569ceaff63f6b666969")</f>
        <v>0xe953e98b21f112d70ddd1569ceaff63f6b666969</v>
      </c>
      <c r="J393" s="18">
        <v>8.07653325766332</v>
      </c>
      <c r="K393" s="4">
        <v>100.95666572079149</v>
      </c>
      <c r="L393" s="19">
        <v>1.009566657207915E20</v>
      </c>
      <c r="M393" s="20">
        <v>1.0095666572079151E19</v>
      </c>
    </row>
    <row r="394">
      <c r="A394" s="6"/>
      <c r="B394" s="6"/>
      <c r="C394" s="4"/>
      <c r="D394" s="4">
        <v>79.68934304579649</v>
      </c>
      <c r="E394" s="4" t="s">
        <v>738</v>
      </c>
      <c r="F394" s="4"/>
      <c r="G394" s="4"/>
      <c r="H394" s="4"/>
      <c r="I394" s="4" t="str">
        <f>IFERROR(__xludf.DUMMYFUNCTION("""COMPUTED_VALUE"""),"0xe35202f344f3c0ad113c52f3317e8f72b4dc0d59")</f>
        <v>0xe35202f344f3c0ad113c52f3317e8f72b4dc0d59</v>
      </c>
      <c r="J394" s="18">
        <v>79.68934304579649</v>
      </c>
      <c r="K394" s="4">
        <v>996.1167880724561</v>
      </c>
      <c r="L394" s="19">
        <v>9.961167880724561E20</v>
      </c>
      <c r="M394" s="20">
        <v>9.961167880724562E19</v>
      </c>
    </row>
    <row r="395">
      <c r="A395" s="6"/>
      <c r="B395" s="6"/>
      <c r="C395" s="4"/>
      <c r="D395" s="4">
        <v>7.443770655043051</v>
      </c>
      <c r="E395" s="4" t="s">
        <v>740</v>
      </c>
      <c r="F395" s="4"/>
      <c r="G395" s="4"/>
      <c r="H395" s="4"/>
      <c r="I395" s="4" t="str">
        <f>IFERROR(__xludf.DUMMYFUNCTION("""COMPUTED_VALUE"""),"0x40e130041dd70193a536e930092023f0025b44d0")</f>
        <v>0x40e130041dd70193a536e930092023f0025b44d0</v>
      </c>
      <c r="J395" s="18">
        <v>7.443770655043051</v>
      </c>
      <c r="K395" s="4">
        <v>93.04713318803813</v>
      </c>
      <c r="L395" s="19">
        <v>9.304713318803813E19</v>
      </c>
      <c r="M395" s="20">
        <v>9.304713318803814E18</v>
      </c>
    </row>
    <row r="396">
      <c r="A396" s="6"/>
      <c r="B396" s="6"/>
      <c r="C396" s="4"/>
      <c r="D396" s="4">
        <v>204.29425051857402</v>
      </c>
      <c r="E396" s="4" t="s">
        <v>742</v>
      </c>
      <c r="F396" s="4"/>
      <c r="G396" s="4"/>
      <c r="H396" s="4"/>
      <c r="I396" s="4" t="str">
        <f>IFERROR(__xludf.DUMMYFUNCTION("""COMPUTED_VALUE"""),"0x5b191f5a2b4a867c4ed71858daccc51fc59c69c0")</f>
        <v>0x5b191f5a2b4a867c4ed71858daccc51fc59c69c0</v>
      </c>
      <c r="J396" s="18">
        <v>438.6703383256706</v>
      </c>
      <c r="K396" s="4">
        <v>5483.3792290708825</v>
      </c>
      <c r="L396" s="19">
        <v>5.483379229070883E21</v>
      </c>
      <c r="M396" s="20">
        <v>5.483379229070883E20</v>
      </c>
    </row>
    <row r="397">
      <c r="A397" s="6"/>
      <c r="B397" s="6"/>
      <c r="C397" s="4"/>
      <c r="D397" s="4">
        <v>14.1370833251303</v>
      </c>
      <c r="E397" s="4" t="s">
        <v>744</v>
      </c>
      <c r="F397" s="4"/>
      <c r="G397" s="4"/>
      <c r="H397" s="4"/>
      <c r="I397" s="4" t="str">
        <f>IFERROR(__xludf.DUMMYFUNCTION("""COMPUTED_VALUE"""),"0x6cf9380f5e1a38e3b4c5101c1aa0211603fec13f")</f>
        <v>0x6cf9380f5e1a38e3b4c5101c1aa0211603fec13f</v>
      </c>
      <c r="J397" s="18">
        <v>62.5012109247269</v>
      </c>
      <c r="K397" s="4">
        <v>781.2651365590862</v>
      </c>
      <c r="L397" s="19">
        <v>7.812651365590861E20</v>
      </c>
      <c r="M397" s="20">
        <v>7.812651365590861E19</v>
      </c>
    </row>
    <row r="398">
      <c r="A398" s="6"/>
      <c r="B398" s="6"/>
      <c r="C398" s="4"/>
      <c r="D398" s="4">
        <v>13.1388898255861</v>
      </c>
      <c r="E398" s="4" t="s">
        <v>745</v>
      </c>
      <c r="F398" s="4"/>
      <c r="G398" s="4"/>
      <c r="H398" s="4"/>
      <c r="I398" s="4" t="str">
        <f>IFERROR(__xludf.DUMMYFUNCTION("""COMPUTED_VALUE"""),"0xcde87c9eb0e1f69c9afced3bd2154a4b92fe22c3")</f>
        <v>0xcde87c9eb0e1f69c9afced3bd2154a4b92fe22c3</v>
      </c>
      <c r="J398" s="18">
        <v>13.1388898255861</v>
      </c>
      <c r="K398" s="4">
        <v>164.23612281982625</v>
      </c>
      <c r="L398" s="19">
        <v>1.6423612281982625E20</v>
      </c>
      <c r="M398" s="20">
        <v>1.6423612281982626E19</v>
      </c>
    </row>
    <row r="399">
      <c r="A399" s="6"/>
      <c r="B399" s="6"/>
      <c r="C399" s="4"/>
      <c r="D399" s="4">
        <v>35.6053868481017</v>
      </c>
      <c r="E399" s="4" t="s">
        <v>747</v>
      </c>
      <c r="F399" s="4"/>
      <c r="G399" s="4"/>
      <c r="H399" s="4"/>
      <c r="I399" s="4" t="str">
        <f>IFERROR(__xludf.DUMMYFUNCTION("""COMPUTED_VALUE"""),"0xc48c6cc2ccff9fc3c4a95910cf5c722ba01e0a48")</f>
        <v>0xc48c6cc2ccff9fc3c4a95910cf5c722ba01e0a48</v>
      </c>
      <c r="J399" s="18">
        <v>83.9695144476983</v>
      </c>
      <c r="K399" s="4">
        <v>1049.6189305962287</v>
      </c>
      <c r="L399" s="19">
        <v>1.0496189305962286E21</v>
      </c>
      <c r="M399" s="20">
        <v>1.0496189305962286E20</v>
      </c>
    </row>
    <row r="400">
      <c r="A400" s="6"/>
      <c r="B400" s="6"/>
      <c r="C400" s="4"/>
      <c r="D400" s="4">
        <v>141.370833251303</v>
      </c>
      <c r="E400" s="4" t="s">
        <v>749</v>
      </c>
      <c r="F400" s="4"/>
      <c r="G400" s="4"/>
      <c r="H400" s="4"/>
      <c r="I400" s="4" t="str">
        <f>IFERROR(__xludf.DUMMYFUNCTION("""COMPUTED_VALUE"""),"0xf7dcd7cdb4c883d9aa05495c6ccb03abd2dd1b7c")</f>
        <v>0xf7dcd7cdb4c883d9aa05495c6ccb03abd2dd1b7c</v>
      </c>
      <c r="J400" s="18">
        <v>375.7469210583996</v>
      </c>
      <c r="K400" s="4">
        <v>4696.836513229995</v>
      </c>
      <c r="L400" s="19">
        <v>4.696836513229995E21</v>
      </c>
      <c r="M400" s="20">
        <v>4.6968365132299954E20</v>
      </c>
    </row>
    <row r="401">
      <c r="A401" s="6"/>
      <c r="B401" s="6"/>
      <c r="C401" s="4"/>
      <c r="D401" s="4">
        <v>112.802892300992</v>
      </c>
      <c r="E401" s="4" t="s">
        <v>751</v>
      </c>
      <c r="F401" s="4"/>
      <c r="G401" s="4"/>
      <c r="H401" s="4"/>
      <c r="I401" s="4" t="str">
        <f>IFERROR(__xludf.DUMMYFUNCTION("""COMPUTED_VALUE"""),"0xe89546063d995dfc96d719e4ff533e82a02dbb88")</f>
        <v>0xe89546063d995dfc96d719e4ff533e82a02dbb88</v>
      </c>
      <c r="J401" s="18">
        <v>347.1789801080886</v>
      </c>
      <c r="K401" s="4">
        <v>4339.737251351107</v>
      </c>
      <c r="L401" s="19">
        <v>4.339737251351107E21</v>
      </c>
      <c r="M401" s="20">
        <v>4.3397372513511073E20</v>
      </c>
    </row>
    <row r="402">
      <c r="A402" s="6"/>
      <c r="B402" s="6"/>
      <c r="C402" s="4"/>
      <c r="D402" s="4">
        <v>20.5211172066985</v>
      </c>
      <c r="E402" s="4" t="s">
        <v>753</v>
      </c>
      <c r="F402" s="4"/>
      <c r="G402" s="4"/>
      <c r="H402" s="4"/>
      <c r="I402" s="4" t="str">
        <f>IFERROR(__xludf.DUMMYFUNCTION("""COMPUTED_VALUE"""),"0xa118531dc5071f8449261a684dec12b1a875e67e")</f>
        <v>0xa118531dc5071f8449261a684dec12b1a875e67e</v>
      </c>
      <c r="J402" s="18">
        <v>254.8972050137951</v>
      </c>
      <c r="K402" s="4">
        <v>3186.2150626724383</v>
      </c>
      <c r="L402" s="19">
        <v>3.186215062672438E21</v>
      </c>
      <c r="M402" s="20">
        <v>3.186215062672438E20</v>
      </c>
    </row>
    <row r="403">
      <c r="A403" s="6"/>
      <c r="B403" s="6"/>
      <c r="C403" s="4"/>
      <c r="D403" s="4">
        <v>2.86936371576371</v>
      </c>
      <c r="E403" s="4" t="s">
        <v>755</v>
      </c>
      <c r="F403" s="4"/>
      <c r="G403" s="4"/>
      <c r="H403" s="4"/>
      <c r="I403" s="4" t="str">
        <f>IFERROR(__xludf.DUMMYFUNCTION("""COMPUTED_VALUE"""),"0x6c4ee7dc42a65e8f8dd3b9be9b8c85ffbe36c4e5")</f>
        <v>0x6c4ee7dc42a65e8f8dd3b9be9b8c85ffbe36c4e5</v>
      </c>
      <c r="J403" s="18">
        <v>2.86936371576371</v>
      </c>
      <c r="K403" s="4">
        <v>35.86704644704638</v>
      </c>
      <c r="L403" s="19">
        <v>3.5867046447046377E19</v>
      </c>
      <c r="M403" s="20">
        <v>3.586704644704638E18</v>
      </c>
    </row>
    <row r="404">
      <c r="A404" s="6"/>
      <c r="B404" s="6"/>
      <c r="C404" s="4"/>
      <c r="D404" s="4">
        <v>3.08109716130622</v>
      </c>
      <c r="E404" s="4" t="s">
        <v>757</v>
      </c>
      <c r="F404" s="4"/>
      <c r="G404" s="4"/>
      <c r="H404" s="4"/>
      <c r="I404" s="4" t="str">
        <f>IFERROR(__xludf.DUMMYFUNCTION("""COMPUTED_VALUE"""),"0xbc08ac3116fbf90541f9658ac794830695060935")</f>
        <v>0xbc08ac3116fbf90541f9658ac794830695060935</v>
      </c>
      <c r="J404" s="18">
        <v>3.08109716130622</v>
      </c>
      <c r="K404" s="4">
        <v>38.51371451632775</v>
      </c>
      <c r="L404" s="19">
        <v>3.851371451632775E19</v>
      </c>
      <c r="M404" s="20">
        <v>3.851371451632775E18</v>
      </c>
    </row>
    <row r="405">
      <c r="A405" s="6"/>
      <c r="B405" s="6"/>
      <c r="C405" s="4"/>
      <c r="D405" s="4">
        <v>36.0495624790823</v>
      </c>
      <c r="E405" s="4" t="s">
        <v>759</v>
      </c>
      <c r="F405" s="4"/>
      <c r="G405" s="4"/>
      <c r="H405" s="4"/>
      <c r="I405" s="4" t="str">
        <f>IFERROR(__xludf.DUMMYFUNCTION("""COMPUTED_VALUE"""),"0x32326398d8fbea240345abd13a6fd65153fce56b")</f>
        <v>0x32326398d8fbea240345abd13a6fd65153fce56b</v>
      </c>
      <c r="J405" s="18">
        <v>36.0495624790823</v>
      </c>
      <c r="K405" s="4">
        <v>450.6195309885287</v>
      </c>
      <c r="L405" s="19">
        <v>4.506195309885287E20</v>
      </c>
      <c r="M405" s="20">
        <v>4.506195309885288E19</v>
      </c>
    </row>
    <row r="406">
      <c r="A406" s="6"/>
      <c r="B406" s="6"/>
      <c r="C406" s="4"/>
      <c r="D406" s="4">
        <v>376.26853315478803</v>
      </c>
      <c r="E406" s="4" t="s">
        <v>761</v>
      </c>
      <c r="F406" s="4"/>
      <c r="G406" s="4"/>
      <c r="H406" s="4"/>
      <c r="I406" s="4" t="str">
        <f>IFERROR(__xludf.DUMMYFUNCTION("""COMPUTED_VALUE"""),"0x1533e20c4a9acd54ba03f027f2ab7b28ceba7b97")</f>
        <v>0x1533e20c4a9acd54ba03f027f2ab7b28ceba7b97</v>
      </c>
      <c r="J406" s="18">
        <v>610.6446209618846</v>
      </c>
      <c r="K406" s="4">
        <v>7633.057762023557</v>
      </c>
      <c r="L406" s="19">
        <v>7.633057762023557E21</v>
      </c>
      <c r="M406" s="20">
        <v>7.633057762023557E20</v>
      </c>
    </row>
    <row r="407">
      <c r="A407" s="6"/>
      <c r="B407" s="6"/>
      <c r="C407" s="4"/>
      <c r="D407" s="4">
        <v>8.4822499950782</v>
      </c>
      <c r="E407" s="4" t="s">
        <v>763</v>
      </c>
      <c r="F407" s="4"/>
      <c r="G407" s="4"/>
      <c r="H407" s="4"/>
      <c r="I407" s="4" t="str">
        <f>IFERROR(__xludf.DUMMYFUNCTION("""COMPUTED_VALUE"""),"0x386f823853c3500acfc4ed6e3c72123f222e88c7")</f>
        <v>0x386f823853c3500acfc4ed6e3c72123f222e88c7</v>
      </c>
      <c r="J407" s="18">
        <v>56.8463775946748</v>
      </c>
      <c r="K407" s="4">
        <v>710.579719933435</v>
      </c>
      <c r="L407" s="19">
        <v>7.105797199334349E20</v>
      </c>
      <c r="M407" s="20">
        <v>7.105797199334349E19</v>
      </c>
    </row>
    <row r="408">
      <c r="A408" s="6"/>
      <c r="B408" s="6"/>
      <c r="C408" s="4"/>
      <c r="D408" s="4">
        <v>7.24574186643696</v>
      </c>
      <c r="E408" s="4" t="s">
        <v>764</v>
      </c>
      <c r="F408" s="4"/>
      <c r="G408" s="4"/>
      <c r="H408" s="4"/>
      <c r="I408" s="4" t="str">
        <f>IFERROR(__xludf.DUMMYFUNCTION("""COMPUTED_VALUE"""),"0xce93fc7b9cd514eb57a85512be7c41a7c13beb6c")</f>
        <v>0xce93fc7b9cd514eb57a85512be7c41a7c13beb6c</v>
      </c>
      <c r="J408" s="18">
        <v>7.24574186643696</v>
      </c>
      <c r="K408" s="4">
        <v>90.571773330462</v>
      </c>
      <c r="L408" s="19">
        <v>9.0571773330462E19</v>
      </c>
      <c r="M408" s="20">
        <v>9.0571773330462E18</v>
      </c>
    </row>
    <row r="409">
      <c r="A409" s="6"/>
      <c r="B409" s="6"/>
      <c r="C409" s="4"/>
      <c r="D409" s="4">
        <v>28.720617915452802</v>
      </c>
      <c r="E409" s="4" t="s">
        <v>766</v>
      </c>
      <c r="F409" s="4"/>
      <c r="G409" s="4"/>
      <c r="H409" s="4"/>
      <c r="I409" s="4" t="str">
        <f>IFERROR(__xludf.DUMMYFUNCTION("""COMPUTED_VALUE"""),"0x1fc13d70932d2276f575e46d808211f666dd5f00")</f>
        <v>0x1fc13d70932d2276f575e46d808211f666dd5f00</v>
      </c>
      <c r="J409" s="18">
        <v>28.720617915452802</v>
      </c>
      <c r="K409" s="4">
        <v>359.00772394316004</v>
      </c>
      <c r="L409" s="19">
        <v>3.5900772394316005E20</v>
      </c>
      <c r="M409" s="20">
        <v>3.5900772394316005E19</v>
      </c>
    </row>
    <row r="410">
      <c r="A410" s="6"/>
      <c r="B410" s="6"/>
      <c r="C410" s="4"/>
      <c r="D410" s="4">
        <v>7.0685416625651705</v>
      </c>
      <c r="E410" s="4" t="s">
        <v>768</v>
      </c>
      <c r="F410" s="4"/>
      <c r="G410" s="4"/>
      <c r="H410" s="4"/>
      <c r="I410" s="4" t="str">
        <f>IFERROR(__xludf.DUMMYFUNCTION("""COMPUTED_VALUE"""),"0x2d8b113d44d9a55d0c6a0f90a46b3bdb1ee373e6")</f>
        <v>0x2d8b113d44d9a55d0c6a0f90a46b3bdb1ee373e6</v>
      </c>
      <c r="J410" s="18">
        <v>7.0685416625651705</v>
      </c>
      <c r="K410" s="4">
        <v>88.35677078206463</v>
      </c>
      <c r="L410" s="19">
        <v>8.835677078206462E19</v>
      </c>
      <c r="M410" s="20">
        <v>8.835677078206463E18</v>
      </c>
    </row>
    <row r="411">
      <c r="A411" s="6"/>
      <c r="B411" s="6"/>
      <c r="C411" s="4"/>
      <c r="D411" s="4">
        <v>6.59436818505336</v>
      </c>
      <c r="E411" s="4" t="s">
        <v>769</v>
      </c>
      <c r="F411" s="4"/>
      <c r="G411" s="4"/>
      <c r="H411" s="4"/>
      <c r="I411" s="4" t="str">
        <f>IFERROR(__xludf.DUMMYFUNCTION("""COMPUTED_VALUE"""),"0xbbf5e7a89740a7022017fa8d5541cb89d144406c")</f>
        <v>0xbbf5e7a89740a7022017fa8d5541cb89d144406c</v>
      </c>
      <c r="J411" s="18">
        <v>6.59436818505336</v>
      </c>
      <c r="K411" s="4">
        <v>82.42960231316701</v>
      </c>
      <c r="L411" s="19">
        <v>8.242960231316701E19</v>
      </c>
      <c r="M411" s="20">
        <v>8.242960231316701E18</v>
      </c>
    </row>
    <row r="412">
      <c r="A412" s="6"/>
      <c r="B412" s="6"/>
      <c r="C412" s="4"/>
      <c r="D412" s="4">
        <v>2.8241419378971404</v>
      </c>
      <c r="E412" s="4" t="s">
        <v>771</v>
      </c>
      <c r="F412" s="4"/>
      <c r="G412" s="4"/>
      <c r="H412" s="4"/>
      <c r="I412" s="4" t="str">
        <f>IFERROR(__xludf.DUMMYFUNCTION("""COMPUTED_VALUE"""),"0x06fad7af167cb26285e40516817c32ffb27e66de")</f>
        <v>0x06fad7af167cb26285e40516817c32ffb27e66de</v>
      </c>
      <c r="J412" s="18">
        <v>2.8241419378971404</v>
      </c>
      <c r="K412" s="4">
        <v>35.301774223714254</v>
      </c>
      <c r="L412" s="19">
        <v>3.5301774223714255E19</v>
      </c>
      <c r="M412" s="20">
        <v>3.530177422371426E18</v>
      </c>
    </row>
    <row r="413">
      <c r="A413" s="6"/>
      <c r="B413" s="6"/>
      <c r="C413" s="4"/>
      <c r="D413" s="4">
        <v>7.29066733122703</v>
      </c>
      <c r="E413" s="4" t="s">
        <v>773</v>
      </c>
      <c r="F413" s="4"/>
      <c r="G413" s="4"/>
      <c r="H413" s="4"/>
      <c r="I413" s="4" t="str">
        <f>IFERROR(__xludf.DUMMYFUNCTION("""COMPUTED_VALUE"""),"0x71d6c03cf9a9cbe383daa9d921c66698d81fc505")</f>
        <v>0x71d6c03cf9a9cbe383daa9d921c66698d81fc505</v>
      </c>
      <c r="J413" s="18">
        <v>55.65479493082363</v>
      </c>
      <c r="K413" s="4">
        <v>695.6849366352953</v>
      </c>
      <c r="L413" s="19">
        <v>6.956849366352953E20</v>
      </c>
      <c r="M413" s="20">
        <v>6.956849366352953E19</v>
      </c>
    </row>
    <row r="414">
      <c r="A414" s="6"/>
      <c r="B414" s="6"/>
      <c r="C414" s="4"/>
      <c r="D414" s="4">
        <v>1.32875926871597</v>
      </c>
      <c r="E414" s="4" t="s">
        <v>775</v>
      </c>
      <c r="F414" s="4"/>
      <c r="G414" s="4"/>
      <c r="H414" s="4"/>
      <c r="I414" s="4" t="str">
        <f>IFERROR(__xludf.DUMMYFUNCTION("""COMPUTED_VALUE"""),"0x62c41b57c293e440714574cfab2202a5bcd33868")</f>
        <v>0x62c41b57c293e440714574cfab2202a5bcd33868</v>
      </c>
      <c r="J414" s="18">
        <v>1.32875926871597</v>
      </c>
      <c r="K414" s="4">
        <v>16.609490858949624</v>
      </c>
      <c r="L414" s="19">
        <v>1.6609490858949624E19</v>
      </c>
      <c r="M414" s="20">
        <v>1.6609490858949624E18</v>
      </c>
    </row>
    <row r="415">
      <c r="A415" s="6"/>
      <c r="B415" s="6"/>
      <c r="C415" s="4"/>
      <c r="D415" s="4">
        <v>14.1370833251303</v>
      </c>
      <c r="E415" s="4" t="s">
        <v>777</v>
      </c>
      <c r="F415" s="4"/>
      <c r="G415" s="4"/>
      <c r="H415" s="4"/>
      <c r="I415" s="4" t="str">
        <f>IFERROR(__xludf.DUMMYFUNCTION("""COMPUTED_VALUE"""),"0x3803431f81fde7239c6947b09bdc02a8beac6ebc")</f>
        <v>0x3803431f81fde7239c6947b09bdc02a8beac6ebc</v>
      </c>
      <c r="J415" s="18">
        <v>14.1370833251303</v>
      </c>
      <c r="K415" s="4">
        <v>176.71354156412875</v>
      </c>
      <c r="L415" s="19">
        <v>1.7671354156412876E20</v>
      </c>
      <c r="M415" s="20">
        <v>1.7671354156412877E19</v>
      </c>
    </row>
    <row r="416">
      <c r="A416" s="6"/>
      <c r="B416" s="6"/>
      <c r="C416" s="4"/>
      <c r="D416" s="4">
        <v>1536.89827248856</v>
      </c>
      <c r="E416" s="4" t="s">
        <v>778</v>
      </c>
      <c r="F416" s="4"/>
      <c r="G416" s="4"/>
      <c r="H416" s="4"/>
      <c r="I416" s="4" t="str">
        <f>IFERROR(__xludf.DUMMYFUNCTION("""COMPUTED_VALUE"""),"0x9d5531a034c125ac14f0780e6e99310739ad0b14")</f>
        <v>0x9d5531a034c125ac14f0780e6e99310739ad0b14</v>
      </c>
      <c r="J416" s="18">
        <v>1771.2743602956564</v>
      </c>
      <c r="K416" s="4">
        <v>22140.929503695705</v>
      </c>
      <c r="L416" s="19">
        <v>2.2140929503695703E22</v>
      </c>
      <c r="M416" s="20">
        <v>2.2140929503695704E21</v>
      </c>
    </row>
    <row r="417">
      <c r="A417" s="6"/>
      <c r="B417" s="6"/>
      <c r="C417" s="4"/>
      <c r="D417" s="4">
        <v>1.29375904836494</v>
      </c>
      <c r="E417" s="4" t="s">
        <v>780</v>
      </c>
      <c r="F417" s="4"/>
      <c r="G417" s="4"/>
      <c r="H417" s="4"/>
      <c r="I417" s="4" t="str">
        <f>IFERROR(__xludf.DUMMYFUNCTION("""COMPUTED_VALUE"""),"0x9ac82028a1acd989ef3c1dd3008346b66203689f")</f>
        <v>0x9ac82028a1acd989ef3c1dd3008346b66203689f</v>
      </c>
      <c r="J417" s="18">
        <v>1.29375904836494</v>
      </c>
      <c r="K417" s="4">
        <v>16.17198810456175</v>
      </c>
      <c r="L417" s="19">
        <v>1.6171988104561748E19</v>
      </c>
      <c r="M417" s="20">
        <v>1.6171988104561748E18</v>
      </c>
    </row>
    <row r="418">
      <c r="A418" s="6"/>
      <c r="B418" s="6"/>
      <c r="C418" s="4"/>
      <c r="D418" s="4">
        <v>2.6562804222412297</v>
      </c>
      <c r="E418" s="4" t="s">
        <v>782</v>
      </c>
      <c r="F418" s="4"/>
      <c r="G418" s="4"/>
      <c r="H418" s="4"/>
      <c r="I418" s="4" t="str">
        <f>IFERROR(__xludf.DUMMYFUNCTION("""COMPUTED_VALUE"""),"0xa1f230b74076dcfe2c5a1ad367f760ac9c937180")</f>
        <v>0xa1f230b74076dcfe2c5a1ad367f760ac9c937180</v>
      </c>
      <c r="J418" s="18">
        <v>2.6562804222412297</v>
      </c>
      <c r="K418" s="4">
        <v>33.20350527801537</v>
      </c>
      <c r="L418" s="19">
        <v>3.320350527801537E19</v>
      </c>
      <c r="M418" s="20">
        <v>3.320350527801537E18</v>
      </c>
    </row>
    <row r="419">
      <c r="A419" s="6"/>
      <c r="B419" s="6"/>
      <c r="C419" s="4"/>
      <c r="D419" s="4">
        <v>803.6957506744039</v>
      </c>
      <c r="E419" s="4" t="s">
        <v>784</v>
      </c>
      <c r="F419" s="4"/>
      <c r="G419" s="4"/>
      <c r="H419" s="4"/>
      <c r="I419" s="4" t="str">
        <f>IFERROR(__xludf.DUMMYFUNCTION("""COMPUTED_VALUE"""),"0x196a37946c3d93e9a5309f539ae28b774a32411f")</f>
        <v>0x196a37946c3d93e9a5309f539ae28b774a32411f</v>
      </c>
      <c r="J419" s="18">
        <v>1038.0718384815004</v>
      </c>
      <c r="K419" s="4">
        <v>12975.897981018756</v>
      </c>
      <c r="L419" s="19">
        <v>1.2975897981018756E22</v>
      </c>
      <c r="M419" s="20">
        <v>1.2975897981018757E21</v>
      </c>
    </row>
    <row r="420">
      <c r="A420" s="6"/>
      <c r="B420" s="6"/>
      <c r="C420" s="4"/>
      <c r="D420" s="4">
        <v>7.13449623375175</v>
      </c>
      <c r="E420" s="4" t="s">
        <v>786</v>
      </c>
      <c r="F420" s="4"/>
      <c r="G420" s="4"/>
      <c r="H420" s="4"/>
      <c r="I420" s="4" t="str">
        <f>IFERROR(__xludf.DUMMYFUNCTION("""COMPUTED_VALUE"""),"0xde3ccc4c5128fae5fa340566f6be2747fb00d533")</f>
        <v>0xde3ccc4c5128fae5fa340566f6be2747fb00d533</v>
      </c>
      <c r="J420" s="18">
        <v>7.13449623375175</v>
      </c>
      <c r="K420" s="4">
        <v>89.18120292189687</v>
      </c>
      <c r="L420" s="19">
        <v>8.918120292189687E19</v>
      </c>
      <c r="M420" s="20">
        <v>8.918120292189688E18</v>
      </c>
    </row>
    <row r="421">
      <c r="A421" s="6"/>
      <c r="B421" s="6"/>
      <c r="C421" s="4"/>
      <c r="D421" s="4">
        <v>42.411249975391</v>
      </c>
      <c r="E421" s="4" t="s">
        <v>788</v>
      </c>
      <c r="F421" s="4"/>
      <c r="G421" s="4"/>
      <c r="H421" s="4"/>
      <c r="I421" s="4" t="str">
        <f>IFERROR(__xludf.DUMMYFUNCTION("""COMPUTED_VALUE"""),"0xd52ed4e2a4f158fbc5fbc3804979be12ed3ad784")</f>
        <v>0xd52ed4e2a4f158fbc5fbc3804979be12ed3ad784</v>
      </c>
      <c r="J421" s="18">
        <v>146.5789656372378</v>
      </c>
      <c r="K421" s="4">
        <v>1832.2370704654722</v>
      </c>
      <c r="L421" s="19">
        <v>1.8322370704654721E21</v>
      </c>
      <c r="M421" s="20">
        <v>1.8322370704654723E20</v>
      </c>
    </row>
    <row r="422">
      <c r="A422" s="6"/>
      <c r="B422" s="6"/>
      <c r="C422" s="4"/>
      <c r="D422" s="4">
        <v>7.20991249581647</v>
      </c>
      <c r="E422" s="4" t="s">
        <v>789</v>
      </c>
      <c r="F422" s="4"/>
      <c r="G422" s="4"/>
      <c r="H422" s="4"/>
      <c r="I422" s="4" t="str">
        <f>IFERROR(__xludf.DUMMYFUNCTION("""COMPUTED_VALUE"""),"0x456462bc7c90c700f78c448452cc5466df67e3b0")</f>
        <v>0x456462bc7c90c700f78c448452cc5466df67e3b0</v>
      </c>
      <c r="J422" s="18">
        <v>55.57404009541307</v>
      </c>
      <c r="K422" s="4">
        <v>694.6755011926633</v>
      </c>
      <c r="L422" s="19">
        <v>6.946755011926633E20</v>
      </c>
      <c r="M422" s="20">
        <v>6.946755011926633E19</v>
      </c>
    </row>
    <row r="423">
      <c r="A423" s="6"/>
      <c r="B423" s="6"/>
      <c r="C423" s="4"/>
      <c r="D423" s="4">
        <v>2.26193333202085</v>
      </c>
      <c r="E423" s="4" t="s">
        <v>790</v>
      </c>
      <c r="F423" s="4"/>
      <c r="G423" s="4"/>
      <c r="H423" s="4"/>
      <c r="I423" s="4" t="str">
        <f>IFERROR(__xludf.DUMMYFUNCTION("""COMPUTED_VALUE"""),"0x149a2d6844f0b69491ecbbbc951ee40d98f60404")</f>
        <v>0x149a2d6844f0b69491ecbbbc951ee40d98f60404</v>
      </c>
      <c r="J423" s="18">
        <v>2.26193333202085</v>
      </c>
      <c r="K423" s="4">
        <v>28.27416665026062</v>
      </c>
      <c r="L423" s="19">
        <v>2.8274166650260623E19</v>
      </c>
      <c r="M423" s="20">
        <v>2.8274166650260623E18</v>
      </c>
    </row>
    <row r="424">
      <c r="A424" s="6"/>
      <c r="B424" s="6"/>
      <c r="C424" s="4"/>
      <c r="D424" s="4">
        <v>5.00432588167574</v>
      </c>
      <c r="E424" s="4" t="s">
        <v>792</v>
      </c>
      <c r="F424" s="4"/>
      <c r="G424" s="4"/>
      <c r="H424" s="4"/>
      <c r="I424" s="4" t="str">
        <f>IFERROR(__xludf.DUMMYFUNCTION("""COMPUTED_VALUE"""),"0x47779c5f876054bea1e755414b49f611b0aed649")</f>
        <v>0x47779c5f876054bea1e755414b49f611b0aed649</v>
      </c>
      <c r="J424" s="18">
        <v>192.87742363689733</v>
      </c>
      <c r="K424" s="4">
        <v>2410.9677954612166</v>
      </c>
      <c r="L424" s="19">
        <v>2.410967795461217E21</v>
      </c>
      <c r="M424" s="20">
        <v>2.410967795461217E20</v>
      </c>
    </row>
    <row r="425">
      <c r="A425" s="6"/>
      <c r="B425" s="6"/>
      <c r="C425" s="4"/>
      <c r="D425" s="4">
        <v>71.3786240362123</v>
      </c>
      <c r="E425" s="4" t="s">
        <v>794</v>
      </c>
      <c r="F425" s="4"/>
      <c r="G425" s="4"/>
      <c r="H425" s="4"/>
      <c r="I425" s="4" t="str">
        <f>IFERROR(__xludf.DUMMYFUNCTION("""COMPUTED_VALUE"""),"0x03928d8fd935f842e8ff2039530ddda41207a4d7")</f>
        <v>0x03928d8fd935f842e8ff2039530ddda41207a4d7</v>
      </c>
      <c r="J425" s="18">
        <v>71.3786240362123</v>
      </c>
      <c r="K425" s="4">
        <v>892.2328004526537</v>
      </c>
      <c r="L425" s="19">
        <v>8.922328004526537E20</v>
      </c>
      <c r="M425" s="20">
        <v>8.922328004526539E19</v>
      </c>
    </row>
    <row r="426">
      <c r="A426" s="6"/>
      <c r="B426" s="6"/>
      <c r="C426" s="4"/>
      <c r="D426" s="4">
        <v>0.44719059644076303</v>
      </c>
      <c r="E426" s="4" t="s">
        <v>796</v>
      </c>
      <c r="F426" s="4"/>
      <c r="G426" s="4"/>
      <c r="H426" s="4"/>
      <c r="I426" s="4" t="str">
        <f>IFERROR(__xludf.DUMMYFUNCTION("""COMPUTED_VALUE"""),"0x86ec85869c0c24ccb08fa1ea022072d485ea175a")</f>
        <v>0x86ec85869c0c24ccb08fa1ea022072d485ea175a</v>
      </c>
      <c r="J426" s="18">
        <v>2.865605883284523</v>
      </c>
      <c r="K426" s="4">
        <v>35.82007354105654</v>
      </c>
      <c r="L426" s="19">
        <v>3.5820073541056537E19</v>
      </c>
      <c r="M426" s="20">
        <v>3.582007354105654E18</v>
      </c>
    </row>
    <row r="427">
      <c r="A427" s="6"/>
      <c r="B427" s="6"/>
      <c r="C427" s="4"/>
      <c r="D427" s="4">
        <v>7.14206042650367</v>
      </c>
      <c r="E427" s="4" t="s">
        <v>798</v>
      </c>
      <c r="F427" s="4"/>
      <c r="G427" s="4"/>
      <c r="H427" s="4"/>
      <c r="I427" s="4" t="str">
        <f>IFERROR(__xludf.DUMMYFUNCTION("""COMPUTED_VALUE"""),"0xa121eadc0a1f881ef849bea083acbc68bb523bf7")</f>
        <v>0xa121eadc0a1f881ef849bea083acbc68bb523bf7</v>
      </c>
      <c r="J427" s="18">
        <v>55.50618802610027</v>
      </c>
      <c r="K427" s="4">
        <v>693.8273503262534</v>
      </c>
      <c r="L427" s="19">
        <v>6.938273503262535E20</v>
      </c>
      <c r="M427" s="20">
        <v>6.938273503262535E19</v>
      </c>
    </row>
    <row r="428">
      <c r="A428" s="6"/>
      <c r="B428" s="6"/>
      <c r="C428" s="4"/>
      <c r="D428" s="4">
        <v>14.1476216408571</v>
      </c>
      <c r="E428" s="4" t="s">
        <v>800</v>
      </c>
      <c r="F428" s="4"/>
      <c r="G428" s="4"/>
      <c r="H428" s="4"/>
      <c r="I428" s="4" t="str">
        <f>IFERROR(__xludf.DUMMYFUNCTION("""COMPUTED_VALUE"""),"0x76481046d698c43a99457d00ba8243e83a913151")</f>
        <v>0x76481046d698c43a99457d00ba8243e83a913151</v>
      </c>
      <c r="J428" s="18">
        <v>14.1476216408571</v>
      </c>
      <c r="K428" s="4">
        <v>176.84527051071373</v>
      </c>
      <c r="L428" s="19">
        <v>1.7684527051071373E20</v>
      </c>
      <c r="M428" s="20">
        <v>1.7684527051071373E19</v>
      </c>
    </row>
    <row r="429">
      <c r="A429" s="6"/>
      <c r="B429" s="6"/>
      <c r="C429" s="4"/>
      <c r="D429" s="4">
        <v>0.5677166685727459</v>
      </c>
      <c r="E429" s="4" t="s">
        <v>802</v>
      </c>
      <c r="F429" s="4"/>
      <c r="G429" s="4"/>
      <c r="H429" s="4"/>
      <c r="I429" s="4" t="str">
        <f>IFERROR(__xludf.DUMMYFUNCTION("""COMPUTED_VALUE"""),"0x24188b8f4431a982c3e192c609d77bdb398a8c3d")</f>
        <v>0x24188b8f4431a982c3e192c609d77bdb398a8c3d</v>
      </c>
      <c r="J429" s="18">
        <v>0.5677166685727459</v>
      </c>
      <c r="K429" s="4">
        <v>7.0964583571593245</v>
      </c>
      <c r="L429" s="19">
        <v>7.096458357159325E18</v>
      </c>
      <c r="M429" s="20">
        <v>7.096458357159325E17</v>
      </c>
    </row>
    <row r="430">
      <c r="A430" s="6"/>
      <c r="B430" s="6"/>
      <c r="C430" s="4"/>
      <c r="D430" s="4">
        <v>1288.6012618178102</v>
      </c>
      <c r="E430" s="4" t="s">
        <v>804</v>
      </c>
      <c r="F430" s="4"/>
      <c r="G430" s="4"/>
      <c r="H430" s="4"/>
      <c r="I430" s="4" t="str">
        <f>IFERROR(__xludf.DUMMYFUNCTION("""COMPUTED_VALUE"""),"0x3cfad5d67249de057bc1c9b47eb8a0cf7b4f6cf5")</f>
        <v>0x3cfad5d67249de057bc1c9b47eb8a0cf7b4f6cf5</v>
      </c>
      <c r="J430" s="18">
        <v>1522.9773496249065</v>
      </c>
      <c r="K430" s="4">
        <v>19037.21687031133</v>
      </c>
      <c r="L430" s="19">
        <v>1.903721687031133E22</v>
      </c>
      <c r="M430" s="20">
        <v>1.9037216870311332E21</v>
      </c>
    </row>
    <row r="431">
      <c r="A431" s="6"/>
      <c r="B431" s="6"/>
      <c r="C431" s="4"/>
      <c r="D431" s="4">
        <v>0.329503949101231</v>
      </c>
      <c r="E431" s="4" t="s">
        <v>806</v>
      </c>
      <c r="F431" s="4"/>
      <c r="G431" s="4"/>
      <c r="H431" s="4"/>
      <c r="I431" s="4" t="str">
        <f>IFERROR(__xludf.DUMMYFUNCTION("""COMPUTED_VALUE"""),"0x9f05a8ac79c0ceabf71fa44cc5c58cd4a2f5e67b")</f>
        <v>0x9f05a8ac79c0ceabf71fa44cc5c58cd4a2f5e67b</v>
      </c>
      <c r="J431" s="18">
        <v>0.329503949101231</v>
      </c>
      <c r="K431" s="4">
        <v>4.118799363765387</v>
      </c>
      <c r="L431" s="19">
        <v>4.118799363765387E18</v>
      </c>
      <c r="M431" s="20">
        <v>4.118799363765387E17</v>
      </c>
    </row>
    <row r="432">
      <c r="A432" s="6"/>
      <c r="B432" s="6"/>
      <c r="C432" s="4"/>
      <c r="D432" s="4">
        <v>58.257985701539894</v>
      </c>
      <c r="E432" s="4" t="s">
        <v>808</v>
      </c>
      <c r="F432" s="4"/>
      <c r="G432" s="4"/>
      <c r="H432" s="4"/>
      <c r="I432" s="4" t="str">
        <f>IFERROR(__xludf.DUMMYFUNCTION("""COMPUTED_VALUE"""),"0x64f0d8f2804990ff5a8f085b111384b328b9230d")</f>
        <v>0x64f0d8f2804990ff5a8f085b111384b328b9230d</v>
      </c>
      <c r="J432" s="18">
        <v>292.63407350863645</v>
      </c>
      <c r="K432" s="4">
        <v>3657.9259188579554</v>
      </c>
      <c r="L432" s="19">
        <v>3.6579259188579554E21</v>
      </c>
      <c r="M432" s="20">
        <v>3.657925918857956E20</v>
      </c>
    </row>
    <row r="433">
      <c r="A433" s="6"/>
      <c r="B433" s="6"/>
      <c r="C433" s="4"/>
      <c r="D433" s="4">
        <v>46.6613170909749</v>
      </c>
      <c r="E433" s="4" t="s">
        <v>810</v>
      </c>
      <c r="F433" s="4"/>
      <c r="G433" s="4"/>
      <c r="H433" s="4"/>
      <c r="I433" s="4" t="str">
        <f>IFERROR(__xludf.DUMMYFUNCTION("""COMPUTED_VALUE"""),"0x4a3ecf83f6b0bc5f352c5581598bdba601d3d09f")</f>
        <v>0x4a3ecf83f6b0bc5f352c5581598bdba601d3d09f</v>
      </c>
      <c r="J433" s="18">
        <v>46.6613170909749</v>
      </c>
      <c r="K433" s="4">
        <v>583.2664636371862</v>
      </c>
      <c r="L433" s="19">
        <v>5.832664636371862E20</v>
      </c>
      <c r="M433" s="20">
        <v>5.832664636371862E19</v>
      </c>
    </row>
    <row r="434">
      <c r="A434" s="6"/>
      <c r="B434" s="6"/>
      <c r="C434" s="4"/>
      <c r="D434" s="4">
        <v>7.0685416625651705</v>
      </c>
      <c r="E434" s="4" t="s">
        <v>812</v>
      </c>
      <c r="F434" s="4"/>
      <c r="G434" s="4"/>
      <c r="H434" s="4"/>
      <c r="I434" s="4" t="str">
        <f>IFERROR(__xludf.DUMMYFUNCTION("""COMPUTED_VALUE"""),"0x0edca1042a26022e95899ce1eeb1d362039b4e4a")</f>
        <v>0x0edca1042a26022e95899ce1eeb1d362039b4e4a</v>
      </c>
      <c r="J434" s="18">
        <v>55.43266926216177</v>
      </c>
      <c r="K434" s="4">
        <v>692.908365777022</v>
      </c>
      <c r="L434" s="19">
        <v>6.929083657770221E20</v>
      </c>
      <c r="M434" s="20">
        <v>6.9290836577702216E19</v>
      </c>
    </row>
    <row r="435">
      <c r="A435" s="6"/>
      <c r="B435" s="6"/>
      <c r="C435" s="4"/>
      <c r="D435" s="4">
        <v>453.02001164936496</v>
      </c>
      <c r="E435" s="4" t="s">
        <v>813</v>
      </c>
      <c r="F435" s="4"/>
      <c r="G435" s="4"/>
      <c r="H435" s="4"/>
      <c r="I435" s="4" t="str">
        <f>IFERROR(__xludf.DUMMYFUNCTION("""COMPUTED_VALUE"""),"0xa95878ae16923a232445bf7d3290b4a075b8e6a8")</f>
        <v>0xa95878ae16923a232445bf7d3290b4a075b8e6a8</v>
      </c>
      <c r="J435" s="18">
        <v>687.3960994564616</v>
      </c>
      <c r="K435" s="4">
        <v>8592.451243205769</v>
      </c>
      <c r="L435" s="19">
        <v>8.592451243205769E21</v>
      </c>
      <c r="M435" s="20">
        <v>8.592451243205769E20</v>
      </c>
    </row>
    <row r="436">
      <c r="A436" s="6"/>
      <c r="B436" s="6"/>
      <c r="C436" s="4"/>
      <c r="D436" s="4">
        <v>3.71266346807374</v>
      </c>
      <c r="E436" s="4" t="s">
        <v>815</v>
      </c>
      <c r="F436" s="4"/>
      <c r="G436" s="4"/>
      <c r="H436" s="4"/>
      <c r="I436" s="4" t="str">
        <f>IFERROR(__xludf.DUMMYFUNCTION("""COMPUTED_VALUE"""),"0x24ab6c94b27c0931fdf79c2fd505de16e2a87315")</f>
        <v>0x24ab6c94b27c0931fdf79c2fd505de16e2a87315</v>
      </c>
      <c r="J436" s="18">
        <v>3.71266346807374</v>
      </c>
      <c r="K436" s="4">
        <v>46.408293350921745</v>
      </c>
      <c r="L436" s="19">
        <v>4.640829335092175E19</v>
      </c>
      <c r="M436" s="20">
        <v>4.640829335092175E18</v>
      </c>
    </row>
    <row r="437">
      <c r="A437" s="6"/>
      <c r="B437" s="6"/>
      <c r="C437" s="4"/>
      <c r="D437" s="4">
        <v>176.80163178798</v>
      </c>
      <c r="E437" s="4" t="s">
        <v>817</v>
      </c>
      <c r="F437" s="4"/>
      <c r="G437" s="4"/>
      <c r="H437" s="4"/>
      <c r="I437" s="4" t="str">
        <f>IFERROR(__xludf.DUMMYFUNCTION("""COMPUTED_VALUE"""),"0xf0ea58b65c82c48ce69f0abd68d178e7764c4ba2")</f>
        <v>0xf0ea58b65c82c48ce69f0abd68d178e7764c4ba2</v>
      </c>
      <c r="J437" s="18">
        <v>411.1777195950766</v>
      </c>
      <c r="K437" s="4">
        <v>5139.721494938458</v>
      </c>
      <c r="L437" s="19">
        <v>5.139721494938458E21</v>
      </c>
      <c r="M437" s="20">
        <v>5.139721494938458E20</v>
      </c>
    </row>
    <row r="438">
      <c r="A438" s="6"/>
      <c r="B438" s="6"/>
      <c r="C438" s="4"/>
      <c r="D438" s="4">
        <v>7.21220117509161</v>
      </c>
      <c r="E438" s="4" t="s">
        <v>819</v>
      </c>
      <c r="F438" s="4"/>
      <c r="G438" s="4"/>
      <c r="H438" s="4"/>
      <c r="I438" s="4" t="str">
        <f>IFERROR(__xludf.DUMMYFUNCTION("""COMPUTED_VALUE"""),"0x5903f52c69c3c93c2340d8e9abb40f1b3d34fdb2")</f>
        <v>0x5903f52c69c3c93c2340d8e9abb40f1b3d34fdb2</v>
      </c>
      <c r="J438" s="18">
        <v>55.34786688968391</v>
      </c>
      <c r="K438" s="4">
        <v>691.8483361210489</v>
      </c>
      <c r="L438" s="19">
        <v>6.918483361210489E20</v>
      </c>
      <c r="M438" s="20">
        <v>6.918483361210489E19</v>
      </c>
    </row>
    <row r="439">
      <c r="A439" s="6"/>
      <c r="B439" s="6"/>
      <c r="C439" s="4"/>
      <c r="D439" s="4">
        <v>7.20991249581647</v>
      </c>
      <c r="E439" s="4" t="s">
        <v>821</v>
      </c>
      <c r="F439" s="4"/>
      <c r="G439" s="4"/>
      <c r="H439" s="4"/>
      <c r="I439" s="4" t="str">
        <f>IFERROR(__xludf.DUMMYFUNCTION("""COMPUTED_VALUE"""),"0x98b9390d334a7880933f59ed24e9f13e7702757e")</f>
        <v>0x98b9390d334a7880933f59ed24e9f13e7702757e</v>
      </c>
      <c r="J439" s="18">
        <v>7.20991249581647</v>
      </c>
      <c r="K439" s="4">
        <v>90.12390619770586</v>
      </c>
      <c r="L439" s="19">
        <v>9.012390619770587E19</v>
      </c>
      <c r="M439" s="20">
        <v>9.012390619770587E18</v>
      </c>
    </row>
    <row r="440">
      <c r="A440" s="6"/>
      <c r="B440" s="6"/>
      <c r="C440" s="4"/>
      <c r="D440" s="4">
        <v>530.281995525639</v>
      </c>
      <c r="E440" s="4" t="s">
        <v>822</v>
      </c>
      <c r="F440" s="4"/>
      <c r="G440" s="4"/>
      <c r="H440" s="4"/>
      <c r="I440" s="4" t="str">
        <f>IFERROR(__xludf.DUMMYFUNCTION("""COMPUTED_VALUE"""),"0x821ebc8d481c2440c6581534acc6cc0d0bff7c73")</f>
        <v>0x821ebc8d481c2440c6581534acc6cc0d0bff7c73</v>
      </c>
      <c r="J440" s="18">
        <v>764.6580833327356</v>
      </c>
      <c r="K440" s="4">
        <v>9558.226041659194</v>
      </c>
      <c r="L440" s="19">
        <v>9.558226041659195E21</v>
      </c>
      <c r="M440" s="20">
        <v>9.558226041659195E20</v>
      </c>
    </row>
    <row r="441">
      <c r="A441" s="6"/>
      <c r="B441" s="6"/>
      <c r="C441" s="4"/>
      <c r="D441" s="4">
        <v>7.20991249581647</v>
      </c>
      <c r="E441" s="4" t="s">
        <v>823</v>
      </c>
      <c r="F441" s="4"/>
      <c r="G441" s="4"/>
      <c r="H441" s="4"/>
      <c r="I441" s="4" t="str">
        <f>IFERROR(__xludf.DUMMYFUNCTION("""COMPUTED_VALUE"""),"0x6f671145d14a48d4a283a20c8081866bbaa264a6")</f>
        <v>0x6f671145d14a48d4a283a20c8081866bbaa264a6</v>
      </c>
      <c r="J441" s="18">
        <v>7.20991249581647</v>
      </c>
      <c r="K441" s="4">
        <v>90.12390619770586</v>
      </c>
      <c r="L441" s="19">
        <v>9.012390619770587E19</v>
      </c>
      <c r="M441" s="20">
        <v>9.012390619770587E18</v>
      </c>
    </row>
    <row r="442">
      <c r="A442" s="6"/>
      <c r="B442" s="6"/>
      <c r="C442" s="4"/>
      <c r="D442" s="4">
        <v>21.097837574270798</v>
      </c>
      <c r="E442" s="4" t="s">
        <v>824</v>
      </c>
      <c r="F442" s="4"/>
      <c r="G442" s="4"/>
      <c r="H442" s="4"/>
      <c r="I442" s="4" t="str">
        <f>IFERROR(__xludf.DUMMYFUNCTION("""COMPUTED_VALUE"""),"0xff1fb850ab1b4a9cb31ab3a43d145d90383bb072")</f>
        <v>0xff1fb850ab1b4a9cb31ab3a43d145d90383bb072</v>
      </c>
      <c r="J442" s="18">
        <v>21.097837574270798</v>
      </c>
      <c r="K442" s="4">
        <v>263.72296967838497</v>
      </c>
      <c r="L442" s="19">
        <v>2.6372296967838496E20</v>
      </c>
      <c r="M442" s="20">
        <v>2.63722969678385E19</v>
      </c>
    </row>
    <row r="443">
      <c r="A443" s="6"/>
      <c r="B443" s="6"/>
      <c r="C443" s="4"/>
      <c r="D443" s="4">
        <v>7.0685416625651705</v>
      </c>
      <c r="E443" s="4" t="s">
        <v>826</v>
      </c>
      <c r="F443" s="4"/>
      <c r="G443" s="4"/>
      <c r="H443" s="4"/>
      <c r="I443" s="4" t="str">
        <f>IFERROR(__xludf.DUMMYFUNCTION("""COMPUTED_VALUE"""),"0xbd4b52233aefa2f809373f82bb0bae6889b45420")</f>
        <v>0xbd4b52233aefa2f809373f82bb0bae6889b45420</v>
      </c>
      <c r="J443" s="18">
        <v>55.43266926216177</v>
      </c>
      <c r="K443" s="4">
        <v>692.908365777022</v>
      </c>
      <c r="L443" s="19">
        <v>6.929083657770221E20</v>
      </c>
      <c r="M443" s="20">
        <v>6.9290836577702216E19</v>
      </c>
    </row>
    <row r="444">
      <c r="A444" s="6"/>
      <c r="B444" s="6"/>
      <c r="C444" s="4"/>
      <c r="D444" s="4">
        <v>35.3427083128258</v>
      </c>
      <c r="E444" s="4" t="s">
        <v>827</v>
      </c>
      <c r="F444" s="4"/>
      <c r="G444" s="4"/>
      <c r="H444" s="4"/>
      <c r="I444" s="4" t="str">
        <f>IFERROR(__xludf.DUMMYFUNCTION("""COMPUTED_VALUE"""),"0xe98810c045b720d0e6b56c378e51235de41f36e1")</f>
        <v>0xe98810c045b720d0e6b56c378e51235de41f36e1</v>
      </c>
      <c r="J444" s="18">
        <v>269.7187961199224</v>
      </c>
      <c r="K444" s="4">
        <v>3371.4849514990296</v>
      </c>
      <c r="L444" s="19">
        <v>3.3714849514990296E21</v>
      </c>
      <c r="M444" s="20">
        <v>3.37148495149903E20</v>
      </c>
    </row>
    <row r="445">
      <c r="A445" s="6"/>
      <c r="B445" s="6"/>
      <c r="C445" s="4"/>
      <c r="D445" s="4">
        <v>28.3972338351563</v>
      </c>
      <c r="E445" s="4" t="s">
        <v>828</v>
      </c>
      <c r="F445" s="4"/>
      <c r="G445" s="4"/>
      <c r="H445" s="4"/>
      <c r="I445" s="4" t="str">
        <f>IFERROR(__xludf.DUMMYFUNCTION("""COMPUTED_VALUE"""),"0x3d91f4270f1a7dc9b9ee3d8ac88e582040412df3")</f>
        <v>0x3d91f4270f1a7dc9b9ee3d8ac88e582040412df3</v>
      </c>
      <c r="J445" s="18">
        <v>76.7613614347529</v>
      </c>
      <c r="K445" s="4">
        <v>959.5170179344112</v>
      </c>
      <c r="L445" s="19">
        <v>9.595170179344112E20</v>
      </c>
      <c r="M445" s="20">
        <v>9.595170179344112E19</v>
      </c>
    </row>
    <row r="446">
      <c r="A446" s="6"/>
      <c r="B446" s="6"/>
      <c r="C446" s="4"/>
      <c r="D446" s="4">
        <v>5.09622639624008</v>
      </c>
      <c r="E446" s="4" t="s">
        <v>830</v>
      </c>
      <c r="F446" s="4"/>
      <c r="G446" s="4"/>
      <c r="H446" s="4"/>
      <c r="I446" s="4" t="str">
        <f>IFERROR(__xludf.DUMMYFUNCTION("""COMPUTED_VALUE"""),"0xeab91e91ebb3bf7c53bafc6dbaf8c234d7a11faf")</f>
        <v>0xeab91e91ebb3bf7c53bafc6dbaf8c234d7a11faf</v>
      </c>
      <c r="J446" s="18">
        <v>5.09622639624008</v>
      </c>
      <c r="K446" s="4">
        <v>63.70282995300099</v>
      </c>
      <c r="L446" s="19">
        <v>6.3702829953001E19</v>
      </c>
      <c r="M446" s="20">
        <v>6.3702829953001E18</v>
      </c>
    </row>
    <row r="447">
      <c r="A447" s="6"/>
      <c r="B447" s="6"/>
      <c r="C447" s="4"/>
      <c r="D447" s="4">
        <v>10.9600252973121</v>
      </c>
      <c r="E447" s="4" t="s">
        <v>832</v>
      </c>
      <c r="F447" s="4"/>
      <c r="G447" s="4"/>
      <c r="H447" s="4"/>
      <c r="I447" s="4" t="str">
        <f>IFERROR(__xludf.DUMMYFUNCTION("""COMPUTED_VALUE"""),"0x7c669729c3e6b0c8a2324905b73605d0d26f6819")</f>
        <v>0x7c669729c3e6b0c8a2324905b73605d0d26f6819</v>
      </c>
      <c r="J447" s="18">
        <v>10.9600252973121</v>
      </c>
      <c r="K447" s="4">
        <v>137.00031621640125</v>
      </c>
      <c r="L447" s="19">
        <v>1.3700031621640125E20</v>
      </c>
      <c r="M447" s="20">
        <v>1.3700031621640126E19</v>
      </c>
    </row>
    <row r="448">
      <c r="A448" s="6"/>
      <c r="B448" s="6"/>
      <c r="C448" s="4"/>
      <c r="D448" s="4">
        <v>459.455208066736</v>
      </c>
      <c r="E448" s="4" t="s">
        <v>834</v>
      </c>
      <c r="F448" s="4"/>
      <c r="G448" s="4"/>
      <c r="H448" s="4"/>
      <c r="I448" s="4" t="str">
        <f>IFERROR(__xludf.DUMMYFUNCTION("""COMPUTED_VALUE"""),"0xa12d205d2b2aef73089ec2b8bd700789489742c4")</f>
        <v>0xa12d205d2b2aef73089ec2b8bd700789489742c4</v>
      </c>
      <c r="J448" s="18">
        <v>693.8312958738326</v>
      </c>
      <c r="K448" s="4">
        <v>8672.891198422907</v>
      </c>
      <c r="L448" s="19">
        <v>8.672891198422907E21</v>
      </c>
      <c r="M448" s="20">
        <v>8.672891198422908E20</v>
      </c>
    </row>
    <row r="449">
      <c r="A449" s="6"/>
      <c r="B449" s="6"/>
      <c r="C449" s="4"/>
      <c r="D449" s="4">
        <v>5.62792041395546</v>
      </c>
      <c r="E449" s="4" t="s">
        <v>836</v>
      </c>
      <c r="F449" s="4"/>
      <c r="G449" s="4"/>
      <c r="H449" s="4"/>
      <c r="I449" s="4" t="str">
        <f>IFERROR(__xludf.DUMMYFUNCTION("""COMPUTED_VALUE"""),"0x0ebf9c68dcba4bf09799231ab432d6f3e621637c")</f>
        <v>0x0ebf9c68dcba4bf09799231ab432d6f3e621637c</v>
      </c>
      <c r="J449" s="18">
        <v>5.62792041395546</v>
      </c>
      <c r="K449" s="4">
        <v>70.34900517444325</v>
      </c>
      <c r="L449" s="19">
        <v>7.0349005174443246E19</v>
      </c>
      <c r="M449" s="20">
        <v>7.034900517444325E18</v>
      </c>
    </row>
    <row r="450">
      <c r="A450" s="6"/>
      <c r="B450" s="6"/>
      <c r="C450" s="4"/>
      <c r="D450" s="4">
        <v>5.1214306112045405</v>
      </c>
      <c r="E450" s="4" t="s">
        <v>838</v>
      </c>
      <c r="F450" s="4"/>
      <c r="G450" s="4"/>
      <c r="H450" s="4"/>
      <c r="I450" s="4" t="str">
        <f>IFERROR(__xludf.DUMMYFUNCTION("""COMPUTED_VALUE"""),"0x88c8edb299bd990674a4783e9de640c3678a2df3")</f>
        <v>0x88c8edb299bd990674a4783e9de640c3678a2df3</v>
      </c>
      <c r="J450" s="18">
        <v>5.1214306112045405</v>
      </c>
      <c r="K450" s="4">
        <v>64.01788264005675</v>
      </c>
      <c r="L450" s="19">
        <v>6.4017882640056754E19</v>
      </c>
      <c r="M450" s="20">
        <v>6.401788264005676E18</v>
      </c>
    </row>
    <row r="451">
      <c r="A451" s="6"/>
      <c r="B451" s="6"/>
      <c r="C451" s="4"/>
      <c r="D451" s="4">
        <v>7.14197981770277</v>
      </c>
      <c r="E451" s="4" t="s">
        <v>840</v>
      </c>
      <c r="F451" s="4"/>
      <c r="G451" s="4"/>
      <c r="H451" s="4"/>
      <c r="I451" s="4" t="str">
        <f>IFERROR(__xludf.DUMMYFUNCTION("""COMPUTED_VALUE"""),"0xe6e56a43f38c11600fcb02d0c790baede5e34bc7")</f>
        <v>0xe6e56a43f38c11600fcb02d0c790baede5e34bc7</v>
      </c>
      <c r="J451" s="18">
        <v>7.14197981770277</v>
      </c>
      <c r="K451" s="4">
        <v>89.27474772128461</v>
      </c>
      <c r="L451" s="19">
        <v>8.927474772128462E19</v>
      </c>
      <c r="M451" s="20">
        <v>8.927474772128462E18</v>
      </c>
    </row>
    <row r="452">
      <c r="A452" s="6"/>
      <c r="B452" s="6"/>
      <c r="C452" s="4"/>
      <c r="D452" s="4">
        <v>0.141370833251303</v>
      </c>
      <c r="E452" s="4" t="s">
        <v>842</v>
      </c>
      <c r="F452" s="4"/>
      <c r="G452" s="4"/>
      <c r="H452" s="4"/>
      <c r="I452" s="4" t="str">
        <f>IFERROR(__xludf.DUMMYFUNCTION("""COMPUTED_VALUE"""),"0xb02fe8ce7ed1edb018611fd0f7dc983028a5e41f")</f>
        <v>0xb02fe8ce7ed1edb018611fd0f7dc983028a5e41f</v>
      </c>
      <c r="J452" s="18">
        <v>234.51745864034788</v>
      </c>
      <c r="K452" s="4">
        <v>2931.4682330043483</v>
      </c>
      <c r="L452" s="19">
        <v>2.9314682330043483E21</v>
      </c>
      <c r="M452" s="20">
        <v>2.9314682330043485E20</v>
      </c>
    </row>
    <row r="453">
      <c r="A453" s="6"/>
      <c r="B453" s="6"/>
      <c r="C453" s="4"/>
      <c r="D453" s="4">
        <v>0.157116327588136</v>
      </c>
      <c r="E453" s="4" t="s">
        <v>844</v>
      </c>
      <c r="F453" s="4"/>
      <c r="G453" s="4"/>
      <c r="H453" s="4"/>
      <c r="I453" s="4" t="str">
        <f>IFERROR(__xludf.DUMMYFUNCTION("""COMPUTED_VALUE"""),"0xfd2051261eec0136791e2964d1ecf6a1cb26a266")</f>
        <v>0xfd2051261eec0136791e2964d1ecf6a1cb26a266</v>
      </c>
      <c r="J453" s="18">
        <v>3.1291886514492258</v>
      </c>
      <c r="K453" s="4">
        <v>39.11485814311532</v>
      </c>
      <c r="L453" s="19">
        <v>3.911485814311532E19</v>
      </c>
      <c r="M453" s="20">
        <v>3.9114858143115325E18</v>
      </c>
    </row>
    <row r="454">
      <c r="A454" s="6"/>
      <c r="B454" s="6"/>
      <c r="C454" s="4"/>
      <c r="D454" s="4">
        <v>221.19131408556598</v>
      </c>
      <c r="E454" s="4" t="s">
        <v>846</v>
      </c>
      <c r="F454" s="4"/>
      <c r="G454" s="4"/>
      <c r="H454" s="4"/>
      <c r="I454" s="4" t="str">
        <f>IFERROR(__xludf.DUMMYFUNCTION("""COMPUTED_VALUE"""),"0xf1f022d9fbe8675e7076e9aa940bf072fbb18ac0")</f>
        <v>0xf1f022d9fbe8675e7076e9aa940bf072fbb18ac0</v>
      </c>
      <c r="J454" s="18">
        <v>333.7796060310932</v>
      </c>
      <c r="K454" s="4">
        <v>4172.245075388665</v>
      </c>
      <c r="L454" s="19">
        <v>4.172245075388665E21</v>
      </c>
      <c r="M454" s="20">
        <v>4.172245075388665E20</v>
      </c>
    </row>
    <row r="455">
      <c r="A455" s="6"/>
      <c r="B455" s="6"/>
      <c r="C455" s="4"/>
      <c r="D455" s="4">
        <v>1.8246461583251001</v>
      </c>
      <c r="E455" s="4" t="s">
        <v>848</v>
      </c>
      <c r="F455" s="4"/>
      <c r="G455" s="4"/>
      <c r="H455" s="4"/>
      <c r="I455" s="4" t="str">
        <f>IFERROR(__xludf.DUMMYFUNCTION("""COMPUTED_VALUE"""),"0xafa337a18def1d59c66db2baf52624a33d9370cf")</f>
        <v>0xafa337a18def1d59c66db2baf52624a33d9370cf</v>
      </c>
      <c r="J455" s="18">
        <v>50.1887737579217</v>
      </c>
      <c r="K455" s="4">
        <v>627.3596719740212</v>
      </c>
      <c r="L455" s="19">
        <v>6.273596719740213E20</v>
      </c>
      <c r="M455" s="20">
        <v>6.273596719740214E19</v>
      </c>
    </row>
    <row r="456">
      <c r="A456" s="6"/>
      <c r="B456" s="6"/>
      <c r="C456" s="4"/>
      <c r="D456" s="4">
        <v>0.578316135447638</v>
      </c>
      <c r="E456" s="4" t="s">
        <v>850</v>
      </c>
      <c r="F456" s="4"/>
      <c r="G456" s="4"/>
      <c r="H456" s="4"/>
      <c r="I456" s="4" t="str">
        <f>IFERROR(__xludf.DUMMYFUNCTION("""COMPUTED_VALUE"""),"0x653c290b1b80bee0466e7e433d980b38a825cc29")</f>
        <v>0x653c290b1b80bee0466e7e433d980b38a825cc29</v>
      </c>
      <c r="J456" s="18">
        <v>0.578316135447638</v>
      </c>
      <c r="K456" s="4">
        <v>7.228951693095476</v>
      </c>
      <c r="L456" s="19">
        <v>7.228951693095475E18</v>
      </c>
      <c r="M456" s="20">
        <v>7.228951693095475E17</v>
      </c>
    </row>
    <row r="457">
      <c r="A457" s="6"/>
      <c r="B457" s="6"/>
      <c r="C457" s="4"/>
      <c r="D457" s="4">
        <v>9.0061181214749</v>
      </c>
      <c r="E457" s="4" t="s">
        <v>852</v>
      </c>
      <c r="F457" s="4"/>
      <c r="G457" s="4"/>
      <c r="H457" s="4"/>
      <c r="I457" s="4" t="str">
        <f>IFERROR(__xludf.DUMMYFUNCTION("""COMPUTED_VALUE"""),"0x16c915232ac95a978e2dacca07124608c5c4d1f3")</f>
        <v>0x16c915232ac95a978e2dacca07124608c5c4d1f3</v>
      </c>
      <c r="J457" s="18">
        <v>9.0061181214749</v>
      </c>
      <c r="K457" s="4">
        <v>112.57647651843625</v>
      </c>
      <c r="L457" s="19">
        <v>1.1257647651843626E20</v>
      </c>
      <c r="M457" s="20">
        <v>1.1257647651843627E19</v>
      </c>
    </row>
    <row r="458">
      <c r="A458" s="6"/>
      <c r="B458" s="6"/>
      <c r="C458" s="4"/>
      <c r="D458" s="4">
        <v>143.395817134389</v>
      </c>
      <c r="E458" s="4" t="s">
        <v>854</v>
      </c>
      <c r="F458" s="4"/>
      <c r="G458" s="4"/>
      <c r="H458" s="4"/>
      <c r="I458" s="4" t="str">
        <f>IFERROR(__xludf.DUMMYFUNCTION("""COMPUTED_VALUE"""),"0x0d018c40229202ccb746ef41d94d64f86ef6bac1")</f>
        <v>0x0d018c40229202ccb746ef41d94d64f86ef6bac1</v>
      </c>
      <c r="J458" s="18">
        <v>143.395817134389</v>
      </c>
      <c r="K458" s="4">
        <v>1792.4477141798625</v>
      </c>
      <c r="L458" s="19">
        <v>1.7924477141798625E21</v>
      </c>
      <c r="M458" s="20">
        <v>1.7924477141798627E20</v>
      </c>
    </row>
    <row r="459">
      <c r="A459" s="6"/>
      <c r="B459" s="6"/>
      <c r="C459" s="4"/>
      <c r="D459" s="4">
        <v>530.281995525639</v>
      </c>
      <c r="E459" s="4" t="s">
        <v>856</v>
      </c>
      <c r="F459" s="4"/>
      <c r="G459" s="4"/>
      <c r="H459" s="4"/>
      <c r="I459" s="4" t="str">
        <f>IFERROR(__xludf.DUMMYFUNCTION("""COMPUTED_VALUE"""),"0x12fbe87ca2674036a9d5d6cf2593043efbee1a6c")</f>
        <v>0x12fbe87ca2674036a9d5d6cf2593043efbee1a6c</v>
      </c>
      <c r="J459" s="18">
        <v>764.6580833327356</v>
      </c>
      <c r="K459" s="4">
        <v>9558.226041659194</v>
      </c>
      <c r="L459" s="19">
        <v>9.558226041659195E21</v>
      </c>
      <c r="M459" s="20">
        <v>9.558226041659195E20</v>
      </c>
    </row>
    <row r="460">
      <c r="A460" s="6"/>
      <c r="B460" s="6"/>
      <c r="C460" s="4"/>
      <c r="D460" s="4">
        <v>0.34157884886169204</v>
      </c>
      <c r="E460" s="4" t="s">
        <v>857</v>
      </c>
      <c r="F460" s="4"/>
      <c r="G460" s="4"/>
      <c r="H460" s="4"/>
      <c r="I460" s="4" t="str">
        <f>IFERROR(__xludf.DUMMYFUNCTION("""COMPUTED_VALUE"""),"0x9bd6eb3c76e147b1141fcfc03c9867fcd6f7269a")</f>
        <v>0x9bd6eb3c76e147b1141fcfc03c9867fcd6f7269a</v>
      </c>
      <c r="J460" s="18">
        <v>0.34157884886169204</v>
      </c>
      <c r="K460" s="4">
        <v>4.269735610771151</v>
      </c>
      <c r="L460" s="19">
        <v>4.269735610771151E18</v>
      </c>
      <c r="M460" s="20">
        <v>4.2697356107711514E17</v>
      </c>
    </row>
    <row r="461">
      <c r="A461" s="6"/>
      <c r="B461" s="6"/>
      <c r="C461" s="4"/>
      <c r="D461" s="4">
        <v>1.28211428876269</v>
      </c>
      <c r="E461" s="4" t="s">
        <v>859</v>
      </c>
      <c r="F461" s="4"/>
      <c r="G461" s="4"/>
      <c r="H461" s="4"/>
      <c r="I461" s="4" t="str">
        <f>IFERROR(__xludf.DUMMYFUNCTION("""COMPUTED_VALUE"""),"0xf8ba71c6ab2a5e7fd01db3ea52db8c0b540a8972")</f>
        <v>0xf8ba71c6ab2a5e7fd01db3ea52db8c0b540a8972</v>
      </c>
      <c r="J461" s="18">
        <v>49.64624188835929</v>
      </c>
      <c r="K461" s="4">
        <v>620.5780236044911</v>
      </c>
      <c r="L461" s="19">
        <v>6.205780236044911E20</v>
      </c>
      <c r="M461" s="20">
        <v>6.2057802360449114E19</v>
      </c>
    </row>
    <row r="462">
      <c r="A462" s="6"/>
      <c r="B462" s="6"/>
      <c r="C462" s="4"/>
      <c r="D462" s="4">
        <v>106.150094818092</v>
      </c>
      <c r="E462" s="4" t="s">
        <v>861</v>
      </c>
      <c r="F462" s="4"/>
      <c r="G462" s="4"/>
      <c r="H462" s="4"/>
      <c r="I462" s="4" t="str">
        <f>IFERROR(__xludf.DUMMYFUNCTION("""COMPUTED_VALUE"""),"0xed420f5f00186fa868aff815f9f5725be1cadc6d")</f>
        <v>0xed420f5f00186fa868aff815f9f5725be1cadc6d</v>
      </c>
      <c r="J462" s="18">
        <v>154.5142224176886</v>
      </c>
      <c r="K462" s="4">
        <v>1931.4277802211072</v>
      </c>
      <c r="L462" s="19">
        <v>1.9314277802211072E21</v>
      </c>
      <c r="M462" s="20">
        <v>1.9314277802211072E20</v>
      </c>
    </row>
    <row r="463">
      <c r="A463" s="6"/>
      <c r="B463" s="6"/>
      <c r="C463" s="4"/>
      <c r="D463" s="4">
        <v>38.16479672079291</v>
      </c>
      <c r="E463" s="4" t="s">
        <v>863</v>
      </c>
      <c r="F463" s="4"/>
      <c r="G463" s="4"/>
      <c r="H463" s="4"/>
      <c r="I463" s="4" t="str">
        <f>IFERROR(__xludf.DUMMYFUNCTION("""COMPUTED_VALUE"""),"0x15a740b85d7c28f9c495ec5dc7b7450aa7e465e6")</f>
        <v>0x15a740b85d7c28f9c495ec5dc7b7450aa7e465e6</v>
      </c>
      <c r="J463" s="18">
        <v>38.16479672079291</v>
      </c>
      <c r="K463" s="4">
        <v>477.0599590099113</v>
      </c>
      <c r="L463" s="19">
        <v>4.770599590099113E20</v>
      </c>
      <c r="M463" s="20">
        <v>4.7705995900991136E19</v>
      </c>
    </row>
    <row r="464">
      <c r="A464" s="6"/>
      <c r="B464" s="6"/>
      <c r="C464" s="4"/>
      <c r="D464" s="4">
        <v>7.0685416625651705</v>
      </c>
      <c r="E464" s="4" t="s">
        <v>865</v>
      </c>
      <c r="F464" s="4"/>
      <c r="G464" s="4"/>
      <c r="H464" s="4"/>
      <c r="I464" s="4" t="str">
        <f>IFERROR(__xludf.DUMMYFUNCTION("""COMPUTED_VALUE"""),"0x15ce509963e564c12b530454a41fbf3e537b26ca")</f>
        <v>0x15ce509963e564c12b530454a41fbf3e537b26ca</v>
      </c>
      <c r="J464" s="18">
        <v>7.0685416625651705</v>
      </c>
      <c r="K464" s="4">
        <v>88.35677078206463</v>
      </c>
      <c r="L464" s="19">
        <v>8.835677078206462E19</v>
      </c>
      <c r="M464" s="20">
        <v>8.835677078206463E18</v>
      </c>
    </row>
    <row r="465">
      <c r="A465" s="6"/>
      <c r="B465" s="6"/>
      <c r="C465" s="4"/>
      <c r="D465" s="4">
        <v>35.6254499793284</v>
      </c>
      <c r="E465" s="4" t="s">
        <v>866</v>
      </c>
      <c r="F465" s="4"/>
      <c r="G465" s="4"/>
      <c r="H465" s="4"/>
      <c r="I465" s="4" t="str">
        <f>IFERROR(__xludf.DUMMYFUNCTION("""COMPUTED_VALUE"""),"0xd45774113c03bdd689dbfcdb1ab79b8af676ca99")</f>
        <v>0xd45774113c03bdd689dbfcdb1ab79b8af676ca99</v>
      </c>
      <c r="J465" s="18">
        <v>35.6254499793284</v>
      </c>
      <c r="K465" s="4">
        <v>445.318124741605</v>
      </c>
      <c r="L465" s="19">
        <v>4.45318124741605E20</v>
      </c>
      <c r="M465" s="20">
        <v>4.4531812474160505E19</v>
      </c>
    </row>
    <row r="466">
      <c r="A466" s="6"/>
      <c r="B466" s="6"/>
      <c r="C466" s="4"/>
      <c r="D466" s="4">
        <v>176.71354156412897</v>
      </c>
      <c r="E466" s="4" t="s">
        <v>868</v>
      </c>
      <c r="F466" s="4"/>
      <c r="G466" s="4"/>
      <c r="H466" s="4"/>
      <c r="I466" s="4" t="str">
        <f>IFERROR(__xludf.DUMMYFUNCTION("""COMPUTED_VALUE"""),"0x5e0b1f370c47cffa0e7a87137e9b8036e79caa2a")</f>
        <v>0x5e0b1f370c47cffa0e7a87137e9b8036e79caa2a</v>
      </c>
      <c r="J466" s="18">
        <v>176.71354156412897</v>
      </c>
      <c r="K466" s="4">
        <v>2208.919269551612</v>
      </c>
      <c r="L466" s="19">
        <v>2.208919269551612E21</v>
      </c>
      <c r="M466" s="20">
        <v>2.2089192695516122E20</v>
      </c>
    </row>
    <row r="467">
      <c r="A467" s="6"/>
      <c r="B467" s="6"/>
      <c r="C467" s="4"/>
      <c r="D467" s="4">
        <v>216.721516617511</v>
      </c>
      <c r="E467" s="4" t="s">
        <v>870</v>
      </c>
      <c r="F467" s="4"/>
      <c r="G467" s="4"/>
      <c r="H467" s="4"/>
      <c r="I467" s="4" t="str">
        <f>IFERROR(__xludf.DUMMYFUNCTION("""COMPUTED_VALUE"""),"0x0c56825b60add68d79c3b40bbd306c308516708d")</f>
        <v>0x0c56825b60add68d79c3b40bbd306c308516708d</v>
      </c>
      <c r="J467" s="18">
        <v>451.09760442460765</v>
      </c>
      <c r="K467" s="4">
        <v>5638.720055307595</v>
      </c>
      <c r="L467" s="19">
        <v>5.638720055307595E21</v>
      </c>
      <c r="M467" s="20">
        <v>5.638720055307595E20</v>
      </c>
    </row>
    <row r="468">
      <c r="A468" s="6"/>
      <c r="B468" s="6"/>
      <c r="C468" s="4"/>
      <c r="D468" s="4">
        <v>538.46083352819</v>
      </c>
      <c r="E468" s="4" t="s">
        <v>872</v>
      </c>
      <c r="F468" s="4"/>
      <c r="G468" s="4"/>
      <c r="H468" s="4"/>
      <c r="I468" s="4" t="str">
        <f>IFERROR(__xludf.DUMMYFUNCTION("""COMPUTED_VALUE"""),"0x47e9e678452882dd94d2e01b372f2e119dc68fc1")</f>
        <v>0x47e9e678452882dd94d2e01b372f2e119dc68fc1</v>
      </c>
      <c r="J468" s="18">
        <v>772.8369213352867</v>
      </c>
      <c r="K468" s="4">
        <v>9660.461516691083</v>
      </c>
      <c r="L468" s="19">
        <v>9.660461516691083E21</v>
      </c>
      <c r="M468" s="20">
        <v>9.660461516691084E20</v>
      </c>
    </row>
    <row r="469">
      <c r="A469" s="6"/>
      <c r="B469" s="6"/>
      <c r="C469" s="4"/>
      <c r="D469" s="4">
        <v>12.0165208263607</v>
      </c>
      <c r="E469" s="4" t="s">
        <v>874</v>
      </c>
      <c r="F469" s="4"/>
      <c r="G469" s="4"/>
      <c r="H469" s="4"/>
      <c r="I469" s="4" t="str">
        <f>IFERROR(__xludf.DUMMYFUNCTION("""COMPUTED_VALUE"""),"0xb628bf6ea09cefe2e83aa8e10dd13b45f0af85fc")</f>
        <v>0xb628bf6ea09cefe2e83aa8e10dd13b45f0af85fc</v>
      </c>
      <c r="J469" s="18">
        <v>12.0165208263607</v>
      </c>
      <c r="K469" s="4">
        <v>150.20651032950875</v>
      </c>
      <c r="L469" s="19">
        <v>1.5020651032950876E20</v>
      </c>
      <c r="M469" s="20">
        <v>1.5020651032950876E19</v>
      </c>
    </row>
    <row r="470">
      <c r="A470" s="6"/>
      <c r="B470" s="6"/>
      <c r="C470" s="4"/>
      <c r="D470" s="4">
        <v>7.35644315171834</v>
      </c>
      <c r="E470" s="4" t="s">
        <v>875</v>
      </c>
      <c r="F470" s="4"/>
      <c r="G470" s="4"/>
      <c r="H470" s="4"/>
      <c r="I470" s="4" t="str">
        <f>IFERROR(__xludf.DUMMYFUNCTION("""COMPUTED_VALUE"""),"0xb35a6b12eb6df76967fc4eb21c9bff63a706f6d3")</f>
        <v>0xb35a6b12eb6df76967fc4eb21c9bff63a706f6d3</v>
      </c>
      <c r="J470" s="18">
        <v>7.35644315171834</v>
      </c>
      <c r="K470" s="4">
        <v>91.95553939647924</v>
      </c>
      <c r="L470" s="19">
        <v>9.195553939647924E19</v>
      </c>
      <c r="M470" s="20">
        <v>9.195553939647924E18</v>
      </c>
    </row>
    <row r="471">
      <c r="A471" s="6"/>
      <c r="B471" s="6"/>
      <c r="C471" s="4"/>
      <c r="D471" s="4">
        <v>7.0685416625651705</v>
      </c>
      <c r="E471" s="4" t="s">
        <v>877</v>
      </c>
      <c r="F471" s="4"/>
      <c r="G471" s="4"/>
      <c r="H471" s="4"/>
      <c r="I471" s="4" t="str">
        <f>IFERROR(__xludf.DUMMYFUNCTION("""COMPUTED_VALUE"""),"0x37eb51c26efaab36233fd3869a0184ee696550d2")</f>
        <v>0x37eb51c26efaab36233fd3869a0184ee696550d2</v>
      </c>
      <c r="J471" s="18">
        <v>61.01302806838679</v>
      </c>
      <c r="K471" s="4">
        <v>762.6628508548348</v>
      </c>
      <c r="L471" s="19">
        <v>7.626628508548348E20</v>
      </c>
      <c r="M471" s="20">
        <v>7.626628508548348E19</v>
      </c>
    </row>
    <row r="472">
      <c r="A472" s="6"/>
      <c r="B472" s="6"/>
      <c r="C472" s="4"/>
      <c r="D472" s="4">
        <v>67.2348192361456</v>
      </c>
      <c r="E472" s="4" t="s">
        <v>878</v>
      </c>
      <c r="F472" s="4"/>
      <c r="G472" s="4"/>
      <c r="H472" s="4"/>
      <c r="I472" s="4" t="str">
        <f>IFERROR(__xludf.DUMMYFUNCTION("""COMPUTED_VALUE"""),"0x829f958d612ef37d521f97bc280cccb5d84b852a")</f>
        <v>0x829f958d612ef37d521f97bc280cccb5d84b852a</v>
      </c>
      <c r="J472" s="18">
        <v>115.5989468357422</v>
      </c>
      <c r="K472" s="4">
        <v>1444.9868354467774</v>
      </c>
      <c r="L472" s="19">
        <v>1.4449868354467772E21</v>
      </c>
      <c r="M472" s="20">
        <v>1.4449868354467773E20</v>
      </c>
    </row>
    <row r="473">
      <c r="A473" s="6"/>
      <c r="B473" s="6"/>
      <c r="C473" s="4"/>
      <c r="D473" s="4">
        <v>0.141370833251303</v>
      </c>
      <c r="E473" s="4" t="s">
        <v>880</v>
      </c>
      <c r="F473" s="4"/>
      <c r="G473" s="4"/>
      <c r="H473" s="4"/>
      <c r="I473" s="4" t="str">
        <f>IFERROR(__xludf.DUMMYFUNCTION("""COMPUTED_VALUE"""),"0x8fe0314641d49e24c05983ff6f0cd94bddbbfdd5")</f>
        <v>0x8fe0314641d49e24c05983ff6f0cd94bddbbfdd5</v>
      </c>
      <c r="J473" s="18">
        <v>0.141370833251303</v>
      </c>
      <c r="K473" s="4">
        <v>1.7671354156412875</v>
      </c>
      <c r="L473" s="19">
        <v>1.7671354156412874E18</v>
      </c>
      <c r="M473" s="20">
        <v>1.7671354156412877E17</v>
      </c>
    </row>
    <row r="474">
      <c r="A474" s="6"/>
      <c r="B474" s="6"/>
      <c r="C474" s="4"/>
      <c r="D474" s="4">
        <v>7.0685416625651705</v>
      </c>
      <c r="E474" s="4" t="s">
        <v>881</v>
      </c>
      <c r="F474" s="4"/>
      <c r="G474" s="4"/>
      <c r="H474" s="4"/>
      <c r="I474" s="4" t="str">
        <f>IFERROR(__xludf.DUMMYFUNCTION("""COMPUTED_VALUE"""),"0x8bf58b60592eda781cda22c3aa59eb4fde6ba01f")</f>
        <v>0x8bf58b60592eda781cda22c3aa59eb4fde6ba01f</v>
      </c>
      <c r="J474" s="18">
        <v>7.0685416625651705</v>
      </c>
      <c r="K474" s="4">
        <v>88.35677078206463</v>
      </c>
      <c r="L474" s="19">
        <v>8.835677078206462E19</v>
      </c>
      <c r="M474" s="20">
        <v>8.835677078206463E18</v>
      </c>
    </row>
    <row r="475">
      <c r="A475" s="6"/>
      <c r="B475" s="6"/>
      <c r="C475" s="4"/>
      <c r="D475" s="4">
        <v>8.34535989121961</v>
      </c>
      <c r="E475" s="4" t="s">
        <v>882</v>
      </c>
      <c r="F475" s="4"/>
      <c r="G475" s="4"/>
      <c r="H475" s="4"/>
      <c r="I475" s="4" t="str">
        <f>IFERROR(__xludf.DUMMYFUNCTION("""COMPUTED_VALUE"""),"0x7acc1cfa105b1f47249030310d715fa117e30d60")</f>
        <v>0x7acc1cfa105b1f47249030310d715fa117e30d60</v>
      </c>
      <c r="J475" s="18">
        <v>14.10370032734785</v>
      </c>
      <c r="K475" s="4">
        <v>176.2962540918481</v>
      </c>
      <c r="L475" s="19">
        <v>1.7629625409184812E20</v>
      </c>
      <c r="M475" s="20">
        <v>1.7629625409184813E19</v>
      </c>
    </row>
    <row r="476">
      <c r="A476" s="6"/>
      <c r="B476" s="6"/>
      <c r="C476" s="4"/>
      <c r="D476" s="4">
        <v>63.6168749630865</v>
      </c>
      <c r="E476" s="4" t="s">
        <v>884</v>
      </c>
      <c r="F476" s="4"/>
      <c r="G476" s="4"/>
      <c r="H476" s="4"/>
      <c r="I476" s="4" t="str">
        <f>IFERROR(__xludf.DUMMYFUNCTION("""COMPUTED_VALUE"""),"0xe9d289dce390906ed2e982278f9653f7b03c3df7")</f>
        <v>0xe9d289dce390906ed2e982278f9653f7b03c3df7</v>
      </c>
      <c r="J476" s="18">
        <v>297.9929627701831</v>
      </c>
      <c r="K476" s="4">
        <v>3724.912034627289</v>
      </c>
      <c r="L476" s="19">
        <v>3.724912034627289E21</v>
      </c>
      <c r="M476" s="20">
        <v>3.724912034627289E20</v>
      </c>
    </row>
    <row r="477">
      <c r="A477" s="6"/>
      <c r="B477" s="6"/>
      <c r="C477" s="4"/>
      <c r="D477" s="4">
        <v>7.20991249581647</v>
      </c>
      <c r="E477" s="4" t="s">
        <v>886</v>
      </c>
      <c r="F477" s="4"/>
      <c r="G477" s="4"/>
      <c r="H477" s="4"/>
      <c r="I477" s="4" t="str">
        <f>IFERROR(__xludf.DUMMYFUNCTION("""COMPUTED_VALUE"""),"0x4054d802d79f9cd7ec364a0ffb89c1dd4c0ac358")</f>
        <v>0x4054d802d79f9cd7ec364a0ffb89c1dd4c0ac358</v>
      </c>
      <c r="J477" s="18">
        <v>7.20991249581647</v>
      </c>
      <c r="K477" s="4">
        <v>90.12390619770586</v>
      </c>
      <c r="L477" s="19">
        <v>9.012390619770587E19</v>
      </c>
      <c r="M477" s="20">
        <v>9.012390619770587E18</v>
      </c>
    </row>
    <row r="478">
      <c r="A478" s="6"/>
      <c r="B478" s="6"/>
      <c r="C478" s="4"/>
      <c r="D478" s="4">
        <v>14.3603028298329</v>
      </c>
      <c r="E478" s="4" t="s">
        <v>887</v>
      </c>
      <c r="F478" s="4"/>
      <c r="G478" s="4"/>
      <c r="H478" s="4"/>
      <c r="I478" s="4" t="str">
        <f>IFERROR(__xludf.DUMMYFUNCTION("""COMPUTED_VALUE"""),"0xbf57635fed733c568eec316830e0b39a8b7449e2")</f>
        <v>0xbf57635fed733c568eec316830e0b39a8b7449e2</v>
      </c>
      <c r="J478" s="18">
        <v>14.3603028298329</v>
      </c>
      <c r="K478" s="4">
        <v>179.50378537291124</v>
      </c>
      <c r="L478" s="19">
        <v>1.7950378537291124E20</v>
      </c>
      <c r="M478" s="20">
        <v>1.7950378537291125E19</v>
      </c>
    </row>
    <row r="479">
      <c r="A479" s="6"/>
      <c r="B479" s="6"/>
      <c r="C479" s="4"/>
      <c r="D479" s="4">
        <v>10.921979990362901</v>
      </c>
      <c r="E479" s="4" t="s">
        <v>889</v>
      </c>
      <c r="F479" s="4"/>
      <c r="G479" s="4"/>
      <c r="H479" s="4"/>
      <c r="I479" s="4" t="str">
        <f>IFERROR(__xludf.DUMMYFUNCTION("""COMPUTED_VALUE"""),"0x28a3e659d116d4378479505544fcc1de8ec9abee")</f>
        <v>0x28a3e659d116d4378479505544fcc1de8ec9abee</v>
      </c>
      <c r="J479" s="18">
        <v>10.921979990362901</v>
      </c>
      <c r="K479" s="4">
        <v>136.52474987953627</v>
      </c>
      <c r="L479" s="19">
        <v>1.3652474987953627E20</v>
      </c>
      <c r="M479" s="20">
        <v>1.3652474987953627E19</v>
      </c>
    </row>
    <row r="480">
      <c r="A480" s="6"/>
      <c r="B480" s="6"/>
      <c r="C480" s="4"/>
      <c r="D480" s="4">
        <v>14.1370833251303</v>
      </c>
      <c r="E480" s="4" t="s">
        <v>891</v>
      </c>
      <c r="F480" s="4"/>
      <c r="G480" s="4"/>
      <c r="H480" s="4"/>
      <c r="I480" s="4" t="str">
        <f>IFERROR(__xludf.DUMMYFUNCTION("""COMPUTED_VALUE"""),"0x67afd790133ea65c16a1ac0734345c5151a2a042")</f>
        <v>0x67afd790133ea65c16a1ac0734345c5151a2a042</v>
      </c>
      <c r="J480" s="18">
        <v>14.1370833251303</v>
      </c>
      <c r="K480" s="4">
        <v>176.71354156412875</v>
      </c>
      <c r="L480" s="19">
        <v>1.7671354156412876E20</v>
      </c>
      <c r="M480" s="20">
        <v>1.7671354156412877E19</v>
      </c>
    </row>
    <row r="481">
      <c r="A481" s="6"/>
      <c r="B481" s="6"/>
      <c r="C481" s="4"/>
      <c r="D481" s="4">
        <v>7.0685416625651705</v>
      </c>
      <c r="E481" s="4" t="s">
        <v>892</v>
      </c>
      <c r="F481" s="4"/>
      <c r="G481" s="4"/>
      <c r="H481" s="4"/>
      <c r="I481" s="4" t="str">
        <f>IFERROR(__xludf.DUMMYFUNCTION("""COMPUTED_VALUE"""),"0xe413fbd1ae22e49b797c96127c32bcc6dacb15f8")</f>
        <v>0xe413fbd1ae22e49b797c96127c32bcc6dacb15f8</v>
      </c>
      <c r="J481" s="18">
        <v>7.0685416625651705</v>
      </c>
      <c r="K481" s="4">
        <v>88.35677078206463</v>
      </c>
      <c r="L481" s="19">
        <v>8.835677078206462E19</v>
      </c>
      <c r="M481" s="20">
        <v>8.835677078206463E18</v>
      </c>
    </row>
    <row r="482">
      <c r="A482" s="6"/>
      <c r="B482" s="6"/>
      <c r="C482" s="4"/>
      <c r="D482" s="4">
        <v>44.7590583552033</v>
      </c>
      <c r="E482" s="4" t="s">
        <v>893</v>
      </c>
      <c r="F482" s="4"/>
      <c r="G482" s="4"/>
      <c r="H482" s="4"/>
      <c r="I482" s="4" t="str">
        <f>IFERROR(__xludf.DUMMYFUNCTION("""COMPUTED_VALUE"""),"0x32e6d32202f942d97be57514e3479148cfb3154c")</f>
        <v>0x32e6d32202f942d97be57514e3479148cfb3154c</v>
      </c>
      <c r="J482" s="18">
        <v>44.7590583552033</v>
      </c>
      <c r="K482" s="4">
        <v>559.4882294400412</v>
      </c>
      <c r="L482" s="19">
        <v>5.594882294400412E20</v>
      </c>
      <c r="M482" s="20">
        <v>5.594882294400412E19</v>
      </c>
    </row>
    <row r="483">
      <c r="A483" s="6"/>
      <c r="B483" s="6"/>
      <c r="C483" s="4"/>
      <c r="D483" s="4">
        <v>25.956370479451703</v>
      </c>
      <c r="E483" s="4" t="s">
        <v>895</v>
      </c>
      <c r="F483" s="4"/>
      <c r="G483" s="4"/>
      <c r="H483" s="4"/>
      <c r="I483" s="4" t="str">
        <f>IFERROR(__xludf.DUMMYFUNCTION("""COMPUTED_VALUE"""),"0x4d788b80e36959444e29f939668979082ed5048c")</f>
        <v>0x4d788b80e36959444e29f939668979082ed5048c</v>
      </c>
      <c r="J483" s="18">
        <v>136.2928390908186</v>
      </c>
      <c r="K483" s="4">
        <v>1703.6604886352325</v>
      </c>
      <c r="L483" s="19">
        <v>1.7036604886352326E21</v>
      </c>
      <c r="M483" s="20">
        <v>1.7036604886352327E20</v>
      </c>
    </row>
    <row r="484">
      <c r="A484" s="6"/>
      <c r="B484" s="6"/>
      <c r="C484" s="4"/>
      <c r="D484" s="4">
        <v>91.2080609306938</v>
      </c>
      <c r="E484" s="4" t="s">
        <v>897</v>
      </c>
      <c r="F484" s="4"/>
      <c r="G484" s="4"/>
      <c r="H484" s="4"/>
      <c r="I484" s="4" t="str">
        <f>IFERROR(__xludf.DUMMYFUNCTION("""COMPUTED_VALUE"""),"0x0988cc3e99af9efbe1d6c5feeb73d1f7fbcb202e")</f>
        <v>0x0988cc3e99af9efbe1d6c5feeb73d1f7fbcb202e</v>
      </c>
      <c r="J484" s="18">
        <v>325.58414873779043</v>
      </c>
      <c r="K484" s="4">
        <v>4069.8018592223802</v>
      </c>
      <c r="L484" s="19">
        <v>4.0698018592223805E21</v>
      </c>
      <c r="M484" s="20">
        <v>4.069801859222381E20</v>
      </c>
    </row>
    <row r="485">
      <c r="A485" s="6"/>
      <c r="B485" s="6"/>
      <c r="C485" s="4"/>
      <c r="D485" s="4">
        <v>2.97398474514183</v>
      </c>
      <c r="E485" s="4" t="s">
        <v>899</v>
      </c>
      <c r="F485" s="4"/>
      <c r="G485" s="4"/>
      <c r="H485" s="4"/>
      <c r="I485" s="4" t="str">
        <f>IFERROR(__xludf.DUMMYFUNCTION("""COMPUTED_VALUE"""),"0x63f01222cdd9bdefbac853d421a8ad46d8397231")</f>
        <v>0x63f01222cdd9bdefbac853d421a8ad46d8397231</v>
      </c>
      <c r="J485" s="18">
        <v>2.97398474514183</v>
      </c>
      <c r="K485" s="4">
        <v>37.17480931427288</v>
      </c>
      <c r="L485" s="19">
        <v>3.717480931427288E19</v>
      </c>
      <c r="M485" s="20">
        <v>3.717480931427288E18</v>
      </c>
    </row>
    <row r="486">
      <c r="A486" s="6"/>
      <c r="B486" s="6"/>
      <c r="C486" s="4"/>
      <c r="D486" s="4">
        <v>5.81253638421471</v>
      </c>
      <c r="E486" s="4" t="s">
        <v>901</v>
      </c>
      <c r="F486" s="4"/>
      <c r="G486" s="4"/>
      <c r="H486" s="4"/>
      <c r="I486" s="4" t="str">
        <f>IFERROR(__xludf.DUMMYFUNCTION("""COMPUTED_VALUE"""),"0x43b0b24c050a7348c09c76c916b7f37dc21e94bc")</f>
        <v>0x43b0b24c050a7348c09c76c916b7f37dc21e94bc</v>
      </c>
      <c r="J486" s="18">
        <v>5.81253638421471</v>
      </c>
      <c r="K486" s="4">
        <v>72.65670480268388</v>
      </c>
      <c r="L486" s="19">
        <v>7.265670480268388E19</v>
      </c>
      <c r="M486" s="20">
        <v>7.265670480268388E18</v>
      </c>
    </row>
    <row r="487">
      <c r="A487" s="6"/>
      <c r="B487" s="6"/>
      <c r="C487" s="4"/>
      <c r="D487" s="4">
        <v>0.250601862076362</v>
      </c>
      <c r="E487" s="4" t="s">
        <v>903</v>
      </c>
      <c r="F487" s="4"/>
      <c r="G487" s="4"/>
      <c r="H487" s="4"/>
      <c r="I487" s="4" t="str">
        <f>IFERROR(__xludf.DUMMYFUNCTION("""COMPUTED_VALUE"""),"0x33070e04e63dcc92f00f2136e6b81f935615f3c3")</f>
        <v>0x33070e04e63dcc92f00f2136e6b81f935615f3c3</v>
      </c>
      <c r="J487" s="18">
        <v>0.250601862076362</v>
      </c>
      <c r="K487" s="4">
        <v>3.1325232759545245</v>
      </c>
      <c r="L487" s="19">
        <v>3.1325232759545247E18</v>
      </c>
      <c r="M487" s="20">
        <v>3.132523275954525E17</v>
      </c>
    </row>
    <row r="488">
      <c r="A488" s="6"/>
      <c r="B488" s="6"/>
      <c r="C488" s="4"/>
      <c r="D488" s="4">
        <v>34.6886982563396</v>
      </c>
      <c r="E488" s="4" t="s">
        <v>905</v>
      </c>
      <c r="F488" s="4"/>
      <c r="G488" s="4"/>
      <c r="H488" s="4"/>
      <c r="I488" s="4" t="str">
        <f>IFERROR(__xludf.DUMMYFUNCTION("""COMPUTED_VALUE"""),"0x91919b27174dcb4eb742e82c86695b24cba73aa1")</f>
        <v>0x91919b27174dcb4eb742e82c86695b24cba73aa1</v>
      </c>
      <c r="J488" s="18">
        <v>34.6886982563396</v>
      </c>
      <c r="K488" s="4">
        <v>433.608728204245</v>
      </c>
      <c r="L488" s="19">
        <v>4.33608728204245E20</v>
      </c>
      <c r="M488" s="20">
        <v>4.33608728204245E19</v>
      </c>
    </row>
    <row r="489">
      <c r="A489" s="6"/>
      <c r="B489" s="6"/>
      <c r="C489" s="4"/>
      <c r="D489" s="4">
        <v>1.5702435382900601</v>
      </c>
      <c r="E489" s="4" t="s">
        <v>907</v>
      </c>
      <c r="F489" s="4"/>
      <c r="G489" s="4"/>
      <c r="H489" s="4"/>
      <c r="I489" s="4" t="str">
        <f>IFERROR(__xludf.DUMMYFUNCTION("""COMPUTED_VALUE"""),"0xdda676f2a6481d3042ca65efd1899d55ad3d4671")</f>
        <v>0xdda676f2a6481d3042ca65efd1899d55ad3d4671</v>
      </c>
      <c r="J489" s="18">
        <v>1.5702435382900601</v>
      </c>
      <c r="K489" s="4">
        <v>19.62804422862575</v>
      </c>
      <c r="L489" s="19">
        <v>1.9628044228625752E19</v>
      </c>
      <c r="M489" s="20">
        <v>1.9628044228625754E18</v>
      </c>
    </row>
    <row r="490">
      <c r="A490" s="6"/>
      <c r="B490" s="6"/>
      <c r="C490" s="4"/>
      <c r="D490" s="4">
        <v>0.0753535943535338</v>
      </c>
      <c r="E490" s="4" t="s">
        <v>909</v>
      </c>
      <c r="F490" s="4"/>
      <c r="G490" s="4"/>
      <c r="H490" s="4"/>
      <c r="I490" s="4" t="str">
        <f>IFERROR(__xludf.DUMMYFUNCTION("""COMPUTED_VALUE"""),"0x5739928bbcf4cf6932369f1d590ede8a8cd53cda")</f>
        <v>0x5739928bbcf4cf6932369f1d590ede8a8cd53cda</v>
      </c>
      <c r="J490" s="18">
        <v>186.08731380185353</v>
      </c>
      <c r="K490" s="4">
        <v>2326.091422523169</v>
      </c>
      <c r="L490" s="19">
        <v>2.3260914225231692E21</v>
      </c>
      <c r="M490" s="20">
        <v>2.3260914225231692E20</v>
      </c>
    </row>
    <row r="491">
      <c r="A491" s="6"/>
      <c r="B491" s="6"/>
      <c r="C491" s="4"/>
      <c r="D491" s="4">
        <v>7.65927099826554</v>
      </c>
      <c r="E491" s="4" t="s">
        <v>911</v>
      </c>
      <c r="F491" s="4"/>
      <c r="G491" s="4"/>
      <c r="H491" s="4"/>
      <c r="I491" s="4" t="str">
        <f>IFERROR(__xludf.DUMMYFUNCTION("""COMPUTED_VALUE"""),"0x87a542ba7990e616c41883e9b6912e20470fda79")</f>
        <v>0x87a542ba7990e616c41883e9b6912e20470fda79</v>
      </c>
      <c r="J491" s="18">
        <v>7.65927099826554</v>
      </c>
      <c r="K491" s="4">
        <v>95.74088747831925</v>
      </c>
      <c r="L491" s="19">
        <v>9.574088747831925E19</v>
      </c>
      <c r="M491" s="20">
        <v>9.574088747831925E18</v>
      </c>
    </row>
    <row r="492">
      <c r="A492" s="6"/>
      <c r="B492" s="6"/>
      <c r="C492" s="4"/>
      <c r="D492" s="4">
        <v>10.020028728633</v>
      </c>
      <c r="E492" s="4" t="s">
        <v>913</v>
      </c>
      <c r="F492" s="4"/>
      <c r="G492" s="4"/>
      <c r="H492" s="4"/>
      <c r="I492" s="4" t="str">
        <f>IFERROR(__xludf.DUMMYFUNCTION("""COMPUTED_VALUE"""),"0xa7b9636ac66b76e629bb3c8915409d8a15419403")</f>
        <v>0xa7b9636ac66b76e629bb3c8915409d8a15419403</v>
      </c>
      <c r="J492" s="18">
        <v>10.020028728633</v>
      </c>
      <c r="K492" s="4">
        <v>125.25035910791249</v>
      </c>
      <c r="L492" s="19">
        <v>1.2525035910791248E20</v>
      </c>
      <c r="M492" s="20">
        <v>1.252503591079125E19</v>
      </c>
    </row>
    <row r="493">
      <c r="A493" s="6"/>
      <c r="B493" s="6"/>
      <c r="C493" s="4"/>
      <c r="D493" s="4">
        <v>7.0685416625651705</v>
      </c>
      <c r="E493" s="4" t="s">
        <v>915</v>
      </c>
      <c r="F493" s="4"/>
      <c r="G493" s="4"/>
      <c r="H493" s="4"/>
      <c r="I493" s="4" t="str">
        <f>IFERROR(__xludf.DUMMYFUNCTION("""COMPUTED_VALUE"""),"0x540dcd16e6ed2ff52a9b97992aa8bd5edaaeed0d")</f>
        <v>0x540dcd16e6ed2ff52a9b97992aa8bd5edaaeed0d</v>
      </c>
      <c r="J493" s="18">
        <v>7.0685416625651705</v>
      </c>
      <c r="K493" s="4">
        <v>88.35677078206463</v>
      </c>
      <c r="L493" s="19">
        <v>8.835677078206462E19</v>
      </c>
      <c r="M493" s="20">
        <v>8.835677078206463E18</v>
      </c>
    </row>
    <row r="494">
      <c r="A494" s="6"/>
      <c r="B494" s="6"/>
      <c r="C494" s="4"/>
      <c r="D494" s="4">
        <v>14.1370833251303</v>
      </c>
      <c r="E494" s="4" t="s">
        <v>916</v>
      </c>
      <c r="F494" s="4"/>
      <c r="G494" s="4"/>
      <c r="H494" s="4"/>
      <c r="I494" s="4" t="str">
        <f>IFERROR(__xludf.DUMMYFUNCTION("""COMPUTED_VALUE"""),"0x5d02c857e98465f5b3a957b1f43569c4dae58ca0")</f>
        <v>0x5d02c857e98465f5b3a957b1f43569c4dae58ca0</v>
      </c>
      <c r="J494" s="18">
        <v>43.1555598848883</v>
      </c>
      <c r="K494" s="4">
        <v>539.4444985611037</v>
      </c>
      <c r="L494" s="19">
        <v>5.3944449856110376E20</v>
      </c>
      <c r="M494" s="20">
        <v>5.394444985611038E19</v>
      </c>
    </row>
    <row r="495">
      <c r="A495" s="6"/>
      <c r="B495" s="6"/>
      <c r="C495" s="4"/>
      <c r="D495" s="4">
        <v>0.909728752062435</v>
      </c>
      <c r="E495" s="4" t="s">
        <v>917</v>
      </c>
      <c r="F495" s="4"/>
      <c r="G495" s="4"/>
      <c r="H495" s="4"/>
      <c r="I495" s="4" t="str">
        <f>IFERROR(__xludf.DUMMYFUNCTION("""COMPUTED_VALUE"""),"0x1832ece1239338264f70f6d6204e66c2145a2db2")</f>
        <v>0x1832ece1239338264f70f6d6204e66c2145a2db2</v>
      </c>
      <c r="J495" s="18">
        <v>0.909728752062435</v>
      </c>
      <c r="K495" s="4">
        <v>11.371609400780438</v>
      </c>
      <c r="L495" s="19">
        <v>1.1371609400780438E19</v>
      </c>
      <c r="M495" s="20">
        <v>1.1371609400780438E18</v>
      </c>
    </row>
    <row r="496">
      <c r="A496" s="6"/>
      <c r="B496" s="6"/>
      <c r="C496" s="4"/>
      <c r="D496" s="4">
        <v>15.7980259934562</v>
      </c>
      <c r="E496" s="4" t="s">
        <v>919</v>
      </c>
      <c r="F496" s="4"/>
      <c r="G496" s="4"/>
      <c r="H496" s="4"/>
      <c r="I496" s="4" t="str">
        <f>IFERROR(__xludf.DUMMYFUNCTION("""COMPUTED_VALUE"""),"0xce589abecfb98d1eaeba43e6d9e041e87e5ad13d")</f>
        <v>0xce589abecfb98d1eaeba43e6d9e041e87e5ad13d</v>
      </c>
      <c r="J496" s="18">
        <v>15.7980259934562</v>
      </c>
      <c r="K496" s="4">
        <v>197.4753249182025</v>
      </c>
      <c r="L496" s="19">
        <v>1.974753249182025E20</v>
      </c>
      <c r="M496" s="20">
        <v>1.974753249182025E19</v>
      </c>
    </row>
    <row r="497">
      <c r="A497" s="6"/>
      <c r="B497" s="6"/>
      <c r="C497" s="4"/>
      <c r="D497" s="4">
        <v>4.30665776715414</v>
      </c>
      <c r="E497" s="4" t="s">
        <v>921</v>
      </c>
      <c r="F497" s="4"/>
      <c r="G497" s="4"/>
      <c r="H497" s="4"/>
      <c r="I497" s="4" t="str">
        <f>IFERROR(__xludf.DUMMYFUNCTION("""COMPUTED_VALUE"""),"0xb942293e251be086aa7b5a835ae5a204c80658ba")</f>
        <v>0xb942293e251be086aa7b5a835ae5a204c80658ba</v>
      </c>
      <c r="J497" s="18">
        <v>24.436606948070636</v>
      </c>
      <c r="K497" s="4">
        <v>305.45758685088293</v>
      </c>
      <c r="L497" s="19">
        <v>3.054575868508829E20</v>
      </c>
      <c r="M497" s="20">
        <v>3.0545758685088293E19</v>
      </c>
    </row>
    <row r="498">
      <c r="A498" s="6"/>
      <c r="B498" s="6"/>
      <c r="C498" s="4"/>
      <c r="D498" s="4">
        <v>388.769791441084</v>
      </c>
      <c r="E498" s="4" t="s">
        <v>923</v>
      </c>
      <c r="F498" s="4"/>
      <c r="G498" s="4"/>
      <c r="H498" s="4"/>
      <c r="I498" s="4" t="str">
        <f>IFERROR(__xludf.DUMMYFUNCTION("""COMPUTED_VALUE"""),"0xa656316cd0613c47a5b1c49125af331189a8e551")</f>
        <v>0xa656316cd0613c47a5b1c49125af331189a8e551</v>
      </c>
      <c r="J498" s="18">
        <v>623.1458792481806</v>
      </c>
      <c r="K498" s="4">
        <v>7789.323490602257</v>
      </c>
      <c r="L498" s="19">
        <v>7.789323490602257E21</v>
      </c>
      <c r="M498" s="20">
        <v>7.789323490602258E20</v>
      </c>
    </row>
    <row r="499">
      <c r="A499" s="6"/>
      <c r="B499" s="6"/>
      <c r="C499" s="4"/>
      <c r="D499" s="4">
        <v>6.20940755013814</v>
      </c>
      <c r="E499" s="4" t="s">
        <v>925</v>
      </c>
      <c r="F499" s="4"/>
      <c r="G499" s="4"/>
      <c r="H499" s="4"/>
      <c r="I499" s="4" t="str">
        <f>IFERROR(__xludf.DUMMYFUNCTION("""COMPUTED_VALUE"""),"0x9a06ded5a7fdbb1cf08f8414b18f73d078038fe2")</f>
        <v>0x9a06ded5a7fdbb1cf08f8414b18f73d078038fe2</v>
      </c>
      <c r="J499" s="18">
        <v>6.20940755013814</v>
      </c>
      <c r="K499" s="4">
        <v>77.61759437672674</v>
      </c>
      <c r="L499" s="19">
        <v>7.761759437672674E19</v>
      </c>
      <c r="M499" s="20">
        <v>7.761759437672674E18</v>
      </c>
    </row>
    <row r="500">
      <c r="A500" s="6"/>
      <c r="B500" s="6"/>
      <c r="C500" s="4"/>
      <c r="D500" s="4">
        <v>14.034798425145999</v>
      </c>
      <c r="E500" s="4" t="s">
        <v>927</v>
      </c>
      <c r="F500" s="4"/>
      <c r="G500" s="4"/>
      <c r="H500" s="4"/>
      <c r="I500" s="4" t="str">
        <f>IFERROR(__xludf.DUMMYFUNCTION("""COMPUTED_VALUE"""),"0x6d79add48cf4bab813773235ca20f5942f5e39d0")</f>
        <v>0x6d79add48cf4bab813773235ca20f5942f5e39d0</v>
      </c>
      <c r="J500" s="18">
        <v>236.58334046953968</v>
      </c>
      <c r="K500" s="4">
        <v>2957.291755869246</v>
      </c>
      <c r="L500" s="19">
        <v>2.957291755869246E21</v>
      </c>
      <c r="M500" s="20">
        <v>2.957291755869246E20</v>
      </c>
    </row>
    <row r="501">
      <c r="A501" s="6"/>
      <c r="B501" s="6"/>
      <c r="C501" s="4"/>
      <c r="D501" s="4">
        <v>16.0500648799471</v>
      </c>
      <c r="E501" s="4" t="s">
        <v>929</v>
      </c>
      <c r="F501" s="4"/>
      <c r="G501" s="4"/>
      <c r="H501" s="4"/>
      <c r="I501" s="4" t="str">
        <f>IFERROR(__xludf.DUMMYFUNCTION("""COMPUTED_VALUE"""),"0x81389bf2b1fcda287b090119ea3cc706a16b6c36")</f>
        <v>0x81389bf2b1fcda287b090119ea3cc706a16b6c36</v>
      </c>
      <c r="J501" s="18">
        <v>250.42615268704367</v>
      </c>
      <c r="K501" s="4">
        <v>3130.3269085880456</v>
      </c>
      <c r="L501" s="19">
        <v>3.1303269085880454E21</v>
      </c>
      <c r="M501" s="20">
        <v>3.130326908588046E20</v>
      </c>
    </row>
    <row r="502">
      <c r="A502" s="6"/>
      <c r="B502" s="6"/>
      <c r="C502" s="4"/>
      <c r="D502" s="4">
        <v>7.0685416625651705</v>
      </c>
      <c r="E502" s="4" t="s">
        <v>931</v>
      </c>
      <c r="F502" s="4"/>
      <c r="G502" s="4"/>
      <c r="H502" s="4"/>
      <c r="I502" s="4" t="str">
        <f>IFERROR(__xludf.DUMMYFUNCTION("""COMPUTED_VALUE"""),"0x76692308e29ac2ee3378cbd50c6c02c8094e7f67")</f>
        <v>0x76692308e29ac2ee3378cbd50c6c02c8094e7f67</v>
      </c>
      <c r="J502" s="18">
        <v>7.0685416625651705</v>
      </c>
      <c r="K502" s="4">
        <v>88.35677078206463</v>
      </c>
      <c r="L502" s="19">
        <v>8.835677078206462E19</v>
      </c>
      <c r="M502" s="20">
        <v>8.835677078206463E18</v>
      </c>
    </row>
    <row r="503">
      <c r="A503" s="6"/>
      <c r="B503" s="6"/>
      <c r="C503" s="4"/>
      <c r="D503" s="4">
        <v>24.8812666522294</v>
      </c>
      <c r="E503" s="4" t="s">
        <v>932</v>
      </c>
      <c r="F503" s="4"/>
      <c r="G503" s="4"/>
      <c r="H503" s="4"/>
      <c r="I503" s="4" t="str">
        <f>IFERROR(__xludf.DUMMYFUNCTION("""COMPUTED_VALUE"""),"0xc321e5dbe8a3e3bf9c91ddea64ba0ad4df9729d6")</f>
        <v>0xc321e5dbe8a3e3bf9c91ddea64ba0ad4df9729d6</v>
      </c>
      <c r="J503" s="18">
        <v>259.257354459326</v>
      </c>
      <c r="K503" s="4">
        <v>3240.7169307415747</v>
      </c>
      <c r="L503" s="19">
        <v>3.240716930741575E21</v>
      </c>
      <c r="M503" s="20">
        <v>3.240716930741575E20</v>
      </c>
    </row>
    <row r="504">
      <c r="A504" s="6"/>
      <c r="B504" s="6"/>
      <c r="C504" s="4"/>
      <c r="D504" s="4">
        <v>4.43731367112907</v>
      </c>
      <c r="E504" s="4" t="s">
        <v>934</v>
      </c>
      <c r="F504" s="4"/>
      <c r="G504" s="4"/>
      <c r="H504" s="4"/>
      <c r="I504" s="4" t="str">
        <f>IFERROR(__xludf.DUMMYFUNCTION("""COMPUTED_VALUE"""),"0x7b4a10ff99be31956f29eb2b65e1eb4f55f35a43")</f>
        <v>0x7b4a10ff99be31956f29eb2b65e1eb4f55f35a43</v>
      </c>
      <c r="J504" s="18">
        <v>4.43731367112907</v>
      </c>
      <c r="K504" s="4">
        <v>55.46642088911337</v>
      </c>
      <c r="L504" s="19">
        <v>5.546642088911337E19</v>
      </c>
      <c r="M504" s="20">
        <v>5.546642088911337E18</v>
      </c>
    </row>
    <row r="505">
      <c r="A505" s="6"/>
      <c r="B505" s="6"/>
      <c r="C505" s="4"/>
      <c r="D505" s="4">
        <v>15.5507916576433</v>
      </c>
      <c r="E505" s="4" t="s">
        <v>936</v>
      </c>
      <c r="F505" s="4"/>
      <c r="G505" s="4"/>
      <c r="H505" s="4"/>
      <c r="I505" s="4" t="str">
        <f>IFERROR(__xludf.DUMMYFUNCTION("""COMPUTED_VALUE"""),"0xb5968113f977c93a47479f1762d57be73df4ba1a")</f>
        <v>0xb5968113f977c93a47479f1762d57be73df4ba1a</v>
      </c>
      <c r="J505" s="18">
        <v>63.9149192572399</v>
      </c>
      <c r="K505" s="4">
        <v>798.9364907154987</v>
      </c>
      <c r="L505" s="19">
        <v>7.989364907154987E20</v>
      </c>
      <c r="M505" s="20">
        <v>7.989364907154987E19</v>
      </c>
    </row>
    <row r="506">
      <c r="A506" s="6"/>
      <c r="B506" s="6"/>
      <c r="C506" s="4"/>
      <c r="D506" s="4">
        <v>8.66426991490146</v>
      </c>
      <c r="E506" s="4" t="s">
        <v>938</v>
      </c>
      <c r="F506" s="4"/>
      <c r="G506" s="4"/>
      <c r="H506" s="4"/>
      <c r="I506" s="4" t="str">
        <f>IFERROR(__xludf.DUMMYFUNCTION("""COMPUTED_VALUE"""),"0x88394bff9ea27cc25232da12044366786814f7d0")</f>
        <v>0x88394bff9ea27cc25232da12044366786814f7d0</v>
      </c>
      <c r="J506" s="18">
        <v>57.02839751449806</v>
      </c>
      <c r="K506" s="4">
        <v>712.8549689312257</v>
      </c>
      <c r="L506" s="19">
        <v>7.128549689312257E20</v>
      </c>
      <c r="M506" s="20">
        <v>7.128549689312258E19</v>
      </c>
    </row>
    <row r="507">
      <c r="A507" s="6"/>
      <c r="B507" s="6"/>
      <c r="C507" s="4"/>
      <c r="D507" s="4">
        <v>55.0144902385895</v>
      </c>
      <c r="E507" s="4" t="s">
        <v>940</v>
      </c>
      <c r="F507" s="4"/>
      <c r="G507" s="4"/>
      <c r="H507" s="4"/>
      <c r="I507" s="4" t="str">
        <f>IFERROR(__xludf.DUMMYFUNCTION("""COMPUTED_VALUE"""),"0xe31ae6611c21d3f4114d610208d0848fda574df0")</f>
        <v>0xe31ae6611c21d3f4114d610208d0848fda574df0</v>
      </c>
      <c r="J507" s="18">
        <v>103.3786178381861</v>
      </c>
      <c r="K507" s="4">
        <v>1292.2327229773261</v>
      </c>
      <c r="L507" s="19">
        <v>1.292232722977326E21</v>
      </c>
      <c r="M507" s="20">
        <v>1.2922327229773262E20</v>
      </c>
    </row>
    <row r="508">
      <c r="A508" s="6"/>
      <c r="B508" s="6"/>
      <c r="C508" s="4"/>
      <c r="D508" s="4">
        <v>9.35673758872278</v>
      </c>
      <c r="E508" s="4" t="s">
        <v>942</v>
      </c>
      <c r="F508" s="4"/>
      <c r="G508" s="4"/>
      <c r="H508" s="4"/>
      <c r="I508" s="4" t="str">
        <f>IFERROR(__xludf.DUMMYFUNCTION("""COMPUTED_VALUE"""),"0x213adb059e4b51876107eb198a758a53933e91b6")</f>
        <v>0x213adb059e4b51876107eb198a758a53933e91b6</v>
      </c>
      <c r="J508" s="18">
        <v>243.73282539581936</v>
      </c>
      <c r="K508" s="4">
        <v>3046.660317447742</v>
      </c>
      <c r="L508" s="19">
        <v>3.046660317447742E21</v>
      </c>
      <c r="M508" s="20">
        <v>3.0466603174477424E20</v>
      </c>
    </row>
    <row r="509">
      <c r="A509" s="6"/>
      <c r="B509" s="6"/>
      <c r="C509" s="4"/>
      <c r="D509" s="4">
        <v>3.32650527568068</v>
      </c>
      <c r="E509" s="4" t="s">
        <v>944</v>
      </c>
      <c r="F509" s="4"/>
      <c r="G509" s="4"/>
      <c r="H509" s="4"/>
      <c r="I509" s="4" t="str">
        <f>IFERROR(__xludf.DUMMYFUNCTION("""COMPUTED_VALUE"""),"0xa942533ecf3b410e773f9c6692893f338e39aa1d")</f>
        <v>0xa942533ecf3b410e773f9c6692893f338e39aa1d</v>
      </c>
      <c r="J509" s="18">
        <v>25.976944027803583</v>
      </c>
      <c r="K509" s="4">
        <v>324.7118003475448</v>
      </c>
      <c r="L509" s="19">
        <v>3.247118003475448E20</v>
      </c>
      <c r="M509" s="20">
        <v>3.247118003475448E19</v>
      </c>
    </row>
    <row r="510">
      <c r="A510" s="6"/>
      <c r="B510" s="6"/>
      <c r="C510" s="4"/>
      <c r="D510" s="4">
        <v>87.7935576432035</v>
      </c>
      <c r="E510" s="4" t="s">
        <v>946</v>
      </c>
      <c r="F510" s="4"/>
      <c r="G510" s="4"/>
      <c r="H510" s="4"/>
      <c r="I510" s="4" t="str">
        <f>IFERROR(__xludf.DUMMYFUNCTION("""COMPUTED_VALUE"""),"0x6f57aec9cec64a9e0e0318808a221fe473891a45")</f>
        <v>0x6f57aec9cec64a9e0e0318808a221fe473891a45</v>
      </c>
      <c r="J510" s="18">
        <v>318.2890269447305</v>
      </c>
      <c r="K510" s="4">
        <v>3978.6128368091313</v>
      </c>
      <c r="L510" s="19">
        <v>3.9786128368091314E21</v>
      </c>
      <c r="M510" s="20">
        <v>3.978612836809132E20</v>
      </c>
    </row>
    <row r="511">
      <c r="A511" s="6"/>
      <c r="B511" s="6"/>
      <c r="C511" s="4"/>
      <c r="D511" s="4">
        <v>1.78406575497015</v>
      </c>
      <c r="E511" s="4" t="s">
        <v>948</v>
      </c>
      <c r="F511" s="4"/>
      <c r="G511" s="4"/>
      <c r="H511" s="4"/>
      <c r="I511" s="4" t="str">
        <f>IFERROR(__xludf.DUMMYFUNCTION("""COMPUTED_VALUE"""),"0xc8a876139589a3081ca1d1fb5579eea5bcb950a4")</f>
        <v>0xc8a876139589a3081ca1d1fb5579eea5bcb950a4</v>
      </c>
      <c r="J511" s="18">
        <v>1.78406575497015</v>
      </c>
      <c r="K511" s="4">
        <v>22.300821937126873</v>
      </c>
      <c r="L511" s="19">
        <v>2.230082193712687E19</v>
      </c>
      <c r="M511" s="20">
        <v>2.230082193712687E18</v>
      </c>
    </row>
    <row r="512">
      <c r="A512" s="6"/>
      <c r="B512" s="6"/>
      <c r="C512" s="4"/>
      <c r="D512" s="4">
        <v>14.204186635841301</v>
      </c>
      <c r="E512" s="4" t="s">
        <v>950</v>
      </c>
      <c r="F512" s="4"/>
      <c r="G512" s="4"/>
      <c r="H512" s="4"/>
      <c r="I512" s="4" t="str">
        <f>IFERROR(__xludf.DUMMYFUNCTION("""COMPUTED_VALUE"""),"0x9e38518fbd86ac0a5e5cf8a630fbbcadad4a9281")</f>
        <v>0x9e38518fbd86ac0a5e5cf8a630fbbcadad4a9281</v>
      </c>
      <c r="J512" s="18">
        <v>14.204186635841301</v>
      </c>
      <c r="K512" s="4">
        <v>177.55233294801627</v>
      </c>
      <c r="L512" s="19">
        <v>1.7755233294801627E20</v>
      </c>
      <c r="M512" s="20">
        <v>1.7755233294801627E19</v>
      </c>
    </row>
    <row r="513">
      <c r="A513" s="6"/>
      <c r="B513" s="6"/>
      <c r="C513" s="4"/>
      <c r="D513" s="4">
        <v>1499.4112929015298</v>
      </c>
      <c r="E513" s="4" t="s">
        <v>952</v>
      </c>
      <c r="F513" s="4"/>
      <c r="G513" s="4"/>
      <c r="H513" s="4"/>
      <c r="I513" s="4" t="str">
        <f>IFERROR(__xludf.DUMMYFUNCTION("""COMPUTED_VALUE"""),"0x88370ae069b0fc8e0bca44305bf3a0d6ab56919f")</f>
        <v>0x88370ae069b0fc8e0bca44305bf3a0d6ab56919f</v>
      </c>
      <c r="J513" s="18">
        <v>1574.9138769318226</v>
      </c>
      <c r="K513" s="4">
        <v>19686.423461647784</v>
      </c>
      <c r="L513" s="19">
        <v>1.9686423461647784E22</v>
      </c>
      <c r="M513" s="20">
        <v>1.9686423461647784E21</v>
      </c>
    </row>
    <row r="514">
      <c r="A514" s="6"/>
      <c r="B514" s="6"/>
      <c r="C514" s="4"/>
      <c r="D514" s="4">
        <v>533.632117951895</v>
      </c>
      <c r="E514" s="4" t="s">
        <v>954</v>
      </c>
      <c r="F514" s="4"/>
      <c r="G514" s="4"/>
      <c r="H514" s="4"/>
      <c r="I514" s="4" t="str">
        <f>IFERROR(__xludf.DUMMYFUNCTION("""COMPUTED_VALUE"""),"0x22801922544fefc518e1c80fba92f633fe58161b")</f>
        <v>0x22801922544fefc518e1c80fba92f633fe58161b</v>
      </c>
      <c r="J514" s="18">
        <v>768.0082057589916</v>
      </c>
      <c r="K514" s="4">
        <v>9600.102571987394</v>
      </c>
      <c r="L514" s="19">
        <v>9.600102571987394E21</v>
      </c>
      <c r="M514" s="20">
        <v>9.600102571987394E20</v>
      </c>
    </row>
    <row r="515">
      <c r="A515" s="6"/>
      <c r="B515" s="6"/>
      <c r="C515" s="4"/>
      <c r="D515" s="4">
        <v>7.34747180416162</v>
      </c>
      <c r="E515" s="4" t="s">
        <v>956</v>
      </c>
      <c r="F515" s="4"/>
      <c r="G515" s="4"/>
      <c r="H515" s="4"/>
      <c r="I515" s="4" t="str">
        <f>IFERROR(__xludf.DUMMYFUNCTION("""COMPUTED_VALUE"""),"0xd26e05151afa27cfe681ac6127460f0ada1aca96")</f>
        <v>0xd26e05151afa27cfe681ac6127460f0ada1aca96</v>
      </c>
      <c r="J515" s="18">
        <v>55.71159940375822</v>
      </c>
      <c r="K515" s="4">
        <v>696.3949925469777</v>
      </c>
      <c r="L515" s="19">
        <v>6.963949925469777E20</v>
      </c>
      <c r="M515" s="20">
        <v>6.963949925469777E19</v>
      </c>
    </row>
    <row r="516">
      <c r="A516" s="6"/>
      <c r="B516" s="6"/>
      <c r="C516" s="4"/>
      <c r="D516" s="4">
        <v>6.536447015073301</v>
      </c>
      <c r="E516" s="4" t="s">
        <v>958</v>
      </c>
      <c r="F516" s="4"/>
      <c r="G516" s="4"/>
      <c r="H516" s="4"/>
      <c r="I516" s="4" t="str">
        <f>IFERROR(__xludf.DUMMYFUNCTION("""COMPUTED_VALUE"""),"0x52fcd4a0a2658991207e054c01a1f4b3eab6532e")</f>
        <v>0x52fcd4a0a2658991207e054c01a1f4b3eab6532e</v>
      </c>
      <c r="J516" s="18">
        <v>12.06699909375572</v>
      </c>
      <c r="K516" s="4">
        <v>150.83748867194652</v>
      </c>
      <c r="L516" s="19">
        <v>1.508374886719465E20</v>
      </c>
      <c r="M516" s="20">
        <v>1.508374886719465E19</v>
      </c>
    </row>
    <row r="517">
      <c r="A517" s="6"/>
      <c r="B517" s="6"/>
      <c r="C517" s="4"/>
      <c r="D517" s="4">
        <v>32.952828555344404</v>
      </c>
      <c r="E517" s="4" t="s">
        <v>960</v>
      </c>
      <c r="F517" s="4"/>
      <c r="G517" s="4"/>
      <c r="H517" s="4"/>
      <c r="I517" s="4" t="str">
        <f>IFERROR(__xludf.DUMMYFUNCTION("""COMPUTED_VALUE"""),"0x43b14ff42ffe23e703c0d18a98a3826d5d9c6a52")</f>
        <v>0x43b14ff42ffe23e703c0d18a98a3826d5d9c6a52</v>
      </c>
      <c r="J517" s="18">
        <v>32.952828555344404</v>
      </c>
      <c r="K517" s="4">
        <v>411.91035694180505</v>
      </c>
      <c r="L517" s="19">
        <v>4.1191035694180506E20</v>
      </c>
      <c r="M517" s="20">
        <v>4.119103569418051E19</v>
      </c>
    </row>
    <row r="518">
      <c r="A518" s="6"/>
      <c r="B518" s="6"/>
      <c r="C518" s="4"/>
      <c r="D518" s="4">
        <v>6.1926914123228896</v>
      </c>
      <c r="E518" s="4" t="s">
        <v>962</v>
      </c>
      <c r="F518" s="4"/>
      <c r="G518" s="4"/>
      <c r="H518" s="4"/>
      <c r="I518" s="4" t="str">
        <f>IFERROR(__xludf.DUMMYFUNCTION("""COMPUTED_VALUE"""),"0xa93e04348f977b4a5eff28ebde96b138cedf4172")</f>
        <v>0xa93e04348f977b4a5eff28ebde96b138cedf4172</v>
      </c>
      <c r="J518" s="18">
        <v>6.1926914123228896</v>
      </c>
      <c r="K518" s="4">
        <v>77.40864265403611</v>
      </c>
      <c r="L518" s="19">
        <v>7.740864265403612E19</v>
      </c>
      <c r="M518" s="20">
        <v>7.740864265403612E18</v>
      </c>
    </row>
    <row r="519">
      <c r="A519" s="6"/>
      <c r="B519" s="6"/>
      <c r="C519" s="4"/>
      <c r="D519" s="4">
        <v>6.0646771616039405</v>
      </c>
      <c r="E519" s="4" t="s">
        <v>964</v>
      </c>
      <c r="F519" s="4"/>
      <c r="G519" s="4"/>
      <c r="H519" s="4"/>
      <c r="I519" s="4" t="str">
        <f>IFERROR(__xludf.DUMMYFUNCTION("""COMPUTED_VALUE"""),"0xd0ef22e0e5ecbef1ea60aae676313455b39c7f89")</f>
        <v>0xd0ef22e0e5ecbef1ea60aae676313455b39c7f89</v>
      </c>
      <c r="J519" s="18">
        <v>47.537299178860934</v>
      </c>
      <c r="K519" s="4">
        <v>594.2162397357616</v>
      </c>
      <c r="L519" s="19">
        <v>5.942162397357617E20</v>
      </c>
      <c r="M519" s="20">
        <v>5.942162397357617E19</v>
      </c>
    </row>
    <row r="520">
      <c r="A520" s="6"/>
      <c r="B520" s="6"/>
      <c r="C520" s="4"/>
      <c r="D520" s="4">
        <v>480.840139998966</v>
      </c>
      <c r="E520" s="4" t="s">
        <v>966</v>
      </c>
      <c r="F520" s="4"/>
      <c r="G520" s="4"/>
      <c r="H520" s="4"/>
      <c r="I520" s="4" t="str">
        <f>IFERROR(__xludf.DUMMYFUNCTION("""COMPUTED_VALUE"""),"0x3796b96c3807d0469db00638e405f8d469d0b76d")</f>
        <v>0x3796b96c3807d0469db00638e405f8d469d0b76d</v>
      </c>
      <c r="J520" s="18">
        <v>708.1124955878788</v>
      </c>
      <c r="K520" s="4">
        <v>8851.406194848485</v>
      </c>
      <c r="L520" s="19">
        <v>8.851406194848485E21</v>
      </c>
      <c r="M520" s="20">
        <v>8.851406194848485E20</v>
      </c>
    </row>
    <row r="521">
      <c r="A521" s="6"/>
      <c r="B521" s="6"/>
      <c r="C521" s="4"/>
      <c r="D521" s="4">
        <v>136.372109152833</v>
      </c>
      <c r="E521" s="4" t="s">
        <v>968</v>
      </c>
      <c r="F521" s="4"/>
      <c r="G521" s="4"/>
      <c r="H521" s="4"/>
      <c r="I521" s="4" t="str">
        <f>IFERROR(__xludf.DUMMYFUNCTION("""COMPUTED_VALUE"""),"0x29022acb1c0e306b7a18fc3572b40244671ed9a6")</f>
        <v>0x29022acb1c0e306b7a18fc3572b40244671ed9a6</v>
      </c>
      <c r="J521" s="18">
        <v>136.372109152833</v>
      </c>
      <c r="K521" s="4">
        <v>1704.6513644104123</v>
      </c>
      <c r="L521" s="19">
        <v>1.7046513644104122E21</v>
      </c>
      <c r="M521" s="20">
        <v>1.7046513644104122E20</v>
      </c>
    </row>
    <row r="522">
      <c r="A522" s="6"/>
      <c r="B522" s="6"/>
      <c r="C522" s="4"/>
      <c r="D522" s="4">
        <v>42.411249975391</v>
      </c>
      <c r="E522" s="4" t="s">
        <v>970</v>
      </c>
      <c r="F522" s="4"/>
      <c r="G522" s="4"/>
      <c r="H522" s="4"/>
      <c r="I522" s="4" t="str">
        <f>IFERROR(__xludf.DUMMYFUNCTION("""COMPUTED_VALUE"""),"0x4e1f8384f992978182901c98c89c7cd3bc0d1fb9")</f>
        <v>0x4e1f8384f992978182901c98c89c7cd3bc0d1fb9</v>
      </c>
      <c r="J522" s="18">
        <v>276.7873377824876</v>
      </c>
      <c r="K522" s="4">
        <v>3459.841722281095</v>
      </c>
      <c r="L522" s="19">
        <v>3.459841722281095E21</v>
      </c>
      <c r="M522" s="20">
        <v>3.4598417222810953E20</v>
      </c>
    </row>
    <row r="523">
      <c r="A523" s="6"/>
      <c r="B523" s="6"/>
      <c r="C523" s="4"/>
      <c r="D523" s="4">
        <v>85.076202866416</v>
      </c>
      <c r="E523" s="4" t="s">
        <v>971</v>
      </c>
      <c r="F523" s="4"/>
      <c r="G523" s="4"/>
      <c r="H523" s="4"/>
      <c r="I523" s="4" t="str">
        <f>IFERROR(__xludf.DUMMYFUNCTION("""COMPUTED_VALUE"""),"0x24aff69f9427282043d2fe90cab4924458037c53")</f>
        <v>0x24aff69f9427282043d2fe90cab4924458037c53</v>
      </c>
      <c r="J523" s="18">
        <v>85.076202866416</v>
      </c>
      <c r="K523" s="4">
        <v>1063.4525358301998</v>
      </c>
      <c r="L523" s="19">
        <v>1.0634525358301998E21</v>
      </c>
      <c r="M523" s="20">
        <v>1.0634525358301998E20</v>
      </c>
    </row>
    <row r="524">
      <c r="A524" s="6"/>
      <c r="B524" s="6"/>
      <c r="C524" s="4"/>
      <c r="D524" s="4">
        <v>17.2294783844591</v>
      </c>
      <c r="E524" s="4" t="s">
        <v>973</v>
      </c>
      <c r="F524" s="4"/>
      <c r="G524" s="4"/>
      <c r="H524" s="4"/>
      <c r="I524" s="4" t="str">
        <f>IFERROR(__xludf.DUMMYFUNCTION("""COMPUTED_VALUE"""),"0xabeb022302eeb0caa87cbad2b23fbceecf35ea20")</f>
        <v>0xabeb022302eeb0caa87cbad2b23fbceecf35ea20</v>
      </c>
      <c r="J524" s="18">
        <v>17.2294783844591</v>
      </c>
      <c r="K524" s="4">
        <v>215.36847980573873</v>
      </c>
      <c r="L524" s="19">
        <v>2.1536847980573875E20</v>
      </c>
      <c r="M524" s="20">
        <v>2.1536847980573876E19</v>
      </c>
    </row>
    <row r="525">
      <c r="A525" s="6"/>
      <c r="B525" s="6"/>
      <c r="C525" s="4"/>
      <c r="D525" s="4">
        <v>5.29425796670354</v>
      </c>
      <c r="E525" s="4" t="s">
        <v>975</v>
      </c>
      <c r="F525" s="4"/>
      <c r="G525" s="4"/>
      <c r="H525" s="4"/>
      <c r="I525" s="4" t="str">
        <f>IFERROR(__xludf.DUMMYFUNCTION("""COMPUTED_VALUE"""),"0xc3d59997f1c99149a45b626fdc3318ec17491b14")</f>
        <v>0xc3d59997f1c99149a45b626fdc3318ec17491b14</v>
      </c>
      <c r="J525" s="18">
        <v>5.29425796670354</v>
      </c>
      <c r="K525" s="4">
        <v>66.17822458379425</v>
      </c>
      <c r="L525" s="19">
        <v>6.6178224583794246E19</v>
      </c>
      <c r="M525" s="20">
        <v>6.617822458379425E18</v>
      </c>
    </row>
    <row r="526">
      <c r="A526" s="6"/>
      <c r="B526" s="6"/>
      <c r="C526" s="4"/>
      <c r="D526" s="4">
        <v>530.305546962525</v>
      </c>
      <c r="E526" s="4" t="s">
        <v>977</v>
      </c>
      <c r="F526" s="4"/>
      <c r="G526" s="4"/>
      <c r="H526" s="4"/>
      <c r="I526" s="4" t="str">
        <f>IFERROR(__xludf.DUMMYFUNCTION("""COMPUTED_VALUE"""),"0xe47a14edd56510a77f8fc753cdf1353302d75211")</f>
        <v>0xe47a14edd56510a77f8fc753cdf1353302d75211</v>
      </c>
      <c r="J526" s="18">
        <v>764.6816347696216</v>
      </c>
      <c r="K526" s="4">
        <v>9558.52043462027</v>
      </c>
      <c r="L526" s="19">
        <v>9.55852043462027E21</v>
      </c>
      <c r="M526" s="20">
        <v>9.558520434620271E20</v>
      </c>
    </row>
    <row r="527">
      <c r="A527" s="6"/>
      <c r="B527" s="6"/>
      <c r="C527" s="4"/>
      <c r="D527" s="4">
        <v>7.41003578549096</v>
      </c>
      <c r="E527" s="4" t="s">
        <v>979</v>
      </c>
      <c r="F527" s="4"/>
      <c r="G527" s="4"/>
      <c r="H527" s="4"/>
      <c r="I527" s="4" t="str">
        <f>IFERROR(__xludf.DUMMYFUNCTION("""COMPUTED_VALUE"""),"0x38bc9689d691cfa463bd740a298c5296f3ab9bee")</f>
        <v>0x38bc9689d691cfa463bd740a298c5296f3ab9bee</v>
      </c>
      <c r="J527" s="18">
        <v>7.41003578549096</v>
      </c>
      <c r="K527" s="4">
        <v>92.625447318637</v>
      </c>
      <c r="L527" s="19">
        <v>9.2625447318637E19</v>
      </c>
      <c r="M527" s="20">
        <v>9.262544731863702E18</v>
      </c>
    </row>
    <row r="528">
      <c r="A528" s="6"/>
      <c r="B528" s="6"/>
      <c r="C528" s="4"/>
      <c r="D528" s="4">
        <v>1.9512639314877598</v>
      </c>
      <c r="E528" s="4" t="s">
        <v>981</v>
      </c>
      <c r="F528" s="4"/>
      <c r="G528" s="4"/>
      <c r="H528" s="4"/>
      <c r="I528" s="4" t="str">
        <f>IFERROR(__xludf.DUMMYFUNCTION("""COMPUTED_VALUE"""),"0xaf20fe1a475e242235e462207797081945e084a3")</f>
        <v>0xaf20fe1a475e242235e462207797081945e084a3</v>
      </c>
      <c r="J528" s="18">
        <v>45.71654706884496</v>
      </c>
      <c r="K528" s="4">
        <v>571.456838360562</v>
      </c>
      <c r="L528" s="19">
        <v>5.7145683836056194E20</v>
      </c>
      <c r="M528" s="20">
        <v>5.71456838360562E19</v>
      </c>
    </row>
    <row r="529">
      <c r="A529" s="6"/>
      <c r="B529" s="6"/>
      <c r="C529" s="4"/>
      <c r="D529" s="4">
        <v>35.3427083128258</v>
      </c>
      <c r="E529" s="4" t="s">
        <v>983</v>
      </c>
      <c r="F529" s="4"/>
      <c r="G529" s="4"/>
      <c r="H529" s="4"/>
      <c r="I529" s="4" t="str">
        <f>IFERROR(__xludf.DUMMYFUNCTION("""COMPUTED_VALUE"""),"0xce669464d9fe7b35edc5116906dbbf9eaf2a8216")</f>
        <v>0xce669464d9fe7b35edc5116906dbbf9eaf2a8216</v>
      </c>
      <c r="J529" s="18">
        <v>268.5602246155296</v>
      </c>
      <c r="K529" s="4">
        <v>3357.00280769412</v>
      </c>
      <c r="L529" s="19">
        <v>3.3570028076941197E21</v>
      </c>
      <c r="M529" s="20">
        <v>3.35700280769412E20</v>
      </c>
    </row>
    <row r="530">
      <c r="A530" s="6"/>
      <c r="B530" s="6"/>
      <c r="C530" s="4"/>
      <c r="D530" s="4">
        <v>54.4007640070269</v>
      </c>
      <c r="E530" s="4" t="s">
        <v>984</v>
      </c>
      <c r="F530" s="4"/>
      <c r="G530" s="4"/>
      <c r="H530" s="4"/>
      <c r="I530" s="4" t="str">
        <f>IFERROR(__xludf.DUMMYFUNCTION("""COMPUTED_VALUE"""),"0x852663a31ea8a8df75df08810cdabb56a866e883")</f>
        <v>0x852663a31ea8a8df75df08810cdabb56a866e883</v>
      </c>
      <c r="J530" s="18">
        <v>54.4007640070269</v>
      </c>
      <c r="K530" s="4">
        <v>680.0095500878363</v>
      </c>
      <c r="L530" s="19">
        <v>6.800095500878363E20</v>
      </c>
      <c r="M530" s="20">
        <v>6.800095500878363E19</v>
      </c>
    </row>
    <row r="531">
      <c r="A531" s="6"/>
      <c r="B531" s="6"/>
      <c r="C531" s="4"/>
      <c r="D531" s="4">
        <v>14.6427675606278</v>
      </c>
      <c r="E531" s="4" t="s">
        <v>986</v>
      </c>
      <c r="F531" s="4"/>
      <c r="G531" s="4"/>
      <c r="H531" s="4"/>
      <c r="I531" s="4" t="str">
        <f>IFERROR(__xludf.DUMMYFUNCTION("""COMPUTED_VALUE"""),"0x9eff29b77a100cc1eb334875ff01a979ef540578")</f>
        <v>0x9eff29b77a100cc1eb334875ff01a979ef540578</v>
      </c>
      <c r="J531" s="18">
        <v>63.0068951602244</v>
      </c>
      <c r="K531" s="4">
        <v>787.586189502805</v>
      </c>
      <c r="L531" s="19">
        <v>7.87586189502805E20</v>
      </c>
      <c r="M531" s="20">
        <v>7.875861895028051E19</v>
      </c>
    </row>
    <row r="532">
      <c r="A532" s="6"/>
      <c r="B532" s="6"/>
      <c r="C532" s="4"/>
      <c r="D532" s="4">
        <v>9.459237980621799</v>
      </c>
      <c r="E532" s="4" t="s">
        <v>988</v>
      </c>
      <c r="F532" s="4"/>
      <c r="G532" s="4"/>
      <c r="H532" s="4"/>
      <c r="I532" s="4" t="str">
        <f>IFERROR(__xludf.DUMMYFUNCTION("""COMPUTED_VALUE"""),"0xc3caf7f38f0bb0b59577ac4f1d9f5ee6ccf5fa4a")</f>
        <v>0xc3caf7f38f0bb0b59577ac4f1d9f5ee6ccf5fa4a</v>
      </c>
      <c r="J532" s="18">
        <v>9.459237980621799</v>
      </c>
      <c r="K532" s="4">
        <v>118.24047475777249</v>
      </c>
      <c r="L532" s="19">
        <v>1.182404747577725E20</v>
      </c>
      <c r="M532" s="20">
        <v>1.182404747577725E19</v>
      </c>
    </row>
    <row r="533">
      <c r="A533" s="6"/>
      <c r="B533" s="6"/>
      <c r="C533" s="4"/>
      <c r="D533" s="4">
        <v>7.0685416625651705</v>
      </c>
      <c r="E533" s="4" t="s">
        <v>990</v>
      </c>
      <c r="F533" s="4"/>
      <c r="G533" s="4"/>
      <c r="H533" s="4"/>
      <c r="I533" s="4" t="str">
        <f>IFERROR(__xludf.DUMMYFUNCTION("""COMPUTED_VALUE"""),"0xdd33500e65fb4a67d9dd195c14d2d032374abab2")</f>
        <v>0xdd33500e65fb4a67d9dd195c14d2d032374abab2</v>
      </c>
      <c r="J533" s="18">
        <v>7.0685416625651705</v>
      </c>
      <c r="K533" s="4">
        <v>88.35677078206463</v>
      </c>
      <c r="L533" s="19">
        <v>8.835677078206462E19</v>
      </c>
      <c r="M533" s="20">
        <v>8.835677078206463E18</v>
      </c>
    </row>
    <row r="534">
      <c r="A534" s="6"/>
      <c r="B534" s="6"/>
      <c r="C534" s="4"/>
      <c r="D534" s="4">
        <v>7.0826787458903</v>
      </c>
      <c r="E534" s="4" t="s">
        <v>991</v>
      </c>
      <c r="F534" s="4"/>
      <c r="G534" s="4"/>
      <c r="H534" s="4"/>
      <c r="I534" s="4" t="str">
        <f>IFERROR(__xludf.DUMMYFUNCTION("""COMPUTED_VALUE"""),"0x4e31155b4ce355ad8a53b154fbe2a524040c0c3c")</f>
        <v>0x4e31155b4ce355ad8a53b154fbe2a524040c0c3c</v>
      </c>
      <c r="J534" s="18">
        <v>7.0826787458903</v>
      </c>
      <c r="K534" s="4">
        <v>88.53348432362876</v>
      </c>
      <c r="L534" s="19">
        <v>8.853348432362876E19</v>
      </c>
      <c r="M534" s="20">
        <v>8.853348432362877E18</v>
      </c>
    </row>
    <row r="535">
      <c r="A535" s="6"/>
      <c r="B535" s="6"/>
      <c r="C535" s="4"/>
      <c r="D535" s="4">
        <v>3.55903048365332</v>
      </c>
      <c r="E535" s="4" t="s">
        <v>993</v>
      </c>
      <c r="F535" s="4"/>
      <c r="G535" s="4"/>
      <c r="H535" s="4"/>
      <c r="I535" s="4" t="str">
        <f>IFERROR(__xludf.DUMMYFUNCTION("""COMPUTED_VALUE"""),"0x523c25bd3a2b177be4d167b9f5652a71f12b6510")</f>
        <v>0x523c25bd3a2b177be4d167b9f5652a71f12b6510</v>
      </c>
      <c r="J535" s="18">
        <v>3.55903048365332</v>
      </c>
      <c r="K535" s="4">
        <v>44.4878810456665</v>
      </c>
      <c r="L535" s="19">
        <v>4.44878810456665E19</v>
      </c>
      <c r="M535" s="20">
        <v>4.44878810456665E18</v>
      </c>
    </row>
    <row r="536">
      <c r="A536" s="6"/>
      <c r="B536" s="6"/>
      <c r="C536" s="4"/>
      <c r="D536" s="4">
        <v>17.194239427757</v>
      </c>
      <c r="E536" s="4" t="s">
        <v>995</v>
      </c>
      <c r="F536" s="4"/>
      <c r="G536" s="4"/>
      <c r="H536" s="4"/>
      <c r="I536" s="4" t="str">
        <f>IFERROR(__xludf.DUMMYFUNCTION("""COMPUTED_VALUE"""),"0xd2506596f4cc2c4ddfcd9293fd0da82decc17bec")</f>
        <v>0xd2506596f4cc2c4ddfcd9293fd0da82decc17bec</v>
      </c>
      <c r="J536" s="18">
        <v>17.194239427757</v>
      </c>
      <c r="K536" s="4">
        <v>214.9279928469625</v>
      </c>
      <c r="L536" s="19">
        <v>2.149279928469625E20</v>
      </c>
      <c r="M536" s="20">
        <v>2.149279928469625E19</v>
      </c>
    </row>
    <row r="537">
      <c r="A537" s="6"/>
      <c r="B537" s="6"/>
      <c r="C537" s="4"/>
      <c r="D537" s="4">
        <v>7.0685416625651705</v>
      </c>
      <c r="E537" s="4" t="s">
        <v>997</v>
      </c>
      <c r="F537" s="4"/>
      <c r="G537" s="4"/>
      <c r="H537" s="4"/>
      <c r="I537" s="4" t="str">
        <f>IFERROR(__xludf.DUMMYFUNCTION("""COMPUTED_VALUE"""),"0xd6a5244fa183216a3ceed88fe6780e7d12dd6c1f")</f>
        <v>0xd6a5244fa183216a3ceed88fe6780e7d12dd6c1f</v>
      </c>
      <c r="J537" s="18">
        <v>7.0685416625651705</v>
      </c>
      <c r="K537" s="4">
        <v>88.35677078206463</v>
      </c>
      <c r="L537" s="19">
        <v>8.835677078206462E19</v>
      </c>
      <c r="M537" s="20">
        <v>8.835677078206463E18</v>
      </c>
    </row>
    <row r="538">
      <c r="A538" s="6"/>
      <c r="B538" s="6"/>
      <c r="C538" s="4"/>
      <c r="D538" s="4">
        <v>49.621162471207505</v>
      </c>
      <c r="E538" s="4" t="s">
        <v>998</v>
      </c>
      <c r="F538" s="4"/>
      <c r="G538" s="4"/>
      <c r="H538" s="4"/>
      <c r="I538" s="4" t="str">
        <f>IFERROR(__xludf.DUMMYFUNCTION("""COMPUTED_VALUE"""),"0xbf29eda8743ba4227822767824d89da4af5d6fb0")</f>
        <v>0xbf29eda8743ba4227822767824d89da4af5d6fb0</v>
      </c>
      <c r="J538" s="18">
        <v>97.9852900708041</v>
      </c>
      <c r="K538" s="4">
        <v>1224.8161258850512</v>
      </c>
      <c r="L538" s="19">
        <v>1.2248161258850513E21</v>
      </c>
      <c r="M538" s="20">
        <v>1.2248161258850514E20</v>
      </c>
    </row>
    <row r="539">
      <c r="A539" s="6"/>
      <c r="B539" s="6"/>
      <c r="C539" s="4"/>
      <c r="D539" s="4">
        <v>7.28404540094959</v>
      </c>
      <c r="E539" s="4" t="s">
        <v>1000</v>
      </c>
      <c r="F539" s="4"/>
      <c r="G539" s="4"/>
      <c r="H539" s="4"/>
      <c r="I539" s="4" t="str">
        <f>IFERROR(__xludf.DUMMYFUNCTION("""COMPUTED_VALUE"""),"0x2b77bf044bcbcf5d22bc394c46a520e7e9729138")</f>
        <v>0x2b77bf044bcbcf5d22bc394c46a520e7e9729138</v>
      </c>
      <c r="J539" s="18">
        <v>7.28404540094959</v>
      </c>
      <c r="K539" s="4">
        <v>91.05056751186987</v>
      </c>
      <c r="L539" s="19">
        <v>9.105056751186987E19</v>
      </c>
      <c r="M539" s="20">
        <v>9.105056751186987E18</v>
      </c>
    </row>
    <row r="540">
      <c r="A540" s="6"/>
      <c r="B540" s="6"/>
      <c r="C540" s="4"/>
      <c r="D540" s="4">
        <v>7.0685416625651705</v>
      </c>
      <c r="E540" s="4" t="s">
        <v>1002</v>
      </c>
      <c r="F540" s="4"/>
      <c r="G540" s="4"/>
      <c r="H540" s="4"/>
      <c r="I540" s="4" t="str">
        <f>IFERROR(__xludf.DUMMYFUNCTION("""COMPUTED_VALUE"""),"0x5392fb59abce62b963cb82ba2ab3bb92be6e0f5e")</f>
        <v>0x5392fb59abce62b963cb82ba2ab3bb92be6e0f5e</v>
      </c>
      <c r="J540" s="18">
        <v>55.43266926216177</v>
      </c>
      <c r="K540" s="4">
        <v>692.908365777022</v>
      </c>
      <c r="L540" s="19">
        <v>6.929083657770221E20</v>
      </c>
      <c r="M540" s="20">
        <v>6.9290836577702216E19</v>
      </c>
    </row>
    <row r="541">
      <c r="A541" s="6"/>
      <c r="B541" s="6"/>
      <c r="C541" s="4"/>
      <c r="D541" s="4">
        <v>4.07358499060706</v>
      </c>
      <c r="E541" s="4" t="s">
        <v>1003</v>
      </c>
      <c r="F541" s="4"/>
      <c r="G541" s="4"/>
      <c r="H541" s="4"/>
      <c r="I541" s="4" t="str">
        <f>IFERROR(__xludf.DUMMYFUNCTION("""COMPUTED_VALUE"""),"0x56515027b29b94f16f3b8603955b691cf337f004")</f>
        <v>0x56515027b29b94f16f3b8603955b691cf337f004</v>
      </c>
      <c r="J541" s="18">
        <v>4.07358499060706</v>
      </c>
      <c r="K541" s="4">
        <v>50.91981238258825</v>
      </c>
      <c r="L541" s="19">
        <v>5.091981238258825E19</v>
      </c>
      <c r="M541" s="20">
        <v>5.091981238258825E18</v>
      </c>
    </row>
    <row r="542">
      <c r="A542" s="6"/>
      <c r="B542" s="6"/>
      <c r="C542" s="4"/>
      <c r="D542" s="4">
        <v>1.26243611639389</v>
      </c>
      <c r="E542" s="4" t="s">
        <v>1005</v>
      </c>
      <c r="F542" s="4"/>
      <c r="G542" s="4"/>
      <c r="H542" s="4"/>
      <c r="I542" s="4" t="str">
        <f>IFERROR(__xludf.DUMMYFUNCTION("""COMPUTED_VALUE"""),"0xfc51c9d4cbd789b6a4ebd8b3937288c24b005463")</f>
        <v>0xfc51c9d4cbd789b6a4ebd8b3937288c24b005463</v>
      </c>
      <c r="J542" s="18">
        <v>1.26243611639389</v>
      </c>
      <c r="K542" s="4">
        <v>15.780451454923625</v>
      </c>
      <c r="L542" s="19">
        <v>1.5780451454923624E19</v>
      </c>
      <c r="M542" s="20">
        <v>1.5780451454923625E18</v>
      </c>
    </row>
    <row r="543">
      <c r="A543" s="6"/>
      <c r="B543" s="6"/>
      <c r="C543" s="4"/>
      <c r="D543" s="4">
        <v>1.90019523873977</v>
      </c>
      <c r="E543" s="4" t="s">
        <v>1007</v>
      </c>
      <c r="F543" s="4"/>
      <c r="G543" s="4"/>
      <c r="H543" s="4"/>
      <c r="I543" s="4" t="str">
        <f>IFERROR(__xludf.DUMMYFUNCTION("""COMPUTED_VALUE"""),"0x8fc2cc81d0d82cd1ae706663f8a2a14acbdc2b88")</f>
        <v>0x8fc2cc81d0d82cd1ae706663f8a2a14acbdc2b88</v>
      </c>
      <c r="J543" s="18">
        <v>4.7645542566039705</v>
      </c>
      <c r="K543" s="4">
        <v>59.55692820754963</v>
      </c>
      <c r="L543" s="19">
        <v>5.955692820754963E19</v>
      </c>
      <c r="M543" s="20">
        <v>5.955692820754963E18</v>
      </c>
    </row>
    <row r="544">
      <c r="A544" s="6"/>
      <c r="B544" s="6"/>
      <c r="C544" s="4"/>
      <c r="D544" s="4">
        <v>0.532647509650264</v>
      </c>
      <c r="E544" s="4" t="s">
        <v>1009</v>
      </c>
      <c r="F544" s="4"/>
      <c r="G544" s="4"/>
      <c r="H544" s="4"/>
      <c r="I544" s="4" t="str">
        <f>IFERROR(__xludf.DUMMYFUNCTION("""COMPUTED_VALUE"""),"0xf0e106f3e156faba55222a60bce5fce50f6277fb")</f>
        <v>0xf0e106f3e156faba55222a60bce5fce50f6277fb</v>
      </c>
      <c r="J544" s="18">
        <v>0.532647509650264</v>
      </c>
      <c r="K544" s="4">
        <v>6.658093870628299</v>
      </c>
      <c r="L544" s="19">
        <v>6.6580938706283E18</v>
      </c>
      <c r="M544" s="20">
        <v>6.6580938706283E17</v>
      </c>
    </row>
    <row r="545">
      <c r="A545" s="6"/>
      <c r="B545" s="6"/>
      <c r="C545" s="4"/>
      <c r="D545" s="4">
        <v>1.30283660731088</v>
      </c>
      <c r="E545" s="4" t="s">
        <v>1011</v>
      </c>
      <c r="F545" s="4"/>
      <c r="G545" s="4"/>
      <c r="H545" s="4"/>
      <c r="I545" s="4" t="str">
        <f>IFERROR(__xludf.DUMMYFUNCTION("""COMPUTED_VALUE"""),"0xf100339eba39ce4eb65f52a339ef7b8059441f1e")</f>
        <v>0xf100339eba39ce4eb65f52a339ef7b8059441f1e</v>
      </c>
      <c r="J545" s="18">
        <v>1.30283660731088</v>
      </c>
      <c r="K545" s="4">
        <v>16.285457591386</v>
      </c>
      <c r="L545" s="19">
        <v>1.6285457591386E19</v>
      </c>
      <c r="M545" s="20">
        <v>1.6285457591386E18</v>
      </c>
    </row>
    <row r="546">
      <c r="A546" s="6"/>
      <c r="B546" s="6"/>
      <c r="C546" s="4"/>
      <c r="D546" s="4">
        <v>22.619333320208497</v>
      </c>
      <c r="E546" s="4" t="s">
        <v>1013</v>
      </c>
      <c r="F546" s="4"/>
      <c r="G546" s="4"/>
      <c r="H546" s="4"/>
      <c r="I546" s="4" t="str">
        <f>IFERROR(__xludf.DUMMYFUNCTION("""COMPUTED_VALUE"""),"0xab063f52b380237579d357f82adcf9f69e3563a6")</f>
        <v>0xab063f52b380237579d357f82adcf9f69e3563a6</v>
      </c>
      <c r="J546" s="18">
        <v>22.619333320208497</v>
      </c>
      <c r="K546" s="4">
        <v>282.7416665026062</v>
      </c>
      <c r="L546" s="19">
        <v>2.8274166650260623E20</v>
      </c>
      <c r="M546" s="20">
        <v>2.8274166650260623E19</v>
      </c>
    </row>
    <row r="547">
      <c r="A547" s="6"/>
      <c r="B547" s="6"/>
      <c r="C547" s="4"/>
      <c r="D547" s="4">
        <v>70.6854166256517</v>
      </c>
      <c r="E547" s="4" t="s">
        <v>1015</v>
      </c>
      <c r="F547" s="4"/>
      <c r="G547" s="4"/>
      <c r="H547" s="4"/>
      <c r="I547" s="4" t="str">
        <f>IFERROR(__xludf.DUMMYFUNCTION("""COMPUTED_VALUE"""),"0xc06f87b3bc613d2c26fad7f09e4a852cc8738ec7")</f>
        <v>0xc06f87b3bc613d2c26fad7f09e4a852cc8738ec7</v>
      </c>
      <c r="J547" s="18">
        <v>70.6854166256517</v>
      </c>
      <c r="K547" s="4">
        <v>883.5677078206462</v>
      </c>
      <c r="L547" s="19">
        <v>8.835677078206462E20</v>
      </c>
      <c r="M547" s="20">
        <v>8.835677078206462E19</v>
      </c>
    </row>
    <row r="548">
      <c r="A548" s="6"/>
      <c r="B548" s="6"/>
      <c r="C548" s="4"/>
      <c r="D548" s="4">
        <v>0.6089057306319939</v>
      </c>
      <c r="E548" s="4" t="s">
        <v>1017</v>
      </c>
      <c r="F548" s="4"/>
      <c r="G548" s="4"/>
      <c r="H548" s="4"/>
      <c r="I548" s="4" t="str">
        <f>IFERROR(__xludf.DUMMYFUNCTION("""COMPUTED_VALUE"""),"0x85458e17fd79da42aebac58603ba4999f8bbccc3")</f>
        <v>0x85458e17fd79da42aebac58603ba4999f8bbccc3</v>
      </c>
      <c r="J548" s="18">
        <v>0.6089057306319939</v>
      </c>
      <c r="K548" s="4">
        <v>7.611321632899924</v>
      </c>
      <c r="L548" s="19">
        <v>7.611321632899924E18</v>
      </c>
      <c r="M548" s="20">
        <v>7.611321632899924E17</v>
      </c>
    </row>
    <row r="549">
      <c r="A549" s="6"/>
      <c r="B549" s="6"/>
      <c r="C549" s="4"/>
      <c r="D549" s="4">
        <v>106.110120021763</v>
      </c>
      <c r="E549" s="4" t="s">
        <v>1019</v>
      </c>
      <c r="F549" s="4"/>
      <c r="G549" s="4"/>
      <c r="H549" s="4"/>
      <c r="I549" s="4" t="str">
        <f>IFERROR(__xludf.DUMMYFUNCTION("""COMPUTED_VALUE"""),"0x66d45a4ea62d3f1335632c0c254004d05e9701f6")</f>
        <v>0x66d45a4ea62d3f1335632c0c254004d05e9701f6</v>
      </c>
      <c r="J549" s="18">
        <v>340.4862078288596</v>
      </c>
      <c r="K549" s="4">
        <v>4256.077597860745</v>
      </c>
      <c r="L549" s="19">
        <v>4.2560775978607454E21</v>
      </c>
      <c r="M549" s="20">
        <v>4.256077597860746E20</v>
      </c>
    </row>
    <row r="550">
      <c r="A550" s="6"/>
      <c r="B550" s="6"/>
      <c r="C550" s="4"/>
      <c r="D550" s="4">
        <v>38.1507647032484</v>
      </c>
      <c r="E550" s="4" t="s">
        <v>1021</v>
      </c>
      <c r="F550" s="4"/>
      <c r="G550" s="4"/>
      <c r="H550" s="4"/>
      <c r="I550" s="4" t="str">
        <f>IFERROR(__xludf.DUMMYFUNCTION("""COMPUTED_VALUE"""),"0x154fe8e2b1e309c5c7cff33d192f3e75612d0560")</f>
        <v>0x154fe8e2b1e309c5c7cff33d192f3e75612d0560</v>
      </c>
      <c r="J550" s="18">
        <v>272.52685251034495</v>
      </c>
      <c r="K550" s="4">
        <v>3406.585656379312</v>
      </c>
      <c r="L550" s="19">
        <v>3.4065856563793117E21</v>
      </c>
      <c r="M550" s="20">
        <v>3.406585656379312E20</v>
      </c>
    </row>
    <row r="551">
      <c r="A551" s="6"/>
      <c r="B551" s="6"/>
      <c r="C551" s="4"/>
      <c r="D551" s="4">
        <v>3.2515291647799702</v>
      </c>
      <c r="E551" s="4" t="s">
        <v>1023</v>
      </c>
      <c r="F551" s="4"/>
      <c r="G551" s="4"/>
      <c r="H551" s="4"/>
      <c r="I551" s="4" t="str">
        <f>IFERROR(__xludf.DUMMYFUNCTION("""COMPUTED_VALUE"""),"0x7a646f170186e7258aa3e9464dfb603a99ae0238")</f>
        <v>0x7a646f170186e7258aa3e9464dfb603a99ae0238</v>
      </c>
      <c r="J551" s="18">
        <v>3.2515291647799702</v>
      </c>
      <c r="K551" s="4">
        <v>40.644114559749625</v>
      </c>
      <c r="L551" s="19">
        <v>4.064411455974963E19</v>
      </c>
      <c r="M551" s="20">
        <v>4.064411455974963E18</v>
      </c>
    </row>
    <row r="552">
      <c r="A552" s="6"/>
      <c r="B552" s="6"/>
      <c r="C552" s="4"/>
      <c r="D552" s="4">
        <v>0.7041666962005511</v>
      </c>
      <c r="E552" s="4" t="s">
        <v>1025</v>
      </c>
      <c r="F552" s="4"/>
      <c r="G552" s="4"/>
      <c r="H552" s="4"/>
      <c r="I552" s="4" t="str">
        <f>IFERROR(__xludf.DUMMYFUNCTION("""COMPUTED_VALUE"""),"0xe42933cc7c241b434f94600da11355de6bb5f464")</f>
        <v>0xe42933cc7c241b434f94600da11355de6bb5f464</v>
      </c>
      <c r="J552" s="18">
        <v>0.7041666962005511</v>
      </c>
      <c r="K552" s="4">
        <v>8.802083702506888</v>
      </c>
      <c r="L552" s="19">
        <v>8.802083702506888E18</v>
      </c>
      <c r="M552" s="20">
        <v>8.802083702506889E17</v>
      </c>
    </row>
    <row r="553">
      <c r="A553" s="6"/>
      <c r="B553" s="6"/>
      <c r="C553" s="4"/>
      <c r="D553" s="4">
        <v>77.75395828821681</v>
      </c>
      <c r="E553" s="4" t="s">
        <v>1027</v>
      </c>
      <c r="F553" s="4"/>
      <c r="G553" s="4"/>
      <c r="H553" s="4"/>
      <c r="I553" s="4" t="str">
        <f>IFERROR(__xludf.DUMMYFUNCTION("""COMPUTED_VALUE"""),"0x5cc5e6dccaf171e6a4053d5aa176ea3d13c3e72b")</f>
        <v>0x5cc5e6dccaf171e6a4053d5aa176ea3d13c3e72b</v>
      </c>
      <c r="J553" s="18">
        <v>312.1300460953134</v>
      </c>
      <c r="K553" s="4">
        <v>3901.625576191417</v>
      </c>
      <c r="L553" s="19">
        <v>3.901625576191417E21</v>
      </c>
      <c r="M553" s="20">
        <v>3.9016255761914174E20</v>
      </c>
    </row>
    <row r="554">
      <c r="A554" s="6"/>
      <c r="B554" s="6"/>
      <c r="C554" s="4"/>
      <c r="D554" s="4">
        <v>6.6470836886742495</v>
      </c>
      <c r="E554" s="4" t="s">
        <v>1029</v>
      </c>
      <c r="F554" s="4"/>
      <c r="G554" s="4"/>
      <c r="H554" s="4"/>
      <c r="I554" s="4" t="str">
        <f>IFERROR(__xludf.DUMMYFUNCTION("""COMPUTED_VALUE"""),"0x7f203d64812121aa9c9229f5150a9557752ae9d9")</f>
        <v>0x7f203d64812121aa9c9229f5150a9557752ae9d9</v>
      </c>
      <c r="J554" s="18">
        <v>51.30044841765365</v>
      </c>
      <c r="K554" s="4">
        <v>641.2556052206705</v>
      </c>
      <c r="L554" s="19">
        <v>6.412556052206706E20</v>
      </c>
      <c r="M554" s="20">
        <v>6.412556052206706E19</v>
      </c>
    </row>
    <row r="555">
      <c r="A555" s="6"/>
      <c r="B555" s="6"/>
      <c r="C555" s="4"/>
      <c r="D555" s="4">
        <v>1.5104507294358</v>
      </c>
      <c r="E555" s="4" t="s">
        <v>1031</v>
      </c>
      <c r="F555" s="4"/>
      <c r="G555" s="4"/>
      <c r="H555" s="4"/>
      <c r="I555" s="4" t="str">
        <f>IFERROR(__xludf.DUMMYFUNCTION("""COMPUTED_VALUE"""),"0xea8ca3bd97b19e5a6326f431098cf076614fa3e3")</f>
        <v>0xea8ca3bd97b19e5a6326f431098cf076614fa3e3</v>
      </c>
      <c r="J555" s="18">
        <v>1.5104507294358</v>
      </c>
      <c r="K555" s="4">
        <v>18.8806341179475</v>
      </c>
      <c r="L555" s="19">
        <v>1.8880634117947503E19</v>
      </c>
      <c r="M555" s="20">
        <v>1.8880634117947505E18</v>
      </c>
    </row>
    <row r="556">
      <c r="A556" s="6"/>
      <c r="B556" s="6"/>
      <c r="C556" s="4"/>
      <c r="D556" s="4">
        <v>14.1370833252717</v>
      </c>
      <c r="E556" s="4" t="s">
        <v>1033</v>
      </c>
      <c r="F556" s="4"/>
      <c r="G556" s="4"/>
      <c r="H556" s="4"/>
      <c r="I556" s="4" t="str">
        <f>IFERROR(__xludf.DUMMYFUNCTION("""COMPUTED_VALUE"""),"0x26e4f84f1aa11b477329a92e23c121c81c2837a6")</f>
        <v>0x26e4f84f1aa11b477329a92e23c121c81c2837a6</v>
      </c>
      <c r="J556" s="18">
        <v>14.1370833252717</v>
      </c>
      <c r="K556" s="4">
        <v>176.71354156589624</v>
      </c>
      <c r="L556" s="19">
        <v>1.7671354156589623E20</v>
      </c>
      <c r="M556" s="20">
        <v>1.7671354156589623E19</v>
      </c>
    </row>
    <row r="557">
      <c r="A557" s="6"/>
      <c r="B557" s="6"/>
      <c r="C557" s="4"/>
      <c r="D557" s="4">
        <v>7.20991249581647</v>
      </c>
      <c r="E557" s="4" t="s">
        <v>1035</v>
      </c>
      <c r="F557" s="4"/>
      <c r="G557" s="4"/>
      <c r="H557" s="4"/>
      <c r="I557" s="4" t="str">
        <f>IFERROR(__xludf.DUMMYFUNCTION("""COMPUTED_VALUE"""),"0x9d60daee2283bf5a8bf1fd7604ea679fcca3929f")</f>
        <v>0x9d60daee2283bf5a8bf1fd7604ea679fcca3929f</v>
      </c>
      <c r="J557" s="18">
        <v>7.20991249581647</v>
      </c>
      <c r="K557" s="4">
        <v>90.12390619770586</v>
      </c>
      <c r="L557" s="19">
        <v>9.012390619770587E19</v>
      </c>
      <c r="M557" s="20">
        <v>9.012390619770587E18</v>
      </c>
    </row>
    <row r="558">
      <c r="A558" s="6"/>
      <c r="B558" s="6"/>
      <c r="C558" s="4"/>
      <c r="D558" s="4">
        <v>6.3323462461109905</v>
      </c>
      <c r="E558" s="4" t="s">
        <v>1036</v>
      </c>
      <c r="F558" s="4"/>
      <c r="G558" s="4"/>
      <c r="H558" s="4"/>
      <c r="I558" s="4" t="str">
        <f>IFERROR(__xludf.DUMMYFUNCTION("""COMPUTED_VALUE"""),"0x8c1360289a684eaebfe5e8d2856f1d063e024e82")</f>
        <v>0x8c1360289a684eaebfe5e8d2856f1d063e024e82</v>
      </c>
      <c r="J558" s="18">
        <v>230.2472327491796</v>
      </c>
      <c r="K558" s="4">
        <v>2878.090409364745</v>
      </c>
      <c r="L558" s="19">
        <v>2.878090409364745E21</v>
      </c>
      <c r="M558" s="20">
        <v>2.878090409364745E20</v>
      </c>
    </row>
    <row r="559">
      <c r="A559" s="6"/>
      <c r="B559" s="6"/>
      <c r="C559" s="4"/>
      <c r="D559" s="4">
        <v>536.643683021947</v>
      </c>
      <c r="E559" s="4" t="s">
        <v>1038</v>
      </c>
      <c r="F559" s="4"/>
      <c r="G559" s="4"/>
      <c r="H559" s="4"/>
      <c r="I559" s="4" t="str">
        <f>IFERROR(__xludf.DUMMYFUNCTION("""COMPUTED_VALUE"""),"0xece5bd69d37f900afe31951327ea1547652bf56f")</f>
        <v>0xece5bd69d37f900afe31951327ea1547652bf56f</v>
      </c>
      <c r="J559" s="18">
        <v>771.0197708290436</v>
      </c>
      <c r="K559" s="4">
        <v>9637.747135363044</v>
      </c>
      <c r="L559" s="19">
        <v>9.637747135363045E21</v>
      </c>
      <c r="M559" s="20">
        <v>9.637747135363045E20</v>
      </c>
    </row>
    <row r="560">
      <c r="A560" s="6"/>
      <c r="B560" s="6"/>
      <c r="C560" s="4"/>
      <c r="D560" s="4">
        <v>103.037731501225</v>
      </c>
      <c r="E560" s="4" t="s">
        <v>1039</v>
      </c>
      <c r="F560" s="4"/>
      <c r="G560" s="4"/>
      <c r="H560" s="4"/>
      <c r="I560" s="4" t="str">
        <f>IFERROR(__xludf.DUMMYFUNCTION("""COMPUTED_VALUE"""),"0x0afa7de06601d58373802c1e53f074d4a83ad89a")</f>
        <v>0x0afa7de06601d58373802c1e53f074d4a83ad89a</v>
      </c>
      <c r="J560" s="18">
        <v>310.1929531462612</v>
      </c>
      <c r="K560" s="4">
        <v>3877.4119143282646</v>
      </c>
      <c r="L560" s="19">
        <v>3.8774119143282647E21</v>
      </c>
      <c r="M560" s="20">
        <v>3.877411914328265E20</v>
      </c>
    </row>
    <row r="561">
      <c r="A561" s="6"/>
      <c r="B561" s="6"/>
      <c r="C561" s="4"/>
      <c r="D561" s="4">
        <v>530.281995525639</v>
      </c>
      <c r="E561" s="4" t="s">
        <v>1041</v>
      </c>
      <c r="F561" s="4"/>
      <c r="G561" s="4"/>
      <c r="H561" s="4"/>
      <c r="I561" s="4" t="str">
        <f>IFERROR(__xludf.DUMMYFUNCTION("""COMPUTED_VALUE"""),"0x852df9d3caa6f14477b30971d84a079606d36285")</f>
        <v>0x852df9d3caa6f14477b30971d84a079606d36285</v>
      </c>
      <c r="J561" s="18">
        <v>764.6580833327356</v>
      </c>
      <c r="K561" s="4">
        <v>9558.226041659194</v>
      </c>
      <c r="L561" s="19">
        <v>9.558226041659195E21</v>
      </c>
      <c r="M561" s="20">
        <v>9.558226041659195E20</v>
      </c>
    </row>
    <row r="562">
      <c r="A562" s="6"/>
      <c r="B562" s="6"/>
      <c r="C562" s="4"/>
      <c r="D562" s="4">
        <v>284.15840411152203</v>
      </c>
      <c r="E562" s="4" t="s">
        <v>1042</v>
      </c>
      <c r="F562" s="4"/>
      <c r="G562" s="4"/>
      <c r="H562" s="4"/>
      <c r="I562" s="4" t="str">
        <f>IFERROR(__xludf.DUMMYFUNCTION("""COMPUTED_VALUE"""),"0xe628b99feaaa6b8d98825dd5bb8f4d0780ab25a8")</f>
        <v>0xe628b99feaaa6b8d98825dd5bb8f4d0780ab25a8</v>
      </c>
      <c r="J562" s="18">
        <v>284.15840411152203</v>
      </c>
      <c r="K562" s="4">
        <v>3551.9800513940254</v>
      </c>
      <c r="L562" s="19">
        <v>3.5519800513940255E21</v>
      </c>
      <c r="M562" s="20">
        <v>3.551980051394026E20</v>
      </c>
    </row>
    <row r="563">
      <c r="A563" s="6"/>
      <c r="B563" s="6"/>
      <c r="C563" s="4"/>
      <c r="D563" s="4">
        <v>91.996419774146</v>
      </c>
      <c r="E563" s="4" t="s">
        <v>1044</v>
      </c>
      <c r="F563" s="4"/>
      <c r="G563" s="4"/>
      <c r="H563" s="4"/>
      <c r="I563" s="4" t="str">
        <f>IFERROR(__xludf.DUMMYFUNCTION("""COMPUTED_VALUE"""),"0x233f41708abefadba184322ba9c4b4bfe8e801e2")</f>
        <v>0x233f41708abefadba184322ba9c4b4bfe8e801e2</v>
      </c>
      <c r="J563" s="18">
        <v>326.3725075812426</v>
      </c>
      <c r="K563" s="4">
        <v>4079.656344765532</v>
      </c>
      <c r="L563" s="19">
        <v>4.079656344765532E21</v>
      </c>
      <c r="M563" s="20">
        <v>4.079656344765533E20</v>
      </c>
    </row>
    <row r="564">
      <c r="A564" s="6"/>
      <c r="B564" s="6"/>
      <c r="C564" s="4"/>
      <c r="D564" s="4">
        <v>13.9057512322595</v>
      </c>
      <c r="E564" s="4" t="s">
        <v>1046</v>
      </c>
      <c r="F564" s="4"/>
      <c r="G564" s="4"/>
      <c r="H564" s="4"/>
      <c r="I564" s="4" t="str">
        <f>IFERROR(__xludf.DUMMYFUNCTION("""COMPUTED_VALUE"""),"0x526ea96dac5bd8e643d030b8ab5bd0307ef6a60d")</f>
        <v>0x526ea96dac5bd8e643d030b8ab5bd0307ef6a60d</v>
      </c>
      <c r="J564" s="18">
        <v>13.9057512322595</v>
      </c>
      <c r="K564" s="4">
        <v>173.82189040324374</v>
      </c>
      <c r="L564" s="19">
        <v>1.7382189040324375E20</v>
      </c>
      <c r="M564" s="20">
        <v>1.7382189040324377E19</v>
      </c>
    </row>
    <row r="565">
      <c r="A565" s="6"/>
      <c r="B565" s="6"/>
      <c r="C565" s="4"/>
      <c r="D565" s="4">
        <v>68.1314161488857</v>
      </c>
      <c r="E565" s="4" t="s">
        <v>1048</v>
      </c>
      <c r="F565" s="4"/>
      <c r="G565" s="4"/>
      <c r="H565" s="4"/>
      <c r="I565" s="4" t="str">
        <f>IFERROR(__xludf.DUMMYFUNCTION("""COMPUTED_VALUE"""),"0x2a2110ddbe179f931ae52d716a93b949c0a56938")</f>
        <v>0x2a2110ddbe179f931ae52d716a93b949c0a56938</v>
      </c>
      <c r="J565" s="18">
        <v>254.1433763563857</v>
      </c>
      <c r="K565" s="4">
        <v>3176.792204454821</v>
      </c>
      <c r="L565" s="19">
        <v>3.176792204454821E21</v>
      </c>
      <c r="M565" s="20">
        <v>3.176792204454821E20</v>
      </c>
    </row>
    <row r="566">
      <c r="A566" s="6"/>
      <c r="B566" s="6"/>
      <c r="C566" s="4"/>
      <c r="D566" s="4">
        <v>1362.7872737067999</v>
      </c>
      <c r="E566" s="4" t="s">
        <v>1050</v>
      </c>
      <c r="F566" s="4"/>
      <c r="G566" s="4"/>
      <c r="H566" s="4"/>
      <c r="I566" s="4" t="str">
        <f>IFERROR(__xludf.DUMMYFUNCTION("""COMPUTED_VALUE"""),"0x0d27c91c0abeb875eefe0401fa7f6afe6aeb43e5")</f>
        <v>0x0d27c91c0abeb875eefe0401fa7f6afe6aeb43e5</v>
      </c>
      <c r="J566" s="18">
        <v>1589.2111831162965</v>
      </c>
      <c r="K566" s="4">
        <v>19865.139788953707</v>
      </c>
      <c r="L566" s="19">
        <v>1.9865139788953707E22</v>
      </c>
      <c r="M566" s="20">
        <v>1.9865139788953708E21</v>
      </c>
    </row>
    <row r="567">
      <c r="A567" s="6"/>
      <c r="B567" s="6"/>
      <c r="C567" s="4"/>
      <c r="D567" s="4">
        <v>177.43463515624498</v>
      </c>
      <c r="E567" s="4" t="s">
        <v>1052</v>
      </c>
      <c r="F567" s="4"/>
      <c r="G567" s="4"/>
      <c r="H567" s="4"/>
      <c r="I567" s="4" t="str">
        <f>IFERROR(__xludf.DUMMYFUNCTION("""COMPUTED_VALUE"""),"0xddfd2627fae4d379332f0e96f802fc6901a2b920")</f>
        <v>0xddfd2627fae4d379332f0e96f802fc6901a2b920</v>
      </c>
      <c r="J567" s="18">
        <v>224.23113128721099</v>
      </c>
      <c r="K567" s="4">
        <v>2802.8891410901374</v>
      </c>
      <c r="L567" s="19">
        <v>2.8028891410901374E21</v>
      </c>
      <c r="M567" s="20">
        <v>2.8028891410901375E20</v>
      </c>
    </row>
    <row r="568">
      <c r="A568" s="6"/>
      <c r="B568" s="6"/>
      <c r="C568" s="4"/>
      <c r="D568" s="4">
        <v>16.5531148363604</v>
      </c>
      <c r="E568" s="4" t="s">
        <v>1054</v>
      </c>
      <c r="F568" s="4"/>
      <c r="G568" s="4"/>
      <c r="H568" s="4"/>
      <c r="I568" s="4" t="str">
        <f>IFERROR(__xludf.DUMMYFUNCTION("""COMPUTED_VALUE"""),"0xce29fb10bd715175c9df8e29db49738b38f8fca3")</f>
        <v>0xce29fb10bd715175c9df8e29db49738b38f8fca3</v>
      </c>
      <c r="J568" s="18">
        <v>250.929202643457</v>
      </c>
      <c r="K568" s="4">
        <v>3136.6150330432124</v>
      </c>
      <c r="L568" s="19">
        <v>3.1366150330432126E21</v>
      </c>
      <c r="M568" s="20">
        <v>3.136615033043213E20</v>
      </c>
    </row>
    <row r="569">
      <c r="A569" s="6"/>
      <c r="B569" s="6"/>
      <c r="C569" s="4"/>
      <c r="D569" s="4">
        <v>0.16961633646988603</v>
      </c>
      <c r="E569" s="4" t="s">
        <v>1056</v>
      </c>
      <c r="F569" s="4"/>
      <c r="G569" s="4"/>
      <c r="H569" s="4"/>
      <c r="I569" s="4" t="str">
        <f>IFERROR(__xludf.DUMMYFUNCTION("""COMPUTED_VALUE"""),"0xfb9d54f6c4b2bf82f466c3610145e561c41a8dbc")</f>
        <v>0xfb9d54f6c4b2bf82f466c3610145e561c41a8dbc</v>
      </c>
      <c r="J569" s="18">
        <v>0.16961633646988603</v>
      </c>
      <c r="K569" s="4">
        <v>2.1202042058735753</v>
      </c>
      <c r="L569" s="19">
        <v>2.1202042058735752E18</v>
      </c>
      <c r="M569" s="20">
        <v>2.1202042058735754E17</v>
      </c>
    </row>
    <row r="570">
      <c r="A570" s="6"/>
      <c r="B570" s="6"/>
      <c r="C570" s="4"/>
      <c r="D570" s="4">
        <v>7.08156834175335</v>
      </c>
      <c r="E570" s="4" t="s">
        <v>1058</v>
      </c>
      <c r="F570" s="4"/>
      <c r="G570" s="4"/>
      <c r="H570" s="4"/>
      <c r="I570" s="4" t="str">
        <f>IFERROR(__xludf.DUMMYFUNCTION("""COMPUTED_VALUE"""),"0xfda84d8d24cb0c22e02c43b6a8a4326604badf33")</f>
        <v>0xfda84d8d24cb0c22e02c43b6a8a4326604badf33</v>
      </c>
      <c r="J570" s="18">
        <v>7.08156834175335</v>
      </c>
      <c r="K570" s="4">
        <v>88.51960427191688</v>
      </c>
      <c r="L570" s="19">
        <v>8.851960427191688E19</v>
      </c>
      <c r="M570" s="20">
        <v>8.851960427191688E18</v>
      </c>
    </row>
    <row r="571">
      <c r="A571" s="6"/>
      <c r="B571" s="6"/>
      <c r="C571" s="4"/>
      <c r="D571" s="4">
        <v>0.593212708807811</v>
      </c>
      <c r="E571" s="4" t="s">
        <v>1060</v>
      </c>
      <c r="F571" s="4"/>
      <c r="G571" s="4"/>
      <c r="H571" s="4"/>
      <c r="I571" s="4" t="str">
        <f>IFERROR(__xludf.DUMMYFUNCTION("""COMPUTED_VALUE"""),"0xbfa96257e1d9069ecfc4d405f7f5a9122acbff8a")</f>
        <v>0xbfa96257e1d9069ecfc4d405f7f5a9122acbff8a</v>
      </c>
      <c r="J571" s="18">
        <v>0.593212708807811</v>
      </c>
      <c r="K571" s="4">
        <v>7.415158860097637</v>
      </c>
      <c r="L571" s="19">
        <v>7.415158860097636E18</v>
      </c>
      <c r="M571" s="20">
        <v>7.415158860097637E17</v>
      </c>
    </row>
    <row r="572">
      <c r="A572" s="6"/>
      <c r="B572" s="6"/>
      <c r="C572" s="4"/>
      <c r="D572" s="4">
        <v>12.087481308401001</v>
      </c>
      <c r="E572" s="4" t="s">
        <v>1062</v>
      </c>
      <c r="F572" s="4"/>
      <c r="G572" s="4"/>
      <c r="H572" s="4"/>
      <c r="I572" s="4" t="str">
        <f>IFERROR(__xludf.DUMMYFUNCTION("""COMPUTED_VALUE"""),"0x45211dbcf0a155d1f3b40d68f42986e290398ab8")</f>
        <v>0x45211dbcf0a155d1f3b40d68f42986e290398ab8</v>
      </c>
      <c r="J572" s="18">
        <v>12.087481308401001</v>
      </c>
      <c r="K572" s="4">
        <v>151.0935163550125</v>
      </c>
      <c r="L572" s="19">
        <v>1.510935163550125E20</v>
      </c>
      <c r="M572" s="20">
        <v>1.510935163550125E19</v>
      </c>
    </row>
    <row r="573">
      <c r="A573" s="6"/>
      <c r="B573" s="6"/>
      <c r="C573" s="4"/>
      <c r="D573" s="4">
        <v>33.9289999803128</v>
      </c>
      <c r="E573" s="4" t="s">
        <v>1064</v>
      </c>
      <c r="F573" s="4"/>
      <c r="G573" s="4"/>
      <c r="H573" s="4"/>
      <c r="I573" s="4" t="str">
        <f>IFERROR(__xludf.DUMMYFUNCTION("""COMPUTED_VALUE"""),"0xbbba7ee68a5934934a25e960a9822e5ac5b9a4d5")</f>
        <v>0xbbba7ee68a5934934a25e960a9822e5ac5b9a4d5</v>
      </c>
      <c r="J573" s="18">
        <v>82.2931275799094</v>
      </c>
      <c r="K573" s="4">
        <v>1028.6640947488675</v>
      </c>
      <c r="L573" s="19">
        <v>1.0286640947488674E21</v>
      </c>
      <c r="M573" s="20">
        <v>1.0286640947488675E20</v>
      </c>
    </row>
    <row r="574">
      <c r="A574" s="6"/>
      <c r="B574" s="6"/>
      <c r="C574" s="4"/>
      <c r="D574" s="4">
        <v>530.281995525639</v>
      </c>
      <c r="E574" s="4" t="s">
        <v>1066</v>
      </c>
      <c r="F574" s="4"/>
      <c r="G574" s="4"/>
      <c r="H574" s="4"/>
      <c r="I574" s="4" t="str">
        <f>IFERROR(__xludf.DUMMYFUNCTION("""COMPUTED_VALUE"""),"0xebb8be69ac9e0fc0c9e3c6841d0dc0d1a5927c18")</f>
        <v>0xebb8be69ac9e0fc0c9e3c6841d0dc0d1a5927c18</v>
      </c>
      <c r="J574" s="18">
        <v>764.6580833327356</v>
      </c>
      <c r="K574" s="4">
        <v>9558.226041659194</v>
      </c>
      <c r="L574" s="19">
        <v>9.558226041659195E21</v>
      </c>
      <c r="M574" s="20">
        <v>9.558226041659195E20</v>
      </c>
    </row>
    <row r="575">
      <c r="A575" s="6"/>
      <c r="B575" s="6"/>
      <c r="C575" s="4"/>
      <c r="D575" s="4">
        <v>1.2477493150311099</v>
      </c>
      <c r="E575" s="4" t="s">
        <v>1067</v>
      </c>
      <c r="F575" s="4"/>
      <c r="G575" s="4"/>
      <c r="H575" s="4"/>
      <c r="I575" s="4" t="str">
        <f>IFERROR(__xludf.DUMMYFUNCTION("""COMPUTED_VALUE"""),"0x2e16a06a8cdc8ef53a7825f6d23563d87fbdddf6")</f>
        <v>0x2e16a06a8cdc8ef53a7825f6d23563d87fbdddf6</v>
      </c>
      <c r="J575" s="18">
        <v>1.2477493150311099</v>
      </c>
      <c r="K575" s="4">
        <v>15.596866437888872</v>
      </c>
      <c r="L575" s="19">
        <v>1.5596866437888872E19</v>
      </c>
      <c r="M575" s="20">
        <v>1.5596866437888873E18</v>
      </c>
    </row>
    <row r="576">
      <c r="A576" s="6"/>
      <c r="B576" s="6"/>
      <c r="C576" s="4"/>
      <c r="D576" s="4">
        <v>76.8387076942103</v>
      </c>
      <c r="E576" s="4" t="s">
        <v>1069</v>
      </c>
      <c r="F576" s="4"/>
      <c r="G576" s="4"/>
      <c r="H576" s="4"/>
      <c r="I576" s="4" t="str">
        <f>IFERROR(__xludf.DUMMYFUNCTION("""COMPUTED_VALUE"""),"0xd03270f2b2f6eec2cc2d94b59d8b560f8990220e")</f>
        <v>0xd03270f2b2f6eec2cc2d94b59d8b560f8990220e</v>
      </c>
      <c r="J576" s="18">
        <v>311.21479550130687</v>
      </c>
      <c r="K576" s="4">
        <v>3890.184943766336</v>
      </c>
      <c r="L576" s="19">
        <v>3.890184943766336E21</v>
      </c>
      <c r="M576" s="20">
        <v>3.890184943766336E20</v>
      </c>
    </row>
    <row r="577">
      <c r="A577" s="6"/>
      <c r="B577" s="6"/>
      <c r="C577" s="4"/>
      <c r="D577" s="4">
        <v>12.3256814338156</v>
      </c>
      <c r="E577" s="4" t="s">
        <v>1071</v>
      </c>
      <c r="F577" s="4"/>
      <c r="G577" s="4"/>
      <c r="H577" s="4"/>
      <c r="I577" s="4" t="str">
        <f>IFERROR(__xludf.DUMMYFUNCTION("""COMPUTED_VALUE"""),"0x061e3d6cb9ea3335d79ff77e7e79c0dfb7ec25ee")</f>
        <v>0x061e3d6cb9ea3335d79ff77e7e79c0dfb7ec25ee</v>
      </c>
      <c r="J577" s="18">
        <v>12.3256814338156</v>
      </c>
      <c r="K577" s="4">
        <v>154.071017922695</v>
      </c>
      <c r="L577" s="19">
        <v>1.54071017922695E20</v>
      </c>
      <c r="M577" s="20">
        <v>1.54071017922695E19</v>
      </c>
    </row>
    <row r="578">
      <c r="A578" s="6"/>
      <c r="B578" s="6"/>
      <c r="C578" s="4"/>
      <c r="D578" s="4">
        <v>109.853256322077</v>
      </c>
      <c r="E578" s="4" t="s">
        <v>1073</v>
      </c>
      <c r="F578" s="4"/>
      <c r="G578" s="4"/>
      <c r="H578" s="4"/>
      <c r="I578" s="4" t="str">
        <f>IFERROR(__xludf.DUMMYFUNCTION("""COMPUTED_VALUE"""),"0xd46e22b8c879d6f8baf86dc48d3f7aeb010b6c5e")</f>
        <v>0xd46e22b8c879d6f8baf86dc48d3f7aeb010b6c5e</v>
      </c>
      <c r="J578" s="18">
        <v>109.853256322077</v>
      </c>
      <c r="K578" s="4">
        <v>1373.1657040259624</v>
      </c>
      <c r="L578" s="19">
        <v>1.3731657040259624E21</v>
      </c>
      <c r="M578" s="20">
        <v>1.3731657040259626E20</v>
      </c>
    </row>
    <row r="579">
      <c r="A579" s="6"/>
      <c r="B579" s="6"/>
      <c r="C579" s="4"/>
      <c r="D579" s="4">
        <v>1.32506721937566</v>
      </c>
      <c r="E579" s="4" t="s">
        <v>1075</v>
      </c>
      <c r="F579" s="4"/>
      <c r="G579" s="4"/>
      <c r="H579" s="4"/>
      <c r="I579" s="4" t="str">
        <f>IFERROR(__xludf.DUMMYFUNCTION("""COMPUTED_VALUE"""),"0x4bfb863cffc03bf0971f1b95fd8aa62f3f91dbbd")</f>
        <v>0x4bfb863cffc03bf0971f1b95fd8aa62f3f91dbbd</v>
      </c>
      <c r="J579" s="18">
        <v>2.9014653206996703</v>
      </c>
      <c r="K579" s="4">
        <v>36.268316508745876</v>
      </c>
      <c r="L579" s="19">
        <v>3.6268316508745875E19</v>
      </c>
      <c r="M579" s="20">
        <v>3.6268316508745876E18</v>
      </c>
    </row>
    <row r="580">
      <c r="A580" s="6"/>
      <c r="B580" s="6"/>
      <c r="C580" s="4"/>
      <c r="D580" s="4">
        <v>7.40289450146614</v>
      </c>
      <c r="E580" s="4" t="s">
        <v>1077</v>
      </c>
      <c r="F580" s="4"/>
      <c r="G580" s="4"/>
      <c r="H580" s="4"/>
      <c r="I580" s="4" t="str">
        <f>IFERROR(__xludf.DUMMYFUNCTION("""COMPUTED_VALUE"""),"0x51d07f93f177396dcefe957b04df5d7d655c2d4e")</f>
        <v>0x51d07f93f177396dcefe957b04df5d7d655c2d4e</v>
      </c>
      <c r="J580" s="18">
        <v>55.767022101062736</v>
      </c>
      <c r="K580" s="4">
        <v>697.0877762632841</v>
      </c>
      <c r="L580" s="19">
        <v>6.97087776263284E20</v>
      </c>
      <c r="M580" s="20">
        <v>6.970877762632841E19</v>
      </c>
    </row>
    <row r="581">
      <c r="A581" s="6"/>
      <c r="B581" s="6"/>
      <c r="C581" s="4"/>
      <c r="D581" s="4">
        <v>7.03864611262288</v>
      </c>
      <c r="E581" s="4" t="s">
        <v>1079</v>
      </c>
      <c r="F581" s="4"/>
      <c r="G581" s="4"/>
      <c r="H581" s="4"/>
      <c r="I581" s="4" t="str">
        <f>IFERROR(__xludf.DUMMYFUNCTION("""COMPUTED_VALUE"""),"0xf9ca8893d0346f49d1e41ae964fb58d34ea3b72a")</f>
        <v>0xf9ca8893d0346f49d1e41ae964fb58d34ea3b72a</v>
      </c>
      <c r="J581" s="18">
        <v>7.03864611262288</v>
      </c>
      <c r="K581" s="4">
        <v>87.983076407786</v>
      </c>
      <c r="L581" s="19">
        <v>8.7983076407786E19</v>
      </c>
      <c r="M581" s="20">
        <v>8.7983076407786E18</v>
      </c>
    </row>
    <row r="582">
      <c r="A582" s="6"/>
      <c r="B582" s="6"/>
      <c r="C582" s="4"/>
      <c r="D582" s="4">
        <v>7.678450250587289</v>
      </c>
      <c r="E582" s="4" t="s">
        <v>1081</v>
      </c>
      <c r="F582" s="4"/>
      <c r="G582" s="4"/>
      <c r="H582" s="4"/>
      <c r="I582" s="4" t="str">
        <f>IFERROR(__xludf.DUMMYFUNCTION("""COMPUTED_VALUE"""),"0x80583df055ee5cc6e79cd12ed7f3d77dad2dce3a")</f>
        <v>0x80583df055ee5cc6e79cd12ed7f3d77dad2dce3a</v>
      </c>
      <c r="J582" s="18">
        <v>7.678450250587289</v>
      </c>
      <c r="K582" s="4">
        <v>95.98062813234111</v>
      </c>
      <c r="L582" s="19">
        <v>9.59806281323411E19</v>
      </c>
      <c r="M582" s="20">
        <v>9.59806281323411E18</v>
      </c>
    </row>
    <row r="583">
      <c r="A583" s="6"/>
      <c r="B583" s="6"/>
      <c r="C583" s="4"/>
      <c r="D583" s="4">
        <v>7.77539582882168</v>
      </c>
      <c r="E583" s="4" t="s">
        <v>1083</v>
      </c>
      <c r="F583" s="4"/>
      <c r="G583" s="4"/>
      <c r="H583" s="4"/>
      <c r="I583" s="4" t="str">
        <f>IFERROR(__xludf.DUMMYFUNCTION("""COMPUTED_VALUE"""),"0x718f5ac06fe3bedc42388b014fc1231107ea3650")</f>
        <v>0x718f5ac06fe3bedc42388b014fc1231107ea3650</v>
      </c>
      <c r="J583" s="18">
        <v>15.92775701431421</v>
      </c>
      <c r="K583" s="4">
        <v>199.0969626789276</v>
      </c>
      <c r="L583" s="19">
        <v>1.9909696267892762E20</v>
      </c>
      <c r="M583" s="20">
        <v>1.9909696267892765E19</v>
      </c>
    </row>
    <row r="584">
      <c r="A584" s="6"/>
      <c r="B584" s="6"/>
      <c r="C584" s="4"/>
      <c r="D584" s="4">
        <v>525.053025395266</v>
      </c>
      <c r="E584" s="4" t="s">
        <v>1085</v>
      </c>
      <c r="F584" s="4"/>
      <c r="G584" s="4"/>
      <c r="H584" s="4"/>
      <c r="I584" s="4" t="str">
        <f>IFERROR(__xludf.DUMMYFUNCTION("""COMPUTED_VALUE"""),"0xcdb2e1fe2f4613b00395cc23f1819b912569fa1b")</f>
        <v>0xcdb2e1fe2f4613b00395cc23f1819b912569fa1b</v>
      </c>
      <c r="J584" s="18">
        <v>759.4291132023626</v>
      </c>
      <c r="K584" s="4">
        <v>9492.863915029533</v>
      </c>
      <c r="L584" s="19">
        <v>9.492863915029533E21</v>
      </c>
      <c r="M584" s="20">
        <v>9.492863915029534E20</v>
      </c>
    </row>
    <row r="585">
      <c r="A585" s="6"/>
      <c r="B585" s="6"/>
      <c r="C585" s="4"/>
      <c r="D585" s="4">
        <v>0.389043654938883</v>
      </c>
      <c r="E585" s="4" t="s">
        <v>1087</v>
      </c>
      <c r="F585" s="4"/>
      <c r="G585" s="4"/>
      <c r="H585" s="4"/>
      <c r="I585" s="4" t="str">
        <f>IFERROR(__xludf.DUMMYFUNCTION("""COMPUTED_VALUE"""),"0xc29111084a8439839bcc321618fb34c04934191d")</f>
        <v>0xc29111084a8439839bcc321618fb34c04934191d</v>
      </c>
      <c r="J585" s="18">
        <v>1.437722771034113</v>
      </c>
      <c r="K585" s="4">
        <v>17.97153463792641</v>
      </c>
      <c r="L585" s="19">
        <v>1.797153463792641E19</v>
      </c>
      <c r="M585" s="20">
        <v>1.797153463792641E18</v>
      </c>
    </row>
    <row r="586">
      <c r="A586" s="6"/>
      <c r="B586" s="6"/>
      <c r="C586" s="4"/>
      <c r="D586" s="4">
        <v>8.837801110031501</v>
      </c>
      <c r="E586" s="4" t="s">
        <v>1089</v>
      </c>
      <c r="F586" s="4"/>
      <c r="G586" s="4"/>
      <c r="H586" s="4"/>
      <c r="I586" s="4" t="str">
        <f>IFERROR(__xludf.DUMMYFUNCTION("""COMPUTED_VALUE"""),"0xfeb687cde255a7ad76135eac969a157b17737059")</f>
        <v>0xfeb687cde255a7ad76135eac969a157b17737059</v>
      </c>
      <c r="J586" s="18">
        <v>8.837801110031501</v>
      </c>
      <c r="K586" s="4">
        <v>110.47251387539376</v>
      </c>
      <c r="L586" s="19">
        <v>1.1047251387539376E20</v>
      </c>
      <c r="M586" s="20">
        <v>1.1047251387539376E19</v>
      </c>
    </row>
    <row r="587">
      <c r="A587" s="6"/>
      <c r="B587" s="6"/>
      <c r="C587" s="4"/>
      <c r="D587" s="4">
        <v>1191.59262548246</v>
      </c>
      <c r="E587" s="4" t="s">
        <v>1091</v>
      </c>
      <c r="F587" s="4"/>
      <c r="G587" s="4"/>
      <c r="H587" s="4"/>
      <c r="I587" s="4" t="str">
        <f>IFERROR(__xludf.DUMMYFUNCTION("""COMPUTED_VALUE"""),"0xeda39af25b25f179bed410ecc6d33060952b7db3")</f>
        <v>0xeda39af25b25f179bed410ecc6d33060952b7db3</v>
      </c>
      <c r="J587" s="18">
        <v>1425.9687132895567</v>
      </c>
      <c r="K587" s="4">
        <v>17824.608916119458</v>
      </c>
      <c r="L587" s="19">
        <v>1.7824608916119457E22</v>
      </c>
      <c r="M587" s="20">
        <v>1.7824608916119458E21</v>
      </c>
    </row>
    <row r="588">
      <c r="A588" s="6"/>
      <c r="B588" s="6"/>
      <c r="C588" s="4"/>
      <c r="D588" s="4">
        <v>5.1576860688055</v>
      </c>
      <c r="E588" s="4" t="s">
        <v>1093</v>
      </c>
      <c r="F588" s="4"/>
      <c r="G588" s="4"/>
      <c r="H588" s="4"/>
      <c r="I588" s="4" t="str">
        <f>IFERROR(__xludf.DUMMYFUNCTION("""COMPUTED_VALUE"""),"0x6c771c127181a94d1838c1c13e8483b49ce186e4")</f>
        <v>0x6c771c127181a94d1838c1c13e8483b49ce186e4</v>
      </c>
      <c r="J588" s="18">
        <v>5.1576860688055</v>
      </c>
      <c r="K588" s="4">
        <v>64.47107586006875</v>
      </c>
      <c r="L588" s="19">
        <v>6.447107586006875E19</v>
      </c>
      <c r="M588" s="20">
        <v>6.447107586006876E18</v>
      </c>
    </row>
    <row r="589">
      <c r="A589" s="6"/>
      <c r="B589" s="6"/>
      <c r="C589" s="4"/>
      <c r="D589" s="4">
        <v>121.334216150832</v>
      </c>
      <c r="E589" s="4" t="s">
        <v>1095</v>
      </c>
      <c r="F589" s="4"/>
      <c r="G589" s="4"/>
      <c r="H589" s="4"/>
      <c r="I589" s="4" t="str">
        <f>IFERROR(__xludf.DUMMYFUNCTION("""COMPUTED_VALUE"""),"0xf6aa2459ad91536e7c36cf12370128de538ef38f")</f>
        <v>0xf6aa2459ad91536e7c36cf12370128de538ef38f</v>
      </c>
      <c r="J589" s="18">
        <v>355.71030395792855</v>
      </c>
      <c r="K589" s="4">
        <v>4446.378799474107</v>
      </c>
      <c r="L589" s="19">
        <v>4.446378799474107E21</v>
      </c>
      <c r="M589" s="20">
        <v>4.4463787994741074E20</v>
      </c>
    </row>
    <row r="590">
      <c r="A590" s="6"/>
      <c r="B590" s="6"/>
      <c r="C590" s="4"/>
      <c r="D590" s="4">
        <v>0.478537826691827</v>
      </c>
      <c r="E590" s="4" t="s">
        <v>1097</v>
      </c>
      <c r="F590" s="4"/>
      <c r="G590" s="4"/>
      <c r="H590" s="4"/>
      <c r="I590" s="4" t="str">
        <f>IFERROR(__xludf.DUMMYFUNCTION("""COMPUTED_VALUE"""),"0x0212422e73c60a1cc1fa64883fb93f86783db862")</f>
        <v>0x0212422e73c60a1cc1fa64883fb93f86783db862</v>
      </c>
      <c r="J590" s="18">
        <v>0.478537826691827</v>
      </c>
      <c r="K590" s="4">
        <v>5.981722833647837</v>
      </c>
      <c r="L590" s="19">
        <v>5.981722833647837E18</v>
      </c>
      <c r="M590" s="20">
        <v>5.981722833647837E17</v>
      </c>
    </row>
    <row r="591">
      <c r="A591" s="6"/>
      <c r="B591" s="6"/>
      <c r="C591" s="4"/>
      <c r="D591" s="4">
        <v>8.352324584175049</v>
      </c>
      <c r="E591" s="4" t="s">
        <v>1099</v>
      </c>
      <c r="F591" s="4"/>
      <c r="G591" s="4"/>
      <c r="H591" s="4"/>
      <c r="I591" s="4" t="str">
        <f>IFERROR(__xludf.DUMMYFUNCTION("""COMPUTED_VALUE"""),"0x5be58fd5e19a5074618cfe2b8ade34f35b2f2918")</f>
        <v>0x5be58fd5e19a5074618cfe2b8ade34f35b2f2918</v>
      </c>
      <c r="J591" s="18">
        <v>8.352324584175049</v>
      </c>
      <c r="K591" s="4">
        <v>104.40405730218811</v>
      </c>
      <c r="L591" s="19">
        <v>1.0440405730218811E20</v>
      </c>
      <c r="M591" s="20">
        <v>1.0440405730218811E19</v>
      </c>
    </row>
    <row r="592">
      <c r="A592" s="6"/>
      <c r="B592" s="6"/>
      <c r="C592" s="4"/>
      <c r="D592" s="4">
        <v>33.4300743961251</v>
      </c>
      <c r="E592" s="4" t="s">
        <v>1101</v>
      </c>
      <c r="F592" s="4"/>
      <c r="G592" s="4"/>
      <c r="H592" s="4"/>
      <c r="I592" s="4" t="str">
        <f>IFERROR(__xludf.DUMMYFUNCTION("""COMPUTED_VALUE"""),"0x3238934316238ebbda1ffb229ec9a37bf66c5564")</f>
        <v>0x3238934316238ebbda1ffb229ec9a37bf66c5564</v>
      </c>
      <c r="J592" s="18">
        <v>267.8061622032217</v>
      </c>
      <c r="K592" s="4">
        <v>3347.577027540271</v>
      </c>
      <c r="L592" s="19">
        <v>3.347577027540271E21</v>
      </c>
      <c r="M592" s="20">
        <v>3.347577027540271E20</v>
      </c>
    </row>
    <row r="593">
      <c r="A593" s="6"/>
      <c r="B593" s="6"/>
      <c r="C593" s="4"/>
      <c r="D593" s="4">
        <v>22.638521477660298</v>
      </c>
      <c r="E593" s="4" t="s">
        <v>1103</v>
      </c>
      <c r="F593" s="4"/>
      <c r="G593" s="4"/>
      <c r="H593" s="4"/>
      <c r="I593" s="4" t="str">
        <f>IFERROR(__xludf.DUMMYFUNCTION("""COMPUTED_VALUE"""),"0xf557ba79bf2bb3e2723e572f2d7278d8ec16486f")</f>
        <v>0xf557ba79bf2bb3e2723e572f2d7278d8ec16486f</v>
      </c>
      <c r="J593" s="18">
        <v>22.638521477660298</v>
      </c>
      <c r="K593" s="4">
        <v>282.9815184707537</v>
      </c>
      <c r="L593" s="19">
        <v>2.829815184707537E20</v>
      </c>
      <c r="M593" s="20">
        <v>2.8298151847075373E19</v>
      </c>
    </row>
    <row r="594">
      <c r="A594" s="6"/>
      <c r="B594" s="6"/>
      <c r="C594" s="4"/>
      <c r="D594" s="4">
        <v>3.24948794954694</v>
      </c>
      <c r="E594" s="4" t="s">
        <v>1105</v>
      </c>
      <c r="F594" s="4"/>
      <c r="G594" s="4"/>
      <c r="H594" s="4"/>
      <c r="I594" s="4" t="str">
        <f>IFERROR(__xludf.DUMMYFUNCTION("""COMPUTED_VALUE"""),"0xad63dde7ca39ea3446fb6d29bb91e0cbf7a9a582")</f>
        <v>0xad63dde7ca39ea3446fb6d29bb91e0cbf7a9a582</v>
      </c>
      <c r="J594" s="18">
        <v>24.95431494888224</v>
      </c>
      <c r="K594" s="4">
        <v>311.928936861028</v>
      </c>
      <c r="L594" s="19">
        <v>3.11928936861028E20</v>
      </c>
      <c r="M594" s="20">
        <v>3.1192893686102802E19</v>
      </c>
    </row>
    <row r="595">
      <c r="A595" s="6"/>
      <c r="B595" s="6"/>
      <c r="C595" s="4"/>
      <c r="D595" s="4">
        <v>1.32011977316719</v>
      </c>
      <c r="E595" s="4" t="s">
        <v>1107</v>
      </c>
      <c r="F595" s="4"/>
      <c r="G595" s="4"/>
      <c r="H595" s="4"/>
      <c r="I595" s="4" t="str">
        <f>IFERROR(__xludf.DUMMYFUNCTION("""COMPUTED_VALUE"""),"0xb33cf303ab04cb603141e2214d9463d94c5203b5")</f>
        <v>0xb33cf303ab04cb603141e2214d9463d94c5203b5</v>
      </c>
      <c r="J595" s="18">
        <v>1.32011977316719</v>
      </c>
      <c r="K595" s="4">
        <v>16.501497164589875</v>
      </c>
      <c r="L595" s="19">
        <v>1.6501497164589875E19</v>
      </c>
      <c r="M595" s="20">
        <v>1.6501497164589875E18</v>
      </c>
    </row>
    <row r="596">
      <c r="A596" s="6"/>
      <c r="B596" s="6"/>
      <c r="C596" s="4"/>
      <c r="D596" s="4">
        <v>14.2775910784177</v>
      </c>
      <c r="E596" s="4" t="s">
        <v>1109</v>
      </c>
      <c r="F596" s="4"/>
      <c r="G596" s="4"/>
      <c r="H596" s="4"/>
      <c r="I596" s="4" t="str">
        <f>IFERROR(__xludf.DUMMYFUNCTION("""COMPUTED_VALUE"""),"0xc4088db8fc94d2bca92481d0b5aed8e68ccb0aeb")</f>
        <v>0xc4088db8fc94d2bca92481d0b5aed8e68ccb0aeb</v>
      </c>
      <c r="J596" s="18">
        <v>14.2775910784177</v>
      </c>
      <c r="K596" s="4">
        <v>178.46988848022124</v>
      </c>
      <c r="L596" s="19">
        <v>1.7846988848022123E20</v>
      </c>
      <c r="M596" s="20">
        <v>1.7846988848022125E19</v>
      </c>
    </row>
    <row r="597">
      <c r="A597" s="6"/>
      <c r="B597" s="6"/>
      <c r="C597" s="4"/>
      <c r="D597" s="4">
        <v>167.193870575394</v>
      </c>
      <c r="E597" s="4" t="s">
        <v>1111</v>
      </c>
      <c r="F597" s="4"/>
      <c r="G597" s="4"/>
      <c r="H597" s="4"/>
      <c r="I597" s="4" t="str">
        <f>IFERROR(__xludf.DUMMYFUNCTION("""COMPUTED_VALUE"""),"0x4e00ca2cccf98319eb48f923b3124fee53ad4a29")</f>
        <v>0x4e00ca2cccf98319eb48f923b3124fee53ad4a29</v>
      </c>
      <c r="J597" s="18">
        <v>167.193870575394</v>
      </c>
      <c r="K597" s="4">
        <v>2089.923382192425</v>
      </c>
      <c r="L597" s="19">
        <v>2.089923382192425E21</v>
      </c>
      <c r="M597" s="20">
        <v>2.089923382192425E20</v>
      </c>
    </row>
    <row r="598">
      <c r="A598" s="6"/>
      <c r="B598" s="6"/>
      <c r="C598" s="4"/>
      <c r="D598" s="4">
        <v>15.7934491746501</v>
      </c>
      <c r="E598" s="4" t="s">
        <v>1113</v>
      </c>
      <c r="F598" s="4"/>
      <c r="G598" s="4"/>
      <c r="H598" s="4"/>
      <c r="I598" s="4" t="str">
        <f>IFERROR(__xludf.DUMMYFUNCTION("""COMPUTED_VALUE"""),"0xdb28477969799910b622dd19c49548020bef31e8")</f>
        <v>0xdb28477969799910b622dd19c49548020bef31e8</v>
      </c>
      <c r="J598" s="18">
        <v>15.7934491746501</v>
      </c>
      <c r="K598" s="4">
        <v>197.41811468312625</v>
      </c>
      <c r="L598" s="19">
        <v>1.9741811468312625E20</v>
      </c>
      <c r="M598" s="20">
        <v>1.9741811468312625E19</v>
      </c>
    </row>
    <row r="599">
      <c r="A599" s="6"/>
      <c r="B599" s="6"/>
      <c r="C599" s="4"/>
      <c r="D599" s="4">
        <v>0.912732187369176</v>
      </c>
      <c r="E599" s="4" t="s">
        <v>1115</v>
      </c>
      <c r="F599" s="4"/>
      <c r="G599" s="4"/>
      <c r="H599" s="4"/>
      <c r="I599" s="4" t="str">
        <f>IFERROR(__xludf.DUMMYFUNCTION("""COMPUTED_VALUE"""),"0x68bf9390c726264e6e885475e404c3ce4fff6868")</f>
        <v>0x68bf9390c726264e6e885475e404c3ce4fff6868</v>
      </c>
      <c r="J599" s="18">
        <v>0.912732187369176</v>
      </c>
      <c r="K599" s="4">
        <v>11.4091523421147</v>
      </c>
      <c r="L599" s="19">
        <v>1.14091523421147E19</v>
      </c>
      <c r="M599" s="20">
        <v>1.14091523421147E18</v>
      </c>
    </row>
    <row r="600">
      <c r="A600" s="6"/>
      <c r="B600" s="6"/>
      <c r="C600" s="4"/>
      <c r="D600" s="4">
        <v>0.798631479583364</v>
      </c>
      <c r="E600" s="4" t="s">
        <v>1117</v>
      </c>
      <c r="F600" s="4"/>
      <c r="G600" s="4"/>
      <c r="H600" s="4"/>
      <c r="I600" s="4" t="str">
        <f>IFERROR(__xludf.DUMMYFUNCTION("""COMPUTED_VALUE"""),"0x68ce3db9130e27220a728a1ceb78912b22d982cc")</f>
        <v>0x68ce3db9130e27220a728a1ceb78912b22d982cc</v>
      </c>
      <c r="J600" s="18">
        <v>0.798631479583364</v>
      </c>
      <c r="K600" s="4">
        <v>9.98289349479205</v>
      </c>
      <c r="L600" s="19">
        <v>9.98289349479205E18</v>
      </c>
      <c r="M600" s="20">
        <v>9.982893494792051E17</v>
      </c>
    </row>
    <row r="601">
      <c r="A601" s="6"/>
      <c r="B601" s="6"/>
      <c r="C601" s="4"/>
      <c r="D601" s="4">
        <v>38.4778523057751</v>
      </c>
      <c r="E601" s="4" t="s">
        <v>1119</v>
      </c>
      <c r="F601" s="4"/>
      <c r="G601" s="4"/>
      <c r="H601" s="4"/>
      <c r="I601" s="4" t="str">
        <f>IFERROR(__xludf.DUMMYFUNCTION("""COMPUTED_VALUE"""),"0x8df9838c123a49901963c2dc3488ffb210dc4414")</f>
        <v>0x8df9838c123a49901963c2dc3488ffb210dc4414</v>
      </c>
      <c r="J601" s="18">
        <v>75.3972687419799</v>
      </c>
      <c r="K601" s="4">
        <v>942.4658592747487</v>
      </c>
      <c r="L601" s="19">
        <v>9.424658592747487E20</v>
      </c>
      <c r="M601" s="20">
        <v>9.424658592747487E19</v>
      </c>
    </row>
    <row r="602">
      <c r="A602" s="6"/>
      <c r="B602" s="6"/>
      <c r="C602" s="4"/>
      <c r="D602" s="4">
        <v>810.626860921303</v>
      </c>
      <c r="E602" s="4" t="s">
        <v>1121</v>
      </c>
      <c r="F602" s="4"/>
      <c r="G602" s="4"/>
      <c r="H602" s="4"/>
      <c r="I602" s="4" t="str">
        <f>IFERROR(__xludf.DUMMYFUNCTION("""COMPUTED_VALUE"""),"0x337b9a57187d7c80a7ba8f773512403a0edcc14b")</f>
        <v>0x337b9a57187d7c80a7ba8f773512403a0edcc14b</v>
      </c>
      <c r="J602" s="18">
        <v>1045.0029487283996</v>
      </c>
      <c r="K602" s="4">
        <v>13062.536859104994</v>
      </c>
      <c r="L602" s="19">
        <v>1.3062536859104993E22</v>
      </c>
      <c r="M602" s="20">
        <v>1.3062536859104992E21</v>
      </c>
    </row>
    <row r="603">
      <c r="A603" s="6"/>
      <c r="B603" s="6"/>
      <c r="C603" s="4"/>
      <c r="D603" s="4">
        <v>1171.8769828942</v>
      </c>
      <c r="E603" s="4" t="s">
        <v>1123</v>
      </c>
      <c r="F603" s="4"/>
      <c r="G603" s="4"/>
      <c r="H603" s="4"/>
      <c r="I603" s="4" t="str">
        <f>IFERROR(__xludf.DUMMYFUNCTION("""COMPUTED_VALUE"""),"0x259ddfa9f95e4c6ad778a3342177aaf85e40ea42")</f>
        <v>0x259ddfa9f95e4c6ad778a3342177aaf85e40ea42</v>
      </c>
      <c r="J603" s="18">
        <v>1171.8769828942</v>
      </c>
      <c r="K603" s="4">
        <v>14648.462286177499</v>
      </c>
      <c r="L603" s="19">
        <v>1.4648462286177499E22</v>
      </c>
      <c r="M603" s="20">
        <v>1.4648462286177499E21</v>
      </c>
    </row>
    <row r="604">
      <c r="A604" s="6"/>
      <c r="B604" s="6"/>
      <c r="C604" s="4"/>
      <c r="D604" s="4">
        <v>573.461297417981</v>
      </c>
      <c r="E604" s="4" t="s">
        <v>1125</v>
      </c>
      <c r="F604" s="4"/>
      <c r="G604" s="4"/>
      <c r="H604" s="4"/>
      <c r="I604" s="4" t="str">
        <f>IFERROR(__xludf.DUMMYFUNCTION("""COMPUTED_VALUE"""),"0xbbb7b32a5e384829fa67e200041d64e4dd8a6105")</f>
        <v>0xbbb7b32a5e384829fa67e200041d64e4dd8a6105</v>
      </c>
      <c r="J604" s="18">
        <v>807.8373852250776</v>
      </c>
      <c r="K604" s="4">
        <v>10097.96731531347</v>
      </c>
      <c r="L604" s="19">
        <v>1.009796731531347E22</v>
      </c>
      <c r="M604" s="20">
        <v>1.0097967315313471E21</v>
      </c>
    </row>
    <row r="605">
      <c r="A605" s="6"/>
      <c r="B605" s="6"/>
      <c r="C605" s="4"/>
      <c r="D605" s="4">
        <v>5.19400953012321</v>
      </c>
      <c r="E605" s="4" t="s">
        <v>1127</v>
      </c>
      <c r="F605" s="4"/>
      <c r="G605" s="4"/>
      <c r="H605" s="4"/>
      <c r="I605" s="4" t="str">
        <f>IFERROR(__xludf.DUMMYFUNCTION("""COMPUTED_VALUE"""),"0x40335d2a5f33698d8905a4ca834a598672e53b97")</f>
        <v>0x40335d2a5f33698d8905a4ca834a598672e53b97</v>
      </c>
      <c r="J605" s="18">
        <v>5.19400953012321</v>
      </c>
      <c r="K605" s="4">
        <v>64.92511912654012</v>
      </c>
      <c r="L605" s="19">
        <v>6.4925119126540124E19</v>
      </c>
      <c r="M605" s="20">
        <v>6.492511912654012E18</v>
      </c>
    </row>
    <row r="606">
      <c r="A606" s="6"/>
      <c r="B606" s="6"/>
      <c r="C606" s="4"/>
      <c r="D606" s="4">
        <v>50.0452749709614</v>
      </c>
      <c r="E606" s="4" t="s">
        <v>1129</v>
      </c>
      <c r="F606" s="4"/>
      <c r="G606" s="4"/>
      <c r="H606" s="4"/>
      <c r="I606" s="4" t="str">
        <f>IFERROR(__xludf.DUMMYFUNCTION("""COMPUTED_VALUE"""),"0x56e92a7cafc83791089191b5136dc26168cb575a")</f>
        <v>0x56e92a7cafc83791089191b5136dc26168cb575a</v>
      </c>
      <c r="J606" s="18">
        <v>98.409402570558</v>
      </c>
      <c r="K606" s="4">
        <v>1230.117532131975</v>
      </c>
      <c r="L606" s="19">
        <v>1.230117532131975E21</v>
      </c>
      <c r="M606" s="20">
        <v>1.230117532131975E20</v>
      </c>
    </row>
    <row r="607">
      <c r="A607" s="6"/>
      <c r="B607" s="6"/>
      <c r="C607" s="4"/>
      <c r="D607" s="4">
        <v>35.3427083128258</v>
      </c>
      <c r="E607" s="4" t="s">
        <v>1131</v>
      </c>
      <c r="F607" s="4"/>
      <c r="G607" s="4"/>
      <c r="H607" s="4"/>
      <c r="I607" s="4" t="str">
        <f>IFERROR(__xludf.DUMMYFUNCTION("""COMPUTED_VALUE"""),"0x3673348670de83fb61f65bf4eda6270e92c41c60")</f>
        <v>0x3673348670de83fb61f65bf4eda6270e92c41c60</v>
      </c>
      <c r="J607" s="18">
        <v>35.3427083128258</v>
      </c>
      <c r="K607" s="4">
        <v>441.7838539103225</v>
      </c>
      <c r="L607" s="19">
        <v>4.4178385391032245E20</v>
      </c>
      <c r="M607" s="20">
        <v>4.417838539103225E19</v>
      </c>
    </row>
    <row r="608">
      <c r="A608" s="6"/>
      <c r="B608" s="6"/>
      <c r="C608" s="4"/>
      <c r="D608" s="4">
        <v>7.042636424913851</v>
      </c>
      <c r="E608" s="4" t="s">
        <v>1132</v>
      </c>
      <c r="F608" s="4"/>
      <c r="G608" s="4"/>
      <c r="H608" s="4"/>
      <c r="I608" s="4" t="str">
        <f>IFERROR(__xludf.DUMMYFUNCTION("""COMPUTED_VALUE"""),"0x114d77fcf7d7da26c4c843047de48fddbd0f826b")</f>
        <v>0x114d77fcf7d7da26c4c843047de48fddbd0f826b</v>
      </c>
      <c r="J608" s="18">
        <v>7.042636424913851</v>
      </c>
      <c r="K608" s="4">
        <v>88.03295531142314</v>
      </c>
      <c r="L608" s="19">
        <v>8.803295531142314E19</v>
      </c>
      <c r="M608" s="20">
        <v>8.803295531142315E18</v>
      </c>
    </row>
    <row r="609">
      <c r="A609" s="6"/>
      <c r="B609" s="6"/>
      <c r="C609" s="4"/>
      <c r="D609" s="4">
        <v>9.239050927412618</v>
      </c>
      <c r="E609" s="4" t="s">
        <v>1134</v>
      </c>
      <c r="F609" s="4"/>
      <c r="G609" s="4"/>
      <c r="H609" s="4"/>
      <c r="I609" s="4" t="str">
        <f>IFERROR(__xludf.DUMMYFUNCTION("""COMPUTED_VALUE"""),"0x3b86a74636b4c3ab324d4eb50068f1dcae3ef96d")</f>
        <v>0x3b86a74636b4c3ab324d4eb50068f1dcae3ef96d</v>
      </c>
      <c r="J609" s="18">
        <v>9.239050927412618</v>
      </c>
      <c r="K609" s="4">
        <v>115.48813659265772</v>
      </c>
      <c r="L609" s="19">
        <v>1.1548813659265773E20</v>
      </c>
      <c r="M609" s="20">
        <v>1.1548813659265774E19</v>
      </c>
    </row>
    <row r="610">
      <c r="A610" s="6"/>
      <c r="B610" s="6"/>
      <c r="C610" s="4"/>
      <c r="D610" s="4">
        <v>15.8239072943092</v>
      </c>
      <c r="E610" s="4" t="s">
        <v>1136</v>
      </c>
      <c r="F610" s="4"/>
      <c r="G610" s="4"/>
      <c r="H610" s="4"/>
      <c r="I610" s="4" t="str">
        <f>IFERROR(__xludf.DUMMYFUNCTION("""COMPUTED_VALUE"""),"0x2e4b5cba85eff65fcaaffdf2c830c4b914006457")</f>
        <v>0x2e4b5cba85eff65fcaaffdf2c830c4b914006457</v>
      </c>
      <c r="J610" s="18">
        <v>15.8239072943092</v>
      </c>
      <c r="K610" s="4">
        <v>197.798841178865</v>
      </c>
      <c r="L610" s="19">
        <v>1.9779884117886498E20</v>
      </c>
      <c r="M610" s="20">
        <v>1.9779884117886497E19</v>
      </c>
    </row>
    <row r="611">
      <c r="A611" s="6"/>
      <c r="B611" s="6"/>
      <c r="C611" s="4"/>
      <c r="D611" s="4">
        <v>8.30257389297689</v>
      </c>
      <c r="E611" s="4" t="s">
        <v>1138</v>
      </c>
      <c r="F611" s="4"/>
      <c r="G611" s="4"/>
      <c r="H611" s="4"/>
      <c r="I611" s="4" t="str">
        <f>IFERROR(__xludf.DUMMYFUNCTION("""COMPUTED_VALUE"""),"0x7b76a1aa842c5c162a48a9e29549a22c8699b9ed")</f>
        <v>0x7b76a1aa842c5c162a48a9e29549a22c8699b9ed</v>
      </c>
      <c r="J611" s="18">
        <v>8.30257389297689</v>
      </c>
      <c r="K611" s="4">
        <v>103.78217366221112</v>
      </c>
      <c r="L611" s="19">
        <v>1.0378217366221113E20</v>
      </c>
      <c r="M611" s="20">
        <v>1.0378217366221113E19</v>
      </c>
    </row>
    <row r="612">
      <c r="A612" s="6"/>
      <c r="B612" s="6"/>
      <c r="C612" s="4"/>
      <c r="D612" s="4">
        <v>6.85861028290139</v>
      </c>
      <c r="E612" s="4" t="s">
        <v>1140</v>
      </c>
      <c r="F612" s="4"/>
      <c r="G612" s="4"/>
      <c r="H612" s="4"/>
      <c r="I612" s="4" t="str">
        <f>IFERROR(__xludf.DUMMYFUNCTION("""COMPUTED_VALUE"""),"0x7e586c5f0968900b57e294a122fa471d05d9f903")</f>
        <v>0x7e586c5f0968900b57e294a122fa471d05d9f903</v>
      </c>
      <c r="J612" s="18">
        <v>6.85861028290139</v>
      </c>
      <c r="K612" s="4">
        <v>85.73262853626737</v>
      </c>
      <c r="L612" s="19">
        <v>8.573262853626737E19</v>
      </c>
      <c r="M612" s="20">
        <v>8.573262853626738E18</v>
      </c>
    </row>
    <row r="613">
      <c r="A613" s="6"/>
      <c r="B613" s="6"/>
      <c r="C613" s="4"/>
      <c r="D613" s="4">
        <v>35.4494516810172</v>
      </c>
      <c r="E613" s="4" t="s">
        <v>1142</v>
      </c>
      <c r="F613" s="4"/>
      <c r="G613" s="4"/>
      <c r="H613" s="4"/>
      <c r="I613" s="4" t="str">
        <f>IFERROR(__xludf.DUMMYFUNCTION("""COMPUTED_VALUE"""),"0x3703751d80737a5a0afa4f0f624329dcb51fc9d2")</f>
        <v>0x3703751d80737a5a0afa4f0f624329dcb51fc9d2</v>
      </c>
      <c r="J613" s="18">
        <v>83.8135792806138</v>
      </c>
      <c r="K613" s="4">
        <v>1047.6697410076724</v>
      </c>
      <c r="L613" s="19">
        <v>1.0476697410076724E21</v>
      </c>
      <c r="M613" s="20">
        <v>1.0476697410076724E20</v>
      </c>
    </row>
    <row r="614">
      <c r="A614" s="6"/>
      <c r="B614" s="6"/>
      <c r="C614" s="4"/>
      <c r="D614" s="4">
        <v>25.445161134555903</v>
      </c>
      <c r="E614" s="4" t="s">
        <v>1144</v>
      </c>
      <c r="F614" s="4"/>
      <c r="G614" s="4"/>
      <c r="H614" s="4"/>
      <c r="I614" s="4" t="str">
        <f>IFERROR(__xludf.DUMMYFUNCTION("""COMPUTED_VALUE"""),"0xc19406fa9b52ca709550e0f491c2b8f9633524bd")</f>
        <v>0xc19406fa9b52ca709550e0f491c2b8f9633524bd</v>
      </c>
      <c r="J614" s="18">
        <v>25.445161134555903</v>
      </c>
      <c r="K614" s="4">
        <v>318.06451418194877</v>
      </c>
      <c r="L614" s="19">
        <v>3.180645141819488E20</v>
      </c>
      <c r="M614" s="20">
        <v>3.180645141819488E19</v>
      </c>
    </row>
    <row r="615">
      <c r="A615" s="6"/>
      <c r="B615" s="6"/>
      <c r="C615" s="4"/>
      <c r="D615" s="4">
        <v>482.256909761838</v>
      </c>
      <c r="E615" s="4" t="s">
        <v>1146</v>
      </c>
      <c r="F615" s="4"/>
      <c r="G615" s="4"/>
      <c r="H615" s="4"/>
      <c r="I615" s="4" t="str">
        <f>IFERROR(__xludf.DUMMYFUNCTION("""COMPUTED_VALUE"""),"0xf43257df6b2066c866ceee61218ee1ee50d3be6f")</f>
        <v>0xf43257df6b2066c866ceee61218ee1ee50d3be6f</v>
      </c>
      <c r="J615" s="18">
        <v>716.6329975689347</v>
      </c>
      <c r="K615" s="4">
        <v>8957.912469611683</v>
      </c>
      <c r="L615" s="19">
        <v>8.957912469611684E21</v>
      </c>
      <c r="M615" s="20">
        <v>8.957912469611684E20</v>
      </c>
    </row>
    <row r="616">
      <c r="A616" s="6"/>
      <c r="B616" s="6"/>
      <c r="C616" s="4"/>
      <c r="D616" s="4">
        <v>9.98939147066922</v>
      </c>
      <c r="E616" s="4" t="s">
        <v>1148</v>
      </c>
      <c r="F616" s="4"/>
      <c r="G616" s="4"/>
      <c r="H616" s="4"/>
      <c r="I616" s="4" t="str">
        <f>IFERROR(__xludf.DUMMYFUNCTION("""COMPUTED_VALUE"""),"0xa247fb79d70d6029806eb2e95dbfdcdb0b9d3d23")</f>
        <v>0xa247fb79d70d6029806eb2e95dbfdcdb0b9d3d23</v>
      </c>
      <c r="J616" s="18">
        <v>9.98939147066922</v>
      </c>
      <c r="K616" s="4">
        <v>124.86739338336525</v>
      </c>
      <c r="L616" s="19">
        <v>1.2486739338336525E20</v>
      </c>
      <c r="M616" s="20">
        <v>1.2486739338336526E19</v>
      </c>
    </row>
    <row r="617">
      <c r="A617" s="6"/>
      <c r="B617" s="6"/>
      <c r="C617" s="4"/>
      <c r="D617" s="4">
        <v>9.89595832759124</v>
      </c>
      <c r="E617" s="4" t="s">
        <v>1150</v>
      </c>
      <c r="F617" s="4"/>
      <c r="G617" s="4"/>
      <c r="H617" s="4"/>
      <c r="I617" s="4" t="str">
        <f>IFERROR(__xludf.DUMMYFUNCTION("""COMPUTED_VALUE"""),"0xad8043992abf4ce855ff34806dbc7942d9c4ad0a")</f>
        <v>0xad8043992abf4ce855ff34806dbc7942d9c4ad0a</v>
      </c>
      <c r="J617" s="18">
        <v>9.89595832759124</v>
      </c>
      <c r="K617" s="4">
        <v>123.69947909489049</v>
      </c>
      <c r="L617" s="19">
        <v>1.236994790948905E20</v>
      </c>
      <c r="M617" s="20">
        <v>1.236994790948905E19</v>
      </c>
    </row>
    <row r="618">
      <c r="A618" s="6"/>
      <c r="B618" s="6"/>
      <c r="C618" s="4"/>
      <c r="D618" s="4">
        <v>0.833937842522658</v>
      </c>
      <c r="E618" s="4" t="s">
        <v>1151</v>
      </c>
      <c r="F618" s="4"/>
      <c r="G618" s="4"/>
      <c r="H618" s="4"/>
      <c r="I618" s="4" t="str">
        <f>IFERROR(__xludf.DUMMYFUNCTION("""COMPUTED_VALUE"""),"0x4406666766c07209a4978b06dc94d3f27fbf1c60")</f>
        <v>0x4406666766c07209a4978b06dc94d3f27fbf1c60</v>
      </c>
      <c r="J618" s="18">
        <v>4.055266340293928</v>
      </c>
      <c r="K618" s="4">
        <v>50.690829253674096</v>
      </c>
      <c r="L618" s="19">
        <v>5.06908292536741E19</v>
      </c>
      <c r="M618" s="20">
        <v>5.06908292536741E18</v>
      </c>
    </row>
    <row r="619">
      <c r="A619" s="6"/>
      <c r="B619" s="6"/>
      <c r="C619" s="4"/>
      <c r="D619" s="4">
        <v>7.0685416625651705</v>
      </c>
      <c r="E619" s="4" t="s">
        <v>1153</v>
      </c>
      <c r="F619" s="4"/>
      <c r="G619" s="4"/>
      <c r="H619" s="4"/>
      <c r="I619" s="4" t="str">
        <f>IFERROR(__xludf.DUMMYFUNCTION("""COMPUTED_VALUE"""),"0xf9c52dcfbcb85a1f2f003acfbdff591ff088d4e4")</f>
        <v>0xf9c52dcfbcb85a1f2f003acfbdff591ff088d4e4</v>
      </c>
      <c r="J619" s="18">
        <v>55.43266926216177</v>
      </c>
      <c r="K619" s="4">
        <v>692.908365777022</v>
      </c>
      <c r="L619" s="19">
        <v>6.929083657770221E20</v>
      </c>
      <c r="M619" s="20">
        <v>6.9290836577702216E19</v>
      </c>
    </row>
    <row r="620">
      <c r="A620" s="6"/>
      <c r="B620" s="6"/>
      <c r="C620" s="4"/>
      <c r="D620" s="4">
        <v>263.22131716347</v>
      </c>
      <c r="E620" s="4" t="s">
        <v>1154</v>
      </c>
      <c r="F620" s="4"/>
      <c r="G620" s="4"/>
      <c r="H620" s="4"/>
      <c r="I620" s="4" t="str">
        <f>IFERROR(__xludf.DUMMYFUNCTION("""COMPUTED_VALUE"""),"0x389b8bd4fac72ff9aa5fd888a4b3283ac4c14b28")</f>
        <v>0x389b8bd4fac72ff9aa5fd888a4b3283ac4c14b28</v>
      </c>
      <c r="J620" s="18">
        <v>497.5974049705666</v>
      </c>
      <c r="K620" s="4">
        <v>6219.967562132082</v>
      </c>
      <c r="L620" s="19">
        <v>6.219967562132082E21</v>
      </c>
      <c r="M620" s="20">
        <v>6.219967562132083E20</v>
      </c>
    </row>
    <row r="621">
      <c r="A621" s="6"/>
      <c r="B621" s="6"/>
      <c r="C621" s="4"/>
      <c r="D621" s="4">
        <v>7.0685416625651705</v>
      </c>
      <c r="E621" s="4" t="s">
        <v>1156</v>
      </c>
      <c r="F621" s="4"/>
      <c r="G621" s="4"/>
      <c r="H621" s="4"/>
      <c r="I621" s="4" t="str">
        <f>IFERROR(__xludf.DUMMYFUNCTION("""COMPUTED_VALUE"""),"0x04635f1e32e945ef1c681445bccb85fae210b6bb")</f>
        <v>0x04635f1e32e945ef1c681445bccb85fae210b6bb</v>
      </c>
      <c r="J621" s="18">
        <v>7.0685416625651705</v>
      </c>
      <c r="K621" s="4">
        <v>88.35677078206463</v>
      </c>
      <c r="L621" s="19">
        <v>8.835677078206462E19</v>
      </c>
      <c r="M621" s="20">
        <v>8.835677078206463E18</v>
      </c>
    </row>
    <row r="622">
      <c r="A622" s="6"/>
      <c r="B622" s="6"/>
      <c r="C622" s="4"/>
      <c r="D622" s="4">
        <v>6.632182085806409</v>
      </c>
      <c r="E622" s="4" t="s">
        <v>1157</v>
      </c>
      <c r="F622" s="4"/>
      <c r="G622" s="4"/>
      <c r="H622" s="4"/>
      <c r="I622" s="4" t="str">
        <f>IFERROR(__xludf.DUMMYFUNCTION("""COMPUTED_VALUE"""),"0x58adf4b4ab2a3242e220c16880d73f74d0f9a180")</f>
        <v>0x58adf4b4ab2a3242e220c16880d73f74d0f9a180</v>
      </c>
      <c r="J622" s="18">
        <v>6.632182085806409</v>
      </c>
      <c r="K622" s="4">
        <v>82.90227607258012</v>
      </c>
      <c r="L622" s="19">
        <v>8.290227607258012E19</v>
      </c>
      <c r="M622" s="20">
        <v>8.290227607258013E18</v>
      </c>
    </row>
    <row r="623">
      <c r="A623" s="6"/>
      <c r="B623" s="6"/>
      <c r="C623" s="4"/>
      <c r="D623" s="4">
        <v>7.065379883397229</v>
      </c>
      <c r="E623" s="4" t="s">
        <v>1159</v>
      </c>
      <c r="F623" s="4"/>
      <c r="G623" s="4"/>
      <c r="H623" s="4"/>
      <c r="I623" s="4" t="str">
        <f>IFERROR(__xludf.DUMMYFUNCTION("""COMPUTED_VALUE"""),"0xcdce61608526bb0f28a1a8594684522d76b7c3ca")</f>
        <v>0xcdce61608526bb0f28a1a8594684522d76b7c3ca</v>
      </c>
      <c r="J623" s="18">
        <v>7.065379883397229</v>
      </c>
      <c r="K623" s="4">
        <v>88.31724854246536</v>
      </c>
      <c r="L623" s="19">
        <v>8.831724854246536E19</v>
      </c>
      <c r="M623" s="20">
        <v>8.831724854246536E18</v>
      </c>
    </row>
    <row r="624">
      <c r="A624" s="6"/>
      <c r="B624" s="6"/>
      <c r="C624" s="4"/>
      <c r="D624" s="4">
        <v>19.9204508592242</v>
      </c>
      <c r="E624" s="4" t="s">
        <v>1161</v>
      </c>
      <c r="F624" s="4"/>
      <c r="G624" s="4"/>
      <c r="H624" s="4"/>
      <c r="I624" s="4" t="str">
        <f>IFERROR(__xludf.DUMMYFUNCTION("""COMPUTED_VALUE"""),"0x78f20d23019f9643485686eac69b2237c212cf41")</f>
        <v>0x78f20d23019f9643485686eac69b2237c212cf41</v>
      </c>
      <c r="J624" s="18">
        <v>19.9204508592242</v>
      </c>
      <c r="K624" s="4">
        <v>249.0056357403025</v>
      </c>
      <c r="L624" s="19">
        <v>2.490056357403025E20</v>
      </c>
      <c r="M624" s="20">
        <v>2.4900563574030254E19</v>
      </c>
    </row>
    <row r="625">
      <c r="A625" s="6"/>
      <c r="B625" s="6"/>
      <c r="C625" s="4"/>
      <c r="D625" s="4">
        <v>0.0216476775865995</v>
      </c>
      <c r="E625" s="4" t="s">
        <v>1163</v>
      </c>
      <c r="F625" s="4"/>
      <c r="G625" s="4"/>
      <c r="H625" s="4"/>
      <c r="I625" s="4" t="str">
        <f>IFERROR(__xludf.DUMMYFUNCTION("""COMPUTED_VALUE"""),"0xd74a850a59d4415b7759bc8459573797654b165d")</f>
        <v>0xd74a850a59d4415b7759bc8459573797654b165d</v>
      </c>
      <c r="J625" s="18">
        <v>0.0216476775865995</v>
      </c>
      <c r="K625" s="4">
        <v>0.27059596983249373</v>
      </c>
      <c r="L625" s="19">
        <v>2.7059596983249373E17</v>
      </c>
      <c r="M625" s="20">
        <v>2.7059596983249376E16</v>
      </c>
    </row>
    <row r="626">
      <c r="A626" s="6"/>
      <c r="B626" s="6"/>
      <c r="C626" s="4"/>
      <c r="D626" s="4">
        <v>7.2123041358984</v>
      </c>
      <c r="E626" s="4" t="s">
        <v>1165</v>
      </c>
      <c r="F626" s="4"/>
      <c r="G626" s="4"/>
      <c r="H626" s="4"/>
      <c r="I626" s="4" t="str">
        <f>IFERROR(__xludf.DUMMYFUNCTION("""COMPUTED_VALUE"""),"0x304e763a9d6502c2aa3e57f890f6af1fb84edb5a")</f>
        <v>0x304e763a9d6502c2aa3e57f890f6af1fb84edb5a</v>
      </c>
      <c r="J626" s="18">
        <v>7.2123041358984</v>
      </c>
      <c r="K626" s="4">
        <v>90.15380169872999</v>
      </c>
      <c r="L626" s="19">
        <v>9.015380169873E19</v>
      </c>
      <c r="M626" s="20">
        <v>9.015380169873E18</v>
      </c>
    </row>
    <row r="627">
      <c r="A627" s="6"/>
      <c r="B627" s="6"/>
      <c r="C627" s="4"/>
      <c r="D627" s="4">
        <v>0.131636827002064</v>
      </c>
      <c r="E627" s="4" t="s">
        <v>1167</v>
      </c>
      <c r="F627" s="4"/>
      <c r="G627" s="4"/>
      <c r="H627" s="4"/>
      <c r="I627" s="4" t="str">
        <f>IFERROR(__xludf.DUMMYFUNCTION("""COMPUTED_VALUE"""),"0x38b41dd55280b70a517e5a0c62645631252014b1")</f>
        <v>0x38b41dd55280b70a517e5a0c62645631252014b1</v>
      </c>
      <c r="J627" s="18">
        <v>0.131636827002064</v>
      </c>
      <c r="K627" s="4">
        <v>1.6454603375258</v>
      </c>
      <c r="L627" s="19">
        <v>1.6454603375258E18</v>
      </c>
      <c r="M627" s="20">
        <v>1.6454603375258E17</v>
      </c>
    </row>
    <row r="628">
      <c r="A628" s="6"/>
      <c r="B628" s="6"/>
      <c r="C628" s="4"/>
      <c r="D628" s="4">
        <v>2.33446003004566</v>
      </c>
      <c r="E628" s="4" t="s">
        <v>1169</v>
      </c>
      <c r="F628" s="4"/>
      <c r="G628" s="4"/>
      <c r="H628" s="4"/>
      <c r="I628" s="4" t="str">
        <f>IFERROR(__xludf.DUMMYFUNCTION("""COMPUTED_VALUE"""),"0x1a4062defc4cbdd4022ea97d48bc72fc65608272")</f>
        <v>0x1a4062defc4cbdd4022ea97d48bc72fc65608272</v>
      </c>
      <c r="J628" s="18">
        <v>14.032156975421161</v>
      </c>
      <c r="K628" s="4">
        <v>175.4019621927645</v>
      </c>
      <c r="L628" s="19">
        <v>1.754019621927645E20</v>
      </c>
      <c r="M628" s="20">
        <v>1.7540196219276452E19</v>
      </c>
    </row>
    <row r="629">
      <c r="A629" s="6"/>
      <c r="B629" s="6"/>
      <c r="C629" s="4"/>
      <c r="D629" s="4">
        <v>17.1418961956407</v>
      </c>
      <c r="E629" s="4" t="s">
        <v>1171</v>
      </c>
      <c r="F629" s="4"/>
      <c r="G629" s="4"/>
      <c r="H629" s="4"/>
      <c r="I629" s="4" t="str">
        <f>IFERROR(__xludf.DUMMYFUNCTION("""COMPUTED_VALUE"""),"0x79a485651497c30cd31fb7f6dd1f9b1ae1d34a94")</f>
        <v>0x79a485651497c30cd31fb7f6dd1f9b1ae1d34a94</v>
      </c>
      <c r="J629" s="18">
        <v>251.51798400273728</v>
      </c>
      <c r="K629" s="4">
        <v>3143.974800034216</v>
      </c>
      <c r="L629" s="19">
        <v>3.143974800034216E21</v>
      </c>
      <c r="M629" s="20">
        <v>3.143974800034216E20</v>
      </c>
    </row>
    <row r="630">
      <c r="A630" s="6"/>
      <c r="B630" s="6"/>
      <c r="C630" s="4"/>
      <c r="D630" s="4">
        <v>1.29805816312255</v>
      </c>
      <c r="E630" s="4" t="s">
        <v>1173</v>
      </c>
      <c r="F630" s="4"/>
      <c r="G630" s="4"/>
      <c r="H630" s="4"/>
      <c r="I630" s="4" t="str">
        <f>IFERROR(__xludf.DUMMYFUNCTION("""COMPUTED_VALUE"""),"0xba9f1008e448a3fd7d3296c5d1df606ba51ff93b")</f>
        <v>0xba9f1008e448a3fd7d3296c5d1df606ba51ff93b</v>
      </c>
      <c r="J630" s="18">
        <v>1.29805816312255</v>
      </c>
      <c r="K630" s="4">
        <v>16.225727039031874</v>
      </c>
      <c r="L630" s="19">
        <v>1.6225727039031874E19</v>
      </c>
      <c r="M630" s="20">
        <v>1.6225727039031875E18</v>
      </c>
    </row>
    <row r="631">
      <c r="A631" s="6"/>
      <c r="B631" s="6"/>
      <c r="C631" s="4"/>
      <c r="D631" s="4">
        <v>322.81192753044405</v>
      </c>
      <c r="E631" s="4" t="s">
        <v>1175</v>
      </c>
      <c r="F631" s="4"/>
      <c r="G631" s="4"/>
      <c r="H631" s="4"/>
      <c r="I631" s="4" t="str">
        <f>IFERROR(__xludf.DUMMYFUNCTION("""COMPUTED_VALUE"""),"0x15d414da5a9e8fd6542839f927e0f3d075e8abbb")</f>
        <v>0x15d414da5a9e8fd6542839f927e0f3d075e8abbb</v>
      </c>
      <c r="J631" s="18">
        <v>322.81192753044405</v>
      </c>
      <c r="K631" s="4">
        <v>4035.1490941305506</v>
      </c>
      <c r="L631" s="19">
        <v>4.0351490941305503E21</v>
      </c>
      <c r="M631" s="20">
        <v>4.035149094130551E20</v>
      </c>
    </row>
    <row r="632">
      <c r="A632" s="6"/>
      <c r="B632" s="6"/>
      <c r="C632" s="4"/>
      <c r="D632" s="4">
        <v>6.7725586717745605</v>
      </c>
      <c r="E632" s="4" t="s">
        <v>1177</v>
      </c>
      <c r="F632" s="4"/>
      <c r="G632" s="4"/>
      <c r="H632" s="4"/>
      <c r="I632" s="4" t="str">
        <f>IFERROR(__xludf.DUMMYFUNCTION("""COMPUTED_VALUE"""),"0x222f8a7788e1b28d285a315f1bff32ccc58142d9")</f>
        <v>0x222f8a7788e1b28d285a315f1bff32ccc58142d9</v>
      </c>
      <c r="J632" s="18">
        <v>6.7725586717745605</v>
      </c>
      <c r="K632" s="4">
        <v>84.656983397182</v>
      </c>
      <c r="L632" s="19">
        <v>8.4656983397182E19</v>
      </c>
      <c r="M632" s="20">
        <v>8.4656983397182E18</v>
      </c>
    </row>
    <row r="633">
      <c r="A633" s="6"/>
      <c r="B633" s="6"/>
      <c r="C633" s="4"/>
      <c r="D633" s="4">
        <v>127.229163442862</v>
      </c>
      <c r="E633" s="4" t="s">
        <v>1179</v>
      </c>
      <c r="F633" s="4"/>
      <c r="G633" s="4"/>
      <c r="H633" s="4"/>
      <c r="I633" s="4" t="str">
        <f>IFERROR(__xludf.DUMMYFUNCTION("""COMPUTED_VALUE"""),"0x33b8dbfcd046cef86806a83007a5b2f810ea4473")</f>
        <v>0x33b8dbfcd046cef86806a83007a5b2f810ea4473</v>
      </c>
      <c r="J633" s="18">
        <v>337.9224063611765</v>
      </c>
      <c r="K633" s="4">
        <v>4224.030079514706</v>
      </c>
      <c r="L633" s="19">
        <v>4.224030079514706E21</v>
      </c>
      <c r="M633" s="20">
        <v>4.224030079514706E20</v>
      </c>
    </row>
    <row r="634">
      <c r="A634" s="6"/>
      <c r="B634" s="6"/>
      <c r="C634" s="4"/>
      <c r="D634" s="4">
        <v>17.858199435319502</v>
      </c>
      <c r="E634" s="4" t="s">
        <v>1181</v>
      </c>
      <c r="F634" s="4"/>
      <c r="G634" s="4"/>
      <c r="H634" s="4"/>
      <c r="I634" s="4" t="str">
        <f>IFERROR(__xludf.DUMMYFUNCTION("""COMPUTED_VALUE"""),"0x5939a91147bdcdd0ff0270914ae37450b88593dc")</f>
        <v>0x5939a91147bdcdd0ff0270914ae37450b88593dc</v>
      </c>
      <c r="J634" s="18">
        <v>17.858199435319502</v>
      </c>
      <c r="K634" s="4">
        <v>223.22749294149378</v>
      </c>
      <c r="L634" s="19">
        <v>2.2322749294149376E20</v>
      </c>
      <c r="M634" s="20">
        <v>2.232274929414938E19</v>
      </c>
    </row>
    <row r="635">
      <c r="A635" s="6"/>
      <c r="B635" s="6"/>
      <c r="C635" s="4"/>
      <c r="D635" s="4">
        <v>106.02812493847699</v>
      </c>
      <c r="E635" s="4" t="s">
        <v>1183</v>
      </c>
      <c r="F635" s="4"/>
      <c r="G635" s="4"/>
      <c r="H635" s="4"/>
      <c r="I635" s="4" t="str">
        <f>IFERROR(__xludf.DUMMYFUNCTION("""COMPUTED_VALUE"""),"0x9bd99c41c4dcc607b03fee4db6a4c4114d605680")</f>
        <v>0x9bd99c41c4dcc607b03fee4db6a4c4114d605680</v>
      </c>
      <c r="J635" s="18">
        <v>292.04008514597695</v>
      </c>
      <c r="K635" s="4">
        <v>3650.501064324712</v>
      </c>
      <c r="L635" s="19">
        <v>3.6505010643247117E21</v>
      </c>
      <c r="M635" s="20">
        <v>3.650501064324712E20</v>
      </c>
    </row>
    <row r="636">
      <c r="A636" s="6"/>
      <c r="B636" s="6"/>
      <c r="C636" s="4"/>
      <c r="D636" s="4">
        <v>7.0685416625651705</v>
      </c>
      <c r="E636" s="4" t="s">
        <v>1184</v>
      </c>
      <c r="F636" s="4"/>
      <c r="G636" s="4"/>
      <c r="H636" s="4"/>
      <c r="I636" s="4" t="str">
        <f>IFERROR(__xludf.DUMMYFUNCTION("""COMPUTED_VALUE"""),"0xc5e3cbc3413f56a6b215e8300c3b0ba0b28d5b0f")</f>
        <v>0xc5e3cbc3413f56a6b215e8300c3b0ba0b28d5b0f</v>
      </c>
      <c r="J636" s="18">
        <v>55.43266926216177</v>
      </c>
      <c r="K636" s="4">
        <v>692.908365777022</v>
      </c>
      <c r="L636" s="19">
        <v>6.929083657770221E20</v>
      </c>
      <c r="M636" s="20">
        <v>6.9290836577702216E19</v>
      </c>
    </row>
    <row r="637">
      <c r="A637" s="6"/>
      <c r="B637" s="6"/>
      <c r="C637" s="4"/>
      <c r="D637" s="4">
        <v>6.28651287458505</v>
      </c>
      <c r="E637" s="4" t="s">
        <v>1185</v>
      </c>
      <c r="F637" s="4"/>
      <c r="G637" s="4"/>
      <c r="H637" s="4"/>
      <c r="I637" s="4" t="str">
        <f>IFERROR(__xludf.DUMMYFUNCTION("""COMPUTED_VALUE"""),"0x7a4a51911a71c5e20135694f07e4085ec2d7f58f")</f>
        <v>0x7a4a51911a71c5e20135694f07e4085ec2d7f58f</v>
      </c>
      <c r="J637" s="18">
        <v>6.28651287458505</v>
      </c>
      <c r="K637" s="4">
        <v>78.58141093231312</v>
      </c>
      <c r="L637" s="19">
        <v>7.858141093231311E19</v>
      </c>
      <c r="M637" s="20">
        <v>7.858141093231312E18</v>
      </c>
    </row>
    <row r="638">
      <c r="A638" s="6"/>
      <c r="B638" s="6"/>
      <c r="C638" s="4"/>
      <c r="D638" s="4">
        <v>68.1909475588829</v>
      </c>
      <c r="E638" s="4" t="s">
        <v>1187</v>
      </c>
      <c r="F638" s="4"/>
      <c r="G638" s="4"/>
      <c r="H638" s="4"/>
      <c r="I638" s="4" t="str">
        <f>IFERROR(__xludf.DUMMYFUNCTION("""COMPUTED_VALUE"""),"0x2124712f391ae1b1de5fb63e149c25b316c3114c")</f>
        <v>0x2124712f391ae1b1de5fb63e149c25b316c3114c</v>
      </c>
      <c r="J638" s="18">
        <v>302.56703536597945</v>
      </c>
      <c r="K638" s="4">
        <v>3782.087942074743</v>
      </c>
      <c r="L638" s="19">
        <v>3.7820879420747426E21</v>
      </c>
      <c r="M638" s="20">
        <v>3.782087942074743E20</v>
      </c>
    </row>
    <row r="639">
      <c r="A639" s="6"/>
      <c r="B639" s="6"/>
      <c r="C639" s="4"/>
      <c r="D639" s="4">
        <v>213.894070709222</v>
      </c>
      <c r="E639" s="4" t="s">
        <v>1189</v>
      </c>
      <c r="F639" s="4"/>
      <c r="G639" s="4"/>
      <c r="H639" s="4"/>
      <c r="I639" s="4" t="str">
        <f>IFERROR(__xludf.DUMMYFUNCTION("""COMPUTED_VALUE"""),"0xa3763dfde8c5f5f46cb53c179a394341588425e6")</f>
        <v>0xa3763dfde8c5f5f46cb53c179a394341588425e6</v>
      </c>
      <c r="J639" s="18">
        <v>399.906030916722</v>
      </c>
      <c r="K639" s="4">
        <v>4998.825386459025</v>
      </c>
      <c r="L639" s="19">
        <v>4.998825386459025E21</v>
      </c>
      <c r="M639" s="20">
        <v>4.998825386459025E20</v>
      </c>
    </row>
    <row r="640">
      <c r="A640" s="6"/>
      <c r="B640" s="6"/>
      <c r="C640" s="4"/>
      <c r="D640" s="4">
        <v>0.706750056392223</v>
      </c>
      <c r="E640" s="4" t="s">
        <v>1191</v>
      </c>
      <c r="F640" s="4"/>
      <c r="G640" s="4"/>
      <c r="H640" s="4"/>
      <c r="I640" s="4" t="str">
        <f>IFERROR(__xludf.DUMMYFUNCTION("""COMPUTED_VALUE"""),"0x7706b2025012afe6fee2042299a7aa066a62ae8f")</f>
        <v>0x7706b2025012afe6fee2042299a7aa066a62ae8f</v>
      </c>
      <c r="J640" s="18">
        <v>0.706750056392223</v>
      </c>
      <c r="K640" s="4">
        <v>8.834375704902786</v>
      </c>
      <c r="L640" s="19">
        <v>8.834375704902786E18</v>
      </c>
      <c r="M640" s="20">
        <v>8.834375704902787E17</v>
      </c>
    </row>
    <row r="641">
      <c r="A641" s="6"/>
      <c r="B641" s="6"/>
      <c r="C641" s="4"/>
      <c r="D641" s="4">
        <v>7.0685416625651705</v>
      </c>
      <c r="E641" s="4" t="s">
        <v>1193</v>
      </c>
      <c r="F641" s="4"/>
      <c r="G641" s="4"/>
      <c r="H641" s="4"/>
      <c r="I641" s="4" t="str">
        <f>IFERROR(__xludf.DUMMYFUNCTION("""COMPUTED_VALUE"""),"0xf867e0ce29f054eeaacbb4148744aab2d8880152")</f>
        <v>0xf867e0ce29f054eeaacbb4148744aab2d8880152</v>
      </c>
      <c r="J641" s="18">
        <v>7.0685416625651705</v>
      </c>
      <c r="K641" s="4">
        <v>88.35677078206463</v>
      </c>
      <c r="L641" s="19">
        <v>8.835677078206462E19</v>
      </c>
      <c r="M641" s="20">
        <v>8.835677078206463E18</v>
      </c>
    </row>
    <row r="642">
      <c r="A642" s="6"/>
      <c r="B642" s="6"/>
      <c r="C642" s="4"/>
      <c r="D642" s="4">
        <v>20.955496744721497</v>
      </c>
      <c r="E642" s="4" t="s">
        <v>1194</v>
      </c>
      <c r="F642" s="4"/>
      <c r="G642" s="4"/>
      <c r="H642" s="4"/>
      <c r="I642" s="4" t="str">
        <f>IFERROR(__xludf.DUMMYFUNCTION("""COMPUTED_VALUE"""),"0xa68f18bb6c71bdd5a405b6f2869c8b4a2feeaf4d")</f>
        <v>0xa68f18bb6c71bdd5a405b6f2869c8b4a2feeaf4d</v>
      </c>
      <c r="J642" s="18">
        <v>69.3196243443181</v>
      </c>
      <c r="K642" s="4">
        <v>866.4953043039762</v>
      </c>
      <c r="L642" s="19">
        <v>8.664953043039763E20</v>
      </c>
      <c r="M642" s="20">
        <v>8.664953043039763E19</v>
      </c>
    </row>
    <row r="643">
      <c r="A643" s="6"/>
      <c r="B643" s="6"/>
      <c r="C643" s="4"/>
      <c r="D643" s="4">
        <v>14.136713019076499</v>
      </c>
      <c r="E643" s="4" t="s">
        <v>1196</v>
      </c>
      <c r="F643" s="4"/>
      <c r="G643" s="4"/>
      <c r="H643" s="4"/>
      <c r="I643" s="4" t="str">
        <f>IFERROR(__xludf.DUMMYFUNCTION("""COMPUTED_VALUE"""),"0x23cc1dabdd2da926eff010db94c86c382ac63cb7")</f>
        <v>0x23cc1dabdd2da926eff010db94c86c382ac63cb7</v>
      </c>
      <c r="J643" s="18">
        <v>14.136713019076499</v>
      </c>
      <c r="K643" s="4">
        <v>176.70891273845623</v>
      </c>
      <c r="L643" s="19">
        <v>1.7670891273845624E20</v>
      </c>
      <c r="M643" s="20">
        <v>1.7670891273845625E19</v>
      </c>
    </row>
    <row r="644">
      <c r="A644" s="6"/>
      <c r="B644" s="6"/>
      <c r="C644" s="4"/>
      <c r="D644" s="4">
        <v>5.36504124407797</v>
      </c>
      <c r="E644" s="4" t="s">
        <v>1198</v>
      </c>
      <c r="F644" s="4"/>
      <c r="G644" s="4"/>
      <c r="H644" s="4"/>
      <c r="I644" s="4" t="str">
        <f>IFERROR(__xludf.DUMMYFUNCTION("""COMPUTED_VALUE"""),"0x0da21d42f3b219e2d07669184e7d7d1af1302076")</f>
        <v>0x0da21d42f3b219e2d07669184e7d7d1af1302076</v>
      </c>
      <c r="J644" s="18">
        <v>40.98200159074217</v>
      </c>
      <c r="K644" s="4">
        <v>512.2750198842772</v>
      </c>
      <c r="L644" s="19">
        <v>5.122750198842772E20</v>
      </c>
      <c r="M644" s="20">
        <v>5.122750198842773E19</v>
      </c>
    </row>
    <row r="645">
      <c r="A645" s="6"/>
      <c r="B645" s="6"/>
      <c r="C645" s="4"/>
      <c r="D645" s="4">
        <v>7.0685416625651705</v>
      </c>
      <c r="E645" s="4" t="s">
        <v>1200</v>
      </c>
      <c r="F645" s="4"/>
      <c r="G645" s="4"/>
      <c r="H645" s="4"/>
      <c r="I645" s="4" t="str">
        <f>IFERROR(__xludf.DUMMYFUNCTION("""COMPUTED_VALUE"""),"0x4dc335dc05639a8afd5d1ea812c410e148d2db85")</f>
        <v>0x4dc335dc05639a8afd5d1ea812c410e148d2db85</v>
      </c>
      <c r="J645" s="18">
        <v>7.0685416625651705</v>
      </c>
      <c r="K645" s="4">
        <v>88.35677078206463</v>
      </c>
      <c r="L645" s="19">
        <v>8.835677078206462E19</v>
      </c>
      <c r="M645" s="20">
        <v>8.835677078206463E18</v>
      </c>
    </row>
    <row r="646">
      <c r="A646" s="6"/>
      <c r="B646" s="6"/>
      <c r="C646" s="4"/>
      <c r="D646" s="4">
        <v>13.0099434178552</v>
      </c>
      <c r="E646" s="4" t="s">
        <v>1201</v>
      </c>
      <c r="F646" s="4"/>
      <c r="G646" s="4"/>
      <c r="H646" s="4"/>
      <c r="I646" s="4" t="str">
        <f>IFERROR(__xludf.DUMMYFUNCTION("""COMPUTED_VALUE"""),"0x8ab0ef577aea343687c6e6c8a26de39b63b2c944")</f>
        <v>0x8ab0ef577aea343687c6e6c8a26de39b63b2c944</v>
      </c>
      <c r="J646" s="18">
        <v>13.0099434178552</v>
      </c>
      <c r="K646" s="4">
        <v>162.62429272319</v>
      </c>
      <c r="L646" s="19">
        <v>1.6262429272319E20</v>
      </c>
      <c r="M646" s="20">
        <v>1.6262429272319E19</v>
      </c>
    </row>
    <row r="647">
      <c r="A647" s="6"/>
      <c r="B647" s="6"/>
      <c r="C647" s="4"/>
      <c r="D647" s="4">
        <v>1.5288062989251598</v>
      </c>
      <c r="E647" s="4" t="s">
        <v>1203</v>
      </c>
      <c r="F647" s="4"/>
      <c r="G647" s="4"/>
      <c r="H647" s="4"/>
      <c r="I647" s="4" t="str">
        <f>IFERROR(__xludf.DUMMYFUNCTION("""COMPUTED_VALUE"""),"0x2dcd14526487019d5059bd7e1ee0c548a901d6e1")</f>
        <v>0x2dcd14526487019d5059bd7e1ee0c548a901d6e1</v>
      </c>
      <c r="J647" s="18">
        <v>1.5288062989251598</v>
      </c>
      <c r="K647" s="4">
        <v>19.110078736564496</v>
      </c>
      <c r="L647" s="19">
        <v>1.9110078736564494E19</v>
      </c>
      <c r="M647" s="20">
        <v>1.9110078736564495E18</v>
      </c>
    </row>
    <row r="648">
      <c r="A648" s="6"/>
      <c r="B648" s="6"/>
      <c r="C648" s="4"/>
      <c r="D648" s="4">
        <v>7.06866568649032</v>
      </c>
      <c r="E648" s="4" t="s">
        <v>1205</v>
      </c>
      <c r="F648" s="4"/>
      <c r="G648" s="4"/>
      <c r="H648" s="4"/>
      <c r="I648" s="4" t="str">
        <f>IFERROR(__xludf.DUMMYFUNCTION("""COMPUTED_VALUE"""),"0xae08f4625513893dc553e3ba9bfffb54de7d5267")</f>
        <v>0xae08f4625513893dc553e3ba9bfffb54de7d5267</v>
      </c>
      <c r="J648" s="18">
        <v>7.06866568649032</v>
      </c>
      <c r="K648" s="4">
        <v>88.35832108112899</v>
      </c>
      <c r="L648" s="19">
        <v>8.8358321081129E19</v>
      </c>
      <c r="M648" s="20">
        <v>8.8358321081129E18</v>
      </c>
    </row>
    <row r="649">
      <c r="A649" s="6"/>
      <c r="B649" s="6"/>
      <c r="C649" s="4"/>
      <c r="D649" s="4">
        <v>7.0685416625651705</v>
      </c>
      <c r="E649" s="4" t="s">
        <v>1207</v>
      </c>
      <c r="F649" s="4"/>
      <c r="G649" s="4"/>
      <c r="H649" s="4"/>
      <c r="I649" s="4" t="str">
        <f>IFERROR(__xludf.DUMMYFUNCTION("""COMPUTED_VALUE"""),"0xe5aa26877172443d9a08bbe3fc907351697237d7")</f>
        <v>0xe5aa26877172443d9a08bbe3fc907351697237d7</v>
      </c>
      <c r="J649" s="18">
        <v>7.0685416625651705</v>
      </c>
      <c r="K649" s="4">
        <v>88.35677078206463</v>
      </c>
      <c r="L649" s="19">
        <v>8.835677078206462E19</v>
      </c>
      <c r="M649" s="20">
        <v>8.835677078206463E18</v>
      </c>
    </row>
    <row r="650">
      <c r="A650" s="6"/>
      <c r="B650" s="6"/>
      <c r="C650" s="4"/>
      <c r="D650" s="4">
        <v>0.7397729579455811</v>
      </c>
      <c r="E650" s="4" t="s">
        <v>1208</v>
      </c>
      <c r="F650" s="4"/>
      <c r="G650" s="4"/>
      <c r="H650" s="4"/>
      <c r="I650" s="4" t="str">
        <f>IFERROR(__xludf.DUMMYFUNCTION("""COMPUTED_VALUE"""),"0x120a1fe32abd406d085b2c54c14ba84574fe87bc")</f>
        <v>0x120a1fe32abd406d085b2c54c14ba84574fe87bc</v>
      </c>
      <c r="J650" s="18">
        <v>0.7397729579455811</v>
      </c>
      <c r="K650" s="4">
        <v>9.247161974319763</v>
      </c>
      <c r="L650" s="19">
        <v>9.247161974319763E18</v>
      </c>
      <c r="M650" s="20">
        <v>9.247161974319764E17</v>
      </c>
    </row>
    <row r="651">
      <c r="A651" s="6"/>
      <c r="B651" s="6"/>
      <c r="C651" s="4"/>
      <c r="D651" s="4">
        <v>35.000491468412804</v>
      </c>
      <c r="E651" s="4" t="s">
        <v>1210</v>
      </c>
      <c r="F651" s="4"/>
      <c r="G651" s="4"/>
      <c r="H651" s="4"/>
      <c r="I651" s="4" t="str">
        <f>IFERROR(__xludf.DUMMYFUNCTION("""COMPUTED_VALUE"""),"0xad85615d8a42203c043ed0a3aba5793ec8c6d029")</f>
        <v>0xad85615d8a42203c043ed0a3aba5793ec8c6d029</v>
      </c>
      <c r="J651" s="18">
        <v>35.000491468412804</v>
      </c>
      <c r="K651" s="4">
        <v>437.50614335516</v>
      </c>
      <c r="L651" s="19">
        <v>4.3750614335516004E20</v>
      </c>
      <c r="M651" s="20">
        <v>4.375061433551601E19</v>
      </c>
    </row>
    <row r="652">
      <c r="A652" s="6"/>
      <c r="B652" s="6"/>
      <c r="C652" s="4"/>
      <c r="D652" s="4">
        <v>6.79624736771448</v>
      </c>
      <c r="E652" s="4" t="s">
        <v>1212</v>
      </c>
      <c r="F652" s="4"/>
      <c r="G652" s="4"/>
      <c r="H652" s="4"/>
      <c r="I652" s="4" t="str">
        <f>IFERROR(__xludf.DUMMYFUNCTION("""COMPUTED_VALUE"""),"0x5d4130a18e79f26c0ec56e3fe57d981ace96bd93")</f>
        <v>0x5d4130a18e79f26c0ec56e3fe57d981ace96bd93</v>
      </c>
      <c r="J652" s="18">
        <v>6.79624736771448</v>
      </c>
      <c r="K652" s="4">
        <v>84.953092096431</v>
      </c>
      <c r="L652" s="19">
        <v>8.495309209643101E19</v>
      </c>
      <c r="M652" s="20">
        <v>8.495309209643102E18</v>
      </c>
    </row>
    <row r="653">
      <c r="A653" s="6"/>
      <c r="B653" s="6"/>
      <c r="C653" s="4"/>
      <c r="D653" s="4">
        <v>45.074844856121196</v>
      </c>
      <c r="E653" s="4" t="s">
        <v>1214</v>
      </c>
      <c r="F653" s="4"/>
      <c r="G653" s="4"/>
      <c r="H653" s="4"/>
      <c r="I653" s="4" t="str">
        <f>IFERROR(__xludf.DUMMYFUNCTION("""COMPUTED_VALUE"""),"0xcd047a95ec0ea962500181cab5d6d4dae2692bbe")</f>
        <v>0xcd047a95ec0ea962500181cab5d6d4dae2692bbe</v>
      </c>
      <c r="J653" s="18">
        <v>45.074844856121196</v>
      </c>
      <c r="K653" s="4">
        <v>563.435560701515</v>
      </c>
      <c r="L653" s="19">
        <v>5.63435560701515E20</v>
      </c>
      <c r="M653" s="20">
        <v>5.63435560701515E19</v>
      </c>
    </row>
    <row r="654">
      <c r="A654" s="6"/>
      <c r="B654" s="6"/>
      <c r="C654" s="4"/>
      <c r="D654" s="4">
        <v>6.83014845286698</v>
      </c>
      <c r="E654" s="4" t="s">
        <v>1216</v>
      </c>
      <c r="F654" s="4"/>
      <c r="G654" s="4"/>
      <c r="H654" s="4"/>
      <c r="I654" s="4" t="str">
        <f>IFERROR(__xludf.DUMMYFUNCTION("""COMPUTED_VALUE"""),"0xbd4b4bc20cfe5826e1c5559dc5be5ddbd4447ea8")</f>
        <v>0xbd4b4bc20cfe5826e1c5559dc5be5ddbd4447ea8</v>
      </c>
      <c r="J654" s="18">
        <v>6.83014845286698</v>
      </c>
      <c r="K654" s="4">
        <v>85.37685566083725</v>
      </c>
      <c r="L654" s="19">
        <v>8.537685566083726E19</v>
      </c>
      <c r="M654" s="20">
        <v>8.537685566083726E18</v>
      </c>
    </row>
    <row r="655">
      <c r="A655" s="6"/>
      <c r="B655" s="6"/>
      <c r="C655" s="4"/>
      <c r="D655" s="4">
        <v>1274.52497233583</v>
      </c>
      <c r="E655" s="4" t="s">
        <v>1218</v>
      </c>
      <c r="F655" s="4"/>
      <c r="G655" s="4"/>
      <c r="H655" s="4"/>
      <c r="I655" s="4" t="str">
        <f>IFERROR(__xludf.DUMMYFUNCTION("""COMPUTED_VALUE"""),"0xa919538ceab5c64608945865835dbc10540feb1d")</f>
        <v>0xa919538ceab5c64608945865835dbc10540feb1d</v>
      </c>
      <c r="J655" s="18">
        <v>1508.9010601429266</v>
      </c>
      <c r="K655" s="4">
        <v>18861.263251786582</v>
      </c>
      <c r="L655" s="19">
        <v>1.8861263251786581E22</v>
      </c>
      <c r="M655" s="20">
        <v>1.8861263251786582E21</v>
      </c>
    </row>
    <row r="656">
      <c r="A656" s="6"/>
      <c r="B656" s="6"/>
      <c r="C656" s="4"/>
      <c r="D656" s="4">
        <v>162.97381949671401</v>
      </c>
      <c r="E656" s="4" t="s">
        <v>1220</v>
      </c>
      <c r="F656" s="4"/>
      <c r="G656" s="4"/>
      <c r="H656" s="4"/>
      <c r="I656" s="4" t="str">
        <f>IFERROR(__xludf.DUMMYFUNCTION("""COMPUTED_VALUE"""),"0x45745c9b881860de8e25b5ba7f055d007f252ca3")</f>
        <v>0x45745c9b881860de8e25b5ba7f055d007f252ca3</v>
      </c>
      <c r="J656" s="18">
        <v>397.3499073038106</v>
      </c>
      <c r="K656" s="4">
        <v>4966.873841297633</v>
      </c>
      <c r="L656" s="19">
        <v>4.966873841297633E21</v>
      </c>
      <c r="M656" s="20">
        <v>4.966873841297633E20</v>
      </c>
    </row>
    <row r="657">
      <c r="A657" s="6"/>
      <c r="B657" s="6"/>
      <c r="C657" s="4"/>
      <c r="D657" s="4">
        <v>3.46172535788777</v>
      </c>
      <c r="E657" s="4" t="s">
        <v>1222</v>
      </c>
      <c r="F657" s="4"/>
      <c r="G657" s="4"/>
      <c r="H657" s="4"/>
      <c r="I657" s="4" t="str">
        <f>IFERROR(__xludf.DUMMYFUNCTION("""COMPUTED_VALUE"""),"0x0b1491e136e9a1e17d969ea46c90c04eb939d604")</f>
        <v>0x0b1491e136e9a1e17d969ea46c90c04eb939d604</v>
      </c>
      <c r="J657" s="18">
        <v>3.46172535788777</v>
      </c>
      <c r="K657" s="4">
        <v>43.271566973597125</v>
      </c>
      <c r="L657" s="19">
        <v>4.327156697359712E19</v>
      </c>
      <c r="M657" s="20">
        <v>4.327156697359712E18</v>
      </c>
    </row>
    <row r="658">
      <c r="A658" s="6"/>
      <c r="B658" s="6"/>
      <c r="C658" s="4"/>
      <c r="D658" s="4">
        <v>142.40500481932298</v>
      </c>
      <c r="E658" s="4" t="s">
        <v>1224</v>
      </c>
      <c r="F658" s="4"/>
      <c r="G658" s="4"/>
      <c r="H658" s="4"/>
      <c r="I658" s="4" t="str">
        <f>IFERROR(__xludf.DUMMYFUNCTION("""COMPUTED_VALUE"""),"0xcfa8e189dd7dce85360f7914b7a461813d438a40")</f>
        <v>0xcfa8e189dd7dce85360f7914b7a461813d438a40</v>
      </c>
      <c r="J658" s="18">
        <v>376.78109262641954</v>
      </c>
      <c r="K658" s="4">
        <v>4709.7636578302445</v>
      </c>
      <c r="L658" s="19">
        <v>4.7097636578302445E21</v>
      </c>
      <c r="M658" s="20">
        <v>4.709763657830245E20</v>
      </c>
    </row>
    <row r="659">
      <c r="A659" s="6"/>
      <c r="B659" s="6"/>
      <c r="C659" s="4"/>
      <c r="D659" s="4">
        <v>1.32526363907777</v>
      </c>
      <c r="E659" s="4" t="s">
        <v>1226</v>
      </c>
      <c r="F659" s="4"/>
      <c r="G659" s="4"/>
      <c r="H659" s="4"/>
      <c r="I659" s="4" t="str">
        <f>IFERROR(__xludf.DUMMYFUNCTION("""COMPUTED_VALUE"""),"0x0a00e0215a29d7ab14f58fdee00e202545fc52dd")</f>
        <v>0x0a00e0215a29d7ab14f58fdee00e202545fc52dd</v>
      </c>
      <c r="J659" s="18">
        <v>1.32526363907777</v>
      </c>
      <c r="K659" s="4">
        <v>16.565795488472123</v>
      </c>
      <c r="L659" s="19">
        <v>1.6565795488472123E19</v>
      </c>
      <c r="M659" s="20">
        <v>1.6565795488472125E18</v>
      </c>
    </row>
    <row r="660">
      <c r="A660" s="6"/>
      <c r="B660" s="6"/>
      <c r="C660" s="4"/>
      <c r="D660" s="4">
        <v>6.26699069687163</v>
      </c>
      <c r="E660" s="4" t="s">
        <v>1228</v>
      </c>
      <c r="F660" s="4"/>
      <c r="G660" s="4"/>
      <c r="H660" s="4"/>
      <c r="I660" s="4" t="str">
        <f>IFERROR(__xludf.DUMMYFUNCTION("""COMPUTED_VALUE"""),"0x0fe48e61b3bf9eaa26eb365bce5be2e7dd104af1")</f>
        <v>0x0fe48e61b3bf9eaa26eb365bce5be2e7dd104af1</v>
      </c>
      <c r="J660" s="18">
        <v>6.26699069687163</v>
      </c>
      <c r="K660" s="4">
        <v>78.33738371089537</v>
      </c>
      <c r="L660" s="19">
        <v>7.833738371089537E19</v>
      </c>
      <c r="M660" s="20">
        <v>7.833738371089538E18</v>
      </c>
    </row>
    <row r="661">
      <c r="A661" s="6"/>
      <c r="B661" s="6"/>
      <c r="C661" s="4"/>
      <c r="D661" s="4">
        <v>6.477989014017671</v>
      </c>
      <c r="E661" s="4" t="s">
        <v>1230</v>
      </c>
      <c r="F661" s="4"/>
      <c r="G661" s="4"/>
      <c r="H661" s="4"/>
      <c r="I661" s="4" t="str">
        <f>IFERROR(__xludf.DUMMYFUNCTION("""COMPUTED_VALUE"""),"0x3d8db6020921163302d2fe52ad0a44ba1bb7f54a")</f>
        <v>0x3d8db6020921163302d2fe52ad0a44ba1bb7f54a</v>
      </c>
      <c r="J661" s="18">
        <v>6.477989014017671</v>
      </c>
      <c r="K661" s="4">
        <v>80.97486267522088</v>
      </c>
      <c r="L661" s="19">
        <v>8.097486267522087E19</v>
      </c>
      <c r="M661" s="20">
        <v>8.097486267522088E18</v>
      </c>
    </row>
    <row r="662">
      <c r="A662" s="6"/>
      <c r="B662" s="6"/>
      <c r="C662" s="4"/>
      <c r="D662" s="4">
        <v>0.548322231130743</v>
      </c>
      <c r="E662" s="4" t="s">
        <v>1232</v>
      </c>
      <c r="F662" s="4"/>
      <c r="G662" s="4"/>
      <c r="H662" s="4"/>
      <c r="I662" s="4" t="str">
        <f>IFERROR(__xludf.DUMMYFUNCTION("""COMPUTED_VALUE"""),"0x466246dcb6f31cdc77d3f73df3bcb95d9a6adfe7")</f>
        <v>0x466246dcb6f31cdc77d3f73df3bcb95d9a6adfe7</v>
      </c>
      <c r="J662" s="18">
        <v>0.548322231130743</v>
      </c>
      <c r="K662" s="4">
        <v>6.8540278891342865</v>
      </c>
      <c r="L662" s="19">
        <v>6.854027889134287E18</v>
      </c>
      <c r="M662" s="20">
        <v>6.854027889134287E17</v>
      </c>
    </row>
    <row r="663">
      <c r="A663" s="6"/>
      <c r="B663" s="6"/>
      <c r="C663" s="4"/>
      <c r="D663" s="4">
        <v>11.883230380960201</v>
      </c>
      <c r="E663" s="4" t="s">
        <v>1234</v>
      </c>
      <c r="F663" s="4"/>
      <c r="G663" s="4"/>
      <c r="H663" s="4"/>
      <c r="I663" s="4" t="str">
        <f>IFERROR(__xludf.DUMMYFUNCTION("""COMPUTED_VALUE"""),"0x95bb07553abc3c279e610d994847eaef96df6bb5")</f>
        <v>0x95bb07553abc3c279e610d994847eaef96df6bb5</v>
      </c>
      <c r="J663" s="18">
        <v>11.883230380960201</v>
      </c>
      <c r="K663" s="4">
        <v>148.54037976200252</v>
      </c>
      <c r="L663" s="19">
        <v>1.4854037976200253E20</v>
      </c>
      <c r="M663" s="20">
        <v>1.4854037976200253E19</v>
      </c>
    </row>
    <row r="664">
      <c r="A664" s="6"/>
      <c r="B664" s="6"/>
      <c r="C664" s="4"/>
      <c r="D664" s="4">
        <v>44.7577310394407</v>
      </c>
      <c r="E664" s="4" t="s">
        <v>1236</v>
      </c>
      <c r="F664" s="4"/>
      <c r="G664" s="4"/>
      <c r="H664" s="4"/>
      <c r="I664" s="4" t="str">
        <f>IFERROR(__xludf.DUMMYFUNCTION("""COMPUTED_VALUE"""),"0x1f3d7724be40e80ee3b55129dfeb3e7706ab0313")</f>
        <v>0x1f3d7724be40e80ee3b55129dfeb3e7706ab0313</v>
      </c>
      <c r="J664" s="18">
        <v>44.7577310394407</v>
      </c>
      <c r="K664" s="4">
        <v>559.4716379930087</v>
      </c>
      <c r="L664" s="19">
        <v>5.594716379930087E20</v>
      </c>
      <c r="M664" s="20">
        <v>5.5947163799300874E19</v>
      </c>
    </row>
    <row r="665">
      <c r="A665" s="6"/>
      <c r="B665" s="6"/>
      <c r="C665" s="4"/>
      <c r="D665" s="4">
        <v>7.34770467967</v>
      </c>
      <c r="E665" s="4" t="s">
        <v>1238</v>
      </c>
      <c r="F665" s="4"/>
      <c r="G665" s="4"/>
      <c r="H665" s="4"/>
      <c r="I665" s="4" t="str">
        <f>IFERROR(__xludf.DUMMYFUNCTION("""COMPUTED_VALUE"""),"0x4a1213e1ddb3c30b7c71c4ac6cd50f985a989e2d")</f>
        <v>0x4a1213e1ddb3c30b7c71c4ac6cd50f985a989e2d</v>
      </c>
      <c r="J665" s="18">
        <v>55.7118322792666</v>
      </c>
      <c r="K665" s="4">
        <v>696.3979034908325</v>
      </c>
      <c r="L665" s="19">
        <v>6.963979034908325E20</v>
      </c>
      <c r="M665" s="20">
        <v>6.9639790349083255E19</v>
      </c>
    </row>
    <row r="666">
      <c r="A666" s="6"/>
      <c r="B666" s="6"/>
      <c r="C666" s="4"/>
      <c r="D666" s="4">
        <v>0.141370833251303</v>
      </c>
      <c r="E666" s="4" t="s">
        <v>1240</v>
      </c>
      <c r="F666" s="4"/>
      <c r="G666" s="4"/>
      <c r="H666" s="4"/>
      <c r="I666" s="4" t="str">
        <f>IFERROR(__xludf.DUMMYFUNCTION("""COMPUTED_VALUE"""),"0x814ab4c6e7d8afee9873855141995d00a4588e2a")</f>
        <v>0x814ab4c6e7d8afee9873855141995d00a4588e2a</v>
      </c>
      <c r="J666" s="18">
        <v>126.8143337469826</v>
      </c>
      <c r="K666" s="4">
        <v>1585.1791718372824</v>
      </c>
      <c r="L666" s="19">
        <v>1.5851791718372824E21</v>
      </c>
      <c r="M666" s="20">
        <v>1.5851791718372825E20</v>
      </c>
    </row>
    <row r="667">
      <c r="A667" s="6"/>
      <c r="B667" s="6"/>
      <c r="C667" s="4"/>
      <c r="D667" s="4">
        <v>615.580048591024</v>
      </c>
      <c r="E667" s="4" t="s">
        <v>1241</v>
      </c>
      <c r="F667" s="4"/>
      <c r="G667" s="4"/>
      <c r="H667" s="4"/>
      <c r="I667" s="4" t="str">
        <f>IFERROR(__xludf.DUMMYFUNCTION("""COMPUTED_VALUE"""),"0x5be798bf258ac5319e74428a66e635df491de2b2")</f>
        <v>0x5be798bf258ac5319e74428a66e635df491de2b2</v>
      </c>
      <c r="J667" s="18">
        <v>849.9561363981206</v>
      </c>
      <c r="K667" s="4">
        <v>10624.451704976507</v>
      </c>
      <c r="L667" s="19">
        <v>1.0624451704976507E22</v>
      </c>
      <c r="M667" s="20">
        <v>1.0624451704976508E21</v>
      </c>
    </row>
    <row r="668">
      <c r="A668" s="6"/>
      <c r="B668" s="6"/>
      <c r="C668" s="4"/>
      <c r="D668" s="4">
        <v>0.7173485044204391</v>
      </c>
      <c r="E668" s="4" t="s">
        <v>1243</v>
      </c>
      <c r="F668" s="4"/>
      <c r="G668" s="4"/>
      <c r="H668" s="4"/>
      <c r="I668" s="4" t="str">
        <f>IFERROR(__xludf.DUMMYFUNCTION("""COMPUTED_VALUE"""),"0xde74d617b9361de1aaa87013f5dfbdfda6e05ee8")</f>
        <v>0xde74d617b9361de1aaa87013f5dfbdfda6e05ee8</v>
      </c>
      <c r="J668" s="18">
        <v>0.7173485044204391</v>
      </c>
      <c r="K668" s="4">
        <v>8.966856305255488</v>
      </c>
      <c r="L668" s="19">
        <v>8.966856305255489E18</v>
      </c>
      <c r="M668" s="20">
        <v>8.966856305255489E17</v>
      </c>
    </row>
    <row r="669">
      <c r="A669" s="6"/>
      <c r="B669" s="6"/>
      <c r="C669" s="4"/>
      <c r="D669" s="4">
        <v>0.9970612224245969</v>
      </c>
      <c r="E669" s="4" t="s">
        <v>1245</v>
      </c>
      <c r="F669" s="4"/>
      <c r="G669" s="4"/>
      <c r="H669" s="4"/>
      <c r="I669" s="4" t="str">
        <f>IFERROR(__xludf.DUMMYFUNCTION("""COMPUTED_VALUE"""),"0x303308d5f4fef62ce6c246f00b886a2420a5bc0f")</f>
        <v>0x303308d5f4fef62ce6c246f00b886a2420a5bc0f</v>
      </c>
      <c r="J669" s="18">
        <v>0.9970612224245969</v>
      </c>
      <c r="K669" s="4">
        <v>12.46326528030746</v>
      </c>
      <c r="L669" s="19">
        <v>1.246326528030746E19</v>
      </c>
      <c r="M669" s="20">
        <v>1.246326528030746E18</v>
      </c>
    </row>
    <row r="670">
      <c r="A670" s="6"/>
      <c r="B670" s="6"/>
      <c r="C670" s="4"/>
      <c r="D670" s="4">
        <v>14.2409785477341</v>
      </c>
      <c r="E670" s="4" t="s">
        <v>1247</v>
      </c>
      <c r="F670" s="4"/>
      <c r="G670" s="4"/>
      <c r="H670" s="4"/>
      <c r="I670" s="4" t="str">
        <f>IFERROR(__xludf.DUMMYFUNCTION("""COMPUTED_VALUE"""),"0x76512dedab71e3fb3b85a57184da97d4e1f69d81")</f>
        <v>0x76512dedab71e3fb3b85a57184da97d4e1f69d81</v>
      </c>
      <c r="J670" s="18">
        <v>14.2409785477341</v>
      </c>
      <c r="K670" s="4">
        <v>178.01223184667626</v>
      </c>
      <c r="L670" s="19">
        <v>1.7801223184667627E20</v>
      </c>
      <c r="M670" s="20">
        <v>1.7801223184667628E19</v>
      </c>
    </row>
    <row r="671">
      <c r="A671" s="6"/>
      <c r="B671" s="6"/>
      <c r="C671" s="4"/>
      <c r="D671" s="4">
        <v>2.16689857417443</v>
      </c>
      <c r="E671" s="4" t="s">
        <v>1249</v>
      </c>
      <c r="F671" s="4"/>
      <c r="G671" s="4"/>
      <c r="H671" s="4"/>
      <c r="I671" s="4" t="str">
        <f>IFERROR(__xludf.DUMMYFUNCTION("""COMPUTED_VALUE"""),"0xbf8def80978e19ed06fb35de4956e11f310fdba8")</f>
        <v>0xbf8def80978e19ed06fb35de4956e11f310fdba8</v>
      </c>
      <c r="J671" s="18">
        <v>2.16689857417443</v>
      </c>
      <c r="K671" s="4">
        <v>27.086232177180374</v>
      </c>
      <c r="L671" s="19">
        <v>2.7086232177180373E19</v>
      </c>
      <c r="M671" s="20">
        <v>2.7086232177180375E18</v>
      </c>
    </row>
    <row r="672">
      <c r="A672" s="6"/>
      <c r="B672" s="6"/>
      <c r="C672" s="4"/>
      <c r="D672" s="4">
        <v>4.98908963154428</v>
      </c>
      <c r="E672" s="4" t="s">
        <v>1251</v>
      </c>
      <c r="F672" s="4"/>
      <c r="G672" s="4"/>
      <c r="H672" s="4"/>
      <c r="I672" s="4" t="str">
        <f>IFERROR(__xludf.DUMMYFUNCTION("""COMPUTED_VALUE"""),"0xd75d46ad0c3945a97e9abc9b9f603e7dfc61c6b3")</f>
        <v>0xd75d46ad0c3945a97e9abc9b9f603e7dfc61c6b3</v>
      </c>
      <c r="J672" s="18">
        <v>4.98908963154428</v>
      </c>
      <c r="K672" s="4">
        <v>62.363620394303496</v>
      </c>
      <c r="L672" s="19">
        <v>6.23636203943035E19</v>
      </c>
      <c r="M672" s="20">
        <v>6.23636203943035E18</v>
      </c>
    </row>
    <row r="673">
      <c r="A673" s="6"/>
      <c r="B673" s="6"/>
      <c r="C673" s="4"/>
      <c r="D673" s="4">
        <v>0.141370833251303</v>
      </c>
      <c r="E673" s="4" t="s">
        <v>1253</v>
      </c>
      <c r="F673" s="4"/>
      <c r="G673" s="4"/>
      <c r="H673" s="4"/>
      <c r="I673" s="4" t="str">
        <f>IFERROR(__xludf.DUMMYFUNCTION("""COMPUTED_VALUE"""),"0x80b3fe1e26d2a2f9dd76a42560d1df3852117cb3")</f>
        <v>0x80b3fe1e26d2a2f9dd76a42560d1df3852117cb3</v>
      </c>
      <c r="J673" s="18">
        <v>48.5054984328479</v>
      </c>
      <c r="K673" s="4">
        <v>606.3187304105987</v>
      </c>
      <c r="L673" s="19">
        <v>6.063187304105987E20</v>
      </c>
      <c r="M673" s="20">
        <v>6.063187304105987E19</v>
      </c>
    </row>
    <row r="674">
      <c r="A674" s="6"/>
      <c r="B674" s="6"/>
      <c r="C674" s="4"/>
      <c r="D674" s="4">
        <v>812.882291194994</v>
      </c>
      <c r="E674" s="4" t="s">
        <v>1254</v>
      </c>
      <c r="F674" s="4"/>
      <c r="G674" s="4"/>
      <c r="H674" s="4"/>
      <c r="I674" s="4" t="str">
        <f>IFERROR(__xludf.DUMMYFUNCTION("""COMPUTED_VALUE"""),"0x3024ed33d6be2cc4f5173e3f8384e17de279336f")</f>
        <v>0x3024ed33d6be2cc4f5173e3f8384e17de279336f</v>
      </c>
      <c r="J674" s="18">
        <v>1047.2583790020906</v>
      </c>
      <c r="K674" s="4">
        <v>13090.729737526131</v>
      </c>
      <c r="L674" s="19">
        <v>1.3090729737526132E22</v>
      </c>
      <c r="M674" s="20">
        <v>1.3090729737526132E21</v>
      </c>
    </row>
    <row r="675">
      <c r="A675" s="6"/>
      <c r="B675" s="6"/>
      <c r="C675" s="4"/>
      <c r="D675" s="4">
        <v>7.0685416625651705</v>
      </c>
      <c r="E675" s="4" t="s">
        <v>1256</v>
      </c>
      <c r="F675" s="4"/>
      <c r="G675" s="4"/>
      <c r="H675" s="4"/>
      <c r="I675" s="4" t="str">
        <f>IFERROR(__xludf.DUMMYFUNCTION("""COMPUTED_VALUE"""),"0x589b2ce3d7979306d3d12b0d7b10398e3066515a")</f>
        <v>0x589b2ce3d7979306d3d12b0d7b10398e3066515a</v>
      </c>
      <c r="J675" s="18">
        <v>55.43266926216177</v>
      </c>
      <c r="K675" s="4">
        <v>692.908365777022</v>
      </c>
      <c r="L675" s="19">
        <v>6.929083657770221E20</v>
      </c>
      <c r="M675" s="20">
        <v>6.9290836577702216E19</v>
      </c>
    </row>
    <row r="676">
      <c r="A676" s="6"/>
      <c r="B676" s="6"/>
      <c r="C676" s="4"/>
      <c r="D676" s="4">
        <v>6.85277280040441</v>
      </c>
      <c r="E676" s="4" t="s">
        <v>1257</v>
      </c>
      <c r="F676" s="4"/>
      <c r="G676" s="4"/>
      <c r="H676" s="4"/>
      <c r="I676" s="4" t="str">
        <f>IFERROR(__xludf.DUMMYFUNCTION("""COMPUTED_VALUE"""),"0x1941b7dd675364772f027fda4e85073ddbeee076")</f>
        <v>0x1941b7dd675364772f027fda4e85073ddbeee076</v>
      </c>
      <c r="J676" s="18">
        <v>53.56506523729211</v>
      </c>
      <c r="K676" s="4">
        <v>669.5633154661514</v>
      </c>
      <c r="L676" s="19">
        <v>6.695633154661514E20</v>
      </c>
      <c r="M676" s="20">
        <v>6.6956331546615144E19</v>
      </c>
    </row>
    <row r="677">
      <c r="A677" s="6"/>
      <c r="B677" s="6"/>
      <c r="C677" s="4"/>
      <c r="D677" s="4">
        <v>5.39968636961319</v>
      </c>
      <c r="E677" s="4" t="s">
        <v>1259</v>
      </c>
      <c r="F677" s="4"/>
      <c r="G677" s="4"/>
      <c r="H677" s="4"/>
      <c r="I677" s="4" t="str">
        <f>IFERROR(__xludf.DUMMYFUNCTION("""COMPUTED_VALUE"""),"0x89593d976db25e6581b48839cbffa1d1dbf9ff8b")</f>
        <v>0x89593d976db25e6581b48839cbffa1d1dbf9ff8b</v>
      </c>
      <c r="J677" s="18">
        <v>5.39968636961319</v>
      </c>
      <c r="K677" s="4">
        <v>67.49607962016488</v>
      </c>
      <c r="L677" s="19">
        <v>6.749607962016488E19</v>
      </c>
      <c r="M677" s="20">
        <v>6.749607962016488E18</v>
      </c>
    </row>
    <row r="678">
      <c r="A678" s="6"/>
      <c r="B678" s="6"/>
      <c r="C678" s="4"/>
      <c r="D678" s="4">
        <v>2.24994783819415</v>
      </c>
      <c r="E678" s="4" t="s">
        <v>1261</v>
      </c>
      <c r="F678" s="4"/>
      <c r="G678" s="4"/>
      <c r="H678" s="4"/>
      <c r="I678" s="4" t="str">
        <f>IFERROR(__xludf.DUMMYFUNCTION("""COMPUTED_VALUE"""),"0x579f7fd859d074ea33d5616d0470b82bfeaacfa2")</f>
        <v>0x579f7fd859d074ea33d5616d0470b82bfeaacfa2</v>
      </c>
      <c r="J678" s="18">
        <v>2.24994783819415</v>
      </c>
      <c r="K678" s="4">
        <v>28.124347977426872</v>
      </c>
      <c r="L678" s="19">
        <v>2.812434797742687E19</v>
      </c>
      <c r="M678" s="20">
        <v>2.812434797742687E18</v>
      </c>
    </row>
    <row r="679">
      <c r="A679" s="6"/>
      <c r="B679" s="6"/>
      <c r="C679" s="4"/>
      <c r="D679" s="4">
        <v>3.11015833152867</v>
      </c>
      <c r="E679" s="4" t="s">
        <v>1263</v>
      </c>
      <c r="F679" s="4"/>
      <c r="G679" s="4"/>
      <c r="H679" s="4"/>
      <c r="I679" s="4" t="str">
        <f>IFERROR(__xludf.DUMMYFUNCTION("""COMPUTED_VALUE"""),"0x14248d78b8dc8b8f4b4bbb592cd774d0767a5442")</f>
        <v>0x14248d78b8dc8b8f4b4bbb592cd774d0767a5442</v>
      </c>
      <c r="J679" s="18">
        <v>38.05850674506457</v>
      </c>
      <c r="K679" s="4">
        <v>475.7313343133071</v>
      </c>
      <c r="L679" s="19">
        <v>4.7573133431330714E20</v>
      </c>
      <c r="M679" s="20">
        <v>4.757313343133072E19</v>
      </c>
    </row>
    <row r="680">
      <c r="A680" s="6"/>
      <c r="B680" s="6"/>
      <c r="C680" s="4"/>
      <c r="D680" s="4">
        <v>8.336444090183221</v>
      </c>
      <c r="E680" s="4" t="s">
        <v>1265</v>
      </c>
      <c r="F680" s="4"/>
      <c r="G680" s="4"/>
      <c r="H680" s="4"/>
      <c r="I680" s="4" t="str">
        <f>IFERROR(__xludf.DUMMYFUNCTION("""COMPUTED_VALUE"""),"0x9a43f99afba8c5573931faf687295e3b1ad2eacf")</f>
        <v>0x9a43f99afba8c5573931faf687295e3b1ad2eacf</v>
      </c>
      <c r="J680" s="18">
        <v>56.70057168977982</v>
      </c>
      <c r="K680" s="4">
        <v>708.7571461222477</v>
      </c>
      <c r="L680" s="19">
        <v>7.087571461222477E20</v>
      </c>
      <c r="M680" s="20">
        <v>7.087571461222478E19</v>
      </c>
    </row>
    <row r="681">
      <c r="A681" s="6"/>
      <c r="B681" s="6"/>
      <c r="C681" s="4"/>
      <c r="D681" s="4">
        <v>14.1370833251303</v>
      </c>
      <c r="E681" s="4" t="s">
        <v>1267</v>
      </c>
      <c r="F681" s="4"/>
      <c r="G681" s="4"/>
      <c r="H681" s="4"/>
      <c r="I681" s="4" t="str">
        <f>IFERROR(__xludf.DUMMYFUNCTION("""COMPUTED_VALUE"""),"0x0a887b54bfc18847fdb2d79566bf917d1b61e780")</f>
        <v>0x0a887b54bfc18847fdb2d79566bf917d1b61e780</v>
      </c>
      <c r="J681" s="18">
        <v>14.1370833251303</v>
      </c>
      <c r="K681" s="4">
        <v>176.71354156412875</v>
      </c>
      <c r="L681" s="19">
        <v>1.7671354156412876E20</v>
      </c>
      <c r="M681" s="20">
        <v>1.7671354156412877E19</v>
      </c>
    </row>
    <row r="682">
      <c r="A682" s="6"/>
      <c r="B682" s="6"/>
      <c r="C682" s="4"/>
      <c r="D682" s="4">
        <v>5.12520710530569</v>
      </c>
      <c r="E682" s="4" t="s">
        <v>1268</v>
      </c>
      <c r="F682" s="4"/>
      <c r="G682" s="4"/>
      <c r="H682" s="4"/>
      <c r="I682" s="4" t="str">
        <f>IFERROR(__xludf.DUMMYFUNCTION("""COMPUTED_VALUE"""),"0x688cc55644659ff83de30070e6b0f15d4aad4dd7")</f>
        <v>0x688cc55644659ff83de30070e6b0f15d4aad4dd7</v>
      </c>
      <c r="J682" s="18">
        <v>40.05980614388869</v>
      </c>
      <c r="K682" s="4">
        <v>500.74757679860863</v>
      </c>
      <c r="L682" s="19">
        <v>5.007475767986086E20</v>
      </c>
      <c r="M682" s="20">
        <v>5.007475767986087E19</v>
      </c>
    </row>
    <row r="683">
      <c r="A683" s="6"/>
      <c r="B683" s="6"/>
      <c r="C683" s="4"/>
      <c r="D683" s="4">
        <v>12.4484179160743</v>
      </c>
      <c r="E683" s="4" t="s">
        <v>1270</v>
      </c>
      <c r="F683" s="4"/>
      <c r="G683" s="4"/>
      <c r="H683" s="4"/>
      <c r="I683" s="4" t="str">
        <f>IFERROR(__xludf.DUMMYFUNCTION("""COMPUTED_VALUE"""),"0xaf449da8797353a0875418adc6f066d88eee217f")</f>
        <v>0xaf449da8797353a0875418adc6f066d88eee217f</v>
      </c>
      <c r="J683" s="18">
        <v>12.4484179160743</v>
      </c>
      <c r="K683" s="4">
        <v>155.60522395092875</v>
      </c>
      <c r="L683" s="19">
        <v>1.5560522395092874E20</v>
      </c>
      <c r="M683" s="20">
        <v>1.5560522395092875E19</v>
      </c>
    </row>
    <row r="684">
      <c r="A684" s="6"/>
      <c r="B684" s="6"/>
      <c r="C684" s="4"/>
      <c r="D684" s="4">
        <v>530.470818937594</v>
      </c>
      <c r="E684" s="4" t="s">
        <v>1272</v>
      </c>
      <c r="F684" s="4"/>
      <c r="G684" s="4"/>
      <c r="H684" s="4"/>
      <c r="I684" s="4" t="str">
        <f>IFERROR(__xludf.DUMMYFUNCTION("""COMPUTED_VALUE"""),"0x020891d1e23ab9a8a5cdc6def299761c5aee0b22")</f>
        <v>0x020891d1e23ab9a8a5cdc6def299761c5aee0b22</v>
      </c>
      <c r="J684" s="18">
        <v>764.8469067446906</v>
      </c>
      <c r="K684" s="4">
        <v>9560.586334308633</v>
      </c>
      <c r="L684" s="19">
        <v>9.560586334308634E21</v>
      </c>
      <c r="M684" s="20">
        <v>9.560586334308634E20</v>
      </c>
    </row>
    <row r="685">
      <c r="A685" s="6"/>
      <c r="B685" s="6"/>
      <c r="C685" s="4"/>
      <c r="D685" s="4">
        <v>3.4361084849919297</v>
      </c>
      <c r="E685" s="4" t="s">
        <v>1274</v>
      </c>
      <c r="F685" s="4"/>
      <c r="G685" s="4"/>
      <c r="H685" s="4"/>
      <c r="I685" s="4" t="str">
        <f>IFERROR(__xludf.DUMMYFUNCTION("""COMPUTED_VALUE"""),"0x5e923b1ab19d170ba6f325a799d1f6a4850d881f")</f>
        <v>0x5e923b1ab19d170ba6f325a799d1f6a4850d881f</v>
      </c>
      <c r="J685" s="18">
        <v>3.4361084849919297</v>
      </c>
      <c r="K685" s="4">
        <v>42.95135606239912</v>
      </c>
      <c r="L685" s="19">
        <v>4.295135606239912E19</v>
      </c>
      <c r="M685" s="20">
        <v>4.295135606239912E18</v>
      </c>
    </row>
    <row r="686">
      <c r="A686" s="6"/>
      <c r="B686" s="6"/>
      <c r="C686" s="4"/>
      <c r="D686" s="4">
        <v>14.278454158381601</v>
      </c>
      <c r="E686" s="4" t="s">
        <v>1276</v>
      </c>
      <c r="F686" s="4"/>
      <c r="G686" s="4"/>
      <c r="H686" s="4"/>
      <c r="I686" s="4" t="str">
        <f>IFERROR(__xludf.DUMMYFUNCTION("""COMPUTED_VALUE"""),"0x6c8b71d16247123f0f89959f4858d9307baa5100")</f>
        <v>0x6c8b71d16247123f0f89959f4858d9307baa5100</v>
      </c>
      <c r="J686" s="18">
        <v>14.278454158381601</v>
      </c>
      <c r="K686" s="4">
        <v>178.48067697977</v>
      </c>
      <c r="L686" s="19">
        <v>1.7848067697977E20</v>
      </c>
      <c r="M686" s="20">
        <v>1.7848067697977E19</v>
      </c>
    </row>
    <row r="687">
      <c r="A687" s="6"/>
      <c r="B687" s="6"/>
      <c r="C687" s="4"/>
      <c r="D687" s="4">
        <v>5.11246600234265</v>
      </c>
      <c r="E687" s="4" t="s">
        <v>1278</v>
      </c>
      <c r="F687" s="4"/>
      <c r="G687" s="4"/>
      <c r="H687" s="4"/>
      <c r="I687" s="4" t="str">
        <f>IFERROR(__xludf.DUMMYFUNCTION("""COMPUTED_VALUE"""),"0x230040f6e08f0eb11292e89c7a425bd69c0284a1")</f>
        <v>0x230040f6e08f0eb11292e89c7a425bd69c0284a1</v>
      </c>
      <c r="J687" s="18">
        <v>5.11246600234265</v>
      </c>
      <c r="K687" s="4">
        <v>63.90582502928312</v>
      </c>
      <c r="L687" s="19">
        <v>6.390582502928312E19</v>
      </c>
      <c r="M687" s="20">
        <v>6.390582502928312E18</v>
      </c>
    </row>
    <row r="688">
      <c r="A688" s="6"/>
      <c r="B688" s="6"/>
      <c r="C688" s="4"/>
      <c r="D688" s="4">
        <v>0.141452011201382</v>
      </c>
      <c r="E688" s="4" t="s">
        <v>1280</v>
      </c>
      <c r="F688" s="4"/>
      <c r="G688" s="4"/>
      <c r="H688" s="4"/>
      <c r="I688" s="4" t="str">
        <f>IFERROR(__xludf.DUMMYFUNCTION("""COMPUTED_VALUE"""),"0x7fbc6c388a6951c757ab6a235841f81a8dd4551b")</f>
        <v>0x7fbc6c388a6951c757ab6a235841f81a8dd4551b</v>
      </c>
      <c r="J688" s="18">
        <v>0.141452011201382</v>
      </c>
      <c r="K688" s="4">
        <v>1.768150140017275</v>
      </c>
      <c r="L688" s="19">
        <v>1.768150140017275E18</v>
      </c>
      <c r="M688" s="20">
        <v>1.768150140017275E17</v>
      </c>
    </row>
    <row r="689">
      <c r="A689" s="6"/>
      <c r="B689" s="6"/>
      <c r="C689" s="4"/>
      <c r="D689" s="4">
        <v>7.0685416625651705</v>
      </c>
      <c r="E689" s="4" t="s">
        <v>1282</v>
      </c>
      <c r="F689" s="4"/>
      <c r="G689" s="4"/>
      <c r="H689" s="4"/>
      <c r="I689" s="4" t="str">
        <f>IFERROR(__xludf.DUMMYFUNCTION("""COMPUTED_VALUE"""),"0xb9270c481226d7eb33059426da6ea5f81f8be857")</f>
        <v>0xb9270c481226d7eb33059426da6ea5f81f8be857</v>
      </c>
      <c r="J689" s="18">
        <v>7.0685416625651705</v>
      </c>
      <c r="K689" s="4">
        <v>88.35677078206463</v>
      </c>
      <c r="L689" s="19">
        <v>8.835677078206462E19</v>
      </c>
      <c r="M689" s="20">
        <v>8.835677078206463E18</v>
      </c>
    </row>
    <row r="690">
      <c r="A690" s="6"/>
      <c r="B690" s="6"/>
      <c r="C690" s="4"/>
      <c r="D690" s="4">
        <v>167.199430813843</v>
      </c>
      <c r="E690" s="4" t="s">
        <v>1283</v>
      </c>
      <c r="F690" s="4"/>
      <c r="G690" s="4"/>
      <c r="H690" s="4"/>
      <c r="I690" s="4" t="str">
        <f>IFERROR(__xludf.DUMMYFUNCTION("""COMPUTED_VALUE"""),"0x9cb0e2afa1d32a4f077bc94e412d595dba6ebb71")</f>
        <v>0x9cb0e2afa1d32a4f077bc94e412d595dba6ebb71</v>
      </c>
      <c r="J690" s="18">
        <v>389.6523841725117</v>
      </c>
      <c r="K690" s="4">
        <v>4870.654802156396</v>
      </c>
      <c r="L690" s="19">
        <v>4.870654802156396E21</v>
      </c>
      <c r="M690" s="20">
        <v>4.870654802156396E20</v>
      </c>
    </row>
    <row r="691">
      <c r="A691" s="6"/>
      <c r="B691" s="6"/>
      <c r="C691" s="4"/>
      <c r="D691" s="4">
        <v>35.4619426711996</v>
      </c>
      <c r="E691" s="4" t="s">
        <v>1285</v>
      </c>
      <c r="F691" s="4"/>
      <c r="G691" s="4"/>
      <c r="H691" s="4"/>
      <c r="I691" s="4" t="str">
        <f>IFERROR(__xludf.DUMMYFUNCTION("""COMPUTED_VALUE"""),"0x7b0b9d62e5307341224522e3240e93f8d48c8448")</f>
        <v>0x7b0b9d62e5307341224522e3240e93f8d48c8448</v>
      </c>
      <c r="J691" s="18">
        <v>35.4619426711996</v>
      </c>
      <c r="K691" s="4">
        <v>443.274283389995</v>
      </c>
      <c r="L691" s="19">
        <v>4.43274283389995E20</v>
      </c>
      <c r="M691" s="20">
        <v>4.43274283389995E19</v>
      </c>
    </row>
    <row r="692">
      <c r="A692" s="6"/>
      <c r="B692" s="6"/>
      <c r="C692" s="4"/>
      <c r="D692" s="4">
        <v>7.83210750721366</v>
      </c>
      <c r="E692" s="4" t="s">
        <v>1287</v>
      </c>
      <c r="F692" s="4"/>
      <c r="G692" s="4"/>
      <c r="H692" s="4"/>
      <c r="I692" s="4" t="str">
        <f>IFERROR(__xludf.DUMMYFUNCTION("""COMPUTED_VALUE"""),"0x64d7408c9805cf71b4fc8fe0bee9c753ec130340")</f>
        <v>0x64d7408c9805cf71b4fc8fe0bee9c753ec130340</v>
      </c>
      <c r="J692" s="18">
        <v>7.83210750721366</v>
      </c>
      <c r="K692" s="4">
        <v>97.90134384017075</v>
      </c>
      <c r="L692" s="19">
        <v>9.790134384017075E19</v>
      </c>
      <c r="M692" s="20">
        <v>9.790134384017076E18</v>
      </c>
    </row>
    <row r="693">
      <c r="A693" s="6"/>
      <c r="B693" s="6"/>
      <c r="C693" s="4"/>
      <c r="D693" s="4">
        <v>143.05742974652</v>
      </c>
      <c r="E693" s="4" t="s">
        <v>1289</v>
      </c>
      <c r="F693" s="4"/>
      <c r="G693" s="4"/>
      <c r="H693" s="4"/>
      <c r="I693" s="4" t="str">
        <f>IFERROR(__xludf.DUMMYFUNCTION("""COMPUTED_VALUE"""),"0x12ae9f4e83da42a84de1bb14d23cfc22269d16da")</f>
        <v>0x12ae9f4e83da42a84de1bb14d23cfc22269d16da</v>
      </c>
      <c r="J693" s="18">
        <v>143.05742974652</v>
      </c>
      <c r="K693" s="4">
        <v>1788.2178718315</v>
      </c>
      <c r="L693" s="19">
        <v>1.7882178718314998E21</v>
      </c>
      <c r="M693" s="20">
        <v>1.7882178718315E20</v>
      </c>
    </row>
    <row r="694">
      <c r="A694" s="6"/>
      <c r="B694" s="6"/>
      <c r="C694" s="4"/>
      <c r="D694" s="4">
        <v>14.1370833251303</v>
      </c>
      <c r="E694" s="4" t="s">
        <v>1291</v>
      </c>
      <c r="F694" s="4"/>
      <c r="G694" s="4"/>
      <c r="H694" s="4"/>
      <c r="I694" s="4" t="str">
        <f>IFERROR(__xludf.DUMMYFUNCTION("""COMPUTED_VALUE"""),"0xb304d0469ef609a6e114897d9c4308922476809a")</f>
        <v>0xb304d0469ef609a6e114897d9c4308922476809a</v>
      </c>
      <c r="J694" s="18">
        <v>62.5012109247269</v>
      </c>
      <c r="K694" s="4">
        <v>781.2651365590862</v>
      </c>
      <c r="L694" s="19">
        <v>7.812651365590861E20</v>
      </c>
      <c r="M694" s="20">
        <v>7.812651365590861E19</v>
      </c>
    </row>
    <row r="695">
      <c r="A695" s="6"/>
      <c r="B695" s="6"/>
      <c r="C695" s="4"/>
      <c r="D695" s="4">
        <v>7.28053555108153</v>
      </c>
      <c r="E695" s="4" t="s">
        <v>1292</v>
      </c>
      <c r="F695" s="4"/>
      <c r="G695" s="4"/>
      <c r="H695" s="4"/>
      <c r="I695" s="4" t="str">
        <f>IFERROR(__xludf.DUMMYFUNCTION("""COMPUTED_VALUE"""),"0x46a00161f9b0acf36704bbccc5b34d00f40ff65a")</f>
        <v>0x46a00161f9b0acf36704bbccc5b34d00f40ff65a</v>
      </c>
      <c r="J695" s="18">
        <v>7.28053555108153</v>
      </c>
      <c r="K695" s="4">
        <v>91.00669438851912</v>
      </c>
      <c r="L695" s="19">
        <v>9.100669438851912E19</v>
      </c>
      <c r="M695" s="20">
        <v>9.100669438851913E18</v>
      </c>
    </row>
    <row r="696">
      <c r="A696" s="6"/>
      <c r="B696" s="6"/>
      <c r="C696" s="4"/>
      <c r="D696" s="4">
        <v>129.56372848528</v>
      </c>
      <c r="E696" s="4" t="s">
        <v>1294</v>
      </c>
      <c r="F696" s="4"/>
      <c r="G696" s="4"/>
      <c r="H696" s="4"/>
      <c r="I696" s="4" t="str">
        <f>IFERROR(__xludf.DUMMYFUNCTION("""COMPUTED_VALUE"""),"0xb7ab2a76cc3e75366b63fd7af5643a609a67a086")</f>
        <v>0xb7ab2a76cc3e75366b63fd7af5643a609a67a086</v>
      </c>
      <c r="J696" s="18">
        <v>267.8693752418517</v>
      </c>
      <c r="K696" s="4">
        <v>3348.367190523146</v>
      </c>
      <c r="L696" s="19">
        <v>3.348367190523146E21</v>
      </c>
      <c r="M696" s="20">
        <v>3.348367190523146E20</v>
      </c>
    </row>
    <row r="697">
      <c r="A697" s="6"/>
      <c r="B697" s="6"/>
      <c r="C697" s="4"/>
      <c r="D697" s="4">
        <v>6.00779055541585</v>
      </c>
      <c r="E697" s="4" t="s">
        <v>1296</v>
      </c>
      <c r="F697" s="4"/>
      <c r="G697" s="4"/>
      <c r="H697" s="4"/>
      <c r="I697" s="4" t="str">
        <f>IFERROR(__xludf.DUMMYFUNCTION("""COMPUTED_VALUE"""),"0x8a0f32ab89f428a5016ddb7bea41f47415d94cdc")</f>
        <v>0x8a0f32ab89f428a5016ddb7bea41f47415d94cdc</v>
      </c>
      <c r="J697" s="18">
        <v>6.00779055541585</v>
      </c>
      <c r="K697" s="4">
        <v>75.09738194269812</v>
      </c>
      <c r="L697" s="19">
        <v>7.509738194269812E19</v>
      </c>
      <c r="M697" s="20">
        <v>7.509738194269812E18</v>
      </c>
    </row>
    <row r="698">
      <c r="A698" s="6"/>
      <c r="B698" s="6"/>
      <c r="C698" s="4"/>
      <c r="D698" s="4">
        <v>15.437747250184499</v>
      </c>
      <c r="E698" s="4" t="s">
        <v>1298</v>
      </c>
      <c r="F698" s="4"/>
      <c r="G698" s="4"/>
      <c r="H698" s="4"/>
      <c r="I698" s="4" t="str">
        <f>IFERROR(__xludf.DUMMYFUNCTION("""COMPUTED_VALUE"""),"0x8dc931138260b087291b863fc36e922b92996672")</f>
        <v>0x8dc931138260b087291b863fc36e922b92996672</v>
      </c>
      <c r="J698" s="18">
        <v>15.437747250184499</v>
      </c>
      <c r="K698" s="4">
        <v>192.97184062730622</v>
      </c>
      <c r="L698" s="19">
        <v>1.9297184062730623E20</v>
      </c>
      <c r="M698" s="20">
        <v>1.9297184062730625E19</v>
      </c>
    </row>
    <row r="699">
      <c r="A699" s="6"/>
      <c r="B699" s="6"/>
      <c r="C699" s="4"/>
      <c r="D699" s="4">
        <v>1.08056972525587</v>
      </c>
      <c r="E699" s="4" t="s">
        <v>1300</v>
      </c>
      <c r="F699" s="4"/>
      <c r="G699" s="4"/>
      <c r="H699" s="4"/>
      <c r="I699" s="4" t="str">
        <f>IFERROR(__xludf.DUMMYFUNCTION("""COMPUTED_VALUE"""),"0xf56942696f81c1f59f8a304d4452ed8d940d2643")</f>
        <v>0xf56942696f81c1f59f8a304d4452ed8d940d2643</v>
      </c>
      <c r="J699" s="18">
        <v>1.882265814938533</v>
      </c>
      <c r="K699" s="4">
        <v>23.528322686731663</v>
      </c>
      <c r="L699" s="19">
        <v>2.352832268673166E19</v>
      </c>
      <c r="M699" s="20">
        <v>2.3528322686731663E18</v>
      </c>
    </row>
    <row r="700">
      <c r="A700" s="6"/>
      <c r="B700" s="6"/>
      <c r="C700" s="4"/>
      <c r="D700" s="4">
        <v>35.569475655294504</v>
      </c>
      <c r="E700" s="4" t="s">
        <v>1302</v>
      </c>
      <c r="F700" s="4"/>
      <c r="G700" s="4"/>
      <c r="H700" s="4"/>
      <c r="I700" s="4" t="str">
        <f>IFERROR(__xludf.DUMMYFUNCTION("""COMPUTED_VALUE"""),"0x381af677e83d5fe33f4a9add86ef13b6fdea1bec")</f>
        <v>0x381af677e83d5fe33f4a9add86ef13b6fdea1bec</v>
      </c>
      <c r="J700" s="18">
        <v>40.70883937836366</v>
      </c>
      <c r="K700" s="4">
        <v>508.8604922295458</v>
      </c>
      <c r="L700" s="19">
        <v>5.088604922295458E20</v>
      </c>
      <c r="M700" s="20">
        <v>5.088604922295458E19</v>
      </c>
    </row>
    <row r="701">
      <c r="A701" s="6"/>
      <c r="B701" s="6"/>
      <c r="C701" s="4"/>
      <c r="D701" s="4">
        <v>6.52881096029948</v>
      </c>
      <c r="E701" s="4" t="s">
        <v>1304</v>
      </c>
      <c r="F701" s="4"/>
      <c r="G701" s="4"/>
      <c r="H701" s="4"/>
      <c r="I701" s="4" t="str">
        <f>IFERROR(__xludf.DUMMYFUNCTION("""COMPUTED_VALUE"""),"0x8127633653a3a0edd11f7337ff5dda17aaf48ca5")</f>
        <v>0x8127633653a3a0edd11f7337ff5dda17aaf48ca5</v>
      </c>
      <c r="J701" s="18">
        <v>6.52881096029948</v>
      </c>
      <c r="K701" s="4">
        <v>81.6101370037435</v>
      </c>
      <c r="L701" s="19">
        <v>8.161013700374351E19</v>
      </c>
      <c r="M701" s="20">
        <v>8.161013700374352E18</v>
      </c>
    </row>
    <row r="702">
      <c r="A702" s="6"/>
      <c r="B702" s="6"/>
      <c r="C702" s="4"/>
      <c r="D702" s="4">
        <v>7.06995721112182</v>
      </c>
      <c r="E702" s="4" t="s">
        <v>1306</v>
      </c>
      <c r="F702" s="4"/>
      <c r="G702" s="4"/>
      <c r="H702" s="4"/>
      <c r="I702" s="4" t="str">
        <f>IFERROR(__xludf.DUMMYFUNCTION("""COMPUTED_VALUE"""),"0x585c9e89b1319f5831fe685d1a175f4f3690cf42")</f>
        <v>0x585c9e89b1319f5831fe685d1a175f4f3690cf42</v>
      </c>
      <c r="J702" s="18">
        <v>7.06995721112182</v>
      </c>
      <c r="K702" s="4">
        <v>88.37446513902275</v>
      </c>
      <c r="L702" s="19">
        <v>8.837446513902274E19</v>
      </c>
      <c r="M702" s="20">
        <v>8.837446513902275E18</v>
      </c>
    </row>
    <row r="703">
      <c r="A703" s="6"/>
      <c r="B703" s="6"/>
      <c r="C703" s="4"/>
      <c r="D703" s="4">
        <v>7.0685416625651705</v>
      </c>
      <c r="E703" s="4" t="s">
        <v>1308</v>
      </c>
      <c r="F703" s="4"/>
      <c r="G703" s="4"/>
      <c r="H703" s="4"/>
      <c r="I703" s="4" t="str">
        <f>IFERROR(__xludf.DUMMYFUNCTION("""COMPUTED_VALUE"""),"0x45788cd5c7e4bda725892af90dcae3ceba086146")</f>
        <v>0x45788cd5c7e4bda725892af90dcae3ceba086146</v>
      </c>
      <c r="J703" s="18">
        <v>7.0685416625651705</v>
      </c>
      <c r="K703" s="4">
        <v>88.35677078206463</v>
      </c>
      <c r="L703" s="19">
        <v>8.835677078206462E19</v>
      </c>
      <c r="M703" s="20">
        <v>8.835677078206463E18</v>
      </c>
    </row>
    <row r="704">
      <c r="A704" s="6"/>
      <c r="B704" s="6"/>
      <c r="C704" s="4"/>
      <c r="D704" s="4">
        <v>15.123416147575199</v>
      </c>
      <c r="E704" s="4" t="s">
        <v>1309</v>
      </c>
      <c r="F704" s="4"/>
      <c r="G704" s="4"/>
      <c r="H704" s="4"/>
      <c r="I704" s="4" t="str">
        <f>IFERROR(__xludf.DUMMYFUNCTION("""COMPUTED_VALUE"""),"0x9cf44354ceaf7eea51329a90faecb7e834f4ec92")</f>
        <v>0x9cf44354ceaf7eea51329a90faecb7e834f4ec92</v>
      </c>
      <c r="J704" s="18">
        <v>63.4875437471718</v>
      </c>
      <c r="K704" s="4">
        <v>793.5942968396474</v>
      </c>
      <c r="L704" s="19">
        <v>7.935942968396474E20</v>
      </c>
      <c r="M704" s="20">
        <v>7.935942968396474E19</v>
      </c>
    </row>
    <row r="705">
      <c r="A705" s="6"/>
      <c r="B705" s="6"/>
      <c r="C705" s="4"/>
      <c r="D705" s="4">
        <v>879.1597109792</v>
      </c>
      <c r="E705" s="4" t="s">
        <v>1311</v>
      </c>
      <c r="F705" s="4"/>
      <c r="G705" s="4"/>
      <c r="H705" s="4"/>
      <c r="I705" s="4" t="str">
        <f>IFERROR(__xludf.DUMMYFUNCTION("""COMPUTED_VALUE"""),"0x84abed2425a62da3ec826b1e510e05e4b6a4195b")</f>
        <v>0x84abed2425a62da3ec826b1e510e05e4b6a4195b</v>
      </c>
      <c r="J705" s="18">
        <v>1113.5357987862965</v>
      </c>
      <c r="K705" s="4">
        <v>13919.197484828706</v>
      </c>
      <c r="L705" s="19">
        <v>1.3919197484828705E22</v>
      </c>
      <c r="M705" s="20">
        <v>1.3919197484828705E21</v>
      </c>
    </row>
    <row r="706">
      <c r="A706" s="6"/>
      <c r="B706" s="6"/>
      <c r="C706" s="4"/>
      <c r="D706" s="4">
        <v>14.1370833251303</v>
      </c>
      <c r="E706" s="4" t="s">
        <v>1313</v>
      </c>
      <c r="F706" s="4"/>
      <c r="G706" s="4"/>
      <c r="H706" s="4"/>
      <c r="I706" s="4" t="str">
        <f>IFERROR(__xludf.DUMMYFUNCTION("""COMPUTED_VALUE"""),"0x3b91d0b98f2f4b3f6f81e06ca514a14e4dae4cd1")</f>
        <v>0x3b91d0b98f2f4b3f6f81e06ca514a14e4dae4cd1</v>
      </c>
      <c r="J706" s="18">
        <v>52.6935851985356</v>
      </c>
      <c r="K706" s="4">
        <v>658.669814981695</v>
      </c>
      <c r="L706" s="19">
        <v>6.58669814981695E20</v>
      </c>
      <c r="M706" s="20">
        <v>6.58669814981695E19</v>
      </c>
    </row>
    <row r="707">
      <c r="A707" s="6"/>
      <c r="B707" s="6"/>
      <c r="C707" s="4"/>
      <c r="D707" s="4">
        <v>1.17932444913375</v>
      </c>
      <c r="E707" s="4" t="s">
        <v>1314</v>
      </c>
      <c r="F707" s="4"/>
      <c r="G707" s="4"/>
      <c r="H707" s="4"/>
      <c r="I707" s="4" t="str">
        <f>IFERROR(__xludf.DUMMYFUNCTION("""COMPUTED_VALUE"""),"0x25e80ae1d49bf6a42e87d36d8889926b37bd5830")</f>
        <v>0x25e80ae1d49bf6a42e87d36d8889926b37bd5830</v>
      </c>
      <c r="J707" s="18">
        <v>1.17932444913375</v>
      </c>
      <c r="K707" s="4">
        <v>14.741555614171874</v>
      </c>
      <c r="L707" s="19">
        <v>1.4741555614171873E19</v>
      </c>
      <c r="M707" s="20">
        <v>1.4741555614171873E18</v>
      </c>
    </row>
    <row r="708">
      <c r="A708" s="6"/>
      <c r="B708" s="6"/>
      <c r="C708" s="4"/>
      <c r="D708" s="4">
        <v>7.0685416625651705</v>
      </c>
      <c r="E708" s="4" t="s">
        <v>1316</v>
      </c>
      <c r="F708" s="4"/>
      <c r="G708" s="4"/>
      <c r="H708" s="4"/>
      <c r="I708" s="4" t="str">
        <f>IFERROR(__xludf.DUMMYFUNCTION("""COMPUTED_VALUE"""),"0x54da0652d1045070ab731784932d8505fa01a859")</f>
        <v>0x54da0652d1045070ab731784932d8505fa01a859</v>
      </c>
      <c r="J708" s="18">
        <v>7.0685416625651705</v>
      </c>
      <c r="K708" s="4">
        <v>88.35677078206463</v>
      </c>
      <c r="L708" s="19">
        <v>8.835677078206462E19</v>
      </c>
      <c r="M708" s="20">
        <v>8.835677078206463E18</v>
      </c>
    </row>
    <row r="709">
      <c r="A709" s="6"/>
      <c r="B709" s="6"/>
      <c r="C709" s="4"/>
      <c r="D709" s="4">
        <v>35.5825971243332</v>
      </c>
      <c r="E709" s="4" t="s">
        <v>1317</v>
      </c>
      <c r="F709" s="4"/>
      <c r="G709" s="4"/>
      <c r="H709" s="4"/>
      <c r="I709" s="4" t="str">
        <f>IFERROR(__xludf.DUMMYFUNCTION("""COMPUTED_VALUE"""),"0x10816653f52a2a8fb60e219edb61995e98194732")</f>
        <v>0x10816653f52a2a8fb60e219edb61995e98194732</v>
      </c>
      <c r="J709" s="18">
        <v>79.03357594044701</v>
      </c>
      <c r="K709" s="4">
        <v>987.9196992555876</v>
      </c>
      <c r="L709" s="19">
        <v>9.879196992555876E20</v>
      </c>
      <c r="M709" s="20">
        <v>9.879196992555876E19</v>
      </c>
    </row>
    <row r="710">
      <c r="A710" s="6"/>
      <c r="B710" s="6"/>
      <c r="C710" s="4"/>
      <c r="D710" s="4">
        <v>41.2335868296764</v>
      </c>
      <c r="E710" s="4" t="s">
        <v>1319</v>
      </c>
      <c r="F710" s="4"/>
      <c r="G710" s="4"/>
      <c r="H710" s="4"/>
      <c r="I710" s="4" t="str">
        <f>IFERROR(__xludf.DUMMYFUNCTION("""COMPUTED_VALUE"""),"0x4dd6720d2bb8721a46bdf9a528704164578e03b9")</f>
        <v>0x4dd6720d2bb8721a46bdf9a528704164578e03b9</v>
      </c>
      <c r="J710" s="18">
        <v>136.1007044811482</v>
      </c>
      <c r="K710" s="4">
        <v>1701.2588060143526</v>
      </c>
      <c r="L710" s="19">
        <v>1.7012588060143526E21</v>
      </c>
      <c r="M710" s="20">
        <v>1.7012588060143528E20</v>
      </c>
    </row>
    <row r="711">
      <c r="A711" s="6"/>
      <c r="B711" s="6"/>
      <c r="C711" s="4"/>
      <c r="D711" s="4">
        <v>26.1867527872586</v>
      </c>
      <c r="E711" s="4" t="s">
        <v>1321</v>
      </c>
      <c r="F711" s="4"/>
      <c r="G711" s="4"/>
      <c r="H711" s="4"/>
      <c r="I711" s="4" t="str">
        <f>IFERROR(__xludf.DUMMYFUNCTION("""COMPUTED_VALUE"""),"0x1cf5de1d39efc6b03f0b6186fff6d0e4c1dff97e")</f>
        <v>0x1cf5de1d39efc6b03f0b6186fff6d0e4c1dff97e</v>
      </c>
      <c r="J711" s="18">
        <v>26.1867527872586</v>
      </c>
      <c r="K711" s="4">
        <v>327.3344098407325</v>
      </c>
      <c r="L711" s="19">
        <v>3.2733440984073254E20</v>
      </c>
      <c r="M711" s="20">
        <v>3.2733440984073257E19</v>
      </c>
    </row>
    <row r="712">
      <c r="A712" s="6"/>
      <c r="B712" s="6"/>
      <c r="C712" s="4"/>
      <c r="D712" s="4">
        <v>1.32714785481638</v>
      </c>
      <c r="E712" s="4" t="s">
        <v>1323</v>
      </c>
      <c r="F712" s="4"/>
      <c r="G712" s="4"/>
      <c r="H712" s="4"/>
      <c r="I712" s="4" t="str">
        <f>IFERROR(__xludf.DUMMYFUNCTION("""COMPUTED_VALUE"""),"0x92496d3fc90ea9bc01c317eb9f8ce25cf832e49c")</f>
        <v>0x92496d3fc90ea9bc01c317eb9f8ce25cf832e49c</v>
      </c>
      <c r="J712" s="18">
        <v>1.32714785481638</v>
      </c>
      <c r="K712" s="4">
        <v>16.58934818520475</v>
      </c>
      <c r="L712" s="19">
        <v>1.6589348185204748E19</v>
      </c>
      <c r="M712" s="20">
        <v>1.658934818520475E18</v>
      </c>
    </row>
    <row r="713">
      <c r="A713" s="6"/>
      <c r="B713" s="6"/>
      <c r="C713" s="4"/>
      <c r="D713" s="4">
        <v>1.93628996944483</v>
      </c>
      <c r="E713" s="4" t="s">
        <v>1325</v>
      </c>
      <c r="F713" s="4"/>
      <c r="G713" s="4"/>
      <c r="H713" s="4"/>
      <c r="I713" s="4" t="str">
        <f>IFERROR(__xludf.DUMMYFUNCTION("""COMPUTED_VALUE"""),"0x03d18e007892a70b439680bb93631d70f8c86c26")</f>
        <v>0x03d18e007892a70b439680bb93631d70f8c86c26</v>
      </c>
      <c r="J713" s="18">
        <v>1.93628996944483</v>
      </c>
      <c r="K713" s="4">
        <v>24.203624618060374</v>
      </c>
      <c r="L713" s="19">
        <v>2.4203624618060374E19</v>
      </c>
      <c r="M713" s="20">
        <v>2.4203624618060375E18</v>
      </c>
    </row>
    <row r="714">
      <c r="A714" s="6"/>
      <c r="B714" s="6"/>
      <c r="C714" s="4"/>
      <c r="D714" s="4">
        <v>14.1370833251303</v>
      </c>
      <c r="E714" s="4" t="s">
        <v>1327</v>
      </c>
      <c r="F714" s="4"/>
      <c r="G714" s="4"/>
      <c r="H714" s="4"/>
      <c r="I714" s="4" t="str">
        <f>IFERROR(__xludf.DUMMYFUNCTION("""COMPUTED_VALUE"""),"0xdad97843775c55c39fdd84a8958fa8fae6ac96de")</f>
        <v>0xdad97843775c55c39fdd84a8958fa8fae6ac96de</v>
      </c>
      <c r="J714" s="18">
        <v>62.5012109247269</v>
      </c>
      <c r="K714" s="4">
        <v>781.2651365590862</v>
      </c>
      <c r="L714" s="19">
        <v>7.812651365590861E20</v>
      </c>
      <c r="M714" s="20">
        <v>7.812651365590861E19</v>
      </c>
    </row>
    <row r="715">
      <c r="A715" s="6"/>
      <c r="B715" s="6"/>
      <c r="C715" s="4"/>
      <c r="D715" s="4">
        <v>18.8145911211426</v>
      </c>
      <c r="E715" s="4" t="s">
        <v>1328</v>
      </c>
      <c r="F715" s="4"/>
      <c r="G715" s="4"/>
      <c r="H715" s="4"/>
      <c r="I715" s="4" t="str">
        <f>IFERROR(__xludf.DUMMYFUNCTION("""COMPUTED_VALUE"""),"0x288bd08ea5eeaab2b9400eb9de3b6ad20008621b")</f>
        <v>0x288bd08ea5eeaab2b9400eb9de3b6ad20008621b</v>
      </c>
      <c r="J715" s="18">
        <v>18.8145911211426</v>
      </c>
      <c r="K715" s="4">
        <v>235.18238901428248</v>
      </c>
      <c r="L715" s="19">
        <v>2.3518238901428247E20</v>
      </c>
      <c r="M715" s="20">
        <v>2.351823890142825E19</v>
      </c>
    </row>
    <row r="716">
      <c r="A716" s="6"/>
      <c r="B716" s="6"/>
      <c r="C716" s="4"/>
      <c r="D716" s="4">
        <v>35.3427083128258</v>
      </c>
      <c r="E716" s="4" t="s">
        <v>1330</v>
      </c>
      <c r="F716" s="4"/>
      <c r="G716" s="4"/>
      <c r="H716" s="4"/>
      <c r="I716" s="4" t="str">
        <f>IFERROR(__xludf.DUMMYFUNCTION("""COMPUTED_VALUE"""),"0x5461c9e051ab2ce67ffa34b28c0186172a4a4bdd")</f>
        <v>0x5461c9e051ab2ce67ffa34b28c0186172a4a4bdd</v>
      </c>
      <c r="J716" s="18">
        <v>35.3427083128258</v>
      </c>
      <c r="K716" s="4">
        <v>441.7838539103225</v>
      </c>
      <c r="L716" s="19">
        <v>4.4178385391032245E20</v>
      </c>
      <c r="M716" s="20">
        <v>4.417838539103225E19</v>
      </c>
    </row>
    <row r="717">
      <c r="A717" s="6"/>
      <c r="B717" s="6"/>
      <c r="C717" s="4"/>
      <c r="D717" s="4">
        <v>7.0685416625651705</v>
      </c>
      <c r="E717" s="4" t="s">
        <v>1331</v>
      </c>
      <c r="F717" s="4"/>
      <c r="G717" s="4"/>
      <c r="H717" s="4"/>
      <c r="I717" s="4" t="str">
        <f>IFERROR(__xludf.DUMMYFUNCTION("""COMPUTED_VALUE"""),"0x0bb50ed8033e7a09666bed9b99b48fc70ffc1f5c")</f>
        <v>0x0bb50ed8033e7a09666bed9b99b48fc70ffc1f5c</v>
      </c>
      <c r="J717" s="18">
        <v>55.43266926216177</v>
      </c>
      <c r="K717" s="4">
        <v>692.908365777022</v>
      </c>
      <c r="L717" s="19">
        <v>6.929083657770221E20</v>
      </c>
      <c r="M717" s="20">
        <v>6.9290836577702216E19</v>
      </c>
    </row>
    <row r="718">
      <c r="A718" s="6"/>
      <c r="B718" s="6"/>
      <c r="C718" s="4"/>
      <c r="D718" s="4">
        <v>7.138104020243739</v>
      </c>
      <c r="E718" s="4" t="s">
        <v>1332</v>
      </c>
      <c r="F718" s="4"/>
      <c r="G718" s="4"/>
      <c r="H718" s="4"/>
      <c r="I718" s="4" t="str">
        <f>IFERROR(__xludf.DUMMYFUNCTION("""COMPUTED_VALUE"""),"0x03f7924ca4aee66e0e8d808f58da51e4abafc8ba")</f>
        <v>0x03f7924ca4aee66e0e8d808f58da51e4abafc8ba</v>
      </c>
      <c r="J718" s="18">
        <v>7.138104020243739</v>
      </c>
      <c r="K718" s="4">
        <v>89.22630025304674</v>
      </c>
      <c r="L718" s="19">
        <v>8.922630025304675E19</v>
      </c>
      <c r="M718" s="20">
        <v>8.922630025304675E18</v>
      </c>
    </row>
    <row r="719">
      <c r="A719" s="6"/>
      <c r="B719" s="6"/>
      <c r="C719" s="4"/>
      <c r="D719" s="4">
        <v>146.938249654617</v>
      </c>
      <c r="E719" s="4" t="s">
        <v>1334</v>
      </c>
      <c r="F719" s="4"/>
      <c r="G719" s="4"/>
      <c r="H719" s="4"/>
      <c r="I719" s="4" t="str">
        <f>IFERROR(__xludf.DUMMYFUNCTION("""COMPUTED_VALUE"""),"0x3a7d9c281bae8b67c951a28fb443c04d99cd03ef")</f>
        <v>0x3a7d9c281bae8b67c951a28fb443c04d99cd03ef</v>
      </c>
      <c r="J719" s="18">
        <v>381.3143374617136</v>
      </c>
      <c r="K719" s="4">
        <v>4766.42921827142</v>
      </c>
      <c r="L719" s="19">
        <v>4.76642921827142E21</v>
      </c>
      <c r="M719" s="20">
        <v>4.76642921827142E20</v>
      </c>
    </row>
    <row r="720">
      <c r="A720" s="6"/>
      <c r="B720" s="6"/>
      <c r="C720" s="4"/>
      <c r="D720" s="4">
        <v>28.742441123863</v>
      </c>
      <c r="E720" s="4" t="s">
        <v>1336</v>
      </c>
      <c r="F720" s="4"/>
      <c r="G720" s="4"/>
      <c r="H720" s="4"/>
      <c r="I720" s="4" t="str">
        <f>IFERROR(__xludf.DUMMYFUNCTION("""COMPUTED_VALUE"""),"0xd60627699b79d9481d32e934c7f740c2ab9f2fd7")</f>
        <v>0xd60627699b79d9481d32e934c7f740c2ab9f2fd7</v>
      </c>
      <c r="J720" s="18">
        <v>77.1065687234596</v>
      </c>
      <c r="K720" s="4">
        <v>963.832109043245</v>
      </c>
      <c r="L720" s="19">
        <v>9.63832109043245E20</v>
      </c>
      <c r="M720" s="20">
        <v>9.63832109043245E19</v>
      </c>
    </row>
    <row r="721">
      <c r="A721" s="6"/>
      <c r="B721" s="6"/>
      <c r="C721" s="4"/>
      <c r="D721" s="4">
        <v>0.499353762822534</v>
      </c>
      <c r="E721" s="4" t="s">
        <v>1338</v>
      </c>
      <c r="F721" s="4"/>
      <c r="G721" s="4"/>
      <c r="H721" s="4"/>
      <c r="I721" s="4" t="str">
        <f>IFERROR(__xludf.DUMMYFUNCTION("""COMPUTED_VALUE"""),"0xb1851e1e40ceea321d6e722764669979693a697b")</f>
        <v>0xb1851e1e40ceea321d6e722764669979693a697b</v>
      </c>
      <c r="J721" s="18">
        <v>0.499353762822534</v>
      </c>
      <c r="K721" s="4">
        <v>6.241922035281675</v>
      </c>
      <c r="L721" s="19">
        <v>6.241922035281675E18</v>
      </c>
      <c r="M721" s="20">
        <v>6.241922035281676E17</v>
      </c>
    </row>
    <row r="722">
      <c r="A722" s="6"/>
      <c r="B722" s="6"/>
      <c r="C722" s="4"/>
      <c r="D722" s="4">
        <v>0.0914941713662049</v>
      </c>
      <c r="E722" s="4" t="s">
        <v>1340</v>
      </c>
      <c r="F722" s="4"/>
      <c r="G722" s="4"/>
      <c r="H722" s="4"/>
      <c r="I722" s="4" t="str">
        <f>IFERROR(__xludf.DUMMYFUNCTION("""COMPUTED_VALUE"""),"0xb503aa768e0488ab5c3a87ad18efc148eeb8d8e7")</f>
        <v>0xb503aa768e0488ab5c3a87ad18efc148eeb8d8e7</v>
      </c>
      <c r="J722" s="18">
        <v>0.0914941713662049</v>
      </c>
      <c r="K722" s="4">
        <v>1.143677142077561</v>
      </c>
      <c r="L722" s="19">
        <v>1.1436771420775611E18</v>
      </c>
      <c r="M722" s="20">
        <v>1.1436771420775611E17</v>
      </c>
    </row>
    <row r="723">
      <c r="A723" s="6"/>
      <c r="B723" s="6"/>
      <c r="C723" s="4"/>
      <c r="D723" s="4">
        <v>47.279210955521</v>
      </c>
      <c r="E723" s="4" t="s">
        <v>1342</v>
      </c>
      <c r="F723" s="4"/>
      <c r="G723" s="4"/>
      <c r="H723" s="4"/>
      <c r="I723" s="4" t="str">
        <f>IFERROR(__xludf.DUMMYFUNCTION("""COMPUTED_VALUE"""),"0x89343733c5f3742e73b0c69b8bfd5c2ff6350e85")</f>
        <v>0x89343733c5f3742e73b0c69b8bfd5c2ff6350e85</v>
      </c>
      <c r="J723" s="18">
        <v>47.279210955521</v>
      </c>
      <c r="K723" s="4">
        <v>590.9901369440125</v>
      </c>
      <c r="L723" s="19">
        <v>5.909901369440126E20</v>
      </c>
      <c r="M723" s="20">
        <v>5.909901369440126E19</v>
      </c>
    </row>
    <row r="724">
      <c r="A724" s="6"/>
      <c r="B724" s="6"/>
      <c r="C724" s="4"/>
      <c r="D724" s="4">
        <v>2292.82221614238</v>
      </c>
      <c r="E724" s="4" t="s">
        <v>1344</v>
      </c>
      <c r="F724" s="4"/>
      <c r="G724" s="4"/>
      <c r="H724" s="4"/>
      <c r="I724" s="4" t="str">
        <f>IFERROR(__xludf.DUMMYFUNCTION("""COMPUTED_VALUE"""),"0x42b3d65094a75cb7daeff8d92737e8a31814c2e4")</f>
        <v>0x42b3d65094a75cb7daeff8d92737e8a31814c2e4</v>
      </c>
      <c r="J724" s="18">
        <v>2292.82221614238</v>
      </c>
      <c r="K724" s="4">
        <v>28660.27770177975</v>
      </c>
      <c r="L724" s="19">
        <v>2.866027770177975E22</v>
      </c>
      <c r="M724" s="20">
        <v>2.866027770177975E21</v>
      </c>
    </row>
    <row r="725">
      <c r="A725" s="6"/>
      <c r="B725" s="6"/>
      <c r="C725" s="4"/>
      <c r="D725" s="4">
        <v>27.010147221638203</v>
      </c>
      <c r="E725" s="4" t="s">
        <v>1346</v>
      </c>
      <c r="F725" s="4"/>
      <c r="G725" s="4"/>
      <c r="H725" s="4"/>
      <c r="I725" s="4" t="str">
        <f>IFERROR(__xludf.DUMMYFUNCTION("""COMPUTED_VALUE"""),"0x126d267951e8aec343a8d8388df328be0483a966")</f>
        <v>0x126d267951e8aec343a8d8388df328be0483a966</v>
      </c>
      <c r="J725" s="18">
        <v>27.010147221638203</v>
      </c>
      <c r="K725" s="4">
        <v>337.62684027047754</v>
      </c>
      <c r="L725" s="19">
        <v>3.376268402704775E20</v>
      </c>
      <c r="M725" s="20">
        <v>3.3762684027047756E19</v>
      </c>
    </row>
    <row r="726">
      <c r="A726" s="6"/>
      <c r="B726" s="6"/>
      <c r="C726" s="4"/>
      <c r="D726" s="4">
        <v>43.307893307102795</v>
      </c>
      <c r="E726" s="4" t="s">
        <v>1348</v>
      </c>
      <c r="F726" s="4"/>
      <c r="G726" s="4"/>
      <c r="H726" s="4"/>
      <c r="I726" s="4" t="str">
        <f>IFERROR(__xludf.DUMMYFUNCTION("""COMPUTED_VALUE"""),"0x862913627332799c632593382fde83f30a055b58")</f>
        <v>0x862913627332799c632593382fde83f30a055b58</v>
      </c>
      <c r="J726" s="18">
        <v>91.6720209066994</v>
      </c>
      <c r="K726" s="4">
        <v>1145.9002613337425</v>
      </c>
      <c r="L726" s="19">
        <v>1.1459002613337425E21</v>
      </c>
      <c r="M726" s="20">
        <v>1.1459002613337426E20</v>
      </c>
    </row>
    <row r="727">
      <c r="A727" s="6"/>
      <c r="B727" s="6"/>
      <c r="C727" s="4"/>
      <c r="D727" s="4">
        <v>5.51844190326251</v>
      </c>
      <c r="E727" s="4" t="s">
        <v>1350</v>
      </c>
      <c r="F727" s="4"/>
      <c r="G727" s="4"/>
      <c r="H727" s="4"/>
      <c r="I727" s="4" t="str">
        <f>IFERROR(__xludf.DUMMYFUNCTION("""COMPUTED_VALUE"""),"0x08d99689590b7dc01e4e5fa402ef69743cd9b3a5")</f>
        <v>0x08d99689590b7dc01e4e5fa402ef69743cd9b3a5</v>
      </c>
      <c r="J727" s="18">
        <v>5.51844190326251</v>
      </c>
      <c r="K727" s="4">
        <v>68.98052379078138</v>
      </c>
      <c r="L727" s="19">
        <v>6.8980523790781374E19</v>
      </c>
      <c r="M727" s="20">
        <v>6.898052379078138E18</v>
      </c>
    </row>
    <row r="728">
      <c r="A728" s="6"/>
      <c r="B728" s="6"/>
      <c r="C728" s="4"/>
      <c r="D728" s="4">
        <v>8.03443514620415</v>
      </c>
      <c r="E728" s="4" t="s">
        <v>1352</v>
      </c>
      <c r="F728" s="4"/>
      <c r="G728" s="4"/>
      <c r="H728" s="4"/>
      <c r="I728" s="4" t="str">
        <f>IFERROR(__xludf.DUMMYFUNCTION("""COMPUTED_VALUE"""),"0x1eea540ba85e7a55453e32de38712e95f9fa2edd")</f>
        <v>0x1eea540ba85e7a55453e32de38712e95f9fa2edd</v>
      </c>
      <c r="J728" s="18">
        <v>8.03443514620415</v>
      </c>
      <c r="K728" s="4">
        <v>100.43043932755187</v>
      </c>
      <c r="L728" s="19">
        <v>1.0043043932755186E20</v>
      </c>
      <c r="M728" s="20">
        <v>1.0043043932755188E19</v>
      </c>
    </row>
    <row r="729">
      <c r="A729" s="6"/>
      <c r="B729" s="6"/>
      <c r="C729" s="4"/>
      <c r="D729" s="4">
        <v>7.38072856943081</v>
      </c>
      <c r="E729" s="4" t="s">
        <v>1354</v>
      </c>
      <c r="F729" s="4"/>
      <c r="G729" s="4"/>
      <c r="H729" s="4"/>
      <c r="I729" s="4" t="str">
        <f>IFERROR(__xludf.DUMMYFUNCTION("""COMPUTED_VALUE"""),"0x418176bf9c4c7b644061ab17d89171a2987d421f")</f>
        <v>0x418176bf9c4c7b644061ab17d89171a2987d421f</v>
      </c>
      <c r="J729" s="18">
        <v>7.38072856943081</v>
      </c>
      <c r="K729" s="4">
        <v>92.25910711788512</v>
      </c>
      <c r="L729" s="19">
        <v>9.225910711788513E19</v>
      </c>
      <c r="M729" s="20">
        <v>9.225910711788513E18</v>
      </c>
    </row>
    <row r="730">
      <c r="A730" s="6"/>
      <c r="B730" s="6"/>
      <c r="C730" s="4"/>
      <c r="D730" s="4">
        <v>28.4019813364829</v>
      </c>
      <c r="E730" s="4" t="s">
        <v>1356</v>
      </c>
      <c r="F730" s="4"/>
      <c r="G730" s="4"/>
      <c r="H730" s="4"/>
      <c r="I730" s="4" t="str">
        <f>IFERROR(__xludf.DUMMYFUNCTION("""COMPUTED_VALUE"""),"0x7b62d6585f0666f5cfcbea5e09baa99133478a96")</f>
        <v>0x7b62d6585f0666f5cfcbea5e09baa99133478a96</v>
      </c>
      <c r="J730" s="18">
        <v>76.7661089360795</v>
      </c>
      <c r="K730" s="4">
        <v>959.5763617009937</v>
      </c>
      <c r="L730" s="19">
        <v>9.595763617009938E20</v>
      </c>
      <c r="M730" s="20">
        <v>9.59576361700994E19</v>
      </c>
    </row>
    <row r="731">
      <c r="A731" s="6"/>
      <c r="B731" s="6"/>
      <c r="C731" s="4"/>
      <c r="D731" s="4">
        <v>339.289999803128</v>
      </c>
      <c r="E731" s="4" t="s">
        <v>1358</v>
      </c>
      <c r="F731" s="4"/>
      <c r="G731" s="4"/>
      <c r="H731" s="4"/>
      <c r="I731" s="4" t="str">
        <f>IFERROR(__xludf.DUMMYFUNCTION("""COMPUTED_VALUE"""),"0x28082ab46d897fd953201387a296467ca0a3e242")</f>
        <v>0x28082ab46d897fd953201387a296467ca0a3e242</v>
      </c>
      <c r="J731" s="18">
        <v>573.6660876102246</v>
      </c>
      <c r="K731" s="4">
        <v>7170.826095127808</v>
      </c>
      <c r="L731" s="19">
        <v>7.170826095127808E21</v>
      </c>
      <c r="M731" s="20">
        <v>7.170826095127808E20</v>
      </c>
    </row>
    <row r="732">
      <c r="A732" s="6"/>
      <c r="B732" s="6"/>
      <c r="C732" s="4"/>
      <c r="D732" s="4">
        <v>0.217696530237871</v>
      </c>
      <c r="E732" s="4" t="s">
        <v>1360</v>
      </c>
      <c r="F732" s="4"/>
      <c r="G732" s="4"/>
      <c r="H732" s="4"/>
      <c r="I732" s="4" t="str">
        <f>IFERROR(__xludf.DUMMYFUNCTION("""COMPUTED_VALUE"""),"0x0dc57be5c1da9fd74ed4da7dc0407cb624623bd9")</f>
        <v>0x0dc57be5c1da9fd74ed4da7dc0407cb624623bd9</v>
      </c>
      <c r="J732" s="18">
        <v>0.523026493008802</v>
      </c>
      <c r="K732" s="4">
        <v>6.537831162610025</v>
      </c>
      <c r="L732" s="19">
        <v>6.537831162610024E18</v>
      </c>
      <c r="M732" s="20">
        <v>6.537831162610025E17</v>
      </c>
    </row>
    <row r="733">
      <c r="A733" s="6"/>
      <c r="B733" s="6"/>
      <c r="C733" s="4"/>
      <c r="D733" s="4">
        <v>35.3427083128258</v>
      </c>
      <c r="E733" s="4" t="s">
        <v>1362</v>
      </c>
      <c r="F733" s="4"/>
      <c r="G733" s="4"/>
      <c r="H733" s="4"/>
      <c r="I733" s="4" t="str">
        <f>IFERROR(__xludf.DUMMYFUNCTION("""COMPUTED_VALUE"""),"0x929834985e6d5c0657d251540d427b8a0ae111db")</f>
        <v>0x929834985e6d5c0657d251540d427b8a0ae111db</v>
      </c>
      <c r="J733" s="18">
        <v>170.1768489101762</v>
      </c>
      <c r="K733" s="4">
        <v>2127.2106113772024</v>
      </c>
      <c r="L733" s="19">
        <v>2.1272106113772025E21</v>
      </c>
      <c r="M733" s="20">
        <v>2.1272106113772028E20</v>
      </c>
    </row>
    <row r="734">
      <c r="A734" s="6"/>
      <c r="B734" s="6"/>
      <c r="C734" s="4"/>
      <c r="D734" s="4">
        <v>5.30140624692387</v>
      </c>
      <c r="E734" s="4" t="s">
        <v>1363</v>
      </c>
      <c r="F734" s="4"/>
      <c r="G734" s="4"/>
      <c r="H734" s="4"/>
      <c r="I734" s="4" t="str">
        <f>IFERROR(__xludf.DUMMYFUNCTION("""COMPUTED_VALUE"""),"0xbc979e5afd9d2e4f8ec00ed0e0fa2240ceb1819a")</f>
        <v>0xbc979e5afd9d2e4f8ec00ed0e0fa2240ceb1819a</v>
      </c>
      <c r="J734" s="18">
        <v>53.66553384652047</v>
      </c>
      <c r="K734" s="4">
        <v>670.8191730815058</v>
      </c>
      <c r="L734" s="19">
        <v>6.708191730815059E20</v>
      </c>
      <c r="M734" s="20">
        <v>6.708191730815059E19</v>
      </c>
    </row>
    <row r="735">
      <c r="A735" s="6"/>
      <c r="B735" s="6"/>
      <c r="C735" s="4"/>
      <c r="D735" s="4">
        <v>5.34067929924919</v>
      </c>
      <c r="E735" s="4" t="s">
        <v>1365</v>
      </c>
      <c r="F735" s="4"/>
      <c r="G735" s="4"/>
      <c r="H735" s="4"/>
      <c r="I735" s="4" t="str">
        <f>IFERROR(__xludf.DUMMYFUNCTION("""COMPUTED_VALUE"""),"0xc76734dbb69b0b3dc70084a4597d9d98c67fe235")</f>
        <v>0xc76734dbb69b0b3dc70084a4597d9d98c67fe235</v>
      </c>
      <c r="J735" s="18">
        <v>5.34067929924919</v>
      </c>
      <c r="K735" s="4">
        <v>66.75849124061487</v>
      </c>
      <c r="L735" s="19">
        <v>6.675849124061487E19</v>
      </c>
      <c r="M735" s="20">
        <v>6.675849124061487E18</v>
      </c>
    </row>
    <row r="736">
      <c r="A736" s="6"/>
      <c r="B736" s="6"/>
      <c r="C736" s="4"/>
      <c r="D736" s="4">
        <v>14.1370833251303</v>
      </c>
      <c r="E736" s="4" t="s">
        <v>1367</v>
      </c>
      <c r="F736" s="4"/>
      <c r="G736" s="4"/>
      <c r="H736" s="4"/>
      <c r="I736" s="4" t="str">
        <f>IFERROR(__xludf.DUMMYFUNCTION("""COMPUTED_VALUE"""),"0x1ddc617f9cb0965862c9b08b45cd59bcbcc55b97")</f>
        <v>0x1ddc617f9cb0965862c9b08b45cd59bcbcc55b97</v>
      </c>
      <c r="J736" s="18">
        <v>14.1370833251303</v>
      </c>
      <c r="K736" s="4">
        <v>176.71354156412875</v>
      </c>
      <c r="L736" s="19">
        <v>1.7671354156412876E20</v>
      </c>
      <c r="M736" s="20">
        <v>1.7671354156412877E19</v>
      </c>
    </row>
    <row r="737">
      <c r="A737" s="6"/>
      <c r="B737" s="6"/>
      <c r="C737" s="4"/>
      <c r="D737" s="4">
        <v>7.47274559182439</v>
      </c>
      <c r="E737" s="4" t="s">
        <v>1368</v>
      </c>
      <c r="F737" s="4"/>
      <c r="G737" s="4"/>
      <c r="H737" s="4"/>
      <c r="I737" s="4" t="str">
        <f>IFERROR(__xludf.DUMMYFUNCTION("""COMPUTED_VALUE"""),"0x3406d661e8c57b392c9948c0cb84c58e778c45ef")</f>
        <v>0x3406d661e8c57b392c9948c0cb84c58e778c45ef</v>
      </c>
      <c r="J737" s="18">
        <v>7.47274559182439</v>
      </c>
      <c r="K737" s="4">
        <v>93.40931989780488</v>
      </c>
      <c r="L737" s="19">
        <v>9.340931989780488E19</v>
      </c>
      <c r="M737" s="20">
        <v>9.340931989780488E18</v>
      </c>
    </row>
    <row r="738">
      <c r="A738" s="6"/>
      <c r="B738" s="6"/>
      <c r="C738" s="4"/>
      <c r="D738" s="4">
        <v>188.123011342427</v>
      </c>
      <c r="E738" s="4" t="s">
        <v>1370</v>
      </c>
      <c r="F738" s="4"/>
      <c r="G738" s="4"/>
      <c r="H738" s="4"/>
      <c r="I738" s="4" t="str">
        <f>IFERROR(__xludf.DUMMYFUNCTION("""COMPUTED_VALUE"""),"0x24367230cbf6eda8fa35773f07dbbc2b3214b851")</f>
        <v>0x24367230cbf6eda8fa35773f07dbbc2b3214b851</v>
      </c>
      <c r="J738" s="18">
        <v>421.5073107362966</v>
      </c>
      <c r="K738" s="4">
        <v>5268.841384203707</v>
      </c>
      <c r="L738" s="19">
        <v>5.268841384203707E21</v>
      </c>
      <c r="M738" s="20">
        <v>5.268841384203707E20</v>
      </c>
    </row>
    <row r="739">
      <c r="A739" s="6"/>
      <c r="B739" s="6"/>
      <c r="C739" s="4"/>
      <c r="D739" s="4">
        <v>0.329228212357165</v>
      </c>
      <c r="E739" s="4" t="s">
        <v>1372</v>
      </c>
      <c r="F739" s="4"/>
      <c r="G739" s="4"/>
      <c r="H739" s="4"/>
      <c r="I739" s="4" t="str">
        <f>IFERROR(__xludf.DUMMYFUNCTION("""COMPUTED_VALUE"""),"0x3607d9c44ecace1f2fbfd7360cc1112bed30f4e2")</f>
        <v>0x3607d9c44ecace1f2fbfd7360cc1112bed30f4e2</v>
      </c>
      <c r="J739" s="18">
        <v>48.693355811953765</v>
      </c>
      <c r="K739" s="4">
        <v>608.666947649422</v>
      </c>
      <c r="L739" s="19">
        <v>6.08666947649422E20</v>
      </c>
      <c r="M739" s="20">
        <v>6.08666947649422E19</v>
      </c>
    </row>
    <row r="740">
      <c r="A740" s="6"/>
      <c r="B740" s="6"/>
      <c r="C740" s="4"/>
      <c r="D740" s="4">
        <v>14.1370833251303</v>
      </c>
      <c r="E740" s="4" t="s">
        <v>1374</v>
      </c>
      <c r="F740" s="4"/>
      <c r="G740" s="4"/>
      <c r="H740" s="4"/>
      <c r="I740" s="4" t="str">
        <f>IFERROR(__xludf.DUMMYFUNCTION("""COMPUTED_VALUE"""),"0x1f355cd1ecb10fedd43da9f086c6f9b01ce0a201")</f>
        <v>0x1f355cd1ecb10fedd43da9f086c6f9b01ce0a201</v>
      </c>
      <c r="J740" s="18">
        <v>14.1370833251303</v>
      </c>
      <c r="K740" s="4">
        <v>176.71354156412875</v>
      </c>
      <c r="L740" s="19">
        <v>1.7671354156412876E20</v>
      </c>
      <c r="M740" s="20">
        <v>1.7671354156412877E19</v>
      </c>
    </row>
    <row r="741">
      <c r="A741" s="6"/>
      <c r="B741" s="6"/>
      <c r="C741" s="4"/>
      <c r="D741" s="4">
        <v>35.4840791460771</v>
      </c>
      <c r="E741" s="4" t="s">
        <v>1375</v>
      </c>
      <c r="F741" s="4"/>
      <c r="G741" s="4"/>
      <c r="H741" s="4"/>
      <c r="I741" s="4" t="str">
        <f>IFERROR(__xludf.DUMMYFUNCTION("""COMPUTED_VALUE"""),"0x32899696c49bd46bbf5d3f585eeeb801eb63db47")</f>
        <v>0x32899696c49bd46bbf5d3f585eeeb801eb63db47</v>
      </c>
      <c r="J741" s="18">
        <v>35.4840791460771</v>
      </c>
      <c r="K741" s="4">
        <v>443.55098932596377</v>
      </c>
      <c r="L741" s="19">
        <v>4.4355098932596376E20</v>
      </c>
      <c r="M741" s="20">
        <v>4.4355098932596376E19</v>
      </c>
    </row>
    <row r="742">
      <c r="A742" s="6"/>
      <c r="B742" s="6"/>
      <c r="C742" s="4"/>
      <c r="D742" s="4">
        <v>0.706854166256517</v>
      </c>
      <c r="E742" s="4" t="s">
        <v>1376</v>
      </c>
      <c r="F742" s="4"/>
      <c r="G742" s="4"/>
      <c r="H742" s="4"/>
      <c r="I742" s="4" t="str">
        <f>IFERROR(__xludf.DUMMYFUNCTION("""COMPUTED_VALUE"""),"0xe3be60e286afc3e9655939d2c37a2f377db89da5")</f>
        <v>0xe3be60e286afc3e9655939d2c37a2f377db89da5</v>
      </c>
      <c r="J742" s="18">
        <v>50.93110136792812</v>
      </c>
      <c r="K742" s="4">
        <v>636.6387670991015</v>
      </c>
      <c r="L742" s="19">
        <v>6.366387670991016E20</v>
      </c>
      <c r="M742" s="20">
        <v>6.366387670991016E19</v>
      </c>
    </row>
    <row r="743">
      <c r="A743" s="6"/>
      <c r="B743" s="6"/>
      <c r="C743" s="4"/>
      <c r="D743" s="4">
        <v>7.0928652048812</v>
      </c>
      <c r="E743" s="4" t="s">
        <v>1377</v>
      </c>
      <c r="F743" s="4"/>
      <c r="G743" s="4"/>
      <c r="H743" s="4"/>
      <c r="I743" s="4" t="str">
        <f>IFERROR(__xludf.DUMMYFUNCTION("""COMPUTED_VALUE"""),"0xf5a31bb913255f288d3e2a185c45e203bcd86d4e")</f>
        <v>0xf5a31bb913255f288d3e2a185c45e203bcd86d4e</v>
      </c>
      <c r="J743" s="18">
        <v>7.0928652048812</v>
      </c>
      <c r="K743" s="4">
        <v>88.660815061015</v>
      </c>
      <c r="L743" s="19">
        <v>8.8660815061015E19</v>
      </c>
      <c r="M743" s="20">
        <v>8.866081506101501E18</v>
      </c>
    </row>
    <row r="744">
      <c r="A744" s="6"/>
      <c r="B744" s="6"/>
      <c r="C744" s="4"/>
      <c r="D744" s="4">
        <v>126.90551071397799</v>
      </c>
      <c r="E744" s="4" t="s">
        <v>1379</v>
      </c>
      <c r="F744" s="4"/>
      <c r="G744" s="4"/>
      <c r="H744" s="4"/>
      <c r="I744" s="4" t="str">
        <f>IFERROR(__xludf.DUMMYFUNCTION("""COMPUTED_VALUE"""),"0xe4765356396d280de0690cd763a4612a44778bba")</f>
        <v>0xe4765356396d280de0690cd763a4612a44778bba</v>
      </c>
      <c r="J744" s="18">
        <v>126.90551071397799</v>
      </c>
      <c r="K744" s="4">
        <v>1586.3188839247248</v>
      </c>
      <c r="L744" s="19">
        <v>1.5863188839247247E21</v>
      </c>
      <c r="M744" s="20">
        <v>1.5863188839247246E20</v>
      </c>
    </row>
    <row r="745">
      <c r="A745" s="6"/>
      <c r="B745" s="6"/>
      <c r="C745" s="4"/>
      <c r="D745" s="4">
        <v>1.8389407132579898</v>
      </c>
      <c r="E745" s="4" t="s">
        <v>1381</v>
      </c>
      <c r="F745" s="4"/>
      <c r="G745" s="4"/>
      <c r="H745" s="4"/>
      <c r="I745" s="4" t="str">
        <f>IFERROR(__xludf.DUMMYFUNCTION("""COMPUTED_VALUE"""),"0xbf732026eb6b408860a7a8ae7c46c835631c1328")</f>
        <v>0xbf732026eb6b408860a7a8ae7c46c835631c1328</v>
      </c>
      <c r="J745" s="18">
        <v>1.8389407132579898</v>
      </c>
      <c r="K745" s="4">
        <v>22.986758915724874</v>
      </c>
      <c r="L745" s="19">
        <v>2.2986758915724874E19</v>
      </c>
      <c r="M745" s="20">
        <v>2.2986758915724874E18</v>
      </c>
    </row>
    <row r="746">
      <c r="A746" s="6"/>
      <c r="B746" s="6"/>
      <c r="C746" s="4"/>
      <c r="D746" s="4">
        <v>7.0685416625651705</v>
      </c>
      <c r="E746" s="4" t="s">
        <v>1383</v>
      </c>
      <c r="F746" s="4"/>
      <c r="G746" s="4"/>
      <c r="H746" s="4"/>
      <c r="I746" s="4" t="str">
        <f>IFERROR(__xludf.DUMMYFUNCTION("""COMPUTED_VALUE"""),"0xdb431b724e0effe13ce83705ce9893943719a169")</f>
        <v>0xdb431b724e0effe13ce83705ce9893943719a169</v>
      </c>
      <c r="J746" s="18">
        <v>55.43266926216177</v>
      </c>
      <c r="K746" s="4">
        <v>692.908365777022</v>
      </c>
      <c r="L746" s="19">
        <v>6.929083657770221E20</v>
      </c>
      <c r="M746" s="20">
        <v>6.9290836577702216E19</v>
      </c>
    </row>
    <row r="747">
      <c r="A747" s="6"/>
      <c r="B747" s="6"/>
      <c r="C747" s="4"/>
      <c r="D747" s="4">
        <v>7.0685416625651705</v>
      </c>
      <c r="E747" s="4" t="s">
        <v>1384</v>
      </c>
      <c r="F747" s="4"/>
      <c r="G747" s="4"/>
      <c r="H747" s="4"/>
      <c r="I747" s="4" t="str">
        <f>IFERROR(__xludf.DUMMYFUNCTION("""COMPUTED_VALUE"""),"0x082e7ba53d71ae254211fb1ecde2ecdf12517494")</f>
        <v>0x082e7ba53d71ae254211fb1ecde2ecdf12517494</v>
      </c>
      <c r="J747" s="18">
        <v>7.0685416625651705</v>
      </c>
      <c r="K747" s="4">
        <v>88.35677078206463</v>
      </c>
      <c r="L747" s="19">
        <v>8.835677078206462E19</v>
      </c>
      <c r="M747" s="20">
        <v>8.835677078206463E18</v>
      </c>
    </row>
    <row r="748">
      <c r="A748" s="6"/>
      <c r="B748" s="6"/>
      <c r="C748" s="4"/>
      <c r="D748" s="4">
        <v>1.6340541007471</v>
      </c>
      <c r="E748" s="4" t="s">
        <v>1385</v>
      </c>
      <c r="F748" s="4"/>
      <c r="G748" s="4"/>
      <c r="H748" s="4"/>
      <c r="I748" s="4" t="str">
        <f>IFERROR(__xludf.DUMMYFUNCTION("""COMPUTED_VALUE"""),"0x4500f092ef9d4831042a3a912091d2017df407ba")</f>
        <v>0x4500f092ef9d4831042a3a912091d2017df407ba</v>
      </c>
      <c r="J748" s="18">
        <v>1.6340541007471</v>
      </c>
      <c r="K748" s="4">
        <v>20.425676259338747</v>
      </c>
      <c r="L748" s="19">
        <v>2.0425676259338748E19</v>
      </c>
      <c r="M748" s="20">
        <v>2.042567625933875E18</v>
      </c>
    </row>
    <row r="749">
      <c r="A749" s="6"/>
      <c r="B749" s="6"/>
      <c r="C749" s="4"/>
      <c r="D749" s="4">
        <v>23.350436588131</v>
      </c>
      <c r="E749" s="4" t="s">
        <v>1387</v>
      </c>
      <c r="F749" s="4"/>
      <c r="G749" s="4"/>
      <c r="H749" s="4"/>
      <c r="I749" s="4" t="str">
        <f>IFERROR(__xludf.DUMMYFUNCTION("""COMPUTED_VALUE"""),"0x9cb5932b08b36ccf100fd3d048a896f3efe449bd")</f>
        <v>0x9cb5932b08b36ccf100fd3d048a896f3efe449bd</v>
      </c>
      <c r="J749" s="18">
        <v>23.350436588131</v>
      </c>
      <c r="K749" s="4">
        <v>291.8804573516375</v>
      </c>
      <c r="L749" s="19">
        <v>2.9188045735163753E20</v>
      </c>
      <c r="M749" s="20">
        <v>2.9188045735163757E19</v>
      </c>
    </row>
    <row r="750">
      <c r="A750" s="6"/>
      <c r="B750" s="6"/>
      <c r="C750" s="4"/>
      <c r="D750" s="4">
        <v>23.6894947238982</v>
      </c>
      <c r="E750" s="4" t="s">
        <v>1389</v>
      </c>
      <c r="F750" s="4"/>
      <c r="G750" s="4"/>
      <c r="H750" s="4"/>
      <c r="I750" s="4" t="str">
        <f>IFERROR(__xludf.DUMMYFUNCTION("""COMPUTED_VALUE"""),"0x4e8457382c98d10a3331008c8ed2b992455a47f9")</f>
        <v>0x4e8457382c98d10a3331008c8ed2b992455a47f9</v>
      </c>
      <c r="J750" s="18">
        <v>95.32417145285379</v>
      </c>
      <c r="K750" s="4">
        <v>1191.5521431606724</v>
      </c>
      <c r="L750" s="19">
        <v>1.1915521431606723E21</v>
      </c>
      <c r="M750" s="20">
        <v>1.1915521431606723E20</v>
      </c>
    </row>
    <row r="751">
      <c r="A751" s="6"/>
      <c r="B751" s="6"/>
      <c r="C751" s="4"/>
      <c r="D751" s="4">
        <v>5.50602972110316</v>
      </c>
      <c r="E751" s="4" t="s">
        <v>1391</v>
      </c>
      <c r="F751" s="4"/>
      <c r="G751" s="4"/>
      <c r="H751" s="4"/>
      <c r="I751" s="4" t="str">
        <f>IFERROR(__xludf.DUMMYFUNCTION("""COMPUTED_VALUE"""),"0xd37ebdc145a5b0987cf5e1ee22c1989a7353a3e0")</f>
        <v>0xd37ebdc145a5b0987cf5e1ee22c1989a7353a3e0</v>
      </c>
      <c r="J751" s="18">
        <v>53.87015732069976</v>
      </c>
      <c r="K751" s="4">
        <v>673.376966508747</v>
      </c>
      <c r="L751" s="19">
        <v>6.73376966508747E20</v>
      </c>
      <c r="M751" s="20">
        <v>6.733769665087471E19</v>
      </c>
    </row>
    <row r="752">
      <c r="A752" s="6"/>
      <c r="B752" s="6"/>
      <c r="C752" s="4"/>
      <c r="D752" s="4">
        <v>32.0271797611791</v>
      </c>
      <c r="E752" s="4" t="s">
        <v>1393</v>
      </c>
      <c r="F752" s="4"/>
      <c r="G752" s="4"/>
      <c r="H752" s="4"/>
      <c r="I752" s="4" t="str">
        <f>IFERROR(__xludf.DUMMYFUNCTION("""COMPUTED_VALUE"""),"0xfdb87c1ddd7d705716c1ce1f3527373a11ae4e2d")</f>
        <v>0xfdb87c1ddd7d705716c1ce1f3527373a11ae4e2d</v>
      </c>
      <c r="J752" s="18">
        <v>68.5126976005661</v>
      </c>
      <c r="K752" s="4">
        <v>856.4087200070762</v>
      </c>
      <c r="L752" s="19">
        <v>8.564087200070762E20</v>
      </c>
      <c r="M752" s="20">
        <v>8.564087200070762E19</v>
      </c>
    </row>
    <row r="753">
      <c r="A753" s="6"/>
      <c r="B753" s="6"/>
      <c r="C753" s="4"/>
      <c r="D753" s="4">
        <v>7.0685416625651705</v>
      </c>
      <c r="E753" s="4" t="s">
        <v>1395</v>
      </c>
      <c r="F753" s="4"/>
      <c r="G753" s="4"/>
      <c r="H753" s="4"/>
      <c r="I753" s="4" t="str">
        <f>IFERROR(__xludf.DUMMYFUNCTION("""COMPUTED_VALUE"""),"0x59b42a128d7306f8e687f989fd05286fe01db62d")</f>
        <v>0x59b42a128d7306f8e687f989fd05286fe01db62d</v>
      </c>
      <c r="J753" s="18">
        <v>7.0685416625651705</v>
      </c>
      <c r="K753" s="4">
        <v>88.35677078206463</v>
      </c>
      <c r="L753" s="19">
        <v>8.835677078206462E19</v>
      </c>
      <c r="M753" s="20">
        <v>8.835677078206463E18</v>
      </c>
    </row>
    <row r="754">
      <c r="A754" s="6"/>
      <c r="B754" s="6"/>
      <c r="C754" s="4"/>
      <c r="D754" s="4">
        <v>7.13661508594618</v>
      </c>
      <c r="E754" s="4" t="s">
        <v>1396</v>
      </c>
      <c r="F754" s="4"/>
      <c r="G754" s="4"/>
      <c r="H754" s="4"/>
      <c r="I754" s="4" t="str">
        <f>IFERROR(__xludf.DUMMYFUNCTION("""COMPUTED_VALUE"""),"0x87544168767272a37445b683a2e1aa192428b332")</f>
        <v>0x87544168767272a37445b683a2e1aa192428b332</v>
      </c>
      <c r="J754" s="18">
        <v>7.13661508594618</v>
      </c>
      <c r="K754" s="4">
        <v>89.20768857432725</v>
      </c>
      <c r="L754" s="19">
        <v>8.920768857432724E19</v>
      </c>
      <c r="M754" s="20">
        <v>8.920768857432724E18</v>
      </c>
    </row>
    <row r="755">
      <c r="A755" s="6"/>
      <c r="B755" s="6"/>
      <c r="C755" s="4"/>
      <c r="D755" s="4">
        <v>0.805426078742914</v>
      </c>
      <c r="E755" s="4" t="s">
        <v>1398</v>
      </c>
      <c r="F755" s="4"/>
      <c r="G755" s="4"/>
      <c r="H755" s="4"/>
      <c r="I755" s="4" t="str">
        <f>IFERROR(__xludf.DUMMYFUNCTION("""COMPUTED_VALUE"""),"0x658e39693d461babdffb3d06d719379aede52c60")</f>
        <v>0x658e39693d461babdffb3d06d719379aede52c60</v>
      </c>
      <c r="J755" s="18">
        <v>0.805426078742914</v>
      </c>
      <c r="K755" s="4">
        <v>10.067825984286426</v>
      </c>
      <c r="L755" s="19">
        <v>1.0067825984286425E19</v>
      </c>
      <c r="M755" s="20">
        <v>1.0067825984286426E18</v>
      </c>
    </row>
    <row r="756">
      <c r="A756" s="6"/>
      <c r="B756" s="6"/>
      <c r="C756" s="4"/>
      <c r="D756" s="4">
        <v>7.4997698143981095</v>
      </c>
      <c r="E756" s="4" t="s">
        <v>1400</v>
      </c>
      <c r="F756" s="4"/>
      <c r="G756" s="4"/>
      <c r="H756" s="4"/>
      <c r="I756" s="4" t="str">
        <f>IFERROR(__xludf.DUMMYFUNCTION("""COMPUTED_VALUE"""),"0xa17232fe4e7f2a4f918d9a4b2071ed7f794cbff0")</f>
        <v>0xa17232fe4e7f2a4f918d9a4b2071ed7f794cbff0</v>
      </c>
      <c r="J756" s="18">
        <v>7.4997698143981095</v>
      </c>
      <c r="K756" s="4">
        <v>93.74712267997637</v>
      </c>
      <c r="L756" s="19">
        <v>9.374712267997638E19</v>
      </c>
      <c r="M756" s="20">
        <v>9.374712267997639E18</v>
      </c>
    </row>
    <row r="757">
      <c r="A757" s="6"/>
      <c r="B757" s="6"/>
      <c r="C757" s="4"/>
      <c r="D757" s="4">
        <v>6.34683823036776</v>
      </c>
      <c r="E757" s="4" t="s">
        <v>1402</v>
      </c>
      <c r="F757" s="4"/>
      <c r="G757" s="4"/>
      <c r="H757" s="4"/>
      <c r="I757" s="4" t="str">
        <f>IFERROR(__xludf.DUMMYFUNCTION("""COMPUTED_VALUE"""),"0x5da16ecaca2b587e9bde1e0cefd73cee7c2303f7")</f>
        <v>0x5da16ecaca2b587e9bde1e0cefd73cee7c2303f7</v>
      </c>
      <c r="J757" s="18">
        <v>6.34683823036776</v>
      </c>
      <c r="K757" s="4">
        <v>79.33547787959701</v>
      </c>
      <c r="L757" s="19">
        <v>7.9335477879597E19</v>
      </c>
      <c r="M757" s="20">
        <v>7.933547787959702E18</v>
      </c>
    </row>
    <row r="758">
      <c r="A758" s="6"/>
      <c r="B758" s="6"/>
      <c r="C758" s="4"/>
      <c r="D758" s="4">
        <v>21.7762045297278</v>
      </c>
      <c r="E758" s="4" t="s">
        <v>1404</v>
      </c>
      <c r="F758" s="4"/>
      <c r="G758" s="4"/>
      <c r="H758" s="4"/>
      <c r="I758" s="4" t="str">
        <f>IFERROR(__xludf.DUMMYFUNCTION("""COMPUTED_VALUE"""),"0xf07b6c62acfbc7f65e04719f8c8c85aa278b62b4")</f>
        <v>0xf07b6c62acfbc7f65e04719f8c8c85aa278b62b4</v>
      </c>
      <c r="J758" s="18">
        <v>21.7762045297278</v>
      </c>
      <c r="K758" s="4">
        <v>272.20255662159747</v>
      </c>
      <c r="L758" s="19">
        <v>2.7220255662159747E20</v>
      </c>
      <c r="M758" s="20">
        <v>2.722025566215975E19</v>
      </c>
    </row>
    <row r="759">
      <c r="A759" s="6"/>
      <c r="B759" s="6"/>
      <c r="C759" s="4"/>
      <c r="D759" s="4">
        <v>7.0685416625651705</v>
      </c>
      <c r="E759" s="4" t="s">
        <v>1406</v>
      </c>
      <c r="F759" s="4"/>
      <c r="G759" s="4"/>
      <c r="H759" s="4"/>
      <c r="I759" s="4" t="str">
        <f>IFERROR(__xludf.DUMMYFUNCTION("""COMPUTED_VALUE"""),"0xef0c3b671f2fcb690a7948fbfa59640ab713eb7d")</f>
        <v>0xef0c3b671f2fcb690a7948fbfa59640ab713eb7d</v>
      </c>
      <c r="J759" s="18">
        <v>7.0685416625651705</v>
      </c>
      <c r="K759" s="4">
        <v>88.35677078206463</v>
      </c>
      <c r="L759" s="19">
        <v>8.835677078206462E19</v>
      </c>
      <c r="M759" s="20">
        <v>8.835677078206463E18</v>
      </c>
    </row>
    <row r="760">
      <c r="A760" s="6"/>
      <c r="B760" s="6"/>
      <c r="C760" s="4"/>
      <c r="D760" s="4">
        <v>14.1370833251303</v>
      </c>
      <c r="E760" s="4" t="s">
        <v>1407</v>
      </c>
      <c r="F760" s="4"/>
      <c r="G760" s="4"/>
      <c r="H760" s="4"/>
      <c r="I760" s="4" t="str">
        <f>IFERROR(__xludf.DUMMYFUNCTION("""COMPUTED_VALUE"""),"0x5e8b528c8638b17e97be072088a63426cd1a29f8")</f>
        <v>0x5e8b528c8638b17e97be072088a63426cd1a29f8</v>
      </c>
      <c r="J760" s="18">
        <v>20.50652606153274</v>
      </c>
      <c r="K760" s="4">
        <v>256.33157576915926</v>
      </c>
      <c r="L760" s="19">
        <v>2.5633157576915927E20</v>
      </c>
      <c r="M760" s="20">
        <v>2.5633157576915927E19</v>
      </c>
    </row>
    <row r="761">
      <c r="A761" s="6"/>
      <c r="B761" s="6"/>
      <c r="C761" s="4"/>
      <c r="D761" s="4">
        <v>18.9254175600182</v>
      </c>
      <c r="E761" s="4" t="s">
        <v>1408</v>
      </c>
      <c r="F761" s="4"/>
      <c r="G761" s="4"/>
      <c r="H761" s="4"/>
      <c r="I761" s="4" t="str">
        <f>IFERROR(__xludf.DUMMYFUNCTION("""COMPUTED_VALUE"""),"0xfdee0dd74083a6c140a72f3482a56dd29ab30c7f")</f>
        <v>0xfdee0dd74083a6c140a72f3482a56dd29ab30c7f</v>
      </c>
      <c r="J761" s="18">
        <v>18.9254175600182</v>
      </c>
      <c r="K761" s="4">
        <v>236.5677195002275</v>
      </c>
      <c r="L761" s="19">
        <v>2.365677195002275E20</v>
      </c>
      <c r="M761" s="20">
        <v>2.3656771950022754E19</v>
      </c>
    </row>
    <row r="762">
      <c r="A762" s="6"/>
      <c r="B762" s="6"/>
      <c r="C762" s="4"/>
      <c r="D762" s="4">
        <v>9.9493988800174</v>
      </c>
      <c r="E762" s="4" t="s">
        <v>1410</v>
      </c>
      <c r="F762" s="4"/>
      <c r="G762" s="4"/>
      <c r="H762" s="4"/>
      <c r="I762" s="4" t="str">
        <f>IFERROR(__xludf.DUMMYFUNCTION("""COMPUTED_VALUE"""),"0xdebdbd57a7f6745ce760ef1c01c4a72c93730576")</f>
        <v>0xdebdbd57a7f6745ce760ef1c01c4a72c93730576</v>
      </c>
      <c r="J762" s="18">
        <v>9.9493988800174</v>
      </c>
      <c r="K762" s="4">
        <v>124.3674860002175</v>
      </c>
      <c r="L762" s="19">
        <v>1.2436748600021749E20</v>
      </c>
      <c r="M762" s="20">
        <v>1.243674860002175E19</v>
      </c>
    </row>
    <row r="763">
      <c r="A763" s="6"/>
      <c r="B763" s="6"/>
      <c r="C763" s="4"/>
      <c r="D763" s="4">
        <v>148.464273135124</v>
      </c>
      <c r="E763" s="4" t="s">
        <v>1412</v>
      </c>
      <c r="F763" s="4"/>
      <c r="G763" s="4"/>
      <c r="H763" s="4"/>
      <c r="I763" s="4" t="str">
        <f>IFERROR(__xludf.DUMMYFUNCTION("""COMPUTED_VALUE"""),"0x5b24e36e499c500df9ed0eb0f84b992800c9e118")</f>
        <v>0x5b24e36e499c500df9ed0eb0f84b992800c9e118</v>
      </c>
      <c r="J763" s="18">
        <v>382.84036094222057</v>
      </c>
      <c r="K763" s="4">
        <v>4785.504511777757</v>
      </c>
      <c r="L763" s="19">
        <v>4.785504511777757E21</v>
      </c>
      <c r="M763" s="20">
        <v>4.7855045117777576E20</v>
      </c>
    </row>
    <row r="764">
      <c r="A764" s="6"/>
      <c r="B764" s="6"/>
      <c r="C764" s="4"/>
      <c r="D764" s="4">
        <v>115.25211952154899</v>
      </c>
      <c r="E764" s="4" t="s">
        <v>1414</v>
      </c>
      <c r="F764" s="4"/>
      <c r="G764" s="4"/>
      <c r="H764" s="4"/>
      <c r="I764" s="4" t="str">
        <f>IFERROR(__xludf.DUMMYFUNCTION("""COMPUTED_VALUE"""),"0x96623d684e0d42914ba0d467cecd135268285ac9")</f>
        <v>0x96623d684e0d42914ba0d467cecd135268285ac9</v>
      </c>
      <c r="J764" s="18">
        <v>115.25211952154899</v>
      </c>
      <c r="K764" s="4">
        <v>1440.6514940193624</v>
      </c>
      <c r="L764" s="19">
        <v>1.4406514940193625E21</v>
      </c>
      <c r="M764" s="20">
        <v>1.4406514940193625E20</v>
      </c>
    </row>
    <row r="765">
      <c r="A765" s="6"/>
      <c r="B765" s="6"/>
      <c r="C765" s="4"/>
      <c r="D765" s="4">
        <v>9.61604407761228</v>
      </c>
      <c r="E765" s="4" t="s">
        <v>1416</v>
      </c>
      <c r="F765" s="4"/>
      <c r="G765" s="4"/>
      <c r="H765" s="4"/>
      <c r="I765" s="4" t="str">
        <f>IFERROR(__xludf.DUMMYFUNCTION("""COMPUTED_VALUE"""),"0xa87a0af040acf05f99001962002f94bef83d1180")</f>
        <v>0xa87a0af040acf05f99001962002f94bef83d1180</v>
      </c>
      <c r="J765" s="18">
        <v>9.61604407761228</v>
      </c>
      <c r="K765" s="4">
        <v>120.2005509701535</v>
      </c>
      <c r="L765" s="19">
        <v>1.202005509701535E20</v>
      </c>
      <c r="M765" s="20">
        <v>1.2020055097015351E19</v>
      </c>
    </row>
    <row r="766">
      <c r="A766" s="6"/>
      <c r="B766" s="6"/>
      <c r="C766" s="4"/>
      <c r="D766" s="4">
        <v>7.45576937162667</v>
      </c>
      <c r="E766" s="4" t="s">
        <v>1418</v>
      </c>
      <c r="F766" s="4"/>
      <c r="G766" s="4"/>
      <c r="H766" s="4"/>
      <c r="I766" s="4" t="str">
        <f>IFERROR(__xludf.DUMMYFUNCTION("""COMPUTED_VALUE"""),"0x6122960fdd3ef59df1019d76cd9bf656f0c3f9d1")</f>
        <v>0x6122960fdd3ef59df1019d76cd9bf656f0c3f9d1</v>
      </c>
      <c r="J766" s="18">
        <v>55.81989697122327</v>
      </c>
      <c r="K766" s="4">
        <v>697.7487121402909</v>
      </c>
      <c r="L766" s="19">
        <v>6.977487121402909E20</v>
      </c>
      <c r="M766" s="20">
        <v>6.9774871214029095E19</v>
      </c>
    </row>
    <row r="767">
      <c r="A767" s="6"/>
      <c r="B767" s="6"/>
      <c r="C767" s="4"/>
      <c r="D767" s="4">
        <v>35.7456309599118</v>
      </c>
      <c r="E767" s="4" t="s">
        <v>1420</v>
      </c>
      <c r="F767" s="4"/>
      <c r="G767" s="4"/>
      <c r="H767" s="4"/>
      <c r="I767" s="4" t="str">
        <f>IFERROR(__xludf.DUMMYFUNCTION("""COMPUTED_VALUE"""),"0x0b0c1a5b0a424039c4ec57cd248dbb05ee19612d")</f>
        <v>0x0b0c1a5b0a424039c4ec57cd248dbb05ee19612d</v>
      </c>
      <c r="J767" s="18">
        <v>221.7575911674118</v>
      </c>
      <c r="K767" s="4">
        <v>2771.969889592647</v>
      </c>
      <c r="L767" s="19">
        <v>2.771969889592647E21</v>
      </c>
      <c r="M767" s="20">
        <v>2.7719698895926474E20</v>
      </c>
    </row>
    <row r="768">
      <c r="A768" s="6"/>
      <c r="B768" s="6"/>
      <c r="C768" s="4"/>
      <c r="D768" s="4">
        <v>0.435743983377438</v>
      </c>
      <c r="E768" s="4" t="s">
        <v>1422</v>
      </c>
      <c r="F768" s="4"/>
      <c r="G768" s="4"/>
      <c r="H768" s="4"/>
      <c r="I768" s="4" t="str">
        <f>IFERROR(__xludf.DUMMYFUNCTION("""COMPUTED_VALUE"""),"0xf3a0fe4a61c23e712146dfd529aa0f97849c166b")</f>
        <v>0xf3a0fe4a61c23e712146dfd529aa0f97849c166b</v>
      </c>
      <c r="J768" s="18">
        <v>0.5408397433633211</v>
      </c>
      <c r="K768" s="4">
        <v>6.760496792041513</v>
      </c>
      <c r="L768" s="19">
        <v>6.760496792041513E18</v>
      </c>
      <c r="M768" s="20">
        <v>6.760496792041513E17</v>
      </c>
    </row>
    <row r="769">
      <c r="A769" s="6"/>
      <c r="B769" s="6"/>
      <c r="C769" s="4"/>
      <c r="D769" s="4">
        <v>46.8007443175835</v>
      </c>
      <c r="E769" s="4" t="s">
        <v>1424</v>
      </c>
      <c r="F769" s="4"/>
      <c r="G769" s="4"/>
      <c r="H769" s="4"/>
      <c r="I769" s="4" t="str">
        <f>IFERROR(__xludf.DUMMYFUNCTION("""COMPUTED_VALUE"""),"0xbec7242525ccaac7848a02bc8f1d95f81d434a66")</f>
        <v>0xbec7242525ccaac7848a02bc8f1d95f81d434a66</v>
      </c>
      <c r="J769" s="18">
        <v>92.593634195267</v>
      </c>
      <c r="K769" s="4">
        <v>1157.4204274408376</v>
      </c>
      <c r="L769" s="19">
        <v>1.1574204274408375E21</v>
      </c>
      <c r="M769" s="20">
        <v>1.1574204274408376E20</v>
      </c>
    </row>
    <row r="770">
      <c r="A770" s="6"/>
      <c r="B770" s="6"/>
      <c r="C770" s="4"/>
      <c r="D770" s="4">
        <v>7.096809289824789</v>
      </c>
      <c r="E770" s="4" t="s">
        <v>1426</v>
      </c>
      <c r="F770" s="4"/>
      <c r="G770" s="4"/>
      <c r="H770" s="4"/>
      <c r="I770" s="4" t="str">
        <f>IFERROR(__xludf.DUMMYFUNCTION("""COMPUTED_VALUE"""),"0xdf145e07ebd067d97cdd4ecd646b2d6e6c1827a8")</f>
        <v>0xdf145e07ebd067d97cdd4ecd646b2d6e6c1827a8</v>
      </c>
      <c r="J770" s="18">
        <v>7.096809289824789</v>
      </c>
      <c r="K770" s="4">
        <v>88.71011612280986</v>
      </c>
      <c r="L770" s="19">
        <v>8.871011612280986E19</v>
      </c>
      <c r="M770" s="20">
        <v>8.871011612280987E18</v>
      </c>
    </row>
    <row r="771">
      <c r="A771" s="6"/>
      <c r="B771" s="6"/>
      <c r="C771" s="4"/>
      <c r="D771" s="4">
        <v>625.951998376955</v>
      </c>
      <c r="E771" s="4" t="s">
        <v>1428</v>
      </c>
      <c r="F771" s="4"/>
      <c r="G771" s="4"/>
      <c r="H771" s="4"/>
      <c r="I771" s="4" t="str">
        <f>IFERROR(__xludf.DUMMYFUNCTION("""COMPUTED_VALUE"""),"0xfffaf54a65eb198d704ea8c0b48eee29679120f6")</f>
        <v>0xfffaf54a65eb198d704ea8c0b48eee29679120f6</v>
      </c>
      <c r="J771" s="18">
        <v>860.3280861840516</v>
      </c>
      <c r="K771" s="4">
        <v>10754.101077300644</v>
      </c>
      <c r="L771" s="19">
        <v>1.0754101077300644E22</v>
      </c>
      <c r="M771" s="20">
        <v>1.0754101077300644E21</v>
      </c>
    </row>
    <row r="772">
      <c r="A772" s="6"/>
      <c r="B772" s="6"/>
      <c r="C772" s="4"/>
      <c r="D772" s="4">
        <v>7.46586413933295</v>
      </c>
      <c r="E772" s="4" t="s">
        <v>1430</v>
      </c>
      <c r="F772" s="4"/>
      <c r="G772" s="4"/>
      <c r="H772" s="4"/>
      <c r="I772" s="4" t="str">
        <f>IFERROR(__xludf.DUMMYFUNCTION("""COMPUTED_VALUE"""),"0xa404a5d7fc74f58b396b5bed2050f78892d1e1ef")</f>
        <v>0xa404a5d7fc74f58b396b5bed2050f78892d1e1ef</v>
      </c>
      <c r="J772" s="18">
        <v>7.46586413933295</v>
      </c>
      <c r="K772" s="4">
        <v>93.32330174166188</v>
      </c>
      <c r="L772" s="19">
        <v>9.332330174166188E19</v>
      </c>
      <c r="M772" s="20">
        <v>9.332330174166188E18</v>
      </c>
    </row>
    <row r="773">
      <c r="A773" s="6"/>
      <c r="B773" s="6"/>
      <c r="C773" s="4"/>
      <c r="D773" s="4">
        <v>7.1077653235658405</v>
      </c>
      <c r="E773" s="4" t="s">
        <v>1432</v>
      </c>
      <c r="F773" s="4"/>
      <c r="G773" s="4"/>
      <c r="H773" s="4"/>
      <c r="I773" s="4" t="str">
        <f>IFERROR(__xludf.DUMMYFUNCTION("""COMPUTED_VALUE"""),"0xdd7ad4b0fbf59f08924320b9f7acb4b532db542e")</f>
        <v>0xdd7ad4b0fbf59f08924320b9f7acb4b532db542e</v>
      </c>
      <c r="J773" s="18">
        <v>7.1077653235658405</v>
      </c>
      <c r="K773" s="4">
        <v>88.84706654457301</v>
      </c>
      <c r="L773" s="19">
        <v>8.8847066544573E19</v>
      </c>
      <c r="M773" s="20">
        <v>8.884706654457301E18</v>
      </c>
    </row>
    <row r="774">
      <c r="A774" s="6"/>
      <c r="B774" s="6"/>
      <c r="C774" s="4"/>
      <c r="D774" s="4">
        <v>6.647541726129689</v>
      </c>
      <c r="E774" s="4" t="s">
        <v>1434</v>
      </c>
      <c r="F774" s="4"/>
      <c r="G774" s="4"/>
      <c r="H774" s="4"/>
      <c r="I774" s="4" t="str">
        <f>IFERROR(__xludf.DUMMYFUNCTION("""COMPUTED_VALUE"""),"0x831881c6c0dbf403eeae8a07a71b5c9d40b8a876")</f>
        <v>0x831881c6c0dbf403eeae8a07a71b5c9d40b8a876</v>
      </c>
      <c r="J774" s="18">
        <v>51.30263116210909</v>
      </c>
      <c r="K774" s="4">
        <v>641.2828895263635</v>
      </c>
      <c r="L774" s="19">
        <v>6.412828895263636E20</v>
      </c>
      <c r="M774" s="20">
        <v>6.412828895263636E19</v>
      </c>
    </row>
    <row r="775">
      <c r="A775" s="6"/>
      <c r="B775" s="6"/>
      <c r="C775" s="4"/>
      <c r="D775" s="4">
        <v>7.4180609759481095</v>
      </c>
      <c r="E775" s="4" t="s">
        <v>1436</v>
      </c>
      <c r="F775" s="4"/>
      <c r="G775" s="4"/>
      <c r="H775" s="4"/>
      <c r="I775" s="4" t="str">
        <f>IFERROR(__xludf.DUMMYFUNCTION("""COMPUTED_VALUE"""),"0xf700154686781daad8a97815c748540179b92dec")</f>
        <v>0xf700154686781daad8a97815c748540179b92dec</v>
      </c>
      <c r="J775" s="18">
        <v>55.78218857554471</v>
      </c>
      <c r="K775" s="4">
        <v>697.2773571943088</v>
      </c>
      <c r="L775" s="19">
        <v>6.972773571943089E20</v>
      </c>
      <c r="M775" s="20">
        <v>6.972773571943089E19</v>
      </c>
    </row>
    <row r="776">
      <c r="A776" s="6"/>
      <c r="B776" s="6"/>
      <c r="C776" s="4"/>
      <c r="D776" s="4">
        <v>4.70102268754826</v>
      </c>
      <c r="E776" s="4" t="s">
        <v>1438</v>
      </c>
      <c r="F776" s="4"/>
      <c r="G776" s="4"/>
      <c r="H776" s="4"/>
      <c r="I776" s="4" t="str">
        <f>IFERROR(__xludf.DUMMYFUNCTION("""COMPUTED_VALUE"""),"0xbd8c656bbf9056e86224cdbb48b6d7038e06f77b")</f>
        <v>0xbd8c656bbf9056e86224cdbb48b6d7038e06f77b</v>
      </c>
      <c r="J776" s="18">
        <v>4.70102268754826</v>
      </c>
      <c r="K776" s="4">
        <v>58.76278359435325</v>
      </c>
      <c r="L776" s="19">
        <v>5.8762783594353254E19</v>
      </c>
      <c r="M776" s="20">
        <v>5.876278359435325E18</v>
      </c>
    </row>
    <row r="777">
      <c r="A777" s="6"/>
      <c r="B777" s="6"/>
      <c r="C777" s="4"/>
      <c r="D777" s="4">
        <v>506.927661271677</v>
      </c>
      <c r="E777" s="4" t="s">
        <v>1440</v>
      </c>
      <c r="F777" s="4"/>
      <c r="G777" s="4"/>
      <c r="H777" s="4"/>
      <c r="I777" s="4" t="str">
        <f>IFERROR(__xludf.DUMMYFUNCTION("""COMPUTED_VALUE"""),"0xdb527a9f967d22b9a2801f21dcdaf819fcd9509e")</f>
        <v>0xdb527a9f967d22b9a2801f21dcdaf819fcd9509e</v>
      </c>
      <c r="J777" s="18">
        <v>506.927661271677</v>
      </c>
      <c r="K777" s="4">
        <v>6336.595765895962</v>
      </c>
      <c r="L777" s="19">
        <v>6.336595765895962E21</v>
      </c>
      <c r="M777" s="20">
        <v>6.336595765895962E20</v>
      </c>
    </row>
    <row r="778">
      <c r="A778" s="6"/>
      <c r="B778" s="6"/>
      <c r="C778" s="4"/>
      <c r="D778" s="4">
        <v>6.65035559310455</v>
      </c>
      <c r="E778" s="4" t="s">
        <v>1442</v>
      </c>
      <c r="F778" s="4"/>
      <c r="G778" s="4"/>
      <c r="H778" s="4"/>
      <c r="I778" s="4" t="str">
        <f>IFERROR(__xludf.DUMMYFUNCTION("""COMPUTED_VALUE"""),"0x4ecb6e1dc6a5a97401beb16b7974d108c6dc1534")</f>
        <v>0x4ecb6e1dc6a5a97401beb16b7974d108c6dc1534</v>
      </c>
      <c r="J778" s="18">
        <v>51.324429146605056</v>
      </c>
      <c r="K778" s="4">
        <v>641.5553643325632</v>
      </c>
      <c r="L778" s="19">
        <v>6.415553643325632E20</v>
      </c>
      <c r="M778" s="20">
        <v>6.4155536433256325E19</v>
      </c>
    </row>
    <row r="779">
      <c r="A779" s="6"/>
      <c r="B779" s="6"/>
      <c r="C779" s="4"/>
      <c r="D779" s="4">
        <v>92.788746404493</v>
      </c>
      <c r="E779" s="4" t="s">
        <v>1444</v>
      </c>
      <c r="F779" s="4"/>
      <c r="G779" s="4"/>
      <c r="H779" s="4"/>
      <c r="I779" s="4" t="str">
        <f>IFERROR(__xludf.DUMMYFUNCTION("""COMPUTED_VALUE"""),"0xbd0fbeb5d04a96e84fed4bd485cae7df09ac7835")</f>
        <v>0xbd0fbeb5d04a96e84fed4bd485cae7df09ac7835</v>
      </c>
      <c r="J779" s="18">
        <v>327.16483421158955</v>
      </c>
      <c r="K779" s="4">
        <v>4089.5604276448694</v>
      </c>
      <c r="L779" s="19">
        <v>4.089560427644869E21</v>
      </c>
      <c r="M779" s="20">
        <v>4.08956042764487E20</v>
      </c>
    </row>
    <row r="780">
      <c r="A780" s="6"/>
      <c r="B780" s="6"/>
      <c r="C780" s="4"/>
      <c r="D780" s="4">
        <v>6.17335916254163</v>
      </c>
      <c r="E780" s="4" t="s">
        <v>1446</v>
      </c>
      <c r="F780" s="4"/>
      <c r="G780" s="4"/>
      <c r="H780" s="4"/>
      <c r="I780" s="4" t="str">
        <f>IFERROR(__xludf.DUMMYFUNCTION("""COMPUTED_VALUE"""),"0xef16cd91b14361ec32e49b882adaf5bf2aefb290")</f>
        <v>0xef16cd91b14361ec32e49b882adaf5bf2aefb290</v>
      </c>
      <c r="J780" s="18">
        <v>6.17335916254163</v>
      </c>
      <c r="K780" s="4">
        <v>77.16698953177038</v>
      </c>
      <c r="L780" s="19">
        <v>7.716698953177039E19</v>
      </c>
      <c r="M780" s="20">
        <v>7.716698953177039E18</v>
      </c>
    </row>
    <row r="781">
      <c r="A781" s="6"/>
      <c r="B781" s="6"/>
      <c r="C781" s="4"/>
      <c r="D781" s="4">
        <v>2.06174395983758</v>
      </c>
      <c r="E781" s="4" t="s">
        <v>1448</v>
      </c>
      <c r="F781" s="4"/>
      <c r="G781" s="4"/>
      <c r="H781" s="4"/>
      <c r="I781" s="4" t="str">
        <f>IFERROR(__xludf.DUMMYFUNCTION("""COMPUTED_VALUE"""),"0xb147838894d46a75deda045c5dcbf5ab9a006459")</f>
        <v>0xb147838894d46a75deda045c5dcbf5ab9a006459</v>
      </c>
      <c r="J781" s="18">
        <v>11.77949154748485</v>
      </c>
      <c r="K781" s="4">
        <v>147.24364434356062</v>
      </c>
      <c r="L781" s="19">
        <v>1.4724364434356062E20</v>
      </c>
      <c r="M781" s="20">
        <v>1.4724364434356062E19</v>
      </c>
    </row>
    <row r="782">
      <c r="A782" s="6"/>
      <c r="B782" s="6"/>
      <c r="C782" s="4"/>
      <c r="D782" s="4">
        <v>7.0685416625651705</v>
      </c>
      <c r="E782" s="4" t="s">
        <v>1450</v>
      </c>
      <c r="F782" s="4"/>
      <c r="G782" s="4"/>
      <c r="H782" s="4"/>
      <c r="I782" s="4" t="str">
        <f>IFERROR(__xludf.DUMMYFUNCTION("""COMPUTED_VALUE"""),"0x8ba2c419e63f57e4cc3c9f92625824af8356803a")</f>
        <v>0x8ba2c419e63f57e4cc3c9f92625824af8356803a</v>
      </c>
      <c r="J782" s="18">
        <v>7.0685416625651705</v>
      </c>
      <c r="K782" s="4">
        <v>88.35677078206463</v>
      </c>
      <c r="L782" s="19">
        <v>8.835677078206462E19</v>
      </c>
      <c r="M782" s="20">
        <v>8.835677078206463E18</v>
      </c>
    </row>
    <row r="783">
      <c r="A783" s="6"/>
      <c r="B783" s="6"/>
      <c r="C783" s="4"/>
      <c r="D783" s="4">
        <v>293.26065769916397</v>
      </c>
      <c r="E783" s="4" t="s">
        <v>1451</v>
      </c>
      <c r="F783" s="4"/>
      <c r="G783" s="4"/>
      <c r="H783" s="4"/>
      <c r="I783" s="4" t="str">
        <f>IFERROR(__xludf.DUMMYFUNCTION("""COMPUTED_VALUE"""),"0x83484257af94d2740edcb2f9b034d5b5fa61d2ba")</f>
        <v>0x83484257af94d2740edcb2f9b034d5b5fa61d2ba</v>
      </c>
      <c r="J783" s="18">
        <v>527.6367455062606</v>
      </c>
      <c r="K783" s="4">
        <v>6595.459318828257</v>
      </c>
      <c r="L783" s="19">
        <v>6.595459318828257E21</v>
      </c>
      <c r="M783" s="20">
        <v>6.595459318828256E20</v>
      </c>
    </row>
    <row r="784">
      <c r="A784" s="6"/>
      <c r="B784" s="6"/>
      <c r="C784" s="4"/>
      <c r="D784" s="4">
        <v>3.03826206736027</v>
      </c>
      <c r="E784" s="4" t="s">
        <v>1453</v>
      </c>
      <c r="F784" s="4"/>
      <c r="G784" s="4"/>
      <c r="H784" s="4"/>
      <c r="I784" s="4" t="str">
        <f>IFERROR(__xludf.DUMMYFUNCTION("""COMPUTED_VALUE"""),"0x5783c74cb75d986977c6dfb086cea184f192ccee")</f>
        <v>0x5783c74cb75d986977c6dfb086cea184f192ccee</v>
      </c>
      <c r="J784" s="18">
        <v>3.03826206736027</v>
      </c>
      <c r="K784" s="4">
        <v>37.97827584200337</v>
      </c>
      <c r="L784" s="19">
        <v>3.797827584200337E19</v>
      </c>
      <c r="M784" s="20">
        <v>3.7978275842003374E18</v>
      </c>
    </row>
    <row r="785">
      <c r="A785" s="6"/>
      <c r="B785" s="6"/>
      <c r="C785" s="4"/>
      <c r="D785" s="4">
        <v>4.66523749729301</v>
      </c>
      <c r="E785" s="4" t="s">
        <v>1455</v>
      </c>
      <c r="F785" s="4"/>
      <c r="G785" s="4"/>
      <c r="H785" s="4"/>
      <c r="I785" s="4" t="str">
        <f>IFERROR(__xludf.DUMMYFUNCTION("""COMPUTED_VALUE"""),"0x8af0e15dcc5e28ab7b722908a40dd67d764fec2b")</f>
        <v>0x8af0e15dcc5e28ab7b722908a40dd67d764fec2b</v>
      </c>
      <c r="J785" s="18">
        <v>4.66523749729301</v>
      </c>
      <c r="K785" s="4">
        <v>58.31546871616262</v>
      </c>
      <c r="L785" s="19">
        <v>5.831546871616262E19</v>
      </c>
      <c r="M785" s="20">
        <v>5.831546871616262E18</v>
      </c>
    </row>
    <row r="786">
      <c r="A786" s="6"/>
      <c r="B786" s="6"/>
      <c r="C786" s="4"/>
      <c r="D786" s="4">
        <v>97.13835267458951</v>
      </c>
      <c r="E786" s="4" t="s">
        <v>1457</v>
      </c>
      <c r="F786" s="4"/>
      <c r="G786" s="4"/>
      <c r="H786" s="4"/>
      <c r="I786" s="4" t="str">
        <f>IFERROR(__xludf.DUMMYFUNCTION("""COMPUTED_VALUE"""),"0xbbefabe882559a4da574fbdc5ea77300eccbe41c")</f>
        <v>0xbbefabe882559a4da574fbdc5ea77300eccbe41c</v>
      </c>
      <c r="J786" s="18">
        <v>227.30490414273692</v>
      </c>
      <c r="K786" s="4">
        <v>2841.3113017842115</v>
      </c>
      <c r="L786" s="19">
        <v>2.8413113017842113E21</v>
      </c>
      <c r="M786" s="20">
        <v>2.8413113017842113E20</v>
      </c>
    </row>
    <row r="787">
      <c r="A787" s="6"/>
      <c r="B787" s="6"/>
      <c r="C787" s="4"/>
      <c r="D787" s="4">
        <v>106.53276483059</v>
      </c>
      <c r="E787" s="4" t="s">
        <v>1459</v>
      </c>
      <c r="F787" s="4"/>
      <c r="G787" s="4"/>
      <c r="H787" s="4"/>
      <c r="I787" s="4" t="str">
        <f>IFERROR(__xludf.DUMMYFUNCTION("""COMPUTED_VALUE"""),"0x4fcbe6c1113311a932bd2f1607eb56ca9a523fbd")</f>
        <v>0x4fcbe6c1113311a932bd2f1607eb56ca9a523fbd</v>
      </c>
      <c r="J787" s="18">
        <v>340.90885263768655</v>
      </c>
      <c r="K787" s="4">
        <v>4261.360657971082</v>
      </c>
      <c r="L787" s="19">
        <v>4.261360657971082E21</v>
      </c>
      <c r="M787" s="20">
        <v>4.261360657971083E20</v>
      </c>
    </row>
    <row r="788">
      <c r="A788" s="6"/>
      <c r="B788" s="6"/>
      <c r="C788" s="4"/>
      <c r="D788" s="4">
        <v>14.4031337703698</v>
      </c>
      <c r="E788" s="4" t="s">
        <v>1461</v>
      </c>
      <c r="F788" s="4"/>
      <c r="G788" s="4"/>
      <c r="H788" s="4"/>
      <c r="I788" s="4" t="str">
        <f>IFERROR(__xludf.DUMMYFUNCTION("""COMPUTED_VALUE"""),"0x63c75967729a0a56480be00a08ba1fdb707f0450")</f>
        <v>0x63c75967729a0a56480be00a08ba1fdb707f0450</v>
      </c>
      <c r="J788" s="18">
        <v>14.4031337703698</v>
      </c>
      <c r="K788" s="4">
        <v>180.0391721296225</v>
      </c>
      <c r="L788" s="19">
        <v>1.800391721296225E20</v>
      </c>
      <c r="M788" s="20">
        <v>1.800391721296225E19</v>
      </c>
    </row>
    <row r="789">
      <c r="A789" s="6"/>
      <c r="B789" s="6"/>
      <c r="C789" s="4"/>
      <c r="D789" s="4">
        <v>5.69106306372511</v>
      </c>
      <c r="E789" s="4" t="s">
        <v>1463</v>
      </c>
      <c r="F789" s="4"/>
      <c r="G789" s="4"/>
      <c r="H789" s="4"/>
      <c r="I789" s="4" t="str">
        <f>IFERROR(__xludf.DUMMYFUNCTION("""COMPUTED_VALUE"""),"0x1ed69e50432a780b757b90cc7274fa5ea393f09d")</f>
        <v>0x1ed69e50432a780b757b90cc7274fa5ea393f09d</v>
      </c>
      <c r="J789" s="18">
        <v>5.69106306372511</v>
      </c>
      <c r="K789" s="4">
        <v>71.13828829656387</v>
      </c>
      <c r="L789" s="19">
        <v>7.113828829656387E19</v>
      </c>
      <c r="M789" s="20">
        <v>7.113828829656388E18</v>
      </c>
    </row>
    <row r="790">
      <c r="A790" s="6"/>
      <c r="B790" s="6"/>
      <c r="C790" s="4"/>
      <c r="D790" s="4">
        <v>67.1050711563289</v>
      </c>
      <c r="E790" s="4" t="s">
        <v>1465</v>
      </c>
      <c r="F790" s="4"/>
      <c r="G790" s="4"/>
      <c r="H790" s="4"/>
      <c r="I790" s="4" t="str">
        <f>IFERROR(__xludf.DUMMYFUNCTION("""COMPUTED_VALUE"""),"0xc7884b062cc66509c4c208d86e6b7ae04d9f73d5")</f>
        <v>0xc7884b062cc66509c4c208d86e6b7ae04d9f73d5</v>
      </c>
      <c r="J790" s="18">
        <v>301.4811589634255</v>
      </c>
      <c r="K790" s="4">
        <v>3768.514487042819</v>
      </c>
      <c r="L790" s="19">
        <v>3.7685144870428187E21</v>
      </c>
      <c r="M790" s="20">
        <v>3.768514487042819E20</v>
      </c>
    </row>
    <row r="791">
      <c r="A791" s="6"/>
      <c r="B791" s="6"/>
      <c r="C791" s="4"/>
      <c r="D791" s="4">
        <v>0.419145617873141</v>
      </c>
      <c r="E791" s="4" t="s">
        <v>1467</v>
      </c>
      <c r="F791" s="4"/>
      <c r="G791" s="4"/>
      <c r="H791" s="4"/>
      <c r="I791" s="4" t="str">
        <f>IFERROR(__xludf.DUMMYFUNCTION("""COMPUTED_VALUE"""),"0x4dc8bce9a0d2d074cc7c961edcd2dd1c268bb5c6")</f>
        <v>0x4dc8bce9a0d2d074cc7c961edcd2dd1c268bb5c6</v>
      </c>
      <c r="J791" s="18">
        <v>0.419145617873141</v>
      </c>
      <c r="K791" s="4">
        <v>5.239320223414262</v>
      </c>
      <c r="L791" s="19">
        <v>5.239320223414263E18</v>
      </c>
      <c r="M791" s="20">
        <v>5.239320223414263E17</v>
      </c>
    </row>
    <row r="792">
      <c r="A792" s="6"/>
      <c r="B792" s="6"/>
      <c r="C792" s="4"/>
      <c r="D792" s="4">
        <v>35.3427083128258</v>
      </c>
      <c r="E792" s="4" t="s">
        <v>1469</v>
      </c>
      <c r="F792" s="4"/>
      <c r="G792" s="4"/>
      <c r="H792" s="4"/>
      <c r="I792" s="4" t="str">
        <f>IFERROR(__xludf.DUMMYFUNCTION("""COMPUTED_VALUE"""),"0x37d44a1765ec4b01b18bf4944fcc32ce749e88bc")</f>
        <v>0x37d44a1765ec4b01b18bf4944fcc32ce749e88bc</v>
      </c>
      <c r="J792" s="18">
        <v>228.17889271726867</v>
      </c>
      <c r="K792" s="4">
        <v>2852.236158965858</v>
      </c>
      <c r="L792" s="19">
        <v>2.852236158965858E21</v>
      </c>
      <c r="M792" s="20">
        <v>2.8522361589658583E20</v>
      </c>
    </row>
    <row r="793">
      <c r="A793" s="6"/>
      <c r="B793" s="6"/>
      <c r="C793" s="4"/>
      <c r="D793" s="4">
        <v>106.084034885768</v>
      </c>
      <c r="E793" s="4" t="s">
        <v>1470</v>
      </c>
      <c r="F793" s="4"/>
      <c r="G793" s="4"/>
      <c r="H793" s="4"/>
      <c r="I793" s="4" t="str">
        <f>IFERROR(__xludf.DUMMYFUNCTION("""COMPUTED_VALUE"""),"0xa874aeb34ef89881f72dd2d2e4c9fd8514f25261")</f>
        <v>0xa874aeb34ef89881f72dd2d2e4c9fd8514f25261</v>
      </c>
      <c r="J793" s="18">
        <v>340.4601226928646</v>
      </c>
      <c r="K793" s="4">
        <v>4255.751533660808</v>
      </c>
      <c r="L793" s="19">
        <v>4.2557515336608074E21</v>
      </c>
      <c r="M793" s="20">
        <v>4.2557515336608075E20</v>
      </c>
    </row>
    <row r="794">
      <c r="A794" s="6"/>
      <c r="B794" s="6"/>
      <c r="C794" s="4"/>
      <c r="D794" s="4">
        <v>513.084723796435</v>
      </c>
      <c r="E794" s="4" t="s">
        <v>1472</v>
      </c>
      <c r="F794" s="4"/>
      <c r="G794" s="4"/>
      <c r="H794" s="4"/>
      <c r="I794" s="4" t="str">
        <f>IFERROR(__xludf.DUMMYFUNCTION("""COMPUTED_VALUE"""),"0xeabd4f4f10524944dd8a410681dd970cf7ae6e86")</f>
        <v>0xeabd4f4f10524944dd8a410681dd970cf7ae6e86</v>
      </c>
      <c r="J794" s="18">
        <v>747.4608116035316</v>
      </c>
      <c r="K794" s="4">
        <v>9343.260145044145</v>
      </c>
      <c r="L794" s="19">
        <v>9.343260145044145E21</v>
      </c>
      <c r="M794" s="20">
        <v>9.343260145044145E20</v>
      </c>
    </row>
    <row r="795">
      <c r="A795" s="6"/>
      <c r="B795" s="6"/>
      <c r="C795" s="4"/>
      <c r="D795" s="4">
        <v>6.9339770820818005</v>
      </c>
      <c r="E795" s="4" t="s">
        <v>1474</v>
      </c>
      <c r="F795" s="4"/>
      <c r="G795" s="4"/>
      <c r="H795" s="4"/>
      <c r="I795" s="4" t="str">
        <f>IFERROR(__xludf.DUMMYFUNCTION("""COMPUTED_VALUE"""),"0xfeb6be08e6c8d930cafd1f098aad9a7ae9309d78")</f>
        <v>0xfeb6be08e6c8d930cafd1f098aad9a7ae9309d78</v>
      </c>
      <c r="J795" s="18">
        <v>6.9339770820818005</v>
      </c>
      <c r="K795" s="4">
        <v>86.6747135260225</v>
      </c>
      <c r="L795" s="19">
        <v>8.66747135260225E19</v>
      </c>
      <c r="M795" s="20">
        <v>8.667471352602251E18</v>
      </c>
    </row>
    <row r="796">
      <c r="A796" s="6"/>
      <c r="B796" s="6"/>
      <c r="C796" s="4"/>
      <c r="D796" s="4">
        <v>43.1729140902601</v>
      </c>
      <c r="E796" s="4" t="s">
        <v>1476</v>
      </c>
      <c r="F796" s="4"/>
      <c r="G796" s="4"/>
      <c r="H796" s="4"/>
      <c r="I796" s="4" t="str">
        <f>IFERROR(__xludf.DUMMYFUNCTION("""COMPUTED_VALUE"""),"0xad3b696cf4ec30bb57fba90e887f7cb15d033d8f")</f>
        <v>0xad3b696cf4ec30bb57fba90e887f7cb15d033d8f</v>
      </c>
      <c r="J796" s="18">
        <v>91.5370416898567</v>
      </c>
      <c r="K796" s="4">
        <v>1144.2130211232086</v>
      </c>
      <c r="L796" s="19">
        <v>1.1442130211232085E21</v>
      </c>
      <c r="M796" s="20">
        <v>1.1442130211232086E20</v>
      </c>
    </row>
    <row r="797">
      <c r="A797" s="6"/>
      <c r="B797" s="6"/>
      <c r="C797" s="4"/>
      <c r="D797" s="4">
        <v>3.81242398444661</v>
      </c>
      <c r="E797" s="4" t="s">
        <v>1478</v>
      </c>
      <c r="F797" s="4"/>
      <c r="G797" s="4"/>
      <c r="H797" s="4"/>
      <c r="I797" s="4" t="str">
        <f>IFERROR(__xludf.DUMMYFUNCTION("""COMPUTED_VALUE"""),"0xa8476519dea06079f1bf3afea98df6e66f46aeae")</f>
        <v>0xa8476519dea06079f1bf3afea98df6e66f46aeae</v>
      </c>
      <c r="J797" s="18">
        <v>3.81242398444661</v>
      </c>
      <c r="K797" s="4">
        <v>47.65529980558262</v>
      </c>
      <c r="L797" s="19">
        <v>4.765529980558262E19</v>
      </c>
      <c r="M797" s="20">
        <v>4.765529980558262E18</v>
      </c>
    </row>
    <row r="798">
      <c r="A798" s="6"/>
      <c r="B798" s="6"/>
      <c r="C798" s="4"/>
      <c r="D798" s="4">
        <v>42.427648824241</v>
      </c>
      <c r="E798" s="4" t="s">
        <v>1480</v>
      </c>
      <c r="F798" s="4"/>
      <c r="G798" s="4"/>
      <c r="H798" s="4"/>
      <c r="I798" s="4" t="str">
        <f>IFERROR(__xludf.DUMMYFUNCTION("""COMPUTED_VALUE"""),"0x642fdcfdf317003f57e3e2d5d79e44530faa84c7")</f>
        <v>0x642fdcfdf317003f57e3e2d5d79e44530faa84c7</v>
      </c>
      <c r="J798" s="18">
        <v>42.427648824241</v>
      </c>
      <c r="K798" s="4">
        <v>530.3456103030124</v>
      </c>
      <c r="L798" s="19">
        <v>5.303456103030125E20</v>
      </c>
      <c r="M798" s="20">
        <v>5.303456103030125E19</v>
      </c>
    </row>
    <row r="799">
      <c r="A799" s="6"/>
      <c r="B799" s="6"/>
      <c r="C799" s="4"/>
      <c r="D799" s="4">
        <v>106.02812493847699</v>
      </c>
      <c r="E799" s="4" t="s">
        <v>1482</v>
      </c>
      <c r="F799" s="4"/>
      <c r="G799" s="4"/>
      <c r="H799" s="4"/>
      <c r="I799" s="4" t="str">
        <f>IFERROR(__xludf.DUMMYFUNCTION("""COMPUTED_VALUE"""),"0x971cdd31accfcff7f1dcdef7b6c813279e364378")</f>
        <v>0x971cdd31accfcff7f1dcdef7b6c813279e364378</v>
      </c>
      <c r="J799" s="18">
        <v>340.40421274557355</v>
      </c>
      <c r="K799" s="4">
        <v>4255.052659319669</v>
      </c>
      <c r="L799" s="19">
        <v>4.255052659319669E21</v>
      </c>
      <c r="M799" s="20">
        <v>4.2550526593196694E20</v>
      </c>
    </row>
    <row r="800">
      <c r="A800" s="6"/>
      <c r="B800" s="6"/>
      <c r="C800" s="4"/>
      <c r="D800" s="4">
        <v>5.101639395387361</v>
      </c>
      <c r="E800" s="4" t="s">
        <v>1483</v>
      </c>
      <c r="F800" s="4"/>
      <c r="G800" s="4"/>
      <c r="H800" s="4"/>
      <c r="I800" s="4" t="str">
        <f>IFERROR(__xludf.DUMMYFUNCTION("""COMPUTED_VALUE"""),"0x675a6a82e087c11346e00371d289431d3213fcd1")</f>
        <v>0x675a6a82e087c11346e00371d289431d3213fcd1</v>
      </c>
      <c r="J800" s="18">
        <v>5.101639395387361</v>
      </c>
      <c r="K800" s="4">
        <v>63.770492442342004</v>
      </c>
      <c r="L800" s="19">
        <v>6.377049244234201E19</v>
      </c>
      <c r="M800" s="20">
        <v>6.377049244234201E18</v>
      </c>
    </row>
    <row r="801">
      <c r="A801" s="6"/>
      <c r="B801" s="6"/>
      <c r="C801" s="4"/>
      <c r="D801" s="4">
        <v>8.67958954814082</v>
      </c>
      <c r="E801" s="4" t="s">
        <v>1485</v>
      </c>
      <c r="F801" s="4"/>
      <c r="G801" s="4"/>
      <c r="H801" s="4"/>
      <c r="I801" s="4" t="str">
        <f>IFERROR(__xludf.DUMMYFUNCTION("""COMPUTED_VALUE"""),"0x0e2abb40d5be88ecab9ab44facc09df0976a70fa")</f>
        <v>0x0e2abb40d5be88ecab9ab44facc09df0976a70fa</v>
      </c>
      <c r="J801" s="18">
        <v>243.0556773552374</v>
      </c>
      <c r="K801" s="4">
        <v>3038.1959669404673</v>
      </c>
      <c r="L801" s="19">
        <v>3.0381959669404674E21</v>
      </c>
      <c r="M801" s="20">
        <v>3.038195966940468E20</v>
      </c>
    </row>
    <row r="802">
      <c r="A802" s="6"/>
      <c r="B802" s="6"/>
      <c r="C802" s="4"/>
      <c r="D802" s="4">
        <v>3.41099873612</v>
      </c>
      <c r="E802" s="4" t="s">
        <v>1487</v>
      </c>
      <c r="F802" s="4"/>
      <c r="G802" s="4"/>
      <c r="H802" s="4"/>
      <c r="I802" s="4" t="str">
        <f>IFERROR(__xludf.DUMMYFUNCTION("""COMPUTED_VALUE"""),"0x96a1b9461e9d2e627ac25f39aca4baafb1deb923")</f>
        <v>0x96a1b9461e9d2e627ac25f39aca4baafb1deb923</v>
      </c>
      <c r="J802" s="18">
        <v>3.41099873612</v>
      </c>
      <c r="K802" s="4">
        <v>42.637484201499994</v>
      </c>
      <c r="L802" s="19">
        <v>4.263748420149999E19</v>
      </c>
      <c r="M802" s="20">
        <v>4.2637484201499996E18</v>
      </c>
    </row>
    <row r="803">
      <c r="A803" s="6"/>
      <c r="B803" s="6"/>
      <c r="C803" s="4"/>
      <c r="D803" s="4">
        <v>103.44220104216201</v>
      </c>
      <c r="E803" s="4" t="s">
        <v>1489</v>
      </c>
      <c r="F803" s="4"/>
      <c r="G803" s="4"/>
      <c r="H803" s="4"/>
      <c r="I803" s="4" t="str">
        <f>IFERROR(__xludf.DUMMYFUNCTION("""COMPUTED_VALUE"""),"0x30c8c66d77a259d3b53473dbdd38b57a7e772c4d")</f>
        <v>0x30c8c66d77a259d3b53473dbdd38b57a7e772c4d</v>
      </c>
      <c r="J803" s="18">
        <v>150.66503572590182</v>
      </c>
      <c r="K803" s="4">
        <v>1883.3129465737727</v>
      </c>
      <c r="L803" s="19">
        <v>1.8833129465737726E21</v>
      </c>
      <c r="M803" s="20">
        <v>1.8833129465737727E20</v>
      </c>
    </row>
    <row r="804">
      <c r="A804" s="6"/>
      <c r="B804" s="6"/>
      <c r="C804" s="4"/>
      <c r="D804" s="4">
        <v>3.6849672786542604</v>
      </c>
      <c r="E804" s="4" t="s">
        <v>1491</v>
      </c>
      <c r="F804" s="4"/>
      <c r="G804" s="4"/>
      <c r="H804" s="4"/>
      <c r="I804" s="4" t="str">
        <f>IFERROR(__xludf.DUMMYFUNCTION("""COMPUTED_VALUE"""),"0x07180eabee865ffd9d231305c270656864b6cd10")</f>
        <v>0x07180eabee865ffd9d231305c270656864b6cd10</v>
      </c>
      <c r="J804" s="18">
        <v>3.6849672786542604</v>
      </c>
      <c r="K804" s="4">
        <v>46.06209098317825</v>
      </c>
      <c r="L804" s="19">
        <v>4.606209098317825E19</v>
      </c>
      <c r="M804" s="20">
        <v>4.606209098317825E18</v>
      </c>
    </row>
    <row r="805">
      <c r="A805" s="6"/>
      <c r="B805" s="6"/>
      <c r="C805" s="4"/>
      <c r="D805" s="4">
        <v>303.94729149030195</v>
      </c>
      <c r="E805" s="4" t="s">
        <v>1493</v>
      </c>
      <c r="F805" s="4"/>
      <c r="G805" s="4"/>
      <c r="H805" s="4"/>
      <c r="I805" s="4" t="str">
        <f>IFERROR(__xludf.DUMMYFUNCTION("""COMPUTED_VALUE"""),"0xb3ac5474ac95e004c02c92d300d1c3f98d3b5983")</f>
        <v>0xb3ac5474ac95e004c02c92d300d1c3f98d3b5983</v>
      </c>
      <c r="J805" s="18">
        <v>538.3233792973986</v>
      </c>
      <c r="K805" s="4">
        <v>6729.042241217482</v>
      </c>
      <c r="L805" s="19">
        <v>6.729042241217482E21</v>
      </c>
      <c r="M805" s="20">
        <v>6.729042241217483E20</v>
      </c>
    </row>
    <row r="806">
      <c r="A806" s="6"/>
      <c r="B806" s="6"/>
      <c r="C806" s="4"/>
      <c r="D806" s="4">
        <v>102.773721665921</v>
      </c>
      <c r="E806" s="4" t="s">
        <v>1495</v>
      </c>
      <c r="F806" s="4"/>
      <c r="G806" s="4"/>
      <c r="H806" s="4"/>
      <c r="I806" s="4" t="str">
        <f>IFERROR(__xludf.DUMMYFUNCTION("""COMPUTED_VALUE"""),"0xba3608c9903d92d24d3d7aa856a5744f3cabafed")</f>
        <v>0xba3608c9903d92d24d3d7aa856a5744f3cabafed</v>
      </c>
      <c r="J806" s="18">
        <v>337.1498094730176</v>
      </c>
      <c r="K806" s="4">
        <v>4214.37261841272</v>
      </c>
      <c r="L806" s="19">
        <v>4.21437261841272E21</v>
      </c>
      <c r="M806" s="20">
        <v>4.21437261841272E20</v>
      </c>
    </row>
    <row r="807">
      <c r="A807" s="6"/>
      <c r="B807" s="6"/>
      <c r="C807" s="4"/>
      <c r="D807" s="4">
        <v>11.7110594615565</v>
      </c>
      <c r="E807" s="4" t="s">
        <v>1497</v>
      </c>
      <c r="F807" s="4"/>
      <c r="G807" s="4"/>
      <c r="H807" s="4"/>
      <c r="I807" s="4" t="str">
        <f>IFERROR(__xludf.DUMMYFUNCTION("""COMPUTED_VALUE"""),"0x2526ce6014e8c17aedea915fa7470d4b780ade98")</f>
        <v>0x2526ce6014e8c17aedea915fa7470d4b780ade98</v>
      </c>
      <c r="J807" s="18">
        <v>11.7110594615565</v>
      </c>
      <c r="K807" s="4">
        <v>146.38824326945624</v>
      </c>
      <c r="L807" s="19">
        <v>1.4638824326945623E20</v>
      </c>
      <c r="M807" s="20">
        <v>1.4638824326945624E19</v>
      </c>
    </row>
    <row r="808">
      <c r="A808" s="6"/>
      <c r="B808" s="6"/>
      <c r="C808" s="4"/>
      <c r="D808" s="4">
        <v>119.236786859211</v>
      </c>
      <c r="E808" s="4" t="s">
        <v>1499</v>
      </c>
      <c r="F808" s="4"/>
      <c r="G808" s="4"/>
      <c r="H808" s="4"/>
      <c r="I808" s="4" t="str">
        <f>IFERROR(__xludf.DUMMYFUNCTION("""COMPUTED_VALUE"""),"0xed9d067599f6daae95c66ea7ea698c9e77c95bfc")</f>
        <v>0xed9d067599f6daae95c66ea7ea698c9e77c95bfc</v>
      </c>
      <c r="J808" s="18">
        <v>317.46581906744734</v>
      </c>
      <c r="K808" s="4">
        <v>3968.3227383430917</v>
      </c>
      <c r="L808" s="19">
        <v>3.9683227383430916E21</v>
      </c>
      <c r="M808" s="20">
        <v>3.968322738343092E20</v>
      </c>
    </row>
    <row r="809">
      <c r="A809" s="6"/>
      <c r="B809" s="6"/>
      <c r="C809" s="4"/>
      <c r="D809" s="4">
        <v>38.577555719282095</v>
      </c>
      <c r="E809" s="4" t="s">
        <v>1501</v>
      </c>
      <c r="F809" s="4"/>
      <c r="G809" s="4"/>
      <c r="H809" s="4"/>
      <c r="I809" s="4" t="str">
        <f>IFERROR(__xludf.DUMMYFUNCTION("""COMPUTED_VALUE"""),"0x2f64152969e64747eca65f2b27e00b4a8f76339d")</f>
        <v>0x2f64152969e64747eca65f2b27e00b4a8f76339d</v>
      </c>
      <c r="J809" s="18">
        <v>38.577555719282095</v>
      </c>
      <c r="K809" s="4">
        <v>482.2194464910262</v>
      </c>
      <c r="L809" s="19">
        <v>4.8221944649102616E20</v>
      </c>
      <c r="M809" s="20">
        <v>4.822194464910262E19</v>
      </c>
    </row>
    <row r="810">
      <c r="A810" s="6"/>
      <c r="B810" s="6"/>
      <c r="C810" s="4"/>
      <c r="D810" s="4">
        <v>8.6236208283295</v>
      </c>
      <c r="E810" s="4" t="s">
        <v>1503</v>
      </c>
      <c r="F810" s="4"/>
      <c r="G810" s="4"/>
      <c r="H810" s="4"/>
      <c r="I810" s="4" t="str">
        <f>IFERROR(__xludf.DUMMYFUNCTION("""COMPUTED_VALUE"""),"0xf07f21fad7c2661d137467bd733be542e9529d82")</f>
        <v>0xf07f21fad7c2661d137467bd733be542e9529d82</v>
      </c>
      <c r="J810" s="18">
        <v>8.6236208283295</v>
      </c>
      <c r="K810" s="4">
        <v>107.79526035411875</v>
      </c>
      <c r="L810" s="19">
        <v>1.0779526035411875E20</v>
      </c>
      <c r="M810" s="20">
        <v>1.0779526035411876E19</v>
      </c>
    </row>
    <row r="811">
      <c r="A811" s="6"/>
      <c r="B811" s="6"/>
      <c r="C811" s="4"/>
      <c r="D811" s="4">
        <v>7.52034900523593</v>
      </c>
      <c r="E811" s="4" t="s">
        <v>1505</v>
      </c>
      <c r="F811" s="4"/>
      <c r="G811" s="4"/>
      <c r="H811" s="4"/>
      <c r="I811" s="4" t="str">
        <f>IFERROR(__xludf.DUMMYFUNCTION("""COMPUTED_VALUE"""),"0x51ced22cba3f9344380e3af2c04621c888d6a656")</f>
        <v>0x51ced22cba3f9344380e3af2c04621c888d6a656</v>
      </c>
      <c r="J811" s="18">
        <v>41.146215765969025</v>
      </c>
      <c r="K811" s="4">
        <v>514.3276970746128</v>
      </c>
      <c r="L811" s="19">
        <v>5.1432769707461286E20</v>
      </c>
      <c r="M811" s="20">
        <v>5.143276970746129E19</v>
      </c>
    </row>
    <row r="812">
      <c r="A812" s="6"/>
      <c r="B812" s="6"/>
      <c r="C812" s="4"/>
      <c r="D812" s="4">
        <v>148.439374913868</v>
      </c>
      <c r="E812" s="4" t="s">
        <v>1507</v>
      </c>
      <c r="F812" s="4"/>
      <c r="G812" s="4"/>
      <c r="H812" s="4"/>
      <c r="I812" s="4" t="str">
        <f>IFERROR(__xludf.DUMMYFUNCTION("""COMPUTED_VALUE"""),"0xc825c4ed0ce2607939a201f12b591f015d634090")</f>
        <v>0xc825c4ed0ce2607939a201f12b591f015d634090</v>
      </c>
      <c r="J812" s="18">
        <v>382.81546272096455</v>
      </c>
      <c r="K812" s="4">
        <v>4785.193284012057</v>
      </c>
      <c r="L812" s="19">
        <v>4.785193284012057E21</v>
      </c>
      <c r="M812" s="20">
        <v>4.7851932840120576E20</v>
      </c>
    </row>
    <row r="813">
      <c r="A813" s="6"/>
      <c r="B813" s="6"/>
      <c r="C813" s="4"/>
      <c r="D813" s="4">
        <v>7.0685416625651705</v>
      </c>
      <c r="E813" s="4" t="s">
        <v>1509</v>
      </c>
      <c r="F813" s="4"/>
      <c r="G813" s="4"/>
      <c r="H813" s="4"/>
      <c r="I813" s="4" t="str">
        <f>IFERROR(__xludf.DUMMYFUNCTION("""COMPUTED_VALUE"""),"0x69bfb6db7b3d6e65f0394389eda3ddffcd54dec0")</f>
        <v>0x69bfb6db7b3d6e65f0394389eda3ddffcd54dec0</v>
      </c>
      <c r="J813" s="18">
        <v>7.0685416625651705</v>
      </c>
      <c r="K813" s="4">
        <v>88.35677078206463</v>
      </c>
      <c r="L813" s="19">
        <v>8.835677078206462E19</v>
      </c>
      <c r="M813" s="20">
        <v>8.835677078206463E18</v>
      </c>
    </row>
    <row r="814">
      <c r="A814" s="6"/>
      <c r="B814" s="6"/>
      <c r="C814" s="4"/>
      <c r="D814" s="4">
        <v>6.44432694712376</v>
      </c>
      <c r="E814" s="4" t="s">
        <v>1510</v>
      </c>
      <c r="F814" s="4"/>
      <c r="G814" s="4"/>
      <c r="H814" s="4"/>
      <c r="I814" s="4" t="str">
        <f>IFERROR(__xludf.DUMMYFUNCTION("""COMPUTED_VALUE"""),"0x5336d8092881fd3afa286ff9c7baabe91d71986f")</f>
        <v>0x5336d8092881fd3afa286ff9c7baabe91d71986f</v>
      </c>
      <c r="J814" s="18">
        <v>6.44432694712376</v>
      </c>
      <c r="K814" s="4">
        <v>80.554086839047</v>
      </c>
      <c r="L814" s="19">
        <v>8.0554086839047E19</v>
      </c>
      <c r="M814" s="20">
        <v>8.0554086839047E18</v>
      </c>
    </row>
    <row r="815">
      <c r="A815" s="6"/>
      <c r="B815" s="6"/>
      <c r="C815" s="4"/>
      <c r="D815" s="4">
        <v>21.2056249876955</v>
      </c>
      <c r="E815" s="4" t="s">
        <v>1512</v>
      </c>
      <c r="F815" s="4"/>
      <c r="G815" s="4"/>
      <c r="H815" s="4"/>
      <c r="I815" s="4" t="str">
        <f>IFERROR(__xludf.DUMMYFUNCTION("""COMPUTED_VALUE"""),"0x8900612485de7ccfa8ba99cc88701617acb7f3b2")</f>
        <v>0x8900612485de7ccfa8ba99cc88701617acb7f3b2</v>
      </c>
      <c r="J815" s="18">
        <v>255.58171279479208</v>
      </c>
      <c r="K815" s="4">
        <v>3194.771409934901</v>
      </c>
      <c r="L815" s="19">
        <v>3.194771409934901E21</v>
      </c>
      <c r="M815" s="20">
        <v>3.194771409934901E20</v>
      </c>
    </row>
    <row r="816">
      <c r="A816" s="6"/>
      <c r="B816" s="6"/>
      <c r="C816" s="4"/>
      <c r="D816" s="4">
        <v>279.49219750105</v>
      </c>
      <c r="E816" s="4" t="s">
        <v>1514</v>
      </c>
      <c r="F816" s="4"/>
      <c r="G816" s="4"/>
      <c r="H816" s="4"/>
      <c r="I816" s="4" t="str">
        <f>IFERROR(__xludf.DUMMYFUNCTION("""COMPUTED_VALUE"""),"0x31c919723c29f5efe10cee0c28789f85946ac6b9")</f>
        <v>0x31c919723c29f5efe10cee0c28789f85946ac6b9</v>
      </c>
      <c r="J816" s="18">
        <v>513.8682853081466</v>
      </c>
      <c r="K816" s="4">
        <v>6423.353566351832</v>
      </c>
      <c r="L816" s="19">
        <v>6.423353566351833E21</v>
      </c>
      <c r="M816" s="20">
        <v>6.423353566351833E20</v>
      </c>
    </row>
    <row r="817">
      <c r="A817" s="6"/>
      <c r="B817" s="6"/>
      <c r="C817" s="4"/>
      <c r="D817" s="4">
        <v>7.35128332906777</v>
      </c>
      <c r="E817" s="4" t="s">
        <v>1516</v>
      </c>
      <c r="F817" s="4"/>
      <c r="G817" s="4"/>
      <c r="H817" s="4"/>
      <c r="I817" s="4" t="str">
        <f>IFERROR(__xludf.DUMMYFUNCTION("""COMPUTED_VALUE"""),"0x19e74710863a4a4031aec6466108ae501777556e")</f>
        <v>0x19e74710863a4a4031aec6466108ae501777556e</v>
      </c>
      <c r="J817" s="18">
        <v>7.35128332906777</v>
      </c>
      <c r="K817" s="4">
        <v>91.89104161334713</v>
      </c>
      <c r="L817" s="19">
        <v>9.189104161334713E19</v>
      </c>
      <c r="M817" s="20">
        <v>9.189104161334713E18</v>
      </c>
    </row>
    <row r="818">
      <c r="A818" s="6"/>
      <c r="B818" s="6"/>
      <c r="C818" s="4"/>
      <c r="D818" s="4">
        <v>530.281995525639</v>
      </c>
      <c r="E818" s="4" t="s">
        <v>1517</v>
      </c>
      <c r="F818" s="4"/>
      <c r="G818" s="4"/>
      <c r="H818" s="4"/>
      <c r="I818" s="4" t="str">
        <f>IFERROR(__xludf.DUMMYFUNCTION("""COMPUTED_VALUE"""),"0x4e1cf0b8e675d8aa54f3fcc24b750111cc01069e")</f>
        <v>0x4e1cf0b8e675d8aa54f3fcc24b750111cc01069e</v>
      </c>
      <c r="J818" s="18">
        <v>764.6580833327356</v>
      </c>
      <c r="K818" s="4">
        <v>9558.226041659194</v>
      </c>
      <c r="L818" s="19">
        <v>9.558226041659195E21</v>
      </c>
      <c r="M818" s="20">
        <v>9.558226041659195E20</v>
      </c>
    </row>
    <row r="819">
      <c r="A819" s="6"/>
      <c r="B819" s="6"/>
      <c r="C819" s="4"/>
      <c r="D819" s="4">
        <v>110.207736946992</v>
      </c>
      <c r="E819" s="4" t="s">
        <v>1518</v>
      </c>
      <c r="F819" s="4"/>
      <c r="G819" s="4"/>
      <c r="H819" s="4"/>
      <c r="I819" s="4" t="str">
        <f>IFERROR(__xludf.DUMMYFUNCTION("""COMPUTED_VALUE"""),"0x831abcb05c00533c61cefc0e1812504c7b604dd2")</f>
        <v>0x831abcb05c00533c61cefc0e1812504c7b604dd2</v>
      </c>
      <c r="J819" s="18">
        <v>110.207736946992</v>
      </c>
      <c r="K819" s="4">
        <v>1377.5967118373999</v>
      </c>
      <c r="L819" s="19">
        <v>1.3775967118373998E21</v>
      </c>
      <c r="M819" s="20">
        <v>1.3775967118373998E20</v>
      </c>
    </row>
    <row r="820">
      <c r="A820" s="6"/>
      <c r="B820" s="6"/>
      <c r="C820" s="4"/>
      <c r="D820" s="4">
        <v>105.22007320435301</v>
      </c>
      <c r="E820" s="4" t="s">
        <v>1520</v>
      </c>
      <c r="F820" s="4"/>
      <c r="G820" s="4"/>
      <c r="H820" s="4"/>
      <c r="I820" s="4" t="str">
        <f>IFERROR(__xludf.DUMMYFUNCTION("""COMPUTED_VALUE"""),"0xd735fa50e1a259d8f85b5389dc1bd48e5d0ebe70")</f>
        <v>0xd735fa50e1a259d8f85b5389dc1bd48e5d0ebe70</v>
      </c>
      <c r="J820" s="18">
        <v>233.5220198727934</v>
      </c>
      <c r="K820" s="4">
        <v>2919.0252484099174</v>
      </c>
      <c r="L820" s="19">
        <v>2.9190252484099173E21</v>
      </c>
      <c r="M820" s="20">
        <v>2.9190252484099175E20</v>
      </c>
    </row>
    <row r="821">
      <c r="A821" s="6"/>
      <c r="B821" s="6"/>
      <c r="C821" s="4"/>
      <c r="D821" s="4">
        <v>22.7528342801379</v>
      </c>
      <c r="E821" s="4" t="s">
        <v>1522</v>
      </c>
      <c r="F821" s="4"/>
      <c r="G821" s="4"/>
      <c r="H821" s="4"/>
      <c r="I821" s="4" t="str">
        <f>IFERROR(__xludf.DUMMYFUNCTION("""COMPUTED_VALUE"""),"0x9a9010c2abc5b5ab3ab9644297b9fc20e09076dc")</f>
        <v>0x9a9010c2abc5b5ab3ab9644297b9fc20e09076dc</v>
      </c>
      <c r="J821" s="18">
        <v>22.7528342801379</v>
      </c>
      <c r="K821" s="4">
        <v>284.41042850172374</v>
      </c>
      <c r="L821" s="19">
        <v>2.8441042850172374E20</v>
      </c>
      <c r="M821" s="20">
        <v>2.8441042850172375E19</v>
      </c>
    </row>
    <row r="822">
      <c r="A822" s="6"/>
      <c r="B822" s="6"/>
      <c r="C822" s="4"/>
      <c r="D822" s="4">
        <v>70.6854166256517</v>
      </c>
      <c r="E822" s="4" t="s">
        <v>1524</v>
      </c>
      <c r="F822" s="4"/>
      <c r="G822" s="4"/>
      <c r="H822" s="4"/>
      <c r="I822" s="4" t="str">
        <f>IFERROR(__xludf.DUMMYFUNCTION("""COMPUTED_VALUE"""),"0x6458f999e595d3bda5692db9df011ccd4ab13a96")</f>
        <v>0x6458f999e595d3bda5692db9df011ccd4ab13a96</v>
      </c>
      <c r="J822" s="18">
        <v>119.0495442252483</v>
      </c>
      <c r="K822" s="4">
        <v>1488.1193028156038</v>
      </c>
      <c r="L822" s="19">
        <v>1.4881193028156038E21</v>
      </c>
      <c r="M822" s="20">
        <v>1.4881193028156038E20</v>
      </c>
    </row>
    <row r="823">
      <c r="A823" s="6"/>
      <c r="B823" s="6"/>
      <c r="C823" s="4"/>
      <c r="D823" s="4">
        <v>24.758058478122</v>
      </c>
      <c r="E823" s="4" t="s">
        <v>1525</v>
      </c>
      <c r="F823" s="4"/>
      <c r="G823" s="4"/>
      <c r="H823" s="4"/>
      <c r="I823" s="4" t="str">
        <f>IFERROR(__xludf.DUMMYFUNCTION("""COMPUTED_VALUE"""),"0xfa3bdf93d377691008d248f989634db9b6d4319e")</f>
        <v>0xfa3bdf93d377691008d248f989634db9b6d4319e</v>
      </c>
      <c r="J823" s="18">
        <v>24.758058478122</v>
      </c>
      <c r="K823" s="4">
        <v>309.47573097652497</v>
      </c>
      <c r="L823" s="19">
        <v>3.09475730976525E20</v>
      </c>
      <c r="M823" s="20">
        <v>3.0947573097652503E19</v>
      </c>
    </row>
    <row r="824">
      <c r="A824" s="6"/>
      <c r="B824" s="6"/>
      <c r="C824" s="4"/>
      <c r="D824" s="4">
        <v>7.32218459610969</v>
      </c>
      <c r="E824" s="4" t="s">
        <v>1527</v>
      </c>
      <c r="F824" s="4"/>
      <c r="G824" s="4"/>
      <c r="H824" s="4"/>
      <c r="I824" s="4" t="str">
        <f>IFERROR(__xludf.DUMMYFUNCTION("""COMPUTED_VALUE"""),"0xbe0630e6dcc23f642cc87c5f744b3d28a5d1f5cd")</f>
        <v>0xbe0630e6dcc23f642cc87c5f744b3d28a5d1f5cd</v>
      </c>
      <c r="J824" s="18">
        <v>93.93510498491818</v>
      </c>
      <c r="K824" s="4">
        <v>1174.1888123114772</v>
      </c>
      <c r="L824" s="19">
        <v>1.1741888123114772E21</v>
      </c>
      <c r="M824" s="20">
        <v>1.1741888123114773E20</v>
      </c>
    </row>
    <row r="825">
      <c r="A825" s="6"/>
      <c r="B825" s="6"/>
      <c r="C825" s="4"/>
      <c r="D825" s="4">
        <v>26.075145835656603</v>
      </c>
      <c r="E825" s="4" t="s">
        <v>1529</v>
      </c>
      <c r="F825" s="4"/>
      <c r="G825" s="4"/>
      <c r="H825" s="4"/>
      <c r="I825" s="4" t="str">
        <f>IFERROR(__xludf.DUMMYFUNCTION("""COMPUTED_VALUE"""),"0x39bf18c73ffcaeee81df24f491a0ba2a9e39b04c")</f>
        <v>0x39bf18c73ffcaeee81df24f491a0ba2a9e39b04c</v>
      </c>
      <c r="J825" s="18">
        <v>26.075145835656603</v>
      </c>
      <c r="K825" s="4">
        <v>325.93932294570754</v>
      </c>
      <c r="L825" s="19">
        <v>3.259393229457076E20</v>
      </c>
      <c r="M825" s="20">
        <v>3.259393229457076E19</v>
      </c>
    </row>
    <row r="826">
      <c r="A826" s="6"/>
      <c r="B826" s="6"/>
      <c r="C826" s="4"/>
      <c r="D826" s="4">
        <v>0.774503674614463</v>
      </c>
      <c r="E826" s="4" t="s">
        <v>1531</v>
      </c>
      <c r="F826" s="4"/>
      <c r="G826" s="4"/>
      <c r="H826" s="4"/>
      <c r="I826" s="4" t="str">
        <f>IFERROR(__xludf.DUMMYFUNCTION("""COMPUTED_VALUE"""),"0x9f6a5783cdb187fcc379dcec78cc6720235ba568")</f>
        <v>0x9f6a5783cdb187fcc379dcec78cc6720235ba568</v>
      </c>
      <c r="J826" s="18">
        <v>0.774503674614463</v>
      </c>
      <c r="K826" s="4">
        <v>9.681295932680788</v>
      </c>
      <c r="L826" s="19">
        <v>9.681295932680788E18</v>
      </c>
      <c r="M826" s="20">
        <v>9.681295932680788E17</v>
      </c>
    </row>
    <row r="827">
      <c r="A827" s="6"/>
      <c r="B827" s="6"/>
      <c r="C827" s="4"/>
      <c r="D827" s="4">
        <v>49.9265323182998</v>
      </c>
      <c r="E827" s="4" t="s">
        <v>1533</v>
      </c>
      <c r="F827" s="4"/>
      <c r="G827" s="4"/>
      <c r="H827" s="4"/>
      <c r="I827" s="4" t="str">
        <f>IFERROR(__xludf.DUMMYFUNCTION("""COMPUTED_VALUE"""),"0xc3a9423a95135d04f8177c67972ce885fa65072f")</f>
        <v>0xc3a9423a95135d04f8177c67972ce885fa65072f</v>
      </c>
      <c r="J827" s="18">
        <v>98.29065991789639</v>
      </c>
      <c r="K827" s="4">
        <v>1228.633248973705</v>
      </c>
      <c r="L827" s="19">
        <v>1.228633248973705E21</v>
      </c>
      <c r="M827" s="20">
        <v>1.228633248973705E20</v>
      </c>
    </row>
    <row r="828">
      <c r="A828" s="6"/>
      <c r="B828" s="6"/>
      <c r="C828" s="4"/>
      <c r="D828" s="4">
        <v>5.2001838085632</v>
      </c>
      <c r="E828" s="4" t="s">
        <v>1535</v>
      </c>
      <c r="F828" s="4"/>
      <c r="G828" s="4"/>
      <c r="H828" s="4"/>
      <c r="I828" s="4" t="str">
        <f>IFERROR(__xludf.DUMMYFUNCTION("""COMPUTED_VALUE"""),"0xb831dd3e7ae21ad9650354fd465b083858a97121")</f>
        <v>0xb831dd3e7ae21ad9650354fd465b083858a97121</v>
      </c>
      <c r="J828" s="18">
        <v>12.24582303306372</v>
      </c>
      <c r="K828" s="4">
        <v>153.0727879132965</v>
      </c>
      <c r="L828" s="19">
        <v>1.530727879132965E20</v>
      </c>
      <c r="M828" s="20">
        <v>1.5307278791329653E19</v>
      </c>
    </row>
    <row r="829">
      <c r="A829" s="6"/>
      <c r="B829" s="6"/>
      <c r="C829" s="4"/>
      <c r="D829" s="4">
        <v>7.0685416625651705</v>
      </c>
      <c r="E829" s="4" t="s">
        <v>1537</v>
      </c>
      <c r="F829" s="4"/>
      <c r="G829" s="4"/>
      <c r="H829" s="4"/>
      <c r="I829" s="4" t="str">
        <f>IFERROR(__xludf.DUMMYFUNCTION("""COMPUTED_VALUE"""),"0x458700e135182311106b5c1b74d561bf994fc2a4")</f>
        <v>0x458700e135182311106b5c1b74d561bf994fc2a4</v>
      </c>
      <c r="J829" s="18">
        <v>7.0685416625651705</v>
      </c>
      <c r="K829" s="4">
        <v>88.35677078206463</v>
      </c>
      <c r="L829" s="19">
        <v>8.835677078206462E19</v>
      </c>
      <c r="M829" s="20">
        <v>8.835677078206463E18</v>
      </c>
    </row>
    <row r="830">
      <c r="A830" s="6"/>
      <c r="B830" s="6"/>
      <c r="C830" s="4"/>
      <c r="D830" s="4">
        <v>35.3427083128258</v>
      </c>
      <c r="E830" s="4" t="s">
        <v>1538</v>
      </c>
      <c r="F830" s="4"/>
      <c r="G830" s="4"/>
      <c r="H830" s="4"/>
      <c r="I830" s="4" t="str">
        <f>IFERROR(__xludf.DUMMYFUNCTION("""COMPUTED_VALUE"""),"0x03812c2aa86deb12463e5f601a30015098bad3a1")</f>
        <v>0x03812c2aa86deb12463e5f601a30015098bad3a1</v>
      </c>
      <c r="J830" s="18">
        <v>35.3427083128258</v>
      </c>
      <c r="K830" s="4">
        <v>441.7838539103225</v>
      </c>
      <c r="L830" s="19">
        <v>4.4178385391032245E20</v>
      </c>
      <c r="M830" s="20">
        <v>4.417838539103225E19</v>
      </c>
    </row>
    <row r="831">
      <c r="A831" s="6"/>
      <c r="B831" s="6"/>
      <c r="C831" s="4"/>
      <c r="D831" s="4">
        <v>14.1512204083141</v>
      </c>
      <c r="E831" s="4" t="s">
        <v>1539</v>
      </c>
      <c r="F831" s="4"/>
      <c r="G831" s="4"/>
      <c r="H831" s="4"/>
      <c r="I831" s="4" t="str">
        <f>IFERROR(__xludf.DUMMYFUNCTION("""COMPUTED_VALUE"""),"0x8ba417d05256e8277accc018215a9585d8a57972")</f>
        <v>0x8ba417d05256e8277accc018215a9585d8a57972</v>
      </c>
      <c r="J831" s="18">
        <v>14.1512204083141</v>
      </c>
      <c r="K831" s="4">
        <v>176.89025510392625</v>
      </c>
      <c r="L831" s="19">
        <v>1.7689025510392624E20</v>
      </c>
      <c r="M831" s="20">
        <v>1.7689025510392625E19</v>
      </c>
    </row>
    <row r="832">
      <c r="A832" s="6"/>
      <c r="B832" s="6"/>
      <c r="C832" s="4"/>
      <c r="D832" s="4">
        <v>156.462439251988</v>
      </c>
      <c r="E832" s="4" t="s">
        <v>1541</v>
      </c>
      <c r="F832" s="4"/>
      <c r="G832" s="4"/>
      <c r="H832" s="4"/>
      <c r="I832" s="4" t="str">
        <f>IFERROR(__xludf.DUMMYFUNCTION("""COMPUTED_VALUE"""),"0x593cb13b5bbcb2ba8456aa15cda4c96418373faa")</f>
        <v>0x593cb13b5bbcb2ba8456aa15cda4c96418373faa</v>
      </c>
      <c r="J832" s="18">
        <v>304.3306797045707</v>
      </c>
      <c r="K832" s="4">
        <v>3804.1334963071336</v>
      </c>
      <c r="L832" s="19">
        <v>3.8041334963071337E21</v>
      </c>
      <c r="M832" s="20">
        <v>3.804133496307134E20</v>
      </c>
    </row>
    <row r="833">
      <c r="A833" s="6"/>
      <c r="B833" s="6"/>
      <c r="C833" s="4"/>
      <c r="D833" s="4">
        <v>7.56896476948149</v>
      </c>
      <c r="E833" s="4" t="s">
        <v>1543</v>
      </c>
      <c r="F833" s="4"/>
      <c r="G833" s="4"/>
      <c r="H833" s="4"/>
      <c r="I833" s="4" t="str">
        <f>IFERROR(__xludf.DUMMYFUNCTION("""COMPUTED_VALUE"""),"0xd9b22a3006f5247f7fd3a5d78d79b62a1ce2c13b")</f>
        <v>0xd9b22a3006f5247f7fd3a5d78d79b62a1ce2c13b</v>
      </c>
      <c r="J833" s="18">
        <v>52.92704723726389</v>
      </c>
      <c r="K833" s="4">
        <v>661.5880904657986</v>
      </c>
      <c r="L833" s="19">
        <v>6.615880904657986E20</v>
      </c>
      <c r="M833" s="20">
        <v>6.615880904657986E19</v>
      </c>
    </row>
    <row r="834">
      <c r="A834" s="6"/>
      <c r="B834" s="6"/>
      <c r="C834" s="4"/>
      <c r="D834" s="4">
        <v>7.35128332906777</v>
      </c>
      <c r="E834" s="4" t="s">
        <v>1545</v>
      </c>
      <c r="F834" s="4"/>
      <c r="G834" s="4"/>
      <c r="H834" s="4"/>
      <c r="I834" s="4" t="str">
        <f>IFERROR(__xludf.DUMMYFUNCTION("""COMPUTED_VALUE"""),"0x02692deba5e6310b82cf8169058dda036cec8299")</f>
        <v>0x02692deba5e6310b82cf8169058dda036cec8299</v>
      </c>
      <c r="J834" s="18">
        <v>7.35128332906777</v>
      </c>
      <c r="K834" s="4">
        <v>91.89104161334713</v>
      </c>
      <c r="L834" s="19">
        <v>9.189104161334713E19</v>
      </c>
      <c r="M834" s="20">
        <v>9.189104161334713E18</v>
      </c>
    </row>
    <row r="835">
      <c r="A835" s="6"/>
      <c r="B835" s="6"/>
      <c r="C835" s="4"/>
      <c r="D835" s="4">
        <v>4.3666776690632</v>
      </c>
      <c r="E835" s="4" t="s">
        <v>1546</v>
      </c>
      <c r="F835" s="4"/>
      <c r="G835" s="4"/>
      <c r="H835" s="4"/>
      <c r="I835" s="4" t="str">
        <f>IFERROR(__xludf.DUMMYFUNCTION("""COMPUTED_VALUE"""),"0xc6d8223b76f76d73a7a6d418799311f973608026")</f>
        <v>0xc6d8223b76f76d73a7a6d418799311f973608026</v>
      </c>
      <c r="J835" s="18">
        <v>4.3666776690632</v>
      </c>
      <c r="K835" s="4">
        <v>54.583470863289996</v>
      </c>
      <c r="L835" s="19">
        <v>5.458347086329E19</v>
      </c>
      <c r="M835" s="20">
        <v>5.458347086329E18</v>
      </c>
    </row>
    <row r="836">
      <c r="A836" s="6"/>
      <c r="B836" s="6"/>
      <c r="C836" s="4"/>
      <c r="D836" s="4">
        <v>9.296040584126931</v>
      </c>
      <c r="E836" s="4" t="s">
        <v>1548</v>
      </c>
      <c r="F836" s="4"/>
      <c r="G836" s="4"/>
      <c r="H836" s="4"/>
      <c r="I836" s="4" t="str">
        <f>IFERROR(__xludf.DUMMYFUNCTION("""COMPUTED_VALUE"""),"0xcc88297004f8c1f65edb05e88ca09ecade646dd0")</f>
        <v>0xcc88297004f8c1f65edb05e88ca09ecade646dd0</v>
      </c>
      <c r="J836" s="18">
        <v>9.296040584126931</v>
      </c>
      <c r="K836" s="4">
        <v>116.20050730158664</v>
      </c>
      <c r="L836" s="19">
        <v>1.1620050730158663E20</v>
      </c>
      <c r="M836" s="20">
        <v>1.1620050730158664E19</v>
      </c>
    </row>
    <row r="837">
      <c r="A837" s="6"/>
      <c r="B837" s="6"/>
      <c r="C837" s="4"/>
      <c r="D837" s="4">
        <v>7.13183478658633</v>
      </c>
      <c r="E837" s="4" t="s">
        <v>1550</v>
      </c>
      <c r="F837" s="4"/>
      <c r="G837" s="4"/>
      <c r="H837" s="4"/>
      <c r="I837" s="4" t="str">
        <f>IFERROR(__xludf.DUMMYFUNCTION("""COMPUTED_VALUE"""),"0xcd734d4ae564b3837c2123f07af9aed0e4b848cd")</f>
        <v>0xcd734d4ae564b3837c2123f07af9aed0e4b848cd</v>
      </c>
      <c r="J837" s="18">
        <v>7.13183478658633</v>
      </c>
      <c r="K837" s="4">
        <v>89.14793483232913</v>
      </c>
      <c r="L837" s="19">
        <v>8.914793483232913E19</v>
      </c>
      <c r="M837" s="20">
        <v>8.914793483232913E18</v>
      </c>
    </row>
    <row r="838">
      <c r="A838" s="6"/>
      <c r="B838" s="6"/>
      <c r="C838" s="4"/>
      <c r="D838" s="4">
        <v>7.0685416625651705</v>
      </c>
      <c r="E838" s="4" t="s">
        <v>1552</v>
      </c>
      <c r="F838" s="4"/>
      <c r="G838" s="4"/>
      <c r="H838" s="4"/>
      <c r="I838" s="4" t="str">
        <f>IFERROR(__xludf.DUMMYFUNCTION("""COMPUTED_VALUE"""),"0xca61a844085f35a42a0d8b7ad04e125cd47fcc97")</f>
        <v>0xca61a844085f35a42a0d8b7ad04e125cd47fcc97</v>
      </c>
      <c r="J838" s="18">
        <v>7.0685416625651705</v>
      </c>
      <c r="K838" s="4">
        <v>88.35677078206463</v>
      </c>
      <c r="L838" s="19">
        <v>8.835677078206462E19</v>
      </c>
      <c r="M838" s="20">
        <v>8.835677078206463E18</v>
      </c>
    </row>
    <row r="839">
      <c r="A839" s="6"/>
      <c r="B839" s="6"/>
      <c r="C839" s="4"/>
      <c r="D839" s="4">
        <v>14.1370833251303</v>
      </c>
      <c r="E839" s="4" t="s">
        <v>1553</v>
      </c>
      <c r="F839" s="4"/>
      <c r="G839" s="4"/>
      <c r="H839" s="4"/>
      <c r="I839" s="4" t="str">
        <f>IFERROR(__xludf.DUMMYFUNCTION("""COMPUTED_VALUE"""),"0x00558dac340e2b88e855f60071488b3dc93f0345")</f>
        <v>0x00558dac340e2b88e855f60071488b3dc93f0345</v>
      </c>
      <c r="J839" s="18">
        <v>14.1370833251303</v>
      </c>
      <c r="K839" s="4">
        <v>176.71354156412875</v>
      </c>
      <c r="L839" s="19">
        <v>1.7671354156412876E20</v>
      </c>
      <c r="M839" s="20">
        <v>1.7671354156412877E19</v>
      </c>
    </row>
    <row r="840">
      <c r="A840" s="6"/>
      <c r="B840" s="6"/>
      <c r="C840" s="4"/>
      <c r="D840" s="4">
        <v>91.8910416133472</v>
      </c>
      <c r="E840" s="4" t="s">
        <v>1554</v>
      </c>
      <c r="F840" s="4"/>
      <c r="G840" s="4"/>
      <c r="H840" s="4"/>
      <c r="I840" s="4" t="str">
        <f>IFERROR(__xludf.DUMMYFUNCTION("""COMPUTED_VALUE"""),"0xd31e9a3e1321c89bb6b400eae70a507e49c1f4be")</f>
        <v>0xd31e9a3e1321c89bb6b400eae70a507e49c1f4be</v>
      </c>
      <c r="J840" s="18">
        <v>146.2760384043804</v>
      </c>
      <c r="K840" s="4">
        <v>1828.4504800547547</v>
      </c>
      <c r="L840" s="19">
        <v>1.8284504800547546E21</v>
      </c>
      <c r="M840" s="20">
        <v>1.8284504800547547E20</v>
      </c>
    </row>
    <row r="841">
      <c r="A841" s="6"/>
      <c r="B841" s="6"/>
      <c r="C841" s="4"/>
      <c r="D841" s="4">
        <v>76.1988791224525</v>
      </c>
      <c r="E841" s="4" t="s">
        <v>1556</v>
      </c>
      <c r="F841" s="4"/>
      <c r="G841" s="4"/>
      <c r="H841" s="4"/>
      <c r="I841" s="4" t="str">
        <f>IFERROR(__xludf.DUMMYFUNCTION("""COMPUTED_VALUE"""),"0x0f8dfda2cc073a6160c03ca856bec0f376e54440")</f>
        <v>0x0f8dfda2cc073a6160c03ca856bec0f376e54440</v>
      </c>
      <c r="J841" s="18">
        <v>310.5749669295491</v>
      </c>
      <c r="K841" s="4">
        <v>3882.1870866193635</v>
      </c>
      <c r="L841" s="19">
        <v>3.882187086619364E21</v>
      </c>
      <c r="M841" s="20">
        <v>3.882187086619364E20</v>
      </c>
    </row>
    <row r="842">
      <c r="A842" s="6"/>
      <c r="B842" s="6"/>
      <c r="C842" s="4"/>
      <c r="D842" s="4">
        <v>70.5999002647865</v>
      </c>
      <c r="E842" s="4" t="s">
        <v>1558</v>
      </c>
      <c r="F842" s="4"/>
      <c r="G842" s="4"/>
      <c r="H842" s="4"/>
      <c r="I842" s="4" t="str">
        <f>IFERROR(__xludf.DUMMYFUNCTION("""COMPUTED_VALUE"""),"0xdfc7eea5a18f4fd6503a8a4ef591524f78681cf1")</f>
        <v>0xdfc7eea5a18f4fd6503a8a4ef591524f78681cf1</v>
      </c>
      <c r="J842" s="18">
        <v>70.5999002647865</v>
      </c>
      <c r="K842" s="4">
        <v>882.4987533098312</v>
      </c>
      <c r="L842" s="19">
        <v>8.824987533098312E20</v>
      </c>
      <c r="M842" s="20">
        <v>8.824987533098312E19</v>
      </c>
    </row>
    <row r="843">
      <c r="A843" s="6"/>
      <c r="B843" s="6"/>
      <c r="C843" s="4"/>
      <c r="D843" s="4">
        <v>40.2589008569006</v>
      </c>
      <c r="E843" s="4" t="s">
        <v>1560</v>
      </c>
      <c r="F843" s="4"/>
      <c r="G843" s="4"/>
      <c r="H843" s="4"/>
      <c r="I843" s="4" t="str">
        <f>IFERROR(__xludf.DUMMYFUNCTION("""COMPUTED_VALUE"""),"0x0a0033eb496cdcba7b023df5887cfd4010209f08")</f>
        <v>0x0a0033eb496cdcba7b023df5887cfd4010209f08</v>
      </c>
      <c r="J843" s="18">
        <v>88.6230284564972</v>
      </c>
      <c r="K843" s="4">
        <v>1107.787855706215</v>
      </c>
      <c r="L843" s="19">
        <v>1.1077878557062149E21</v>
      </c>
      <c r="M843" s="20">
        <v>1.1077878557062149E20</v>
      </c>
    </row>
    <row r="844">
      <c r="A844" s="6"/>
      <c r="B844" s="6"/>
      <c r="C844" s="4"/>
      <c r="D844" s="4">
        <v>42.453226551758505</v>
      </c>
      <c r="E844" s="4" t="s">
        <v>1562</v>
      </c>
      <c r="F844" s="4"/>
      <c r="G844" s="4"/>
      <c r="H844" s="4"/>
      <c r="I844" s="4" t="str">
        <f>IFERROR(__xludf.DUMMYFUNCTION("""COMPUTED_VALUE"""),"0x5dd546c29cb6e43623bf3b6ddbbf466fb135b580")</f>
        <v>0x5dd546c29cb6e43623bf3b6ddbbf466fb135b580</v>
      </c>
      <c r="J844" s="18">
        <v>42.453226551758505</v>
      </c>
      <c r="K844" s="4">
        <v>530.6653318969813</v>
      </c>
      <c r="L844" s="19">
        <v>5.306653318969813E20</v>
      </c>
      <c r="M844" s="20">
        <v>5.306653318969813E19</v>
      </c>
    </row>
    <row r="845">
      <c r="A845" s="6"/>
      <c r="B845" s="6"/>
      <c r="C845" s="4"/>
      <c r="D845" s="4">
        <v>16.377239693533998</v>
      </c>
      <c r="E845" s="4" t="s">
        <v>1564</v>
      </c>
      <c r="F845" s="4"/>
      <c r="G845" s="4"/>
      <c r="H845" s="4"/>
      <c r="I845" s="4" t="str">
        <f>IFERROR(__xludf.DUMMYFUNCTION("""COMPUTED_VALUE"""),"0x8062ca7de972a1241a8385997f173aa893a27efd")</f>
        <v>0x8062ca7de972a1241a8385997f173aa893a27efd</v>
      </c>
      <c r="J845" s="18">
        <v>16.377239693533998</v>
      </c>
      <c r="K845" s="4">
        <v>204.71549616917497</v>
      </c>
      <c r="L845" s="19">
        <v>2.0471549616917496E20</v>
      </c>
      <c r="M845" s="20">
        <v>2.0471549616917496E19</v>
      </c>
    </row>
    <row r="846">
      <c r="A846" s="6"/>
      <c r="B846" s="6"/>
      <c r="C846" s="4"/>
      <c r="D846" s="4">
        <v>13.778522675089102</v>
      </c>
      <c r="E846" s="4" t="s">
        <v>1566</v>
      </c>
      <c r="F846" s="4"/>
      <c r="G846" s="4"/>
      <c r="H846" s="4"/>
      <c r="I846" s="4" t="str">
        <f>IFERROR(__xludf.DUMMYFUNCTION("""COMPUTED_VALUE"""),"0x920a25ab35b733285efc067a5eb72639c1a3cd42")</f>
        <v>0x920a25ab35b733285efc067a5eb72639c1a3cd42</v>
      </c>
      <c r="J846" s="18">
        <v>13.778522675089102</v>
      </c>
      <c r="K846" s="4">
        <v>172.23153343861378</v>
      </c>
      <c r="L846" s="19">
        <v>1.7223153343861378E20</v>
      </c>
      <c r="M846" s="20">
        <v>1.722315334386138E19</v>
      </c>
    </row>
    <row r="847">
      <c r="A847" s="6"/>
      <c r="B847" s="6"/>
      <c r="C847" s="4"/>
      <c r="D847" s="4">
        <v>62.678830288827804</v>
      </c>
      <c r="E847" s="4" t="s">
        <v>1568</v>
      </c>
      <c r="F847" s="4"/>
      <c r="G847" s="4"/>
      <c r="H847" s="4"/>
      <c r="I847" s="4" t="str">
        <f>IFERROR(__xludf.DUMMYFUNCTION("""COMPUTED_VALUE"""),"0x14ff0bc9417b6796f79768729002a793b51205b8")</f>
        <v>0x14ff0bc9417b6796f79768729002a793b51205b8</v>
      </c>
      <c r="J847" s="18">
        <v>297.0549180959244</v>
      </c>
      <c r="K847" s="4">
        <v>3713.186476199055</v>
      </c>
      <c r="L847" s="19">
        <v>3.713186476199055E21</v>
      </c>
      <c r="M847" s="20">
        <v>3.713186476199055E20</v>
      </c>
    </row>
    <row r="848">
      <c r="A848" s="6"/>
      <c r="B848" s="6"/>
      <c r="C848" s="4"/>
      <c r="D848" s="4">
        <v>61.9204249640709</v>
      </c>
      <c r="E848" s="4" t="s">
        <v>1570</v>
      </c>
      <c r="F848" s="4"/>
      <c r="G848" s="4"/>
      <c r="H848" s="4"/>
      <c r="I848" s="4" t="str">
        <f>IFERROR(__xludf.DUMMYFUNCTION("""COMPUTED_VALUE"""),"0x788c99efa8e6922ce25b6d419a0dd252c3475482")</f>
        <v>0x788c99efa8e6922ce25b6d419a0dd252c3475482</v>
      </c>
      <c r="J848" s="18">
        <v>168.3202841484077</v>
      </c>
      <c r="K848" s="4">
        <v>2104.0035518550962</v>
      </c>
      <c r="L848" s="19">
        <v>2.1040035518550964E21</v>
      </c>
      <c r="M848" s="20">
        <v>2.1040035518550966E20</v>
      </c>
    </row>
    <row r="849">
      <c r="A849" s="6"/>
      <c r="B849" s="6"/>
      <c r="C849" s="4"/>
      <c r="D849" s="4">
        <v>7.0685416625651705</v>
      </c>
      <c r="E849" s="4" t="s">
        <v>1572</v>
      </c>
      <c r="F849" s="4"/>
      <c r="G849" s="4"/>
      <c r="H849" s="4"/>
      <c r="I849" s="4" t="str">
        <f>IFERROR(__xludf.DUMMYFUNCTION("""COMPUTED_VALUE"""),"0xa70e503c3cf28645a2fb289dce52984cd3dca808")</f>
        <v>0xa70e503c3cf28645a2fb289dce52984cd3dca808</v>
      </c>
      <c r="J849" s="18">
        <v>7.0685416625651705</v>
      </c>
      <c r="K849" s="4">
        <v>88.35677078206463</v>
      </c>
      <c r="L849" s="19">
        <v>8.835677078206462E19</v>
      </c>
      <c r="M849" s="20">
        <v>8.835677078206463E18</v>
      </c>
    </row>
    <row r="850">
      <c r="A850" s="6"/>
      <c r="B850" s="6"/>
      <c r="C850" s="4"/>
      <c r="D850" s="4">
        <v>312.61007293106803</v>
      </c>
      <c r="E850" s="4" t="s">
        <v>1573</v>
      </c>
      <c r="F850" s="4"/>
      <c r="G850" s="4"/>
      <c r="H850" s="4"/>
      <c r="I850" s="4" t="str">
        <f>IFERROR(__xludf.DUMMYFUNCTION("""COMPUTED_VALUE"""),"0x6aa33d1f92f2b64db7be6d8190390091dc69c8ff")</f>
        <v>0x6aa33d1f92f2b64db7be6d8190390091dc69c8ff</v>
      </c>
      <c r="J850" s="18">
        <v>546.9861607381646</v>
      </c>
      <c r="K850" s="4">
        <v>6837.327009227057</v>
      </c>
      <c r="L850" s="19">
        <v>6.837327009227057E21</v>
      </c>
      <c r="M850" s="20">
        <v>6.837327009227057E20</v>
      </c>
    </row>
    <row r="851">
      <c r="A851" s="6"/>
      <c r="B851" s="6"/>
      <c r="C851" s="4"/>
      <c r="D851" s="4">
        <v>14.1370833251303</v>
      </c>
      <c r="E851" s="4" t="s">
        <v>1575</v>
      </c>
      <c r="F851" s="4"/>
      <c r="G851" s="4"/>
      <c r="H851" s="4"/>
      <c r="I851" s="4" t="str">
        <f>IFERROR(__xludf.DUMMYFUNCTION("""COMPUTED_VALUE"""),"0x2da8a8957b0c59646f553328d57d851de26d0b50")</f>
        <v>0x2da8a8957b0c59646f553328d57d851de26d0b50</v>
      </c>
      <c r="J851" s="18">
        <v>62.5012109247269</v>
      </c>
      <c r="K851" s="4">
        <v>781.2651365590862</v>
      </c>
      <c r="L851" s="19">
        <v>7.812651365590861E20</v>
      </c>
      <c r="M851" s="20">
        <v>7.812651365590861E19</v>
      </c>
    </row>
    <row r="852">
      <c r="A852" s="6"/>
      <c r="B852" s="6"/>
      <c r="C852" s="4"/>
      <c r="D852" s="4">
        <v>702.170528581632</v>
      </c>
      <c r="E852" s="4" t="s">
        <v>1576</v>
      </c>
      <c r="F852" s="4"/>
      <c r="G852" s="4"/>
      <c r="H852" s="4"/>
      <c r="I852" s="4" t="str">
        <f>IFERROR(__xludf.DUMMYFUNCTION("""COMPUTED_VALUE"""),"0xe356fe28b7b6b015a3b2bb4419dbdf2777d7420b")</f>
        <v>0xe356fe28b7b6b015a3b2bb4419dbdf2777d7420b</v>
      </c>
      <c r="J852" s="18">
        <v>936.5466163887286</v>
      </c>
      <c r="K852" s="4">
        <v>11706.832704859107</v>
      </c>
      <c r="L852" s="19">
        <v>1.1706832704859107E22</v>
      </c>
      <c r="M852" s="20">
        <v>1.1706832704859107E21</v>
      </c>
    </row>
    <row r="853">
      <c r="A853" s="6"/>
      <c r="B853" s="6"/>
      <c r="C853" s="4"/>
      <c r="D853" s="4">
        <v>0.488192695558875</v>
      </c>
      <c r="E853" s="4" t="s">
        <v>1578</v>
      </c>
      <c r="F853" s="4"/>
      <c r="G853" s="4"/>
      <c r="H853" s="4"/>
      <c r="I853" s="4" t="str">
        <f>IFERROR(__xludf.DUMMYFUNCTION("""COMPUTED_VALUE"""),"0x760f434ca5a1413fe66c03487acceda8c4d57743")</f>
        <v>0x760f434ca5a1413fe66c03487acceda8c4d57743</v>
      </c>
      <c r="J853" s="18">
        <v>0.488192695558875</v>
      </c>
      <c r="K853" s="4">
        <v>6.102408694485938</v>
      </c>
      <c r="L853" s="19">
        <v>6.102408694485938E18</v>
      </c>
      <c r="M853" s="20">
        <v>6.102408694485938E17</v>
      </c>
    </row>
    <row r="854">
      <c r="A854" s="6"/>
      <c r="B854" s="6"/>
      <c r="C854" s="4"/>
      <c r="D854" s="4">
        <v>239.74536084526102</v>
      </c>
      <c r="E854" s="4" t="s">
        <v>1580</v>
      </c>
      <c r="F854" s="4"/>
      <c r="G854" s="4"/>
      <c r="H854" s="4"/>
      <c r="I854" s="4" t="str">
        <f>IFERROR(__xludf.DUMMYFUNCTION("""COMPUTED_VALUE"""),"0xa24211300477220b0bdf0d883c5b708e00b5c1cf")</f>
        <v>0xa24211300477220b0bdf0d883c5b708e00b5c1cf</v>
      </c>
      <c r="J854" s="18">
        <v>239.74536084526102</v>
      </c>
      <c r="K854" s="4">
        <v>2996.8170105657628</v>
      </c>
      <c r="L854" s="19">
        <v>2.996817010565763E21</v>
      </c>
      <c r="M854" s="20">
        <v>2.996817010565763E20</v>
      </c>
    </row>
    <row r="855">
      <c r="A855" s="6"/>
      <c r="B855" s="6"/>
      <c r="C855" s="4"/>
      <c r="D855" s="4">
        <v>7.91440927487161</v>
      </c>
      <c r="E855" s="4" t="s">
        <v>1582</v>
      </c>
      <c r="F855" s="4"/>
      <c r="G855" s="4"/>
      <c r="H855" s="4"/>
      <c r="I855" s="4" t="str">
        <f>IFERROR(__xludf.DUMMYFUNCTION("""COMPUTED_VALUE"""),"0x400d34aa2620c116e3501910d7b23603aa2b54f7")</f>
        <v>0x400d34aa2620c116e3501910d7b23603aa2b54f7</v>
      </c>
      <c r="J855" s="18">
        <v>7.91440927487161</v>
      </c>
      <c r="K855" s="4">
        <v>98.93011593589512</v>
      </c>
      <c r="L855" s="19">
        <v>9.893011593589511E19</v>
      </c>
      <c r="M855" s="20">
        <v>9.893011593589512E18</v>
      </c>
    </row>
    <row r="856">
      <c r="A856" s="6"/>
      <c r="B856" s="6"/>
      <c r="C856" s="4"/>
      <c r="D856" s="4">
        <v>7.77020612621406</v>
      </c>
      <c r="E856" s="4" t="s">
        <v>1584</v>
      </c>
      <c r="F856" s="4"/>
      <c r="G856" s="4"/>
      <c r="H856" s="4"/>
      <c r="I856" s="4" t="str">
        <f>IFERROR(__xludf.DUMMYFUNCTION("""COMPUTED_VALUE"""),"0xc81914be253b8a11fafd01c9d4783af48516f569")</f>
        <v>0xc81914be253b8a11fafd01c9d4783af48516f569</v>
      </c>
      <c r="J856" s="18">
        <v>7.77020612621406</v>
      </c>
      <c r="K856" s="4">
        <v>97.12757657767574</v>
      </c>
      <c r="L856" s="19">
        <v>9.712757657767574E19</v>
      </c>
      <c r="M856" s="20">
        <v>9.712757657767574E18</v>
      </c>
    </row>
    <row r="857">
      <c r="A857" s="6"/>
      <c r="B857" s="6"/>
      <c r="C857" s="4"/>
      <c r="D857" s="4">
        <v>7.93006203038411</v>
      </c>
      <c r="E857" s="4" t="s">
        <v>1586</v>
      </c>
      <c r="F857" s="4"/>
      <c r="G857" s="4"/>
      <c r="H857" s="4"/>
      <c r="I857" s="4" t="str">
        <f>IFERROR(__xludf.DUMMYFUNCTION("""COMPUTED_VALUE"""),"0x15257ed47782b947066c57207e5c212c1c980197")</f>
        <v>0x15257ed47782b947066c57207e5c212c1c980197</v>
      </c>
      <c r="J857" s="18">
        <v>56.29418962998071</v>
      </c>
      <c r="K857" s="4">
        <v>703.6773703747588</v>
      </c>
      <c r="L857" s="19">
        <v>7.036773703747587E20</v>
      </c>
      <c r="M857" s="20">
        <v>7.036773703747587E19</v>
      </c>
    </row>
    <row r="858">
      <c r="A858" s="6"/>
      <c r="B858" s="6"/>
      <c r="C858" s="4"/>
      <c r="D858" s="4">
        <v>7.0685416625651705</v>
      </c>
      <c r="E858" s="4" t="s">
        <v>1588</v>
      </c>
      <c r="F858" s="4"/>
      <c r="G858" s="4"/>
      <c r="H858" s="4"/>
      <c r="I858" s="4" t="str">
        <f>IFERROR(__xludf.DUMMYFUNCTION("""COMPUTED_VALUE"""),"0x299566e3049d9bad9492e24035bd636965ae9be0")</f>
        <v>0x299566e3049d9bad9492e24035bd636965ae9be0</v>
      </c>
      <c r="J858" s="18">
        <v>55.43266926216177</v>
      </c>
      <c r="K858" s="4">
        <v>692.908365777022</v>
      </c>
      <c r="L858" s="19">
        <v>6.929083657770221E20</v>
      </c>
      <c r="M858" s="20">
        <v>6.9290836577702216E19</v>
      </c>
    </row>
    <row r="859">
      <c r="A859" s="6"/>
      <c r="B859" s="6"/>
      <c r="C859" s="4"/>
      <c r="D859" s="4">
        <v>17.4324973350312</v>
      </c>
      <c r="E859" s="4" t="s">
        <v>1589</v>
      </c>
      <c r="F859" s="4"/>
      <c r="G859" s="4"/>
      <c r="H859" s="4"/>
      <c r="I859" s="4" t="str">
        <f>IFERROR(__xludf.DUMMYFUNCTION("""COMPUTED_VALUE"""),"0xb33c78647dd266127b6d03425cd2393c07a28cca")</f>
        <v>0xb33c78647dd266127b6d03425cd2393c07a28cca</v>
      </c>
      <c r="J859" s="18">
        <v>17.4324973350312</v>
      </c>
      <c r="K859" s="4">
        <v>217.90621668789</v>
      </c>
      <c r="L859" s="19">
        <v>2.1790621668789E20</v>
      </c>
      <c r="M859" s="20">
        <v>2.1790621668789002E19</v>
      </c>
    </row>
    <row r="860">
      <c r="A860" s="6"/>
      <c r="B860" s="6"/>
      <c r="C860" s="4"/>
      <c r="D860" s="4">
        <v>7.1853159893235</v>
      </c>
      <c r="E860" s="4" t="s">
        <v>1591</v>
      </c>
      <c r="F860" s="4"/>
      <c r="G860" s="4"/>
      <c r="H860" s="4"/>
      <c r="I860" s="4" t="str">
        <f>IFERROR(__xludf.DUMMYFUNCTION("""COMPUTED_VALUE"""),"0x1b8d8284f116a0e17ac5f39c0f856bbde0a50a3a")</f>
        <v>0x1b8d8284f116a0e17ac5f39c0f856bbde0a50a3a</v>
      </c>
      <c r="J860" s="18">
        <v>7.1853159893235</v>
      </c>
      <c r="K860" s="4">
        <v>89.81644986654375</v>
      </c>
      <c r="L860" s="19">
        <v>8.981644986654374E19</v>
      </c>
      <c r="M860" s="20">
        <v>8.981644986654375E18</v>
      </c>
    </row>
    <row r="861">
      <c r="A861" s="6"/>
      <c r="B861" s="6"/>
      <c r="C861" s="4"/>
      <c r="D861" s="4">
        <v>14.1370833251303</v>
      </c>
      <c r="E861" s="4" t="s">
        <v>1593</v>
      </c>
      <c r="F861" s="4"/>
      <c r="G861" s="4"/>
      <c r="H861" s="4"/>
      <c r="I861" s="4" t="str">
        <f>IFERROR(__xludf.DUMMYFUNCTION("""COMPUTED_VALUE"""),"0xbed2e8849d745f9692e1bddd0d3152519d795f10")</f>
        <v>0xbed2e8849d745f9692e1bddd0d3152519d795f10</v>
      </c>
      <c r="J861" s="18">
        <v>14.1370833251303</v>
      </c>
      <c r="K861" s="4">
        <v>176.71354156412875</v>
      </c>
      <c r="L861" s="19">
        <v>1.7671354156412876E20</v>
      </c>
      <c r="M861" s="20">
        <v>1.7671354156412877E19</v>
      </c>
    </row>
    <row r="862">
      <c r="A862" s="6"/>
      <c r="B862" s="6"/>
      <c r="C862" s="4"/>
      <c r="D862" s="4">
        <v>28.321171464134597</v>
      </c>
      <c r="E862" s="4" t="s">
        <v>1594</v>
      </c>
      <c r="F862" s="4"/>
      <c r="G862" s="4"/>
      <c r="H862" s="4"/>
      <c r="I862" s="4" t="str">
        <f>IFERROR(__xludf.DUMMYFUNCTION("""COMPUTED_VALUE"""),"0x482fbe17e90dac066b9434e12b1387d5002999e5")</f>
        <v>0x482fbe17e90dac066b9434e12b1387d5002999e5</v>
      </c>
      <c r="J862" s="18">
        <v>28.321171464134597</v>
      </c>
      <c r="K862" s="4">
        <v>354.01464330168244</v>
      </c>
      <c r="L862" s="19">
        <v>3.5401464330168245E20</v>
      </c>
      <c r="M862" s="20">
        <v>3.5401464330168246E19</v>
      </c>
    </row>
    <row r="863">
      <c r="A863" s="6"/>
      <c r="B863" s="6"/>
      <c r="C863" s="4"/>
      <c r="D863" s="4">
        <v>297.585603993993</v>
      </c>
      <c r="E863" s="4" t="s">
        <v>1596</v>
      </c>
      <c r="F863" s="4"/>
      <c r="G863" s="4"/>
      <c r="H863" s="4"/>
      <c r="I863" s="4" t="str">
        <f>IFERROR(__xludf.DUMMYFUNCTION("""COMPUTED_VALUE"""),"0xada4389661b5aa5756636ca7d3c051c3d04edabb")</f>
        <v>0xada4389661b5aa5756636ca7d3c051c3d04edabb</v>
      </c>
      <c r="J863" s="18">
        <v>531.9616918010896</v>
      </c>
      <c r="K863" s="4">
        <v>6649.52114751362</v>
      </c>
      <c r="L863" s="19">
        <v>6.64952114751362E21</v>
      </c>
      <c r="M863" s="20">
        <v>6.64952114751362E20</v>
      </c>
    </row>
    <row r="864">
      <c r="A864" s="6"/>
      <c r="B864" s="6"/>
      <c r="C864" s="4"/>
      <c r="D864" s="4">
        <v>7.52118732895947</v>
      </c>
      <c r="E864" s="4" t="s">
        <v>1598</v>
      </c>
      <c r="F864" s="4"/>
      <c r="G864" s="4"/>
      <c r="H864" s="4"/>
      <c r="I864" s="4" t="str">
        <f>IFERROR(__xludf.DUMMYFUNCTION("""COMPUTED_VALUE"""),"0x2af6da21df6fa813befd019ceda13beb0a7fb816")</f>
        <v>0x2af6da21df6fa813befd019ceda13beb0a7fb816</v>
      </c>
      <c r="J864" s="18">
        <v>7.52118732895947</v>
      </c>
      <c r="K864" s="4">
        <v>94.01484161199338</v>
      </c>
      <c r="L864" s="19">
        <v>9.401484161199338E19</v>
      </c>
      <c r="M864" s="20">
        <v>9.40148416119934E18</v>
      </c>
    </row>
    <row r="865">
      <c r="A865" s="6"/>
      <c r="B865" s="6"/>
      <c r="C865" s="4"/>
      <c r="D865" s="4">
        <v>42.411249975391</v>
      </c>
      <c r="E865" s="4" t="s">
        <v>1600</v>
      </c>
      <c r="F865" s="4"/>
      <c r="G865" s="4"/>
      <c r="H865" s="4"/>
      <c r="I865" s="4" t="str">
        <f>IFERROR(__xludf.DUMMYFUNCTION("""COMPUTED_VALUE"""),"0x3b104a3bddc56b6763257b380dc37ef4645c7810")</f>
        <v>0x3b104a3bddc56b6763257b380dc37ef4645c7810</v>
      </c>
      <c r="J865" s="18">
        <v>42.411249975391</v>
      </c>
      <c r="K865" s="4">
        <v>530.1406246923875</v>
      </c>
      <c r="L865" s="19">
        <v>5.301406246923875E20</v>
      </c>
      <c r="M865" s="20">
        <v>5.301406246923875E19</v>
      </c>
    </row>
    <row r="866">
      <c r="A866" s="6"/>
      <c r="B866" s="6"/>
      <c r="C866" s="4"/>
      <c r="D866" s="4">
        <v>0.103246826528065</v>
      </c>
      <c r="E866" s="4" t="s">
        <v>1601</v>
      </c>
      <c r="F866" s="4"/>
      <c r="G866" s="4"/>
      <c r="H866" s="4"/>
      <c r="I866" s="4" t="str">
        <f>IFERROR(__xludf.DUMMYFUNCTION("""COMPUTED_VALUE"""),"0x9bdcdae56c521d2a5f30249faf2d65610b0c48b2")</f>
        <v>0x9bdcdae56c521d2a5f30249faf2d65610b0c48b2</v>
      </c>
      <c r="J866" s="18">
        <v>0.103246826528065</v>
      </c>
      <c r="K866" s="4">
        <v>1.2905853316008125</v>
      </c>
      <c r="L866" s="19">
        <v>1.2905853316008125E18</v>
      </c>
      <c r="M866" s="20">
        <v>1.2905853316008126E17</v>
      </c>
    </row>
    <row r="867">
      <c r="A867" s="6"/>
      <c r="B867" s="6"/>
      <c r="C867" s="4"/>
      <c r="D867" s="4">
        <v>7.77539582882168</v>
      </c>
      <c r="E867" s="4" t="s">
        <v>1603</v>
      </c>
      <c r="F867" s="4"/>
      <c r="G867" s="4"/>
      <c r="H867" s="4"/>
      <c r="I867" s="4" t="str">
        <f>IFERROR(__xludf.DUMMYFUNCTION("""COMPUTED_VALUE"""),"0x76954ce2d8ff7a7d4566b34dea0e42512bdd4f84")</f>
        <v>0x76954ce2d8ff7a7d4566b34dea0e42512bdd4f84</v>
      </c>
      <c r="J867" s="18">
        <v>7.77539582882168</v>
      </c>
      <c r="K867" s="4">
        <v>97.192447860271</v>
      </c>
      <c r="L867" s="19">
        <v>9.7192447860271E19</v>
      </c>
      <c r="M867" s="20">
        <v>9.7192447860271E18</v>
      </c>
    </row>
    <row r="868">
      <c r="A868" s="6"/>
      <c r="B868" s="6"/>
      <c r="C868" s="4"/>
      <c r="D868" s="4">
        <v>7.0685416625651705</v>
      </c>
      <c r="E868" s="4" t="s">
        <v>1604</v>
      </c>
      <c r="F868" s="4"/>
      <c r="G868" s="4"/>
      <c r="H868" s="4"/>
      <c r="I868" s="4" t="str">
        <f>IFERROR(__xludf.DUMMYFUNCTION("""COMPUTED_VALUE"""),"0xc846b7d5ad79060758f9ed2fe6ba5dd68d00c00f")</f>
        <v>0xc846b7d5ad79060758f9ed2fe6ba5dd68d00c00f</v>
      </c>
      <c r="J868" s="18">
        <v>7.0685416625651705</v>
      </c>
      <c r="K868" s="4">
        <v>88.35677078206463</v>
      </c>
      <c r="L868" s="19">
        <v>8.835677078206462E19</v>
      </c>
      <c r="M868" s="20">
        <v>8.835677078206463E18</v>
      </c>
    </row>
    <row r="869">
      <c r="A869" s="6"/>
      <c r="B869" s="6"/>
      <c r="C869" s="4"/>
      <c r="D869" s="4">
        <v>2.68382189915601</v>
      </c>
      <c r="E869" s="4" t="s">
        <v>1605</v>
      </c>
      <c r="F869" s="4"/>
      <c r="G869" s="4"/>
      <c r="H869" s="4"/>
      <c r="I869" s="4" t="str">
        <f>IFERROR(__xludf.DUMMYFUNCTION("""COMPUTED_VALUE"""),"0x4ab8cdcefa6e889a9cd75069d3254af05417789e")</f>
        <v>0x4ab8cdcefa6e889a9cd75069d3254af05417789e</v>
      </c>
      <c r="J869" s="18">
        <v>2.68382189915601</v>
      </c>
      <c r="K869" s="4">
        <v>33.54777373945013</v>
      </c>
      <c r="L869" s="19">
        <v>3.354777373945013E19</v>
      </c>
      <c r="M869" s="20">
        <v>3.354777373945013E18</v>
      </c>
    </row>
    <row r="870">
      <c r="A870" s="6"/>
      <c r="B870" s="6"/>
      <c r="C870" s="4"/>
      <c r="D870" s="4">
        <v>1.37792405206179</v>
      </c>
      <c r="E870" s="4" t="s">
        <v>1607</v>
      </c>
      <c r="F870" s="4"/>
      <c r="G870" s="4"/>
      <c r="H870" s="4"/>
      <c r="I870" s="4" t="str">
        <f>IFERROR(__xludf.DUMMYFUNCTION("""COMPUTED_VALUE"""),"0xb8eda2e02cbfa5c5494da502e066237228267001")</f>
        <v>0xb8eda2e02cbfa5c5494da502e066237228267001</v>
      </c>
      <c r="J870" s="18">
        <v>1.7097303169576348</v>
      </c>
      <c r="K870" s="4">
        <v>21.371628961970433</v>
      </c>
      <c r="L870" s="19">
        <v>2.1371628961970434E19</v>
      </c>
      <c r="M870" s="20">
        <v>2.1371628961970435E18</v>
      </c>
    </row>
    <row r="871">
      <c r="A871" s="6"/>
      <c r="B871" s="6"/>
      <c r="C871" s="4"/>
      <c r="D871" s="4">
        <v>1.30902673444314</v>
      </c>
      <c r="E871" s="4" t="s">
        <v>1609</v>
      </c>
      <c r="F871" s="4"/>
      <c r="G871" s="4"/>
      <c r="H871" s="4"/>
      <c r="I871" s="4" t="str">
        <f>IFERROR(__xludf.DUMMYFUNCTION("""COMPUTED_VALUE"""),"0x093f9f4e399b4de8044292528f09c1fc2d6c0347")</f>
        <v>0x093f9f4e399b4de8044292528f09c1fc2d6c0347</v>
      </c>
      <c r="J871" s="18">
        <v>1.30902673444314</v>
      </c>
      <c r="K871" s="4">
        <v>16.362834180539252</v>
      </c>
      <c r="L871" s="19">
        <v>1.6362834180539253E19</v>
      </c>
      <c r="M871" s="20">
        <v>1.6362834180539254E18</v>
      </c>
    </row>
    <row r="872">
      <c r="A872" s="6"/>
      <c r="B872" s="6"/>
      <c r="C872" s="4"/>
      <c r="D872" s="4">
        <v>409.14888582862204</v>
      </c>
      <c r="E872" s="4" t="s">
        <v>1611</v>
      </c>
      <c r="F872" s="4"/>
      <c r="G872" s="4"/>
      <c r="H872" s="4"/>
      <c r="I872" s="4" t="str">
        <f>IFERROR(__xludf.DUMMYFUNCTION("""COMPUTED_VALUE"""),"0x4fc1ac6b0d42e649ebca1021758f52cd71032f75")</f>
        <v>0x4fc1ac6b0d42e649ebca1021758f52cd71032f75</v>
      </c>
      <c r="J872" s="18">
        <v>640.075262349297</v>
      </c>
      <c r="K872" s="4">
        <v>8000.940779366212</v>
      </c>
      <c r="L872" s="19">
        <v>8.000940779366212E21</v>
      </c>
      <c r="M872" s="20">
        <v>8.000940779366212E20</v>
      </c>
    </row>
    <row r="873">
      <c r="A873" s="6"/>
      <c r="B873" s="6"/>
      <c r="C873" s="4"/>
      <c r="D873" s="4">
        <v>7.0685416625651705</v>
      </c>
      <c r="E873" s="4" t="s">
        <v>1613</v>
      </c>
      <c r="F873" s="4"/>
      <c r="G873" s="4"/>
      <c r="H873" s="4"/>
      <c r="I873" s="4" t="str">
        <f>IFERROR(__xludf.DUMMYFUNCTION("""COMPUTED_VALUE"""),"0xca927f005b5b8d333351c481ab3246689c9533be")</f>
        <v>0xca927f005b5b8d333351c481ab3246689c9533be</v>
      </c>
      <c r="J873" s="18">
        <v>55.43266926216177</v>
      </c>
      <c r="K873" s="4">
        <v>692.908365777022</v>
      </c>
      <c r="L873" s="19">
        <v>6.929083657770221E20</v>
      </c>
      <c r="M873" s="20">
        <v>6.9290836577702216E19</v>
      </c>
    </row>
    <row r="874">
      <c r="A874" s="6"/>
      <c r="B874" s="6"/>
      <c r="C874" s="4"/>
      <c r="D874" s="4">
        <v>15.6015544683366</v>
      </c>
      <c r="E874" s="4" t="s">
        <v>1614</v>
      </c>
      <c r="F874" s="4"/>
      <c r="G874" s="4"/>
      <c r="H874" s="4"/>
      <c r="I874" s="4" t="str">
        <f>IFERROR(__xludf.DUMMYFUNCTION("""COMPUTED_VALUE"""),"0x6b00136cc313edef40c04414eed10490f56f708f")</f>
        <v>0x6b00136cc313edef40c04414eed10490f56f708f</v>
      </c>
      <c r="J874" s="18">
        <v>15.6015544683366</v>
      </c>
      <c r="K874" s="4">
        <v>195.01943085420749</v>
      </c>
      <c r="L874" s="19">
        <v>1.9501943085420747E20</v>
      </c>
      <c r="M874" s="20">
        <v>1.950194308542075E19</v>
      </c>
    </row>
    <row r="875">
      <c r="A875" s="6"/>
      <c r="B875" s="6"/>
      <c r="C875" s="4"/>
      <c r="D875" s="4">
        <v>44.357764090463505</v>
      </c>
      <c r="E875" s="4" t="s">
        <v>1616</v>
      </c>
      <c r="F875" s="4"/>
      <c r="G875" s="4"/>
      <c r="H875" s="4"/>
      <c r="I875" s="4" t="str">
        <f>IFERROR(__xludf.DUMMYFUNCTION("""COMPUTED_VALUE"""),"0xe3ab19fa3f46bf4338f21c7f1d187e1c7eba739f")</f>
        <v>0xe3ab19fa3f46bf4338f21c7f1d187e1c7eba739f</v>
      </c>
      <c r="J875" s="18">
        <v>44.357764090463505</v>
      </c>
      <c r="K875" s="4">
        <v>554.4720511307938</v>
      </c>
      <c r="L875" s="19">
        <v>5.5447205113079385E20</v>
      </c>
      <c r="M875" s="20">
        <v>5.544720511307939E19</v>
      </c>
    </row>
    <row r="876">
      <c r="A876" s="6"/>
      <c r="B876" s="6"/>
      <c r="C876" s="4"/>
      <c r="D876" s="4">
        <v>28.2741666502606</v>
      </c>
      <c r="E876" s="4" t="s">
        <v>1618</v>
      </c>
      <c r="F876" s="4"/>
      <c r="G876" s="4"/>
      <c r="H876" s="4"/>
      <c r="I876" s="4" t="str">
        <f>IFERROR(__xludf.DUMMYFUNCTION("""COMPUTED_VALUE"""),"0x4799328a31a08a0c951cccf03d961f08a530d1f3")</f>
        <v>0x4799328a31a08a0c951cccf03d961f08a530d1f3</v>
      </c>
      <c r="J876" s="18">
        <v>76.6382942498572</v>
      </c>
      <c r="K876" s="4">
        <v>957.978678123215</v>
      </c>
      <c r="L876" s="19">
        <v>9.579786781232149E20</v>
      </c>
      <c r="M876" s="20">
        <v>9.57978678123215E19</v>
      </c>
    </row>
    <row r="877">
      <c r="A877" s="6"/>
      <c r="B877" s="6"/>
      <c r="C877" s="4"/>
      <c r="D877" s="4">
        <v>0.877141185623042</v>
      </c>
      <c r="E877" s="4" t="s">
        <v>1619</v>
      </c>
      <c r="F877" s="4"/>
      <c r="G877" s="4"/>
      <c r="H877" s="4"/>
      <c r="I877" s="4" t="str">
        <f>IFERROR(__xludf.DUMMYFUNCTION("""COMPUTED_VALUE"""),"0x6adde6a02ee734679a3c846644d2e379a974d8c9")</f>
        <v>0x6adde6a02ee734679a3c846644d2e379a974d8c9</v>
      </c>
      <c r="J877" s="18">
        <v>0.877141185623042</v>
      </c>
      <c r="K877" s="4">
        <v>10.964264820288024</v>
      </c>
      <c r="L877" s="19">
        <v>1.0964264820288025E19</v>
      </c>
      <c r="M877" s="20">
        <v>1.0964264820288026E18</v>
      </c>
    </row>
    <row r="878">
      <c r="A878" s="6"/>
      <c r="B878" s="6"/>
      <c r="C878" s="4"/>
      <c r="D878" s="4">
        <v>166.974334792214</v>
      </c>
      <c r="E878" s="4" t="s">
        <v>1621</v>
      </c>
      <c r="F878" s="4"/>
      <c r="G878" s="4"/>
      <c r="H878" s="4"/>
      <c r="I878" s="4" t="str">
        <f>IFERROR(__xludf.DUMMYFUNCTION("""COMPUTED_VALUE"""),"0x1d8217cb1779a0cefe820d4087fbaa5d44a7c355")</f>
        <v>0x1d8217cb1779a0cefe820d4087fbaa5d44a7c355</v>
      </c>
      <c r="J878" s="18">
        <v>389.0030911697205</v>
      </c>
      <c r="K878" s="4">
        <v>4862.538639621506</v>
      </c>
      <c r="L878" s="19">
        <v>4.862538639621506E21</v>
      </c>
      <c r="M878" s="20">
        <v>4.862538639621507E20</v>
      </c>
    </row>
    <row r="879">
      <c r="A879" s="6"/>
      <c r="B879" s="6"/>
      <c r="C879" s="4"/>
      <c r="D879" s="4">
        <v>7.26203582322999</v>
      </c>
      <c r="E879" s="4" t="s">
        <v>1623</v>
      </c>
      <c r="F879" s="4"/>
      <c r="G879" s="4"/>
      <c r="H879" s="4"/>
      <c r="I879" s="4" t="str">
        <f>IFERROR(__xludf.DUMMYFUNCTION("""COMPUTED_VALUE"""),"0xf8224b980801cd03a32ba156f22ec0e8beba5ecf")</f>
        <v>0xf8224b980801cd03a32ba156f22ec0e8beba5ecf</v>
      </c>
      <c r="J879" s="18">
        <v>7.26203582322999</v>
      </c>
      <c r="K879" s="4">
        <v>90.77544779037487</v>
      </c>
      <c r="L879" s="19">
        <v>9.077544779037486E19</v>
      </c>
      <c r="M879" s="20">
        <v>9.077544779037487E18</v>
      </c>
    </row>
    <row r="880">
      <c r="A880" s="6"/>
      <c r="B880" s="6"/>
      <c r="C880" s="4"/>
      <c r="D880" s="4">
        <v>7.0685416625651705</v>
      </c>
      <c r="E880" s="4" t="s">
        <v>1625</v>
      </c>
      <c r="F880" s="4"/>
      <c r="G880" s="4"/>
      <c r="H880" s="4"/>
      <c r="I880" s="4" t="str">
        <f>IFERROR(__xludf.DUMMYFUNCTION("""COMPUTED_VALUE"""),"0x5e90f18d0221f838095486fbbc81ed6da4afc249")</f>
        <v>0x5e90f18d0221f838095486fbbc81ed6da4afc249</v>
      </c>
      <c r="J880" s="18">
        <v>55.43266926216177</v>
      </c>
      <c r="K880" s="4">
        <v>692.908365777022</v>
      </c>
      <c r="L880" s="19">
        <v>6.929083657770221E20</v>
      </c>
      <c r="M880" s="20">
        <v>6.9290836577702216E19</v>
      </c>
    </row>
    <row r="881">
      <c r="A881" s="6"/>
      <c r="B881" s="6"/>
      <c r="C881" s="4"/>
      <c r="D881" s="4">
        <v>7.31334706424615</v>
      </c>
      <c r="E881" s="4" t="s">
        <v>1626</v>
      </c>
      <c r="F881" s="4"/>
      <c r="G881" s="4"/>
      <c r="H881" s="4"/>
      <c r="I881" s="4" t="str">
        <f>IFERROR(__xludf.DUMMYFUNCTION("""COMPUTED_VALUE"""),"0xe4246510cab8097a8db8c688d998805ac39b5274")</f>
        <v>0xe4246510cab8097a8db8c688d998805ac39b5274</v>
      </c>
      <c r="J881" s="18">
        <v>7.31334706424615</v>
      </c>
      <c r="K881" s="4">
        <v>91.41683830307687</v>
      </c>
      <c r="L881" s="19">
        <v>9.141683830307688E19</v>
      </c>
      <c r="M881" s="20">
        <v>9.141683830307688E18</v>
      </c>
    </row>
    <row r="882">
      <c r="A882" s="6"/>
      <c r="B882" s="6"/>
      <c r="C882" s="4"/>
      <c r="D882" s="4">
        <v>53.164770266425194</v>
      </c>
      <c r="E882" s="4" t="s">
        <v>1628</v>
      </c>
      <c r="F882" s="4"/>
      <c r="G882" s="4"/>
      <c r="H882" s="4"/>
      <c r="I882" s="4" t="str">
        <f>IFERROR(__xludf.DUMMYFUNCTION("""COMPUTED_VALUE"""),"0xf91c06e10e9aae72432c6ccfc0c3752340d0b386")</f>
        <v>0xf91c06e10e9aae72432c6ccfc0c3752340d0b386</v>
      </c>
      <c r="J882" s="18">
        <v>272.9000621573723</v>
      </c>
      <c r="K882" s="4">
        <v>3411.250776967154</v>
      </c>
      <c r="L882" s="19">
        <v>3.4112507769671537E21</v>
      </c>
      <c r="M882" s="20">
        <v>3.4112507769671536E20</v>
      </c>
    </row>
    <row r="883">
      <c r="A883" s="6"/>
      <c r="B883" s="6"/>
      <c r="C883" s="4"/>
      <c r="D883" s="4">
        <v>7.20991249581647</v>
      </c>
      <c r="E883" s="4" t="s">
        <v>1630</v>
      </c>
      <c r="F883" s="4"/>
      <c r="G883" s="4"/>
      <c r="H883" s="4"/>
      <c r="I883" s="4" t="str">
        <f>IFERROR(__xludf.DUMMYFUNCTION("""COMPUTED_VALUE"""),"0xeb5e8cc334ac1569dead605b579017e951983bbf")</f>
        <v>0xeb5e8cc334ac1569dead605b579017e951983bbf</v>
      </c>
      <c r="J883" s="18">
        <v>7.20991249581647</v>
      </c>
      <c r="K883" s="4">
        <v>90.12390619770586</v>
      </c>
      <c r="L883" s="19">
        <v>9.012390619770587E19</v>
      </c>
      <c r="M883" s="20">
        <v>9.012390619770587E18</v>
      </c>
    </row>
    <row r="884">
      <c r="A884" s="6"/>
      <c r="B884" s="6"/>
      <c r="C884" s="4"/>
      <c r="D884" s="4">
        <v>121.40834072978801</v>
      </c>
      <c r="E884" s="4" t="s">
        <v>1631</v>
      </c>
      <c r="F884" s="4"/>
      <c r="G884" s="4"/>
      <c r="H884" s="4"/>
      <c r="I884" s="4" t="str">
        <f>IFERROR(__xludf.DUMMYFUNCTION("""COMPUTED_VALUE"""),"0x3288338837dc90afbb81a93e5a9c3c5688436e10")</f>
        <v>0x3288338837dc90afbb81a93e5a9c3c5688436e10</v>
      </c>
      <c r="J884" s="18">
        <v>355.78442853688455</v>
      </c>
      <c r="K884" s="4">
        <v>4447.305356711056</v>
      </c>
      <c r="L884" s="19">
        <v>4.4473053567110564E21</v>
      </c>
      <c r="M884" s="20">
        <v>4.4473053567110565E20</v>
      </c>
    </row>
    <row r="885">
      <c r="A885" s="6"/>
      <c r="B885" s="6"/>
      <c r="C885" s="4"/>
      <c r="D885" s="4">
        <v>1.15537563849662</v>
      </c>
      <c r="E885" s="4" t="s">
        <v>1633</v>
      </c>
      <c r="F885" s="4"/>
      <c r="G885" s="4"/>
      <c r="H885" s="4"/>
      <c r="I885" s="4" t="str">
        <f>IFERROR(__xludf.DUMMYFUNCTION("""COMPUTED_VALUE"""),"0x92b66bf74295bcc68625139c7c650f9be6df0a37")</f>
        <v>0x92b66bf74295bcc68625139c7c650f9be6df0a37</v>
      </c>
      <c r="J885" s="18">
        <v>49.51950323809322</v>
      </c>
      <c r="K885" s="4">
        <v>618.9937904761653</v>
      </c>
      <c r="L885" s="19">
        <v>6.189937904761653E20</v>
      </c>
      <c r="M885" s="20">
        <v>6.189937904761654E19</v>
      </c>
    </row>
    <row r="886">
      <c r="A886" s="6"/>
      <c r="B886" s="6"/>
      <c r="C886" s="4"/>
      <c r="D886" s="4">
        <v>1.30427359593106</v>
      </c>
      <c r="E886" s="4" t="s">
        <v>1635</v>
      </c>
      <c r="F886" s="4"/>
      <c r="G886" s="4"/>
      <c r="H886" s="4"/>
      <c r="I886" s="4" t="str">
        <f>IFERROR(__xludf.DUMMYFUNCTION("""COMPUTED_VALUE"""),"0x2c39d37e2d1bf3536754f2d04db4cbdeab2007a2")</f>
        <v>0x2c39d37e2d1bf3536754f2d04db4cbdeab2007a2</v>
      </c>
      <c r="J886" s="18">
        <v>1.30427359593106</v>
      </c>
      <c r="K886" s="4">
        <v>16.30341994913825</v>
      </c>
      <c r="L886" s="19">
        <v>1.630341994913825E19</v>
      </c>
      <c r="M886" s="20">
        <v>1.630341994913825E18</v>
      </c>
    </row>
    <row r="887">
      <c r="A887" s="6"/>
      <c r="B887" s="6"/>
      <c r="C887" s="4"/>
      <c r="D887" s="4">
        <v>4.92962121774839</v>
      </c>
      <c r="E887" s="4" t="s">
        <v>1637</v>
      </c>
      <c r="F887" s="4"/>
      <c r="G887" s="4"/>
      <c r="H887" s="4"/>
      <c r="I887" s="4" t="str">
        <f>IFERROR(__xludf.DUMMYFUNCTION("""COMPUTED_VALUE"""),"0x9a52b3d9e391e50a97beeda17c050bb249883e0e")</f>
        <v>0x9a52b3d9e391e50a97beeda17c050bb249883e0e</v>
      </c>
      <c r="J887" s="18">
        <v>40.135078873991496</v>
      </c>
      <c r="K887" s="4">
        <v>501.6884859248937</v>
      </c>
      <c r="L887" s="19">
        <v>5.016884859248937E20</v>
      </c>
      <c r="M887" s="20">
        <v>5.016884859248937E19</v>
      </c>
    </row>
    <row r="888">
      <c r="A888" s="6"/>
      <c r="B888" s="6"/>
      <c r="C888" s="4"/>
      <c r="D888" s="4">
        <v>504.507888079091</v>
      </c>
      <c r="E888" s="4" t="s">
        <v>1639</v>
      </c>
      <c r="F888" s="4"/>
      <c r="G888" s="4"/>
      <c r="H888" s="4"/>
      <c r="I888" s="4" t="str">
        <f>IFERROR(__xludf.DUMMYFUNCTION("""COMPUTED_VALUE"""),"0xc634f7bf06a10b28e3854d7b61b10adbe894a399")</f>
        <v>0xc634f7bf06a10b28e3854d7b61b10adbe894a399</v>
      </c>
      <c r="J888" s="18">
        <v>738.8839758861876</v>
      </c>
      <c r="K888" s="4">
        <v>9236.049698577344</v>
      </c>
      <c r="L888" s="19">
        <v>9.236049698577344E21</v>
      </c>
      <c r="M888" s="20">
        <v>9.236049698577344E20</v>
      </c>
    </row>
    <row r="889">
      <c r="A889" s="6"/>
      <c r="B889" s="6"/>
      <c r="C889" s="4"/>
      <c r="D889" s="4">
        <v>7.0685416625651705</v>
      </c>
      <c r="E889" s="4" t="s">
        <v>1641</v>
      </c>
      <c r="F889" s="4"/>
      <c r="G889" s="4"/>
      <c r="H889" s="4"/>
      <c r="I889" s="4" t="str">
        <f>IFERROR(__xludf.DUMMYFUNCTION("""COMPUTED_VALUE"""),"0x8cdd627696685510077da7e376a5a4d3a80e0923")</f>
        <v>0x8cdd627696685510077da7e376a5a4d3a80e0923</v>
      </c>
      <c r="J889" s="18">
        <v>7.0685416625651705</v>
      </c>
      <c r="K889" s="4">
        <v>88.35677078206463</v>
      </c>
      <c r="L889" s="19">
        <v>8.835677078206462E19</v>
      </c>
      <c r="M889" s="20">
        <v>8.835677078206463E18</v>
      </c>
    </row>
    <row r="890">
      <c r="A890" s="6"/>
      <c r="B890" s="6"/>
      <c r="C890" s="4"/>
      <c r="D890" s="4">
        <v>42.411249975391</v>
      </c>
      <c r="E890" s="4" t="s">
        <v>1642</v>
      </c>
      <c r="F890" s="4"/>
      <c r="G890" s="4"/>
      <c r="H890" s="4"/>
      <c r="I890" s="4" t="str">
        <f>IFERROR(__xludf.DUMMYFUNCTION("""COMPUTED_VALUE"""),"0x0c15523eb36aa15cb97f689b1e03fa77f66951f9")</f>
        <v>0x0c15523eb36aa15cb97f689b1e03fa77f66951f9</v>
      </c>
      <c r="J890" s="18">
        <v>146.5789656372378</v>
      </c>
      <c r="K890" s="4">
        <v>1832.2370704654722</v>
      </c>
      <c r="L890" s="19">
        <v>1.8322370704654721E21</v>
      </c>
      <c r="M890" s="20">
        <v>1.8322370704654723E20</v>
      </c>
    </row>
    <row r="891">
      <c r="A891" s="6"/>
      <c r="B891" s="6"/>
      <c r="C891" s="4"/>
      <c r="D891" s="4">
        <v>8.43120224327101</v>
      </c>
      <c r="E891" s="4" t="s">
        <v>1643</v>
      </c>
      <c r="F891" s="4"/>
      <c r="G891" s="4"/>
      <c r="H891" s="4"/>
      <c r="I891" s="4" t="str">
        <f>IFERROR(__xludf.DUMMYFUNCTION("""COMPUTED_VALUE"""),"0x0a56be2fa7be546a910399e4723925d12a87f2cd")</f>
        <v>0x0a56be2fa7be546a910399e4723925d12a87f2cd</v>
      </c>
      <c r="J891" s="18">
        <v>8.43120224327101</v>
      </c>
      <c r="K891" s="4">
        <v>105.39002804088761</v>
      </c>
      <c r="L891" s="19">
        <v>1.0539002804088762E20</v>
      </c>
      <c r="M891" s="20">
        <v>1.0539002804088762E19</v>
      </c>
    </row>
    <row r="892">
      <c r="A892" s="6"/>
      <c r="B892" s="6"/>
      <c r="C892" s="4"/>
      <c r="D892" s="4">
        <v>176.904392189018</v>
      </c>
      <c r="E892" s="4" t="s">
        <v>1645</v>
      </c>
      <c r="F892" s="4"/>
      <c r="G892" s="4"/>
      <c r="H892" s="4"/>
      <c r="I892" s="4" t="str">
        <f>IFERROR(__xludf.DUMMYFUNCTION("""COMPUTED_VALUE"""),"0x632215ff0690084212cbb3d59ca0a6a6713d9e02")</f>
        <v>0x632215ff0690084212cbb3d59ca0a6a6713d9e02</v>
      </c>
      <c r="J892" s="18">
        <v>411.2804799961146</v>
      </c>
      <c r="K892" s="4">
        <v>5141.005999951432</v>
      </c>
      <c r="L892" s="19">
        <v>5.141005999951432E21</v>
      </c>
      <c r="M892" s="20">
        <v>5.141005999951433E20</v>
      </c>
    </row>
    <row r="893">
      <c r="A893" s="6"/>
      <c r="B893" s="6"/>
      <c r="C893" s="4"/>
      <c r="D893" s="4">
        <v>9.05269452637543</v>
      </c>
      <c r="E893" s="4" t="s">
        <v>1647</v>
      </c>
      <c r="F893" s="4"/>
      <c r="G893" s="4"/>
      <c r="H893" s="4"/>
      <c r="I893" s="4" t="str">
        <f>IFERROR(__xludf.DUMMYFUNCTION("""COMPUTED_VALUE"""),"0xafd9a1fd432b45323c136b2c7ccfc1a9d54cb8e5")</f>
        <v>0xafd9a1fd432b45323c136b2c7ccfc1a9d54cb8e5</v>
      </c>
      <c r="J893" s="18">
        <v>9.05269452637543</v>
      </c>
      <c r="K893" s="4">
        <v>113.15868157969287</v>
      </c>
      <c r="L893" s="19">
        <v>1.1315868157969287E20</v>
      </c>
      <c r="M893" s="20">
        <v>1.1315868157969287E19</v>
      </c>
    </row>
    <row r="894">
      <c r="A894" s="6"/>
      <c r="B894" s="6"/>
      <c r="C894" s="4"/>
      <c r="D894" s="4">
        <v>2.451825777853</v>
      </c>
      <c r="E894" s="4" t="s">
        <v>1649</v>
      </c>
      <c r="F894" s="4"/>
      <c r="G894" s="4"/>
      <c r="H894" s="4"/>
      <c r="I894" s="4" t="str">
        <f>IFERROR(__xludf.DUMMYFUNCTION("""COMPUTED_VALUE"""),"0xf86d4bef4aba7371172fe6dce310a1163d7cfd6f")</f>
        <v>0xf86d4bef4aba7371172fe6dce310a1163d7cfd6f</v>
      </c>
      <c r="J894" s="18">
        <v>2.451825777853</v>
      </c>
      <c r="K894" s="4">
        <v>30.6478222231625</v>
      </c>
      <c r="L894" s="19">
        <v>3.06478222231625E19</v>
      </c>
      <c r="M894" s="20">
        <v>3.06478222231625E18</v>
      </c>
    </row>
    <row r="895">
      <c r="A895" s="6"/>
      <c r="B895" s="6"/>
      <c r="C895" s="4"/>
      <c r="D895" s="4">
        <v>42.411249975391</v>
      </c>
      <c r="E895" s="4" t="s">
        <v>1651</v>
      </c>
      <c r="F895" s="4"/>
      <c r="G895" s="4"/>
      <c r="H895" s="4"/>
      <c r="I895" s="4" t="str">
        <f>IFERROR(__xludf.DUMMYFUNCTION("""COMPUTED_VALUE"""),"0x32523ff903c98aa510a3c14a89d118995a7e9596")</f>
        <v>0x32523ff903c98aa510a3c14a89d118995a7e9596</v>
      </c>
      <c r="J895" s="18">
        <v>90.7753775749876</v>
      </c>
      <c r="K895" s="4">
        <v>1134.692219687345</v>
      </c>
      <c r="L895" s="19">
        <v>1.1346922196873449E21</v>
      </c>
      <c r="M895" s="20">
        <v>1.134692219687345E20</v>
      </c>
    </row>
    <row r="896">
      <c r="A896" s="6"/>
      <c r="B896" s="6"/>
      <c r="C896" s="4"/>
      <c r="D896" s="4">
        <v>150.234270300044</v>
      </c>
      <c r="E896" s="4" t="s">
        <v>1652</v>
      </c>
      <c r="F896" s="4"/>
      <c r="G896" s="4"/>
      <c r="H896" s="4"/>
      <c r="I896" s="4" t="str">
        <f>IFERROR(__xludf.DUMMYFUNCTION("""COMPUTED_VALUE"""),"0x8027d8e2592856fd15f605ab9d1d7a8c81cd47e1")</f>
        <v>0x8027d8e2592856fd15f605ab9d1d7a8c81cd47e1</v>
      </c>
      <c r="J896" s="18">
        <v>384.61035810714054</v>
      </c>
      <c r="K896" s="4">
        <v>4807.629476339257</v>
      </c>
      <c r="L896" s="19">
        <v>4.807629476339257E21</v>
      </c>
      <c r="M896" s="20">
        <v>4.807629476339258E20</v>
      </c>
    </row>
    <row r="897">
      <c r="A897" s="6"/>
      <c r="B897" s="6"/>
      <c r="C897" s="4"/>
      <c r="D897" s="4">
        <v>0.258687576531798</v>
      </c>
      <c r="E897" s="4" t="s">
        <v>1654</v>
      </c>
      <c r="F897" s="4"/>
      <c r="G897" s="4"/>
      <c r="H897" s="4"/>
      <c r="I897" s="4" t="str">
        <f>IFERROR(__xludf.DUMMYFUNCTION("""COMPUTED_VALUE"""),"0xd40fb8ddb18dac742626a2ead286bd0e14d1b4ba")</f>
        <v>0xd40fb8ddb18dac742626a2ead286bd0e14d1b4ba</v>
      </c>
      <c r="J897" s="18">
        <v>0.258687576531798</v>
      </c>
      <c r="K897" s="4">
        <v>3.2335947066474753</v>
      </c>
      <c r="L897" s="19">
        <v>3.233594706647475E18</v>
      </c>
      <c r="M897" s="20">
        <v>3.233594706647475E17</v>
      </c>
    </row>
    <row r="898">
      <c r="A898" s="6"/>
      <c r="B898" s="6"/>
      <c r="C898" s="4"/>
      <c r="D898" s="4">
        <v>2120.56249876955</v>
      </c>
      <c r="E898" s="4" t="s">
        <v>1656</v>
      </c>
      <c r="F898" s="4"/>
      <c r="G898" s="4"/>
      <c r="H898" s="4"/>
      <c r="I898" s="4" t="str">
        <f>IFERROR(__xludf.DUMMYFUNCTION("""COMPUTED_VALUE"""),"0x0267940d1897b150ac9601ef00d0e38a5fda3011")</f>
        <v>0x0267940d1897b150ac9601ef00d0e38a5fda3011</v>
      </c>
      <c r="J898" s="18">
        <v>2120.56249876955</v>
      </c>
      <c r="K898" s="4">
        <v>26507.031234619375</v>
      </c>
      <c r="L898" s="19">
        <v>2.6507031234619374E22</v>
      </c>
      <c r="M898" s="20">
        <v>2.6507031234619376E21</v>
      </c>
    </row>
    <row r="899">
      <c r="A899" s="6"/>
      <c r="B899" s="6"/>
      <c r="C899" s="4"/>
      <c r="D899" s="4">
        <v>141.562984751797</v>
      </c>
      <c r="E899" s="4" t="s">
        <v>1658</v>
      </c>
      <c r="F899" s="4"/>
      <c r="G899" s="4"/>
      <c r="H899" s="4"/>
      <c r="I899" s="4" t="str">
        <f>IFERROR(__xludf.DUMMYFUNCTION("""COMPUTED_VALUE"""),"0xdc5c8eef4e36ad3d1f74e9d2d040ae191bd15ca1")</f>
        <v>0xdc5c8eef4e36ad3d1f74e9d2d040ae191bd15ca1</v>
      </c>
      <c r="J899" s="18">
        <v>141.562984751797</v>
      </c>
      <c r="K899" s="4">
        <v>1769.5373093974624</v>
      </c>
      <c r="L899" s="19">
        <v>1.7695373093974625E21</v>
      </c>
      <c r="M899" s="20">
        <v>1.7695373093974625E20</v>
      </c>
    </row>
    <row r="900">
      <c r="A900" s="6"/>
      <c r="B900" s="6"/>
      <c r="C900" s="4"/>
      <c r="D900" s="4">
        <v>21.2056249876955</v>
      </c>
      <c r="E900" s="4" t="s">
        <v>1660</v>
      </c>
      <c r="F900" s="4"/>
      <c r="G900" s="4"/>
      <c r="H900" s="4"/>
      <c r="I900" s="4" t="str">
        <f>IFERROR(__xludf.DUMMYFUNCTION("""COMPUTED_VALUE"""),"0xa9d77fbf08af34f69126ed64ec81df12de2203d9")</f>
        <v>0xa9d77fbf08af34f69126ed64ec81df12de2203d9</v>
      </c>
      <c r="J900" s="18">
        <v>21.2056249876955</v>
      </c>
      <c r="K900" s="4">
        <v>265.07031234619376</v>
      </c>
      <c r="L900" s="19">
        <v>2.6507031234619376E20</v>
      </c>
      <c r="M900" s="20">
        <v>2.6507031234619376E19</v>
      </c>
    </row>
    <row r="901">
      <c r="A901" s="6"/>
      <c r="B901" s="6"/>
      <c r="C901" s="4"/>
      <c r="D901" s="4">
        <v>282.741666502606</v>
      </c>
      <c r="E901" s="4" t="s">
        <v>1661</v>
      </c>
      <c r="F901" s="4"/>
      <c r="G901" s="4"/>
      <c r="H901" s="4"/>
      <c r="I901" s="4" t="str">
        <f>IFERROR(__xludf.DUMMYFUNCTION("""COMPUTED_VALUE"""),"0x620462ab7a62eac171eb3e56c88d35a2a2e86958")</f>
        <v>0x620462ab7a62eac171eb3e56c88d35a2a2e86958</v>
      </c>
      <c r="J901" s="18">
        <v>517.1177543097026</v>
      </c>
      <c r="K901" s="4">
        <v>6463.971928871282</v>
      </c>
      <c r="L901" s="19">
        <v>6.463971928871282E21</v>
      </c>
      <c r="M901" s="20">
        <v>6.463971928871282E20</v>
      </c>
    </row>
    <row r="902">
      <c r="A902" s="6"/>
      <c r="B902" s="6"/>
      <c r="C902" s="4"/>
      <c r="D902" s="4">
        <v>61.306029436508396</v>
      </c>
      <c r="E902" s="4" t="s">
        <v>1663</v>
      </c>
      <c r="F902" s="4"/>
      <c r="G902" s="4"/>
      <c r="H902" s="4"/>
      <c r="I902" s="4" t="str">
        <f>IFERROR(__xludf.DUMMYFUNCTION("""COMPUTED_VALUE"""),"0x56288706345165023e8b55e3f9cec875e84c7dba")</f>
        <v>0x56288706345165023e8b55e3f9cec875e84c7dba</v>
      </c>
      <c r="J902" s="18">
        <v>61.306029436508396</v>
      </c>
      <c r="K902" s="4">
        <v>766.325367956355</v>
      </c>
      <c r="L902" s="19">
        <v>7.66325367956355E20</v>
      </c>
      <c r="M902" s="20">
        <v>7.66325367956355E19</v>
      </c>
    </row>
    <row r="903">
      <c r="A903" s="6"/>
      <c r="B903" s="6"/>
      <c r="C903" s="4"/>
      <c r="D903" s="4">
        <v>42.5631597551699</v>
      </c>
      <c r="E903" s="4" t="s">
        <v>1665</v>
      </c>
      <c r="F903" s="4"/>
      <c r="G903" s="4"/>
      <c r="H903" s="4"/>
      <c r="I903" s="4" t="str">
        <f>IFERROR(__xludf.DUMMYFUNCTION("""COMPUTED_VALUE"""),"0xd5333942b405101a3b789d86440a41b7d3c9e71b")</f>
        <v>0xd5333942b405101a3b789d86440a41b7d3c9e71b</v>
      </c>
      <c r="J903" s="18">
        <v>86.13949717982871</v>
      </c>
      <c r="K903" s="4">
        <v>1076.7437147478588</v>
      </c>
      <c r="L903" s="19">
        <v>1.0767437147478588E21</v>
      </c>
      <c r="M903" s="20">
        <v>1.076743714747859E20</v>
      </c>
    </row>
    <row r="904">
      <c r="A904" s="6"/>
      <c r="B904" s="6"/>
      <c r="C904" s="4"/>
      <c r="D904" s="4">
        <v>4731.68801263952</v>
      </c>
      <c r="E904" s="4" t="s">
        <v>1667</v>
      </c>
      <c r="F904" s="4"/>
      <c r="G904" s="4"/>
      <c r="H904" s="4"/>
      <c r="I904" s="4" t="str">
        <f>IFERROR(__xludf.DUMMYFUNCTION("""COMPUTED_VALUE"""),"0x461e76a4fe9f27605d4097a646837c32f1ccc31c")</f>
        <v>0x461e76a4fe9f27605d4097a646837c32f1ccc31c</v>
      </c>
      <c r="J904" s="18">
        <v>4731.68801263952</v>
      </c>
      <c r="K904" s="4">
        <v>59146.100157994</v>
      </c>
      <c r="L904" s="19">
        <v>5.9146100157994E22</v>
      </c>
      <c r="M904" s="20">
        <v>5.9146100157994E21</v>
      </c>
    </row>
    <row r="905">
      <c r="A905" s="6"/>
      <c r="B905" s="6"/>
      <c r="C905" s="4"/>
      <c r="D905" s="4">
        <v>65.195570505455</v>
      </c>
      <c r="E905" s="4" t="s">
        <v>1669</v>
      </c>
      <c r="F905" s="4"/>
      <c r="G905" s="4"/>
      <c r="H905" s="4"/>
      <c r="I905" s="4" t="str">
        <f>IFERROR(__xludf.DUMMYFUNCTION("""COMPUTED_VALUE"""),"0x0500c258e8ad3709fbf0b25de8c9b9ed2de8bb7d")</f>
        <v>0x0500c258e8ad3709fbf0b25de8c9b9ed2de8bb7d</v>
      </c>
      <c r="J905" s="18">
        <v>284.3748035544306</v>
      </c>
      <c r="K905" s="4">
        <v>3554.6850444303827</v>
      </c>
      <c r="L905" s="19">
        <v>3.5546850444303826E21</v>
      </c>
      <c r="M905" s="20">
        <v>3.554685044430383E20</v>
      </c>
    </row>
    <row r="906">
      <c r="A906" s="6"/>
      <c r="B906" s="6"/>
      <c r="C906" s="4"/>
      <c r="D906" s="4">
        <v>4.94539388441629</v>
      </c>
      <c r="E906" s="4" t="s">
        <v>1671</v>
      </c>
      <c r="F906" s="4"/>
      <c r="G906" s="4"/>
      <c r="H906" s="4"/>
      <c r="I906" s="4" t="str">
        <f>IFERROR(__xludf.DUMMYFUNCTION("""COMPUTED_VALUE"""),"0xea6abf8e4799593e6ab89e431a0b457087c51c27")</f>
        <v>0xea6abf8e4799593e6ab89e431a0b457087c51c27</v>
      </c>
      <c r="J906" s="18">
        <v>4.94539388441629</v>
      </c>
      <c r="K906" s="4">
        <v>61.81742355520362</v>
      </c>
      <c r="L906" s="19">
        <v>6.181742355520362E19</v>
      </c>
      <c r="M906" s="20">
        <v>6.181742355520362E18</v>
      </c>
    </row>
    <row r="907">
      <c r="A907" s="6"/>
      <c r="B907" s="6"/>
      <c r="C907" s="4"/>
      <c r="D907" s="4">
        <v>9.751565858808851</v>
      </c>
      <c r="E907" s="4" t="s">
        <v>1673</v>
      </c>
      <c r="F907" s="4"/>
      <c r="G907" s="4"/>
      <c r="H907" s="4"/>
      <c r="I907" s="4" t="str">
        <f>IFERROR(__xludf.DUMMYFUNCTION("""COMPUTED_VALUE"""),"0x87a5b9740a423d41a3c2bfd040b170cc2178e71c")</f>
        <v>0x87a5b9740a423d41a3c2bfd040b170cc2178e71c</v>
      </c>
      <c r="J907" s="18">
        <v>9.751565858808851</v>
      </c>
      <c r="K907" s="4">
        <v>121.89457323511064</v>
      </c>
      <c r="L907" s="19">
        <v>1.2189457323511064E20</v>
      </c>
      <c r="M907" s="20">
        <v>1.2189457323511065E19</v>
      </c>
    </row>
    <row r="908">
      <c r="A908" s="6"/>
      <c r="B908" s="6"/>
      <c r="C908" s="4"/>
      <c r="D908" s="4">
        <v>148.439571547267</v>
      </c>
      <c r="E908" s="4" t="s">
        <v>1675</v>
      </c>
      <c r="F908" s="4"/>
      <c r="G908" s="4"/>
      <c r="H908" s="4"/>
      <c r="I908" s="4" t="str">
        <f>IFERROR(__xludf.DUMMYFUNCTION("""COMPUTED_VALUE"""),"0x461462fc0a8c05ffb5b5fe2e82b3a3ab292db23a")</f>
        <v>0x461462fc0a8c05ffb5b5fe2e82b3a3ab292db23a</v>
      </c>
      <c r="J908" s="18">
        <v>382.81565935436356</v>
      </c>
      <c r="K908" s="4">
        <v>4785.195741929544</v>
      </c>
      <c r="L908" s="19">
        <v>4.785195741929544E21</v>
      </c>
      <c r="M908" s="20">
        <v>4.785195741929544E20</v>
      </c>
    </row>
    <row r="909">
      <c r="A909" s="6"/>
      <c r="B909" s="6"/>
      <c r="C909" s="4"/>
      <c r="D909" s="4">
        <v>0.081474374373096</v>
      </c>
      <c r="E909" s="4" t="s">
        <v>1677</v>
      </c>
      <c r="F909" s="4"/>
      <c r="G909" s="4"/>
      <c r="H909" s="4"/>
      <c r="I909" s="4" t="str">
        <f>IFERROR(__xludf.DUMMYFUNCTION("""COMPUTED_VALUE"""),"0x382983f6044bd2db1791a00a910df98aa2b7eada")</f>
        <v>0x382983f6044bd2db1791a00a910df98aa2b7eada</v>
      </c>
      <c r="J909" s="18">
        <v>0.081474374373096</v>
      </c>
      <c r="K909" s="4">
        <v>1.0184296796637</v>
      </c>
      <c r="L909" s="19">
        <v>1.0184296796637E18</v>
      </c>
      <c r="M909" s="20">
        <v>1.0184296796637E17</v>
      </c>
    </row>
    <row r="910">
      <c r="A910" s="6"/>
      <c r="B910" s="6"/>
      <c r="C910" s="4"/>
      <c r="D910" s="4">
        <v>41.5306411813652</v>
      </c>
      <c r="E910" s="4" t="s">
        <v>1679</v>
      </c>
      <c r="F910" s="4"/>
      <c r="G910" s="4"/>
      <c r="H910" s="4"/>
      <c r="I910" s="4" t="str">
        <f>IFERROR(__xludf.DUMMYFUNCTION("""COMPUTED_VALUE"""),"0x30d9a01d382c45fa940555dc1e6c5b6e52b6f7cb")</f>
        <v>0x30d9a01d382c45fa940555dc1e6c5b6e52b6f7cb</v>
      </c>
      <c r="J910" s="18">
        <v>88.855203020401</v>
      </c>
      <c r="K910" s="4">
        <v>1110.6900377550126</v>
      </c>
      <c r="L910" s="19">
        <v>1.1106900377550126E21</v>
      </c>
      <c r="M910" s="20">
        <v>1.1106900377550127E20</v>
      </c>
    </row>
    <row r="911">
      <c r="A911" s="6"/>
      <c r="B911" s="6"/>
      <c r="C911" s="4"/>
      <c r="D911" s="4">
        <v>7.0685416625651705</v>
      </c>
      <c r="E911" s="4" t="s">
        <v>1681</v>
      </c>
      <c r="F911" s="4"/>
      <c r="G911" s="4"/>
      <c r="H911" s="4"/>
      <c r="I911" s="4" t="str">
        <f>IFERROR(__xludf.DUMMYFUNCTION("""COMPUTED_VALUE"""),"0x5fb16c0e266bb7d867a5a2181133ce171dae3835")</f>
        <v>0x5fb16c0e266bb7d867a5a2181133ce171dae3835</v>
      </c>
      <c r="J911" s="18">
        <v>7.0685416625651705</v>
      </c>
      <c r="K911" s="4">
        <v>88.35677078206463</v>
      </c>
      <c r="L911" s="19">
        <v>8.835677078206462E19</v>
      </c>
      <c r="M911" s="20">
        <v>8.835677078206463E18</v>
      </c>
    </row>
    <row r="912">
      <c r="A912" s="6"/>
      <c r="B912" s="6"/>
      <c r="C912" s="4"/>
      <c r="D912" s="4">
        <v>7.1945588060605905</v>
      </c>
      <c r="E912" s="4" t="s">
        <v>1682</v>
      </c>
      <c r="F912" s="4"/>
      <c r="G912" s="4"/>
      <c r="H912" s="4"/>
      <c r="I912" s="4" t="str">
        <f>IFERROR(__xludf.DUMMYFUNCTION("""COMPUTED_VALUE"""),"0x7c7f378bce04252caa1366fad7159cf6bd99a499")</f>
        <v>0x7c7f378bce04252caa1366fad7159cf6bd99a499</v>
      </c>
      <c r="J912" s="18">
        <v>7.1945588060605905</v>
      </c>
      <c r="K912" s="4">
        <v>89.93198507575738</v>
      </c>
      <c r="L912" s="19">
        <v>8.993198507575738E19</v>
      </c>
      <c r="M912" s="20">
        <v>8.993198507575738E18</v>
      </c>
    </row>
    <row r="913">
      <c r="A913" s="6"/>
      <c r="B913" s="6"/>
      <c r="C913" s="4"/>
      <c r="D913" s="4">
        <v>2.3292884298846404</v>
      </c>
      <c r="E913" s="4" t="s">
        <v>1684</v>
      </c>
      <c r="F913" s="4"/>
      <c r="G913" s="4"/>
      <c r="H913" s="4"/>
      <c r="I913" s="4" t="str">
        <f>IFERROR(__xludf.DUMMYFUNCTION("""COMPUTED_VALUE"""),"0x7944cd34270f80f5229cc6117d0066c832d60ac6")</f>
        <v>0x7944cd34270f80f5229cc6117d0066c832d60ac6</v>
      </c>
      <c r="J913" s="18">
        <v>2.3292884298846404</v>
      </c>
      <c r="K913" s="4">
        <v>29.116105373558003</v>
      </c>
      <c r="L913" s="19">
        <v>2.9116105373558E19</v>
      </c>
      <c r="M913" s="20">
        <v>2.9116105373558006E18</v>
      </c>
    </row>
    <row r="914">
      <c r="A914" s="6"/>
      <c r="B914" s="6"/>
      <c r="C914" s="4"/>
      <c r="D914" s="4">
        <v>7.07981200636252</v>
      </c>
      <c r="E914" s="4" t="s">
        <v>1686</v>
      </c>
      <c r="F914" s="4"/>
      <c r="G914" s="4"/>
      <c r="H914" s="4"/>
      <c r="I914" s="4" t="str">
        <f>IFERROR(__xludf.DUMMYFUNCTION("""COMPUTED_VALUE"""),"0xc05d30e89f3a9d4def94908b5bd08c8532e86644")</f>
        <v>0xc05d30e89f3a9d4def94908b5bd08c8532e86644</v>
      </c>
      <c r="J914" s="18">
        <v>55.443939605959116</v>
      </c>
      <c r="K914" s="4">
        <v>693.0492450744889</v>
      </c>
      <c r="L914" s="19">
        <v>6.93049245074489E20</v>
      </c>
      <c r="M914" s="20">
        <v>6.93049245074489E19</v>
      </c>
    </row>
    <row r="915">
      <c r="A915" s="6"/>
      <c r="B915" s="6"/>
      <c r="C915" s="4"/>
      <c r="D915" s="4">
        <v>5.1302928852457</v>
      </c>
      <c r="E915" s="4" t="s">
        <v>1688</v>
      </c>
      <c r="F915" s="4"/>
      <c r="G915" s="4"/>
      <c r="H915" s="4"/>
      <c r="I915" s="4" t="str">
        <f>IFERROR(__xludf.DUMMYFUNCTION("""COMPUTED_VALUE"""),"0x903226fd1c543fa5a2a2aafc222f1411e9a6f82f")</f>
        <v>0x903226fd1c543fa5a2a2aafc222f1411e9a6f82f</v>
      </c>
      <c r="J915" s="18">
        <v>5.1302928852457</v>
      </c>
      <c r="K915" s="4">
        <v>64.12866106557125</v>
      </c>
      <c r="L915" s="19">
        <v>6.4128661065571254E19</v>
      </c>
      <c r="M915" s="20">
        <v>6.412866106557126E18</v>
      </c>
    </row>
    <row r="916">
      <c r="A916" s="6"/>
      <c r="B916" s="6"/>
      <c r="C916" s="4"/>
      <c r="D916" s="4">
        <v>29.149094344032502</v>
      </c>
      <c r="E916" s="4" t="s">
        <v>1690</v>
      </c>
      <c r="F916" s="4"/>
      <c r="G916" s="4"/>
      <c r="H916" s="4"/>
      <c r="I916" s="4" t="str">
        <f>IFERROR(__xludf.DUMMYFUNCTION("""COMPUTED_VALUE"""),"0x32527ca6ec2b85abaca0fb2dd3878e5b7bb5b370")</f>
        <v>0x32527ca6ec2b85abaca0fb2dd3878e5b7bb5b370</v>
      </c>
      <c r="J916" s="18">
        <v>215.1610545515325</v>
      </c>
      <c r="K916" s="4">
        <v>2689.513181894156</v>
      </c>
      <c r="L916" s="19">
        <v>2.689513181894156E21</v>
      </c>
      <c r="M916" s="20">
        <v>2.689513181894156E20</v>
      </c>
    </row>
    <row r="917">
      <c r="A917" s="6"/>
      <c r="B917" s="6"/>
      <c r="C917" s="4"/>
      <c r="D917" s="4">
        <v>1.00396793543104</v>
      </c>
      <c r="E917" s="4" t="s">
        <v>1692</v>
      </c>
      <c r="F917" s="4"/>
      <c r="G917" s="4"/>
      <c r="H917" s="4"/>
      <c r="I917" s="4" t="str">
        <f>IFERROR(__xludf.DUMMYFUNCTION("""COMPUTED_VALUE"""),"0x02e937feb1abcbc845cad339a26a4b1a2279e600")</f>
        <v>0x02e937feb1abcbc845cad339a26a4b1a2279e600</v>
      </c>
      <c r="J917" s="18">
        <v>2.4394736842512</v>
      </c>
      <c r="K917" s="4">
        <v>30.49342105314</v>
      </c>
      <c r="L917" s="19">
        <v>3.049342105314E19</v>
      </c>
      <c r="M917" s="20">
        <v>3.0493421053140004E18</v>
      </c>
    </row>
    <row r="918">
      <c r="A918" s="6"/>
      <c r="B918" s="6"/>
      <c r="C918" s="4"/>
      <c r="D918" s="4">
        <v>44.126134829174</v>
      </c>
      <c r="E918" s="4" t="s">
        <v>1694</v>
      </c>
      <c r="F918" s="4"/>
      <c r="G918" s="4"/>
      <c r="H918" s="4"/>
      <c r="I918" s="4" t="str">
        <f>IFERROR(__xludf.DUMMYFUNCTION("""COMPUTED_VALUE"""),"0x05dc39f764b43ecfa99d6ed1cbff0e9f7de4f6f2")</f>
        <v>0x05dc39f764b43ecfa99d6ed1cbff0e9f7de4f6f2</v>
      </c>
      <c r="J918" s="18">
        <v>278.5022226362706</v>
      </c>
      <c r="K918" s="4">
        <v>3481.277782953382</v>
      </c>
      <c r="L918" s="19">
        <v>3.481277782953382E21</v>
      </c>
      <c r="M918" s="20">
        <v>3.481277782953382E20</v>
      </c>
    </row>
    <row r="919">
      <c r="A919" s="6"/>
      <c r="B919" s="6"/>
      <c r="C919" s="4"/>
      <c r="D919" s="4">
        <v>7.06200948456935</v>
      </c>
      <c r="E919" s="4" t="s">
        <v>1696</v>
      </c>
      <c r="F919" s="4"/>
      <c r="G919" s="4"/>
      <c r="H919" s="4"/>
      <c r="I919" s="4" t="str">
        <f>IFERROR(__xludf.DUMMYFUNCTION("""COMPUTED_VALUE"""),"0x66be2c0290003c992b7c4716d8eb0cf8833be65e")</f>
        <v>0x66be2c0290003c992b7c4716d8eb0cf8833be65e</v>
      </c>
      <c r="J919" s="18">
        <v>7.06200948456935</v>
      </c>
      <c r="K919" s="4">
        <v>88.27511855711687</v>
      </c>
      <c r="L919" s="19">
        <v>8.827511855711687E19</v>
      </c>
      <c r="M919" s="20">
        <v>8.827511855711688E18</v>
      </c>
    </row>
    <row r="920">
      <c r="A920" s="6"/>
      <c r="B920" s="6"/>
      <c r="C920" s="4"/>
      <c r="D920" s="4">
        <v>7.0685416625651705</v>
      </c>
      <c r="E920" s="4" t="s">
        <v>1698</v>
      </c>
      <c r="F920" s="4"/>
      <c r="G920" s="4"/>
      <c r="H920" s="4"/>
      <c r="I920" s="4" t="str">
        <f>IFERROR(__xludf.DUMMYFUNCTION("""COMPUTED_VALUE"""),"0xafea1a68fa20aa8e6bf38d25bfe23c9be835088f")</f>
        <v>0xafea1a68fa20aa8e6bf38d25bfe23c9be835088f</v>
      </c>
      <c r="J920" s="18">
        <v>7.0685416625651705</v>
      </c>
      <c r="K920" s="4">
        <v>88.35677078206463</v>
      </c>
      <c r="L920" s="19">
        <v>8.835677078206462E19</v>
      </c>
      <c r="M920" s="20">
        <v>8.835677078206463E18</v>
      </c>
    </row>
    <row r="921">
      <c r="A921" s="6"/>
      <c r="B921" s="6"/>
      <c r="C921" s="4"/>
      <c r="D921" s="4">
        <v>14.152612641851501</v>
      </c>
      <c r="E921" s="4" t="s">
        <v>1699</v>
      </c>
      <c r="F921" s="4"/>
      <c r="G921" s="4"/>
      <c r="H921" s="4"/>
      <c r="I921" s="4" t="str">
        <f>IFERROR(__xludf.DUMMYFUNCTION("""COMPUTED_VALUE"""),"0xdc3b467a245da33f44ca834756304db56226a891")</f>
        <v>0xdc3b467a245da33f44ca834756304db56226a891</v>
      </c>
      <c r="J921" s="18">
        <v>14.152612641851501</v>
      </c>
      <c r="K921" s="4">
        <v>176.90765802314377</v>
      </c>
      <c r="L921" s="19">
        <v>1.7690765802314377E20</v>
      </c>
      <c r="M921" s="20">
        <v>1.7690765802314377E19</v>
      </c>
    </row>
    <row r="922">
      <c r="A922" s="6"/>
      <c r="B922" s="6"/>
      <c r="C922" s="4"/>
      <c r="D922" s="4">
        <v>57.1377160972718</v>
      </c>
      <c r="E922" s="4" t="s">
        <v>1701</v>
      </c>
      <c r="F922" s="4"/>
      <c r="G922" s="4"/>
      <c r="H922" s="4"/>
      <c r="I922" s="4" t="str">
        <f>IFERROR(__xludf.DUMMYFUNCTION("""COMPUTED_VALUE"""),"0x52e3cd08b00c3c61eaf3d1c68b1580494b9266ab")</f>
        <v>0x52e3cd08b00c3c61eaf3d1c68b1580494b9266ab</v>
      </c>
      <c r="J922" s="18">
        <v>161.30543175911862</v>
      </c>
      <c r="K922" s="4">
        <v>2016.3178969889827</v>
      </c>
      <c r="L922" s="19">
        <v>2.0163178969889828E21</v>
      </c>
      <c r="M922" s="20">
        <v>2.016317896988983E20</v>
      </c>
    </row>
    <row r="923">
      <c r="A923" s="6"/>
      <c r="B923" s="6"/>
      <c r="C923" s="4"/>
      <c r="D923" s="4">
        <v>5.996354506710761</v>
      </c>
      <c r="E923" s="4" t="s">
        <v>1703</v>
      </c>
      <c r="F923" s="4"/>
      <c r="G923" s="4"/>
      <c r="H923" s="4"/>
      <c r="I923" s="4" t="str">
        <f>IFERROR(__xludf.DUMMYFUNCTION("""COMPUTED_VALUE"""),"0x64ffb3f90c34cff7573133d9c2f1e0615b837656")</f>
        <v>0x64ffb3f90c34cff7573133d9c2f1e0615b837656</v>
      </c>
      <c r="J923" s="18">
        <v>9.33099754884102</v>
      </c>
      <c r="K923" s="4">
        <v>116.63746936051275</v>
      </c>
      <c r="L923" s="19">
        <v>1.1663746936051275E20</v>
      </c>
      <c r="M923" s="20">
        <v>1.1663746936051276E19</v>
      </c>
    </row>
    <row r="924">
      <c r="A924" s="6"/>
      <c r="B924" s="6"/>
      <c r="C924" s="4"/>
      <c r="D924" s="4">
        <v>23.1795992356734</v>
      </c>
      <c r="E924" s="4" t="s">
        <v>1705</v>
      </c>
      <c r="F924" s="4"/>
      <c r="G924" s="4"/>
      <c r="H924" s="4"/>
      <c r="I924" s="4" t="str">
        <f>IFERROR(__xludf.DUMMYFUNCTION("""COMPUTED_VALUE"""),"0xea8765488eeb718f44234cce744d277a98a96dc5")</f>
        <v>0xea8765488eeb718f44234cce744d277a98a96dc5</v>
      </c>
      <c r="J924" s="18">
        <v>66.3129394705056</v>
      </c>
      <c r="K924" s="4">
        <v>828.91174338132</v>
      </c>
      <c r="L924" s="19">
        <v>8.2891174338132E20</v>
      </c>
      <c r="M924" s="20">
        <v>8.2891174338132E19</v>
      </c>
    </row>
    <row r="925">
      <c r="A925" s="6"/>
      <c r="B925" s="6"/>
      <c r="C925" s="4"/>
      <c r="D925" s="4">
        <v>14.9089618890016</v>
      </c>
      <c r="E925" s="4" t="s">
        <v>1707</v>
      </c>
      <c r="F925" s="4"/>
      <c r="G925" s="4"/>
      <c r="H925" s="4"/>
      <c r="I925" s="4" t="str">
        <f>IFERROR(__xludf.DUMMYFUNCTION("""COMPUTED_VALUE"""),"0x805568f589c7acd93d362029e49946bb080bfcf3")</f>
        <v>0x805568f589c7acd93d362029e49946bb080bfcf3</v>
      </c>
      <c r="J925" s="18">
        <v>14.9089618890016</v>
      </c>
      <c r="K925" s="4">
        <v>186.36202361251998</v>
      </c>
      <c r="L925" s="19">
        <v>1.8636202361251997E20</v>
      </c>
      <c r="M925" s="20">
        <v>1.8636202361252E19</v>
      </c>
    </row>
    <row r="926">
      <c r="A926" s="6"/>
      <c r="B926" s="6"/>
      <c r="C926" s="4"/>
      <c r="D926" s="4">
        <v>6.57385834174361</v>
      </c>
      <c r="E926" s="4" t="s">
        <v>1709</v>
      </c>
      <c r="F926" s="4"/>
      <c r="G926" s="4"/>
      <c r="H926" s="4"/>
      <c r="I926" s="4" t="str">
        <f>IFERROR(__xludf.DUMMYFUNCTION("""COMPUTED_VALUE"""),"0x4bcb0151ecd6f0c3587d631d39d417f2dc587043")</f>
        <v>0x4bcb0151ecd6f0c3587d631d39d417f2dc587043</v>
      </c>
      <c r="J926" s="18">
        <v>6.57385834174361</v>
      </c>
      <c r="K926" s="4">
        <v>82.17322927179512</v>
      </c>
      <c r="L926" s="19">
        <v>8.217322927179512E19</v>
      </c>
      <c r="M926" s="20">
        <v>8.217322927179513E18</v>
      </c>
    </row>
    <row r="927">
      <c r="A927" s="6"/>
      <c r="B927" s="6"/>
      <c r="C927" s="4"/>
      <c r="D927" s="4">
        <v>4.9938517229117</v>
      </c>
      <c r="E927" s="4" t="s">
        <v>1711</v>
      </c>
      <c r="F927" s="4"/>
      <c r="G927" s="4"/>
      <c r="H927" s="4"/>
      <c r="I927" s="4" t="str">
        <f>IFERROR(__xludf.DUMMYFUNCTION("""COMPUTED_VALUE"""),"0x7223447b0c92c4a88b4ef8572d51bb0d2e67f2b1")</f>
        <v>0x7223447b0c92c4a88b4ef8572d51bb0d2e67f2b1</v>
      </c>
      <c r="J927" s="18">
        <v>4.9938517229117</v>
      </c>
      <c r="K927" s="4">
        <v>62.423146536396246</v>
      </c>
      <c r="L927" s="19">
        <v>6.242314653639624E19</v>
      </c>
      <c r="M927" s="20">
        <v>6.242314653639625E18</v>
      </c>
    </row>
    <row r="928">
      <c r="A928" s="6"/>
      <c r="B928" s="6"/>
      <c r="C928" s="4"/>
      <c r="D928" s="4">
        <v>1041.3375577291001</v>
      </c>
      <c r="E928" s="4" t="s">
        <v>1713</v>
      </c>
      <c r="F928" s="4"/>
      <c r="G928" s="4"/>
      <c r="H928" s="4"/>
      <c r="I928" s="4" t="str">
        <f>IFERROR(__xludf.DUMMYFUNCTION("""COMPUTED_VALUE"""),"0x690524a31ce96bea837f32e43c7492f3031450a8")</f>
        <v>0x690524a31ce96bea837f32e43c7492f3031450a8</v>
      </c>
      <c r="J928" s="18">
        <v>1275.7136455361967</v>
      </c>
      <c r="K928" s="4">
        <v>15946.420569202459</v>
      </c>
      <c r="L928" s="19">
        <v>1.5946420569202458E22</v>
      </c>
      <c r="M928" s="20">
        <v>1.594642056920246E21</v>
      </c>
    </row>
    <row r="929">
      <c r="A929" s="6"/>
      <c r="B929" s="6"/>
      <c r="C929" s="4"/>
      <c r="D929" s="4">
        <v>8.4822499950782</v>
      </c>
      <c r="E929" s="4" t="s">
        <v>1715</v>
      </c>
      <c r="F929" s="4"/>
      <c r="G929" s="4"/>
      <c r="H929" s="4"/>
      <c r="I929" s="4" t="str">
        <f>IFERROR(__xludf.DUMMYFUNCTION("""COMPUTED_VALUE"""),"0xd28e91a125e9b7cc9e6a21384f10a313abf11ca7")</f>
        <v>0xd28e91a125e9b7cc9e6a21384f10a313abf11ca7</v>
      </c>
      <c r="J929" s="18">
        <v>8.4822499950782</v>
      </c>
      <c r="K929" s="4">
        <v>106.0281249384775</v>
      </c>
      <c r="L929" s="19">
        <v>1.060281249384775E20</v>
      </c>
      <c r="M929" s="20">
        <v>1.060281249384775E19</v>
      </c>
    </row>
    <row r="930">
      <c r="A930" s="6"/>
      <c r="B930" s="6"/>
      <c r="C930" s="4"/>
      <c r="D930" s="4">
        <v>4.2411249975391</v>
      </c>
      <c r="E930" s="4" t="s">
        <v>1716</v>
      </c>
      <c r="F930" s="4"/>
      <c r="G930" s="4"/>
      <c r="H930" s="4"/>
      <c r="I930" s="4" t="str">
        <f>IFERROR(__xludf.DUMMYFUNCTION("""COMPUTED_VALUE"""),"0x2728d380dbdcfdb76dbf9d0b2b4a5c3234f567d1")</f>
        <v>0x2728d380dbdcfdb76dbf9d0b2b4a5c3234f567d1</v>
      </c>
      <c r="J930" s="18">
        <v>4.2411249975391</v>
      </c>
      <c r="K930" s="4">
        <v>53.01406246923875</v>
      </c>
      <c r="L930" s="19">
        <v>5.301406246923875E19</v>
      </c>
      <c r="M930" s="20">
        <v>5.301406246923875E18</v>
      </c>
    </row>
    <row r="931">
      <c r="A931" s="6"/>
      <c r="B931" s="6"/>
      <c r="C931" s="4"/>
      <c r="D931" s="4">
        <v>12.83278788269</v>
      </c>
      <c r="E931" s="4" t="s">
        <v>1717</v>
      </c>
      <c r="F931" s="4"/>
      <c r="G931" s="4"/>
      <c r="H931" s="4"/>
      <c r="I931" s="4" t="str">
        <f>IFERROR(__xludf.DUMMYFUNCTION("""COMPUTED_VALUE"""),"0x3b4ae029585e02363e81b2214b1237de35323928")</f>
        <v>0x3b4ae029585e02363e81b2214b1237de35323928</v>
      </c>
      <c r="J931" s="18">
        <v>59.661988415426094</v>
      </c>
      <c r="K931" s="4">
        <v>745.7748551928262</v>
      </c>
      <c r="L931" s="19">
        <v>7.457748551928262E20</v>
      </c>
      <c r="M931" s="20">
        <v>7.457748551928262E19</v>
      </c>
    </row>
    <row r="932">
      <c r="A932" s="6"/>
      <c r="B932" s="6"/>
      <c r="C932" s="4"/>
      <c r="D932" s="4">
        <v>180.205437812082</v>
      </c>
      <c r="E932" s="4" t="s">
        <v>1719</v>
      </c>
      <c r="F932" s="4"/>
      <c r="G932" s="4"/>
      <c r="H932" s="4"/>
      <c r="I932" s="4" t="str">
        <f>IFERROR(__xludf.DUMMYFUNCTION("""COMPUTED_VALUE"""),"0xda3140d6698805aec58384f99897d9781bd1ac6e")</f>
        <v>0xda3140d6698805aec58384f99897d9781bd1ac6e</v>
      </c>
      <c r="J932" s="18">
        <v>414.5815256191786</v>
      </c>
      <c r="K932" s="4">
        <v>5182.269070239732</v>
      </c>
      <c r="L932" s="19">
        <v>5.182269070239732E21</v>
      </c>
      <c r="M932" s="20">
        <v>5.182269070239732E20</v>
      </c>
    </row>
    <row r="933">
      <c r="A933" s="6"/>
      <c r="B933" s="6"/>
      <c r="C933" s="4"/>
      <c r="D933" s="4">
        <v>14.6788299714537</v>
      </c>
      <c r="E933" s="4" t="s">
        <v>1721</v>
      </c>
      <c r="F933" s="4"/>
      <c r="G933" s="4"/>
      <c r="H933" s="4"/>
      <c r="I933" s="4" t="str">
        <f>IFERROR(__xludf.DUMMYFUNCTION("""COMPUTED_VALUE"""),"0x7ed7380023e63b1f59d546fd9b8e982f2a31ca73")</f>
        <v>0x7ed7380023e63b1f59d546fd9b8e982f2a31ca73</v>
      </c>
      <c r="J933" s="18">
        <v>249.05491777855028</v>
      </c>
      <c r="K933" s="4">
        <v>3113.1864722318783</v>
      </c>
      <c r="L933" s="19">
        <v>3.1131864722318783E21</v>
      </c>
      <c r="M933" s="20">
        <v>3.1131864722318787E20</v>
      </c>
    </row>
    <row r="934">
      <c r="A934" s="6"/>
      <c r="B934" s="6"/>
      <c r="C934" s="4"/>
      <c r="D934" s="4">
        <v>2.41882321748069</v>
      </c>
      <c r="E934" s="4" t="s">
        <v>1723</v>
      </c>
      <c r="F934" s="4"/>
      <c r="G934" s="4"/>
      <c r="H934" s="4"/>
      <c r="I934" s="4" t="str">
        <f>IFERROR(__xludf.DUMMYFUNCTION("""COMPUTED_VALUE"""),"0x82d764cc1f7ea24969b1b13ba07eba40f34472a1")</f>
        <v>0x82d764cc1f7ea24969b1b13ba07eba40f34472a1</v>
      </c>
      <c r="J934" s="18">
        <v>2.5027902019341477</v>
      </c>
      <c r="K934" s="4">
        <v>31.284877524176846</v>
      </c>
      <c r="L934" s="19">
        <v>3.1284877524176847E19</v>
      </c>
      <c r="M934" s="20">
        <v>3.128487752417685E18</v>
      </c>
    </row>
    <row r="935">
      <c r="A935" s="6"/>
      <c r="B935" s="6"/>
      <c r="C935" s="4"/>
      <c r="D935" s="4">
        <v>7.0685416625651705</v>
      </c>
      <c r="E935" s="4" t="s">
        <v>1725</v>
      </c>
      <c r="F935" s="4"/>
      <c r="G935" s="4"/>
      <c r="H935" s="4"/>
      <c r="I935" s="4" t="str">
        <f>IFERROR(__xludf.DUMMYFUNCTION("""COMPUTED_VALUE"""),"0xac548b826fd5e3ceca9837da255734cbc0c4947a")</f>
        <v>0xac548b826fd5e3ceca9837da255734cbc0c4947a</v>
      </c>
      <c r="J935" s="18">
        <v>7.0685416625651705</v>
      </c>
      <c r="K935" s="4">
        <v>88.35677078206463</v>
      </c>
      <c r="L935" s="19">
        <v>8.835677078206462E19</v>
      </c>
      <c r="M935" s="20">
        <v>8.835677078206463E18</v>
      </c>
    </row>
    <row r="936">
      <c r="A936" s="6"/>
      <c r="B936" s="6"/>
      <c r="C936" s="4"/>
      <c r="D936" s="4">
        <v>6.243775650392689</v>
      </c>
      <c r="E936" s="4" t="s">
        <v>1726</v>
      </c>
      <c r="F936" s="4"/>
      <c r="G936" s="4"/>
      <c r="H936" s="4"/>
      <c r="I936" s="4" t="str">
        <f>IFERROR(__xludf.DUMMYFUNCTION("""COMPUTED_VALUE"""),"0x23db88c11988a0e69ec7f94b043d27b748d53ee3")</f>
        <v>0x23db88c11988a0e69ec7f94b043d27b748d53ee3</v>
      </c>
      <c r="J936" s="18">
        <v>6.243775650392689</v>
      </c>
      <c r="K936" s="4">
        <v>78.04719562990861</v>
      </c>
      <c r="L936" s="19">
        <v>7.80471956299086E19</v>
      </c>
      <c r="M936" s="20">
        <v>7.804719562990861E18</v>
      </c>
    </row>
    <row r="937">
      <c r="A937" s="6"/>
      <c r="B937" s="6"/>
      <c r="C937" s="4"/>
      <c r="D937" s="4">
        <v>5.03532422410547</v>
      </c>
      <c r="E937" s="4" t="s">
        <v>1728</v>
      </c>
      <c r="F937" s="4"/>
      <c r="G937" s="4"/>
      <c r="H937" s="4"/>
      <c r="I937" s="4" t="str">
        <f>IFERROR(__xludf.DUMMYFUNCTION("""COMPUTED_VALUE"""),"0x09643e0435e76b68a8856b4c498244f716ba3468")</f>
        <v>0x09643e0435e76b68a8856b4c498244f716ba3468</v>
      </c>
      <c r="J937" s="18">
        <v>5.03532422410547</v>
      </c>
      <c r="K937" s="4">
        <v>62.94155280131838</v>
      </c>
      <c r="L937" s="19">
        <v>6.294155280131838E19</v>
      </c>
      <c r="M937" s="20">
        <v>6.294155280131838E18</v>
      </c>
    </row>
    <row r="938">
      <c r="A938" s="6"/>
      <c r="B938" s="6"/>
      <c r="C938" s="4"/>
      <c r="D938" s="4">
        <v>6.08102569894665</v>
      </c>
      <c r="E938" s="4" t="s">
        <v>1730</v>
      </c>
      <c r="F938" s="4"/>
      <c r="G938" s="4"/>
      <c r="H938" s="4"/>
      <c r="I938" s="4" t="str">
        <f>IFERROR(__xludf.DUMMYFUNCTION("""COMPUTED_VALUE"""),"0xbdae805b6d149b76a19916d1b5fc16b7ac81d335")</f>
        <v>0xbdae805b6d149b76a19916d1b5fc16b7ac81d335</v>
      </c>
      <c r="J938" s="18">
        <v>6.08102569894665</v>
      </c>
      <c r="K938" s="4">
        <v>76.01282123683313</v>
      </c>
      <c r="L938" s="19">
        <v>7.601282123683314E19</v>
      </c>
      <c r="M938" s="20">
        <v>7.601282123683315E18</v>
      </c>
    </row>
    <row r="939">
      <c r="A939" s="6"/>
      <c r="B939" s="6"/>
      <c r="C939" s="4"/>
      <c r="D939" s="4">
        <v>6.17470322641731</v>
      </c>
      <c r="E939" s="4" t="s">
        <v>1732</v>
      </c>
      <c r="F939" s="4"/>
      <c r="G939" s="4"/>
      <c r="H939" s="4"/>
      <c r="I939" s="4" t="str">
        <f>IFERROR(__xludf.DUMMYFUNCTION("""COMPUTED_VALUE"""),"0x5c03f2357ed59605faf2935728a4665b2ab60535")</f>
        <v>0x5c03f2357ed59605faf2935728a4665b2ab60535</v>
      </c>
      <c r="J939" s="18">
        <v>48.42248316794141</v>
      </c>
      <c r="K939" s="4">
        <v>605.2810395992676</v>
      </c>
      <c r="L939" s="19">
        <v>6.052810395992676E20</v>
      </c>
      <c r="M939" s="20">
        <v>6.052810395992677E19</v>
      </c>
    </row>
    <row r="940">
      <c r="A940" s="6"/>
      <c r="B940" s="6"/>
      <c r="C940" s="4"/>
      <c r="D940" s="4">
        <v>530.281995525639</v>
      </c>
      <c r="E940" s="4" t="s">
        <v>1734</v>
      </c>
      <c r="F940" s="4"/>
      <c r="G940" s="4"/>
      <c r="H940" s="4"/>
      <c r="I940" s="4" t="str">
        <f>IFERROR(__xludf.DUMMYFUNCTION("""COMPUTED_VALUE"""),"0xd868ea7cf6e655491cafa944e6703f081468b162")</f>
        <v>0xd868ea7cf6e655491cafa944e6703f081468b162</v>
      </c>
      <c r="J940" s="18">
        <v>764.6580833327356</v>
      </c>
      <c r="K940" s="4">
        <v>9558.226041659194</v>
      </c>
      <c r="L940" s="19">
        <v>9.558226041659195E21</v>
      </c>
      <c r="M940" s="20">
        <v>9.558226041659195E20</v>
      </c>
    </row>
    <row r="941">
      <c r="A941" s="6"/>
      <c r="B941" s="6"/>
      <c r="C941" s="4"/>
      <c r="D941" s="4">
        <v>1543.06191523658</v>
      </c>
      <c r="E941" s="4" t="s">
        <v>1735</v>
      </c>
      <c r="F941" s="4"/>
      <c r="G941" s="4"/>
      <c r="H941" s="4"/>
      <c r="I941" s="4" t="str">
        <f>IFERROR(__xludf.DUMMYFUNCTION("""COMPUTED_VALUE"""),"0x67ee257e82d2835a278981653b971798f396bf96")</f>
        <v>0x67ee257e82d2835a278981653b971798f396bf96</v>
      </c>
      <c r="J941" s="18">
        <v>1777.4380030436766</v>
      </c>
      <c r="K941" s="4">
        <v>22217.97503804596</v>
      </c>
      <c r="L941" s="19">
        <v>2.221797503804596E22</v>
      </c>
      <c r="M941" s="20">
        <v>2.2217975038045963E21</v>
      </c>
    </row>
    <row r="942">
      <c r="A942" s="6"/>
      <c r="B942" s="6"/>
      <c r="C942" s="4"/>
      <c r="D942" s="4">
        <v>4.75668216173494</v>
      </c>
      <c r="E942" s="4" t="s">
        <v>1737</v>
      </c>
      <c r="F942" s="4"/>
      <c r="G942" s="4"/>
      <c r="H942" s="4"/>
      <c r="I942" s="4" t="str">
        <f>IFERROR(__xludf.DUMMYFUNCTION("""COMPUTED_VALUE"""),"0x20893e47263f9c08c8f4d18b347a1021a3bd09f9")</f>
        <v>0x20893e47263f9c08c8f4d18b347a1021a3bd09f9</v>
      </c>
      <c r="J942" s="18">
        <v>4.75668216173494</v>
      </c>
      <c r="K942" s="4">
        <v>59.45852702168675</v>
      </c>
      <c r="L942" s="19">
        <v>5.945852702168675E19</v>
      </c>
      <c r="M942" s="20">
        <v>5.945852702168675E18</v>
      </c>
    </row>
    <row r="943">
      <c r="A943" s="6"/>
      <c r="B943" s="6"/>
      <c r="C943" s="4"/>
      <c r="D943" s="4">
        <v>534.072863838452</v>
      </c>
      <c r="E943" s="4" t="s">
        <v>1739</v>
      </c>
      <c r="F943" s="4"/>
      <c r="G943" s="4"/>
      <c r="H943" s="4"/>
      <c r="I943" s="4" t="str">
        <f>IFERROR(__xludf.DUMMYFUNCTION("""COMPUTED_VALUE"""),"0x9e83a125daa1638f2c618208c797cc1728580f99")</f>
        <v>0x9e83a125daa1638f2c618208c797cc1728580f99</v>
      </c>
      <c r="J943" s="18">
        <v>763.0265408502968</v>
      </c>
      <c r="K943" s="4">
        <v>9537.83176062871</v>
      </c>
      <c r="L943" s="19">
        <v>9.53783176062871E21</v>
      </c>
      <c r="M943" s="20">
        <v>9.53783176062871E20</v>
      </c>
    </row>
    <row r="944">
      <c r="A944" s="6"/>
      <c r="B944" s="6"/>
      <c r="C944" s="4"/>
      <c r="D944" s="4">
        <v>7.54828783092742</v>
      </c>
      <c r="E944" s="4" t="s">
        <v>1741</v>
      </c>
      <c r="F944" s="4"/>
      <c r="G944" s="4"/>
      <c r="H944" s="4"/>
      <c r="I944" s="4" t="str">
        <f>IFERROR(__xludf.DUMMYFUNCTION("""COMPUTED_VALUE"""),"0x5dbb63f8f9e646e0e55883268d87702bb91b6e23")</f>
        <v>0x5dbb63f8f9e646e0e55883268d87702bb91b6e23</v>
      </c>
      <c r="J944" s="18">
        <v>55.91241543052402</v>
      </c>
      <c r="K944" s="4">
        <v>698.9051928815502</v>
      </c>
      <c r="L944" s="19">
        <v>6.989051928815501E20</v>
      </c>
      <c r="M944" s="20">
        <v>6.989051928815501E19</v>
      </c>
    </row>
    <row r="945">
      <c r="A945" s="6"/>
      <c r="B945" s="6"/>
      <c r="C945" s="4"/>
      <c r="D945" s="4">
        <v>4.84069398370259</v>
      </c>
      <c r="E945" s="4" t="s">
        <v>1743</v>
      </c>
      <c r="F945" s="4"/>
      <c r="G945" s="4"/>
      <c r="H945" s="4"/>
      <c r="I945" s="4" t="str">
        <f>IFERROR(__xludf.DUMMYFUNCTION("""COMPUTED_VALUE"""),"0x8a5aec86f98fc2df7a4906fb9619b72a2e430afb")</f>
        <v>0x8a5aec86f98fc2df7a4906fb9619b72a2e430afb</v>
      </c>
      <c r="J945" s="18">
        <v>37.51317790749609</v>
      </c>
      <c r="K945" s="4">
        <v>468.91472384370115</v>
      </c>
      <c r="L945" s="19">
        <v>4.6891472384370115E20</v>
      </c>
      <c r="M945" s="20">
        <v>4.6891472384370115E19</v>
      </c>
    </row>
    <row r="946">
      <c r="A946" s="6"/>
      <c r="B946" s="6"/>
      <c r="C946" s="4"/>
      <c r="D946" s="4">
        <v>7.24101407913176</v>
      </c>
      <c r="E946" s="4" t="s">
        <v>1745</v>
      </c>
      <c r="F946" s="4"/>
      <c r="G946" s="4"/>
      <c r="H946" s="4"/>
      <c r="I946" s="4" t="str">
        <f>IFERROR(__xludf.DUMMYFUNCTION("""COMPUTED_VALUE"""),"0xd2b5ed1cd446729625ac599f762d2ef757bb8e19")</f>
        <v>0xd2b5ed1cd446729625ac599f762d2ef757bb8e19</v>
      </c>
      <c r="J946" s="18">
        <v>7.24101407913176</v>
      </c>
      <c r="K946" s="4">
        <v>90.512675989147</v>
      </c>
      <c r="L946" s="19">
        <v>9.0512675989147E19</v>
      </c>
      <c r="M946" s="20">
        <v>9.051267598914699E18</v>
      </c>
    </row>
    <row r="947">
      <c r="A947" s="6"/>
      <c r="B947" s="6"/>
      <c r="C947" s="4"/>
      <c r="D947" s="4">
        <v>1.35597577857772</v>
      </c>
      <c r="E947" s="4" t="s">
        <v>1747</v>
      </c>
      <c r="F947" s="4"/>
      <c r="G947" s="4"/>
      <c r="H947" s="4"/>
      <c r="I947" s="4" t="str">
        <f>IFERROR(__xludf.DUMMYFUNCTION("""COMPUTED_VALUE"""),"0x7b7c55d61c804635f2f6685d08f9414d587e6d2e")</f>
        <v>0x7b7c55d61c804635f2f6685d08f9414d587e6d2e</v>
      </c>
      <c r="J947" s="18">
        <v>12.18954036088732</v>
      </c>
      <c r="K947" s="4">
        <v>152.3692545110915</v>
      </c>
      <c r="L947" s="19">
        <v>1.5236925451109148E20</v>
      </c>
      <c r="M947" s="20">
        <v>1.5236925451109149E19</v>
      </c>
    </row>
    <row r="948">
      <c r="A948" s="6"/>
      <c r="B948" s="6"/>
      <c r="C948" s="4"/>
      <c r="D948" s="4">
        <v>97.141219014351</v>
      </c>
      <c r="E948" s="4" t="s">
        <v>1749</v>
      </c>
      <c r="F948" s="4"/>
      <c r="G948" s="4"/>
      <c r="H948" s="4"/>
      <c r="I948" s="4" t="str">
        <f>IFERROR(__xludf.DUMMYFUNCTION("""COMPUTED_VALUE"""),"0xda9760828175a7684371321b17e11e823aa5f4c0")</f>
        <v>0xda9760828175a7684371321b17e11e823aa5f4c0</v>
      </c>
      <c r="J948" s="18">
        <v>309.89704862181736</v>
      </c>
      <c r="K948" s="4">
        <v>3873.7131077727167</v>
      </c>
      <c r="L948" s="19">
        <v>3.873713107772717E21</v>
      </c>
      <c r="M948" s="20">
        <v>3.873713107772717E20</v>
      </c>
    </row>
    <row r="949">
      <c r="A949" s="6"/>
      <c r="B949" s="6"/>
      <c r="C949" s="4"/>
      <c r="D949" s="4">
        <v>94.1393349556802</v>
      </c>
      <c r="E949" s="4" t="s">
        <v>1751</v>
      </c>
      <c r="F949" s="4"/>
      <c r="G949" s="4"/>
      <c r="H949" s="4"/>
      <c r="I949" s="4" t="str">
        <f>IFERROR(__xludf.DUMMYFUNCTION("""COMPUTED_VALUE"""),"0xf244b3050ec606ccdc1edbce534a2343fe3e929a")</f>
        <v>0xf244b3050ec606ccdc1edbce534a2343fe3e929a</v>
      </c>
      <c r="J949" s="18">
        <v>94.1393349556802</v>
      </c>
      <c r="K949" s="4">
        <v>1176.7416869460023</v>
      </c>
      <c r="L949" s="19">
        <v>1.1767416869460024E21</v>
      </c>
      <c r="M949" s="20">
        <v>1.1767416869460024E20</v>
      </c>
    </row>
    <row r="950">
      <c r="A950" s="6"/>
      <c r="B950" s="6"/>
      <c r="C950" s="4"/>
      <c r="D950" s="4">
        <v>10.6439290633947</v>
      </c>
      <c r="E950" s="4" t="s">
        <v>1753</v>
      </c>
      <c r="F950" s="4"/>
      <c r="G950" s="4"/>
      <c r="H950" s="4"/>
      <c r="I950" s="4" t="str">
        <f>IFERROR(__xludf.DUMMYFUNCTION("""COMPUTED_VALUE"""),"0x6c9987f108a7db67889d31ce57bdde3d3c4f9a83")</f>
        <v>0x6c9987f108a7db67889d31ce57bdde3d3c4f9a83</v>
      </c>
      <c r="J950" s="18">
        <v>32.4117584223331</v>
      </c>
      <c r="K950" s="4">
        <v>405.14698027916376</v>
      </c>
      <c r="L950" s="19">
        <v>4.0514698027916375E20</v>
      </c>
      <c r="M950" s="20">
        <v>4.051469802791638E19</v>
      </c>
    </row>
    <row r="951">
      <c r="A951" s="6"/>
      <c r="B951" s="6"/>
      <c r="C951" s="4"/>
      <c r="D951" s="4">
        <v>67.0722354823225</v>
      </c>
      <c r="E951" s="4" t="s">
        <v>1755</v>
      </c>
      <c r="F951" s="4"/>
      <c r="G951" s="4"/>
      <c r="H951" s="4"/>
      <c r="I951" s="4" t="str">
        <f>IFERROR(__xludf.DUMMYFUNCTION("""COMPUTED_VALUE"""),"0x7efd80c5f75c76b5fc9349bcb6d980e469765662")</f>
        <v>0x7efd80c5f75c76b5fc9349bcb6d980e469765662</v>
      </c>
      <c r="J951" s="18">
        <v>67.0722354823225</v>
      </c>
      <c r="K951" s="4">
        <v>838.4029435290312</v>
      </c>
      <c r="L951" s="19">
        <v>8.384029435290312E20</v>
      </c>
      <c r="M951" s="20">
        <v>8.384029435290313E19</v>
      </c>
    </row>
    <row r="952">
      <c r="A952" s="6"/>
      <c r="B952" s="6"/>
      <c r="C952" s="4"/>
      <c r="D952" s="4">
        <v>36.0591901640586</v>
      </c>
      <c r="E952" s="4" t="s">
        <v>1757</v>
      </c>
      <c r="F952" s="4"/>
      <c r="G952" s="4"/>
      <c r="H952" s="4"/>
      <c r="I952" s="4" t="str">
        <f>IFERROR(__xludf.DUMMYFUNCTION("""COMPUTED_VALUE"""),"0x9e9c3f9c81a952d427d721091fc63ee80298c8f2")</f>
        <v>0x9e9c3f9c81a952d427d721091fc63ee80298c8f2</v>
      </c>
      <c r="J952" s="18">
        <v>84.4233177636552</v>
      </c>
      <c r="K952" s="4">
        <v>1055.29147204569</v>
      </c>
      <c r="L952" s="19">
        <v>1.0552914720456899E21</v>
      </c>
      <c r="M952" s="20">
        <v>1.05529147204569E20</v>
      </c>
    </row>
    <row r="953">
      <c r="A953" s="6"/>
      <c r="B953" s="6"/>
      <c r="C953" s="4"/>
      <c r="D953" s="4">
        <v>1.10062278674842</v>
      </c>
      <c r="E953" s="4" t="s">
        <v>1759</v>
      </c>
      <c r="F953" s="4"/>
      <c r="G953" s="4"/>
      <c r="H953" s="4"/>
      <c r="I953" s="4" t="str">
        <f>IFERROR(__xludf.DUMMYFUNCTION("""COMPUTED_VALUE"""),"0x498cf8eb742a81dbffefe444523f207397dbebe5")</f>
        <v>0x498cf8eb742a81dbffefe444523f207397dbebe5</v>
      </c>
      <c r="J953" s="18">
        <v>1.10062278674842</v>
      </c>
      <c r="K953" s="4">
        <v>13.757784834355249</v>
      </c>
      <c r="L953" s="19">
        <v>1.375778483435525E19</v>
      </c>
      <c r="M953" s="20">
        <v>1.3757784834355249E18</v>
      </c>
    </row>
    <row r="954">
      <c r="A954" s="6"/>
      <c r="B954" s="6"/>
      <c r="C954" s="4"/>
      <c r="D954" s="4">
        <v>6.56443497416868</v>
      </c>
      <c r="E954" s="4" t="s">
        <v>1761</v>
      </c>
      <c r="F954" s="4"/>
      <c r="G954" s="4"/>
      <c r="H954" s="4"/>
      <c r="I954" s="4" t="str">
        <f>IFERROR(__xludf.DUMMYFUNCTION("""COMPUTED_VALUE"""),"0x7aae20d602fa88c2b2e78e46b7543af24ffe5f75")</f>
        <v>0x7aae20d602fa88c2b2e78e46b7543af24ffe5f75</v>
      </c>
      <c r="J954" s="18">
        <v>54.92856257376528</v>
      </c>
      <c r="K954" s="4">
        <v>686.6070321720659</v>
      </c>
      <c r="L954" s="19">
        <v>6.86607032172066E20</v>
      </c>
      <c r="M954" s="20">
        <v>6.86607032172066E19</v>
      </c>
    </row>
    <row r="955">
      <c r="A955" s="6"/>
      <c r="B955" s="6"/>
      <c r="C955" s="4"/>
      <c r="D955" s="4">
        <v>83.0984781895077</v>
      </c>
      <c r="E955" s="4" t="s">
        <v>1763</v>
      </c>
      <c r="F955" s="4"/>
      <c r="G955" s="4"/>
      <c r="H955" s="4"/>
      <c r="I955" s="4" t="str">
        <f>IFERROR(__xludf.DUMMYFUNCTION("""COMPUTED_VALUE"""),"0x6d8e305f1ecab1eb6d038268e77834a501465886")</f>
        <v>0x6d8e305f1ecab1eb6d038268e77834a501465886</v>
      </c>
      <c r="J955" s="18">
        <v>131.46260578910432</v>
      </c>
      <c r="K955" s="4">
        <v>1643.2825723638039</v>
      </c>
      <c r="L955" s="19">
        <v>1.643282572363804E21</v>
      </c>
      <c r="M955" s="20">
        <v>1.643282572363804E20</v>
      </c>
    </row>
    <row r="956">
      <c r="A956" s="6"/>
      <c r="B956" s="6"/>
      <c r="C956" s="4"/>
      <c r="D956" s="4">
        <v>7.0685416625651705</v>
      </c>
      <c r="E956" s="4" t="s">
        <v>1765</v>
      </c>
      <c r="F956" s="4"/>
      <c r="G956" s="4"/>
      <c r="H956" s="4"/>
      <c r="I956" s="4" t="str">
        <f>IFERROR(__xludf.DUMMYFUNCTION("""COMPUTED_VALUE"""),"0x08a3733adf47921e65b2f1ed380daac53f1f3a10")</f>
        <v>0x08a3733adf47921e65b2f1ed380daac53f1f3a10</v>
      </c>
      <c r="J956" s="18">
        <v>7.0685416625651705</v>
      </c>
      <c r="K956" s="4">
        <v>88.35677078206463</v>
      </c>
      <c r="L956" s="19">
        <v>8.835677078206462E19</v>
      </c>
      <c r="M956" s="20">
        <v>8.835677078206463E18</v>
      </c>
    </row>
    <row r="957">
      <c r="A957" s="6"/>
      <c r="B957" s="6"/>
      <c r="C957" s="4"/>
      <c r="D957" s="4">
        <v>31.7429001780056</v>
      </c>
      <c r="E957" s="4" t="s">
        <v>1766</v>
      </c>
      <c r="F957" s="4"/>
      <c r="G957" s="4"/>
      <c r="H957" s="4"/>
      <c r="I957" s="4" t="str">
        <f>IFERROR(__xludf.DUMMYFUNCTION("""COMPUTED_VALUE"""),"0xa41570104e8820aee104fba71d3e8a9db1235205")</f>
        <v>0xa41570104e8820aee104fba71d3e8a9db1235205</v>
      </c>
      <c r="J957" s="18">
        <v>67.82497931272209</v>
      </c>
      <c r="K957" s="4">
        <v>847.8122414090261</v>
      </c>
      <c r="L957" s="19">
        <v>8.478122414090262E20</v>
      </c>
      <c r="M957" s="20">
        <v>8.478122414090261E19</v>
      </c>
    </row>
    <row r="958">
      <c r="A958" s="6"/>
      <c r="B958" s="6"/>
      <c r="C958" s="4"/>
      <c r="D958" s="4">
        <v>70.6854166256517</v>
      </c>
      <c r="E958" s="4" t="s">
        <v>1768</v>
      </c>
      <c r="F958" s="4"/>
      <c r="G958" s="4"/>
      <c r="H958" s="4"/>
      <c r="I958" s="4" t="str">
        <f>IFERROR(__xludf.DUMMYFUNCTION("""COMPUTED_VALUE"""),"0x193730f824027cff189f8275bd6c2332eb0508e1")</f>
        <v>0x193730f824027cff189f8275bd6c2332eb0508e1</v>
      </c>
      <c r="J958" s="18">
        <v>70.6854166256517</v>
      </c>
      <c r="K958" s="4">
        <v>883.5677078206462</v>
      </c>
      <c r="L958" s="19">
        <v>8.835677078206462E20</v>
      </c>
      <c r="M958" s="20">
        <v>8.835677078206462E19</v>
      </c>
    </row>
    <row r="959">
      <c r="A959" s="6"/>
      <c r="B959" s="6"/>
      <c r="C959" s="4"/>
      <c r="D959" s="4">
        <v>7.88277957548301</v>
      </c>
      <c r="E959" s="4" t="s">
        <v>1769</v>
      </c>
      <c r="F959" s="4"/>
      <c r="G959" s="4"/>
      <c r="H959" s="4"/>
      <c r="I959" s="4" t="str">
        <f>IFERROR(__xludf.DUMMYFUNCTION("""COMPUTED_VALUE"""),"0x5759e485d9e04904b1b101e26555b9770ede97f8")</f>
        <v>0x5759e485d9e04904b1b101e26555b9770ede97f8</v>
      </c>
      <c r="J959" s="18">
        <v>7.88277957548301</v>
      </c>
      <c r="K959" s="4">
        <v>98.53474469353762</v>
      </c>
      <c r="L959" s="19">
        <v>9.853474469353762E19</v>
      </c>
      <c r="M959" s="20">
        <v>9.853474469353763E18</v>
      </c>
    </row>
    <row r="960">
      <c r="A960" s="6"/>
      <c r="B960" s="6"/>
      <c r="C960" s="4"/>
      <c r="D960" s="4">
        <v>0.271826213040082</v>
      </c>
      <c r="E960" s="4" t="s">
        <v>1771</v>
      </c>
      <c r="F960" s="4"/>
      <c r="G960" s="4"/>
      <c r="H960" s="4"/>
      <c r="I960" s="4" t="str">
        <f>IFERROR(__xludf.DUMMYFUNCTION("""COMPUTED_VALUE"""),"0x97b686decbb380e551ac836c73ba6aae585eeb2b")</f>
        <v>0x97b686decbb380e551ac836c73ba6aae585eeb2b</v>
      </c>
      <c r="J960" s="18">
        <v>0.271826213040082</v>
      </c>
      <c r="K960" s="4">
        <v>3.3978276630010247</v>
      </c>
      <c r="L960" s="19">
        <v>3.3978276630010245E18</v>
      </c>
      <c r="M960" s="20">
        <v>3.3978276630010246E17</v>
      </c>
    </row>
    <row r="961">
      <c r="A961" s="6"/>
      <c r="B961" s="6"/>
      <c r="C961" s="4"/>
      <c r="D961" s="4">
        <v>7.0685416625651705</v>
      </c>
      <c r="E961" s="4" t="s">
        <v>1773</v>
      </c>
      <c r="F961" s="4"/>
      <c r="G961" s="4"/>
      <c r="H961" s="4"/>
      <c r="I961" s="4" t="str">
        <f>IFERROR(__xludf.DUMMYFUNCTION("""COMPUTED_VALUE"""),"0x6dc420bfa0beb345dd78bd9f45881ec9ff7a9580")</f>
        <v>0x6dc420bfa0beb345dd78bd9f45881ec9ff7a9580</v>
      </c>
      <c r="J961" s="18">
        <v>55.43266926216177</v>
      </c>
      <c r="K961" s="4">
        <v>692.908365777022</v>
      </c>
      <c r="L961" s="19">
        <v>6.929083657770221E20</v>
      </c>
      <c r="M961" s="20">
        <v>6.9290836577702216E19</v>
      </c>
    </row>
    <row r="962">
      <c r="A962" s="6"/>
      <c r="B962" s="6"/>
      <c r="C962" s="4"/>
      <c r="D962" s="4">
        <v>10513.4570895438</v>
      </c>
      <c r="E962" s="4" t="s">
        <v>1774</v>
      </c>
      <c r="F962" s="4"/>
      <c r="G962" s="4"/>
      <c r="H962" s="4"/>
      <c r="I962" s="4" t="str">
        <f>IFERROR(__xludf.DUMMYFUNCTION("""COMPUTED_VALUE"""),"0x6165fd87c1bc73a4c44b23934e9136fd92df5b01")</f>
        <v>0x6165fd87c1bc73a4c44b23934e9136fd92df5b01</v>
      </c>
      <c r="J962" s="18">
        <v>10747.833177350894</v>
      </c>
      <c r="K962" s="4">
        <v>134347.91471688618</v>
      </c>
      <c r="L962" s="19">
        <v>1.3434791471688618E23</v>
      </c>
      <c r="M962" s="20">
        <v>1.3434791471688618E22</v>
      </c>
    </row>
    <row r="963">
      <c r="A963" s="6"/>
      <c r="B963" s="6"/>
      <c r="C963" s="4"/>
      <c r="D963" s="4">
        <v>3.9443263749683504</v>
      </c>
      <c r="E963" s="4" t="s">
        <v>1776</v>
      </c>
      <c r="F963" s="4"/>
      <c r="G963" s="4"/>
      <c r="H963" s="4"/>
      <c r="I963" s="4" t="str">
        <f>IFERROR(__xludf.DUMMYFUNCTION("""COMPUTED_VALUE"""),"0x53f7803c0e54e3752a956727d30ffe9a99a803d7")</f>
        <v>0x53f7803c0e54e3752a956727d30ffe9a99a803d7</v>
      </c>
      <c r="J963" s="18">
        <v>40.15158690223975</v>
      </c>
      <c r="K963" s="4">
        <v>501.8948362779969</v>
      </c>
      <c r="L963" s="19">
        <v>5.018948362779969E20</v>
      </c>
      <c r="M963" s="20">
        <v>5.018948362779969E19</v>
      </c>
    </row>
    <row r="964">
      <c r="A964" s="6"/>
      <c r="B964" s="6"/>
      <c r="C964" s="4"/>
      <c r="D964" s="4">
        <v>14.1370833251303</v>
      </c>
      <c r="E964" s="4" t="s">
        <v>1778</v>
      </c>
      <c r="F964" s="4"/>
      <c r="G964" s="4"/>
      <c r="H964" s="4"/>
      <c r="I964" s="4" t="str">
        <f>IFERROR(__xludf.DUMMYFUNCTION("""COMPUTED_VALUE"""),"0xd4944eb8ef06cf082bca9821a3a2f46af0b3108b")</f>
        <v>0xd4944eb8ef06cf082bca9821a3a2f46af0b3108b</v>
      </c>
      <c r="J964" s="18">
        <v>14.1370833251303</v>
      </c>
      <c r="K964" s="4">
        <v>176.71354156412875</v>
      </c>
      <c r="L964" s="19">
        <v>1.7671354156412876E20</v>
      </c>
      <c r="M964" s="20">
        <v>1.7671354156412877E19</v>
      </c>
    </row>
    <row r="965">
      <c r="A965" s="6"/>
      <c r="B965" s="6"/>
      <c r="C965" s="4"/>
      <c r="D965" s="4">
        <v>6.73128670243947</v>
      </c>
      <c r="E965" s="4" t="s">
        <v>1779</v>
      </c>
      <c r="F965" s="4"/>
      <c r="G965" s="4"/>
      <c r="H965" s="4"/>
      <c r="I965" s="4" t="str">
        <f>IFERROR(__xludf.DUMMYFUNCTION("""COMPUTED_VALUE"""),"0x77b4dddb904e245389010010e799715614779c61")</f>
        <v>0x77b4dddb904e245389010010e799715614779c61</v>
      </c>
      <c r="J965" s="18">
        <v>6.73128670243947</v>
      </c>
      <c r="K965" s="4">
        <v>84.14108378049337</v>
      </c>
      <c r="L965" s="19">
        <v>8.414108378049338E19</v>
      </c>
      <c r="M965" s="20">
        <v>8.414108378049338E18</v>
      </c>
    </row>
    <row r="966">
      <c r="A966" s="6"/>
      <c r="B966" s="6"/>
      <c r="C966" s="4"/>
      <c r="D966" s="4">
        <v>7.0685416625651705</v>
      </c>
      <c r="E966" s="4" t="s">
        <v>1781</v>
      </c>
      <c r="F966" s="4"/>
      <c r="G966" s="4"/>
      <c r="H966" s="4"/>
      <c r="I966" s="4" t="str">
        <f>IFERROR(__xludf.DUMMYFUNCTION("""COMPUTED_VALUE"""),"0x698835056262ab667873a5e40cc763ba4689bbbb")</f>
        <v>0x698835056262ab667873a5e40cc763ba4689bbbb</v>
      </c>
      <c r="J966" s="18">
        <v>7.0685416625651705</v>
      </c>
      <c r="K966" s="4">
        <v>88.35677078206463</v>
      </c>
      <c r="L966" s="19">
        <v>8.835677078206462E19</v>
      </c>
      <c r="M966" s="20">
        <v>8.835677078206463E18</v>
      </c>
    </row>
    <row r="967">
      <c r="A967" s="6"/>
      <c r="B967" s="6"/>
      <c r="C967" s="4"/>
      <c r="D967" s="4">
        <v>10.231671824712599</v>
      </c>
      <c r="E967" s="4" t="s">
        <v>1782</v>
      </c>
      <c r="F967" s="4"/>
      <c r="G967" s="4"/>
      <c r="H967" s="4"/>
      <c r="I967" s="4" t="str">
        <f>IFERROR(__xludf.DUMMYFUNCTION("""COMPUTED_VALUE"""),"0xbc02151e2bebdbf77a2c3c3be8e83ebfc8fb2802")</f>
        <v>0xbc02151e2bebdbf77a2c3c3be8e83ebfc8fb2802</v>
      </c>
      <c r="J967" s="18">
        <v>10.231671824712599</v>
      </c>
      <c r="K967" s="4">
        <v>127.89589780890749</v>
      </c>
      <c r="L967" s="19">
        <v>1.2789589780890749E20</v>
      </c>
      <c r="M967" s="20">
        <v>1.2789589780890749E19</v>
      </c>
    </row>
    <row r="968">
      <c r="A968" s="6"/>
      <c r="B968" s="6"/>
      <c r="C968" s="4"/>
      <c r="D968" s="4">
        <v>13.291225431487701</v>
      </c>
      <c r="E968" s="4" t="s">
        <v>1784</v>
      </c>
      <c r="F968" s="4"/>
      <c r="G968" s="4"/>
      <c r="H968" s="4"/>
      <c r="I968" s="4" t="str">
        <f>IFERROR(__xludf.DUMMYFUNCTION("""COMPUTED_VALUE"""),"0xd99d7b0cbd4cc224d09a27c2beefc09a4843a80c")</f>
        <v>0xd99d7b0cbd4cc224d09a27c2beefc09a4843a80c</v>
      </c>
      <c r="J968" s="18">
        <v>13.291225431487701</v>
      </c>
      <c r="K968" s="4">
        <v>166.14031789359626</v>
      </c>
      <c r="L968" s="19">
        <v>1.6614031789359625E20</v>
      </c>
      <c r="M968" s="20">
        <v>1.6614031789359626E19</v>
      </c>
    </row>
    <row r="969">
      <c r="A969" s="6"/>
      <c r="B969" s="6"/>
      <c r="C969" s="4"/>
      <c r="D969" s="4">
        <v>142.793961676468</v>
      </c>
      <c r="E969" s="4" t="s">
        <v>1786</v>
      </c>
      <c r="F969" s="4"/>
      <c r="G969" s="4"/>
      <c r="H969" s="4"/>
      <c r="I969" s="4" t="str">
        <f>IFERROR(__xludf.DUMMYFUNCTION("""COMPUTED_VALUE"""),"0xd77d5472113f36b49a3c7a91f02ac6eb728b8bc4")</f>
        <v>0xd77d5472113f36b49a3c7a91f02ac6eb728b8bc4</v>
      </c>
      <c r="J969" s="18">
        <v>142.793961676468</v>
      </c>
      <c r="K969" s="4">
        <v>1784.92452095585</v>
      </c>
      <c r="L969" s="19">
        <v>1.78492452095585E21</v>
      </c>
      <c r="M969" s="20">
        <v>1.7849245209558503E20</v>
      </c>
    </row>
    <row r="970">
      <c r="A970" s="6"/>
      <c r="B970" s="6"/>
      <c r="C970" s="4"/>
      <c r="D970" s="4">
        <v>7.0685416625651705</v>
      </c>
      <c r="E970" s="4" t="s">
        <v>1788</v>
      </c>
      <c r="F970" s="4"/>
      <c r="G970" s="4"/>
      <c r="H970" s="4"/>
      <c r="I970" s="4" t="str">
        <f>IFERROR(__xludf.DUMMYFUNCTION("""COMPUTED_VALUE"""),"0x45833162e5a4352c89e3c16ca1ed125e42d60fd7")</f>
        <v>0x45833162e5a4352c89e3c16ca1ed125e42d60fd7</v>
      </c>
      <c r="J970" s="18">
        <v>7.0685416625651705</v>
      </c>
      <c r="K970" s="4">
        <v>88.35677078206463</v>
      </c>
      <c r="L970" s="19">
        <v>8.835677078206462E19</v>
      </c>
      <c r="M970" s="20">
        <v>8.835677078206463E18</v>
      </c>
    </row>
    <row r="971">
      <c r="A971" s="6"/>
      <c r="B971" s="6"/>
      <c r="C971" s="4"/>
      <c r="D971" s="4">
        <v>24.6969235942683</v>
      </c>
      <c r="E971" s="4" t="s">
        <v>1789</v>
      </c>
      <c r="F971" s="4"/>
      <c r="G971" s="4"/>
      <c r="H971" s="4"/>
      <c r="I971" s="4" t="str">
        <f>IFERROR(__xludf.DUMMYFUNCTION("""COMPUTED_VALUE"""),"0x63fb72ff2ed658d053399b6e15d044cd8ff2838d")</f>
        <v>0x63fb72ff2ed658d053399b6e15d044cd8ff2838d</v>
      </c>
      <c r="J971" s="18">
        <v>24.6969235942683</v>
      </c>
      <c r="K971" s="4">
        <v>308.7115449283537</v>
      </c>
      <c r="L971" s="19">
        <v>3.087115449283537E20</v>
      </c>
      <c r="M971" s="20">
        <v>3.0871154492835373E19</v>
      </c>
    </row>
    <row r="972">
      <c r="A972" s="6"/>
      <c r="B972" s="6"/>
      <c r="C972" s="4"/>
      <c r="D972" s="4">
        <v>30.0205280480082</v>
      </c>
      <c r="E972" s="4" t="s">
        <v>1791</v>
      </c>
      <c r="F972" s="4"/>
      <c r="G972" s="4"/>
      <c r="H972" s="4"/>
      <c r="I972" s="4" t="str">
        <f>IFERROR(__xludf.DUMMYFUNCTION("""COMPUTED_VALUE"""),"0xc2f7fee16f7c8a807dd4a1ceb71ee1e203efe602")</f>
        <v>0xc2f7fee16f7c8a807dd4a1ceb71ee1e203efe602</v>
      </c>
      <c r="J972" s="18">
        <v>188.59438034748422</v>
      </c>
      <c r="K972" s="4">
        <v>2357.4297543435528</v>
      </c>
      <c r="L972" s="19">
        <v>2.3574297543435527E21</v>
      </c>
      <c r="M972" s="20">
        <v>2.3574297543435528E20</v>
      </c>
    </row>
    <row r="973">
      <c r="A973" s="6"/>
      <c r="B973" s="6"/>
      <c r="C973" s="4"/>
      <c r="D973" s="4">
        <v>7.0685416625651705</v>
      </c>
      <c r="E973" s="4" t="s">
        <v>1793</v>
      </c>
      <c r="F973" s="4"/>
      <c r="G973" s="4"/>
      <c r="H973" s="4"/>
      <c r="I973" s="4" t="str">
        <f>IFERROR(__xludf.DUMMYFUNCTION("""COMPUTED_VALUE"""),"0x48f7a2ab6bb9fe8022911ebc87b048279b3bbfc0")</f>
        <v>0x48f7a2ab6bb9fe8022911ebc87b048279b3bbfc0</v>
      </c>
      <c r="J973" s="18">
        <v>7.0685416625651705</v>
      </c>
      <c r="K973" s="4">
        <v>88.35677078206463</v>
      </c>
      <c r="L973" s="19">
        <v>8.835677078206462E19</v>
      </c>
      <c r="M973" s="20">
        <v>8.835677078206463E18</v>
      </c>
    </row>
    <row r="974">
      <c r="A974" s="6"/>
      <c r="B974" s="6"/>
      <c r="C974" s="4"/>
      <c r="D974" s="4">
        <v>38.216375513865295</v>
      </c>
      <c r="E974" s="4" t="s">
        <v>1794</v>
      </c>
      <c r="F974" s="4"/>
      <c r="G974" s="4"/>
      <c r="H974" s="4"/>
      <c r="I974" s="4" t="str">
        <f>IFERROR(__xludf.DUMMYFUNCTION("""COMPUTED_VALUE"""),"0xd65f12d3ecc457c44d18fb675d7ed987300424a8")</f>
        <v>0xd65f12d3ecc457c44d18fb675d7ed987300424a8</v>
      </c>
      <c r="J974" s="18">
        <v>272.5924633209619</v>
      </c>
      <c r="K974" s="4">
        <v>3407.4057915120234</v>
      </c>
      <c r="L974" s="19">
        <v>3.4074057915120233E21</v>
      </c>
      <c r="M974" s="20">
        <v>3.4074057915120235E20</v>
      </c>
    </row>
    <row r="975">
      <c r="A975" s="6"/>
      <c r="B975" s="6"/>
      <c r="C975" s="4"/>
      <c r="D975" s="4">
        <v>16.642180608307598</v>
      </c>
      <c r="E975" s="4" t="s">
        <v>1796</v>
      </c>
      <c r="F975" s="4"/>
      <c r="G975" s="4"/>
      <c r="H975" s="4"/>
      <c r="I975" s="4" t="str">
        <f>IFERROR(__xludf.DUMMYFUNCTION("""COMPUTED_VALUE"""),"0xb13182901c3b8f471f4b96293f47fb51b36c7506")</f>
        <v>0xb13182901c3b8f471f4b96293f47fb51b36c7506</v>
      </c>
      <c r="J975" s="18">
        <v>65.0063082079042</v>
      </c>
      <c r="K975" s="4">
        <v>812.5788525988024</v>
      </c>
      <c r="L975" s="19">
        <v>8.125788525988024E20</v>
      </c>
      <c r="M975" s="20">
        <v>8.125788525988025E19</v>
      </c>
    </row>
    <row r="976">
      <c r="A976" s="6"/>
      <c r="B976" s="6"/>
      <c r="C976" s="4"/>
      <c r="D976" s="4">
        <v>8.71820678721852</v>
      </c>
      <c r="E976" s="4" t="s">
        <v>1798</v>
      </c>
      <c r="F976" s="4"/>
      <c r="G976" s="4"/>
      <c r="H976" s="4"/>
      <c r="I976" s="4" t="str">
        <f>IFERROR(__xludf.DUMMYFUNCTION("""COMPUTED_VALUE"""),"0x8871d350a6bfc52ecfea74c797748f1483fd6d4c")</f>
        <v>0x8871d350a6bfc52ecfea74c797748f1483fd6d4c</v>
      </c>
      <c r="J976" s="18">
        <v>57.08233438681512</v>
      </c>
      <c r="K976" s="4">
        <v>713.529179835189</v>
      </c>
      <c r="L976" s="19">
        <v>7.13529179835189E20</v>
      </c>
      <c r="M976" s="20">
        <v>7.135291798351891E19</v>
      </c>
    </row>
    <row r="977">
      <c r="A977" s="6"/>
      <c r="B977" s="6"/>
      <c r="C977" s="4"/>
      <c r="D977" s="4">
        <v>8.93840149913222</v>
      </c>
      <c r="E977" s="4" t="s">
        <v>1800</v>
      </c>
      <c r="F977" s="4"/>
      <c r="G977" s="4"/>
      <c r="H977" s="4"/>
      <c r="I977" s="4" t="str">
        <f>IFERROR(__xludf.DUMMYFUNCTION("""COMPUTED_VALUE"""),"0x4fb6125dec51fe7a69e984393e598441bc031cb3")</f>
        <v>0x4fb6125dec51fe7a69e984393e598441bc031cb3</v>
      </c>
      <c r="J977" s="18">
        <v>8.93840149913222</v>
      </c>
      <c r="K977" s="4">
        <v>111.73001873915275</v>
      </c>
      <c r="L977" s="19">
        <v>1.1173001873915275E20</v>
      </c>
      <c r="M977" s="20">
        <v>1.1173001873915275E19</v>
      </c>
    </row>
    <row r="978">
      <c r="A978" s="6"/>
      <c r="B978" s="6"/>
      <c r="C978" s="4"/>
      <c r="D978" s="4">
        <v>32.1838532834021</v>
      </c>
      <c r="E978" s="4" t="s">
        <v>1803</v>
      </c>
      <c r="F978" s="4"/>
      <c r="G978" s="4"/>
      <c r="H978" s="4"/>
      <c r="I978" s="4" t="str">
        <f>IFERROR(__xludf.DUMMYFUNCTION("""COMPUTED_VALUE"""),"0x95d43d5d3f0dea065476433bbc841d7f6eeb4a72")</f>
        <v>0x95d43d5d3f0dea065476433bbc841d7f6eeb4a72</v>
      </c>
      <c r="J978" s="18">
        <v>32.1838532834021</v>
      </c>
      <c r="K978" s="4">
        <v>402.29816604252625</v>
      </c>
      <c r="L978" s="19">
        <v>4.022981660425262E20</v>
      </c>
      <c r="M978" s="20">
        <v>4.022981660425263E19</v>
      </c>
    </row>
    <row r="979">
      <c r="A979" s="6"/>
      <c r="B979" s="6"/>
      <c r="C979" s="4"/>
      <c r="D979" s="4">
        <v>19.9515537066641</v>
      </c>
      <c r="E979" s="4" t="s">
        <v>1805</v>
      </c>
      <c r="F979" s="4"/>
      <c r="G979" s="4"/>
      <c r="H979" s="4"/>
      <c r="I979" s="4" t="str">
        <f>IFERROR(__xludf.DUMMYFUNCTION("""COMPUTED_VALUE"""),"0x79fd2c581896edce45d8c2408effd2e0758bf330")</f>
        <v>0x79fd2c581896edce45d8c2408effd2e0758bf330</v>
      </c>
      <c r="J979" s="18">
        <v>19.9515537066641</v>
      </c>
      <c r="K979" s="4">
        <v>249.39442133330124</v>
      </c>
      <c r="L979" s="19">
        <v>2.4939442133330123E20</v>
      </c>
      <c r="M979" s="20">
        <v>2.4939442133330125E19</v>
      </c>
    </row>
    <row r="980">
      <c r="A980" s="6"/>
      <c r="B980" s="6"/>
      <c r="C980" s="4"/>
      <c r="D980" s="4">
        <v>9.73741023168863</v>
      </c>
      <c r="E980" s="4" t="s">
        <v>1807</v>
      </c>
      <c r="F980" s="4"/>
      <c r="G980" s="4"/>
      <c r="H980" s="4"/>
      <c r="I980" s="4" t="str">
        <f>IFERROR(__xludf.DUMMYFUNCTION("""COMPUTED_VALUE"""),"0x72dc3e5922d036000bce9ce27a78e7bb6d50d34c")</f>
        <v>0x72dc3e5922d036000bce9ce27a78e7bb6d50d34c</v>
      </c>
      <c r="J980" s="18">
        <v>9.73741023168863</v>
      </c>
      <c r="K980" s="4">
        <v>121.71762789610787</v>
      </c>
      <c r="L980" s="19">
        <v>1.2171762789610788E20</v>
      </c>
      <c r="M980" s="20">
        <v>1.2171762789610789E19</v>
      </c>
    </row>
    <row r="981">
      <c r="A981" s="6"/>
      <c r="B981" s="6"/>
      <c r="C981" s="4"/>
      <c r="D981" s="4">
        <v>19.3449966449475</v>
      </c>
      <c r="E981" s="4" t="s">
        <v>1809</v>
      </c>
      <c r="F981" s="4"/>
      <c r="G981" s="4"/>
      <c r="H981" s="4"/>
      <c r="I981" s="4" t="str">
        <f>IFERROR(__xludf.DUMMYFUNCTION("""COMPUTED_VALUE"""),"0x169b8c7075027b6a6190e9375c7d7b86fdc48019")</f>
        <v>0x169b8c7075027b6a6190e9375c7d7b86fdc48019</v>
      </c>
      <c r="J981" s="18">
        <v>19.3449966449475</v>
      </c>
      <c r="K981" s="4">
        <v>241.81245806184376</v>
      </c>
      <c r="L981" s="19">
        <v>2.4181245806184376E20</v>
      </c>
      <c r="M981" s="20">
        <v>2.418124580618438E19</v>
      </c>
    </row>
    <row r="982">
      <c r="A982" s="6"/>
      <c r="B982" s="6"/>
      <c r="C982" s="4"/>
      <c r="D982" s="4">
        <v>48.3641275995966</v>
      </c>
      <c r="E982" s="4" t="s">
        <v>1811</v>
      </c>
      <c r="F982" s="4"/>
      <c r="G982" s="4"/>
      <c r="H982" s="4"/>
      <c r="I982" s="4" t="str">
        <f>IFERROR(__xludf.DUMMYFUNCTION("""COMPUTED_VALUE"""),"0x1a65e5b71f2ba3eeeee75779859f82c255cefe6b")</f>
        <v>0x1a65e5b71f2ba3eeeee75779859f82c255cefe6b</v>
      </c>
      <c r="J982" s="18">
        <v>48.3641275995966</v>
      </c>
      <c r="K982" s="4">
        <v>604.5515949949574</v>
      </c>
      <c r="L982" s="19">
        <v>6.045515949949574E20</v>
      </c>
      <c r="M982" s="20">
        <v>6.045515949949574E19</v>
      </c>
    </row>
    <row r="983">
      <c r="A983" s="6"/>
      <c r="B983" s="6"/>
      <c r="C983" s="4"/>
      <c r="D983" s="4">
        <v>19.3257663734985</v>
      </c>
      <c r="E983" s="4" t="s">
        <v>1813</v>
      </c>
      <c r="F983" s="4"/>
      <c r="G983" s="4"/>
      <c r="H983" s="4"/>
      <c r="I983" s="4" t="str">
        <f>IFERROR(__xludf.DUMMYFUNCTION("""COMPUTED_VALUE"""),"0x788d24a6839cdef858bc1ccb292dbdb190d5c2c9")</f>
        <v>0x788d24a6839cdef858bc1ccb292dbdb190d5c2c9</v>
      </c>
      <c r="J983" s="18">
        <v>19.3257663734985</v>
      </c>
      <c r="K983" s="4">
        <v>241.57207966873125</v>
      </c>
      <c r="L983" s="19">
        <v>2.4157207966873125E20</v>
      </c>
      <c r="M983" s="20">
        <v>2.4157207966873125E19</v>
      </c>
    </row>
    <row r="984">
      <c r="A984" s="6"/>
      <c r="B984" s="6"/>
      <c r="C984" s="4"/>
      <c r="D984" s="4">
        <v>9.7997552985978</v>
      </c>
      <c r="E984" s="4" t="s">
        <v>1815</v>
      </c>
      <c r="F984" s="4"/>
      <c r="G984" s="4"/>
      <c r="H984" s="4"/>
      <c r="I984" s="4" t="str">
        <f>IFERROR(__xludf.DUMMYFUNCTION("""COMPUTED_VALUE"""),"0x1269aab267af4497647c0024816403ae3ca9100b")</f>
        <v>0x1269aab267af4497647c0024816403ae3ca9100b</v>
      </c>
      <c r="J984" s="18">
        <v>9.7997552985978</v>
      </c>
      <c r="K984" s="4">
        <v>122.4969412324725</v>
      </c>
      <c r="L984" s="19">
        <v>1.2249694123247249E20</v>
      </c>
      <c r="M984" s="20">
        <v>1.224969412324725E19</v>
      </c>
    </row>
    <row r="985">
      <c r="A985" s="6"/>
      <c r="B985" s="6"/>
      <c r="C985" s="4"/>
      <c r="D985" s="4">
        <v>48.3641275995966</v>
      </c>
      <c r="E985" s="4" t="s">
        <v>1817</v>
      </c>
      <c r="F985" s="4"/>
      <c r="G985" s="4"/>
      <c r="H985" s="4"/>
      <c r="I985" s="4" t="str">
        <f>IFERROR(__xludf.DUMMYFUNCTION("""COMPUTED_VALUE"""),"0x29e433a7da5ed6cdb2678bb0b4bda234ea2703fa")</f>
        <v>0x29e433a7da5ed6cdb2678bb0b4bda234ea2703fa</v>
      </c>
      <c r="J985" s="18">
        <v>103.1227069367322</v>
      </c>
      <c r="K985" s="4">
        <v>1289.0338367091524</v>
      </c>
      <c r="L985" s="19">
        <v>1.2890338367091523E21</v>
      </c>
      <c r="M985" s="20">
        <v>1.2890338367091524E20</v>
      </c>
    </row>
    <row r="986">
      <c r="A986" s="6"/>
      <c r="B986" s="6"/>
      <c r="C986" s="4"/>
      <c r="D986" s="4">
        <v>6.6982408203059896</v>
      </c>
      <c r="E986" s="4" t="s">
        <v>1818</v>
      </c>
      <c r="F986" s="4"/>
      <c r="G986" s="4"/>
      <c r="H986" s="4"/>
      <c r="I986" s="4" t="str">
        <f>IFERROR(__xludf.DUMMYFUNCTION("""COMPUTED_VALUE"""),"0x8d7a4a20896bde71c16ec3e5c54a34435341fba4")</f>
        <v>0x8d7a4a20896bde71c16ec3e5c54a34435341fba4</v>
      </c>
      <c r="J986" s="18">
        <v>6.6982408203059896</v>
      </c>
      <c r="K986" s="4">
        <v>83.72801025382486</v>
      </c>
      <c r="L986" s="19">
        <v>8.372801025382487E19</v>
      </c>
      <c r="M986" s="20">
        <v>8.372801025382487E18</v>
      </c>
    </row>
    <row r="987">
      <c r="A987" s="6"/>
      <c r="B987" s="6"/>
      <c r="C987" s="4"/>
      <c r="D987" s="4">
        <v>19.3456510398386</v>
      </c>
      <c r="E987" s="4" t="s">
        <v>1820</v>
      </c>
      <c r="F987" s="4"/>
      <c r="G987" s="4"/>
      <c r="H987" s="4"/>
      <c r="I987" s="4" t="str">
        <f>IFERROR(__xludf.DUMMYFUNCTION("""COMPUTED_VALUE"""),"0x01c3994ea51b99272505d98b1a0076211a2d37f6")</f>
        <v>0x01c3994ea51b99272505d98b1a0076211a2d37f6</v>
      </c>
      <c r="J987" s="18">
        <v>19.3456510398386</v>
      </c>
      <c r="K987" s="4">
        <v>241.8206379979825</v>
      </c>
      <c r="L987" s="19">
        <v>2.4182063799798248E20</v>
      </c>
      <c r="M987" s="20">
        <v>2.418206379979825E19</v>
      </c>
    </row>
    <row r="988">
      <c r="A988" s="6"/>
      <c r="B988" s="6"/>
      <c r="C988" s="4"/>
      <c r="D988" s="4">
        <v>48.3641275995966</v>
      </c>
      <c r="E988" s="4" t="s">
        <v>1822</v>
      </c>
      <c r="F988" s="4"/>
      <c r="G988" s="4"/>
      <c r="H988" s="4"/>
      <c r="I988" s="4" t="str">
        <f>IFERROR(__xludf.DUMMYFUNCTION("""COMPUTED_VALUE"""),"0x6b6ab5d415aa5cd647249886c7ab18b484004a4d")</f>
        <v>0x6b6ab5d415aa5cd647249886c7ab18b484004a4d</v>
      </c>
      <c r="J988" s="18">
        <v>83.4087809026897</v>
      </c>
      <c r="K988" s="4">
        <v>1042.6097612836213</v>
      </c>
      <c r="L988" s="19">
        <v>1.0426097612836213E21</v>
      </c>
      <c r="M988" s="20">
        <v>1.0426097612836214E20</v>
      </c>
    </row>
    <row r="989">
      <c r="A989" s="6"/>
      <c r="B989" s="6"/>
      <c r="C989" s="4"/>
      <c r="D989" s="4">
        <v>28.8470610413276</v>
      </c>
      <c r="E989" s="4" t="s">
        <v>1823</v>
      </c>
      <c r="F989" s="4"/>
      <c r="G989" s="4"/>
      <c r="H989" s="4"/>
      <c r="I989" s="4" t="str">
        <f>IFERROR(__xludf.DUMMYFUNCTION("""COMPUTED_VALUE"""),"0x7de1039eb971a1e7386ca318422c8e5014476e3a")</f>
        <v>0x7de1039eb971a1e7386ca318422c8e5014476e3a</v>
      </c>
      <c r="J989" s="18">
        <v>28.8470610413276</v>
      </c>
      <c r="K989" s="4">
        <v>360.58826301659496</v>
      </c>
      <c r="L989" s="19">
        <v>3.60588263016595E20</v>
      </c>
      <c r="M989" s="20">
        <v>3.60588263016595E19</v>
      </c>
    </row>
    <row r="990">
      <c r="A990" s="6"/>
      <c r="B990" s="6"/>
      <c r="C990" s="4"/>
      <c r="D990" s="4">
        <v>48.3641275995966</v>
      </c>
      <c r="E990" s="4" t="s">
        <v>1825</v>
      </c>
      <c r="F990" s="4"/>
      <c r="G990" s="4"/>
      <c r="H990" s="4"/>
      <c r="I990" s="4" t="str">
        <f>IFERROR(__xludf.DUMMYFUNCTION("""COMPUTED_VALUE"""),"0xbe6828bd01869e08a0f2f60e0ce0e8a86fdd0524")</f>
        <v>0xbe6828bd01869e08a0f2f60e0ce0e8a86fdd0524</v>
      </c>
      <c r="J990" s="18">
        <v>74.0845790476673</v>
      </c>
      <c r="K990" s="4">
        <v>926.0572380958413</v>
      </c>
      <c r="L990" s="19">
        <v>9.260572380958413E20</v>
      </c>
      <c r="M990" s="20">
        <v>9.260572380958414E19</v>
      </c>
    </row>
    <row r="991">
      <c r="A991" s="6"/>
      <c r="B991" s="6"/>
      <c r="C991" s="4"/>
      <c r="D991" s="4">
        <v>8.88515870610656</v>
      </c>
      <c r="E991" s="4" t="s">
        <v>1826</v>
      </c>
      <c r="F991" s="4"/>
      <c r="G991" s="4"/>
      <c r="H991" s="4"/>
      <c r="I991" s="4" t="str">
        <f>IFERROR(__xludf.DUMMYFUNCTION("""COMPUTED_VALUE"""),"0xbf209b92fb17f7ba8d63b47526e7ca23e0dfeebb")</f>
        <v>0xbf209b92fb17f7ba8d63b47526e7ca23e0dfeebb</v>
      </c>
      <c r="J991" s="18">
        <v>8.88515870610656</v>
      </c>
      <c r="K991" s="4">
        <v>111.06448382633201</v>
      </c>
      <c r="L991" s="19">
        <v>1.1106448382633201E20</v>
      </c>
      <c r="M991" s="20">
        <v>1.1106448382633202E19</v>
      </c>
    </row>
    <row r="992">
      <c r="A992" s="6"/>
      <c r="B992" s="6"/>
      <c r="C992" s="4"/>
      <c r="D992" s="4">
        <v>34.934599038583</v>
      </c>
      <c r="E992" s="4" t="s">
        <v>1268</v>
      </c>
      <c r="F992" s="4"/>
      <c r="G992" s="4"/>
      <c r="H992" s="4"/>
      <c r="I992" s="4" t="str">
        <f>IFERROR(__xludf.DUMMYFUNCTION("""COMPUTED_VALUE"""),"0xb577dfca930c6639d0a18bff708d2f65ed24ff0e")</f>
        <v>0xb577dfca930c6639d0a18bff708d2f65ed24ff0e</v>
      </c>
      <c r="J992" s="18">
        <v>95.0196474588419</v>
      </c>
      <c r="K992" s="4">
        <v>1187.7455932355238</v>
      </c>
      <c r="L992" s="19">
        <v>1.1877455932355238E21</v>
      </c>
      <c r="M992" s="20">
        <v>1.1877455932355238E20</v>
      </c>
    </row>
    <row r="993">
      <c r="A993" s="6"/>
      <c r="B993" s="6"/>
      <c r="C993" s="4"/>
      <c r="D993" s="4">
        <v>48.3641275995966</v>
      </c>
      <c r="E993" s="4" t="s">
        <v>1829</v>
      </c>
      <c r="F993" s="4"/>
      <c r="G993" s="4"/>
      <c r="H993" s="4"/>
      <c r="I993" s="4" t="str">
        <f>IFERROR(__xludf.DUMMYFUNCTION("""COMPUTED_VALUE"""),"0x8770986a1694bcc45033b0deaeebed636bfe1124")</f>
        <v>0x8770986a1694bcc45033b0deaeebed636bfe1124</v>
      </c>
      <c r="J993" s="18">
        <v>57.66472560997164</v>
      </c>
      <c r="K993" s="4">
        <v>720.8090701246455</v>
      </c>
      <c r="L993" s="19">
        <v>7.208090701246455E20</v>
      </c>
      <c r="M993" s="20">
        <v>7.208090701246455E19</v>
      </c>
    </row>
    <row r="994">
      <c r="A994" s="6"/>
      <c r="B994" s="6"/>
      <c r="C994" s="4"/>
      <c r="D994" s="4">
        <v>48.3641275995966</v>
      </c>
      <c r="E994" s="4" t="s">
        <v>1830</v>
      </c>
      <c r="F994" s="4"/>
      <c r="G994" s="4"/>
      <c r="H994" s="4"/>
      <c r="I994" s="4" t="str">
        <f>IFERROR(__xludf.DUMMYFUNCTION("""COMPUTED_VALUE"""),"0x5636b704c6fd4b3a49ae9418da4cfca84ed04040")</f>
        <v>0x5636b704c6fd4b3a49ae9418da4cfca84ed04040</v>
      </c>
      <c r="J994" s="18">
        <v>48.3641275995966</v>
      </c>
      <c r="K994" s="4">
        <v>604.5515949949574</v>
      </c>
      <c r="L994" s="19">
        <v>6.045515949949574E20</v>
      </c>
      <c r="M994" s="20">
        <v>6.045515949949574E19</v>
      </c>
    </row>
    <row r="995">
      <c r="A995" s="6"/>
      <c r="B995" s="6"/>
      <c r="C995" s="4"/>
      <c r="D995" s="4">
        <v>48.3641275995966</v>
      </c>
      <c r="E995" s="4" t="s">
        <v>1831</v>
      </c>
      <c r="F995" s="4"/>
      <c r="G995" s="4"/>
      <c r="H995" s="4"/>
      <c r="I995" s="4" t="str">
        <f>IFERROR(__xludf.DUMMYFUNCTION("""COMPUTED_VALUE"""),"0xa81366d43ca9d191dd6dd3e7fa29c3932505ceb6")</f>
        <v>0xa81366d43ca9d191dd6dd3e7fa29c3932505ceb6</v>
      </c>
      <c r="J995" s="18">
        <v>48.3641275995966</v>
      </c>
      <c r="K995" s="4">
        <v>604.5515949949574</v>
      </c>
      <c r="L995" s="19">
        <v>6.045515949949574E20</v>
      </c>
      <c r="M995" s="20">
        <v>6.045515949949574E19</v>
      </c>
    </row>
    <row r="996">
      <c r="A996" s="6"/>
      <c r="B996" s="6"/>
      <c r="C996" s="4"/>
      <c r="D996" s="4">
        <v>48.3641275995966</v>
      </c>
      <c r="E996" s="4" t="s">
        <v>1832</v>
      </c>
      <c r="F996" s="4"/>
      <c r="G996" s="4"/>
      <c r="H996" s="4"/>
      <c r="I996" s="4" t="str">
        <f>IFERROR(__xludf.DUMMYFUNCTION("""COMPUTED_VALUE"""),"0x6ea414615ed5fa4718afa9e5a2ad844363053f3f")</f>
        <v>0x6ea414615ed5fa4718afa9e5a2ad844363053f3f</v>
      </c>
      <c r="J996" s="18">
        <v>48.3641275995966</v>
      </c>
      <c r="K996" s="4">
        <v>604.5515949949574</v>
      </c>
      <c r="L996" s="19">
        <v>6.045515949949574E20</v>
      </c>
      <c r="M996" s="20">
        <v>6.045515949949574E19</v>
      </c>
    </row>
    <row r="997">
      <c r="A997" s="6"/>
      <c r="B997" s="6"/>
      <c r="C997" s="4"/>
      <c r="D997" s="4">
        <v>48.3641275995966</v>
      </c>
      <c r="E997" s="4" t="s">
        <v>1833</v>
      </c>
      <c r="F997" s="4"/>
      <c r="G997" s="4"/>
      <c r="H997" s="4"/>
      <c r="I997" s="4" t="str">
        <f>IFERROR(__xludf.DUMMYFUNCTION("""COMPUTED_VALUE"""),"0x84e456c64c8d5eff7ec9827f1b4a4689061fe7b0")</f>
        <v>0x84e456c64c8d5eff7ec9827f1b4a4689061fe7b0</v>
      </c>
      <c r="J997" s="18">
        <v>86.6375896843258</v>
      </c>
      <c r="K997" s="4">
        <v>1082.9698710540724</v>
      </c>
      <c r="L997" s="19">
        <v>1.0829698710540724E21</v>
      </c>
      <c r="M997" s="20">
        <v>1.0829698710540725E20</v>
      </c>
    </row>
    <row r="998">
      <c r="A998" s="6"/>
      <c r="B998" s="6"/>
      <c r="C998" s="4"/>
      <c r="D998" s="4">
        <v>44.1055969323436</v>
      </c>
      <c r="E998" s="4" t="s">
        <v>1834</v>
      </c>
      <c r="F998" s="4"/>
      <c r="G998" s="4"/>
      <c r="H998" s="4"/>
      <c r="I998" s="4" t="str">
        <f>IFERROR(__xludf.DUMMYFUNCTION("""COMPUTED_VALUE"""),"0x17de2aa8b32607c21a9ba274054021149c3d7028")</f>
        <v>0x17de2aa8b32607c21a9ba274054021149c3d7028</v>
      </c>
      <c r="J998" s="18">
        <v>9.672825519919328</v>
      </c>
      <c r="K998" s="4">
        <v>120.9103189989916</v>
      </c>
      <c r="L998" s="19">
        <v>1.209103189989916E20</v>
      </c>
      <c r="M998" s="20">
        <v>1.209103189989916E19</v>
      </c>
    </row>
    <row r="999">
      <c r="A999" s="6"/>
      <c r="B999" s="6"/>
      <c r="C999" s="4"/>
      <c r="D999" s="4">
        <v>9.672825519919328</v>
      </c>
      <c r="E999" s="4" t="s">
        <v>1836</v>
      </c>
      <c r="F999" s="4"/>
      <c r="G999" s="4"/>
      <c r="H999" s="4"/>
      <c r="I999" s="4" t="str">
        <f>IFERROR(__xludf.DUMMYFUNCTION("""COMPUTED_VALUE"""),"0xdd1c4a458599bc61ec86edbe17093db7000861c3")</f>
        <v>0xdd1c4a458599bc61ec86edbe17093db7000861c3</v>
      </c>
      <c r="J999" s="18">
        <v>48.3641275995966</v>
      </c>
      <c r="K999" s="4">
        <v>604.5515949949574</v>
      </c>
      <c r="L999" s="19">
        <v>6.045515949949574E20</v>
      </c>
      <c r="M999" s="20">
        <v>6.045515949949574E19</v>
      </c>
    </row>
    <row r="1000">
      <c r="A1000" s="6"/>
      <c r="B1000" s="6"/>
      <c r="C1000" s="4"/>
      <c r="D1000" s="4">
        <v>48.3641275995966</v>
      </c>
      <c r="E1000" s="4" t="s">
        <v>1838</v>
      </c>
      <c r="F1000" s="4"/>
      <c r="G1000" s="4"/>
      <c r="H1000" s="4"/>
      <c r="I1000" s="4" t="str">
        <f>IFERROR(__xludf.DUMMYFUNCTION("""COMPUTED_VALUE"""),"0x482f69fa922ae0e8b4a2eac4d04bfd694a43b709")</f>
        <v>0x482f69fa922ae0e8b4a2eac4d04bfd694a43b709</v>
      </c>
      <c r="J1000" s="18">
        <v>159.6448222848906</v>
      </c>
      <c r="K1000" s="4">
        <v>1995.5602785611325</v>
      </c>
      <c r="L1000" s="19">
        <v>1.9955602785611324E21</v>
      </c>
      <c r="M1000" s="20">
        <v>1.9955602785611324E20</v>
      </c>
    </row>
    <row r="1001">
      <c r="A1001" s="6"/>
      <c r="B1001" s="6"/>
      <c r="C1001" s="2"/>
      <c r="D1001" s="4">
        <v>48.3641275995966</v>
      </c>
      <c r="E1001" s="4" t="s">
        <v>1839</v>
      </c>
      <c r="F1001" s="4"/>
      <c r="G1001" s="4"/>
      <c r="H1001" s="4"/>
      <c r="I1001" s="4" t="str">
        <f>IFERROR(__xludf.DUMMYFUNCTION("""COMPUTED_VALUE"""),"0x18cfedbda9bb96fb7d5251c64f8c433db8da9fcd")</f>
        <v>0x18cfedbda9bb96fb7d5251c64f8c433db8da9fcd</v>
      </c>
      <c r="J1001" s="18">
        <v>48.3641275995966</v>
      </c>
      <c r="K1001" s="4">
        <v>604.5515949949574</v>
      </c>
      <c r="L1001" s="19">
        <v>6.045515949949574E20</v>
      </c>
      <c r="M1001" s="20">
        <v>6.045515949949574E19</v>
      </c>
    </row>
    <row r="1002">
      <c r="A1002" s="6"/>
      <c r="B1002" s="6"/>
      <c r="C1002" s="4"/>
      <c r="D1002" s="4">
        <v>48.3641275995966</v>
      </c>
      <c r="E1002" s="4" t="s">
        <v>1840</v>
      </c>
      <c r="F1002" s="4"/>
      <c r="G1002" s="4"/>
      <c r="H1002" s="4"/>
      <c r="I1002" s="4" t="str">
        <f>IFERROR(__xludf.DUMMYFUNCTION("""COMPUTED_VALUE"""),"0xa5be6f5cb61ee591c556b57b685d9e36707470f4")</f>
        <v>0xa5be6f5cb61ee591c556b57b685d9e36707470f4</v>
      </c>
      <c r="J1002" s="18">
        <v>17.977311045768598</v>
      </c>
      <c r="K1002" s="4">
        <v>224.71638807210746</v>
      </c>
      <c r="L1002" s="19">
        <v>2.2471638807210747E20</v>
      </c>
      <c r="M1002" s="20">
        <v>2.247163880721075E19</v>
      </c>
    </row>
    <row r="1003">
      <c r="A1003" s="6"/>
      <c r="B1003" s="6"/>
      <c r="C1003" s="4"/>
      <c r="D1003" s="4">
        <v>17.977311045768598</v>
      </c>
      <c r="E1003" s="4" t="s">
        <v>1841</v>
      </c>
      <c r="F1003" s="4"/>
      <c r="G1003" s="4"/>
      <c r="H1003" s="4"/>
      <c r="I1003" s="4" t="str">
        <f>IFERROR(__xludf.DUMMYFUNCTION("""COMPUTED_VALUE"""),"0x1257b6871bfca1da593ff5586e73eb1731b494fc")</f>
        <v>0x1257b6871bfca1da593ff5586e73eb1731b494fc</v>
      </c>
      <c r="J1003" s="18">
        <v>48.3641275995966</v>
      </c>
      <c r="K1003" s="4">
        <v>604.5515949949574</v>
      </c>
      <c r="L1003" s="19">
        <v>6.045515949949574E20</v>
      </c>
      <c r="M1003" s="20">
        <v>6.045515949949574E19</v>
      </c>
    </row>
    <row r="1004">
      <c r="A1004" s="6"/>
      <c r="B1004" s="6"/>
      <c r="C1004" s="4"/>
      <c r="D1004" s="4">
        <v>48.3641275995966</v>
      </c>
      <c r="E1004" s="4" t="s">
        <v>1843</v>
      </c>
      <c r="F1004" s="4"/>
      <c r="G1004" s="4"/>
      <c r="H1004" s="4"/>
      <c r="I1004" s="4" t="str">
        <f>IFERROR(__xludf.DUMMYFUNCTION("""COMPUTED_VALUE"""),"0xe7ccfb2a2771b2ecc628fb066ed73f0b53d65201")</f>
        <v>0xe7ccfb2a2771b2ecc628fb066ed73f0b53d65201</v>
      </c>
      <c r="J1004" s="18">
        <v>113.4683136722219</v>
      </c>
      <c r="K1004" s="4">
        <v>1418.3539209027738</v>
      </c>
      <c r="L1004" s="19">
        <v>1.4183539209027739E21</v>
      </c>
      <c r="M1004" s="20">
        <v>1.418353920902774E20</v>
      </c>
    </row>
    <row r="1005">
      <c r="A1005" s="6"/>
      <c r="B1005" s="6"/>
      <c r="C1005" s="4"/>
      <c r="D1005" s="4">
        <v>48.3641275995966</v>
      </c>
      <c r="E1005" s="4" t="s">
        <v>1844</v>
      </c>
      <c r="F1005" s="4"/>
      <c r="G1005" s="4"/>
      <c r="H1005" s="4"/>
      <c r="I1005" s="4" t="str">
        <f>IFERROR(__xludf.DUMMYFUNCTION("""COMPUTED_VALUE"""),"0x1ef9f4deb45c470244d53ca6f1135816fa7a5f52")</f>
        <v>0x1ef9f4deb45c470244d53ca6f1135816fa7a5f52</v>
      </c>
      <c r="J1005" s="18">
        <v>63.1905956758105</v>
      </c>
      <c r="K1005" s="4">
        <v>789.8824459476313</v>
      </c>
      <c r="L1005" s="19">
        <v>7.898824459476313E20</v>
      </c>
      <c r="M1005" s="20">
        <v>7.898824459476314E19</v>
      </c>
    </row>
    <row r="1006">
      <c r="A1006" s="6"/>
      <c r="B1006" s="6"/>
      <c r="C1006" s="4"/>
      <c r="D1006" s="4">
        <v>48.3641275995966</v>
      </c>
      <c r="E1006" s="4" t="s">
        <v>1845</v>
      </c>
      <c r="F1006" s="4"/>
      <c r="G1006" s="4"/>
      <c r="H1006" s="4"/>
      <c r="I1006" s="4" t="str">
        <f>IFERROR(__xludf.DUMMYFUNCTION("""COMPUTED_VALUE"""),"0x96e6dfd023504c6add0225518e38357d00444610")</f>
        <v>0x96e6dfd023504c6add0225518e38357d00444610</v>
      </c>
      <c r="J1006" s="18">
        <v>48.3641275995966</v>
      </c>
      <c r="K1006" s="4">
        <v>604.5515949949574</v>
      </c>
      <c r="L1006" s="19">
        <v>6.045515949949574E20</v>
      </c>
      <c r="M1006" s="20">
        <v>6.045515949949574E19</v>
      </c>
    </row>
    <row r="1007">
      <c r="A1007" s="6"/>
      <c r="B1007" s="6"/>
      <c r="C1007" s="4"/>
      <c r="D1007" s="4">
        <v>48.3641275995966</v>
      </c>
      <c r="E1007" s="4" t="s">
        <v>1846</v>
      </c>
      <c r="F1007" s="4"/>
      <c r="G1007" s="4"/>
      <c r="H1007" s="4"/>
      <c r="I1007" s="4" t="str">
        <f>IFERROR(__xludf.DUMMYFUNCTION("""COMPUTED_VALUE"""),"0x9dda346797c5b946c2c384553373539e7d370178")</f>
        <v>0x9dda346797c5b946c2c384553373539e7d370178</v>
      </c>
      <c r="J1007" s="18">
        <v>113.4683136722219</v>
      </c>
      <c r="K1007" s="4">
        <v>1418.3539209027738</v>
      </c>
      <c r="L1007" s="19">
        <v>1.4183539209027739E21</v>
      </c>
      <c r="M1007" s="20">
        <v>1.418353920902774E20</v>
      </c>
    </row>
    <row r="1008">
      <c r="A1008" s="6"/>
      <c r="B1008" s="6"/>
      <c r="C1008" s="4"/>
      <c r="D1008" s="4">
        <v>0.33180626489584497</v>
      </c>
      <c r="E1008" s="4" t="s">
        <v>1607</v>
      </c>
      <c r="F1008" s="4"/>
      <c r="G1008" s="4"/>
      <c r="H1008" s="4"/>
      <c r="I1008" s="4" t="str">
        <f>IFERROR(__xludf.DUMMYFUNCTION("""COMPUTED_VALUE"""),"0xba37c2842de849581df4ff89961d818095581af9")</f>
        <v>0xba37c2842de849581df4ff89961d818095581af9</v>
      </c>
      <c r="J1008" s="18">
        <v>48.3641275995966</v>
      </c>
      <c r="K1008" s="4">
        <v>604.5515949949574</v>
      </c>
      <c r="L1008" s="19">
        <v>6.045515949949574E20</v>
      </c>
      <c r="M1008" s="20">
        <v>6.045515949949574E19</v>
      </c>
    </row>
    <row r="1009">
      <c r="A1009" s="6"/>
      <c r="B1009" s="6"/>
      <c r="C1009" s="4"/>
      <c r="D1009" s="4">
        <v>48.3641275995966</v>
      </c>
      <c r="E1009" s="4" t="s">
        <v>1848</v>
      </c>
      <c r="F1009" s="4"/>
      <c r="G1009" s="4"/>
      <c r="H1009" s="4"/>
      <c r="I1009" s="4" t="str">
        <f>IFERROR(__xludf.DUMMYFUNCTION("""COMPUTED_VALUE"""),"0x80918bfe88cbd976570ab2136598745eafc3d802")</f>
        <v>0x80918bfe88cbd976570ab2136598745eafc3d802</v>
      </c>
      <c r="J1009" s="18">
        <v>48.3641275995966</v>
      </c>
      <c r="K1009" s="4">
        <v>604.5515949949574</v>
      </c>
      <c r="L1009" s="19">
        <v>6.045515949949574E20</v>
      </c>
      <c r="M1009" s="20">
        <v>6.045515949949574E19</v>
      </c>
    </row>
    <row r="1010">
      <c r="A1010" s="6"/>
      <c r="B1010" s="6"/>
      <c r="C1010" s="4"/>
      <c r="D1010" s="4">
        <v>48.3641275995966</v>
      </c>
      <c r="E1010" s="4" t="s">
        <v>1849</v>
      </c>
      <c r="F1010" s="4"/>
      <c r="G1010" s="4"/>
      <c r="H1010" s="4"/>
      <c r="I1010" s="4" t="str">
        <f>IFERROR(__xludf.DUMMYFUNCTION("""COMPUTED_VALUE"""),"0x6b6e26c7aa020bab1e5b2eaafa0ebacc806b8a61")</f>
        <v>0x6b6e26c7aa020bab1e5b2eaafa0ebacc806b8a61</v>
      </c>
      <c r="J1010" s="18">
        <v>9.55973690401435</v>
      </c>
      <c r="K1010" s="4">
        <v>119.49671130017938</v>
      </c>
      <c r="L1010" s="19">
        <v>1.1949671130017938E20</v>
      </c>
      <c r="M1010" s="20">
        <v>1.194967113001794E19</v>
      </c>
    </row>
    <row r="1011">
      <c r="A1011" s="6"/>
      <c r="B1011" s="6"/>
      <c r="C1011" s="4"/>
      <c r="D1011" s="4">
        <v>48.3641275995966</v>
      </c>
      <c r="E1011" s="4" t="s">
        <v>1850</v>
      </c>
      <c r="F1011" s="4"/>
      <c r="G1011" s="4"/>
      <c r="H1011" s="4"/>
      <c r="I1011" s="4" t="str">
        <f>IFERROR(__xludf.DUMMYFUNCTION("""COMPUTED_VALUE"""),"0x65454a3887c8290060dfc5d76826eb648eb5f2c1")</f>
        <v>0x65454a3887c8290060dfc5d76826eb648eb5f2c1</v>
      </c>
      <c r="J1011" s="18">
        <v>58.3843461163255</v>
      </c>
      <c r="K1011" s="4">
        <v>729.8043264540688</v>
      </c>
      <c r="L1011" s="19">
        <v>7.298043264540688E20</v>
      </c>
      <c r="M1011" s="20">
        <v>7.298043264540688E19</v>
      </c>
    </row>
    <row r="1012">
      <c r="A1012" s="6"/>
      <c r="B1012" s="6"/>
      <c r="C1012" s="4"/>
      <c r="D1012" s="4">
        <v>9.55973690401435</v>
      </c>
      <c r="E1012" s="4" t="s">
        <v>1851</v>
      </c>
      <c r="F1012" s="4"/>
      <c r="G1012" s="4"/>
      <c r="H1012" s="4"/>
      <c r="I1012" s="4" t="str">
        <f>IFERROR(__xludf.DUMMYFUNCTION("""COMPUTED_VALUE"""),"0x0484fe17519f1e0a9f6421a38a760ad031c16c86")</f>
        <v>0x0484fe17519f1e0a9f6421a38a760ad031c16c86</v>
      </c>
      <c r="J1012" s="18">
        <v>25.328907284192898</v>
      </c>
      <c r="K1012" s="4">
        <v>316.6113410524112</v>
      </c>
      <c r="L1012" s="19">
        <v>3.166113410524112E20</v>
      </c>
      <c r="M1012" s="20">
        <v>3.166113410524112E19</v>
      </c>
    </row>
    <row r="1013">
      <c r="A1013" s="6"/>
      <c r="B1013" s="6"/>
      <c r="C1013" s="4"/>
      <c r="D1013" s="4">
        <v>48.3641275995966</v>
      </c>
      <c r="E1013" s="4" t="s">
        <v>1853</v>
      </c>
      <c r="F1013" s="4"/>
      <c r="G1013" s="4"/>
      <c r="H1013" s="4"/>
      <c r="I1013" s="4" t="str">
        <f>IFERROR(__xludf.DUMMYFUNCTION("""COMPUTED_VALUE"""),"0x6f46ee35c7ccc4c27a31b3d9caeaa7516895ac40")</f>
        <v>0x6f46ee35c7ccc4c27a31b3d9caeaa7516895ac40</v>
      </c>
      <c r="J1013" s="18">
        <v>76.4586631189768</v>
      </c>
      <c r="K1013" s="4">
        <v>955.73328898721</v>
      </c>
      <c r="L1013" s="19">
        <v>9.5573328898721E20</v>
      </c>
      <c r="M1013" s="20">
        <v>9.5573328898721E19</v>
      </c>
    </row>
    <row r="1014">
      <c r="A1014" s="6"/>
      <c r="B1014" s="6"/>
      <c r="C1014" s="4"/>
      <c r="D1014" s="4">
        <v>25.328907284192898</v>
      </c>
      <c r="E1014" s="4" t="s">
        <v>1854</v>
      </c>
      <c r="F1014" s="4"/>
      <c r="G1014" s="4"/>
      <c r="H1014" s="4"/>
      <c r="I1014" s="4" t="str">
        <f>IFERROR(__xludf.DUMMYFUNCTION("""COMPUTED_VALUE"""),"0xff636e2f69a527fb916589caef9461c422e101fa")</f>
        <v>0xff636e2f69a527fb916589caef9461c422e101fa</v>
      </c>
      <c r="J1014" s="18">
        <v>175.0660623020816</v>
      </c>
      <c r="K1014" s="4">
        <v>2188.32577877602</v>
      </c>
      <c r="L1014" s="19">
        <v>2.18832577877602E21</v>
      </c>
      <c r="M1014" s="20">
        <v>2.18832577877602E20</v>
      </c>
    </row>
    <row r="1015">
      <c r="A1015" s="6"/>
      <c r="B1015" s="6"/>
      <c r="C1015" s="4"/>
      <c r="D1015" s="4">
        <v>48.3641275995966</v>
      </c>
      <c r="E1015" s="4" t="s">
        <v>1856</v>
      </c>
      <c r="F1015" s="4"/>
      <c r="G1015" s="4"/>
      <c r="H1015" s="4"/>
      <c r="I1015" s="4" t="str">
        <f>IFERROR(__xludf.DUMMYFUNCTION("""COMPUTED_VALUE"""),"0x348bad1e69fbacdff523b234ac102cb6e6d74370")</f>
        <v>0x348bad1e69fbacdff523b234ac102cb6e6d74370</v>
      </c>
      <c r="J1015" s="18">
        <v>48.3641275995966</v>
      </c>
      <c r="K1015" s="4">
        <v>604.5515949949574</v>
      </c>
      <c r="L1015" s="19">
        <v>6.045515949949574E20</v>
      </c>
      <c r="M1015" s="20">
        <v>6.045515949949574E19</v>
      </c>
    </row>
    <row r="1016">
      <c r="A1016" s="6"/>
      <c r="B1016" s="6"/>
      <c r="C1016" s="4"/>
      <c r="D1016" s="4">
        <v>30.6179353215101</v>
      </c>
      <c r="E1016" s="4" t="s">
        <v>634</v>
      </c>
      <c r="F1016" s="4"/>
      <c r="G1016" s="4"/>
      <c r="H1016" s="4"/>
      <c r="I1016" s="4" t="str">
        <f>IFERROR(__xludf.DUMMYFUNCTION("""COMPUTED_VALUE"""),"0x2d86a1a4e7a5e05b6427e4b0a5f73aa7d5895bde")</f>
        <v>0x2d86a1a4e7a5e05b6427e4b0a5f73aa7d5895bde</v>
      </c>
      <c r="J1016" s="18">
        <v>9.672825519919328</v>
      </c>
      <c r="K1016" s="4">
        <v>120.9103189989916</v>
      </c>
      <c r="L1016" s="19">
        <v>1.209103189989916E20</v>
      </c>
      <c r="M1016" s="20">
        <v>1.209103189989916E19</v>
      </c>
    </row>
    <row r="1017">
      <c r="A1017" s="6"/>
      <c r="B1017" s="6"/>
      <c r="C1017" s="4"/>
      <c r="D1017" s="4">
        <v>48.3641275995966</v>
      </c>
      <c r="E1017" s="4" t="s">
        <v>1858</v>
      </c>
      <c r="F1017" s="4"/>
      <c r="G1017" s="4"/>
      <c r="H1017" s="4"/>
      <c r="I1017" s="4" t="str">
        <f>IFERROR(__xludf.DUMMYFUNCTION("""COMPUTED_VALUE"""),"0x8cef2ef9f101ecca7f8d9dd88171884dc824e431")</f>
        <v>0x8cef2ef9f101ecca7f8d9dd88171884dc824e431</v>
      </c>
      <c r="J1017" s="18">
        <v>19.3456510398386</v>
      </c>
      <c r="K1017" s="4">
        <v>241.8206379979825</v>
      </c>
      <c r="L1017" s="19">
        <v>2.4182063799798248E20</v>
      </c>
      <c r="M1017" s="20">
        <v>2.418206379979825E19</v>
      </c>
    </row>
    <row r="1018">
      <c r="A1018" s="6"/>
      <c r="B1018" s="6"/>
      <c r="C1018" s="4"/>
      <c r="D1018" s="4">
        <v>48.3641275995966</v>
      </c>
      <c r="E1018" s="4" t="s">
        <v>1859</v>
      </c>
      <c r="F1018" s="4"/>
      <c r="G1018" s="4"/>
      <c r="H1018" s="4"/>
      <c r="I1018" s="4" t="str">
        <f>IFERROR(__xludf.DUMMYFUNCTION("""COMPUTED_VALUE"""),"0x14e7d1f19557ac84e7eda6ec333f5669ea24c026")</f>
        <v>0x14e7d1f19557ac84e7eda6ec333f5669ea24c026</v>
      </c>
      <c r="J1018" s="18">
        <v>48.3641275995966</v>
      </c>
      <c r="K1018" s="4">
        <v>604.5515949949574</v>
      </c>
      <c r="L1018" s="19">
        <v>6.045515949949574E20</v>
      </c>
      <c r="M1018" s="20">
        <v>6.045515949949574E19</v>
      </c>
    </row>
    <row r="1019">
      <c r="A1019" s="6"/>
      <c r="B1019" s="6"/>
      <c r="C1019" s="4"/>
      <c r="D1019" s="4">
        <v>9.672825519919328</v>
      </c>
      <c r="E1019" s="4" t="s">
        <v>1860</v>
      </c>
      <c r="F1019" s="4"/>
      <c r="G1019" s="4"/>
      <c r="H1019" s="4"/>
      <c r="I1019" s="4" t="str">
        <f>IFERROR(__xludf.DUMMYFUNCTION("""COMPUTED_VALUE"""),"0xfd2a40323f79a4832c32833de1597174d75874b9")</f>
        <v>0xfd2a40323f79a4832c32833de1597174d75874b9</v>
      </c>
      <c r="J1019" s="18">
        <v>48.3641275995966</v>
      </c>
      <c r="K1019" s="4">
        <v>604.5515949949574</v>
      </c>
      <c r="L1019" s="19">
        <v>6.045515949949574E20</v>
      </c>
      <c r="M1019" s="20">
        <v>6.045515949949574E19</v>
      </c>
    </row>
    <row r="1020">
      <c r="A1020" s="6"/>
      <c r="B1020" s="6"/>
      <c r="C1020" s="4"/>
      <c r="D1020" s="4">
        <v>19.3456510398386</v>
      </c>
      <c r="E1020" s="4" t="s">
        <v>1861</v>
      </c>
      <c r="F1020" s="4"/>
      <c r="G1020" s="4"/>
      <c r="H1020" s="4"/>
      <c r="I1020" s="4" t="str">
        <f>IFERROR(__xludf.DUMMYFUNCTION("""COMPUTED_VALUE"""),"0xc157577f9c4767f71d0b17dca8eb1b5215585820")</f>
        <v>0xc157577f9c4767f71d0b17dca8eb1b5215585820</v>
      </c>
      <c r="J1020" s="18">
        <v>9.86670479179717</v>
      </c>
      <c r="K1020" s="4">
        <v>123.33380989746463</v>
      </c>
      <c r="L1020" s="19">
        <v>1.2333380989746463E20</v>
      </c>
      <c r="M1020" s="20">
        <v>1.2333380989746463E19</v>
      </c>
    </row>
    <row r="1021">
      <c r="A1021" s="6"/>
      <c r="B1021" s="6"/>
      <c r="C1021" s="4"/>
      <c r="D1021" s="4">
        <v>48.3641275995966</v>
      </c>
      <c r="E1021" s="4" t="s">
        <v>1862</v>
      </c>
      <c r="F1021" s="4"/>
      <c r="G1021" s="4"/>
      <c r="H1021" s="4"/>
      <c r="I1021" s="4" t="str">
        <f>IFERROR(__xludf.DUMMYFUNCTION("""COMPUTED_VALUE"""),"0x1ce80c2430de7ced840c2ad77db17b837eab8d4f")</f>
        <v>0x1ce80c2430de7ced840c2ad77db17b837eab8d4f</v>
      </c>
      <c r="J1021" s="18">
        <v>9.672825519919328</v>
      </c>
      <c r="K1021" s="4">
        <v>120.9103189989916</v>
      </c>
      <c r="L1021" s="19">
        <v>1.209103189989916E20</v>
      </c>
      <c r="M1021" s="20">
        <v>1.209103189989916E19</v>
      </c>
    </row>
    <row r="1022">
      <c r="A1022" s="6"/>
      <c r="B1022" s="6"/>
      <c r="C1022" s="4"/>
      <c r="D1022" s="4">
        <v>48.3641275995966</v>
      </c>
      <c r="E1022" s="4" t="s">
        <v>1863</v>
      </c>
      <c r="F1022" s="4"/>
      <c r="G1022" s="4"/>
      <c r="H1022" s="4"/>
      <c r="I1022" s="4" t="str">
        <f>IFERROR(__xludf.DUMMYFUNCTION("""COMPUTED_VALUE"""),"0x491dd4a1b070c22c0b287d675e9f5fd75b55ff56")</f>
        <v>0x491dd4a1b070c22c0b287d675e9f5fd75b55ff56</v>
      </c>
      <c r="J1022" s="18">
        <v>141.370107703347</v>
      </c>
      <c r="K1022" s="4">
        <v>1767.1263462918375</v>
      </c>
      <c r="L1022" s="19">
        <v>1.7671263462918377E21</v>
      </c>
      <c r="M1022" s="20">
        <v>1.7671263462918377E20</v>
      </c>
    </row>
    <row r="1023">
      <c r="A1023" s="6"/>
      <c r="B1023" s="6"/>
      <c r="C1023" s="4"/>
      <c r="D1023" s="4">
        <v>9.86670479179717</v>
      </c>
      <c r="E1023" s="4" t="s">
        <v>1864</v>
      </c>
      <c r="F1023" s="4"/>
      <c r="G1023" s="4"/>
      <c r="H1023" s="4"/>
      <c r="I1023" s="4" t="str">
        <f>IFERROR(__xludf.DUMMYFUNCTION("""COMPUTED_VALUE"""),"0xc20fc018d2a1b89e4235a1460fd571ba34270be2")</f>
        <v>0xc20fc018d2a1b89e4235a1460fd571ba34270be2</v>
      </c>
      <c r="J1023" s="18">
        <v>5.13820633067637</v>
      </c>
      <c r="K1023" s="4">
        <v>64.22757913345463</v>
      </c>
      <c r="L1023" s="19">
        <v>6.422757913345462E19</v>
      </c>
      <c r="M1023" s="20">
        <v>6.422757913345462E18</v>
      </c>
    </row>
    <row r="1024">
      <c r="A1024" s="6"/>
      <c r="B1024" s="6"/>
      <c r="C1024" s="4"/>
      <c r="D1024" s="4">
        <v>9.672825519919328</v>
      </c>
      <c r="E1024" s="4" t="s">
        <v>1866</v>
      </c>
      <c r="F1024" s="4"/>
      <c r="G1024" s="4"/>
      <c r="H1024" s="4"/>
      <c r="I1024" s="4" t="str">
        <f>IFERROR(__xludf.DUMMYFUNCTION("""COMPUTED_VALUE"""),"0xf5cec94baeb387bdb3558bee567f6a270d919914")</f>
        <v>0xf5cec94baeb387bdb3558bee567f6a270d919914</v>
      </c>
      <c r="J1024" s="18">
        <v>234.37608780709658</v>
      </c>
      <c r="K1024" s="4">
        <v>2929.7010975887074</v>
      </c>
      <c r="L1024" s="19">
        <v>2.9297010975887076E21</v>
      </c>
      <c r="M1024" s="20">
        <v>2.9297010975887078E20</v>
      </c>
    </row>
    <row r="1025">
      <c r="A1025" s="6"/>
      <c r="B1025" s="6"/>
      <c r="C1025" s="4"/>
      <c r="D1025" s="4">
        <v>48.3641275995966</v>
      </c>
      <c r="E1025" s="4" t="s">
        <v>1867</v>
      </c>
      <c r="F1025" s="4"/>
      <c r="G1025" s="4"/>
      <c r="H1025" s="4"/>
      <c r="I1025" s="4" t="str">
        <f>IFERROR(__xludf.DUMMYFUNCTION("""COMPUTED_VALUE"""),"0xbcf5561f95581fa09b417cd06a0fbe74394cd77c")</f>
        <v>0xbcf5561f95581fa09b417cd06a0fbe74394cd77c</v>
      </c>
      <c r="J1025" s="18">
        <v>19.133842493428602</v>
      </c>
      <c r="K1025" s="4">
        <v>239.17303116785752</v>
      </c>
      <c r="L1025" s="19">
        <v>2.3917303116785752E20</v>
      </c>
      <c r="M1025" s="20">
        <v>2.3917303116785754E19</v>
      </c>
    </row>
    <row r="1026">
      <c r="A1026" s="6"/>
      <c r="B1026" s="6"/>
      <c r="C1026" s="4"/>
      <c r="D1026" s="4">
        <v>5.13820633067637</v>
      </c>
      <c r="E1026" s="4" t="s">
        <v>1868</v>
      </c>
      <c r="F1026" s="4"/>
      <c r="G1026" s="4"/>
      <c r="H1026" s="4"/>
      <c r="I1026" s="4" t="str">
        <f>IFERROR(__xludf.DUMMYFUNCTION("""COMPUTED_VALUE"""),"0x499c88fcc2c771e949a35b9e547b621489a40c5b")</f>
        <v>0x499c88fcc2c771e949a35b9e547b621489a40c5b</v>
      </c>
      <c r="J1026" s="18">
        <v>48.3641275995966</v>
      </c>
      <c r="K1026" s="4">
        <v>604.5515949949574</v>
      </c>
      <c r="L1026" s="19">
        <v>6.045515949949574E20</v>
      </c>
      <c r="M1026" s="20">
        <v>6.045515949949574E19</v>
      </c>
    </row>
    <row r="1027">
      <c r="A1027" s="6"/>
      <c r="B1027" s="6"/>
      <c r="C1027" s="4"/>
      <c r="D1027" s="4">
        <v>48.3641275995966</v>
      </c>
      <c r="E1027" s="4" t="s">
        <v>1870</v>
      </c>
      <c r="F1027" s="4"/>
      <c r="G1027" s="4"/>
      <c r="H1027" s="4"/>
      <c r="I1027" s="4" t="str">
        <f>IFERROR(__xludf.DUMMYFUNCTION("""COMPUTED_VALUE"""),"0x46bd21a1f5921e33c490530392099ee61cc4c888")</f>
        <v>0x46bd21a1f5921e33c490530392099ee61cc4c888</v>
      </c>
      <c r="J1027" s="18">
        <v>4.8670133742632</v>
      </c>
      <c r="K1027" s="4">
        <v>60.83766717829</v>
      </c>
      <c r="L1027" s="19">
        <v>6.0837667178289996E19</v>
      </c>
      <c r="M1027" s="20">
        <v>6.083766717829E18</v>
      </c>
    </row>
    <row r="1028">
      <c r="A1028" s="6"/>
      <c r="B1028" s="6"/>
      <c r="C1028" s="4"/>
      <c r="D1028" s="4">
        <v>19.133842493428602</v>
      </c>
      <c r="E1028" s="4" t="s">
        <v>1871</v>
      </c>
      <c r="F1028" s="4"/>
      <c r="G1028" s="4"/>
      <c r="H1028" s="4"/>
      <c r="I1028" s="4" t="str">
        <f>IFERROR(__xludf.DUMMYFUNCTION("""COMPUTED_VALUE"""),"0x6e533259a5219b2314965a346e5a8b3864e572cd")</f>
        <v>0x6e533259a5219b2314965a346e5a8b3864e572cd</v>
      </c>
      <c r="J1028" s="18">
        <v>57.85073757017914</v>
      </c>
      <c r="K1028" s="4">
        <v>723.1342196272393</v>
      </c>
      <c r="L1028" s="19">
        <v>7.231342196272393E20</v>
      </c>
      <c r="M1028" s="20">
        <v>7.2313421962723934E19</v>
      </c>
    </row>
    <row r="1029">
      <c r="A1029" s="6"/>
      <c r="B1029" s="6"/>
      <c r="C1029" s="4"/>
      <c r="D1029" s="4">
        <v>48.3641275995966</v>
      </c>
      <c r="E1029" s="4" t="s">
        <v>1873</v>
      </c>
      <c r="F1029" s="4"/>
      <c r="G1029" s="4"/>
      <c r="H1029" s="4"/>
      <c r="I1029" s="4" t="str">
        <f>IFERROR(__xludf.DUMMYFUNCTION("""COMPUTED_VALUE"""),"0x9932a2892cd36731c8ba9b3b076497a1e610ad8f")</f>
        <v>0x9932a2892cd36731c8ba9b3b076497a1e610ad8f</v>
      </c>
      <c r="J1029" s="18">
        <v>7.28877584548839</v>
      </c>
      <c r="K1029" s="4">
        <v>91.10969806860487</v>
      </c>
      <c r="L1029" s="19">
        <v>9.110969806860488E19</v>
      </c>
      <c r="M1029" s="20">
        <v>9.110969806860489E18</v>
      </c>
    </row>
    <row r="1030">
      <c r="A1030" s="6"/>
      <c r="B1030" s="6"/>
      <c r="C1030" s="4"/>
      <c r="D1030" s="4">
        <v>48.3641275995966</v>
      </c>
      <c r="E1030" s="4" t="s">
        <v>1187</v>
      </c>
      <c r="F1030" s="4"/>
      <c r="G1030" s="4"/>
      <c r="H1030" s="4"/>
      <c r="I1030" s="4" t="str">
        <f>IFERROR(__xludf.DUMMYFUNCTION("""COMPUTED_VALUE"""),"0xac0f1092756435a39224d7ed1cb004f5f214eb60")</f>
        <v>0xac0f1092756435a39224d7ed1cb004f5f214eb60</v>
      </c>
      <c r="J1030" s="18">
        <v>9.672825519919328</v>
      </c>
      <c r="K1030" s="4">
        <v>120.9103189989916</v>
      </c>
      <c r="L1030" s="19">
        <v>1.209103189989916E20</v>
      </c>
      <c r="M1030" s="20">
        <v>1.209103189989916E19</v>
      </c>
    </row>
    <row r="1031">
      <c r="A1031" s="6"/>
      <c r="B1031" s="6"/>
      <c r="C1031" s="4"/>
      <c r="D1031" s="4">
        <v>4.8670133742632</v>
      </c>
      <c r="E1031" s="4" t="s">
        <v>1874</v>
      </c>
      <c r="F1031" s="4"/>
      <c r="G1031" s="4"/>
      <c r="H1031" s="4"/>
      <c r="I1031" s="4" t="str">
        <f>IFERROR(__xludf.DUMMYFUNCTION("""COMPUTED_VALUE"""),"0x6826bb2d6aadb36b22684bd9eeb652f931d5d1af")</f>
        <v>0x6826bb2d6aadb36b22684bd9eeb652f931d5d1af</v>
      </c>
      <c r="J1031" s="18">
        <v>48.3641275995966</v>
      </c>
      <c r="K1031" s="4">
        <v>604.5515949949574</v>
      </c>
      <c r="L1031" s="19">
        <v>6.045515949949574E20</v>
      </c>
      <c r="M1031" s="20">
        <v>6.045515949949574E19</v>
      </c>
    </row>
    <row r="1032">
      <c r="A1032" s="6"/>
      <c r="B1032" s="6"/>
      <c r="C1032" s="4"/>
      <c r="D1032" s="4">
        <v>48.3641275995966</v>
      </c>
      <c r="E1032" s="4" t="s">
        <v>1876</v>
      </c>
      <c r="F1032" s="4"/>
      <c r="G1032" s="4"/>
      <c r="H1032" s="4"/>
      <c r="I1032" s="4" t="str">
        <f>IFERROR(__xludf.DUMMYFUNCTION("""COMPUTED_VALUE"""),"0x64d2fcfac493729d1c50cae847580a59ae831555")</f>
        <v>0x64d2fcfac493729d1c50cae847580a59ae831555</v>
      </c>
      <c r="J1032" s="18">
        <v>48.3641275995966</v>
      </c>
      <c r="K1032" s="4">
        <v>604.5515949949574</v>
      </c>
      <c r="L1032" s="19">
        <v>6.045515949949574E20</v>
      </c>
      <c r="M1032" s="20">
        <v>6.045515949949574E19</v>
      </c>
    </row>
    <row r="1033">
      <c r="A1033" s="6"/>
      <c r="B1033" s="6"/>
      <c r="C1033" s="4"/>
      <c r="D1033" s="4">
        <v>7.28877584548839</v>
      </c>
      <c r="E1033" s="4" t="s">
        <v>1877</v>
      </c>
      <c r="F1033" s="4"/>
      <c r="G1033" s="4"/>
      <c r="H1033" s="4"/>
      <c r="I1033" s="4" t="str">
        <f>IFERROR(__xludf.DUMMYFUNCTION("""COMPUTED_VALUE"""),"0xc8c7b03516c27a075ff5f7e58727fec7edf8bca5")</f>
        <v>0xc8c7b03516c27a075ff5f7e58727fec7edf8bca5</v>
      </c>
      <c r="J1033" s="18">
        <v>9.27911232052531</v>
      </c>
      <c r="K1033" s="4">
        <v>115.98890400656639</v>
      </c>
      <c r="L1033" s="19">
        <v>1.1598890400656638E20</v>
      </c>
      <c r="M1033" s="20">
        <v>1.1598890400656638E19</v>
      </c>
    </row>
    <row r="1034">
      <c r="A1034" s="6"/>
      <c r="B1034" s="6"/>
      <c r="C1034" s="4"/>
      <c r="D1034" s="4">
        <v>9.672825519919328</v>
      </c>
      <c r="E1034" s="4" t="s">
        <v>1879</v>
      </c>
      <c r="F1034" s="4"/>
      <c r="G1034" s="4"/>
      <c r="H1034" s="4"/>
      <c r="I1034" s="4" t="str">
        <f>IFERROR(__xludf.DUMMYFUNCTION("""COMPUTED_VALUE"""),"0x193fe7b03fe9d9b6ce2d77fa11f0c63e9af7daa5")</f>
        <v>0x193fe7b03fe9d9b6ce2d77fa11f0c63e9af7daa5</v>
      </c>
      <c r="J1034" s="18">
        <v>224.0365943977666</v>
      </c>
      <c r="K1034" s="4">
        <v>2800.4574299720825</v>
      </c>
      <c r="L1034" s="19">
        <v>2.8004574299720825E21</v>
      </c>
      <c r="M1034" s="20">
        <v>2.8004574299720827E20</v>
      </c>
    </row>
    <row r="1035">
      <c r="A1035" s="6"/>
      <c r="B1035" s="6"/>
      <c r="C1035" s="4"/>
      <c r="D1035" s="4">
        <v>48.3641275995966</v>
      </c>
      <c r="E1035" s="4" t="s">
        <v>1880</v>
      </c>
      <c r="F1035" s="4"/>
      <c r="G1035" s="4"/>
      <c r="H1035" s="4"/>
      <c r="I1035" s="4" t="str">
        <f>IFERROR(__xludf.DUMMYFUNCTION("""COMPUTED_VALUE"""),"0x487f88d4921db7db0fac95a86fffd9cfdfc7c404")</f>
        <v>0x487f88d4921db7db0fac95a86fffd9cfdfc7c404</v>
      </c>
      <c r="J1035" s="18">
        <v>94.0036962361598</v>
      </c>
      <c r="K1035" s="4">
        <v>1175.0462029519974</v>
      </c>
      <c r="L1035" s="19">
        <v>1.1750462029519975E21</v>
      </c>
      <c r="M1035" s="20">
        <v>1.1750462029519975E20</v>
      </c>
    </row>
    <row r="1036">
      <c r="A1036" s="6"/>
      <c r="B1036" s="6"/>
      <c r="C1036" s="4"/>
      <c r="D1036" s="4">
        <v>48.3641275995966</v>
      </c>
      <c r="E1036" s="4" t="s">
        <v>1881</v>
      </c>
      <c r="F1036" s="4"/>
      <c r="G1036" s="4"/>
      <c r="H1036" s="4"/>
      <c r="I1036" s="4" t="str">
        <f>IFERROR(__xludf.DUMMYFUNCTION("""COMPUTED_VALUE"""),"0x62623e1387e50b3c721db991db7456608c6536e3")</f>
        <v>0x62623e1387e50b3c721db991db7456608c6536e3</v>
      </c>
      <c r="J1036" s="18">
        <v>41.8729415240421</v>
      </c>
      <c r="K1036" s="4">
        <v>523.4117690505262</v>
      </c>
      <c r="L1036" s="19">
        <v>5.2341176905052625E20</v>
      </c>
      <c r="M1036" s="20">
        <v>5.234117690505263E19</v>
      </c>
    </row>
    <row r="1037">
      <c r="A1037" s="6"/>
      <c r="B1037" s="6"/>
      <c r="C1037" s="4"/>
      <c r="D1037" s="4">
        <v>9.27911232052531</v>
      </c>
      <c r="E1037" s="4" t="s">
        <v>1882</v>
      </c>
      <c r="F1037" s="4"/>
      <c r="G1037" s="4"/>
      <c r="H1037" s="4"/>
      <c r="I1037" s="4" t="str">
        <f>IFERROR(__xludf.DUMMYFUNCTION("""COMPUTED_VALUE"""),"0x77814fccdace1df19400d46b3de6492a20c190bb")</f>
        <v>0x77814fccdace1df19400d46b3de6492a20c190bb</v>
      </c>
      <c r="J1037" s="18">
        <v>4.72066554136058</v>
      </c>
      <c r="K1037" s="4">
        <v>59.008319267007245</v>
      </c>
      <c r="L1037" s="19">
        <v>5.900831926700724E19</v>
      </c>
      <c r="M1037" s="20">
        <v>5.900831926700724E18</v>
      </c>
    </row>
    <row r="1038">
      <c r="A1038" s="6"/>
      <c r="B1038" s="6"/>
      <c r="C1038" s="4"/>
      <c r="D1038" s="4">
        <v>48.3641275995966</v>
      </c>
      <c r="E1038" s="4" t="s">
        <v>1884</v>
      </c>
      <c r="F1038" s="4"/>
      <c r="G1038" s="4"/>
      <c r="H1038" s="4"/>
      <c r="I1038" s="4" t="str">
        <f>IFERROR(__xludf.DUMMYFUNCTION("""COMPUTED_VALUE"""),"0x3ec5400a8d69852312bd08be1f87a2953b6e44f6")</f>
        <v>0x3ec5400a8d69852312bd08be1f87a2953b6e44f6</v>
      </c>
      <c r="J1038" s="18">
        <v>15.6517420381596</v>
      </c>
      <c r="K1038" s="4">
        <v>195.646775476995</v>
      </c>
      <c r="L1038" s="19">
        <v>1.95646775476995E20</v>
      </c>
      <c r="M1038" s="20">
        <v>1.95646775476995E19</v>
      </c>
    </row>
    <row r="1039">
      <c r="A1039" s="6"/>
      <c r="B1039" s="6"/>
      <c r="C1039" s="4"/>
      <c r="D1039" s="4">
        <v>19.306436297914402</v>
      </c>
      <c r="E1039" s="4" t="s">
        <v>1885</v>
      </c>
      <c r="F1039" s="4"/>
      <c r="G1039" s="4"/>
      <c r="H1039" s="4"/>
      <c r="I1039" s="4" t="str">
        <f>IFERROR(__xludf.DUMMYFUNCTION("""COMPUTED_VALUE"""),"0xcc97024e22c352ae41fa48127e96cbd40741a196")</f>
        <v>0xcc97024e22c352ae41fa48127e96cbd40741a196</v>
      </c>
      <c r="J1039" s="18">
        <v>9.919830187650941</v>
      </c>
      <c r="K1039" s="4">
        <v>123.99787734563677</v>
      </c>
      <c r="L1039" s="19">
        <v>1.2399787734563676E20</v>
      </c>
      <c r="M1039" s="20">
        <v>1.2399787734563676E19</v>
      </c>
    </row>
    <row r="1040">
      <c r="A1040" s="6"/>
      <c r="B1040" s="6"/>
      <c r="C1040" s="4"/>
      <c r="D1040" s="4">
        <v>41.8729415240421</v>
      </c>
      <c r="E1040" s="4" t="s">
        <v>1887</v>
      </c>
      <c r="F1040" s="4"/>
      <c r="G1040" s="4"/>
      <c r="H1040" s="4"/>
      <c r="I1040" s="4" t="str">
        <f>IFERROR(__xludf.DUMMYFUNCTION("""COMPUTED_VALUE"""),"0xab931bfb096d0e929fa0ed2ce630d7450c6508e1")</f>
        <v>0xab931bfb096d0e929fa0ed2ce630d7450c6508e1</v>
      </c>
      <c r="J1040" s="18">
        <v>48.3641275995966</v>
      </c>
      <c r="K1040" s="4">
        <v>604.5515949949574</v>
      </c>
      <c r="L1040" s="19">
        <v>6.045515949949574E20</v>
      </c>
      <c r="M1040" s="20">
        <v>6.045515949949574E19</v>
      </c>
    </row>
    <row r="1041">
      <c r="A1041" s="6"/>
      <c r="B1041" s="6"/>
      <c r="C1041" s="4"/>
      <c r="D1041" s="4">
        <v>4.72066554136058</v>
      </c>
      <c r="E1041" s="4" t="s">
        <v>1889</v>
      </c>
      <c r="F1041" s="4"/>
      <c r="G1041" s="4"/>
      <c r="H1041" s="4"/>
      <c r="I1041" s="4" t="str">
        <f>IFERROR(__xludf.DUMMYFUNCTION("""COMPUTED_VALUE"""),"0xdfe0388d35f2a772327c7b989d2c9b0dc4fa53bc")</f>
        <v>0xdfe0388d35f2a772327c7b989d2c9b0dc4fa53bc</v>
      </c>
      <c r="J1041" s="18">
        <v>0.291662327002168</v>
      </c>
      <c r="K1041" s="4">
        <v>3.6457790875271</v>
      </c>
      <c r="L1041" s="19">
        <v>3.6457790875271E18</v>
      </c>
      <c r="M1041" s="20">
        <v>3.6457790875271E17</v>
      </c>
    </row>
    <row r="1042">
      <c r="A1042" s="6"/>
      <c r="B1042" s="6"/>
      <c r="C1042" s="4"/>
      <c r="D1042" s="4">
        <v>15.6517420381596</v>
      </c>
      <c r="E1042" s="4" t="s">
        <v>1891</v>
      </c>
      <c r="F1042" s="4"/>
      <c r="G1042" s="4"/>
      <c r="H1042" s="4"/>
      <c r="I1042" s="4" t="str">
        <f>IFERROR(__xludf.DUMMYFUNCTION("""COMPUTED_VALUE"""),"0xe7c56e0dbe76510037f9f645e3bcbebc675b3fb0")</f>
        <v>0xe7c56e0dbe76510037f9f645e3bcbebc675b3fb0</v>
      </c>
      <c r="J1042" s="18">
        <v>37.530563017287</v>
      </c>
      <c r="K1042" s="4">
        <v>469.1320377160875</v>
      </c>
      <c r="L1042" s="19">
        <v>4.691320377160875E20</v>
      </c>
      <c r="M1042" s="20">
        <v>4.691320377160875E19</v>
      </c>
    </row>
    <row r="1043">
      <c r="A1043" s="6"/>
      <c r="B1043" s="6"/>
      <c r="C1043" s="4"/>
      <c r="D1043" s="4">
        <v>9.919830187650941</v>
      </c>
      <c r="E1043" s="4" t="s">
        <v>1893</v>
      </c>
      <c r="F1043" s="4"/>
      <c r="G1043" s="4"/>
      <c r="H1043" s="4"/>
      <c r="I1043" s="4" t="str">
        <f>IFERROR(__xludf.DUMMYFUNCTION("""COMPUTED_VALUE"""),"0x09798de45fa77467387df7b5047f572aaf1dc5aa")</f>
        <v>0x09798de45fa77467387df7b5047f572aaf1dc5aa</v>
      </c>
      <c r="J1043" s="18">
        <v>48.3641275995966</v>
      </c>
      <c r="K1043" s="4">
        <v>604.5515949949574</v>
      </c>
      <c r="L1043" s="19">
        <v>6.045515949949574E20</v>
      </c>
      <c r="M1043" s="20">
        <v>6.045515949949574E19</v>
      </c>
    </row>
    <row r="1044">
      <c r="A1044" s="6"/>
      <c r="B1044" s="6"/>
      <c r="C1044" s="4"/>
      <c r="D1044" s="4">
        <v>48.3641275995966</v>
      </c>
      <c r="E1044" s="4" t="s">
        <v>1895</v>
      </c>
      <c r="F1044" s="4"/>
      <c r="G1044" s="4"/>
      <c r="H1044" s="4"/>
      <c r="I1044" s="4" t="str">
        <f>IFERROR(__xludf.DUMMYFUNCTION("""COMPUTED_VALUE"""),"0x2b5f098abfbeda8e21b3da5de5f83c81f1a5c679")</f>
        <v>0x2b5f098abfbeda8e21b3da5de5f83c81f1a5c679</v>
      </c>
      <c r="J1044" s="18">
        <v>38.6926065294561</v>
      </c>
      <c r="K1044" s="4">
        <v>483.6575816182012</v>
      </c>
      <c r="L1044" s="19">
        <v>4.836575816182012E20</v>
      </c>
      <c r="M1044" s="20">
        <v>4.836575816182012E19</v>
      </c>
    </row>
    <row r="1045">
      <c r="A1045" s="6"/>
      <c r="B1045" s="6"/>
      <c r="C1045" s="4"/>
      <c r="D1045" s="4">
        <v>0.291662327002168</v>
      </c>
      <c r="E1045" s="4" t="s">
        <v>1896</v>
      </c>
      <c r="F1045" s="4"/>
      <c r="G1045" s="4"/>
      <c r="H1045" s="4"/>
      <c r="I1045" s="4" t="str">
        <f>IFERROR(__xludf.DUMMYFUNCTION("""COMPUTED_VALUE"""),"0xc09b241469ce4c001a03f2a5cb6af2a6e6c66630")</f>
        <v>0xc09b241469ce4c001a03f2a5cb6af2a6e6c66630</v>
      </c>
      <c r="J1045" s="18">
        <v>48.3641275995966</v>
      </c>
      <c r="K1045" s="4">
        <v>604.5515949949574</v>
      </c>
      <c r="L1045" s="19">
        <v>6.045515949949574E20</v>
      </c>
      <c r="M1045" s="20">
        <v>6.045515949949574E19</v>
      </c>
    </row>
    <row r="1046">
      <c r="A1046" s="6"/>
      <c r="B1046" s="6"/>
      <c r="C1046" s="4"/>
      <c r="D1046" s="4">
        <v>37.530563017287</v>
      </c>
      <c r="E1046" s="4" t="s">
        <v>1898</v>
      </c>
      <c r="F1046" s="4"/>
      <c r="G1046" s="4"/>
      <c r="H1046" s="4"/>
      <c r="I1046" s="4" t="str">
        <f>IFERROR(__xludf.DUMMYFUNCTION("""COMPUTED_VALUE"""),"0x8ae0e9bb68c7b8813686d12285c4cf2237487a56")</f>
        <v>0x8ae0e9bb68c7b8813686d12285c4cf2237487a56</v>
      </c>
      <c r="J1046" s="18">
        <v>10.059738540716099</v>
      </c>
      <c r="K1046" s="4">
        <v>125.74673175895123</v>
      </c>
      <c r="L1046" s="19">
        <v>1.2574673175895124E20</v>
      </c>
      <c r="M1046" s="20">
        <v>1.2574673175895124E19</v>
      </c>
    </row>
    <row r="1047">
      <c r="A1047" s="6"/>
      <c r="B1047" s="6"/>
      <c r="C1047" s="4"/>
      <c r="D1047" s="4">
        <v>48.3641275995966</v>
      </c>
      <c r="E1047" s="4" t="s">
        <v>1900</v>
      </c>
      <c r="F1047" s="4"/>
      <c r="G1047" s="4"/>
      <c r="H1047" s="4"/>
      <c r="I1047" s="4" t="str">
        <f>IFERROR(__xludf.DUMMYFUNCTION("""COMPUTED_VALUE"""),"0xfe826327a0cc88acf15703fb39ecbe78bf42d903")</f>
        <v>0xfe826327a0cc88acf15703fb39ecbe78bf42d903</v>
      </c>
      <c r="J1047" s="18">
        <v>54.03939318999629</v>
      </c>
      <c r="K1047" s="4">
        <v>675.4924148749536</v>
      </c>
      <c r="L1047" s="19">
        <v>6.754924148749536E20</v>
      </c>
      <c r="M1047" s="20">
        <v>6.7549241487495365E19</v>
      </c>
    </row>
    <row r="1048">
      <c r="A1048" s="6"/>
      <c r="B1048" s="6"/>
      <c r="C1048" s="4"/>
      <c r="D1048" s="4">
        <v>38.6926065294561</v>
      </c>
      <c r="E1048" s="4" t="s">
        <v>1901</v>
      </c>
      <c r="F1048" s="4"/>
      <c r="G1048" s="4"/>
      <c r="H1048" s="4"/>
      <c r="I1048" s="4" t="str">
        <f>IFERROR(__xludf.DUMMYFUNCTION("""COMPUTED_VALUE"""),"0x8d8091711803bd60f7592d763548a3b72ef7f11b")</f>
        <v>0x8d8091711803bd60f7592d763548a3b72ef7f11b</v>
      </c>
      <c r="J1048" s="18">
        <v>11.6073906239032</v>
      </c>
      <c r="K1048" s="4">
        <v>145.09238279879</v>
      </c>
      <c r="L1048" s="19">
        <v>1.4509238279879E20</v>
      </c>
      <c r="M1048" s="20">
        <v>1.4509238279879E19</v>
      </c>
    </row>
    <row r="1049">
      <c r="A1049" s="6"/>
      <c r="B1049" s="6"/>
      <c r="C1049" s="4"/>
      <c r="D1049" s="4">
        <v>48.3641275995966</v>
      </c>
      <c r="E1049" s="4" t="s">
        <v>1903</v>
      </c>
      <c r="F1049" s="4"/>
      <c r="G1049" s="4"/>
      <c r="H1049" s="4"/>
      <c r="I1049" s="4" t="str">
        <f>IFERROR(__xludf.DUMMYFUNCTION("""COMPUTED_VALUE"""),"0x59939c5f1de90d86121863e8ea960b787bacdd5a")</f>
        <v>0x59939c5f1de90d86121863e8ea960b787bacdd5a</v>
      </c>
      <c r="J1049" s="18">
        <v>19.3236066072184</v>
      </c>
      <c r="K1049" s="4">
        <v>241.54508259023</v>
      </c>
      <c r="L1049" s="19">
        <v>2.4154508259023002E20</v>
      </c>
      <c r="M1049" s="20">
        <v>2.4154508259023004E19</v>
      </c>
    </row>
    <row r="1050">
      <c r="A1050" s="6"/>
      <c r="B1050" s="6"/>
      <c r="C1050" s="4"/>
      <c r="D1050" s="4">
        <v>10.059738540716099</v>
      </c>
      <c r="E1050" s="4" t="s">
        <v>1904</v>
      </c>
      <c r="F1050" s="4"/>
      <c r="G1050" s="4"/>
      <c r="H1050" s="4"/>
      <c r="I1050" s="4" t="str">
        <f>IFERROR(__xludf.DUMMYFUNCTION("""COMPUTED_VALUE"""),"0xa20d39edc78ffae5cb24a63551783b24b6eca00a")</f>
        <v>0xa20d39edc78ffae5cb24a63551783b24b6eca00a</v>
      </c>
      <c r="J1050" s="18">
        <v>9.934194036205358</v>
      </c>
      <c r="K1050" s="4">
        <v>124.17742545256698</v>
      </c>
      <c r="L1050" s="19">
        <v>1.2417742545256699E20</v>
      </c>
      <c r="M1050" s="20">
        <v>1.24177425452567E19</v>
      </c>
    </row>
    <row r="1051">
      <c r="A1051" s="6"/>
      <c r="B1051" s="6"/>
      <c r="C1051" s="4"/>
      <c r="D1051" s="4">
        <v>45.1615406496431</v>
      </c>
      <c r="E1051" s="4" t="s">
        <v>1906</v>
      </c>
      <c r="F1051" s="4"/>
      <c r="G1051" s="4"/>
      <c r="H1051" s="4"/>
      <c r="I1051" s="4" t="str">
        <f>IFERROR(__xludf.DUMMYFUNCTION("""COMPUTED_VALUE"""),"0xfcca6fea1a7d0d15dae7b3c55767960db4530b0d")</f>
        <v>0xfcca6fea1a7d0d15dae7b3c55767960db4530b0d</v>
      </c>
      <c r="J1051" s="18">
        <v>20.1279940522788</v>
      </c>
      <c r="K1051" s="4">
        <v>251.599925653485</v>
      </c>
      <c r="L1051" s="19">
        <v>2.51599925653485E20</v>
      </c>
      <c r="M1051" s="20">
        <v>2.51599925653485E19</v>
      </c>
    </row>
    <row r="1052">
      <c r="A1052" s="6"/>
      <c r="B1052" s="6"/>
      <c r="C1052" s="4"/>
      <c r="D1052" s="4">
        <v>48.3641275995966</v>
      </c>
      <c r="E1052" s="4" t="s">
        <v>1036</v>
      </c>
      <c r="F1052" s="4"/>
      <c r="G1052" s="4"/>
      <c r="H1052" s="4"/>
      <c r="I1052" s="4" t="str">
        <f>IFERROR(__xludf.DUMMYFUNCTION("""COMPUTED_VALUE"""),"0x55ca87d5c42b1ef1460a6782e80991d0cb8cfc40")</f>
        <v>0x55ca87d5c42b1ef1460a6782e80991d0cb8cfc40</v>
      </c>
      <c r="J1052" s="18">
        <v>48.3641275995966</v>
      </c>
      <c r="K1052" s="4">
        <v>604.5515949949574</v>
      </c>
      <c r="L1052" s="19">
        <v>6.045515949949574E20</v>
      </c>
      <c r="M1052" s="20">
        <v>6.045515949949574E19</v>
      </c>
    </row>
    <row r="1053">
      <c r="A1053" s="6"/>
      <c r="B1053" s="6"/>
      <c r="C1053" s="4"/>
      <c r="D1053" s="4">
        <v>11.6073906239032</v>
      </c>
      <c r="E1053" s="4" t="s">
        <v>1908</v>
      </c>
      <c r="F1053" s="4"/>
      <c r="G1053" s="4"/>
      <c r="H1053" s="4"/>
      <c r="I1053" s="4" t="str">
        <f>IFERROR(__xludf.DUMMYFUNCTION("""COMPUTED_VALUE"""),"0xfcc00aae5d38e246b151537680671a820c9b96dd")</f>
        <v>0xfcc00aae5d38e246b151537680671a820c9b96dd</v>
      </c>
      <c r="J1053" s="18">
        <v>12.24698541019</v>
      </c>
      <c r="K1053" s="4">
        <v>153.087317627375</v>
      </c>
      <c r="L1053" s="19">
        <v>1.53087317627375E20</v>
      </c>
      <c r="M1053" s="20">
        <v>1.53087317627375E19</v>
      </c>
    </row>
    <row r="1054">
      <c r="A1054" s="6"/>
      <c r="B1054" s="6"/>
      <c r="C1054" s="4"/>
      <c r="D1054" s="4">
        <v>19.3236066072184</v>
      </c>
      <c r="E1054" s="4" t="s">
        <v>1910</v>
      </c>
      <c r="F1054" s="4"/>
      <c r="G1054" s="4"/>
      <c r="H1054" s="4"/>
      <c r="I1054" s="4" t="str">
        <f>IFERROR(__xludf.DUMMYFUNCTION("""COMPUTED_VALUE"""),"0xcc2bb809c16faec1503359d6c5bfb5f0a53f5507")</f>
        <v>0xcc2bb809c16faec1503359d6c5bfb5f0a53f5507</v>
      </c>
      <c r="J1054" s="18">
        <v>219.1231070700816</v>
      </c>
      <c r="K1054" s="4">
        <v>2739.03883837602</v>
      </c>
      <c r="L1054" s="19">
        <v>2.73903883837602E21</v>
      </c>
      <c r="M1054" s="20">
        <v>2.73903883837602E20</v>
      </c>
    </row>
    <row r="1055">
      <c r="A1055" s="6"/>
      <c r="B1055" s="6"/>
      <c r="C1055" s="4"/>
      <c r="D1055" s="4">
        <v>9.934194036205358</v>
      </c>
      <c r="E1055" s="4" t="s">
        <v>1912</v>
      </c>
      <c r="F1055" s="4"/>
      <c r="G1055" s="4"/>
      <c r="H1055" s="4"/>
      <c r="I1055" s="4" t="str">
        <f>IFERROR(__xludf.DUMMYFUNCTION("""COMPUTED_VALUE"""),"0x52ee34e4f18abb6829ff8c665f06f223c005b64e")</f>
        <v>0x52ee34e4f18abb6829ff8c665f06f223c005b64e</v>
      </c>
      <c r="J1055" s="18">
        <v>19.3456510398386</v>
      </c>
      <c r="K1055" s="4">
        <v>241.8206379979825</v>
      </c>
      <c r="L1055" s="19">
        <v>2.4182063799798248E20</v>
      </c>
      <c r="M1055" s="20">
        <v>2.418206379979825E19</v>
      </c>
    </row>
    <row r="1056">
      <c r="A1056" s="6"/>
      <c r="B1056" s="6"/>
      <c r="C1056" s="4"/>
      <c r="D1056" s="4">
        <v>34.948348413535896</v>
      </c>
      <c r="E1056" s="4" t="s">
        <v>1263</v>
      </c>
      <c r="F1056" s="4"/>
      <c r="G1056" s="4"/>
      <c r="H1056" s="4"/>
      <c r="I1056" s="4" t="str">
        <f>IFERROR(__xludf.DUMMYFUNCTION("""COMPUTED_VALUE"""),"0xe57aad5ef6e5bf2a3db0aadfd41d5280d6fba2c0")</f>
        <v>0xe57aad5ef6e5bf2a3db0aadfd41d5280d6fba2c0</v>
      </c>
      <c r="J1056" s="18">
        <v>19.543653071147798</v>
      </c>
      <c r="K1056" s="4">
        <v>244.29566338934748</v>
      </c>
      <c r="L1056" s="19">
        <v>2.4429566338934748E20</v>
      </c>
      <c r="M1056" s="20">
        <v>2.442956633893475E19</v>
      </c>
    </row>
    <row r="1057">
      <c r="A1057" s="6"/>
      <c r="B1057" s="6"/>
      <c r="C1057" s="4"/>
      <c r="D1057" s="4">
        <v>20.1279940522788</v>
      </c>
      <c r="E1057" s="4" t="s">
        <v>1915</v>
      </c>
      <c r="F1057" s="4"/>
      <c r="G1057" s="4"/>
      <c r="H1057" s="4"/>
      <c r="I1057" s="4" t="str">
        <f>IFERROR(__xludf.DUMMYFUNCTION("""COMPUTED_VALUE"""),"0xd3d1f6cf4d8e27292a0f0cbea25d8f93fb361d22")</f>
        <v>0xd3d1f6cf4d8e27292a0f0cbea25d8f93fb361d22</v>
      </c>
      <c r="J1057" s="18">
        <v>48.3641275995966</v>
      </c>
      <c r="K1057" s="4">
        <v>604.5515949949574</v>
      </c>
      <c r="L1057" s="19">
        <v>6.045515949949574E20</v>
      </c>
      <c r="M1057" s="20">
        <v>6.045515949949574E19</v>
      </c>
    </row>
    <row r="1058">
      <c r="A1058" s="6"/>
      <c r="B1058" s="6"/>
      <c r="C1058" s="4"/>
      <c r="D1058" s="4">
        <v>48.3641275995966</v>
      </c>
      <c r="E1058" s="4" t="s">
        <v>1917</v>
      </c>
      <c r="F1058" s="4"/>
      <c r="G1058" s="4"/>
      <c r="H1058" s="4"/>
      <c r="I1058" s="4" t="str">
        <f>IFERROR(__xludf.DUMMYFUNCTION("""COMPUTED_VALUE"""),"0xf82fbf6c8cbe77d180f9a7194bb0a8f84d49bc3e")</f>
        <v>0xf82fbf6c8cbe77d180f9a7194bb0a8f84d49bc3e</v>
      </c>
      <c r="J1058" s="18">
        <v>42.925794934343806</v>
      </c>
      <c r="K1058" s="4">
        <v>536.5724366792975</v>
      </c>
      <c r="L1058" s="19">
        <v>5.365724366792975E20</v>
      </c>
      <c r="M1058" s="20">
        <v>5.365724366792976E19</v>
      </c>
    </row>
    <row r="1059">
      <c r="A1059" s="6"/>
      <c r="B1059" s="6"/>
      <c r="C1059" s="4"/>
      <c r="D1059" s="4">
        <v>12.24698541019</v>
      </c>
      <c r="E1059" s="4" t="s">
        <v>1918</v>
      </c>
      <c r="F1059" s="4"/>
      <c r="G1059" s="4"/>
      <c r="H1059" s="4"/>
      <c r="I1059" s="4" t="str">
        <f>IFERROR(__xludf.DUMMYFUNCTION("""COMPUTED_VALUE"""),"0x08f8eae99dfeb553d48c9c6b160b73bde0ec4140")</f>
        <v>0x08f8eae99dfeb553d48c9c6b160b73bde0ec4140</v>
      </c>
      <c r="J1059" s="18">
        <v>11.220031983054</v>
      </c>
      <c r="K1059" s="4">
        <v>140.250399788175</v>
      </c>
      <c r="L1059" s="19">
        <v>1.40250399788175E20</v>
      </c>
      <c r="M1059" s="20">
        <v>1.4025039978817501E19</v>
      </c>
    </row>
    <row r="1060">
      <c r="A1060" s="6"/>
      <c r="B1060" s="6"/>
      <c r="C1060" s="4"/>
      <c r="D1060" s="4">
        <v>48.3641275995966</v>
      </c>
      <c r="E1060" s="4" t="s">
        <v>1920</v>
      </c>
      <c r="F1060" s="4"/>
      <c r="G1060" s="4"/>
      <c r="H1060" s="4"/>
      <c r="I1060" s="4" t="str">
        <f>IFERROR(__xludf.DUMMYFUNCTION("""COMPUTED_VALUE"""),"0xdabcfda7182ac4e9d718a2c162548355bd10f1b5")</f>
        <v>0xdabcfda7182ac4e9d718a2c162548355bd10f1b5</v>
      </c>
      <c r="J1060" s="18">
        <v>48.3641275995966</v>
      </c>
      <c r="K1060" s="4">
        <v>604.5515949949574</v>
      </c>
      <c r="L1060" s="19">
        <v>6.045515949949574E20</v>
      </c>
      <c r="M1060" s="20">
        <v>6.045515949949574E19</v>
      </c>
    </row>
    <row r="1061">
      <c r="A1061" s="6"/>
      <c r="B1061" s="6"/>
      <c r="C1061" s="4"/>
      <c r="D1061" s="4">
        <v>19.3456510398386</v>
      </c>
      <c r="E1061" s="4" t="s">
        <v>1921</v>
      </c>
      <c r="F1061" s="4"/>
      <c r="G1061" s="4"/>
      <c r="H1061" s="4"/>
      <c r="I1061" s="4" t="str">
        <f>IFERROR(__xludf.DUMMYFUNCTION("""COMPUTED_VALUE"""),"0xf8de9d44b0e260d41deacc4f235a99949735bb89")</f>
        <v>0xf8de9d44b0e260d41deacc4f235a99949735bb89</v>
      </c>
      <c r="J1061" s="18">
        <v>48.3641275995966</v>
      </c>
      <c r="K1061" s="4">
        <v>604.5515949949574</v>
      </c>
      <c r="L1061" s="19">
        <v>6.045515949949574E20</v>
      </c>
      <c r="M1061" s="20">
        <v>6.045515949949574E19</v>
      </c>
    </row>
    <row r="1062">
      <c r="A1062" s="6"/>
      <c r="B1062" s="6"/>
      <c r="C1062" s="4"/>
      <c r="D1062" s="4">
        <v>19.543653071147798</v>
      </c>
      <c r="E1062" s="4" t="s">
        <v>1922</v>
      </c>
      <c r="F1062" s="4"/>
      <c r="G1062" s="4"/>
      <c r="H1062" s="4"/>
      <c r="I1062" s="4" t="str">
        <f>IFERROR(__xludf.DUMMYFUNCTION("""COMPUTED_VALUE"""),"0x1a14f58d39dbce8a7f928fd236da5ce939f1d204")</f>
        <v>0x1a14f58d39dbce8a7f928fd236da5ce939f1d204</v>
      </c>
      <c r="J1062" s="18">
        <v>19.3456510398386</v>
      </c>
      <c r="K1062" s="4">
        <v>241.8206379979825</v>
      </c>
      <c r="L1062" s="19">
        <v>2.4182063799798248E20</v>
      </c>
      <c r="M1062" s="20">
        <v>2.418206379979825E19</v>
      </c>
    </row>
    <row r="1063">
      <c r="A1063" s="6"/>
      <c r="B1063" s="6"/>
      <c r="C1063" s="4"/>
      <c r="D1063" s="4">
        <v>48.3641275995966</v>
      </c>
      <c r="E1063" s="4" t="s">
        <v>1924</v>
      </c>
      <c r="F1063" s="4"/>
      <c r="G1063" s="4"/>
      <c r="H1063" s="4"/>
      <c r="I1063" s="4" t="str">
        <f>IFERROR(__xludf.DUMMYFUNCTION("""COMPUTED_VALUE"""),"0x52604af3b9ea7e4acd63cd25f2f9c769d1c4865d")</f>
        <v>0x52604af3b9ea7e4acd63cd25f2f9c769d1c4865d</v>
      </c>
      <c r="J1063" s="18">
        <v>186.60151882724531</v>
      </c>
      <c r="K1063" s="4">
        <v>2332.5189853405664</v>
      </c>
      <c r="L1063" s="19">
        <v>2.3325189853405664E21</v>
      </c>
      <c r="M1063" s="20">
        <v>2.3325189853405666E20</v>
      </c>
    </row>
    <row r="1064">
      <c r="A1064" s="6"/>
      <c r="B1064" s="6"/>
      <c r="C1064" s="4"/>
      <c r="D1064" s="4">
        <v>48.3641275995966</v>
      </c>
      <c r="E1064" s="4" t="s">
        <v>1470</v>
      </c>
      <c r="F1064" s="4"/>
      <c r="G1064" s="4"/>
      <c r="H1064" s="4"/>
      <c r="I1064" s="4" t="str">
        <f>IFERROR(__xludf.DUMMYFUNCTION("""COMPUTED_VALUE"""),"0x6b135b0df179c60df036346410c2059989bab7f3")</f>
        <v>0x6b135b0df179c60df036346410c2059989bab7f3</v>
      </c>
      <c r="J1064" s="18">
        <v>22.614759930085498</v>
      </c>
      <c r="K1064" s="4">
        <v>282.6844991260687</v>
      </c>
      <c r="L1064" s="19">
        <v>2.826844991260687E20</v>
      </c>
      <c r="M1064" s="20">
        <v>2.826844991260687E19</v>
      </c>
    </row>
    <row r="1065">
      <c r="A1065" s="6"/>
      <c r="B1065" s="6"/>
      <c r="C1065" s="4"/>
      <c r="D1065" s="4">
        <v>42.925794934343806</v>
      </c>
      <c r="E1065" s="4" t="s">
        <v>1925</v>
      </c>
      <c r="F1065" s="4"/>
      <c r="G1065" s="4"/>
      <c r="H1065" s="4"/>
      <c r="I1065" s="4" t="str">
        <f>IFERROR(__xludf.DUMMYFUNCTION("""COMPUTED_VALUE"""),"0x4d10e12e34d71bc738e35e62d02c6ef09c537580")</f>
        <v>0x4d10e12e34d71bc738e35e62d02c6ef09c537580</v>
      </c>
      <c r="J1065" s="18">
        <v>46.6820267881213</v>
      </c>
      <c r="K1065" s="4">
        <v>583.5253348515162</v>
      </c>
      <c r="L1065" s="19">
        <v>5.835253348515162E20</v>
      </c>
      <c r="M1065" s="20">
        <v>5.835253348515162E19</v>
      </c>
    </row>
    <row r="1066">
      <c r="A1066" s="6"/>
      <c r="B1066" s="6"/>
      <c r="C1066" s="4"/>
      <c r="D1066" s="4">
        <v>11.220031983054</v>
      </c>
      <c r="E1066" s="4" t="s">
        <v>1927</v>
      </c>
      <c r="F1066" s="4"/>
      <c r="G1066" s="4"/>
      <c r="H1066" s="4"/>
      <c r="I1066" s="4" t="str">
        <f>IFERROR(__xludf.DUMMYFUNCTION("""COMPUTED_VALUE"""),"0x06d8ce051bab380875406f7aba1bcf1e37d068f5")</f>
        <v>0x06d8ce051bab380875406f7aba1bcf1e37d068f5</v>
      </c>
      <c r="J1066" s="18">
        <v>9.672825519919328</v>
      </c>
      <c r="K1066" s="4">
        <v>120.9103189989916</v>
      </c>
      <c r="L1066" s="19">
        <v>1.209103189989916E20</v>
      </c>
      <c r="M1066" s="20">
        <v>1.209103189989916E19</v>
      </c>
    </row>
    <row r="1067">
      <c r="A1067" s="6"/>
      <c r="B1067" s="6"/>
      <c r="C1067" s="4"/>
      <c r="D1067" s="4">
        <v>48.3641275995966</v>
      </c>
      <c r="E1067" s="4" t="s">
        <v>1929</v>
      </c>
      <c r="F1067" s="4"/>
      <c r="G1067" s="4"/>
      <c r="H1067" s="4"/>
      <c r="I1067" s="4" t="str">
        <f>IFERROR(__xludf.DUMMYFUNCTION("""COMPUTED_VALUE"""),"0x2c4e4162bd6d8682aae388a1b58c2317312fffd8")</f>
        <v>0x2c4e4162bd6d8682aae388a1b58c2317312fffd8</v>
      </c>
      <c r="J1067" s="18">
        <v>6.44834560616746</v>
      </c>
      <c r="K1067" s="4">
        <v>80.60432007709325</v>
      </c>
      <c r="L1067" s="19">
        <v>8.060432007709324E19</v>
      </c>
      <c r="M1067" s="20">
        <v>8.060432007709324E18</v>
      </c>
    </row>
    <row r="1068">
      <c r="A1068" s="6"/>
      <c r="B1068" s="6"/>
      <c r="C1068" s="4"/>
      <c r="D1068" s="4">
        <v>8.15098750843481</v>
      </c>
      <c r="E1068" s="4" t="s">
        <v>155</v>
      </c>
      <c r="F1068" s="4"/>
      <c r="G1068" s="4"/>
      <c r="H1068" s="4"/>
      <c r="I1068" s="4" t="str">
        <f>IFERROR(__xludf.DUMMYFUNCTION("""COMPUTED_VALUE"""),"0x2b80c79b962cfbcf04643b0e25c3968105a9cb91")</f>
        <v>0x2b80c79b962cfbcf04643b0e25c3968105a9cb91</v>
      </c>
      <c r="J1068" s="18">
        <v>11.5476369943947</v>
      </c>
      <c r="K1068" s="4">
        <v>144.34546242993375</v>
      </c>
      <c r="L1068" s="19">
        <v>1.4434546242993375E20</v>
      </c>
      <c r="M1068" s="20">
        <v>1.4434546242993375E19</v>
      </c>
    </row>
    <row r="1069">
      <c r="A1069" s="6"/>
      <c r="B1069" s="6"/>
      <c r="C1069" s="4"/>
      <c r="D1069" s="4">
        <v>48.3641275995966</v>
      </c>
      <c r="E1069" s="4" t="s">
        <v>1931</v>
      </c>
      <c r="F1069" s="4"/>
      <c r="G1069" s="4"/>
      <c r="H1069" s="4"/>
      <c r="I1069" s="4" t="str">
        <f>IFERROR(__xludf.DUMMYFUNCTION("""COMPUTED_VALUE"""),"0x090f57707d22b45c6ba601431ca5e84108a29130")</f>
        <v>0x090f57707d22b45c6ba601431ca5e84108a29130</v>
      </c>
      <c r="J1069" s="18">
        <v>2.03943125429343</v>
      </c>
      <c r="K1069" s="4">
        <v>25.492890678667873</v>
      </c>
      <c r="L1069" s="19">
        <v>2.5492890678667874E19</v>
      </c>
      <c r="M1069" s="20">
        <v>2.5492890678667873E18</v>
      </c>
    </row>
    <row r="1070">
      <c r="A1070" s="6"/>
      <c r="B1070" s="6"/>
      <c r="C1070" s="4"/>
      <c r="D1070" s="4">
        <v>19.3456510398386</v>
      </c>
      <c r="E1070" s="4" t="s">
        <v>1932</v>
      </c>
      <c r="F1070" s="4"/>
      <c r="G1070" s="4"/>
      <c r="H1070" s="4"/>
      <c r="I1070" s="4" t="str">
        <f>IFERROR(__xludf.DUMMYFUNCTION("""COMPUTED_VALUE"""),"0xad77f9e323be605de1dabd545960e3adfe0dca0d")</f>
        <v>0xad77f9e323be605de1dabd545960e3adfe0dca0d</v>
      </c>
      <c r="J1070" s="18">
        <v>21.2209254378617</v>
      </c>
      <c r="K1070" s="4">
        <v>265.2615679732712</v>
      </c>
      <c r="L1070" s="19">
        <v>2.652615679732712E20</v>
      </c>
      <c r="M1070" s="20">
        <v>2.6526156797327122E19</v>
      </c>
    </row>
    <row r="1071">
      <c r="A1071" s="6"/>
      <c r="B1071" s="6"/>
      <c r="C1071" s="4"/>
      <c r="D1071" s="4">
        <v>48.3641275995966</v>
      </c>
      <c r="E1071" s="4" t="s">
        <v>390</v>
      </c>
      <c r="F1071" s="4"/>
      <c r="G1071" s="4"/>
      <c r="H1071" s="4"/>
      <c r="I1071" s="4" t="str">
        <f>IFERROR(__xludf.DUMMYFUNCTION("""COMPUTED_VALUE"""),"0xfab4d4d4b996e7294e7781b4b8398255d0c422e3")</f>
        <v>0xfab4d4d4b996e7294e7781b4b8398255d0c422e3</v>
      </c>
      <c r="J1071" s="18">
        <v>29.5939689692127</v>
      </c>
      <c r="K1071" s="4">
        <v>369.92461211515877</v>
      </c>
      <c r="L1071" s="19">
        <v>3.699246121151588E20</v>
      </c>
      <c r="M1071" s="20">
        <v>3.699246121151588E19</v>
      </c>
    </row>
    <row r="1072">
      <c r="A1072" s="6"/>
      <c r="B1072" s="6"/>
      <c r="C1072" s="4"/>
      <c r="D1072" s="4">
        <v>47.9929774789123</v>
      </c>
      <c r="E1072" s="4" t="s">
        <v>1933</v>
      </c>
      <c r="F1072" s="4"/>
      <c r="G1072" s="4"/>
      <c r="H1072" s="4"/>
      <c r="I1072" s="4" t="str">
        <f>IFERROR(__xludf.DUMMYFUNCTION("""COMPUTED_VALUE"""),"0x2dd3de1c1c57ba08ff5dafc06b1c92ebc58bce7f")</f>
        <v>0x2dd3de1c1c57ba08ff5dafc06b1c92ebc58bce7f</v>
      </c>
      <c r="J1072" s="18">
        <v>38.6913020796773</v>
      </c>
      <c r="K1072" s="4">
        <v>483.6412759959662</v>
      </c>
      <c r="L1072" s="19">
        <v>4.836412759959662E20</v>
      </c>
      <c r="M1072" s="20">
        <v>4.836412759959663E19</v>
      </c>
    </row>
    <row r="1073">
      <c r="A1073" s="6"/>
      <c r="B1073" s="6"/>
      <c r="C1073" s="4"/>
      <c r="D1073" s="4">
        <v>22.614759930085498</v>
      </c>
      <c r="E1073" s="4" t="s">
        <v>1935</v>
      </c>
      <c r="F1073" s="4"/>
      <c r="G1073" s="4"/>
      <c r="H1073" s="4"/>
      <c r="I1073" s="4" t="str">
        <f>IFERROR(__xludf.DUMMYFUNCTION("""COMPUTED_VALUE"""),"0xb97b37a2960988697f4a9163c763c9a78896b5ae")</f>
        <v>0xb97b37a2960988697f4a9163c763c9a78896b5ae</v>
      </c>
      <c r="J1073" s="18">
        <v>34.9498013369177</v>
      </c>
      <c r="K1073" s="4">
        <v>436.87251671147123</v>
      </c>
      <c r="L1073" s="19">
        <v>4.3687251671147125E20</v>
      </c>
      <c r="M1073" s="20">
        <v>4.368725167114713E19</v>
      </c>
    </row>
    <row r="1074">
      <c r="A1074" s="6"/>
      <c r="B1074" s="6"/>
      <c r="C1074" s="4"/>
      <c r="D1074" s="4">
        <v>46.6820267881213</v>
      </c>
      <c r="E1074" s="4" t="s">
        <v>1937</v>
      </c>
      <c r="F1074" s="4"/>
      <c r="G1074" s="4"/>
      <c r="H1074" s="4"/>
      <c r="I1074" s="4" t="str">
        <f>IFERROR(__xludf.DUMMYFUNCTION("""COMPUTED_VALUE"""),"0x541ea8013eba7de4ed4989b8801c5bc83e00d4e7")</f>
        <v>0x541ea8013eba7de4ed4989b8801c5bc83e00d4e7</v>
      </c>
      <c r="J1074" s="18">
        <v>58.29277088757829</v>
      </c>
      <c r="K1074" s="4">
        <v>728.6596360947286</v>
      </c>
      <c r="L1074" s="19">
        <v>7.286596360947287E20</v>
      </c>
      <c r="M1074" s="20">
        <v>7.286596360947287E19</v>
      </c>
    </row>
    <row r="1075">
      <c r="A1075" s="6"/>
      <c r="B1075" s="6"/>
      <c r="C1075" s="4"/>
      <c r="D1075" s="4">
        <v>9.672825519919328</v>
      </c>
      <c r="E1075" s="4" t="s">
        <v>1939</v>
      </c>
      <c r="F1075" s="4"/>
      <c r="G1075" s="4"/>
      <c r="H1075" s="4"/>
      <c r="I1075" s="4" t="str">
        <f>IFERROR(__xludf.DUMMYFUNCTION("""COMPUTED_VALUE"""),"0xe12adfa424ed93b9366ff8c14aab3800d801b9d9")</f>
        <v>0xe12adfa424ed93b9366ff8c14aab3800d801b9d9</v>
      </c>
      <c r="J1075" s="18">
        <v>36.243899496272995</v>
      </c>
      <c r="K1075" s="4">
        <v>453.0487437034124</v>
      </c>
      <c r="L1075" s="19">
        <v>4.530487437034124E20</v>
      </c>
      <c r="M1075" s="20">
        <v>4.530487437034124E19</v>
      </c>
    </row>
    <row r="1076">
      <c r="A1076" s="6"/>
      <c r="B1076" s="6"/>
      <c r="C1076" s="4"/>
      <c r="D1076" s="4">
        <v>6.44834560616746</v>
      </c>
      <c r="E1076" s="4" t="s">
        <v>1940</v>
      </c>
      <c r="F1076" s="4"/>
      <c r="G1076" s="4"/>
      <c r="H1076" s="4"/>
      <c r="I1076" s="4" t="str">
        <f>IFERROR(__xludf.DUMMYFUNCTION("""COMPUTED_VALUE"""),"0xbffec784165eb421ea17a424d2979853b1041d99")</f>
        <v>0xbffec784165eb421ea17a424d2979853b1041d99</v>
      </c>
      <c r="J1076" s="18">
        <v>98.6580638419136</v>
      </c>
      <c r="K1076" s="4">
        <v>1233.22579802392</v>
      </c>
      <c r="L1076" s="19">
        <v>1.2332257980239202E21</v>
      </c>
      <c r="M1076" s="20">
        <v>1.2332257980239204E20</v>
      </c>
    </row>
    <row r="1077">
      <c r="A1077" s="6"/>
      <c r="B1077" s="6"/>
      <c r="C1077" s="4"/>
      <c r="D1077" s="4">
        <v>11.5476369943947</v>
      </c>
      <c r="E1077" s="4" t="s">
        <v>1942</v>
      </c>
      <c r="F1077" s="4"/>
      <c r="G1077" s="4"/>
      <c r="H1077" s="4"/>
      <c r="I1077" s="4" t="str">
        <f>IFERROR(__xludf.DUMMYFUNCTION("""COMPUTED_VALUE"""),"0x6dbb09796eaaef18f68df6dd1cf91ee0b0e7d987")</f>
        <v>0x6dbb09796eaaef18f68df6dd1cf91ee0b0e7d987</v>
      </c>
      <c r="J1077" s="18">
        <v>0.5797580233253941</v>
      </c>
      <c r="K1077" s="4">
        <v>7.246975291567425</v>
      </c>
      <c r="L1077" s="19">
        <v>7.246975291567426E18</v>
      </c>
      <c r="M1077" s="20">
        <v>7.246975291567427E17</v>
      </c>
    </row>
    <row r="1078">
      <c r="A1078" s="6"/>
      <c r="B1078" s="6"/>
      <c r="C1078" s="4"/>
      <c r="D1078" s="4">
        <v>2.03943125429343</v>
      </c>
      <c r="E1078" s="4" t="s">
        <v>1944</v>
      </c>
      <c r="F1078" s="4"/>
      <c r="G1078" s="4"/>
      <c r="H1078" s="4"/>
      <c r="I1078" s="4" t="str">
        <f>IFERROR(__xludf.DUMMYFUNCTION("""COMPUTED_VALUE"""),"0x2fee25d5b6f24e1a3ee3bc3f56f1d6a136289714")</f>
        <v>0x2fee25d5b6f24e1a3ee3bc3f56f1d6a136289714</v>
      </c>
      <c r="J1078" s="18">
        <v>234.37608780709658</v>
      </c>
      <c r="K1078" s="4">
        <v>2929.7010975887074</v>
      </c>
      <c r="L1078" s="19">
        <v>2.9297010975887076E21</v>
      </c>
      <c r="M1078" s="20">
        <v>2.9297010975887078E20</v>
      </c>
    </row>
    <row r="1079">
      <c r="A1079" s="6"/>
      <c r="B1079" s="6"/>
      <c r="C1079" s="4"/>
      <c r="D1079" s="4">
        <v>21.2209254378617</v>
      </c>
      <c r="E1079" s="4" t="s">
        <v>1946</v>
      </c>
      <c r="F1079" s="4"/>
      <c r="G1079" s="4"/>
      <c r="H1079" s="4"/>
      <c r="I1079" s="4" t="str">
        <f>IFERROR(__xludf.DUMMYFUNCTION("""COMPUTED_VALUE"""),"0xbe9e0c20ee408a3b4cb95bcd672e1de7cefb5cbb")</f>
        <v>0xbe9e0c20ee408a3b4cb95bcd672e1de7cefb5cbb</v>
      </c>
      <c r="J1079" s="18">
        <v>4.83641275995966</v>
      </c>
      <c r="K1079" s="4">
        <v>60.45515949949575</v>
      </c>
      <c r="L1079" s="19">
        <v>6.045515949949575E19</v>
      </c>
      <c r="M1079" s="20">
        <v>6.045515949949575E18</v>
      </c>
    </row>
    <row r="1080">
      <c r="A1080" s="6"/>
      <c r="B1080" s="6"/>
      <c r="C1080" s="4"/>
      <c r="D1080" s="4">
        <v>29.5939689692127</v>
      </c>
      <c r="E1080" s="4" t="s">
        <v>1948</v>
      </c>
      <c r="F1080" s="4"/>
      <c r="G1080" s="4"/>
      <c r="H1080" s="4"/>
      <c r="I1080" s="4" t="str">
        <f>IFERROR(__xludf.DUMMYFUNCTION("""COMPUTED_VALUE"""),"0x6c6c8d4d984a7bd9bd02cd85c2e083a93045efba")</f>
        <v>0x6c6c8d4d984a7bd9bd02cd85c2e083a93045efba</v>
      </c>
      <c r="J1080" s="18">
        <v>69.5561036405484</v>
      </c>
      <c r="K1080" s="4">
        <v>869.451295506855</v>
      </c>
      <c r="L1080" s="19">
        <v>8.69451295506855E20</v>
      </c>
      <c r="M1080" s="20">
        <v>8.69451295506855E19</v>
      </c>
    </row>
    <row r="1081">
      <c r="A1081" s="6"/>
      <c r="B1081" s="6"/>
      <c r="C1081" s="4"/>
      <c r="D1081" s="4">
        <v>38.6913020796773</v>
      </c>
      <c r="E1081" s="4" t="s">
        <v>1950</v>
      </c>
      <c r="F1081" s="4"/>
      <c r="G1081" s="4"/>
      <c r="H1081" s="4"/>
      <c r="I1081" s="4" t="str">
        <f>IFERROR(__xludf.DUMMYFUNCTION("""COMPUTED_VALUE"""),"0x2ccb808b97a6bf2e9e5ff577873a4e988c1096b9")</f>
        <v>0x2ccb808b97a6bf2e9e5ff577873a4e988c1096b9</v>
      </c>
      <c r="J1081" s="18">
        <v>2.15390114019964</v>
      </c>
      <c r="K1081" s="4">
        <v>26.923764252495502</v>
      </c>
      <c r="L1081" s="19">
        <v>2.6923764252495503E19</v>
      </c>
      <c r="M1081" s="20">
        <v>2.6923764252495503E18</v>
      </c>
    </row>
    <row r="1082">
      <c r="A1082" s="6"/>
      <c r="B1082" s="6"/>
      <c r="C1082" s="4"/>
      <c r="D1082" s="4">
        <v>34.9498013369177</v>
      </c>
      <c r="E1082" s="4" t="s">
        <v>1952</v>
      </c>
      <c r="F1082" s="4"/>
      <c r="G1082" s="4"/>
      <c r="H1082" s="4"/>
      <c r="I1082" s="4" t="str">
        <f>IFERROR(__xludf.DUMMYFUNCTION("""COMPUTED_VALUE"""),"0xe5848f5dd7db342a109b065beb4e901a1b277197")</f>
        <v>0xe5848f5dd7db342a109b065beb4e901a1b277197</v>
      </c>
      <c r="J1082" s="18">
        <v>141.370107703347</v>
      </c>
      <c r="K1082" s="4">
        <v>1767.1263462918375</v>
      </c>
      <c r="L1082" s="19">
        <v>1.7671263462918377E21</v>
      </c>
      <c r="M1082" s="20">
        <v>1.7671263462918377E20</v>
      </c>
    </row>
    <row r="1083">
      <c r="A1083" s="6"/>
      <c r="B1083" s="6"/>
      <c r="C1083" s="4"/>
      <c r="D1083" s="4">
        <v>48.3641275995966</v>
      </c>
      <c r="E1083" s="4" t="s">
        <v>1954</v>
      </c>
      <c r="F1083" s="4"/>
      <c r="G1083" s="4"/>
      <c r="H1083" s="4"/>
      <c r="I1083" s="4" t="str">
        <f>IFERROR(__xludf.DUMMYFUNCTION("""COMPUTED_VALUE"""),"0x209df7577e0f5fe669d4426ebfb1847ebc45d3ee")</f>
        <v>0x209df7577e0f5fe669d4426ebfb1847ebc45d3ee</v>
      </c>
      <c r="J1083" s="18">
        <v>53.59767658910805</v>
      </c>
      <c r="K1083" s="4">
        <v>669.9709573638506</v>
      </c>
      <c r="L1083" s="19">
        <v>6.699709573638506E20</v>
      </c>
      <c r="M1083" s="20">
        <v>6.699709573638507E19</v>
      </c>
    </row>
    <row r="1084">
      <c r="A1084" s="6"/>
      <c r="B1084" s="6"/>
      <c r="C1084" s="4"/>
      <c r="D1084" s="4">
        <v>36.243899496272995</v>
      </c>
      <c r="E1084" s="4" t="s">
        <v>1955</v>
      </c>
      <c r="F1084" s="4"/>
      <c r="G1084" s="4"/>
      <c r="H1084" s="4"/>
      <c r="I1084" s="4" t="str">
        <f>IFERROR(__xludf.DUMMYFUNCTION("""COMPUTED_VALUE"""),"0x662deccbc86b30d846e251ccde1a72c1f80483cd")</f>
        <v>0x662deccbc86b30d846e251ccde1a72c1f80483cd</v>
      </c>
      <c r="J1084" s="18">
        <v>103.7834926619027</v>
      </c>
      <c r="K1084" s="4">
        <v>1297.2936582737836</v>
      </c>
      <c r="L1084" s="19">
        <v>1.2972936582737837E21</v>
      </c>
      <c r="M1084" s="20">
        <v>1.2972936582737838E20</v>
      </c>
    </row>
    <row r="1085">
      <c r="A1085" s="6"/>
      <c r="B1085" s="6"/>
      <c r="C1085" s="4"/>
      <c r="D1085" s="4">
        <v>48.3641275995966</v>
      </c>
      <c r="E1085" s="4" t="s">
        <v>1957</v>
      </c>
      <c r="F1085" s="4"/>
      <c r="G1085" s="4"/>
      <c r="H1085" s="4"/>
      <c r="I1085" s="4" t="str">
        <f>IFERROR(__xludf.DUMMYFUNCTION("""COMPUTED_VALUE"""),"0xc161c45019bd4bd7dfed68de40ad71b3d8b4dbb0")</f>
        <v>0xc161c45019bd4bd7dfed68de40ad71b3d8b4dbb0</v>
      </c>
      <c r="J1085" s="18">
        <v>41.592467664861005</v>
      </c>
      <c r="K1085" s="4">
        <v>519.9058458107626</v>
      </c>
      <c r="L1085" s="19">
        <v>5.1990584581076255E20</v>
      </c>
      <c r="M1085" s="20">
        <v>5.1990584581076255E19</v>
      </c>
    </row>
    <row r="1086">
      <c r="A1086" s="6"/>
      <c r="B1086" s="6"/>
      <c r="C1086" s="4"/>
      <c r="D1086" s="4">
        <v>0.5797580233253941</v>
      </c>
      <c r="E1086" s="4" t="s">
        <v>1958</v>
      </c>
      <c r="F1086" s="4"/>
      <c r="G1086" s="4"/>
      <c r="H1086" s="4"/>
      <c r="I1086" s="4" t="str">
        <f>IFERROR(__xludf.DUMMYFUNCTION("""COMPUTED_VALUE"""),"0x95274f50d6e214b3359c9cad15f001667fb275f8")</f>
        <v>0x95274f50d6e214b3359c9cad15f001667fb275f8</v>
      </c>
      <c r="J1086" s="18">
        <v>111.97940363404433</v>
      </c>
      <c r="K1086" s="4">
        <v>1399.742545425554</v>
      </c>
      <c r="L1086" s="19">
        <v>1.399742545425554E21</v>
      </c>
      <c r="M1086" s="20">
        <v>1.399742545425554E20</v>
      </c>
    </row>
    <row r="1087">
      <c r="A1087" s="6"/>
      <c r="B1087" s="6"/>
      <c r="C1087" s="4"/>
      <c r="D1087" s="4">
        <v>48.3641275995966</v>
      </c>
      <c r="E1087" s="4" t="s">
        <v>1960</v>
      </c>
      <c r="F1087" s="4"/>
      <c r="G1087" s="4"/>
      <c r="H1087" s="4"/>
      <c r="I1087" s="4" t="str">
        <f>IFERROR(__xludf.DUMMYFUNCTION("""COMPUTED_VALUE"""),"0x94549093367348632c82e04e596aa2ee5892a1f8")</f>
        <v>0x94549093367348632c82e04e596aa2ee5892a1f8</v>
      </c>
      <c r="J1087" s="18">
        <v>8.518745277418349</v>
      </c>
      <c r="K1087" s="4">
        <v>106.48431596772936</v>
      </c>
      <c r="L1087" s="19">
        <v>1.0648431596772935E20</v>
      </c>
      <c r="M1087" s="20">
        <v>1.0648431596772936E19</v>
      </c>
    </row>
    <row r="1088">
      <c r="A1088" s="6"/>
      <c r="B1088" s="6"/>
      <c r="C1088" s="4"/>
      <c r="D1088" s="4">
        <v>4.83641275995966</v>
      </c>
      <c r="E1088" s="4" t="s">
        <v>1961</v>
      </c>
      <c r="F1088" s="4"/>
      <c r="G1088" s="4"/>
      <c r="H1088" s="4"/>
      <c r="I1088" s="4" t="str">
        <f>IFERROR(__xludf.DUMMYFUNCTION("""COMPUTED_VALUE"""),"0x9cf472673a94ca77632d68ae66ecb20900ad2bf7")</f>
        <v>0x9cf472673a94ca77632d68ae66ecb20900ad2bf7</v>
      </c>
      <c r="J1088" s="18">
        <v>40.238954162864395</v>
      </c>
      <c r="K1088" s="4">
        <v>502.9869270358049</v>
      </c>
      <c r="L1088" s="19">
        <v>5.0298692703580494E20</v>
      </c>
      <c r="M1088" s="20">
        <v>5.0298692703580496E19</v>
      </c>
    </row>
    <row r="1089">
      <c r="A1089" s="6"/>
      <c r="B1089" s="6"/>
      <c r="C1089" s="4"/>
      <c r="D1089" s="4">
        <v>48.3641275995966</v>
      </c>
      <c r="E1089" s="4" t="s">
        <v>1963</v>
      </c>
      <c r="F1089" s="4"/>
      <c r="G1089" s="4"/>
      <c r="H1089" s="4"/>
      <c r="I1089" s="4" t="str">
        <f>IFERROR(__xludf.DUMMYFUNCTION("""COMPUTED_VALUE"""),"0xb0fecff8ab2b45778cc022f7f0f98d0a2b0133a0")</f>
        <v>0xb0fecff8ab2b45778cc022f7f0f98d0a2b0133a0</v>
      </c>
      <c r="J1089" s="18">
        <v>48.3641275995966</v>
      </c>
      <c r="K1089" s="4">
        <v>604.5515949949574</v>
      </c>
      <c r="L1089" s="19">
        <v>6.045515949949574E20</v>
      </c>
      <c r="M1089" s="20">
        <v>6.045515949949574E19</v>
      </c>
    </row>
    <row r="1090">
      <c r="A1090" s="6"/>
      <c r="B1090" s="6"/>
      <c r="C1090" s="4"/>
      <c r="D1090" s="4">
        <v>48.3641275995966</v>
      </c>
      <c r="E1090" s="4" t="s">
        <v>308</v>
      </c>
      <c r="F1090" s="4"/>
      <c r="G1090" s="4"/>
      <c r="H1090" s="4"/>
      <c r="I1090" s="4" t="str">
        <f>IFERROR(__xludf.DUMMYFUNCTION("""COMPUTED_VALUE"""),"0xdcd7fb7bbcf699fe149436aa8355dac0c130ab16")</f>
        <v>0xdcd7fb7bbcf699fe149436aa8355dac0c130ab16</v>
      </c>
      <c r="J1090" s="18">
        <v>48.3641275995966</v>
      </c>
      <c r="K1090" s="4">
        <v>604.5515949949574</v>
      </c>
      <c r="L1090" s="19">
        <v>6.045515949949574E20</v>
      </c>
      <c r="M1090" s="20">
        <v>6.045515949949574E19</v>
      </c>
    </row>
    <row r="1091">
      <c r="A1091" s="6"/>
      <c r="B1091" s="6"/>
      <c r="C1091" s="4"/>
      <c r="D1091" s="4">
        <v>2.15390114019964</v>
      </c>
      <c r="E1091" s="4" t="s">
        <v>1964</v>
      </c>
      <c r="F1091" s="4"/>
      <c r="G1091" s="4"/>
      <c r="H1091" s="4"/>
      <c r="I1091" s="4" t="str">
        <f>IFERROR(__xludf.DUMMYFUNCTION("""COMPUTED_VALUE"""),"0xb8696db49206307513fabceac859ed8c69d80a3f")</f>
        <v>0xb8696db49206307513fabceac859ed8c69d80a3f</v>
      </c>
      <c r="J1091" s="18">
        <v>48.3641275995966</v>
      </c>
      <c r="K1091" s="4">
        <v>604.5515949949574</v>
      </c>
      <c r="L1091" s="19">
        <v>6.045515949949574E20</v>
      </c>
      <c r="M1091" s="20">
        <v>6.045515949949574E19</v>
      </c>
    </row>
    <row r="1092">
      <c r="A1092" s="6"/>
      <c r="B1092" s="6"/>
      <c r="C1092" s="4"/>
      <c r="D1092" s="4">
        <v>48.3641275995966</v>
      </c>
      <c r="E1092" s="4" t="s">
        <v>1966</v>
      </c>
      <c r="F1092" s="4"/>
      <c r="G1092" s="4"/>
      <c r="H1092" s="4"/>
      <c r="I1092" s="4" t="str">
        <f>IFERROR(__xludf.DUMMYFUNCTION("""COMPUTED_VALUE"""),"0xf4b870b27ea1641235aed1d49ec77f79b03c52e0")</f>
        <v>0xf4b870b27ea1641235aed1d49ec77f79b03c52e0</v>
      </c>
      <c r="J1092" s="18">
        <v>9.71477519917008</v>
      </c>
      <c r="K1092" s="4">
        <v>121.43468998962601</v>
      </c>
      <c r="L1092" s="19">
        <v>1.21434689989626E20</v>
      </c>
      <c r="M1092" s="20">
        <v>1.2143468998962602E19</v>
      </c>
    </row>
    <row r="1093">
      <c r="A1093" s="6"/>
      <c r="B1093" s="6"/>
      <c r="C1093" s="4"/>
      <c r="D1093" s="4">
        <v>44.9360353153579</v>
      </c>
      <c r="E1093" s="4" t="s">
        <v>1967</v>
      </c>
      <c r="F1093" s="4"/>
      <c r="G1093" s="4"/>
      <c r="H1093" s="4"/>
      <c r="I1093" s="4" t="str">
        <f>IFERROR(__xludf.DUMMYFUNCTION("""COMPUTED_VALUE"""),"0x65489775cf22c8767a103aeee24698f6308857c3")</f>
        <v>0x65489775cf22c8767a103aeee24698f6308857c3</v>
      </c>
      <c r="J1093" s="18">
        <v>9.672825519919328</v>
      </c>
      <c r="K1093" s="4">
        <v>120.9103189989916</v>
      </c>
      <c r="L1093" s="19">
        <v>1.209103189989916E20</v>
      </c>
      <c r="M1093" s="20">
        <v>1.209103189989916E19</v>
      </c>
    </row>
    <row r="1094">
      <c r="A1094" s="6"/>
      <c r="B1094" s="6"/>
      <c r="C1094" s="4"/>
      <c r="D1094" s="4">
        <v>48.3641275995966</v>
      </c>
      <c r="E1094" s="4" t="s">
        <v>1969</v>
      </c>
      <c r="F1094" s="4"/>
      <c r="G1094" s="4"/>
      <c r="H1094" s="4"/>
      <c r="I1094" s="4" t="str">
        <f>IFERROR(__xludf.DUMMYFUNCTION("""COMPUTED_VALUE"""),"0x4b4354e2d456fd17e719a1210ec7082c80ba1f5f")</f>
        <v>0x4b4354e2d456fd17e719a1210ec7082c80ba1f5f</v>
      </c>
      <c r="J1094" s="18">
        <v>19.539107550237</v>
      </c>
      <c r="K1094" s="4">
        <v>244.23884437796247</v>
      </c>
      <c r="L1094" s="19">
        <v>2.4423884437796248E20</v>
      </c>
      <c r="M1094" s="20">
        <v>2.442388443779625E19</v>
      </c>
    </row>
    <row r="1095">
      <c r="A1095" s="6"/>
      <c r="B1095" s="6"/>
      <c r="C1095" s="4"/>
      <c r="D1095" s="4">
        <v>41.592467664861005</v>
      </c>
      <c r="E1095" s="4" t="s">
        <v>1970</v>
      </c>
      <c r="F1095" s="4"/>
      <c r="G1095" s="4"/>
      <c r="H1095" s="4"/>
      <c r="I1095" s="4" t="str">
        <f>IFERROR(__xludf.DUMMYFUNCTION("""COMPUTED_VALUE"""),"0x21b9589ac8e42f948609d54b466cfaa0e8adf0ed")</f>
        <v>0x21b9589ac8e42f948609d54b466cfaa0e8adf0ed</v>
      </c>
      <c r="J1095" s="18">
        <v>67.08650923105989</v>
      </c>
      <c r="K1095" s="4">
        <v>838.5813653882486</v>
      </c>
      <c r="L1095" s="19">
        <v>8.385813653882486E20</v>
      </c>
      <c r="M1095" s="20">
        <v>8.385813653882487E19</v>
      </c>
    </row>
    <row r="1096">
      <c r="A1096" s="6"/>
      <c r="B1096" s="6"/>
      <c r="C1096" s="4"/>
      <c r="D1096" s="4">
        <v>9.672825519919328</v>
      </c>
      <c r="E1096" s="4" t="s">
        <v>1972</v>
      </c>
      <c r="F1096" s="4"/>
      <c r="G1096" s="4"/>
      <c r="H1096" s="4"/>
      <c r="I1096" s="4" t="str">
        <f>IFERROR(__xludf.DUMMYFUNCTION("""COMPUTED_VALUE"""),"0x0add53c2e5f4e988de2a2845ea61e01fa969b54b")</f>
        <v>0x0add53c2e5f4e988de2a2845ea61e01fa969b54b</v>
      </c>
      <c r="J1096" s="18">
        <v>9.704184894542209</v>
      </c>
      <c r="K1096" s="4">
        <v>121.30231118177761</v>
      </c>
      <c r="L1096" s="19">
        <v>1.2130231118177762E20</v>
      </c>
      <c r="M1096" s="20">
        <v>1.2130231118177763E19</v>
      </c>
    </row>
    <row r="1097">
      <c r="A1097" s="6"/>
      <c r="B1097" s="6"/>
      <c r="C1097" s="4"/>
      <c r="D1097" s="4">
        <v>8.518745277418349</v>
      </c>
      <c r="E1097" s="4" t="s">
        <v>1973</v>
      </c>
      <c r="F1097" s="4"/>
      <c r="G1097" s="4"/>
      <c r="H1097" s="4"/>
      <c r="I1097" s="4" t="str">
        <f>IFERROR(__xludf.DUMMYFUNCTION("""COMPUTED_VALUE"""),"0x65b09bb083a2393a88eeda288724cc8fd9ea74b5")</f>
        <v>0x65b09bb083a2393a88eeda288724cc8fd9ea74b5</v>
      </c>
      <c r="J1097" s="18">
        <v>6.77097786394353</v>
      </c>
      <c r="K1097" s="4">
        <v>84.63722329929412</v>
      </c>
      <c r="L1097" s="19">
        <v>8.463722329929412E19</v>
      </c>
      <c r="M1097" s="20">
        <v>8.463722329929413E18</v>
      </c>
    </row>
    <row r="1098">
      <c r="A1098" s="6"/>
      <c r="B1098" s="6"/>
      <c r="C1098" s="4"/>
      <c r="D1098" s="4">
        <v>40.238954162864395</v>
      </c>
      <c r="E1098" s="4" t="s">
        <v>1975</v>
      </c>
      <c r="F1098" s="4"/>
      <c r="G1098" s="4"/>
      <c r="H1098" s="4"/>
      <c r="I1098" s="4" t="str">
        <f>IFERROR(__xludf.DUMMYFUNCTION("""COMPUTED_VALUE"""),"0xdb40a01625743eb3f1c2c50fc3ac6e089a8f4d42")</f>
        <v>0xdb40a01625743eb3f1c2c50fc3ac6e089a8f4d42</v>
      </c>
      <c r="J1098" s="18">
        <v>19.3649271850496</v>
      </c>
      <c r="K1098" s="4">
        <v>242.06158981311998</v>
      </c>
      <c r="L1098" s="19">
        <v>2.4206158981311998E20</v>
      </c>
      <c r="M1098" s="20">
        <v>2.4206158981312E19</v>
      </c>
    </row>
    <row r="1099">
      <c r="A1099" s="6"/>
      <c r="B1099" s="6"/>
      <c r="C1099" s="4"/>
      <c r="D1099" s="4">
        <v>48.3641275995966</v>
      </c>
      <c r="E1099" s="4" t="s">
        <v>1977</v>
      </c>
      <c r="F1099" s="4"/>
      <c r="G1099" s="4"/>
      <c r="H1099" s="4"/>
      <c r="I1099" s="4" t="str">
        <f>IFERROR(__xludf.DUMMYFUNCTION("""COMPUTED_VALUE"""),"0x9e3d1ce1d2df1750bfed921c803d5e6a0de3a603")</f>
        <v>0x9e3d1ce1d2df1750bfed921c803d5e6a0de3a603</v>
      </c>
      <c r="J1099" s="18">
        <v>48.3641275995966</v>
      </c>
      <c r="K1099" s="4">
        <v>604.5515949949574</v>
      </c>
      <c r="L1099" s="19">
        <v>6.045515949949574E20</v>
      </c>
      <c r="M1099" s="20">
        <v>6.045515949949574E19</v>
      </c>
    </row>
    <row r="1100">
      <c r="A1100" s="6"/>
      <c r="B1100" s="6"/>
      <c r="C1100" s="4"/>
      <c r="D1100" s="4">
        <v>48.3641275995966</v>
      </c>
      <c r="E1100" s="4" t="s">
        <v>1978</v>
      </c>
      <c r="F1100" s="4"/>
      <c r="G1100" s="4"/>
      <c r="H1100" s="4"/>
      <c r="I1100" s="4" t="str">
        <f>IFERROR(__xludf.DUMMYFUNCTION("""COMPUTED_VALUE"""),"0x7a755b5e9ebe7b22772d9bc9d5b0fa975005a794")</f>
        <v>0x7a755b5e9ebe7b22772d9bc9d5b0fa975005a794</v>
      </c>
      <c r="J1100" s="18">
        <v>8.88327107237789</v>
      </c>
      <c r="K1100" s="4">
        <v>111.04088840472362</v>
      </c>
      <c r="L1100" s="19">
        <v>1.1104088840472361E20</v>
      </c>
      <c r="M1100" s="20">
        <v>1.1104088840472363E19</v>
      </c>
    </row>
    <row r="1101">
      <c r="A1101" s="6"/>
      <c r="B1101" s="6"/>
      <c r="C1101" s="4"/>
      <c r="D1101" s="4">
        <v>48.3641275995966</v>
      </c>
      <c r="E1101" s="4" t="s">
        <v>1979</v>
      </c>
      <c r="F1101" s="4"/>
      <c r="G1101" s="4"/>
      <c r="H1101" s="4"/>
      <c r="I1101" s="4" t="str">
        <f>IFERROR(__xludf.DUMMYFUNCTION("""COMPUTED_VALUE"""),"0x6bfa14a589a4213677cca49205537f3aa091a1b4")</f>
        <v>0x6bfa14a589a4213677cca49205537f3aa091a1b4</v>
      </c>
      <c r="J1101" s="18">
        <v>123.3670737980223</v>
      </c>
      <c r="K1101" s="4">
        <v>1542.0884224752788</v>
      </c>
      <c r="L1101" s="19">
        <v>1.5420884224752788E21</v>
      </c>
      <c r="M1101" s="20">
        <v>1.542088422475279E20</v>
      </c>
    </row>
    <row r="1102">
      <c r="A1102" s="6"/>
      <c r="B1102" s="6"/>
      <c r="C1102" s="4"/>
      <c r="D1102" s="4">
        <v>9.71477519917008</v>
      </c>
      <c r="E1102" s="4" t="s">
        <v>1980</v>
      </c>
      <c r="F1102" s="4"/>
      <c r="G1102" s="4"/>
      <c r="H1102" s="4"/>
      <c r="I1102" s="4" t="str">
        <f>IFERROR(__xludf.DUMMYFUNCTION("""COMPUTED_VALUE"""),"0xcaf4e8d54a44419ffcffb9cf9f058e7ea41e39d5")</f>
        <v>0xcaf4e8d54a44419ffcffb9cf9f058e7ea41e39d5</v>
      </c>
      <c r="J1102" s="18">
        <v>9.7676531567957</v>
      </c>
      <c r="K1102" s="4">
        <v>122.09566445994624</v>
      </c>
      <c r="L1102" s="19">
        <v>1.2209566445994623E20</v>
      </c>
      <c r="M1102" s="20">
        <v>1.2209566445994623E19</v>
      </c>
    </row>
    <row r="1103">
      <c r="A1103" s="6"/>
      <c r="B1103" s="6"/>
      <c r="C1103" s="4"/>
      <c r="D1103" s="4">
        <v>48.3641275995966</v>
      </c>
      <c r="E1103" s="4" t="s">
        <v>613</v>
      </c>
      <c r="F1103" s="4"/>
      <c r="G1103" s="4"/>
      <c r="H1103" s="4"/>
      <c r="I1103" s="4" t="str">
        <f>IFERROR(__xludf.DUMMYFUNCTION("""COMPUTED_VALUE"""),"0x70ffb1f081dd6184bf706094f27db048e1836ae2")</f>
        <v>0x70ffb1f081dd6184bf706094f27db048e1836ae2</v>
      </c>
      <c r="J1103" s="18">
        <v>37.8711269723844</v>
      </c>
      <c r="K1103" s="4">
        <v>473.389087154805</v>
      </c>
      <c r="L1103" s="19">
        <v>4.73389087154805E20</v>
      </c>
      <c r="M1103" s="20">
        <v>4.733890871548051E19</v>
      </c>
    </row>
    <row r="1104">
      <c r="A1104" s="6"/>
      <c r="B1104" s="6"/>
      <c r="C1104" s="4"/>
      <c r="D1104" s="4">
        <v>9.672825519919328</v>
      </c>
      <c r="E1104" s="4" t="s">
        <v>1982</v>
      </c>
      <c r="F1104" s="4"/>
      <c r="G1104" s="4"/>
      <c r="H1104" s="4"/>
      <c r="I1104" s="4" t="str">
        <f>IFERROR(__xludf.DUMMYFUNCTION("""COMPUTED_VALUE"""),"0xf6ecc212b8c8af4283955c673a9ebb57e645fcfc")</f>
        <v>0xf6ecc212b8c8af4283955c673a9ebb57e645fcfc</v>
      </c>
      <c r="J1104" s="18">
        <v>48.3641275995966</v>
      </c>
      <c r="K1104" s="4">
        <v>604.5515949949574</v>
      </c>
      <c r="L1104" s="19">
        <v>6.045515949949574E20</v>
      </c>
      <c r="M1104" s="20">
        <v>6.045515949949574E19</v>
      </c>
    </row>
    <row r="1105">
      <c r="A1105" s="6"/>
      <c r="B1105" s="6"/>
      <c r="C1105" s="4"/>
      <c r="D1105" s="4">
        <v>19.539107550237</v>
      </c>
      <c r="E1105" s="4" t="s">
        <v>1983</v>
      </c>
      <c r="F1105" s="4"/>
      <c r="G1105" s="4"/>
      <c r="H1105" s="4"/>
      <c r="I1105" s="4" t="str">
        <f>IFERROR(__xludf.DUMMYFUNCTION("""COMPUTED_VALUE"""),"0x158e47ad7eb2f4fb6afb769bac6c7c741bef60bc")</f>
        <v>0x158e47ad7eb2f4fb6afb769bac6c7c741bef60bc</v>
      </c>
      <c r="J1105" s="18">
        <v>234.37608780709658</v>
      </c>
      <c r="K1105" s="4">
        <v>2929.7010975887074</v>
      </c>
      <c r="L1105" s="19">
        <v>2.9297010975887076E21</v>
      </c>
      <c r="M1105" s="20">
        <v>2.9297010975887078E20</v>
      </c>
    </row>
    <row r="1106">
      <c r="A1106" s="6"/>
      <c r="B1106" s="6"/>
      <c r="C1106" s="4"/>
      <c r="D1106" s="4">
        <v>48.3641275995966</v>
      </c>
      <c r="E1106" s="4" t="s">
        <v>1985</v>
      </c>
      <c r="F1106" s="4"/>
      <c r="G1106" s="4"/>
      <c r="H1106" s="4"/>
      <c r="I1106" s="4" t="str">
        <f>IFERROR(__xludf.DUMMYFUNCTION("""COMPUTED_VALUE"""),"0xb11b8fbc2ef1a009e333f2eda19f0f3a3aab6091")</f>
        <v>0xb11b8fbc2ef1a009e333f2eda19f0f3a3aab6091</v>
      </c>
      <c r="J1106" s="18">
        <v>42.0565329852458</v>
      </c>
      <c r="K1106" s="4">
        <v>525.7066623155725</v>
      </c>
      <c r="L1106" s="19">
        <v>5.257066623155725E20</v>
      </c>
      <c r="M1106" s="20">
        <v>5.257066623155726E19</v>
      </c>
    </row>
    <row r="1107">
      <c r="A1107" s="6"/>
      <c r="B1107" s="6"/>
      <c r="C1107" s="4"/>
      <c r="D1107" s="4">
        <v>9.704184894542209</v>
      </c>
      <c r="E1107" s="4" t="s">
        <v>1986</v>
      </c>
      <c r="F1107" s="4"/>
      <c r="G1107" s="4"/>
      <c r="H1107" s="4"/>
      <c r="I1107" s="4" t="str">
        <f>IFERROR(__xludf.DUMMYFUNCTION("""COMPUTED_VALUE"""),"0x2cfe001ab3a17ddf4bb8572836e37d3ca71024b9")</f>
        <v>0x2cfe001ab3a17ddf4bb8572836e37d3ca71024b9</v>
      </c>
      <c r="J1107" s="18">
        <v>0.137099416648434</v>
      </c>
      <c r="K1107" s="4">
        <v>1.713742708105425</v>
      </c>
      <c r="L1107" s="19">
        <v>1.7137427081054252E18</v>
      </c>
      <c r="M1107" s="20">
        <v>1.7137427081054253E17</v>
      </c>
    </row>
    <row r="1108">
      <c r="A1108" s="6"/>
      <c r="B1108" s="6"/>
      <c r="C1108" s="4"/>
      <c r="D1108" s="4">
        <v>6.77097786394353</v>
      </c>
      <c r="E1108" s="4" t="s">
        <v>1988</v>
      </c>
      <c r="F1108" s="4"/>
      <c r="G1108" s="4"/>
      <c r="H1108" s="4"/>
      <c r="I1108" s="4" t="str">
        <f>IFERROR(__xludf.DUMMYFUNCTION("""COMPUTED_VALUE"""),"0x0afa7ce7680f7383b8bdd23844740f6d89381c2a")</f>
        <v>0x0afa7ce7680f7383b8bdd23844740f6d89381c2a</v>
      </c>
      <c r="J1108" s="18">
        <v>5.10704351837104</v>
      </c>
      <c r="K1108" s="4">
        <v>63.838043979638</v>
      </c>
      <c r="L1108" s="19">
        <v>6.3838043979638006E19</v>
      </c>
      <c r="M1108" s="20">
        <v>6.383804397963801E18</v>
      </c>
    </row>
    <row r="1109">
      <c r="A1109" s="6"/>
      <c r="B1109" s="6"/>
      <c r="C1109" s="4"/>
      <c r="D1109" s="4">
        <v>19.3649271850496</v>
      </c>
      <c r="E1109" s="4" t="s">
        <v>1990</v>
      </c>
      <c r="F1109" s="4"/>
      <c r="G1109" s="4"/>
      <c r="H1109" s="4"/>
      <c r="I1109" s="4" t="str">
        <f>IFERROR(__xludf.DUMMYFUNCTION("""COMPUTED_VALUE"""),"0xdc3c097664f3913982d22b24599601900df58aae")</f>
        <v>0xdc3c097664f3913982d22b24599601900df58aae</v>
      </c>
      <c r="J1109" s="18">
        <v>37.188756439939006</v>
      </c>
      <c r="K1109" s="4">
        <v>464.8594554992376</v>
      </c>
      <c r="L1109" s="19">
        <v>4.648594554992376E20</v>
      </c>
      <c r="M1109" s="20">
        <v>4.648594554992376E19</v>
      </c>
    </row>
    <row r="1110">
      <c r="A1110" s="6"/>
      <c r="B1110" s="6"/>
      <c r="C1110" s="4"/>
      <c r="D1110" s="4">
        <v>48.3641275995966</v>
      </c>
      <c r="E1110" s="4" t="s">
        <v>1992</v>
      </c>
      <c r="F1110" s="4"/>
      <c r="G1110" s="4"/>
      <c r="H1110" s="4"/>
      <c r="I1110" s="4" t="str">
        <f>IFERROR(__xludf.DUMMYFUNCTION("""COMPUTED_VALUE"""),"0x55ee617c98986440c8dc43094ea0a0e745226f89")</f>
        <v>0x55ee617c98986440c8dc43094ea0a0e745226f89</v>
      </c>
      <c r="J1110" s="18">
        <v>48.3641275995966</v>
      </c>
      <c r="K1110" s="4">
        <v>604.5515949949574</v>
      </c>
      <c r="L1110" s="19">
        <v>6.045515949949574E20</v>
      </c>
      <c r="M1110" s="20">
        <v>6.045515949949574E19</v>
      </c>
    </row>
    <row r="1111">
      <c r="A1111" s="6"/>
      <c r="B1111" s="6"/>
      <c r="C1111" s="4"/>
      <c r="D1111" s="4">
        <v>1.04455042696911</v>
      </c>
      <c r="E1111" s="4" t="s">
        <v>25</v>
      </c>
      <c r="F1111" s="4"/>
      <c r="G1111" s="4"/>
      <c r="H1111" s="4"/>
      <c r="I1111" s="4" t="str">
        <f>IFERROR(__xludf.DUMMYFUNCTION("""COMPUTED_VALUE"""),"0x5ea6de0f6893ecb3dcd7c11d3024ab2c1772eadc")</f>
        <v>0x5ea6de0f6893ecb3dcd7c11d3024ab2c1772eadc</v>
      </c>
      <c r="J1111" s="18">
        <v>30.967042650949598</v>
      </c>
      <c r="K1111" s="4">
        <v>387.08803313686997</v>
      </c>
      <c r="L1111" s="19">
        <v>3.8708803313686997E20</v>
      </c>
      <c r="M1111" s="20">
        <v>3.8708803313686995E19</v>
      </c>
    </row>
    <row r="1112">
      <c r="A1112" s="6"/>
      <c r="B1112" s="6"/>
      <c r="C1112" s="4"/>
      <c r="D1112" s="4">
        <v>8.88327107237789</v>
      </c>
      <c r="E1112" s="4" t="s">
        <v>1994</v>
      </c>
      <c r="F1112" s="4"/>
      <c r="G1112" s="4"/>
      <c r="H1112" s="4"/>
      <c r="I1112" s="4" t="str">
        <f>IFERROR(__xludf.DUMMYFUNCTION("""COMPUTED_VALUE"""),"0xacc33e6bd41d6003334149151d20931c4d449178")</f>
        <v>0xacc33e6bd41d6003334149151d20931c4d449178</v>
      </c>
      <c r="J1112" s="18">
        <v>60.7710098079015</v>
      </c>
      <c r="K1112" s="4">
        <v>759.6376225987688</v>
      </c>
      <c r="L1112" s="19">
        <v>7.596376225987688E20</v>
      </c>
      <c r="M1112" s="20">
        <v>7.596376225987689E19</v>
      </c>
    </row>
    <row r="1113">
      <c r="A1113" s="6"/>
      <c r="B1113" s="6"/>
      <c r="C1113" s="4"/>
      <c r="D1113" s="4">
        <v>48.3641275995966</v>
      </c>
      <c r="E1113" s="4" t="s">
        <v>1996</v>
      </c>
      <c r="F1113" s="4"/>
      <c r="G1113" s="4"/>
      <c r="H1113" s="4"/>
      <c r="I1113" s="4" t="str">
        <f>IFERROR(__xludf.DUMMYFUNCTION("""COMPUTED_VALUE"""),"0xc9459554e96e2c8068c0cf008b91b4276204f534")</f>
        <v>0xc9459554e96e2c8068c0cf008b91b4276204f534</v>
      </c>
      <c r="J1113" s="18">
        <v>48.3641275995966</v>
      </c>
      <c r="K1113" s="4">
        <v>604.5515949949574</v>
      </c>
      <c r="L1113" s="19">
        <v>6.045515949949574E20</v>
      </c>
      <c r="M1113" s="20">
        <v>6.045515949949574E19</v>
      </c>
    </row>
    <row r="1114">
      <c r="A1114" s="6"/>
      <c r="B1114" s="6"/>
      <c r="C1114" s="4"/>
      <c r="D1114" s="4">
        <v>9.7676531567957</v>
      </c>
      <c r="E1114" s="4" t="s">
        <v>1997</v>
      </c>
      <c r="F1114" s="4"/>
      <c r="G1114" s="4"/>
      <c r="H1114" s="4"/>
      <c r="I1114" s="4" t="str">
        <f>IFERROR(__xludf.DUMMYFUNCTION("""COMPUTED_VALUE"""),"0x7d057162c80edd7b81ceffc50170b394401d4728")</f>
        <v>0x7d057162c80edd7b81ceffc50170b394401d4728</v>
      </c>
      <c r="J1114" s="18">
        <v>2.25067605028773</v>
      </c>
      <c r="K1114" s="4">
        <v>28.133450628596623</v>
      </c>
      <c r="L1114" s="19">
        <v>2.8133450628596625E19</v>
      </c>
      <c r="M1114" s="20">
        <v>2.813345062859663E18</v>
      </c>
    </row>
    <row r="1115">
      <c r="A1115" s="6"/>
      <c r="B1115" s="6"/>
      <c r="C1115" s="4"/>
      <c r="D1115" s="4">
        <v>37.8711269723844</v>
      </c>
      <c r="E1115" s="4" t="s">
        <v>1999</v>
      </c>
      <c r="F1115" s="4"/>
      <c r="G1115" s="4"/>
      <c r="H1115" s="4"/>
      <c r="I1115" s="4" t="str">
        <f>IFERROR(__xludf.DUMMYFUNCTION("""COMPUTED_VALUE"""),"0x80026fd66d0cd4ae23fdaab33926e5e94ecbc240")</f>
        <v>0x80026fd66d0cd4ae23fdaab33926e5e94ecbc240</v>
      </c>
      <c r="J1115" s="18">
        <v>57.66472560997164</v>
      </c>
      <c r="K1115" s="4">
        <v>720.8090701246455</v>
      </c>
      <c r="L1115" s="19">
        <v>7.208090701246455E20</v>
      </c>
      <c r="M1115" s="20">
        <v>7.208090701246455E19</v>
      </c>
    </row>
    <row r="1116">
      <c r="A1116" s="6"/>
      <c r="B1116" s="6"/>
      <c r="C1116" s="4"/>
      <c r="D1116" s="4">
        <v>48.3641275995966</v>
      </c>
      <c r="E1116" s="4" t="s">
        <v>2001</v>
      </c>
      <c r="F1116" s="4"/>
      <c r="G1116" s="4"/>
      <c r="H1116" s="4"/>
      <c r="I1116" s="4" t="str">
        <f>IFERROR(__xludf.DUMMYFUNCTION("""COMPUTED_VALUE"""),"0x045b1ba26ede7b5581319fda46e179886401f505")</f>
        <v>0x045b1ba26ede7b5581319fda46e179886401f505</v>
      </c>
      <c r="J1116" s="18">
        <v>97.2076650915374</v>
      </c>
      <c r="K1116" s="4">
        <v>1215.0958136442173</v>
      </c>
      <c r="L1116" s="19">
        <v>1.2150958136442172E21</v>
      </c>
      <c r="M1116" s="20">
        <v>1.2150958136442172E20</v>
      </c>
    </row>
    <row r="1117">
      <c r="A1117" s="6"/>
      <c r="B1117" s="6"/>
      <c r="C1117" s="4"/>
      <c r="D1117" s="4">
        <v>48.3641275995966</v>
      </c>
      <c r="E1117" s="4" t="s">
        <v>2002</v>
      </c>
      <c r="F1117" s="4"/>
      <c r="G1117" s="4"/>
      <c r="H1117" s="4"/>
      <c r="I1117" s="4" t="str">
        <f>IFERROR(__xludf.DUMMYFUNCTION("""COMPUTED_VALUE"""),"0xbc99cbcb14403960f39493df3d2d7144c2297435")</f>
        <v>0xbc99cbcb14403960f39493df3d2d7144c2297435</v>
      </c>
      <c r="J1117" s="18">
        <v>48.3641275995966</v>
      </c>
      <c r="K1117" s="4">
        <v>604.5515949949574</v>
      </c>
      <c r="L1117" s="19">
        <v>6.045515949949574E20</v>
      </c>
      <c r="M1117" s="20">
        <v>6.045515949949574E19</v>
      </c>
    </row>
    <row r="1118">
      <c r="A1118" s="6"/>
      <c r="B1118" s="6"/>
      <c r="C1118" s="4"/>
      <c r="D1118" s="4">
        <v>35.0068528923576</v>
      </c>
      <c r="E1118" s="4" t="s">
        <v>2003</v>
      </c>
      <c r="F1118" s="4"/>
      <c r="G1118" s="4"/>
      <c r="H1118" s="4"/>
      <c r="I1118" s="4" t="str">
        <f>IFERROR(__xludf.DUMMYFUNCTION("""COMPUTED_VALUE"""),"0x6de5646d7c9e77da69b81b887e0c508e483c2b90")</f>
        <v>0x6de5646d7c9e77da69b81b887e0c508e483c2b90</v>
      </c>
      <c r="J1118" s="18">
        <v>23.29279947848</v>
      </c>
      <c r="K1118" s="4">
        <v>291.15999348099996</v>
      </c>
      <c r="L1118" s="19">
        <v>2.9115999348099996E20</v>
      </c>
      <c r="M1118" s="20">
        <v>2.9115999348099998E19</v>
      </c>
    </row>
    <row r="1119">
      <c r="A1119" s="6"/>
      <c r="B1119" s="6"/>
      <c r="C1119" s="4"/>
      <c r="D1119" s="4">
        <v>0.137099416648434</v>
      </c>
      <c r="E1119" s="4" t="s">
        <v>2005</v>
      </c>
      <c r="F1119" s="4"/>
      <c r="G1119" s="4"/>
      <c r="H1119" s="4"/>
      <c r="I1119" s="4" t="str">
        <f>IFERROR(__xludf.DUMMYFUNCTION("""COMPUTED_VALUE"""),"0x69d40ace11f93d1d65d4534e3e7e7ab03f21ec66")</f>
        <v>0x69d40ace11f93d1d65d4534e3e7e7ab03f21ec66</v>
      </c>
      <c r="J1119" s="18">
        <v>19.2031215829736</v>
      </c>
      <c r="K1119" s="4">
        <v>240.03901978717002</v>
      </c>
      <c r="L1119" s="19">
        <v>2.4003901978717002E20</v>
      </c>
      <c r="M1119" s="20">
        <v>2.4003901978717004E19</v>
      </c>
    </row>
    <row r="1120">
      <c r="A1120" s="6"/>
      <c r="B1120" s="6"/>
      <c r="C1120" s="4"/>
      <c r="D1120" s="4">
        <v>48.3641275995966</v>
      </c>
      <c r="E1120" s="4" t="s">
        <v>184</v>
      </c>
      <c r="F1120" s="4"/>
      <c r="G1120" s="4"/>
      <c r="H1120" s="4"/>
      <c r="I1120" s="4" t="str">
        <f>IFERROR(__xludf.DUMMYFUNCTION("""COMPUTED_VALUE"""),"0x5799dd2b9f02c52c28c0cb78929a7a624f2bdd0e")</f>
        <v>0x5799dd2b9f02c52c28c0cb78929a7a624f2bdd0e</v>
      </c>
      <c r="J1120" s="18">
        <v>113.4683136722219</v>
      </c>
      <c r="K1120" s="4">
        <v>1418.3539209027738</v>
      </c>
      <c r="L1120" s="19">
        <v>1.4183539209027739E21</v>
      </c>
      <c r="M1120" s="20">
        <v>1.418353920902774E20</v>
      </c>
    </row>
    <row r="1121">
      <c r="A1121" s="6"/>
      <c r="B1121" s="6"/>
      <c r="C1121" s="4"/>
      <c r="D1121" s="4">
        <v>5.10704351837104</v>
      </c>
      <c r="E1121" s="4" t="s">
        <v>2007</v>
      </c>
      <c r="F1121" s="4"/>
      <c r="G1121" s="4"/>
      <c r="H1121" s="4"/>
      <c r="I1121" s="4" t="str">
        <f>IFERROR(__xludf.DUMMYFUNCTION("""COMPUTED_VALUE"""),"0x95637a13f002edfb654eb888256aa49e03698921")</f>
        <v>0x95637a13f002edfb654eb888256aa49e03698921</v>
      </c>
      <c r="J1121" s="18">
        <v>9.1217846806771</v>
      </c>
      <c r="K1121" s="4">
        <v>114.02230850846375</v>
      </c>
      <c r="L1121" s="19">
        <v>1.1402230850846376E20</v>
      </c>
      <c r="M1121" s="20">
        <v>1.1402230850846376E19</v>
      </c>
    </row>
    <row r="1122">
      <c r="A1122" s="6"/>
      <c r="B1122" s="6"/>
      <c r="C1122" s="4"/>
      <c r="D1122" s="4">
        <v>31.154954214971998</v>
      </c>
      <c r="E1122" s="4" t="s">
        <v>2009</v>
      </c>
      <c r="F1122" s="4"/>
      <c r="G1122" s="4"/>
      <c r="H1122" s="4"/>
      <c r="I1122" s="4" t="str">
        <f>IFERROR(__xludf.DUMMYFUNCTION("""COMPUTED_VALUE"""),"0x12898e671d1083e916123ec3ad0aff13511bce40")</f>
        <v>0x12898e671d1083e916123ec3ad0aff13511bce40</v>
      </c>
      <c r="J1122" s="18">
        <v>81.1431665726336</v>
      </c>
      <c r="K1122" s="4">
        <v>1014.28958215792</v>
      </c>
      <c r="L1122" s="19">
        <v>1.01428958215792E21</v>
      </c>
      <c r="M1122" s="20">
        <v>1.01428958215792E20</v>
      </c>
    </row>
    <row r="1123">
      <c r="A1123" s="6"/>
      <c r="B1123" s="6"/>
      <c r="C1123" s="4"/>
      <c r="D1123" s="4">
        <v>48.3641275995966</v>
      </c>
      <c r="E1123" s="4" t="s">
        <v>2011</v>
      </c>
      <c r="F1123" s="4"/>
      <c r="G1123" s="4"/>
      <c r="H1123" s="4"/>
      <c r="I1123" s="4" t="str">
        <f>IFERROR(__xludf.DUMMYFUNCTION("""COMPUTED_VALUE"""),"0x57bd4e3a184420c5e7435ff31037b81f1b63f7af")</f>
        <v>0x57bd4e3a184420c5e7435ff31037b81f1b63f7af</v>
      </c>
      <c r="J1123" s="18">
        <v>48.3641275995966</v>
      </c>
      <c r="K1123" s="4">
        <v>604.5515949949574</v>
      </c>
      <c r="L1123" s="19">
        <v>6.045515949949574E20</v>
      </c>
      <c r="M1123" s="20">
        <v>6.045515949949574E19</v>
      </c>
    </row>
    <row r="1124">
      <c r="A1124" s="6"/>
      <c r="B1124" s="6"/>
      <c r="C1124" s="4"/>
      <c r="D1124" s="4">
        <v>30.967042650949598</v>
      </c>
      <c r="E1124" s="4" t="s">
        <v>2012</v>
      </c>
      <c r="F1124" s="4"/>
      <c r="G1124" s="4"/>
      <c r="H1124" s="4"/>
      <c r="I1124" s="4" t="str">
        <f>IFERROR(__xludf.DUMMYFUNCTION("""COMPUTED_VALUE"""),"0xb83befca7df09a66049187c4c8d88dc075e8625d")</f>
        <v>0xb83befca7df09a66049187c4c8d88dc075e8625d</v>
      </c>
      <c r="J1124" s="18">
        <v>18.2589236096308</v>
      </c>
      <c r="K1124" s="4">
        <v>228.236545120385</v>
      </c>
      <c r="L1124" s="19">
        <v>2.2823654512038497E20</v>
      </c>
      <c r="M1124" s="20">
        <v>2.28236545120385E19</v>
      </c>
    </row>
    <row r="1125">
      <c r="A1125" s="6"/>
      <c r="B1125" s="6"/>
      <c r="C1125" s="4"/>
      <c r="D1125" s="4">
        <v>43.8043986417701</v>
      </c>
      <c r="E1125" s="4" t="s">
        <v>2014</v>
      </c>
      <c r="F1125" s="4"/>
      <c r="G1125" s="4"/>
      <c r="H1125" s="4"/>
      <c r="I1125" s="4" t="str">
        <f>IFERROR(__xludf.DUMMYFUNCTION("""COMPUTED_VALUE"""),"0xa9a1848aeb76edddeac27a307f9e59e55c0dd4cc")</f>
        <v>0xa9a1848aeb76edddeac27a307f9e59e55c0dd4cc</v>
      </c>
      <c r="J1125" s="18">
        <v>57.66472560997164</v>
      </c>
      <c r="K1125" s="4">
        <v>720.8090701246455</v>
      </c>
      <c r="L1125" s="19">
        <v>7.208090701246455E20</v>
      </c>
      <c r="M1125" s="20">
        <v>7.208090701246455E19</v>
      </c>
    </row>
    <row r="1126">
      <c r="A1126" s="6"/>
      <c r="B1126" s="6"/>
      <c r="C1126" s="4"/>
      <c r="D1126" s="4">
        <v>40.633332121102</v>
      </c>
      <c r="E1126" s="4" t="s">
        <v>321</v>
      </c>
      <c r="F1126" s="4"/>
      <c r="G1126" s="4"/>
      <c r="H1126" s="4"/>
      <c r="I1126" s="4" t="str">
        <f>IFERROR(__xludf.DUMMYFUNCTION("""COMPUTED_VALUE"""),"0x6452a3505b6b54fe1675001eba09719c3a3066c0")</f>
        <v>0x6452a3505b6b54fe1675001eba09719c3a3066c0</v>
      </c>
      <c r="J1126" s="18">
        <v>48.3641275995966</v>
      </c>
      <c r="K1126" s="4">
        <v>604.5515949949574</v>
      </c>
      <c r="L1126" s="19">
        <v>6.045515949949574E20</v>
      </c>
      <c r="M1126" s="20">
        <v>6.045515949949574E19</v>
      </c>
    </row>
    <row r="1127">
      <c r="A1127" s="6"/>
      <c r="B1127" s="6"/>
      <c r="C1127" s="4"/>
      <c r="D1127" s="4">
        <v>48.3641275995966</v>
      </c>
      <c r="E1127" s="4" t="s">
        <v>123</v>
      </c>
      <c r="F1127" s="4"/>
      <c r="G1127" s="4"/>
      <c r="H1127" s="4"/>
      <c r="I1127" s="4" t="str">
        <f>IFERROR(__xludf.DUMMYFUNCTION("""COMPUTED_VALUE"""),"0x88ae55994cd37da85cd9ec55dee6807083ea21c0")</f>
        <v>0x88ae55994cd37da85cd9ec55dee6807083ea21c0</v>
      </c>
      <c r="J1127" s="18">
        <v>48.3641275995966</v>
      </c>
      <c r="K1127" s="4">
        <v>604.5515949949574</v>
      </c>
      <c r="L1127" s="19">
        <v>6.045515949949574E20</v>
      </c>
      <c r="M1127" s="20">
        <v>6.045515949949574E19</v>
      </c>
    </row>
    <row r="1128">
      <c r="A1128" s="6"/>
      <c r="B1128" s="6"/>
      <c r="C1128" s="4"/>
      <c r="D1128" s="4">
        <v>48.3641275995966</v>
      </c>
      <c r="E1128" s="4" t="s">
        <v>2017</v>
      </c>
      <c r="F1128" s="4"/>
      <c r="G1128" s="4"/>
      <c r="H1128" s="4"/>
      <c r="I1128" s="4" t="str">
        <f>IFERROR(__xludf.DUMMYFUNCTION("""COMPUTED_VALUE"""),"0x5df2abee60f8759e30965612b3972d91f1dd12a8")</f>
        <v>0x5df2abee60f8759e30965612b3972d91f1dd12a8</v>
      </c>
      <c r="J1128" s="18">
        <v>19.3456510398386</v>
      </c>
      <c r="K1128" s="4">
        <v>241.8206379979825</v>
      </c>
      <c r="L1128" s="19">
        <v>2.4182063799798248E20</v>
      </c>
      <c r="M1128" s="20">
        <v>2.418206379979825E19</v>
      </c>
    </row>
    <row r="1129">
      <c r="A1129" s="6"/>
      <c r="B1129" s="6"/>
      <c r="C1129" s="4"/>
      <c r="D1129" s="4">
        <v>2.25067605028773</v>
      </c>
      <c r="E1129" s="4" t="s">
        <v>2018</v>
      </c>
      <c r="F1129" s="4"/>
      <c r="G1129" s="4"/>
      <c r="H1129" s="4"/>
      <c r="I1129" s="4" t="str">
        <f>IFERROR(__xludf.DUMMYFUNCTION("""COMPUTED_VALUE"""),"0x2164a0fb032bccefdbbae6b2f83c3b597bce933a")</f>
        <v>0x2164a0fb032bccefdbbae6b2f83c3b597bce933a</v>
      </c>
      <c r="J1129" s="18">
        <v>9.672825519919328</v>
      </c>
      <c r="K1129" s="4">
        <v>120.9103189989916</v>
      </c>
      <c r="L1129" s="19">
        <v>1.209103189989916E20</v>
      </c>
      <c r="M1129" s="20">
        <v>1.209103189989916E19</v>
      </c>
    </row>
    <row r="1130">
      <c r="A1130" s="6"/>
      <c r="B1130" s="6"/>
      <c r="C1130" s="4"/>
      <c r="D1130" s="4">
        <v>48.3641275995966</v>
      </c>
      <c r="E1130" s="4" t="s">
        <v>2020</v>
      </c>
      <c r="F1130" s="4"/>
      <c r="G1130" s="4"/>
      <c r="H1130" s="4"/>
      <c r="I1130" s="4" t="str">
        <f>IFERROR(__xludf.DUMMYFUNCTION("""COMPUTED_VALUE"""),"0x871859825948e4583e6355c54cdd10ee46b17996")</f>
        <v>0x871859825948e4583e6355c54cdd10ee46b17996</v>
      </c>
      <c r="J1130" s="18">
        <v>29.018480463710297</v>
      </c>
      <c r="K1130" s="4">
        <v>362.7310057963787</v>
      </c>
      <c r="L1130" s="19">
        <v>3.6273100579637874E20</v>
      </c>
      <c r="M1130" s="20">
        <v>3.6273100579637875E19</v>
      </c>
    </row>
    <row r="1131">
      <c r="A1131" s="6"/>
      <c r="B1131" s="6"/>
      <c r="C1131" s="4"/>
      <c r="D1131" s="4">
        <v>41.3380309876603</v>
      </c>
      <c r="E1131" s="4" t="s">
        <v>2021</v>
      </c>
      <c r="F1131" s="4"/>
      <c r="G1131" s="4"/>
      <c r="H1131" s="4"/>
      <c r="I1131" s="4" t="str">
        <f>IFERROR(__xludf.DUMMYFUNCTION("""COMPUTED_VALUE"""),"0x427a225099366d3e917c2aa9d3c77db4653f584a")</f>
        <v>0x427a225099366d3e917c2aa9d3c77db4653f584a</v>
      </c>
      <c r="J1131" s="18">
        <v>9.71374375850752</v>
      </c>
      <c r="K1131" s="4">
        <v>121.421796981344</v>
      </c>
      <c r="L1131" s="19">
        <v>1.2142179698134401E20</v>
      </c>
      <c r="M1131" s="20">
        <v>1.21421796981344E19</v>
      </c>
    </row>
    <row r="1132">
      <c r="A1132" s="6"/>
      <c r="B1132" s="6"/>
      <c r="C1132" s="4"/>
      <c r="D1132" s="4">
        <v>48.3641275995966</v>
      </c>
      <c r="E1132" s="4" t="s">
        <v>2023</v>
      </c>
      <c r="F1132" s="4"/>
      <c r="G1132" s="4"/>
      <c r="H1132" s="4"/>
      <c r="I1132" s="4" t="str">
        <f>IFERROR(__xludf.DUMMYFUNCTION("""COMPUTED_VALUE"""),"0x78fcaeeefc30d87b27908ea46e674b589b0ab830")</f>
        <v>0x78fcaeeefc30d87b27908ea46e674b589b0ab830</v>
      </c>
      <c r="J1132" s="18">
        <v>15.7635838045916</v>
      </c>
      <c r="K1132" s="4">
        <v>197.044797557395</v>
      </c>
      <c r="L1132" s="19">
        <v>1.97044797557395E20</v>
      </c>
      <c r="M1132" s="20">
        <v>1.97044797557395E19</v>
      </c>
    </row>
    <row r="1133">
      <c r="A1133" s="6"/>
      <c r="B1133" s="6"/>
      <c r="C1133" s="4"/>
      <c r="D1133" s="4">
        <v>23.29279947848</v>
      </c>
      <c r="E1133" s="4" t="s">
        <v>2024</v>
      </c>
      <c r="F1133" s="4"/>
      <c r="G1133" s="4"/>
      <c r="H1133" s="4"/>
      <c r="I1133" s="4" t="str">
        <f>IFERROR(__xludf.DUMMYFUNCTION("""COMPUTED_VALUE"""),"0xaa089eae69704d383794139318e76b28fdfd8b41")</f>
        <v>0xaa089eae69704d383794139318e76b28fdfd8b41</v>
      </c>
      <c r="J1133" s="18">
        <v>36.7141459505253</v>
      </c>
      <c r="K1133" s="4">
        <v>458.92682438156623</v>
      </c>
      <c r="L1133" s="19">
        <v>4.589268243815662E20</v>
      </c>
      <c r="M1133" s="20">
        <v>4.589268243815662E19</v>
      </c>
    </row>
    <row r="1134">
      <c r="A1134" s="6"/>
      <c r="B1134" s="6"/>
      <c r="C1134" s="4"/>
      <c r="D1134" s="4">
        <v>19.2031215829736</v>
      </c>
      <c r="E1134" s="4" t="s">
        <v>2026</v>
      </c>
      <c r="F1134" s="4"/>
      <c r="G1134" s="4"/>
      <c r="H1134" s="4"/>
      <c r="I1134" s="4" t="str">
        <f>IFERROR(__xludf.DUMMYFUNCTION("""COMPUTED_VALUE"""),"0x0eff31a151fc33d9dd1127aeb966c01dc761c989")</f>
        <v>0x0eff31a151fc33d9dd1127aeb966c01dc761c989</v>
      </c>
      <c r="J1134" s="18">
        <v>10.0526161270469</v>
      </c>
      <c r="K1134" s="4">
        <v>125.65770158808624</v>
      </c>
      <c r="L1134" s="19">
        <v>1.2565770158808624E20</v>
      </c>
      <c r="M1134" s="20">
        <v>1.2565770158808625E19</v>
      </c>
    </row>
    <row r="1135">
      <c r="A1135" s="6"/>
      <c r="B1135" s="6"/>
      <c r="C1135" s="4"/>
      <c r="D1135" s="4">
        <v>48.3641275995966</v>
      </c>
      <c r="E1135" s="4" t="s">
        <v>2028</v>
      </c>
      <c r="F1135" s="4"/>
      <c r="G1135" s="4"/>
      <c r="H1135" s="4"/>
      <c r="I1135" s="4" t="str">
        <f>IFERROR(__xludf.DUMMYFUNCTION("""COMPUTED_VALUE"""),"0xac75717dad88ff4115448ccb26667ecbaf5497d7")</f>
        <v>0xac75717dad88ff4115448ccb26667ecbaf5497d7</v>
      </c>
      <c r="J1135" s="18">
        <v>0.159529579134298</v>
      </c>
      <c r="K1135" s="4">
        <v>1.9941197391787249</v>
      </c>
      <c r="L1135" s="19">
        <v>1.9941197391787249E18</v>
      </c>
      <c r="M1135" s="20">
        <v>1.994119739178725E17</v>
      </c>
    </row>
    <row r="1136">
      <c r="A1136" s="6"/>
      <c r="B1136" s="6"/>
      <c r="C1136" s="4"/>
      <c r="D1136" s="4">
        <v>9.1217846806771</v>
      </c>
      <c r="E1136" s="4" t="s">
        <v>2029</v>
      </c>
      <c r="F1136" s="4"/>
      <c r="G1136" s="4"/>
      <c r="H1136" s="4"/>
      <c r="I1136" s="4" t="str">
        <f>IFERROR(__xludf.DUMMYFUNCTION("""COMPUTED_VALUE"""),"0x7f616ba5e869edc1e5dd4c5360abaaf35d276c6c")</f>
        <v>0x7f616ba5e869edc1e5dd4c5360abaaf35d276c6c</v>
      </c>
      <c r="J1136" s="18">
        <v>48.3641275995966</v>
      </c>
      <c r="K1136" s="4">
        <v>604.5515949949574</v>
      </c>
      <c r="L1136" s="19">
        <v>6.045515949949574E20</v>
      </c>
      <c r="M1136" s="20">
        <v>6.045515949949574E19</v>
      </c>
    </row>
    <row r="1137">
      <c r="A1137" s="6"/>
      <c r="B1137" s="6"/>
      <c r="C1137" s="4"/>
      <c r="D1137" s="4">
        <v>48.2153502749858</v>
      </c>
      <c r="E1137" s="4" t="s">
        <v>2031</v>
      </c>
      <c r="F1137" s="4"/>
      <c r="G1137" s="4"/>
      <c r="H1137" s="4"/>
      <c r="I1137" s="4" t="str">
        <f>IFERROR(__xludf.DUMMYFUNCTION("""COMPUTED_VALUE"""),"0x018aea5ef09ebb015076b0d8a439e852df76e2f0")</f>
        <v>0x018aea5ef09ebb015076b0d8a439e852df76e2f0</v>
      </c>
      <c r="J1137" s="18">
        <v>40.067463435212105</v>
      </c>
      <c r="K1137" s="4">
        <v>500.8432929401513</v>
      </c>
      <c r="L1137" s="19">
        <v>5.008432929401513E20</v>
      </c>
      <c r="M1137" s="20">
        <v>5.0084329294015136E19</v>
      </c>
    </row>
    <row r="1138">
      <c r="A1138" s="6"/>
      <c r="B1138" s="6"/>
      <c r="C1138" s="4"/>
      <c r="D1138" s="4">
        <v>48.3641275995966</v>
      </c>
      <c r="E1138" s="4" t="s">
        <v>2033</v>
      </c>
      <c r="F1138" s="4"/>
      <c r="G1138" s="4"/>
      <c r="H1138" s="4"/>
      <c r="I1138" s="4" t="str">
        <f>IFERROR(__xludf.DUMMYFUNCTION("""COMPUTED_VALUE"""),"0xa9a1ef749cdf2830debde9f0f342d4b20a97dd4c")</f>
        <v>0xa9a1ef749cdf2830debde9f0f342d4b20a97dd4c</v>
      </c>
      <c r="J1138" s="18">
        <v>9.479369009520939</v>
      </c>
      <c r="K1138" s="4">
        <v>118.49211261901173</v>
      </c>
      <c r="L1138" s="19">
        <v>1.1849211261901174E20</v>
      </c>
      <c r="M1138" s="20">
        <v>1.1849211261901175E19</v>
      </c>
    </row>
    <row r="1139">
      <c r="A1139" s="6"/>
      <c r="B1139" s="6"/>
      <c r="C1139" s="4"/>
      <c r="D1139" s="4">
        <v>18.2589236096308</v>
      </c>
      <c r="E1139" s="4" t="s">
        <v>2034</v>
      </c>
      <c r="F1139" s="4"/>
      <c r="G1139" s="4"/>
      <c r="H1139" s="4"/>
      <c r="I1139" s="4" t="str">
        <f>IFERROR(__xludf.DUMMYFUNCTION("""COMPUTED_VALUE"""),"0xbcc4f9315eba7936e68578308776b9cc54d71911")</f>
        <v>0xbcc4f9315eba7936e68578308776b9cc54d71911</v>
      </c>
      <c r="J1139" s="18">
        <v>3.44016229956279</v>
      </c>
      <c r="K1139" s="4">
        <v>43.002028744534876</v>
      </c>
      <c r="L1139" s="19">
        <v>4.300202874453488E19</v>
      </c>
      <c r="M1139" s="20">
        <v>4.3002028744534876E18</v>
      </c>
    </row>
    <row r="1140">
      <c r="A1140" s="6"/>
      <c r="B1140" s="6"/>
      <c r="C1140" s="4"/>
      <c r="D1140" s="4">
        <v>48.3641275995966</v>
      </c>
      <c r="E1140" s="4" t="s">
        <v>2036</v>
      </c>
      <c r="F1140" s="4"/>
      <c r="G1140" s="4"/>
      <c r="H1140" s="4"/>
      <c r="I1140" s="4" t="str">
        <f>IFERROR(__xludf.DUMMYFUNCTION("""COMPUTED_VALUE"""),"0x1ebc404122c27b801d7678aa863646e2a68c04c8")</f>
        <v>0x1ebc404122c27b801d7678aa863646e2a68c04c8</v>
      </c>
      <c r="J1140" s="18">
        <v>9.86628203031772</v>
      </c>
      <c r="K1140" s="4">
        <v>123.32852537897149</v>
      </c>
      <c r="L1140" s="19">
        <v>1.2332852537897148E20</v>
      </c>
      <c r="M1140" s="20">
        <v>1.2332852537897148E19</v>
      </c>
    </row>
    <row r="1141">
      <c r="A1141" s="6"/>
      <c r="B1141" s="6"/>
      <c r="C1141" s="4"/>
      <c r="D1141" s="4">
        <v>48.3641275995966</v>
      </c>
      <c r="E1141" s="4" t="s">
        <v>2037</v>
      </c>
      <c r="F1141" s="4"/>
      <c r="G1141" s="4"/>
      <c r="H1141" s="4"/>
      <c r="I1141" s="4" t="str">
        <f>IFERROR(__xludf.DUMMYFUNCTION("""COMPUTED_VALUE"""),"0x790ac1cc57ddc9cc49a7a3ccbe230889efee9034")</f>
        <v>0x790ac1cc57ddc9cc49a7a3ccbe230889efee9034</v>
      </c>
      <c r="J1141" s="18">
        <v>16.8513309750621</v>
      </c>
      <c r="K1141" s="4">
        <v>210.64163718827626</v>
      </c>
      <c r="L1141" s="19">
        <v>2.1064163718827626E20</v>
      </c>
      <c r="M1141" s="20">
        <v>2.1064163718827626E19</v>
      </c>
    </row>
    <row r="1142">
      <c r="A1142" s="6"/>
      <c r="B1142" s="6"/>
      <c r="C1142" s="4"/>
      <c r="D1142" s="4">
        <v>48.3641275995966</v>
      </c>
      <c r="E1142" s="4" t="s">
        <v>2038</v>
      </c>
      <c r="F1142" s="4"/>
      <c r="G1142" s="4"/>
      <c r="H1142" s="4"/>
      <c r="I1142" s="4" t="str">
        <f>IFERROR(__xludf.DUMMYFUNCTION("""COMPUTED_VALUE"""),"0x0ac27f57c89d9340ab77e1d30d6e90ac3506af6e")</f>
        <v>0x0ac27f57c89d9340ab77e1d30d6e90ac3506af6e</v>
      </c>
      <c r="J1142" s="18">
        <v>48.3641275995966</v>
      </c>
      <c r="K1142" s="4">
        <v>604.5515949949574</v>
      </c>
      <c r="L1142" s="19">
        <v>6.045515949949574E20</v>
      </c>
      <c r="M1142" s="20">
        <v>6.045515949949574E19</v>
      </c>
    </row>
    <row r="1143">
      <c r="A1143" s="6"/>
      <c r="B1143" s="6"/>
      <c r="C1143" s="4"/>
      <c r="D1143" s="4">
        <v>19.3456510398386</v>
      </c>
      <c r="E1143" s="4" t="s">
        <v>2039</v>
      </c>
      <c r="F1143" s="4"/>
      <c r="G1143" s="4"/>
      <c r="H1143" s="4"/>
      <c r="I1143" s="4" t="str">
        <f>IFERROR(__xludf.DUMMYFUNCTION("""COMPUTED_VALUE"""),"0xbe18df53cf2923f5279f45fa1f0abb708710b0d7")</f>
        <v>0xbe18df53cf2923f5279f45fa1f0abb708710b0d7</v>
      </c>
      <c r="J1143" s="18">
        <v>9.672825519919328</v>
      </c>
      <c r="K1143" s="4">
        <v>120.9103189989916</v>
      </c>
      <c r="L1143" s="19">
        <v>1.209103189989916E20</v>
      </c>
      <c r="M1143" s="20">
        <v>1.209103189989916E19</v>
      </c>
    </row>
    <row r="1144">
      <c r="A1144" s="6"/>
      <c r="B1144" s="6"/>
      <c r="C1144" s="4"/>
      <c r="D1144" s="4">
        <v>9.672825519919328</v>
      </c>
      <c r="E1144" s="4" t="s">
        <v>2040</v>
      </c>
      <c r="F1144" s="4"/>
      <c r="G1144" s="4"/>
      <c r="H1144" s="4"/>
      <c r="I1144" s="4" t="str">
        <f>IFERROR(__xludf.DUMMYFUNCTION("""COMPUTED_VALUE"""),"0xf1f45f26cbac3cde9e5e69e6a92190a954428044")</f>
        <v>0xf1f45f26cbac3cde9e5e69e6a92190a954428044</v>
      </c>
      <c r="J1144" s="18">
        <v>234.37608780709658</v>
      </c>
      <c r="K1144" s="4">
        <v>2929.7010975887074</v>
      </c>
      <c r="L1144" s="19">
        <v>2.9297010975887076E21</v>
      </c>
      <c r="M1144" s="20">
        <v>2.9297010975887078E20</v>
      </c>
    </row>
    <row r="1145">
      <c r="A1145" s="6"/>
      <c r="B1145" s="6"/>
      <c r="C1145" s="4"/>
      <c r="D1145" s="4">
        <v>29.018480463710297</v>
      </c>
      <c r="E1145" s="4" t="s">
        <v>2041</v>
      </c>
      <c r="F1145" s="4"/>
      <c r="G1145" s="4"/>
      <c r="H1145" s="4"/>
      <c r="I1145" s="4" t="str">
        <f>IFERROR(__xludf.DUMMYFUNCTION("""COMPUTED_VALUE"""),"0x7042d513579031dc1e5f8d671564f593111f3698")</f>
        <v>0x7042d513579031dc1e5f8d671564f593111f3698</v>
      </c>
      <c r="J1145" s="18">
        <v>10.2947954850681</v>
      </c>
      <c r="K1145" s="4">
        <v>128.68494356335125</v>
      </c>
      <c r="L1145" s="19">
        <v>1.2868494356335126E20</v>
      </c>
      <c r="M1145" s="20">
        <v>1.2868494356335127E19</v>
      </c>
    </row>
    <row r="1146">
      <c r="A1146" s="6"/>
      <c r="B1146" s="6"/>
      <c r="C1146" s="4"/>
      <c r="D1146" s="4">
        <v>48.3641275995966</v>
      </c>
      <c r="E1146" s="4" t="s">
        <v>870</v>
      </c>
      <c r="F1146" s="4"/>
      <c r="G1146" s="4"/>
      <c r="H1146" s="4"/>
      <c r="I1146" s="4" t="str">
        <f>IFERROR(__xludf.DUMMYFUNCTION("""COMPUTED_VALUE"""),"0x785b01b63dd1f6aad2c9d86ccf8852b6f18014ea")</f>
        <v>0x785b01b63dd1f6aad2c9d86ccf8852b6f18014ea</v>
      </c>
      <c r="J1146" s="18">
        <v>150.68856286190157</v>
      </c>
      <c r="K1146" s="4">
        <v>1883.6070357737697</v>
      </c>
      <c r="L1146" s="19">
        <v>1.8836070357737697E21</v>
      </c>
      <c r="M1146" s="20">
        <v>1.8836070357737698E20</v>
      </c>
    </row>
    <row r="1147">
      <c r="A1147" s="6"/>
      <c r="B1147" s="6"/>
      <c r="C1147" s="4"/>
      <c r="D1147" s="4">
        <v>9.71374375850752</v>
      </c>
      <c r="E1147" s="4" t="s">
        <v>2043</v>
      </c>
      <c r="F1147" s="4"/>
      <c r="G1147" s="4"/>
      <c r="H1147" s="4"/>
      <c r="I1147" s="4" t="str">
        <f>IFERROR(__xludf.DUMMYFUNCTION("""COMPUTED_VALUE"""),"0xb8f3a96a5b61ea648b67d5e258c8cd5080a80365")</f>
        <v>0xb8f3a96a5b61ea648b67d5e258c8cd5080a80365</v>
      </c>
      <c r="J1147" s="18">
        <v>187.8730977552216</v>
      </c>
      <c r="K1147" s="4">
        <v>2348.41372194027</v>
      </c>
      <c r="L1147" s="19">
        <v>2.34841372194027E21</v>
      </c>
      <c r="M1147" s="20">
        <v>2.34841372194027E20</v>
      </c>
    </row>
    <row r="1148">
      <c r="A1148" s="6"/>
      <c r="B1148" s="6"/>
      <c r="C1148" s="4"/>
      <c r="D1148" s="4">
        <v>15.7635838045916</v>
      </c>
      <c r="E1148" s="4" t="s">
        <v>2045</v>
      </c>
      <c r="F1148" s="4"/>
      <c r="G1148" s="4"/>
      <c r="H1148" s="4"/>
      <c r="I1148" s="4" t="str">
        <f>IFERROR(__xludf.DUMMYFUNCTION("""COMPUTED_VALUE"""),"0x118fd9751d1af0ac1baca8ae7e2eab4ac83a3302")</f>
        <v>0x118fd9751d1af0ac1baca8ae7e2eab4ac83a3302</v>
      </c>
      <c r="J1148" s="18">
        <v>48.3641275995966</v>
      </c>
      <c r="K1148" s="4">
        <v>604.5515949949574</v>
      </c>
      <c r="L1148" s="19">
        <v>6.045515949949574E20</v>
      </c>
      <c r="M1148" s="20">
        <v>6.045515949949574E19</v>
      </c>
    </row>
    <row r="1149">
      <c r="A1149" s="6"/>
      <c r="B1149" s="6"/>
      <c r="C1149" s="4"/>
      <c r="D1149" s="4">
        <v>9.01555805844459</v>
      </c>
      <c r="E1149" s="4" t="s">
        <v>356</v>
      </c>
      <c r="F1149" s="4"/>
      <c r="G1149" s="4"/>
      <c r="H1149" s="4"/>
      <c r="I1149" s="4" t="str">
        <f>IFERROR(__xludf.DUMMYFUNCTION("""COMPUTED_VALUE"""),"0x3466d70e6fb1c8cab31de6b4c5d09723d0c30c39")</f>
        <v>0x3466d70e6fb1c8cab31de6b4c5d09723d0c30c39</v>
      </c>
      <c r="J1149" s="18">
        <v>18.033459443352502</v>
      </c>
      <c r="K1149" s="4">
        <v>225.41824304190627</v>
      </c>
      <c r="L1149" s="19">
        <v>2.2541824304190626E20</v>
      </c>
      <c r="M1149" s="20">
        <v>2.2541824304190628E19</v>
      </c>
    </row>
    <row r="1150">
      <c r="A1150" s="6"/>
      <c r="B1150" s="6"/>
      <c r="C1150" s="4"/>
      <c r="D1150" s="4">
        <v>30.688386714242</v>
      </c>
      <c r="E1150" s="4" t="s">
        <v>2048</v>
      </c>
      <c r="F1150" s="4"/>
      <c r="G1150" s="4"/>
      <c r="H1150" s="4"/>
      <c r="I1150" s="4" t="str">
        <f>IFERROR(__xludf.DUMMYFUNCTION("""COMPUTED_VALUE"""),"0x67797bb4e79e261df12b8955c971f1f98ae9e5a1")</f>
        <v>0x67797bb4e79e261df12b8955c971f1f98ae9e5a1</v>
      </c>
      <c r="J1150" s="18">
        <v>9.672825519919328</v>
      </c>
      <c r="K1150" s="4">
        <v>120.9103189989916</v>
      </c>
      <c r="L1150" s="19">
        <v>1.209103189989916E20</v>
      </c>
      <c r="M1150" s="20">
        <v>1.209103189989916E19</v>
      </c>
    </row>
    <row r="1151">
      <c r="A1151" s="6"/>
      <c r="B1151" s="6"/>
      <c r="C1151" s="4"/>
      <c r="D1151" s="4">
        <v>10.0526161270469</v>
      </c>
      <c r="E1151" s="4" t="s">
        <v>2050</v>
      </c>
      <c r="F1151" s="4"/>
      <c r="G1151" s="4"/>
      <c r="H1151" s="4"/>
      <c r="I1151" s="4" t="str">
        <f>IFERROR(__xludf.DUMMYFUNCTION("""COMPUTED_VALUE"""),"0xeed9d65241ca42689b5b7f39fc63d30b61d3f191")</f>
        <v>0xeed9d65241ca42689b5b7f39fc63d30b61d3f191</v>
      </c>
      <c r="J1151" s="18">
        <v>88.286246848779</v>
      </c>
      <c r="K1151" s="4">
        <v>1103.5780856097374</v>
      </c>
      <c r="L1151" s="19">
        <v>1.1035780856097374E21</v>
      </c>
      <c r="M1151" s="20">
        <v>1.1035780856097374E20</v>
      </c>
    </row>
    <row r="1152">
      <c r="A1152" s="6"/>
      <c r="B1152" s="6"/>
      <c r="C1152" s="4"/>
      <c r="D1152" s="4">
        <v>48.3641275995966</v>
      </c>
      <c r="E1152" s="4" t="s">
        <v>532</v>
      </c>
      <c r="F1152" s="4"/>
      <c r="G1152" s="4"/>
      <c r="H1152" s="4"/>
      <c r="I1152" s="4" t="str">
        <f>IFERROR(__xludf.DUMMYFUNCTION("""COMPUTED_VALUE"""),"0x1c61cc926334dd106733d4b02b7b3a9571529404")</f>
        <v>0x1c61cc926334dd106733d4b02b7b3a9571529404</v>
      </c>
      <c r="J1152" s="18">
        <v>38.828042436325</v>
      </c>
      <c r="K1152" s="4">
        <v>485.3505304540625</v>
      </c>
      <c r="L1152" s="19">
        <v>4.853505304540625E20</v>
      </c>
      <c r="M1152" s="20">
        <v>4.853505304540625E19</v>
      </c>
    </row>
    <row r="1153">
      <c r="A1153" s="6"/>
      <c r="B1153" s="6"/>
      <c r="C1153" s="4"/>
      <c r="D1153" s="4">
        <v>0.159529579134298</v>
      </c>
      <c r="E1153" s="4" t="s">
        <v>2052</v>
      </c>
      <c r="F1153" s="4"/>
      <c r="G1153" s="4"/>
      <c r="H1153" s="4"/>
      <c r="I1153" s="4" t="str">
        <f>IFERROR(__xludf.DUMMYFUNCTION("""COMPUTED_VALUE"""),"0x35e9f63348d4b3877217b937d2efd5e1f34cce26")</f>
        <v>0x35e9f63348d4b3877217b937d2efd5e1f34cce26</v>
      </c>
      <c r="J1153" s="18">
        <v>48.3641275995966</v>
      </c>
      <c r="K1153" s="4">
        <v>604.5515949949574</v>
      </c>
      <c r="L1153" s="19">
        <v>6.045515949949574E20</v>
      </c>
      <c r="M1153" s="20">
        <v>6.045515949949574E19</v>
      </c>
    </row>
    <row r="1154">
      <c r="A1154" s="6"/>
      <c r="B1154" s="6"/>
      <c r="C1154" s="4"/>
      <c r="D1154" s="4">
        <v>48.3641275995966</v>
      </c>
      <c r="E1154" s="4" t="s">
        <v>2054</v>
      </c>
      <c r="F1154" s="4"/>
      <c r="G1154" s="4"/>
      <c r="H1154" s="4"/>
      <c r="I1154" s="4" t="str">
        <f>IFERROR(__xludf.DUMMYFUNCTION("""COMPUTED_VALUE"""),"0x2ecfaf5d732147ef70d035edc942d82351355edb")</f>
        <v>0x2ecfaf5d732147ef70d035edc942d82351355edb</v>
      </c>
      <c r="J1154" s="18">
        <v>9.7200638151689</v>
      </c>
      <c r="K1154" s="4">
        <v>121.50079768961123</v>
      </c>
      <c r="L1154" s="19">
        <v>1.2150079768961124E20</v>
      </c>
      <c r="M1154" s="20">
        <v>1.2150079768961124E19</v>
      </c>
    </row>
    <row r="1155">
      <c r="A1155" s="6"/>
      <c r="B1155" s="6"/>
      <c r="C1155" s="4"/>
      <c r="D1155" s="4">
        <v>40.067463435212105</v>
      </c>
      <c r="E1155" s="4" t="s">
        <v>2055</v>
      </c>
      <c r="F1155" s="4"/>
      <c r="G1155" s="4"/>
      <c r="H1155" s="4"/>
      <c r="I1155" s="4" t="str">
        <f>IFERROR(__xludf.DUMMYFUNCTION("""COMPUTED_VALUE"""),"0x9d17d361836d1129d165b0dab4afcaf9df738d17")</f>
        <v>0x9d17d361836d1129d165b0dab4afcaf9df738d17</v>
      </c>
      <c r="J1155" s="18">
        <v>132.0695096929719</v>
      </c>
      <c r="K1155" s="4">
        <v>1650.8688711621487</v>
      </c>
      <c r="L1155" s="19">
        <v>1.6508688711621487E21</v>
      </c>
      <c r="M1155" s="20">
        <v>1.6508688711621486E20</v>
      </c>
    </row>
    <row r="1156">
      <c r="A1156" s="6"/>
      <c r="B1156" s="6"/>
      <c r="C1156" s="4"/>
      <c r="D1156" s="4">
        <v>9.479369009520939</v>
      </c>
      <c r="E1156" s="4" t="s">
        <v>2057</v>
      </c>
      <c r="F1156" s="4"/>
      <c r="G1156" s="4"/>
      <c r="H1156" s="4"/>
      <c r="I1156" s="4" t="str">
        <f>IFERROR(__xludf.DUMMYFUNCTION("""COMPUTED_VALUE"""),"0x4a729d93ef8e77c4174721937529ac551b73c6b3")</f>
        <v>0x4a729d93ef8e77c4174721937529ac551b73c6b3</v>
      </c>
      <c r="J1156" s="18">
        <v>47.658075948602</v>
      </c>
      <c r="K1156" s="4">
        <v>595.725949357525</v>
      </c>
      <c r="L1156" s="19">
        <v>5.95725949357525E20</v>
      </c>
      <c r="M1156" s="20">
        <v>5.957259493575251E19</v>
      </c>
    </row>
    <row r="1157">
      <c r="A1157" s="6"/>
      <c r="B1157" s="6"/>
      <c r="C1157" s="4"/>
      <c r="D1157" s="4">
        <v>3.44016229956279</v>
      </c>
      <c r="E1157" s="4" t="s">
        <v>2059</v>
      </c>
      <c r="F1157" s="4"/>
      <c r="G1157" s="4"/>
      <c r="H1157" s="4"/>
      <c r="I1157" s="4" t="str">
        <f>IFERROR(__xludf.DUMMYFUNCTION("""COMPUTED_VALUE"""),"0x03207642567238310ba8ef2cb7eba0ae8d2abe84")</f>
        <v>0x03207642567238310ba8ef2cb7eba0ae8d2abe84</v>
      </c>
      <c r="J1157" s="18">
        <v>40.7375529833892</v>
      </c>
      <c r="K1157" s="4">
        <v>509.219412292365</v>
      </c>
      <c r="L1157" s="19">
        <v>5.09219412292365E20</v>
      </c>
      <c r="M1157" s="20">
        <v>5.09219412292365E19</v>
      </c>
    </row>
    <row r="1158">
      <c r="A1158" s="6"/>
      <c r="B1158" s="6"/>
      <c r="C1158" s="4"/>
      <c r="D1158" s="4">
        <v>9.86628203031772</v>
      </c>
      <c r="E1158" s="4" t="s">
        <v>2061</v>
      </c>
      <c r="F1158" s="4"/>
      <c r="G1158" s="4"/>
      <c r="H1158" s="4"/>
      <c r="I1158" s="4" t="str">
        <f>IFERROR(__xludf.DUMMYFUNCTION("""COMPUTED_VALUE"""),"0x192da9e6710418fdff62065c913f19d78a0d7982")</f>
        <v>0x192da9e6710418fdff62065c913f19d78a0d7982</v>
      </c>
      <c r="J1158" s="18">
        <v>46.253094606659104</v>
      </c>
      <c r="K1158" s="4">
        <v>578.1636825832388</v>
      </c>
      <c r="L1158" s="19">
        <v>5.781636825832388E20</v>
      </c>
      <c r="M1158" s="20">
        <v>5.781636825832388E19</v>
      </c>
    </row>
    <row r="1159">
      <c r="A1159" s="6"/>
      <c r="B1159" s="6"/>
      <c r="C1159" s="4"/>
      <c r="D1159" s="4">
        <v>48.3641275995966</v>
      </c>
      <c r="E1159" s="4" t="s">
        <v>37</v>
      </c>
      <c r="F1159" s="4"/>
      <c r="G1159" s="4"/>
      <c r="H1159" s="4"/>
      <c r="I1159" s="4" t="str">
        <f>IFERROR(__xludf.DUMMYFUNCTION("""COMPUTED_VALUE"""),"0xeef2c48947f9f6807cdd83455299481b3a76c967")</f>
        <v>0xeef2c48947f9f6807cdd83455299481b3a76c967</v>
      </c>
      <c r="J1159" s="18">
        <v>77.1752779912502</v>
      </c>
      <c r="K1159" s="4">
        <v>964.6909748906274</v>
      </c>
      <c r="L1159" s="19">
        <v>9.646909748906274E20</v>
      </c>
      <c r="M1159" s="20">
        <v>9.646909748906276E19</v>
      </c>
    </row>
    <row r="1160">
      <c r="A1160" s="6"/>
      <c r="B1160" s="6"/>
      <c r="C1160" s="4"/>
      <c r="D1160" s="4">
        <v>16.8513309750621</v>
      </c>
      <c r="E1160" s="4" t="s">
        <v>2063</v>
      </c>
      <c r="F1160" s="4"/>
      <c r="G1160" s="4"/>
      <c r="H1160" s="4"/>
      <c r="I1160" s="4" t="str">
        <f>IFERROR(__xludf.DUMMYFUNCTION("""COMPUTED_VALUE"""),"0xef1e4e0ae25d77553fdc0c144dc6ed622cf46263")</f>
        <v>0xef1e4e0ae25d77553fdc0c144dc6ed622cf46263</v>
      </c>
      <c r="J1160" s="18">
        <v>12.5746731758951</v>
      </c>
      <c r="K1160" s="4">
        <v>157.18341469868875</v>
      </c>
      <c r="L1160" s="19">
        <v>1.5718341469868874E20</v>
      </c>
      <c r="M1160" s="20">
        <v>1.5718341469868876E19</v>
      </c>
    </row>
    <row r="1161">
      <c r="A1161" s="6"/>
      <c r="B1161" s="6"/>
      <c r="C1161" s="4"/>
      <c r="D1161" s="4">
        <v>48.3641275995966</v>
      </c>
      <c r="E1161" s="4" t="s">
        <v>2065</v>
      </c>
      <c r="F1161" s="4"/>
      <c r="G1161" s="4"/>
      <c r="H1161" s="4"/>
      <c r="I1161" s="4" t="str">
        <f>IFERROR(__xludf.DUMMYFUNCTION("""COMPUTED_VALUE"""),"0xcfc0a74dfb6348faa9e37ccd99d670fe62a5d431")</f>
        <v>0xcfc0a74dfb6348faa9e37ccd99d670fe62a5d431</v>
      </c>
      <c r="J1161" s="18">
        <v>20.8805823493651</v>
      </c>
      <c r="K1161" s="4">
        <v>261.00727936706375</v>
      </c>
      <c r="L1161" s="19">
        <v>2.6100727936706373E20</v>
      </c>
      <c r="M1161" s="20">
        <v>2.6100727936706376E19</v>
      </c>
    </row>
    <row r="1162">
      <c r="A1162" s="6"/>
      <c r="B1162" s="6"/>
      <c r="C1162" s="4"/>
      <c r="D1162" s="4">
        <v>9.672825519919328</v>
      </c>
      <c r="E1162" s="4" t="s">
        <v>2066</v>
      </c>
      <c r="F1162" s="4"/>
      <c r="G1162" s="4"/>
      <c r="H1162" s="4"/>
      <c r="I1162" s="4" t="str">
        <f>IFERROR(__xludf.DUMMYFUNCTION("""COMPUTED_VALUE"""),"0x1b5ae2efd03efd0e79a4feedaf427d3ad14b8927")</f>
        <v>0x1b5ae2efd03efd0e79a4feedaf427d3ad14b8927</v>
      </c>
      <c r="J1162" s="18">
        <v>4.19887477349907</v>
      </c>
      <c r="K1162" s="4">
        <v>52.48593466873837</v>
      </c>
      <c r="L1162" s="19">
        <v>5.248593466873837E19</v>
      </c>
      <c r="M1162" s="20">
        <v>5.248593466873838E18</v>
      </c>
    </row>
    <row r="1163">
      <c r="A1163" s="6"/>
      <c r="B1163" s="6"/>
      <c r="C1163" s="4"/>
      <c r="D1163" s="4">
        <v>48.3641275995966</v>
      </c>
      <c r="E1163" s="4" t="s">
        <v>2067</v>
      </c>
      <c r="F1163" s="4"/>
      <c r="G1163" s="4"/>
      <c r="H1163" s="4"/>
      <c r="I1163" s="4" t="str">
        <f>IFERROR(__xludf.DUMMYFUNCTION("""COMPUTED_VALUE"""),"0xd4f91d6d99865e8d5cb59a85093df08f2331957b")</f>
        <v>0xd4f91d6d99865e8d5cb59a85093df08f2331957b</v>
      </c>
      <c r="J1163" s="18">
        <v>10.7052610405127</v>
      </c>
      <c r="K1163" s="4">
        <v>133.81576300640876</v>
      </c>
      <c r="L1163" s="19">
        <v>1.3381576300640875E20</v>
      </c>
      <c r="M1163" s="20">
        <v>1.3381576300640877E19</v>
      </c>
    </row>
    <row r="1164">
      <c r="A1164" s="6"/>
      <c r="B1164" s="6"/>
      <c r="C1164" s="4"/>
      <c r="D1164" s="4">
        <v>10.2947954850681</v>
      </c>
      <c r="E1164" s="4" t="s">
        <v>2068</v>
      </c>
      <c r="F1164" s="4"/>
      <c r="G1164" s="4"/>
      <c r="H1164" s="4"/>
      <c r="I1164" s="4" t="str">
        <f>IFERROR(__xludf.DUMMYFUNCTION("""COMPUTED_VALUE"""),"0x06db309b06352c9f62d0d80ea7f7d22c9aa4eeaa")</f>
        <v>0x06db309b06352c9f62d0d80ea7f7d22c9aa4eeaa</v>
      </c>
      <c r="J1164" s="18">
        <v>43.6904970317118</v>
      </c>
      <c r="K1164" s="4">
        <v>546.1312128963975</v>
      </c>
      <c r="L1164" s="19">
        <v>5.4613121289639756E20</v>
      </c>
      <c r="M1164" s="20">
        <v>5.4613121289639756E19</v>
      </c>
    </row>
    <row r="1165">
      <c r="A1165" s="6"/>
      <c r="B1165" s="6"/>
      <c r="C1165" s="4"/>
      <c r="D1165" s="4">
        <v>48.3641275995966</v>
      </c>
      <c r="E1165" s="4" t="s">
        <v>2070</v>
      </c>
      <c r="F1165" s="4"/>
      <c r="G1165" s="4"/>
      <c r="H1165" s="4"/>
      <c r="I1165" s="4" t="str">
        <f>IFERROR(__xludf.DUMMYFUNCTION("""COMPUTED_VALUE"""),"0xf8bc9b87609fa26749014d216fdbc9353f29b6d0")</f>
        <v>0xf8bc9b87609fa26749014d216fdbc9353f29b6d0</v>
      </c>
      <c r="J1165" s="18">
        <v>140.83880664077532</v>
      </c>
      <c r="K1165" s="4">
        <v>1760.4850830096914</v>
      </c>
      <c r="L1165" s="19">
        <v>1.7604850830096914E21</v>
      </c>
      <c r="M1165" s="20">
        <v>1.7604850830096915E20</v>
      </c>
    </row>
    <row r="1166">
      <c r="A1166" s="6"/>
      <c r="B1166" s="6"/>
      <c r="C1166" s="4"/>
      <c r="D1166" s="4">
        <v>48.3641275995966</v>
      </c>
      <c r="E1166" s="4" t="s">
        <v>856</v>
      </c>
      <c r="F1166" s="4"/>
      <c r="G1166" s="4"/>
      <c r="H1166" s="4"/>
      <c r="I1166" s="4" t="str">
        <f>IFERROR(__xludf.DUMMYFUNCTION("""COMPUTED_VALUE"""),"0xdd7c159fbc5c7e98c8821f3c088714979f232373")</f>
        <v>0xdd7c159fbc5c7e98c8821f3c088714979f232373</v>
      </c>
      <c r="J1166" s="18">
        <v>9.672825519919328</v>
      </c>
      <c r="K1166" s="4">
        <v>120.9103189989916</v>
      </c>
      <c r="L1166" s="19">
        <v>1.209103189989916E20</v>
      </c>
      <c r="M1166" s="20">
        <v>1.209103189989916E19</v>
      </c>
    </row>
    <row r="1167">
      <c r="A1167" s="6"/>
      <c r="B1167" s="6"/>
      <c r="C1167" s="4"/>
      <c r="D1167" s="4">
        <v>48.3641275995966</v>
      </c>
      <c r="E1167" s="4" t="s">
        <v>2071</v>
      </c>
      <c r="F1167" s="4"/>
      <c r="G1167" s="4"/>
      <c r="H1167" s="4"/>
      <c r="I1167" s="4" t="str">
        <f>IFERROR(__xludf.DUMMYFUNCTION("""COMPUTED_VALUE"""),"0xbea511a57130f9a2396582b888b2f676591ecc2e")</f>
        <v>0xbea511a57130f9a2396582b888b2f676591ecc2e</v>
      </c>
      <c r="J1167" s="18">
        <v>29.018476559758</v>
      </c>
      <c r="K1167" s="4">
        <v>362.730956996975</v>
      </c>
      <c r="L1167" s="19">
        <v>3.62730956996975E20</v>
      </c>
      <c r="M1167" s="20">
        <v>3.62730956996975E19</v>
      </c>
    </row>
    <row r="1168">
      <c r="A1168" s="6"/>
      <c r="B1168" s="6"/>
      <c r="C1168" s="4"/>
      <c r="D1168" s="4">
        <v>48.3641275995966</v>
      </c>
      <c r="E1168" s="4" t="s">
        <v>2072</v>
      </c>
      <c r="F1168" s="4"/>
      <c r="G1168" s="4"/>
      <c r="H1168" s="4"/>
      <c r="I1168" s="4" t="str">
        <f>IFERROR(__xludf.DUMMYFUNCTION("""COMPUTED_VALUE"""),"0x0eef4f910913b3d8bae7029eea7a126dcb0245dc")</f>
        <v>0x0eef4f910913b3d8bae7029eea7a126dcb0245dc</v>
      </c>
      <c r="J1168" s="18">
        <v>6.665020656194111</v>
      </c>
      <c r="K1168" s="4">
        <v>83.31275820242638</v>
      </c>
      <c r="L1168" s="19">
        <v>8.331275820242638E19</v>
      </c>
      <c r="M1168" s="20">
        <v>8.331275820242638E18</v>
      </c>
    </row>
    <row r="1169">
      <c r="A1169" s="6"/>
      <c r="B1169" s="6"/>
      <c r="C1169" s="4"/>
      <c r="D1169" s="4">
        <v>18.033459443352502</v>
      </c>
      <c r="E1169" s="4" t="s">
        <v>2073</v>
      </c>
      <c r="F1169" s="4"/>
      <c r="G1169" s="4"/>
      <c r="H1169" s="4"/>
      <c r="I1169" s="4" t="str">
        <f>IFERROR(__xludf.DUMMYFUNCTION("""COMPUTED_VALUE"""),"0x9d93e732945777ff59f7bc7112afeb48e04ab7d2")</f>
        <v>0x9d93e732945777ff59f7bc7112afeb48e04ab7d2</v>
      </c>
      <c r="J1169" s="18">
        <v>7.9634438053961905</v>
      </c>
      <c r="K1169" s="4">
        <v>99.54304756745238</v>
      </c>
      <c r="L1169" s="19">
        <v>9.954304756745237E19</v>
      </c>
      <c r="M1169" s="20">
        <v>9.954304756745239E18</v>
      </c>
    </row>
    <row r="1170">
      <c r="A1170" s="6"/>
      <c r="B1170" s="6"/>
      <c r="C1170" s="4"/>
      <c r="D1170" s="4">
        <v>9.672825519919328</v>
      </c>
      <c r="E1170" s="4" t="s">
        <v>2075</v>
      </c>
      <c r="F1170" s="4"/>
      <c r="G1170" s="4"/>
      <c r="H1170" s="4"/>
      <c r="I1170" s="4" t="str">
        <f>IFERROR(__xludf.DUMMYFUNCTION("""COMPUTED_VALUE"""),"0x89743a7c66acb96b81a599a124517f089abb5c3d")</f>
        <v>0x89743a7c66acb96b81a599a124517f089abb5c3d</v>
      </c>
      <c r="J1170" s="18">
        <v>48.3641275995966</v>
      </c>
      <c r="K1170" s="4">
        <v>604.5515949949574</v>
      </c>
      <c r="L1170" s="19">
        <v>6.045515949949574E20</v>
      </c>
      <c r="M1170" s="20">
        <v>6.045515949949574E19</v>
      </c>
    </row>
    <row r="1171">
      <c r="A1171" s="6"/>
      <c r="B1171" s="6"/>
      <c r="C1171" s="4"/>
      <c r="D1171" s="4">
        <v>41.4395568919529</v>
      </c>
      <c r="E1171" s="4" t="s">
        <v>2076</v>
      </c>
      <c r="F1171" s="4"/>
      <c r="G1171" s="4"/>
      <c r="H1171" s="4"/>
      <c r="I1171" s="4" t="str">
        <f>IFERROR(__xludf.DUMMYFUNCTION("""COMPUTED_VALUE"""),"0xbf110bec0ad59ce25faad8aea4e2671422996e31")</f>
        <v>0xbf110bec0ad59ce25faad8aea4e2671422996e31</v>
      </c>
      <c r="J1171" s="18">
        <v>48.3641275995966</v>
      </c>
      <c r="K1171" s="4">
        <v>604.5515949949574</v>
      </c>
      <c r="L1171" s="19">
        <v>6.045515949949574E20</v>
      </c>
      <c r="M1171" s="20">
        <v>6.045515949949574E19</v>
      </c>
    </row>
    <row r="1172">
      <c r="A1172" s="6"/>
      <c r="B1172" s="6"/>
      <c r="C1172" s="4"/>
      <c r="D1172" s="4">
        <v>38.828042436325</v>
      </c>
      <c r="E1172" s="4" t="s">
        <v>2078</v>
      </c>
      <c r="F1172" s="4"/>
      <c r="G1172" s="4"/>
      <c r="H1172" s="4"/>
      <c r="I1172" s="4" t="str">
        <f>IFERROR(__xludf.DUMMYFUNCTION("""COMPUTED_VALUE"""),"0x01368f7aa6f1ad5d0ce99b0f37e994e874f630b4")</f>
        <v>0x01368f7aa6f1ad5d0ce99b0f37e994e874f630b4</v>
      </c>
      <c r="J1172" s="18">
        <v>48.3641275995966</v>
      </c>
      <c r="K1172" s="4">
        <v>604.5515949949574</v>
      </c>
      <c r="L1172" s="19">
        <v>6.045515949949574E20</v>
      </c>
      <c r="M1172" s="20">
        <v>6.045515949949574E19</v>
      </c>
    </row>
    <row r="1173">
      <c r="A1173" s="6"/>
      <c r="B1173" s="6"/>
      <c r="C1173" s="4"/>
      <c r="D1173" s="4">
        <v>48.3641275995966</v>
      </c>
      <c r="E1173" s="4" t="s">
        <v>2080</v>
      </c>
      <c r="F1173" s="4"/>
      <c r="G1173" s="4"/>
      <c r="H1173" s="4"/>
      <c r="I1173" s="4" t="str">
        <f>IFERROR(__xludf.DUMMYFUNCTION("""COMPUTED_VALUE"""),"0x7537739d4be0ddf39239a37c13d11fcea420ba46")</f>
        <v>0x7537739d4be0ddf39239a37c13d11fcea420ba46</v>
      </c>
      <c r="J1173" s="18">
        <v>47.3476249644185</v>
      </c>
      <c r="K1173" s="4">
        <v>591.8453120552313</v>
      </c>
      <c r="L1173" s="19">
        <v>5.918453120552313E20</v>
      </c>
      <c r="M1173" s="20">
        <v>5.918453120552313E19</v>
      </c>
    </row>
    <row r="1174">
      <c r="A1174" s="6"/>
      <c r="B1174" s="6"/>
      <c r="C1174" s="4"/>
      <c r="D1174" s="4">
        <v>48.3641275995966</v>
      </c>
      <c r="E1174" s="4" t="s">
        <v>817</v>
      </c>
      <c r="F1174" s="4"/>
      <c r="G1174" s="4"/>
      <c r="H1174" s="4"/>
      <c r="I1174" s="4" t="str">
        <f>IFERROR(__xludf.DUMMYFUNCTION("""COMPUTED_VALUE"""),"0xe8e0da50396c59972248e3d335618ae6d3677e0d")</f>
        <v>0xe8e0da50396c59972248e3d335618ae6d3677e0d</v>
      </c>
      <c r="J1174" s="18">
        <v>10.059738540716099</v>
      </c>
      <c r="K1174" s="4">
        <v>125.74673175895123</v>
      </c>
      <c r="L1174" s="19">
        <v>1.2574673175895124E20</v>
      </c>
      <c r="M1174" s="20">
        <v>1.2574673175895124E19</v>
      </c>
    </row>
    <row r="1175">
      <c r="A1175" s="6"/>
      <c r="B1175" s="6"/>
      <c r="C1175" s="4"/>
      <c r="D1175" s="4">
        <v>9.7200638151689</v>
      </c>
      <c r="E1175" s="4" t="s">
        <v>2081</v>
      </c>
      <c r="F1175" s="4"/>
      <c r="G1175" s="4"/>
      <c r="H1175" s="4"/>
      <c r="I1175" s="4" t="str">
        <f>IFERROR(__xludf.DUMMYFUNCTION("""COMPUTED_VALUE"""),"0x2432f6888dcc24a5e8b5461574c4e61e68e805e2")</f>
        <v>0x2432f6888dcc24a5e8b5461574c4e61e68e805e2</v>
      </c>
      <c r="J1175" s="18">
        <v>3.04150824569928</v>
      </c>
      <c r="K1175" s="4">
        <v>38.018853071241</v>
      </c>
      <c r="L1175" s="19">
        <v>3.8018853071240995E19</v>
      </c>
      <c r="M1175" s="20">
        <v>3.8018853071240996E18</v>
      </c>
    </row>
    <row r="1176">
      <c r="A1176" s="6"/>
      <c r="B1176" s="6"/>
      <c r="C1176" s="4"/>
      <c r="D1176" s="4">
        <v>48.3641275995966</v>
      </c>
      <c r="E1176" s="4" t="s">
        <v>2083</v>
      </c>
      <c r="F1176" s="4"/>
      <c r="G1176" s="4"/>
      <c r="H1176" s="4"/>
      <c r="I1176" s="4" t="str">
        <f>IFERROR(__xludf.DUMMYFUNCTION("""COMPUTED_VALUE"""),"0xf2cd7f86d8e1c6731eaaaafcd74a288aa86e9a09")</f>
        <v>0xf2cd7f86d8e1c6731eaaaafcd74a288aa86e9a09</v>
      </c>
      <c r="J1176" s="18">
        <v>29.1815996967793</v>
      </c>
      <c r="K1176" s="4">
        <v>364.76999620974124</v>
      </c>
      <c r="L1176" s="19">
        <v>3.6476999620974123E20</v>
      </c>
      <c r="M1176" s="20">
        <v>3.6476999620974125E19</v>
      </c>
    </row>
    <row r="1177">
      <c r="A1177" s="6"/>
      <c r="B1177" s="6"/>
      <c r="C1177" s="4"/>
      <c r="D1177" s="4">
        <v>47.658075948602</v>
      </c>
      <c r="E1177" s="4" t="s">
        <v>2084</v>
      </c>
      <c r="F1177" s="4"/>
      <c r="G1177" s="4"/>
      <c r="H1177" s="4"/>
      <c r="I1177" s="4" t="str">
        <f>IFERROR(__xludf.DUMMYFUNCTION("""COMPUTED_VALUE"""),"0x0cfc65d74f81d9ad6ac6fa19ede22f53f7c9ee25")</f>
        <v>0x0cfc65d74f81d9ad6ac6fa19ede22f53f7c9ee25</v>
      </c>
      <c r="J1177" s="18">
        <v>22.458854158708302</v>
      </c>
      <c r="K1177" s="4">
        <v>280.73567698385375</v>
      </c>
      <c r="L1177" s="19">
        <v>2.8073567698385374E20</v>
      </c>
      <c r="M1177" s="20">
        <v>2.8073567698385375E19</v>
      </c>
    </row>
    <row r="1178">
      <c r="A1178" s="6"/>
      <c r="B1178" s="6"/>
      <c r="C1178" s="4"/>
      <c r="D1178" s="4">
        <v>48.3641275995966</v>
      </c>
      <c r="E1178" s="4" t="s">
        <v>45</v>
      </c>
      <c r="F1178" s="4"/>
      <c r="G1178" s="4"/>
      <c r="H1178" s="4"/>
      <c r="I1178" s="4" t="str">
        <f>IFERROR(__xludf.DUMMYFUNCTION("""COMPUTED_VALUE"""),"0xf26947425b309dcc7cca44c5af4dec0e9c94ef7b")</f>
        <v>0xf26947425b309dcc7cca44c5af4dec0e9c94ef7b</v>
      </c>
      <c r="J1178" s="18">
        <v>48.3641275995966</v>
      </c>
      <c r="K1178" s="4">
        <v>604.5515949949574</v>
      </c>
      <c r="L1178" s="19">
        <v>6.045515949949574E20</v>
      </c>
      <c r="M1178" s="20">
        <v>6.045515949949574E19</v>
      </c>
    </row>
    <row r="1179">
      <c r="A1179" s="6"/>
      <c r="B1179" s="6"/>
      <c r="C1179" s="4"/>
      <c r="D1179" s="4">
        <v>40.7375529833892</v>
      </c>
      <c r="E1179" s="4" t="s">
        <v>2086</v>
      </c>
      <c r="F1179" s="4"/>
      <c r="G1179" s="4"/>
      <c r="H1179" s="4"/>
      <c r="I1179" s="4" t="str">
        <f>IFERROR(__xludf.DUMMYFUNCTION("""COMPUTED_VALUE"""),"0x42a006929c3c7a22c3664d6938403b902e4e0723")</f>
        <v>0x42a006929c3c7a22c3664d6938403b902e4e0723</v>
      </c>
      <c r="J1179" s="18">
        <v>7.02724468064024</v>
      </c>
      <c r="K1179" s="4">
        <v>87.840558508003</v>
      </c>
      <c r="L1179" s="19">
        <v>8.7840558508003E19</v>
      </c>
      <c r="M1179" s="20">
        <v>8.7840558508003E18</v>
      </c>
    </row>
    <row r="1180">
      <c r="A1180" s="6"/>
      <c r="B1180" s="6"/>
      <c r="C1180" s="4"/>
      <c r="D1180" s="4">
        <v>47.010760888472404</v>
      </c>
      <c r="E1180" s="4" t="s">
        <v>386</v>
      </c>
      <c r="F1180" s="4"/>
      <c r="G1180" s="4"/>
      <c r="H1180" s="4"/>
      <c r="I1180" s="4" t="str">
        <f>IFERROR(__xludf.DUMMYFUNCTION("""COMPUTED_VALUE"""),"0x026c0b40c1ba22c082bae5cef6e06e1357ad3ba5")</f>
        <v>0x026c0b40c1ba22c082bae5cef6e06e1357ad3ba5</v>
      </c>
      <c r="J1180" s="18">
        <v>48.3641275995966</v>
      </c>
      <c r="K1180" s="4">
        <v>604.5515949949574</v>
      </c>
      <c r="L1180" s="19">
        <v>6.045515949949574E20</v>
      </c>
      <c r="M1180" s="20">
        <v>6.045515949949574E19</v>
      </c>
    </row>
    <row r="1181">
      <c r="A1181" s="6"/>
      <c r="B1181" s="6"/>
      <c r="C1181" s="4"/>
      <c r="D1181" s="4">
        <v>46.253094606659104</v>
      </c>
      <c r="E1181" s="4" t="s">
        <v>2089</v>
      </c>
      <c r="F1181" s="4"/>
      <c r="G1181" s="4"/>
      <c r="H1181" s="4"/>
      <c r="I1181" s="4" t="str">
        <f>IFERROR(__xludf.DUMMYFUNCTION("""COMPUTED_VALUE"""),"0xc5ef2512f25ca019fe540cb81b330cdaf5643bbe")</f>
        <v>0xc5ef2512f25ca019fe540cb81b330cdaf5643bbe</v>
      </c>
      <c r="J1181" s="18">
        <v>231.01708452799068</v>
      </c>
      <c r="K1181" s="4">
        <v>2887.7135565998833</v>
      </c>
      <c r="L1181" s="19">
        <v>2.887713556599883E21</v>
      </c>
      <c r="M1181" s="20">
        <v>2.8877135565998834E20</v>
      </c>
    </row>
    <row r="1182">
      <c r="A1182" s="6"/>
      <c r="B1182" s="6"/>
      <c r="C1182" s="4"/>
      <c r="D1182" s="4">
        <v>48.3641275995966</v>
      </c>
      <c r="E1182" s="4" t="s">
        <v>2091</v>
      </c>
      <c r="F1182" s="4"/>
      <c r="G1182" s="4"/>
      <c r="H1182" s="4"/>
      <c r="I1182" s="4" t="str">
        <f>IFERROR(__xludf.DUMMYFUNCTION("""COMPUTED_VALUE"""),"0x79aab68ea04b5e0886d8e33748938ed4a8915e5d")</f>
        <v>0x79aab68ea04b5e0886d8e33748938ed4a8915e5d</v>
      </c>
      <c r="J1182" s="18">
        <v>4.09437243904052</v>
      </c>
      <c r="K1182" s="4">
        <v>51.1796554880065</v>
      </c>
      <c r="L1182" s="19">
        <v>5.1179655488006504E19</v>
      </c>
      <c r="M1182" s="20">
        <v>5.11796554880065E18</v>
      </c>
    </row>
    <row r="1183">
      <c r="A1183" s="6"/>
      <c r="B1183" s="6"/>
      <c r="C1183" s="4"/>
      <c r="D1183" s="4">
        <v>12.5746731758951</v>
      </c>
      <c r="E1183" s="4" t="s">
        <v>2092</v>
      </c>
      <c r="F1183" s="4"/>
      <c r="G1183" s="4"/>
      <c r="H1183" s="4"/>
      <c r="I1183" s="4" t="str">
        <f>IFERROR(__xludf.DUMMYFUNCTION("""COMPUTED_VALUE"""),"0x8d6bd8782094279515bf559e574a868b992388b6")</f>
        <v>0x8d6bd8782094279515bf559e574a868b992388b6</v>
      </c>
      <c r="J1183" s="18">
        <v>29.771970337198198</v>
      </c>
      <c r="K1183" s="4">
        <v>372.14962921497744</v>
      </c>
      <c r="L1183" s="19">
        <v>3.721496292149774E20</v>
      </c>
      <c r="M1183" s="20">
        <v>3.721496292149775E19</v>
      </c>
    </row>
    <row r="1184">
      <c r="A1184" s="6"/>
      <c r="B1184" s="6"/>
      <c r="C1184" s="4"/>
      <c r="D1184" s="4">
        <v>20.8805823493651</v>
      </c>
      <c r="E1184" s="4" t="s">
        <v>2094</v>
      </c>
      <c r="F1184" s="4"/>
      <c r="G1184" s="4"/>
      <c r="H1184" s="4"/>
      <c r="I1184" s="4" t="str">
        <f>IFERROR(__xludf.DUMMYFUNCTION("""COMPUTED_VALUE"""),"0x4d05fd4499be580adec107f548b115d5ec915350")</f>
        <v>0x4d05fd4499be580adec107f548b115d5ec915350</v>
      </c>
      <c r="J1184" s="18">
        <v>33.7117160018884</v>
      </c>
      <c r="K1184" s="4">
        <v>421.396450023605</v>
      </c>
      <c r="L1184" s="19">
        <v>4.21396450023605E20</v>
      </c>
      <c r="M1184" s="20">
        <v>4.2139645002360504E19</v>
      </c>
    </row>
    <row r="1185">
      <c r="A1185" s="6"/>
      <c r="B1185" s="6"/>
      <c r="C1185" s="4"/>
      <c r="D1185" s="4">
        <v>4.19887477349907</v>
      </c>
      <c r="E1185" s="4" t="s">
        <v>2096</v>
      </c>
      <c r="F1185" s="4"/>
      <c r="G1185" s="4"/>
      <c r="H1185" s="4"/>
      <c r="I1185" s="4" t="str">
        <f>IFERROR(__xludf.DUMMYFUNCTION("""COMPUTED_VALUE"""),"0x41f8cbe579a822cfda5362bf20bca86622480044")</f>
        <v>0x41f8cbe579a822cfda5362bf20bca86622480044</v>
      </c>
      <c r="J1185" s="18">
        <v>17.6622420747008</v>
      </c>
      <c r="K1185" s="4">
        <v>220.77802593375998</v>
      </c>
      <c r="L1185" s="19">
        <v>2.2077802593375997E20</v>
      </c>
      <c r="M1185" s="20">
        <v>2.2077802593375998E19</v>
      </c>
    </row>
    <row r="1186">
      <c r="A1186" s="6"/>
      <c r="B1186" s="6"/>
      <c r="C1186" s="4"/>
      <c r="D1186" s="4">
        <v>10.7052610405127</v>
      </c>
      <c r="E1186" s="4" t="s">
        <v>2098</v>
      </c>
      <c r="F1186" s="4"/>
      <c r="G1186" s="4"/>
      <c r="H1186" s="4"/>
      <c r="I1186" s="4" t="str">
        <f>IFERROR(__xludf.DUMMYFUNCTION("""COMPUTED_VALUE"""),"0x4046c52ba210e4901a1859f951bca9da709e5d69")</f>
        <v>0x4046c52ba210e4901a1859f951bca9da709e5d69</v>
      </c>
      <c r="J1186" s="18">
        <v>47.3123406090181</v>
      </c>
      <c r="K1186" s="4">
        <v>591.4042576127263</v>
      </c>
      <c r="L1186" s="19">
        <v>5.914042576127263E20</v>
      </c>
      <c r="M1186" s="20">
        <v>5.914042576127263E19</v>
      </c>
    </row>
    <row r="1187">
      <c r="A1187" s="6"/>
      <c r="B1187" s="6"/>
      <c r="C1187" s="4"/>
      <c r="D1187" s="4">
        <v>43.6904970317118</v>
      </c>
      <c r="E1187" s="4" t="s">
        <v>2100</v>
      </c>
      <c r="F1187" s="4"/>
      <c r="G1187" s="4"/>
      <c r="H1187" s="4"/>
      <c r="I1187" s="4" t="str">
        <f>IFERROR(__xludf.DUMMYFUNCTION("""COMPUTED_VALUE"""),"0x65cbf9a496e5bc9caed929b2007633aca8b2ef2f")</f>
        <v>0x65cbf9a496e5bc9caed929b2007633aca8b2ef2f</v>
      </c>
      <c r="J1187" s="18">
        <v>18.97342353029437</v>
      </c>
      <c r="K1187" s="4">
        <v>237.16779412867962</v>
      </c>
      <c r="L1187" s="19">
        <v>2.3716779412867963E20</v>
      </c>
      <c r="M1187" s="20">
        <v>2.3716779412867965E19</v>
      </c>
    </row>
    <row r="1188">
      <c r="A1188" s="6"/>
      <c r="B1188" s="6"/>
      <c r="C1188" s="4"/>
      <c r="D1188" s="4">
        <v>48.3641275995966</v>
      </c>
      <c r="E1188" s="4" t="s">
        <v>2102</v>
      </c>
      <c r="F1188" s="4"/>
      <c r="G1188" s="4"/>
      <c r="H1188" s="4"/>
      <c r="I1188" s="4" t="str">
        <f>IFERROR(__xludf.DUMMYFUNCTION("""COMPUTED_VALUE"""),"0xde7acbe56597bb6ef5aec1d6d3862b8d2d86ad8a")</f>
        <v>0xde7acbe56597bb6ef5aec1d6d3862b8d2d86ad8a</v>
      </c>
      <c r="J1188" s="18">
        <v>48.3641275995966</v>
      </c>
      <c r="K1188" s="4">
        <v>604.5515949949574</v>
      </c>
      <c r="L1188" s="19">
        <v>6.045515949949574E20</v>
      </c>
      <c r="M1188" s="20">
        <v>6.045515949949574E19</v>
      </c>
    </row>
    <row r="1189">
      <c r="A1189" s="6"/>
      <c r="B1189" s="6"/>
      <c r="C1189" s="4"/>
      <c r="D1189" s="4">
        <v>9.672825519919328</v>
      </c>
      <c r="E1189" s="4" t="s">
        <v>2103</v>
      </c>
      <c r="F1189" s="4"/>
      <c r="G1189" s="4"/>
      <c r="H1189" s="4"/>
      <c r="I1189" s="4" t="str">
        <f>IFERROR(__xludf.DUMMYFUNCTION("""COMPUTED_VALUE"""),"0x6089b9df631996ef82bfd4f272b0c81137b6ea83")</f>
        <v>0x6089b9df631996ef82bfd4f272b0c81137b6ea83</v>
      </c>
      <c r="J1189" s="18">
        <v>48.3641275995966</v>
      </c>
      <c r="K1189" s="4">
        <v>604.5515949949574</v>
      </c>
      <c r="L1189" s="19">
        <v>6.045515949949574E20</v>
      </c>
      <c r="M1189" s="20">
        <v>6.045515949949574E19</v>
      </c>
    </row>
    <row r="1190">
      <c r="A1190" s="6"/>
      <c r="B1190" s="6"/>
      <c r="C1190" s="4"/>
      <c r="D1190" s="4">
        <v>29.018476559758</v>
      </c>
      <c r="E1190" s="4" t="s">
        <v>2104</v>
      </c>
      <c r="F1190" s="4"/>
      <c r="G1190" s="4"/>
      <c r="H1190" s="4"/>
      <c r="I1190" s="4" t="str">
        <f>IFERROR(__xludf.DUMMYFUNCTION("""COMPUTED_VALUE"""),"0x7c33fa47ce00e7d950b05558634400f9cbb9b52f")</f>
        <v>0x7c33fa47ce00e7d950b05558634400f9cbb9b52f</v>
      </c>
      <c r="J1190" s="18">
        <v>8.7407103219861</v>
      </c>
      <c r="K1190" s="4">
        <v>109.25887902482624</v>
      </c>
      <c r="L1190" s="19">
        <v>1.0925887902482624E20</v>
      </c>
      <c r="M1190" s="20">
        <v>1.0925887902482625E19</v>
      </c>
    </row>
    <row r="1191">
      <c r="A1191" s="6"/>
      <c r="B1191" s="6"/>
      <c r="C1191" s="4"/>
      <c r="D1191" s="4">
        <v>6.665020656194111</v>
      </c>
      <c r="E1191" s="4" t="s">
        <v>2106</v>
      </c>
      <c r="F1191" s="4"/>
      <c r="G1191" s="4"/>
      <c r="H1191" s="4"/>
      <c r="I1191" s="4" t="str">
        <f>IFERROR(__xludf.DUMMYFUNCTION("""COMPUTED_VALUE"""),"0xe1c7c334518f3581379e5b53790e8aebdc7f64eb")</f>
        <v>0xe1c7c334518f3581379e5b53790e8aebdc7f64eb</v>
      </c>
      <c r="J1191" s="18">
        <v>7.66294684239376</v>
      </c>
      <c r="K1191" s="4">
        <v>95.786835529922</v>
      </c>
      <c r="L1191" s="19">
        <v>9.5786835529922E19</v>
      </c>
      <c r="M1191" s="20">
        <v>9.5786835529922E18</v>
      </c>
    </row>
    <row r="1192">
      <c r="A1192" s="6"/>
      <c r="B1192" s="6"/>
      <c r="C1192" s="4"/>
      <c r="D1192" s="4">
        <v>7.9634438053961905</v>
      </c>
      <c r="E1192" s="4" t="s">
        <v>2108</v>
      </c>
      <c r="F1192" s="4"/>
      <c r="G1192" s="4"/>
      <c r="H1192" s="4"/>
      <c r="I1192" s="4" t="str">
        <f>IFERROR(__xludf.DUMMYFUNCTION("""COMPUTED_VALUE"""),"0x7522682a93738e7da3ab42959d61cd809fe62440")</f>
        <v>0x7522682a93738e7da3ab42959d61cd809fe62440</v>
      </c>
      <c r="J1192" s="18">
        <v>57.66472560997164</v>
      </c>
      <c r="K1192" s="4">
        <v>720.8090701246455</v>
      </c>
      <c r="L1192" s="19">
        <v>7.208090701246455E20</v>
      </c>
      <c r="M1192" s="20">
        <v>7.208090701246455E19</v>
      </c>
    </row>
    <row r="1193">
      <c r="A1193" s="6"/>
      <c r="B1193" s="6"/>
      <c r="C1193" s="4"/>
      <c r="D1193" s="4">
        <v>48.3641275995966</v>
      </c>
      <c r="E1193" s="4" t="s">
        <v>2110</v>
      </c>
      <c r="F1193" s="4"/>
      <c r="G1193" s="4"/>
      <c r="H1193" s="4"/>
      <c r="I1193" s="4" t="str">
        <f>IFERROR(__xludf.DUMMYFUNCTION("""COMPUTED_VALUE"""),"0xe24c19e19368292c5e713cc6138ca0fa2abf073f")</f>
        <v>0xe24c19e19368292c5e713cc6138ca0fa2abf073f</v>
      </c>
      <c r="J1193" s="18">
        <v>20.441980950416493</v>
      </c>
      <c r="K1193" s="4">
        <v>255.52476188020617</v>
      </c>
      <c r="L1193" s="19">
        <v>2.5552476188020618E20</v>
      </c>
      <c r="M1193" s="20">
        <v>2.555247618802062E19</v>
      </c>
    </row>
    <row r="1194">
      <c r="A1194" s="6"/>
      <c r="B1194" s="6"/>
      <c r="C1194" s="4"/>
      <c r="D1194" s="4">
        <v>48.3641275995966</v>
      </c>
      <c r="E1194" s="4" t="s">
        <v>2111</v>
      </c>
      <c r="F1194" s="4"/>
      <c r="G1194" s="4"/>
      <c r="H1194" s="4"/>
      <c r="I1194" s="4" t="str">
        <f>IFERROR(__xludf.DUMMYFUNCTION("""COMPUTED_VALUE"""),"0x686c9c3f0f351f52baa8513f57601d645437493d")</f>
        <v>0x686c9c3f0f351f52baa8513f57601d645437493d</v>
      </c>
      <c r="J1194" s="18">
        <v>100.77012349957269</v>
      </c>
      <c r="K1194" s="4">
        <v>1259.6265437446586</v>
      </c>
      <c r="L1194" s="19">
        <v>1.2596265437446587E21</v>
      </c>
      <c r="M1194" s="20">
        <v>1.2596265437446588E20</v>
      </c>
    </row>
    <row r="1195">
      <c r="A1195" s="6"/>
      <c r="B1195" s="6"/>
      <c r="C1195" s="4"/>
      <c r="D1195" s="4">
        <v>48.3641275995966</v>
      </c>
      <c r="E1195" s="4" t="s">
        <v>2112</v>
      </c>
      <c r="F1195" s="4"/>
      <c r="G1195" s="4"/>
      <c r="H1195" s="4"/>
      <c r="I1195" s="4" t="str">
        <f>IFERROR(__xludf.DUMMYFUNCTION("""COMPUTED_VALUE"""),"0xa885a01f09890b7b85c701edbd40810a52b30f04")</f>
        <v>0xa885a01f09890b7b85c701edbd40810a52b30f04</v>
      </c>
      <c r="J1195" s="18">
        <v>48.3641275995966</v>
      </c>
      <c r="K1195" s="4">
        <v>604.5515949949574</v>
      </c>
      <c r="L1195" s="19">
        <v>6.045515949949574E20</v>
      </c>
      <c r="M1195" s="20">
        <v>6.045515949949574E19</v>
      </c>
    </row>
    <row r="1196">
      <c r="A1196" s="6"/>
      <c r="B1196" s="6"/>
      <c r="C1196" s="4"/>
      <c r="D1196" s="4">
        <v>47.3476249644185</v>
      </c>
      <c r="E1196" s="4" t="s">
        <v>2113</v>
      </c>
      <c r="F1196" s="4"/>
      <c r="G1196" s="4"/>
      <c r="H1196" s="4"/>
      <c r="I1196" s="4" t="str">
        <f>IFERROR(__xludf.DUMMYFUNCTION("""COMPUTED_VALUE"""),"0x235fa7cffd0e8798965580874c6eb540b3c63e50")</f>
        <v>0x235fa7cffd0e8798965580874c6eb540b3c63e50</v>
      </c>
      <c r="J1196" s="18">
        <v>45.5069069851405</v>
      </c>
      <c r="K1196" s="4">
        <v>568.8363373142563</v>
      </c>
      <c r="L1196" s="19">
        <v>5.688363373142563E20</v>
      </c>
      <c r="M1196" s="20">
        <v>5.688363373142563E19</v>
      </c>
    </row>
    <row r="1197">
      <c r="A1197" s="6"/>
      <c r="B1197" s="6"/>
      <c r="C1197" s="4"/>
      <c r="D1197" s="4">
        <v>10.059738540716099</v>
      </c>
      <c r="E1197" s="4" t="s">
        <v>2115</v>
      </c>
      <c r="F1197" s="4"/>
      <c r="G1197" s="4"/>
      <c r="H1197" s="4"/>
      <c r="I1197" s="4" t="str">
        <f>IFERROR(__xludf.DUMMYFUNCTION("""COMPUTED_VALUE"""),"0x84287bdefa1fd19f9c81b00c5293ba5d828eb296")</f>
        <v>0x84287bdefa1fd19f9c81b00c5293ba5d828eb296</v>
      </c>
      <c r="J1197" s="18">
        <v>56.12444691464168</v>
      </c>
      <c r="K1197" s="4">
        <v>701.555586433021</v>
      </c>
      <c r="L1197" s="19">
        <v>7.01555586433021E20</v>
      </c>
      <c r="M1197" s="20">
        <v>7.0155558643302105E19</v>
      </c>
    </row>
    <row r="1198">
      <c r="A1198" s="6"/>
      <c r="B1198" s="6"/>
      <c r="C1198" s="4"/>
      <c r="D1198" s="4">
        <v>10.833564582309599</v>
      </c>
      <c r="E1198" s="4" t="s">
        <v>1747</v>
      </c>
      <c r="F1198" s="4"/>
      <c r="G1198" s="4"/>
      <c r="H1198" s="4"/>
      <c r="I1198" s="4" t="str">
        <f>IFERROR(__xludf.DUMMYFUNCTION("""COMPUTED_VALUE"""),"0xa0e1eee5ce9881c716ed5d09377f693dfbb65a9a")</f>
        <v>0xa0e1eee5ce9881c716ed5d09377f693dfbb65a9a</v>
      </c>
      <c r="J1198" s="18">
        <v>46.2193109083914</v>
      </c>
      <c r="K1198" s="4">
        <v>577.7413863548925</v>
      </c>
      <c r="L1198" s="19">
        <v>5.777413863548925E20</v>
      </c>
      <c r="M1198" s="20">
        <v>5.777413863548925E19</v>
      </c>
    </row>
    <row r="1199">
      <c r="A1199" s="6"/>
      <c r="B1199" s="6"/>
      <c r="C1199" s="4"/>
      <c r="D1199" s="4">
        <v>3.04150824569928</v>
      </c>
      <c r="E1199" s="4" t="s">
        <v>2117</v>
      </c>
      <c r="F1199" s="4"/>
      <c r="G1199" s="4"/>
      <c r="H1199" s="4"/>
      <c r="I1199" s="4" t="str">
        <f>IFERROR(__xludf.DUMMYFUNCTION("""COMPUTED_VALUE"""),"0x1276ea5add5fb80b9d773e3e44e6d2ed8101583b")</f>
        <v>0x1276ea5add5fb80b9d773e3e44e6d2ed8101583b</v>
      </c>
      <c r="J1199" s="18">
        <v>4.43089228796491</v>
      </c>
      <c r="K1199" s="4">
        <v>55.38615359956137</v>
      </c>
      <c r="L1199" s="19">
        <v>5.538615359956137E19</v>
      </c>
      <c r="M1199" s="20">
        <v>5.538615359956137E18</v>
      </c>
    </row>
    <row r="1200">
      <c r="A1200" s="6"/>
      <c r="B1200" s="6"/>
      <c r="C1200" s="4"/>
      <c r="D1200" s="4">
        <v>29.1815996967793</v>
      </c>
      <c r="E1200" s="4" t="s">
        <v>2119</v>
      </c>
      <c r="F1200" s="4"/>
      <c r="G1200" s="4"/>
      <c r="H1200" s="4"/>
      <c r="I1200" s="4" t="str">
        <f>IFERROR(__xludf.DUMMYFUNCTION("""COMPUTED_VALUE"""),"0x96845e0c0ce9c987266d520d6e93b205c4fc55bd")</f>
        <v>0x96845e0c0ce9c987266d520d6e93b205c4fc55bd</v>
      </c>
      <c r="J1200" s="18">
        <v>4.63539410763221</v>
      </c>
      <c r="K1200" s="4">
        <v>57.942426345402616</v>
      </c>
      <c r="L1200" s="19">
        <v>5.794242634540261E19</v>
      </c>
      <c r="M1200" s="20">
        <v>5.794242634540261E18</v>
      </c>
    </row>
    <row r="1201">
      <c r="A1201" s="6"/>
      <c r="B1201" s="6"/>
      <c r="C1201" s="4"/>
      <c r="D1201" s="4">
        <v>22.458854158708302</v>
      </c>
      <c r="E1201" s="4" t="s">
        <v>2121</v>
      </c>
      <c r="F1201" s="4"/>
      <c r="G1201" s="4"/>
      <c r="H1201" s="4"/>
      <c r="I1201" s="4" t="str">
        <f>IFERROR(__xludf.DUMMYFUNCTION("""COMPUTED_VALUE"""),"0x8eec6ae7e1874bd68a9842502de41be3f2c130e6")</f>
        <v>0x8eec6ae7e1874bd68a9842502de41be3f2c130e6</v>
      </c>
      <c r="J1201" s="18">
        <v>41.2202098087036</v>
      </c>
      <c r="K1201" s="4">
        <v>515.252622608795</v>
      </c>
      <c r="L1201" s="19">
        <v>5.1525262260879504E20</v>
      </c>
      <c r="M1201" s="20">
        <v>5.152526226087951E19</v>
      </c>
    </row>
    <row r="1202">
      <c r="A1202" s="6"/>
      <c r="B1202" s="6"/>
      <c r="C1202" s="4"/>
      <c r="D1202" s="4">
        <v>48.3641275995966</v>
      </c>
      <c r="E1202" s="4" t="s">
        <v>2123</v>
      </c>
      <c r="F1202" s="4"/>
      <c r="G1202" s="4"/>
      <c r="H1202" s="4"/>
      <c r="I1202" s="4" t="str">
        <f>IFERROR(__xludf.DUMMYFUNCTION("""COMPUTED_VALUE"""),"0x242f49733a683a29bbae5dc915fb8cf93619abcd")</f>
        <v>0x242f49733a683a29bbae5dc915fb8cf93619abcd</v>
      </c>
      <c r="J1202" s="18">
        <v>22.6750371220682</v>
      </c>
      <c r="K1202" s="4">
        <v>283.4379640258525</v>
      </c>
      <c r="L1202" s="19">
        <v>2.8343796402585253E20</v>
      </c>
      <c r="M1202" s="20">
        <v>2.8343796402585256E19</v>
      </c>
    </row>
    <row r="1203">
      <c r="A1203" s="6"/>
      <c r="B1203" s="6"/>
      <c r="C1203" s="4"/>
      <c r="D1203" s="4">
        <v>7.02724468064024</v>
      </c>
      <c r="E1203" s="4" t="s">
        <v>2124</v>
      </c>
      <c r="F1203" s="4"/>
      <c r="G1203" s="4"/>
      <c r="H1203" s="4"/>
      <c r="I1203" s="4" t="str">
        <f>IFERROR(__xludf.DUMMYFUNCTION("""COMPUTED_VALUE"""),"0x81025ad7ef745169186889effcdf7be125b74655")</f>
        <v>0x81025ad7ef745169186889effcdf7be125b74655</v>
      </c>
      <c r="J1203" s="18">
        <v>9.38707392704734</v>
      </c>
      <c r="K1203" s="4">
        <v>117.33842408809174</v>
      </c>
      <c r="L1203" s="19">
        <v>1.1733842408809174E20</v>
      </c>
      <c r="M1203" s="20">
        <v>1.1733842408809175E19</v>
      </c>
    </row>
    <row r="1204">
      <c r="A1204" s="6"/>
      <c r="B1204" s="6"/>
      <c r="C1204" s="4"/>
      <c r="D1204" s="4">
        <v>48.3641275995966</v>
      </c>
      <c r="E1204" s="4" t="s">
        <v>2126</v>
      </c>
      <c r="F1204" s="4"/>
      <c r="G1204" s="4"/>
      <c r="H1204" s="4"/>
      <c r="I1204" s="4" t="str">
        <f>IFERROR(__xludf.DUMMYFUNCTION("""COMPUTED_VALUE"""),"0xa37f1b5a20ae18a329e286b9f4a3fa93cfd60168")</f>
        <v>0xa37f1b5a20ae18a329e286b9f4a3fa93cfd60168</v>
      </c>
      <c r="J1204" s="18">
        <v>7.43600153645518</v>
      </c>
      <c r="K1204" s="4">
        <v>92.95001920568974</v>
      </c>
      <c r="L1204" s="19">
        <v>9.295001920568974E19</v>
      </c>
      <c r="M1204" s="20">
        <v>9.295001920568973E18</v>
      </c>
    </row>
    <row r="1205">
      <c r="A1205" s="6"/>
      <c r="B1205" s="6"/>
      <c r="C1205" s="4"/>
      <c r="D1205" s="4">
        <v>48.3641275995966</v>
      </c>
      <c r="E1205" s="4" t="s">
        <v>1651</v>
      </c>
      <c r="F1205" s="4"/>
      <c r="G1205" s="4"/>
      <c r="H1205" s="4"/>
      <c r="I1205" s="4" t="str">
        <f>IFERROR(__xludf.DUMMYFUNCTION("""COMPUTED_VALUE"""),"0x0dc962e88719284aad46584f59f808c05f5ffcd1")</f>
        <v>0x0dc962e88719284aad46584f59f808c05f5ffcd1</v>
      </c>
      <c r="J1205" s="18">
        <v>36.639224245362</v>
      </c>
      <c r="K1205" s="4">
        <v>457.990303067025</v>
      </c>
      <c r="L1205" s="19">
        <v>4.5799030306702505E20</v>
      </c>
      <c r="M1205" s="20">
        <v>4.579903030670251E19</v>
      </c>
    </row>
    <row r="1206">
      <c r="A1206" s="6"/>
      <c r="B1206" s="6"/>
      <c r="C1206" s="4"/>
      <c r="D1206" s="4">
        <v>47.6680193748907</v>
      </c>
      <c r="E1206" s="4" t="s">
        <v>2127</v>
      </c>
      <c r="F1206" s="4"/>
      <c r="G1206" s="4"/>
      <c r="H1206" s="4"/>
      <c r="I1206" s="4" t="str">
        <f>IFERROR(__xludf.DUMMYFUNCTION("""COMPUTED_VALUE"""),"0x532ce4af4d99cf95d2f29c744b24f4773d9fce9e")</f>
        <v>0x532ce4af4d99cf95d2f29c744b24f4773d9fce9e</v>
      </c>
      <c r="J1206" s="18">
        <v>231.7929365514296</v>
      </c>
      <c r="K1206" s="4">
        <v>2897.41170689287</v>
      </c>
      <c r="L1206" s="19">
        <v>2.8974117068928697E21</v>
      </c>
      <c r="M1206" s="20">
        <v>2.89741170689287E20</v>
      </c>
    </row>
    <row r="1207">
      <c r="A1207" s="6"/>
      <c r="B1207" s="6"/>
      <c r="C1207" s="4"/>
      <c r="D1207" s="4">
        <v>4.09437243904052</v>
      </c>
      <c r="E1207" s="4" t="s">
        <v>2129</v>
      </c>
      <c r="F1207" s="4"/>
      <c r="G1207" s="4"/>
      <c r="H1207" s="4"/>
      <c r="I1207" s="4" t="str">
        <f>IFERROR(__xludf.DUMMYFUNCTION("""COMPUTED_VALUE"""),"0xb41caf3fccfa36ff7ae70ca9467f6a3505188ea2")</f>
        <v>0xb41caf3fccfa36ff7ae70ca9467f6a3505188ea2</v>
      </c>
      <c r="J1207" s="18">
        <v>15.5968437205368</v>
      </c>
      <c r="K1207" s="4">
        <v>194.96054650671</v>
      </c>
      <c r="L1207" s="19">
        <v>1.9496054650671E20</v>
      </c>
      <c r="M1207" s="20">
        <v>1.9496054650671E19</v>
      </c>
    </row>
    <row r="1208">
      <c r="A1208" s="6"/>
      <c r="B1208" s="6"/>
      <c r="C1208" s="4"/>
      <c r="D1208" s="4">
        <v>29.771970337198198</v>
      </c>
      <c r="E1208" s="4" t="s">
        <v>2131</v>
      </c>
      <c r="F1208" s="4"/>
      <c r="G1208" s="4"/>
      <c r="H1208" s="4"/>
      <c r="I1208" s="4" t="str">
        <f>IFERROR(__xludf.DUMMYFUNCTION("""COMPUTED_VALUE"""),"0xdda0a55eace85281e248dabf3a8e5454304de367")</f>
        <v>0xdda0a55eace85281e248dabf3a8e5454304de367</v>
      </c>
      <c r="J1208" s="18">
        <v>43.7900245125954</v>
      </c>
      <c r="K1208" s="4">
        <v>547.3753064074425</v>
      </c>
      <c r="L1208" s="19">
        <v>5.473753064074425E20</v>
      </c>
      <c r="M1208" s="20">
        <v>5.473753064074425E19</v>
      </c>
    </row>
    <row r="1209">
      <c r="A1209" s="6"/>
      <c r="B1209" s="6"/>
      <c r="C1209" s="4"/>
      <c r="D1209" s="4">
        <v>33.7117160018884</v>
      </c>
      <c r="E1209" s="4" t="s">
        <v>2133</v>
      </c>
      <c r="F1209" s="4"/>
      <c r="G1209" s="4"/>
      <c r="H1209" s="4"/>
      <c r="I1209" s="4" t="str">
        <f>IFERROR(__xludf.DUMMYFUNCTION("""COMPUTED_VALUE"""),"0xc450fb36b509f76657b14b5bef504ab69f9ac25f")</f>
        <v>0xc450fb36b509f76657b14b5bef504ab69f9ac25f</v>
      </c>
      <c r="J1209" s="18">
        <v>9.85736838347316</v>
      </c>
      <c r="K1209" s="4">
        <v>123.21710479341449</v>
      </c>
      <c r="L1209" s="19">
        <v>1.232171047934145E20</v>
      </c>
      <c r="M1209" s="20">
        <v>1.2321710479341451E19</v>
      </c>
    </row>
    <row r="1210">
      <c r="A1210" s="6"/>
      <c r="B1210" s="6"/>
      <c r="C1210" s="4"/>
      <c r="D1210" s="4">
        <v>17.6622420747008</v>
      </c>
      <c r="E1210" s="4" t="s">
        <v>2135</v>
      </c>
      <c r="F1210" s="4"/>
      <c r="G1210" s="4"/>
      <c r="H1210" s="4"/>
      <c r="I1210" s="4" t="str">
        <f>IFERROR(__xludf.DUMMYFUNCTION("""COMPUTED_VALUE"""),"0x8454c889f5f14a6ca2e5cd8d2bebc34bc1cdecab")</f>
        <v>0x8454c889f5f14a6ca2e5cd8d2bebc34bc1cdecab</v>
      </c>
      <c r="J1210" s="18">
        <v>7.738260415935461</v>
      </c>
      <c r="K1210" s="4">
        <v>96.72825519919326</v>
      </c>
      <c r="L1210" s="19">
        <v>9.672825519919325E19</v>
      </c>
      <c r="M1210" s="20">
        <v>9.672825519919325E18</v>
      </c>
    </row>
    <row r="1211">
      <c r="A1211" s="6"/>
      <c r="B1211" s="6"/>
      <c r="C1211" s="4"/>
      <c r="D1211" s="4">
        <v>47.3123406090181</v>
      </c>
      <c r="E1211" s="4" t="s">
        <v>2137</v>
      </c>
      <c r="F1211" s="4"/>
      <c r="G1211" s="4"/>
      <c r="H1211" s="4"/>
      <c r="I1211" s="4" t="str">
        <f>IFERROR(__xludf.DUMMYFUNCTION("""COMPUTED_VALUE"""),"0xf616d96d999ab9014adca6dde147652330e86d7b")</f>
        <v>0xf616d96d999ab9014adca6dde147652330e86d7b</v>
      </c>
      <c r="J1211" s="18">
        <v>35.250616400326564</v>
      </c>
      <c r="K1211" s="4">
        <v>440.632705004082</v>
      </c>
      <c r="L1211" s="19">
        <v>4.4063270500408204E20</v>
      </c>
      <c r="M1211" s="20">
        <v>4.4063270500408205E19</v>
      </c>
    </row>
    <row r="1212">
      <c r="A1212" s="6"/>
      <c r="B1212" s="6"/>
      <c r="C1212" s="4"/>
      <c r="D1212" s="4">
        <v>9.672825519919328</v>
      </c>
      <c r="E1212" s="4" t="s">
        <v>2139</v>
      </c>
      <c r="F1212" s="4"/>
      <c r="G1212" s="4"/>
      <c r="H1212" s="4"/>
      <c r="I1212" s="4" t="str">
        <f>IFERROR(__xludf.DUMMYFUNCTION("""COMPUTED_VALUE"""),"0x0c8e18851459d75cbe05ba187b33d60995cd42ac")</f>
        <v>0x0c8e18851459d75cbe05ba187b33d60995cd42ac</v>
      </c>
      <c r="J1212" s="18">
        <v>10.8884765536799</v>
      </c>
      <c r="K1212" s="4">
        <v>136.10595692099875</v>
      </c>
      <c r="L1212" s="19">
        <v>1.3610595692099876E20</v>
      </c>
      <c r="M1212" s="20">
        <v>1.3610595692099877E19</v>
      </c>
    </row>
    <row r="1213">
      <c r="A1213" s="6"/>
      <c r="B1213" s="6"/>
      <c r="C1213" s="4"/>
      <c r="D1213" s="4">
        <v>48.3641275995966</v>
      </c>
      <c r="E1213" s="4" t="s">
        <v>2140</v>
      </c>
      <c r="F1213" s="4"/>
      <c r="G1213" s="4"/>
      <c r="H1213" s="4"/>
      <c r="I1213" s="4" t="str">
        <f>IFERROR(__xludf.DUMMYFUNCTION("""COMPUTED_VALUE"""),"0xbf58ad73b212ebe75a5aa36a3f62b184674bb7b7")</f>
        <v>0xbf58ad73b212ebe75a5aa36a3f62b184674bb7b7</v>
      </c>
      <c r="J1213" s="18">
        <v>34.8827989581595</v>
      </c>
      <c r="K1213" s="4">
        <v>436.0349869769937</v>
      </c>
      <c r="L1213" s="19">
        <v>4.3603498697699374E20</v>
      </c>
      <c r="M1213" s="20">
        <v>4.360349869769938E19</v>
      </c>
    </row>
    <row r="1214">
      <c r="A1214" s="6"/>
      <c r="B1214" s="6"/>
      <c r="C1214" s="4"/>
      <c r="D1214" s="4">
        <v>48.3641275995966</v>
      </c>
      <c r="E1214" s="4" t="s">
        <v>2141</v>
      </c>
      <c r="F1214" s="4"/>
      <c r="G1214" s="4"/>
      <c r="H1214" s="4"/>
      <c r="I1214" s="4" t="str">
        <f>IFERROR(__xludf.DUMMYFUNCTION("""COMPUTED_VALUE"""),"0x7e03088e4eeda42f5390805c843edf88c65805fd")</f>
        <v>0x7e03088e4eeda42f5390805c843edf88c65805fd</v>
      </c>
      <c r="J1214" s="18">
        <v>48.3641275995966</v>
      </c>
      <c r="K1214" s="4">
        <v>604.5515949949574</v>
      </c>
      <c r="L1214" s="19">
        <v>6.045515949949574E20</v>
      </c>
      <c r="M1214" s="20">
        <v>6.045515949949574E19</v>
      </c>
    </row>
    <row r="1215">
      <c r="A1215" s="6"/>
      <c r="B1215" s="6"/>
      <c r="C1215" s="4"/>
      <c r="D1215" s="4">
        <v>8.7407103219861</v>
      </c>
      <c r="E1215" s="4" t="s">
        <v>2142</v>
      </c>
      <c r="F1215" s="4"/>
      <c r="G1215" s="4"/>
      <c r="H1215" s="4"/>
      <c r="I1215" s="4" t="str">
        <f>IFERROR(__xludf.DUMMYFUNCTION("""COMPUTED_VALUE"""),"0x20988cd2959fc0d00ea178a1ac648e00b50168fc")</f>
        <v>0x20988cd2959fc0d00ea178a1ac648e00b50168fc</v>
      </c>
      <c r="J1215" s="18">
        <v>48.3641275995966</v>
      </c>
      <c r="K1215" s="4">
        <v>604.5515949949574</v>
      </c>
      <c r="L1215" s="19">
        <v>6.045515949949574E20</v>
      </c>
      <c r="M1215" s="20">
        <v>6.045515949949574E19</v>
      </c>
    </row>
    <row r="1216">
      <c r="A1216" s="6"/>
      <c r="B1216" s="6"/>
      <c r="C1216" s="4"/>
      <c r="D1216" s="4">
        <v>7.66294684239376</v>
      </c>
      <c r="E1216" s="4" t="s">
        <v>2144</v>
      </c>
      <c r="F1216" s="4"/>
      <c r="G1216" s="4"/>
      <c r="H1216" s="4"/>
      <c r="I1216" s="4" t="str">
        <f>IFERROR(__xludf.DUMMYFUNCTION("""COMPUTED_VALUE"""),"0x5d5f634aa4228ea171c22e15637f1e5af788976e")</f>
        <v>0x5d5f634aa4228ea171c22e15637f1e5af788976e</v>
      </c>
      <c r="J1216" s="18">
        <v>57.66472560997164</v>
      </c>
      <c r="K1216" s="4">
        <v>720.8090701246455</v>
      </c>
      <c r="L1216" s="19">
        <v>7.208090701246455E20</v>
      </c>
      <c r="M1216" s="20">
        <v>7.208090701246455E19</v>
      </c>
    </row>
    <row r="1217">
      <c r="A1217" s="6"/>
      <c r="B1217" s="6"/>
      <c r="C1217" s="4"/>
      <c r="D1217" s="4">
        <v>48.3641275995966</v>
      </c>
      <c r="E1217" s="4" t="s">
        <v>2146</v>
      </c>
      <c r="F1217" s="4"/>
      <c r="G1217" s="4"/>
      <c r="H1217" s="4"/>
      <c r="I1217" s="4" t="str">
        <f>IFERROR(__xludf.DUMMYFUNCTION("""COMPUTED_VALUE"""),"0x3c0ada4b9771049d85d187cc77d7d04c06a9030e")</f>
        <v>0x3c0ada4b9771049d85d187cc77d7d04c06a9030e</v>
      </c>
      <c r="J1217" s="18">
        <v>43.8158210981154</v>
      </c>
      <c r="K1217" s="4">
        <v>547.6977637264425</v>
      </c>
      <c r="L1217" s="19">
        <v>5.4769776372644256E20</v>
      </c>
      <c r="M1217" s="20">
        <v>5.476977637264426E19</v>
      </c>
    </row>
    <row r="1218">
      <c r="A1218" s="6"/>
      <c r="B1218" s="6"/>
      <c r="C1218" s="4"/>
      <c r="D1218" s="4">
        <v>10.4903410793152</v>
      </c>
      <c r="E1218" s="4" t="s">
        <v>2147</v>
      </c>
      <c r="F1218" s="4"/>
      <c r="G1218" s="4"/>
      <c r="H1218" s="4"/>
      <c r="I1218" s="4" t="str">
        <f>IFERROR(__xludf.DUMMYFUNCTION("""COMPUTED_VALUE"""),"0x8cbe077015b0eeb29f89746e2dd43eb38faf070a")</f>
        <v>0x8cbe077015b0eeb29f89746e2dd43eb38faf070a</v>
      </c>
      <c r="J1218" s="18">
        <v>113.4507084210664</v>
      </c>
      <c r="K1218" s="4">
        <v>1418.13385526333</v>
      </c>
      <c r="L1218" s="19">
        <v>1.41813385526333E21</v>
      </c>
      <c r="M1218" s="20">
        <v>1.41813385526333E20</v>
      </c>
    </row>
    <row r="1219">
      <c r="A1219" s="6"/>
      <c r="B1219" s="6"/>
      <c r="C1219" s="4"/>
      <c r="D1219" s="4">
        <v>42.5224428088302</v>
      </c>
      <c r="E1219" s="4" t="s">
        <v>2149</v>
      </c>
      <c r="F1219" s="4"/>
      <c r="G1219" s="4"/>
      <c r="H1219" s="4"/>
      <c r="I1219" s="4" t="str">
        <f>IFERROR(__xludf.DUMMYFUNCTION("""COMPUTED_VALUE"""),"0xb5122a34ed16a7080b60ce9b3c5c7e4c918ae121")</f>
        <v>0xb5122a34ed16a7080b60ce9b3c5c7e4c918ae121</v>
      </c>
      <c r="J1219" s="18">
        <v>10.0232622742807</v>
      </c>
      <c r="K1219" s="4">
        <v>125.29077842850874</v>
      </c>
      <c r="L1219" s="19">
        <v>1.2529077842850875E20</v>
      </c>
      <c r="M1219" s="20">
        <v>1.2529077842850875E19</v>
      </c>
    </row>
    <row r="1220">
      <c r="A1220" s="6"/>
      <c r="B1220" s="6"/>
      <c r="C1220" s="4"/>
      <c r="D1220" s="4">
        <v>48.3641275995966</v>
      </c>
      <c r="E1220" s="4" t="s">
        <v>2151</v>
      </c>
      <c r="F1220" s="4"/>
      <c r="G1220" s="4"/>
      <c r="H1220" s="4"/>
      <c r="I1220" s="4" t="str">
        <f>IFERROR(__xludf.DUMMYFUNCTION("""COMPUTED_VALUE"""),"0xeac9fc952bde181ce32437ed621a3a078f5453f5")</f>
        <v>0xeac9fc952bde181ce32437ed621a3a078f5453f5</v>
      </c>
      <c r="J1220" s="18">
        <v>48.3641275995966</v>
      </c>
      <c r="K1220" s="4">
        <v>604.5515949949574</v>
      </c>
      <c r="L1220" s="19">
        <v>6.045515949949574E20</v>
      </c>
      <c r="M1220" s="20">
        <v>6.045515949949574E19</v>
      </c>
    </row>
    <row r="1221">
      <c r="A1221" s="6"/>
      <c r="B1221" s="6"/>
      <c r="C1221" s="4"/>
      <c r="D1221" s="4">
        <v>45.5069069851405</v>
      </c>
      <c r="E1221" s="4" t="s">
        <v>2152</v>
      </c>
      <c r="F1221" s="4"/>
      <c r="G1221" s="4"/>
      <c r="H1221" s="4"/>
      <c r="I1221" s="4" t="str">
        <f>IFERROR(__xludf.DUMMYFUNCTION("""COMPUTED_VALUE"""),"0x1f7e13eb0809b432f1dd68793560ab44cf081c57")</f>
        <v>0x1f7e13eb0809b432f1dd68793560ab44cf081c57</v>
      </c>
      <c r="J1221" s="18">
        <v>60.415620014209</v>
      </c>
      <c r="K1221" s="4">
        <v>755.1952501776125</v>
      </c>
      <c r="L1221" s="19">
        <v>7.551952501776124E20</v>
      </c>
      <c r="M1221" s="20">
        <v>7.551952501776125E19</v>
      </c>
    </row>
    <row r="1222">
      <c r="A1222" s="6"/>
      <c r="B1222" s="6"/>
      <c r="C1222" s="4"/>
      <c r="D1222" s="4">
        <v>46.5719855985057</v>
      </c>
      <c r="E1222" s="4" t="s">
        <v>2154</v>
      </c>
      <c r="F1222" s="4"/>
      <c r="G1222" s="4"/>
      <c r="H1222" s="4"/>
      <c r="I1222" s="4" t="str">
        <f>IFERROR(__xludf.DUMMYFUNCTION("""COMPUTED_VALUE"""),"0xdc57a6a58bc4935ab137e538501a3e006a1aa719")</f>
        <v>0xdc57a6a58bc4935ab137e538501a3e006a1aa719</v>
      </c>
      <c r="J1222" s="18">
        <v>24.7343722470843</v>
      </c>
      <c r="K1222" s="4">
        <v>309.1796530885537</v>
      </c>
      <c r="L1222" s="19">
        <v>3.091796530885537E20</v>
      </c>
      <c r="M1222" s="20">
        <v>3.0917965308855374E19</v>
      </c>
    </row>
    <row r="1223">
      <c r="A1223" s="6"/>
      <c r="B1223" s="6"/>
      <c r="C1223" s="4"/>
      <c r="D1223" s="4">
        <v>46.2193109083914</v>
      </c>
      <c r="E1223" s="4" t="s">
        <v>2156</v>
      </c>
      <c r="F1223" s="4"/>
      <c r="G1223" s="4"/>
      <c r="H1223" s="4"/>
      <c r="I1223" s="4" t="str">
        <f>IFERROR(__xludf.DUMMYFUNCTION("""COMPUTED_VALUE"""),"0x03df831a616be8421144b15d34f324453f251541")</f>
        <v>0x03df831a616be8421144b15d34f324453f251541</v>
      </c>
      <c r="J1223" s="18">
        <v>150.6492403815702</v>
      </c>
      <c r="K1223" s="4">
        <v>1883.1155047696275</v>
      </c>
      <c r="L1223" s="19">
        <v>1.8831155047696276E21</v>
      </c>
      <c r="M1223" s="20">
        <v>1.8831155047696276E20</v>
      </c>
    </row>
    <row r="1224">
      <c r="A1224" s="6"/>
      <c r="B1224" s="6"/>
      <c r="C1224" s="4"/>
      <c r="D1224" s="4">
        <v>4.43089228796491</v>
      </c>
      <c r="E1224" s="4" t="s">
        <v>2158</v>
      </c>
      <c r="F1224" s="4"/>
      <c r="G1224" s="4"/>
      <c r="H1224" s="4"/>
      <c r="I1224" s="4" t="str">
        <f>IFERROR(__xludf.DUMMYFUNCTION("""COMPUTED_VALUE"""),"0x2077d9058b270f2d9c2703edfd4394e46346f4ac")</f>
        <v>0x2077d9058b270f2d9c2703edfd4394e46346f4ac</v>
      </c>
      <c r="J1224" s="18">
        <v>234.37608780709658</v>
      </c>
      <c r="K1224" s="4">
        <v>2929.7010975887074</v>
      </c>
      <c r="L1224" s="19">
        <v>2.9297010975887076E21</v>
      </c>
      <c r="M1224" s="20">
        <v>2.9297010975887078E20</v>
      </c>
    </row>
    <row r="1225">
      <c r="A1225" s="6"/>
      <c r="B1225" s="6"/>
      <c r="C1225" s="4"/>
      <c r="D1225" s="4">
        <v>4.63539410763221</v>
      </c>
      <c r="E1225" s="4" t="s">
        <v>2160</v>
      </c>
      <c r="F1225" s="4"/>
      <c r="G1225" s="4"/>
      <c r="H1225" s="4"/>
      <c r="I1225" s="4" t="str">
        <f>IFERROR(__xludf.DUMMYFUNCTION("""COMPUTED_VALUE"""),"0x86cca562b19e12737872695ad0be2d7c9173130c")</f>
        <v>0x86cca562b19e12737872695ad0be2d7c9173130c</v>
      </c>
      <c r="J1225" s="18">
        <v>22.596961423677</v>
      </c>
      <c r="K1225" s="4">
        <v>282.46201779596254</v>
      </c>
      <c r="L1225" s="19">
        <v>2.8246201779596254E20</v>
      </c>
      <c r="M1225" s="20">
        <v>2.8246201779596255E19</v>
      </c>
    </row>
    <row r="1226">
      <c r="A1226" s="6"/>
      <c r="B1226" s="6"/>
      <c r="C1226" s="4"/>
      <c r="D1226" s="4">
        <v>41.2202098087036</v>
      </c>
      <c r="E1226" s="4" t="s">
        <v>2162</v>
      </c>
      <c r="F1226" s="4"/>
      <c r="G1226" s="4"/>
      <c r="H1226" s="4"/>
      <c r="I1226" s="4" t="str">
        <f>IFERROR(__xludf.DUMMYFUNCTION("""COMPUTED_VALUE"""),"0xe2ff53678e73c5da1f21238bb0d41bf45b03b644")</f>
        <v>0xe2ff53678e73c5da1f21238bb0d41bf45b03b644</v>
      </c>
      <c r="J1226" s="18">
        <v>19.387285749255998</v>
      </c>
      <c r="K1226" s="4">
        <v>242.34107186569997</v>
      </c>
      <c r="L1226" s="19">
        <v>2.4234107186569996E20</v>
      </c>
      <c r="M1226" s="20">
        <v>2.423410718657E19</v>
      </c>
    </row>
    <row r="1227">
      <c r="A1227" s="6"/>
      <c r="B1227" s="6"/>
      <c r="C1227" s="4"/>
      <c r="D1227" s="4">
        <v>22.6750371220682</v>
      </c>
      <c r="E1227" s="4" t="s">
        <v>2164</v>
      </c>
      <c r="F1227" s="4"/>
      <c r="G1227" s="4"/>
      <c r="H1227" s="4"/>
      <c r="I1227" s="4" t="str">
        <f>IFERROR(__xludf.DUMMYFUNCTION("""COMPUTED_VALUE"""),"0xaf96991a4333f5503523c2fb3ebb52f69a031201")</f>
        <v>0xaf96991a4333f5503523c2fb3ebb52f69a031201</v>
      </c>
      <c r="J1227" s="18">
        <v>9.672825519919328</v>
      </c>
      <c r="K1227" s="4">
        <v>120.9103189989916</v>
      </c>
      <c r="L1227" s="19">
        <v>1.209103189989916E20</v>
      </c>
      <c r="M1227" s="20">
        <v>1.209103189989916E19</v>
      </c>
    </row>
    <row r="1228">
      <c r="A1228" s="6"/>
      <c r="B1228" s="6"/>
      <c r="C1228" s="4"/>
      <c r="D1228" s="4">
        <v>9.38707392704734</v>
      </c>
      <c r="E1228" s="4" t="s">
        <v>2166</v>
      </c>
      <c r="F1228" s="4"/>
      <c r="G1228" s="4"/>
      <c r="H1228" s="4"/>
      <c r="I1228" s="4" t="str">
        <f>IFERROR(__xludf.DUMMYFUNCTION("""COMPUTED_VALUE"""),"0x3b4979f93bc513c64c85877b62262c2a4bb91847")</f>
        <v>0x3b4979f93bc513c64c85877b62262c2a4bb91847</v>
      </c>
      <c r="J1228" s="18">
        <v>113.3644938820252</v>
      </c>
      <c r="K1228" s="4">
        <v>1417.056173525315</v>
      </c>
      <c r="L1228" s="19">
        <v>1.417056173525315E21</v>
      </c>
      <c r="M1228" s="20">
        <v>1.4170561735253151E20</v>
      </c>
    </row>
    <row r="1229">
      <c r="A1229" s="6"/>
      <c r="B1229" s="6"/>
      <c r="C1229" s="4"/>
      <c r="D1229" s="4">
        <v>48.3641275995966</v>
      </c>
      <c r="E1229" s="4" t="s">
        <v>437</v>
      </c>
      <c r="F1229" s="4"/>
      <c r="G1229" s="4"/>
      <c r="H1229" s="4"/>
      <c r="I1229" s="4" t="str">
        <f>IFERROR(__xludf.DUMMYFUNCTION("""COMPUTED_VALUE"""),"0xce268018522599fe07257c0e94cd17e9a24991cc")</f>
        <v>0xce268018522599fe07257c0e94cd17e9a24991cc</v>
      </c>
      <c r="J1229" s="18">
        <v>45.729863063258705</v>
      </c>
      <c r="K1229" s="4">
        <v>571.6232882907339</v>
      </c>
      <c r="L1229" s="19">
        <v>5.7162328829073385E20</v>
      </c>
      <c r="M1229" s="20">
        <v>5.716232882907339E19</v>
      </c>
    </row>
    <row r="1230">
      <c r="A1230" s="6"/>
      <c r="B1230" s="6"/>
      <c r="C1230" s="4"/>
      <c r="D1230" s="4">
        <v>7.43600153645518</v>
      </c>
      <c r="E1230" s="4" t="s">
        <v>2168</v>
      </c>
      <c r="F1230" s="4"/>
      <c r="G1230" s="4"/>
      <c r="H1230" s="4"/>
      <c r="I1230" s="4" t="str">
        <f>IFERROR(__xludf.DUMMYFUNCTION("""COMPUTED_VALUE"""),"0x02c271d368215d492e3bd4682f12b1d473f0f016")</f>
        <v>0x02c271d368215d492e3bd4682f12b1d473f0f016</v>
      </c>
      <c r="J1230" s="18">
        <v>7.99461768488881</v>
      </c>
      <c r="K1230" s="4">
        <v>99.93272106111013</v>
      </c>
      <c r="L1230" s="19">
        <v>9.993272106111014E19</v>
      </c>
      <c r="M1230" s="20">
        <v>9.993272106111015E18</v>
      </c>
    </row>
    <row r="1231">
      <c r="A1231" s="6"/>
      <c r="B1231" s="6"/>
      <c r="C1231" s="4"/>
      <c r="D1231" s="4">
        <v>36.639224245362</v>
      </c>
      <c r="E1231" s="4" t="s">
        <v>2170</v>
      </c>
      <c r="F1231" s="4"/>
      <c r="G1231" s="4"/>
      <c r="H1231" s="4"/>
      <c r="I1231" s="4" t="str">
        <f>IFERROR(__xludf.DUMMYFUNCTION("""COMPUTED_VALUE"""),"0x67239a67f6e9eec6e8aa06f566a0881082940aeb")</f>
        <v>0x67239a67f6e9eec6e8aa06f566a0881082940aeb</v>
      </c>
      <c r="J1231" s="18">
        <v>29.018476559758</v>
      </c>
      <c r="K1231" s="4">
        <v>362.730956996975</v>
      </c>
      <c r="L1231" s="19">
        <v>3.62730956996975E20</v>
      </c>
      <c r="M1231" s="20">
        <v>3.62730956996975E19</v>
      </c>
    </row>
    <row r="1232">
      <c r="A1232" s="6"/>
      <c r="B1232" s="6"/>
      <c r="C1232" s="4"/>
      <c r="D1232" s="4">
        <v>48.3641275995966</v>
      </c>
      <c r="E1232" s="4" t="s">
        <v>2172</v>
      </c>
      <c r="F1232" s="4"/>
      <c r="G1232" s="4"/>
      <c r="H1232" s="4"/>
      <c r="I1232" s="4" t="str">
        <f>IFERROR(__xludf.DUMMYFUNCTION("""COMPUTED_VALUE"""),"0x69e547f898634dfe65721b6f1c2a62f4157955b7")</f>
        <v>0x69e547f898634dfe65721b6f1c2a62f4157955b7</v>
      </c>
      <c r="J1232" s="18">
        <v>6.12685795335851</v>
      </c>
      <c r="K1232" s="4">
        <v>76.58572441698136</v>
      </c>
      <c r="L1232" s="19">
        <v>7.658572441698137E19</v>
      </c>
      <c r="M1232" s="20">
        <v>7.658572441698137E18</v>
      </c>
    </row>
    <row r="1233">
      <c r="A1233" s="6"/>
      <c r="B1233" s="6"/>
      <c r="C1233" s="4"/>
      <c r="D1233" s="4">
        <v>15.5968437205368</v>
      </c>
      <c r="E1233" s="4" t="s">
        <v>2173</v>
      </c>
      <c r="F1233" s="4"/>
      <c r="G1233" s="4"/>
      <c r="H1233" s="4"/>
      <c r="I1233" s="4" t="str">
        <f>IFERROR(__xludf.DUMMYFUNCTION("""COMPUTED_VALUE"""),"0x8d705f2a987f59fde46fb6d4054b25927624720c")</f>
        <v>0x8d705f2a987f59fde46fb6d4054b25927624720c</v>
      </c>
      <c r="J1233" s="18">
        <v>6.32857925382653</v>
      </c>
      <c r="K1233" s="4">
        <v>79.10724067283162</v>
      </c>
      <c r="L1233" s="19">
        <v>7.910724067283162E19</v>
      </c>
      <c r="M1233" s="20">
        <v>7.910724067283162E18</v>
      </c>
    </row>
    <row r="1234">
      <c r="A1234" s="6"/>
      <c r="B1234" s="6"/>
      <c r="C1234" s="4"/>
      <c r="D1234" s="4">
        <v>36.0820791347165</v>
      </c>
      <c r="E1234" s="4" t="s">
        <v>1766</v>
      </c>
      <c r="F1234" s="4"/>
      <c r="G1234" s="4"/>
      <c r="H1234" s="4"/>
      <c r="I1234" s="4" t="str">
        <f>IFERROR(__xludf.DUMMYFUNCTION("""COMPUTED_VALUE"""),"0x100b4a6a63a2ccd32b87f1f7019814b19875c842")</f>
        <v>0x100b4a6a63a2ccd32b87f1f7019814b19875c842</v>
      </c>
      <c r="J1234" s="18">
        <v>9.695793699058031</v>
      </c>
      <c r="K1234" s="4">
        <v>121.19742123822539</v>
      </c>
      <c r="L1234" s="19">
        <v>1.2119742123822539E20</v>
      </c>
      <c r="M1234" s="20">
        <v>1.2119742123822539E19</v>
      </c>
    </row>
    <row r="1235">
      <c r="A1235" s="6"/>
      <c r="B1235" s="6"/>
      <c r="C1235" s="4"/>
      <c r="D1235" s="4">
        <v>43.7900245125954</v>
      </c>
      <c r="E1235" s="4" t="s">
        <v>2176</v>
      </c>
      <c r="F1235" s="4"/>
      <c r="G1235" s="4"/>
      <c r="H1235" s="4"/>
      <c r="I1235" s="4" t="str">
        <f>IFERROR(__xludf.DUMMYFUNCTION("""COMPUTED_VALUE"""),"0x5299c7d2b73b6a96231081dabfd54dfcc84fedeb")</f>
        <v>0x5299c7d2b73b6a96231081dabfd54dfcc84fedeb</v>
      </c>
      <c r="J1235" s="18">
        <v>48.3641275995966</v>
      </c>
      <c r="K1235" s="4">
        <v>604.5515949949574</v>
      </c>
      <c r="L1235" s="19">
        <v>6.045515949949574E20</v>
      </c>
      <c r="M1235" s="20">
        <v>6.045515949949574E19</v>
      </c>
    </row>
    <row r="1236">
      <c r="A1236" s="6"/>
      <c r="B1236" s="6"/>
      <c r="C1236" s="4"/>
      <c r="D1236" s="4">
        <v>9.85736838347316</v>
      </c>
      <c r="E1236" s="4" t="s">
        <v>2178</v>
      </c>
      <c r="F1236" s="4"/>
      <c r="G1236" s="4"/>
      <c r="H1236" s="4"/>
      <c r="I1236" s="4" t="str">
        <f>IFERROR(__xludf.DUMMYFUNCTION("""COMPUTED_VALUE"""),"0x224f536ebe100f67c59376c620242c18847636df")</f>
        <v>0x224f536ebe100f67c59376c620242c18847636df</v>
      </c>
      <c r="J1236" s="18">
        <v>9.672825519919328</v>
      </c>
      <c r="K1236" s="4">
        <v>120.9103189989916</v>
      </c>
      <c r="L1236" s="19">
        <v>1.209103189989916E20</v>
      </c>
      <c r="M1236" s="20">
        <v>1.209103189989916E19</v>
      </c>
    </row>
    <row r="1237">
      <c r="A1237" s="6"/>
      <c r="B1237" s="6"/>
      <c r="C1237" s="4"/>
      <c r="D1237" s="4">
        <v>7.738260415935461</v>
      </c>
      <c r="E1237" s="4" t="s">
        <v>2180</v>
      </c>
      <c r="F1237" s="4"/>
      <c r="G1237" s="4"/>
      <c r="H1237" s="4"/>
      <c r="I1237" s="4" t="str">
        <f>IFERROR(__xludf.DUMMYFUNCTION("""COMPUTED_VALUE"""),"0xfa62840318b63b751fc2ffaf5055c6aa94c7a96d")</f>
        <v>0xfa62840318b63b751fc2ffaf5055c6aa94c7a96d</v>
      </c>
      <c r="J1237" s="18">
        <v>234.37608780709658</v>
      </c>
      <c r="K1237" s="4">
        <v>2929.7010975887074</v>
      </c>
      <c r="L1237" s="19">
        <v>2.9297010975887076E21</v>
      </c>
      <c r="M1237" s="20">
        <v>2.9297010975887078E20</v>
      </c>
    </row>
    <row r="1238">
      <c r="A1238" s="6"/>
      <c r="B1238" s="6"/>
      <c r="C1238" s="4"/>
      <c r="D1238" s="4">
        <v>6.0343005513102606</v>
      </c>
      <c r="E1238" s="4" t="s">
        <v>2182</v>
      </c>
      <c r="F1238" s="4"/>
      <c r="G1238" s="4"/>
      <c r="H1238" s="4"/>
      <c r="I1238" s="4" t="str">
        <f>IFERROR(__xludf.DUMMYFUNCTION("""COMPUTED_VALUE"""),"0x359afe14202a131cfa9c59244606a2b0c26d7773")</f>
        <v>0x359afe14202a131cfa9c59244606a2b0c26d7773</v>
      </c>
      <c r="J1238" s="18">
        <v>48.3641275995966</v>
      </c>
      <c r="K1238" s="4">
        <v>604.5515949949574</v>
      </c>
      <c r="L1238" s="19">
        <v>6.045515949949574E20</v>
      </c>
      <c r="M1238" s="20">
        <v>6.045515949949574E19</v>
      </c>
    </row>
    <row r="1239">
      <c r="A1239" s="6"/>
      <c r="B1239" s="6"/>
      <c r="C1239" s="4"/>
      <c r="D1239" s="4">
        <v>10.8884765536799</v>
      </c>
      <c r="E1239" s="4" t="s">
        <v>2184</v>
      </c>
      <c r="F1239" s="4"/>
      <c r="G1239" s="4"/>
      <c r="H1239" s="4"/>
      <c r="I1239" s="4" t="str">
        <f>IFERROR(__xludf.DUMMYFUNCTION("""COMPUTED_VALUE"""),"0x2da1d743fc154d7745d8f9bce425676206facfb8")</f>
        <v>0x2da1d743fc154d7745d8f9bce425676206facfb8</v>
      </c>
      <c r="J1239" s="18">
        <v>48.3641275995966</v>
      </c>
      <c r="K1239" s="4">
        <v>604.5515949949574</v>
      </c>
      <c r="L1239" s="19">
        <v>6.045515949949574E20</v>
      </c>
      <c r="M1239" s="20">
        <v>6.045515949949574E19</v>
      </c>
    </row>
    <row r="1240">
      <c r="A1240" s="6"/>
      <c r="B1240" s="6"/>
      <c r="C1240" s="4"/>
      <c r="D1240" s="4">
        <v>34.8827989581595</v>
      </c>
      <c r="E1240" s="4" t="s">
        <v>2186</v>
      </c>
      <c r="F1240" s="4"/>
      <c r="G1240" s="4"/>
      <c r="H1240" s="4"/>
      <c r="I1240" s="4" t="str">
        <f>IFERROR(__xludf.DUMMYFUNCTION("""COMPUTED_VALUE"""),"0x9a23499b6056837e2407e384cb50871e38494e81")</f>
        <v>0x9a23499b6056837e2407e384cb50871e38494e81</v>
      </c>
      <c r="J1240" s="18">
        <v>19.2501114996412</v>
      </c>
      <c r="K1240" s="4">
        <v>240.626393745515</v>
      </c>
      <c r="L1240" s="19">
        <v>2.40626393745515E20</v>
      </c>
      <c r="M1240" s="20">
        <v>2.40626393745515E19</v>
      </c>
    </row>
    <row r="1241">
      <c r="A1241" s="6"/>
      <c r="B1241" s="6"/>
      <c r="C1241" s="4"/>
      <c r="D1241" s="4">
        <v>48.3641275995966</v>
      </c>
      <c r="E1241" s="4" t="s">
        <v>2188</v>
      </c>
      <c r="F1241" s="4"/>
      <c r="G1241" s="4"/>
      <c r="H1241" s="4"/>
      <c r="I1241" s="4" t="str">
        <f>IFERROR(__xludf.DUMMYFUNCTION("""COMPUTED_VALUE"""),"0xf008c3d89f8c905462fb350e4e0f2414f071b569")</f>
        <v>0xf008c3d89f8c905462fb350e4e0f2414f071b569</v>
      </c>
      <c r="J1241" s="18">
        <v>8.146724709498569</v>
      </c>
      <c r="K1241" s="4">
        <v>101.83405886873211</v>
      </c>
      <c r="L1241" s="19">
        <v>1.0183405886873212E20</v>
      </c>
      <c r="M1241" s="20">
        <v>1.0183405886873213E19</v>
      </c>
    </row>
    <row r="1242">
      <c r="A1242" s="6"/>
      <c r="B1242" s="6"/>
      <c r="C1242" s="4"/>
      <c r="D1242" s="4">
        <v>48.3641275995966</v>
      </c>
      <c r="E1242" s="4" t="s">
        <v>2189</v>
      </c>
      <c r="F1242" s="4"/>
      <c r="G1242" s="4"/>
      <c r="H1242" s="4"/>
      <c r="I1242" s="4" t="str">
        <f>IFERROR(__xludf.DUMMYFUNCTION("""COMPUTED_VALUE"""),"0xa2fd2b6b9114d1a83ac077381241bf0f8963c320")</f>
        <v>0xa2fd2b6b9114d1a83ac077381241bf0f8963c320</v>
      </c>
      <c r="J1242" s="18">
        <v>48.3641275995966</v>
      </c>
      <c r="K1242" s="4">
        <v>604.5515949949574</v>
      </c>
      <c r="L1242" s="19">
        <v>6.045515949949574E20</v>
      </c>
      <c r="M1242" s="20">
        <v>6.045515949949574E19</v>
      </c>
    </row>
    <row r="1243">
      <c r="A1243" s="6"/>
      <c r="B1243" s="6"/>
      <c r="C1243" s="4"/>
      <c r="D1243" s="4">
        <v>48.3641275995966</v>
      </c>
      <c r="E1243" s="4" t="s">
        <v>2190</v>
      </c>
      <c r="F1243" s="4"/>
      <c r="G1243" s="4"/>
      <c r="H1243" s="4"/>
      <c r="I1243" s="4" t="str">
        <f>IFERROR(__xludf.DUMMYFUNCTION("""COMPUTED_VALUE"""),"0x9824880a3f901d08ae0add54e21dd35afc0de16d")</f>
        <v>0x9824880a3f901d08ae0add54e21dd35afc0de16d</v>
      </c>
      <c r="J1243" s="18">
        <v>6.56809709939792</v>
      </c>
      <c r="K1243" s="4">
        <v>82.101213742474</v>
      </c>
      <c r="L1243" s="19">
        <v>8.2101213742474E19</v>
      </c>
      <c r="M1243" s="20">
        <v>8.2101213742474E18</v>
      </c>
    </row>
    <row r="1244">
      <c r="A1244" s="6"/>
      <c r="B1244" s="6"/>
      <c r="C1244" s="4"/>
      <c r="D1244" s="4">
        <v>43.8158210981154</v>
      </c>
      <c r="E1244" s="4" t="s">
        <v>2191</v>
      </c>
      <c r="F1244" s="4"/>
      <c r="G1244" s="4"/>
      <c r="H1244" s="4"/>
      <c r="I1244" s="4" t="str">
        <f>IFERROR(__xludf.DUMMYFUNCTION("""COMPUTED_VALUE"""),"0x1a19c0475ec0c7adcf67036a887864dfe6067e7d")</f>
        <v>0x1a19c0475ec0c7adcf67036a887864dfe6067e7d</v>
      </c>
      <c r="J1244" s="18">
        <v>57.05367853330287</v>
      </c>
      <c r="K1244" s="4">
        <v>713.1709816662859</v>
      </c>
      <c r="L1244" s="19">
        <v>7.13170981666286E20</v>
      </c>
      <c r="M1244" s="20">
        <v>7.13170981666286E19</v>
      </c>
    </row>
    <row r="1245">
      <c r="A1245" s="6"/>
      <c r="B1245" s="6"/>
      <c r="C1245" s="4"/>
      <c r="D1245" s="4">
        <v>48.3641275995966</v>
      </c>
      <c r="E1245" s="4" t="s">
        <v>2193</v>
      </c>
      <c r="F1245" s="4"/>
      <c r="G1245" s="4"/>
      <c r="H1245" s="4"/>
      <c r="I1245" s="4" t="str">
        <f>IFERROR(__xludf.DUMMYFUNCTION("""COMPUTED_VALUE"""),"0x53f1946ac31a43a3d23d8374504fe3fafadf7404")</f>
        <v>0x53f1946ac31a43a3d23d8374504fe3fafadf7404</v>
      </c>
      <c r="J1245" s="18">
        <v>191.9848534322856</v>
      </c>
      <c r="K1245" s="4">
        <v>2399.81066790357</v>
      </c>
      <c r="L1245" s="19">
        <v>2.39981066790357E21</v>
      </c>
      <c r="M1245" s="20">
        <v>2.3998106679035704E20</v>
      </c>
    </row>
    <row r="1246">
      <c r="A1246" s="6"/>
      <c r="B1246" s="6"/>
      <c r="C1246" s="4"/>
      <c r="D1246" s="4">
        <v>48.3641275995966</v>
      </c>
      <c r="E1246" s="4" t="s">
        <v>31</v>
      </c>
      <c r="F1246" s="4"/>
      <c r="G1246" s="4"/>
      <c r="H1246" s="4"/>
      <c r="I1246" s="4" t="str">
        <f>IFERROR(__xludf.DUMMYFUNCTION("""COMPUTED_VALUE"""),"0xfbcd1ee7e6a3fc6f1c2f85f3299748005b3c7bee")</f>
        <v>0xfbcd1ee7e6a3fc6f1c2f85f3299748005b3c7bee</v>
      </c>
      <c r="J1246" s="18">
        <v>9.82247339495785</v>
      </c>
      <c r="K1246" s="4">
        <v>122.78091743697313</v>
      </c>
      <c r="L1246" s="19">
        <v>1.2278091743697312E20</v>
      </c>
      <c r="M1246" s="20">
        <v>1.2278091743697314E19</v>
      </c>
    </row>
    <row r="1247">
      <c r="A1247" s="6"/>
      <c r="B1247" s="6"/>
      <c r="C1247" s="4"/>
      <c r="D1247" s="4">
        <v>10.0232622742807</v>
      </c>
      <c r="E1247" s="4" t="s">
        <v>2194</v>
      </c>
      <c r="F1247" s="4"/>
      <c r="G1247" s="4"/>
      <c r="H1247" s="4"/>
      <c r="I1247" s="4" t="str">
        <f>IFERROR(__xludf.DUMMYFUNCTION("""COMPUTED_VALUE"""),"0x460e143507c33e4294fe278d59ecbc91c1acb738")</f>
        <v>0x460e143507c33e4294fe278d59ecbc91c1acb738</v>
      </c>
      <c r="J1247" s="18">
        <v>9.56642719425586</v>
      </c>
      <c r="K1247" s="4">
        <v>119.58033992819826</v>
      </c>
      <c r="L1247" s="19">
        <v>1.1958033992819825E20</v>
      </c>
      <c r="M1247" s="20">
        <v>1.1958033992819827E19</v>
      </c>
    </row>
    <row r="1248">
      <c r="A1248" s="6"/>
      <c r="B1248" s="6"/>
      <c r="C1248" s="4"/>
      <c r="D1248" s="4">
        <v>48.3641275995966</v>
      </c>
      <c r="E1248" s="4" t="s">
        <v>2196</v>
      </c>
      <c r="F1248" s="4"/>
      <c r="G1248" s="4"/>
      <c r="H1248" s="4"/>
      <c r="I1248" s="4" t="str">
        <f>IFERROR(__xludf.DUMMYFUNCTION("""COMPUTED_VALUE"""),"0x623ea009d54ca740277605ebe4c5764e6e003aae")</f>
        <v>0x623ea009d54ca740277605ebe4c5764e6e003aae</v>
      </c>
      <c r="J1248" s="18">
        <v>15.1359838520564</v>
      </c>
      <c r="K1248" s="4">
        <v>189.199798150705</v>
      </c>
      <c r="L1248" s="19">
        <v>1.89199798150705E20</v>
      </c>
      <c r="M1248" s="20">
        <v>1.89199798150705E19</v>
      </c>
    </row>
    <row r="1249">
      <c r="A1249" s="6"/>
      <c r="B1249" s="6"/>
      <c r="C1249" s="4"/>
      <c r="D1249" s="4">
        <v>48.3641275995966</v>
      </c>
      <c r="E1249" s="4" t="s">
        <v>2197</v>
      </c>
      <c r="F1249" s="4"/>
      <c r="G1249" s="4"/>
      <c r="H1249" s="4"/>
      <c r="I1249" s="4" t="str">
        <f>IFERROR(__xludf.DUMMYFUNCTION("""COMPUTED_VALUE"""),"0x44006fc3e3cbc54ef6093e4160820461e04c4566")</f>
        <v>0x44006fc3e3cbc54ef6093e4160820461e04c4566</v>
      </c>
      <c r="J1249" s="18">
        <v>57.66472560997164</v>
      </c>
      <c r="K1249" s="4">
        <v>720.8090701246455</v>
      </c>
      <c r="L1249" s="19">
        <v>7.208090701246455E20</v>
      </c>
      <c r="M1249" s="20">
        <v>7.208090701246455E19</v>
      </c>
    </row>
    <row r="1250">
      <c r="A1250" s="6"/>
      <c r="B1250" s="6"/>
      <c r="C1250" s="4"/>
      <c r="D1250" s="4">
        <v>24.7343722470843</v>
      </c>
      <c r="E1250" s="4" t="s">
        <v>2198</v>
      </c>
      <c r="F1250" s="4"/>
      <c r="G1250" s="4"/>
      <c r="H1250" s="4"/>
      <c r="I1250" s="4" t="str">
        <f>IFERROR(__xludf.DUMMYFUNCTION("""COMPUTED_VALUE"""),"0x5c8680ba499e1b4fde9fb52e31df8154e9f33045")</f>
        <v>0x5c8680ba499e1b4fde9fb52e31df8154e9f33045</v>
      </c>
      <c r="J1250" s="18">
        <v>9.672825519919328</v>
      </c>
      <c r="K1250" s="4">
        <v>120.9103189989916</v>
      </c>
      <c r="L1250" s="19">
        <v>1.209103189989916E20</v>
      </c>
      <c r="M1250" s="20">
        <v>1.209103189989916E19</v>
      </c>
    </row>
    <row r="1251">
      <c r="A1251" s="6"/>
      <c r="B1251" s="6"/>
      <c r="C1251" s="4"/>
      <c r="D1251" s="4">
        <v>42.8752284444912</v>
      </c>
      <c r="E1251" s="4" t="s">
        <v>2200</v>
      </c>
      <c r="F1251" s="4"/>
      <c r="G1251" s="4"/>
      <c r="H1251" s="4"/>
      <c r="I1251" s="4" t="str">
        <f>IFERROR(__xludf.DUMMYFUNCTION("""COMPUTED_VALUE"""),"0x82708938f0f412c42c5eb3241499d49d2cca37bb")</f>
        <v>0x82708938f0f412c42c5eb3241499d49d2cca37bb</v>
      </c>
      <c r="J1251" s="18">
        <v>10.1322019733549</v>
      </c>
      <c r="K1251" s="4">
        <v>126.65252466693623</v>
      </c>
      <c r="L1251" s="19">
        <v>1.2665252466693623E20</v>
      </c>
      <c r="M1251" s="20">
        <v>1.2665252466693624E19</v>
      </c>
    </row>
    <row r="1252">
      <c r="A1252" s="6"/>
      <c r="B1252" s="6"/>
      <c r="C1252" s="4"/>
      <c r="D1252" s="4">
        <v>48.3641275995966</v>
      </c>
      <c r="E1252" s="4" t="s">
        <v>2202</v>
      </c>
      <c r="F1252" s="4"/>
      <c r="G1252" s="4"/>
      <c r="H1252" s="4"/>
      <c r="I1252" s="4" t="str">
        <f>IFERROR(__xludf.DUMMYFUNCTION("""COMPUTED_VALUE"""),"0x86a4ccab666f7b26ef473fc67ee7dc5dc3c76800")</f>
        <v>0x86a4ccab666f7b26ef473fc67ee7dc5dc3c76800</v>
      </c>
      <c r="J1252" s="18">
        <v>95.4251535320943</v>
      </c>
      <c r="K1252" s="4">
        <v>1192.8144191511788</v>
      </c>
      <c r="L1252" s="19">
        <v>1.1928144191511787E21</v>
      </c>
      <c r="M1252" s="20">
        <v>1.1928144191511788E20</v>
      </c>
    </row>
    <row r="1253">
      <c r="A1253" s="6"/>
      <c r="B1253" s="6"/>
      <c r="C1253" s="4"/>
      <c r="D1253" s="4">
        <v>22.596961423677</v>
      </c>
      <c r="E1253" s="4" t="s">
        <v>2203</v>
      </c>
      <c r="F1253" s="4"/>
      <c r="G1253" s="4"/>
      <c r="H1253" s="4"/>
      <c r="I1253" s="4" t="str">
        <f>IFERROR(__xludf.DUMMYFUNCTION("""COMPUTED_VALUE"""),"0x3ced6582ae75971cefb74393a863036008f69772")</f>
        <v>0x3ced6582ae75971cefb74393a863036008f69772</v>
      </c>
      <c r="J1253" s="18">
        <v>31.559771769598502</v>
      </c>
      <c r="K1253" s="4">
        <v>394.49714711998126</v>
      </c>
      <c r="L1253" s="19">
        <v>3.944971471199812E20</v>
      </c>
      <c r="M1253" s="20">
        <v>3.944971471199813E19</v>
      </c>
    </row>
    <row r="1254">
      <c r="A1254" s="6"/>
      <c r="B1254" s="6"/>
      <c r="C1254" s="4"/>
      <c r="D1254" s="4">
        <v>19.387285749255998</v>
      </c>
      <c r="E1254" s="4" t="s">
        <v>2205</v>
      </c>
      <c r="F1254" s="4"/>
      <c r="G1254" s="4"/>
      <c r="H1254" s="4"/>
      <c r="I1254" s="4" t="str">
        <f>IFERROR(__xludf.DUMMYFUNCTION("""COMPUTED_VALUE"""),"0xc16b118817e39a69a960ea75c810389cacf67062")</f>
        <v>0xc16b118817e39a69a960ea75c810389cacf67062</v>
      </c>
      <c r="J1254" s="18">
        <v>66.2208686012581</v>
      </c>
      <c r="K1254" s="4">
        <v>827.7608575157262</v>
      </c>
      <c r="L1254" s="19">
        <v>8.277608575157262E20</v>
      </c>
      <c r="M1254" s="20">
        <v>8.277608575157263E19</v>
      </c>
    </row>
    <row r="1255">
      <c r="A1255" s="6"/>
      <c r="B1255" s="6"/>
      <c r="C1255" s="4"/>
      <c r="D1255" s="4">
        <v>9.672825519919328</v>
      </c>
      <c r="E1255" s="4" t="s">
        <v>2207</v>
      </c>
      <c r="F1255" s="4"/>
      <c r="G1255" s="4"/>
      <c r="H1255" s="4"/>
      <c r="I1255" s="4" t="str">
        <f>IFERROR(__xludf.DUMMYFUNCTION("""COMPUTED_VALUE"""),"0x0c2f581afb91eda61c72cc0c0a141157a618b3f4")</f>
        <v>0x0c2f581afb91eda61c72cc0c0a141157a618b3f4</v>
      </c>
      <c r="J1255" s="18">
        <v>12.055214099260201</v>
      </c>
      <c r="K1255" s="4">
        <v>150.69017624075252</v>
      </c>
      <c r="L1255" s="19">
        <v>1.5069017624075253E20</v>
      </c>
      <c r="M1255" s="20">
        <v>1.5069017624075254E19</v>
      </c>
    </row>
    <row r="1256">
      <c r="A1256" s="6"/>
      <c r="B1256" s="6"/>
      <c r="C1256" s="4"/>
      <c r="D1256" s="4">
        <v>19.8435445782869</v>
      </c>
      <c r="E1256" s="4" t="s">
        <v>400</v>
      </c>
      <c r="F1256" s="4"/>
      <c r="G1256" s="4"/>
      <c r="H1256" s="4"/>
      <c r="I1256" s="4" t="str">
        <f>IFERROR(__xludf.DUMMYFUNCTION("""COMPUTED_VALUE"""),"0x567665cc55e356b72072e9b2ee197923c47d039d")</f>
        <v>0x567665cc55e356b72072e9b2ee197923c47d039d</v>
      </c>
      <c r="J1256" s="18">
        <v>16.2890677981853</v>
      </c>
      <c r="K1256" s="4">
        <v>203.61334747731624</v>
      </c>
      <c r="L1256" s="19">
        <v>2.0361334747731624E20</v>
      </c>
      <c r="M1256" s="20">
        <v>2.0361334747731624E19</v>
      </c>
    </row>
    <row r="1257">
      <c r="A1257" s="6"/>
      <c r="B1257" s="6"/>
      <c r="C1257" s="4"/>
      <c r="D1257" s="4">
        <v>48.3641275995966</v>
      </c>
      <c r="E1257" s="4" t="s">
        <v>2209</v>
      </c>
      <c r="F1257" s="4"/>
      <c r="G1257" s="4"/>
      <c r="H1257" s="4"/>
      <c r="I1257" s="4" t="str">
        <f>IFERROR(__xludf.DUMMYFUNCTION("""COMPUTED_VALUE"""),"0xc157c1a70e9f6b4a823f329b792f043125199760")</f>
        <v>0xc157c1a70e9f6b4a823f329b792f043125199760</v>
      </c>
      <c r="J1257" s="18">
        <v>132.0338596765792</v>
      </c>
      <c r="K1257" s="4">
        <v>1650.42324595724</v>
      </c>
      <c r="L1257" s="19">
        <v>1.65042324595724E21</v>
      </c>
      <c r="M1257" s="20">
        <v>1.65042324595724E20</v>
      </c>
    </row>
    <row r="1258">
      <c r="A1258" s="6"/>
      <c r="B1258" s="6"/>
      <c r="C1258" s="4"/>
      <c r="D1258" s="4">
        <v>45.729863063258705</v>
      </c>
      <c r="E1258" s="4" t="s">
        <v>2210</v>
      </c>
      <c r="F1258" s="4"/>
      <c r="G1258" s="4"/>
      <c r="H1258" s="4"/>
      <c r="I1258" s="4" t="str">
        <f>IFERROR(__xludf.DUMMYFUNCTION("""COMPUTED_VALUE"""),"0xbd74f769092949f8664cc9fc11889c6f58728de8")</f>
        <v>0xbd74f769092949f8664cc9fc11889c6f58728de8</v>
      </c>
      <c r="J1258" s="18">
        <v>48.3641275995966</v>
      </c>
      <c r="K1258" s="4">
        <v>604.5515949949574</v>
      </c>
      <c r="L1258" s="19">
        <v>6.045515949949574E20</v>
      </c>
      <c r="M1258" s="20">
        <v>6.045515949949574E19</v>
      </c>
    </row>
    <row r="1259">
      <c r="A1259" s="6"/>
      <c r="B1259" s="6"/>
      <c r="C1259" s="4"/>
      <c r="D1259" s="4">
        <v>7.99461768488881</v>
      </c>
      <c r="E1259" s="4" t="s">
        <v>2212</v>
      </c>
      <c r="F1259" s="4"/>
      <c r="G1259" s="4"/>
      <c r="H1259" s="4"/>
      <c r="I1259" s="4" t="str">
        <f>IFERROR(__xludf.DUMMYFUNCTION("""COMPUTED_VALUE"""),"0x9668f8af3ba0e5b370b6280b5ad81b01642fdaae")</f>
        <v>0x9668f8af3ba0e5b370b6280b5ad81b01642fdaae</v>
      </c>
      <c r="J1259" s="18">
        <v>1.5771843128688698</v>
      </c>
      <c r="K1259" s="4">
        <v>19.714803910860873</v>
      </c>
      <c r="L1259" s="19">
        <v>1.9714803910860874E19</v>
      </c>
      <c r="M1259" s="20">
        <v>1.9714803910860874E18</v>
      </c>
    </row>
    <row r="1260">
      <c r="A1260" s="6"/>
      <c r="B1260" s="6"/>
      <c r="C1260" s="4"/>
      <c r="D1260" s="4">
        <v>29.018476559758</v>
      </c>
      <c r="E1260" s="4" t="s">
        <v>2214</v>
      </c>
      <c r="F1260" s="4"/>
      <c r="G1260" s="4"/>
      <c r="H1260" s="4"/>
      <c r="I1260" s="4" t="str">
        <f>IFERROR(__xludf.DUMMYFUNCTION("""COMPUTED_VALUE"""),"0xdd9322813b36b76a6f25f89f56732068974b2c02")</f>
        <v>0xdd9322813b36b76a6f25f89f56732068974b2c02</v>
      </c>
      <c r="J1260" s="18">
        <v>19.290695793428764</v>
      </c>
      <c r="K1260" s="4">
        <v>241.13369741785954</v>
      </c>
      <c r="L1260" s="19">
        <v>2.4113369741785953E20</v>
      </c>
      <c r="M1260" s="20">
        <v>2.4113369741785956E19</v>
      </c>
    </row>
    <row r="1261">
      <c r="A1261" s="6"/>
      <c r="B1261" s="6"/>
      <c r="C1261" s="4"/>
      <c r="D1261" s="4">
        <v>45.8275614802306</v>
      </c>
      <c r="E1261" s="4" t="s">
        <v>675</v>
      </c>
      <c r="F1261" s="4"/>
      <c r="G1261" s="4"/>
      <c r="H1261" s="4"/>
      <c r="I1261" s="4" t="str">
        <f>IFERROR(__xludf.DUMMYFUNCTION("""COMPUTED_VALUE"""),"0x9e0643f1998f897ebb18d0bccdd3c160621433eb")</f>
        <v>0x9e0643f1998f897ebb18d0bccdd3c160621433eb</v>
      </c>
      <c r="J1261" s="18">
        <v>48.3641275995966</v>
      </c>
      <c r="K1261" s="4">
        <v>604.5515949949574</v>
      </c>
      <c r="L1261" s="19">
        <v>6.045515949949574E20</v>
      </c>
      <c r="M1261" s="20">
        <v>6.045515949949574E19</v>
      </c>
    </row>
    <row r="1262">
      <c r="A1262" s="6"/>
      <c r="B1262" s="6"/>
      <c r="C1262" s="4"/>
      <c r="D1262" s="4">
        <v>6.12685795335851</v>
      </c>
      <c r="E1262" s="4" t="s">
        <v>2216</v>
      </c>
      <c r="F1262" s="4"/>
      <c r="G1262" s="4"/>
      <c r="H1262" s="4"/>
      <c r="I1262" s="4" t="str">
        <f>IFERROR(__xludf.DUMMYFUNCTION("""COMPUTED_VALUE"""),"0xc2457d6635b4ab02ab3207664b3402654aa23c50")</f>
        <v>0xc2457d6635b4ab02ab3207664b3402654aa23c50</v>
      </c>
      <c r="J1262" s="18">
        <v>9.746424387315509</v>
      </c>
      <c r="K1262" s="4">
        <v>121.83030484144386</v>
      </c>
      <c r="L1262" s="19">
        <v>1.2183030484144387E20</v>
      </c>
      <c r="M1262" s="20">
        <v>1.2183030484144388E19</v>
      </c>
    </row>
    <row r="1263">
      <c r="A1263" s="6"/>
      <c r="B1263" s="6"/>
      <c r="C1263" s="4"/>
      <c r="D1263" s="4">
        <v>6.32857925382653</v>
      </c>
      <c r="E1263" s="4" t="s">
        <v>2218</v>
      </c>
      <c r="F1263" s="4"/>
      <c r="G1263" s="4"/>
      <c r="H1263" s="4"/>
      <c r="I1263" s="4" t="str">
        <f>IFERROR(__xludf.DUMMYFUNCTION("""COMPUTED_VALUE"""),"0x20cae38e58f3e04be77a9f2b8d403920a2092903")</f>
        <v>0x20cae38e58f3e04be77a9f2b8d403920a2092903</v>
      </c>
      <c r="J1263" s="18">
        <v>37.278765424843606</v>
      </c>
      <c r="K1263" s="4">
        <v>465.98456781054506</v>
      </c>
      <c r="L1263" s="19">
        <v>4.659845678105451E20</v>
      </c>
      <c r="M1263" s="20">
        <v>4.659845678105451E19</v>
      </c>
    </row>
    <row r="1264">
      <c r="A1264" s="6"/>
      <c r="B1264" s="6"/>
      <c r="C1264" s="4"/>
      <c r="D1264" s="4">
        <v>9.695793699058031</v>
      </c>
      <c r="E1264" s="4" t="s">
        <v>2220</v>
      </c>
      <c r="F1264" s="4"/>
      <c r="G1264" s="4"/>
      <c r="H1264" s="4"/>
      <c r="I1264" s="4" t="str">
        <f>IFERROR(__xludf.DUMMYFUNCTION("""COMPUTED_VALUE"""),"0xf29389f3d83f0bed2b3210141987b45e5ff8ff94")</f>
        <v>0xf29389f3d83f0bed2b3210141987b45e5ff8ff94</v>
      </c>
      <c r="J1264" s="18">
        <v>1.4543840718871501</v>
      </c>
      <c r="K1264" s="4">
        <v>18.179800898589377</v>
      </c>
      <c r="L1264" s="19">
        <v>1.8179800898589377E19</v>
      </c>
      <c r="M1264" s="20">
        <v>1.8179800898589379E18</v>
      </c>
    </row>
    <row r="1265">
      <c r="A1265" s="6"/>
      <c r="B1265" s="6"/>
      <c r="C1265" s="4"/>
      <c r="D1265" s="4">
        <v>48.3641275995966</v>
      </c>
      <c r="E1265" s="4" t="s">
        <v>2222</v>
      </c>
      <c r="F1265" s="4"/>
      <c r="G1265" s="4"/>
      <c r="H1265" s="4"/>
      <c r="I1265" s="4" t="str">
        <f>IFERROR(__xludf.DUMMYFUNCTION("""COMPUTED_VALUE"""),"0xedf68f3d05ee9f1148eaf319f5cdc6f58a8a5128")</f>
        <v>0xedf68f3d05ee9f1148eaf319f5cdc6f58a8a5128</v>
      </c>
      <c r="J1265" s="18">
        <v>48.3641275995966</v>
      </c>
      <c r="K1265" s="4">
        <v>604.5515949949574</v>
      </c>
      <c r="L1265" s="19">
        <v>6.045515949949574E20</v>
      </c>
      <c r="M1265" s="20">
        <v>6.045515949949574E19</v>
      </c>
    </row>
    <row r="1266">
      <c r="A1266" s="6"/>
      <c r="B1266" s="6"/>
      <c r="C1266" s="4"/>
      <c r="D1266" s="4">
        <v>28.390551140068702</v>
      </c>
      <c r="E1266" s="4" t="s">
        <v>1294</v>
      </c>
      <c r="F1266" s="4"/>
      <c r="G1266" s="4"/>
      <c r="H1266" s="4"/>
      <c r="I1266" s="4" t="str">
        <f>IFERROR(__xludf.DUMMYFUNCTION("""COMPUTED_VALUE"""),"0x36bc7aee9f15f94d2cef8f72c7870ce5e080ce2a")</f>
        <v>0x36bc7aee9f15f94d2cef8f72c7870ce5e080ce2a</v>
      </c>
      <c r="J1266" s="18">
        <v>46.909946884351</v>
      </c>
      <c r="K1266" s="4">
        <v>586.3743360543875</v>
      </c>
      <c r="L1266" s="19">
        <v>5.8637433605438754E20</v>
      </c>
      <c r="M1266" s="20">
        <v>5.863743360543876E19</v>
      </c>
    </row>
    <row r="1267">
      <c r="A1267" s="6"/>
      <c r="B1267" s="6"/>
      <c r="C1267" s="4"/>
      <c r="D1267" s="4">
        <v>9.672825519919328</v>
      </c>
      <c r="E1267" s="4" t="s">
        <v>2224</v>
      </c>
      <c r="F1267" s="4"/>
      <c r="G1267" s="4"/>
      <c r="H1267" s="4"/>
      <c r="I1267" s="4" t="str">
        <f>IFERROR(__xludf.DUMMYFUNCTION("""COMPUTED_VALUE"""),"0xdfdd75fffcc8354bb05378d2e9c367226cdc258d")</f>
        <v>0xdfdd75fffcc8354bb05378d2e9c367226cdc258d</v>
      </c>
      <c r="J1267" s="18">
        <v>113.4683136722219</v>
      </c>
      <c r="K1267" s="4">
        <v>1418.3539209027738</v>
      </c>
      <c r="L1267" s="19">
        <v>1.4183539209027739E21</v>
      </c>
      <c r="M1267" s="20">
        <v>1.418353920902774E20</v>
      </c>
    </row>
    <row r="1268">
      <c r="A1268" s="6"/>
      <c r="B1268" s="6"/>
      <c r="C1268" s="4"/>
      <c r="D1268" s="4">
        <v>48.3641275995966</v>
      </c>
      <c r="E1268" s="4" t="s">
        <v>2225</v>
      </c>
      <c r="F1268" s="4"/>
      <c r="G1268" s="4"/>
      <c r="H1268" s="4"/>
      <c r="I1268" s="4" t="str">
        <f>IFERROR(__xludf.DUMMYFUNCTION("""COMPUTED_VALUE"""),"0xf03f74ebb463d9360dc093591628c76bf97eca6a")</f>
        <v>0xf03f74ebb463d9360dc093591628c76bf97eca6a</v>
      </c>
      <c r="J1268" s="18">
        <v>104.2719335414979</v>
      </c>
      <c r="K1268" s="4">
        <v>1303.3991692687237</v>
      </c>
      <c r="L1268" s="19">
        <v>1.3033991692687237E21</v>
      </c>
      <c r="M1268" s="20">
        <v>1.3033991692687239E20</v>
      </c>
    </row>
    <row r="1269">
      <c r="A1269" s="6"/>
      <c r="B1269" s="6"/>
      <c r="C1269" s="4"/>
      <c r="D1269" s="4">
        <v>48.3641275995966</v>
      </c>
      <c r="E1269" s="4" t="s">
        <v>2226</v>
      </c>
      <c r="F1269" s="4"/>
      <c r="G1269" s="4"/>
      <c r="H1269" s="4"/>
      <c r="I1269" s="4" t="str">
        <f>IFERROR(__xludf.DUMMYFUNCTION("""COMPUTED_VALUE"""),"0x321c77393da3b7583a1344a91340f51ff3dfc758")</f>
        <v>0x321c77393da3b7583a1344a91340f51ff3dfc758</v>
      </c>
      <c r="J1269" s="18">
        <v>48.3641275995966</v>
      </c>
      <c r="K1269" s="4">
        <v>604.5515949949574</v>
      </c>
      <c r="L1269" s="19">
        <v>6.045515949949574E20</v>
      </c>
      <c r="M1269" s="20">
        <v>6.045515949949574E19</v>
      </c>
    </row>
    <row r="1270">
      <c r="A1270" s="6"/>
      <c r="B1270" s="6"/>
      <c r="C1270" s="4"/>
      <c r="D1270" s="4">
        <v>48.3641275995966</v>
      </c>
      <c r="E1270" s="4" t="s">
        <v>2227</v>
      </c>
      <c r="F1270" s="4"/>
      <c r="G1270" s="4"/>
      <c r="H1270" s="4"/>
      <c r="I1270" s="4" t="str">
        <f>IFERROR(__xludf.DUMMYFUNCTION("""COMPUTED_VALUE"""),"0x863ca69b1a4ad41d3a7afe173e128c65ac90883d")</f>
        <v>0x863ca69b1a4ad41d3a7afe173e128c65ac90883d</v>
      </c>
      <c r="J1270" s="18">
        <v>234.37608780709658</v>
      </c>
      <c r="K1270" s="4">
        <v>2929.7010975887074</v>
      </c>
      <c r="L1270" s="19">
        <v>2.9297010975887076E21</v>
      </c>
      <c r="M1270" s="20">
        <v>2.9297010975887078E20</v>
      </c>
    </row>
    <row r="1271">
      <c r="A1271" s="6"/>
      <c r="B1271" s="6"/>
      <c r="C1271" s="4"/>
      <c r="D1271" s="4">
        <v>19.2501114996412</v>
      </c>
      <c r="E1271" s="4" t="s">
        <v>2228</v>
      </c>
      <c r="F1271" s="4"/>
      <c r="G1271" s="4"/>
      <c r="H1271" s="4"/>
      <c r="I1271" s="4" t="str">
        <f>IFERROR(__xludf.DUMMYFUNCTION("""COMPUTED_VALUE"""),"0xaee34628feaaaeb4ac7d0f2e03a88804df72b96b")</f>
        <v>0xaee34628feaaaeb4ac7d0f2e03a88804df72b96b</v>
      </c>
      <c r="J1271" s="18">
        <v>2.60645756968288</v>
      </c>
      <c r="K1271" s="4">
        <v>32.580719621035996</v>
      </c>
      <c r="L1271" s="19">
        <v>3.2580719621035995E19</v>
      </c>
      <c r="M1271" s="20">
        <v>3.2580719621035996E18</v>
      </c>
    </row>
    <row r="1272">
      <c r="A1272" s="6"/>
      <c r="B1272" s="6"/>
      <c r="C1272" s="4"/>
      <c r="D1272" s="4">
        <v>8.146724709498569</v>
      </c>
      <c r="E1272" s="4" t="s">
        <v>2230</v>
      </c>
      <c r="F1272" s="4"/>
      <c r="G1272" s="4"/>
      <c r="H1272" s="4"/>
      <c r="I1272" s="4" t="str">
        <f>IFERROR(__xludf.DUMMYFUNCTION("""COMPUTED_VALUE"""),"0x939968ee0bcce6920bf48af2890a349026ce6ada")</f>
        <v>0x939968ee0bcce6920bf48af2890a349026ce6ada</v>
      </c>
      <c r="J1272" s="18">
        <v>17.987276776826498</v>
      </c>
      <c r="K1272" s="4">
        <v>224.84095971033122</v>
      </c>
      <c r="L1272" s="19">
        <v>2.248409597103312E20</v>
      </c>
      <c r="M1272" s="20">
        <v>2.248409597103312E19</v>
      </c>
    </row>
    <row r="1273">
      <c r="A1273" s="6"/>
      <c r="B1273" s="6"/>
      <c r="C1273" s="4"/>
      <c r="D1273" s="4">
        <v>48.3641275995966</v>
      </c>
      <c r="E1273" s="4" t="s">
        <v>239</v>
      </c>
      <c r="F1273" s="4"/>
      <c r="G1273" s="4"/>
      <c r="H1273" s="4"/>
      <c r="I1273" s="4" t="str">
        <f>IFERROR(__xludf.DUMMYFUNCTION("""COMPUTED_VALUE"""),"0xe3b831ddced30efeaf9feca600947906a4398a2f")</f>
        <v>0xe3b831ddced30efeaf9feca600947906a4398a2f</v>
      </c>
      <c r="J1273" s="18">
        <v>48.3641275995966</v>
      </c>
      <c r="K1273" s="4">
        <v>604.5515949949574</v>
      </c>
      <c r="L1273" s="19">
        <v>6.045515949949574E20</v>
      </c>
      <c r="M1273" s="20">
        <v>6.045515949949574E19</v>
      </c>
    </row>
    <row r="1274">
      <c r="A1274" s="6"/>
      <c r="B1274" s="6"/>
      <c r="C1274" s="4"/>
      <c r="D1274" s="4">
        <v>48.3641275995966</v>
      </c>
      <c r="E1274" s="4" t="s">
        <v>2232</v>
      </c>
      <c r="F1274" s="4"/>
      <c r="G1274" s="4"/>
      <c r="H1274" s="4"/>
      <c r="I1274" s="4" t="str">
        <f>IFERROR(__xludf.DUMMYFUNCTION("""COMPUTED_VALUE"""),"0x6925c234f83fcb0d4469c6a5116d27e1df33b28b")</f>
        <v>0x6925c234f83fcb0d4469c6a5116d27e1df33b28b</v>
      </c>
      <c r="J1274" s="18">
        <v>122.8369289208771</v>
      </c>
      <c r="K1274" s="4">
        <v>1535.4616115109636</v>
      </c>
      <c r="L1274" s="19">
        <v>1.5354616115109636E21</v>
      </c>
      <c r="M1274" s="20">
        <v>1.5354616115109636E20</v>
      </c>
    </row>
    <row r="1275">
      <c r="A1275" s="6"/>
      <c r="B1275" s="6"/>
      <c r="C1275" s="4"/>
      <c r="D1275" s="4">
        <v>6.56809709939792</v>
      </c>
      <c r="E1275" s="4" t="s">
        <v>2233</v>
      </c>
      <c r="F1275" s="4"/>
      <c r="G1275" s="4"/>
      <c r="H1275" s="4"/>
      <c r="I1275" s="4" t="str">
        <f>IFERROR(__xludf.DUMMYFUNCTION("""COMPUTED_VALUE"""),"0x10c2f2a7d81842dd1f39cacd504710893ae57913")</f>
        <v>0x10c2f2a7d81842dd1f39cacd504710893ae57913</v>
      </c>
      <c r="J1275" s="18">
        <v>48.3641275995966</v>
      </c>
      <c r="K1275" s="4">
        <v>604.5515949949574</v>
      </c>
      <c r="L1275" s="19">
        <v>6.045515949949574E20</v>
      </c>
      <c r="M1275" s="20">
        <v>6.045515949949574E19</v>
      </c>
    </row>
    <row r="1276">
      <c r="A1276" s="6"/>
      <c r="B1276" s="6"/>
      <c r="C1276" s="4"/>
      <c r="D1276" s="4">
        <v>47.694675895476394</v>
      </c>
      <c r="E1276" s="4" t="s">
        <v>2235</v>
      </c>
      <c r="F1276" s="4"/>
      <c r="G1276" s="4"/>
      <c r="H1276" s="4"/>
      <c r="I1276" s="4" t="str">
        <f>IFERROR(__xludf.DUMMYFUNCTION("""COMPUTED_VALUE"""),"0xc4a5aaf98d0aa0497f18fddfa01c20c1d06701d9")</f>
        <v>0xc4a5aaf98d0aa0497f18fddfa01c20c1d06701d9</v>
      </c>
      <c r="J1276" s="18">
        <v>48.3641275995966</v>
      </c>
      <c r="K1276" s="4">
        <v>604.5515949949574</v>
      </c>
      <c r="L1276" s="19">
        <v>6.045515949949574E20</v>
      </c>
      <c r="M1276" s="20">
        <v>6.045515949949574E19</v>
      </c>
    </row>
    <row r="1277">
      <c r="A1277" s="6"/>
      <c r="B1277" s="6"/>
      <c r="C1277" s="4"/>
      <c r="D1277" s="4">
        <v>48.3641275995966</v>
      </c>
      <c r="E1277" s="4" t="s">
        <v>2237</v>
      </c>
      <c r="F1277" s="4"/>
      <c r="G1277" s="4"/>
      <c r="H1277" s="4"/>
      <c r="I1277" s="4" t="str">
        <f>IFERROR(__xludf.DUMMYFUNCTION("""COMPUTED_VALUE"""),"0x7ec74b41341ab7e30adc1a2827e3bbb15eaa4cc9")</f>
        <v>0x7ec74b41341ab7e30adc1a2827e3bbb15eaa4cc9</v>
      </c>
      <c r="J1277" s="18">
        <v>104.5795249163818</v>
      </c>
      <c r="K1277" s="4">
        <v>1307.2440614547725</v>
      </c>
      <c r="L1277" s="19">
        <v>1.3072440614547725E21</v>
      </c>
      <c r="M1277" s="20">
        <v>1.3072440614547725E20</v>
      </c>
    </row>
    <row r="1278">
      <c r="A1278" s="6"/>
      <c r="B1278" s="6"/>
      <c r="C1278" s="4"/>
      <c r="D1278" s="4">
        <v>9.82247339495785</v>
      </c>
      <c r="E1278" s="4" t="s">
        <v>2238</v>
      </c>
      <c r="F1278" s="4"/>
      <c r="G1278" s="4"/>
      <c r="H1278" s="4"/>
      <c r="I1278" s="4" t="str">
        <f>IFERROR(__xludf.DUMMYFUNCTION("""COMPUTED_VALUE"""),"0xa9a1b089187a3f79ed3eec6973a1f9dca6ef80ec")</f>
        <v>0xa9a1b089187a3f79ed3eec6973a1f9dca6ef80ec</v>
      </c>
      <c r="J1278" s="18">
        <v>14.90394646575</v>
      </c>
      <c r="K1278" s="4">
        <v>186.299330821875</v>
      </c>
      <c r="L1278" s="19">
        <v>1.86299330821875E20</v>
      </c>
      <c r="M1278" s="20">
        <v>1.86299330821875E19</v>
      </c>
    </row>
    <row r="1279">
      <c r="A1279" s="6"/>
      <c r="B1279" s="6"/>
      <c r="C1279" s="4"/>
      <c r="D1279" s="4">
        <v>9.56642719425586</v>
      </c>
      <c r="E1279" s="4" t="s">
        <v>2240</v>
      </c>
      <c r="F1279" s="4"/>
      <c r="G1279" s="4"/>
      <c r="H1279" s="4"/>
      <c r="I1279" s="4" t="str">
        <f>IFERROR(__xludf.DUMMYFUNCTION("""COMPUTED_VALUE"""),"0xd5ec777f8c7bd9c46a0097a78227a5216c7f43ac")</f>
        <v>0xd5ec777f8c7bd9c46a0097a78227a5216c7f43ac</v>
      </c>
      <c r="J1279" s="18">
        <v>9.672825519919328</v>
      </c>
      <c r="K1279" s="4">
        <v>120.9103189989916</v>
      </c>
      <c r="L1279" s="19">
        <v>1.209103189989916E20</v>
      </c>
      <c r="M1279" s="20">
        <v>1.209103189989916E19</v>
      </c>
    </row>
    <row r="1280">
      <c r="A1280" s="6"/>
      <c r="B1280" s="6"/>
      <c r="C1280" s="4"/>
      <c r="D1280" s="4">
        <v>15.1359838520564</v>
      </c>
      <c r="E1280" s="4" t="s">
        <v>2242</v>
      </c>
      <c r="F1280" s="4"/>
      <c r="G1280" s="4"/>
      <c r="H1280" s="4"/>
      <c r="I1280" s="4" t="str">
        <f>IFERROR(__xludf.DUMMYFUNCTION("""COMPUTED_VALUE"""),"0x18a85f3c71cf0afc5974f6f3e45ede2c4ee48586")</f>
        <v>0x18a85f3c71cf0afc5974f6f3e45ede2c4ee48586</v>
      </c>
      <c r="J1280" s="18">
        <v>178.5724997448466</v>
      </c>
      <c r="K1280" s="4">
        <v>2232.1562468105826</v>
      </c>
      <c r="L1280" s="19">
        <v>2.2321562468105826E21</v>
      </c>
      <c r="M1280" s="20">
        <v>2.2321562468105827E20</v>
      </c>
    </row>
    <row r="1281">
      <c r="A1281" s="6"/>
      <c r="B1281" s="6"/>
      <c r="C1281" s="4"/>
      <c r="D1281" s="4">
        <v>48.3641275995966</v>
      </c>
      <c r="E1281" s="4" t="s">
        <v>2244</v>
      </c>
      <c r="F1281" s="4"/>
      <c r="G1281" s="4"/>
      <c r="H1281" s="4"/>
      <c r="I1281" s="4" t="str">
        <f>IFERROR(__xludf.DUMMYFUNCTION("""COMPUTED_VALUE"""),"0x99329a9d73f7136ee28e344bd85132eeafae3fdc")</f>
        <v>0x99329a9d73f7136ee28e344bd85132eeafae3fdc</v>
      </c>
      <c r="J1281" s="18">
        <v>57.66472560997164</v>
      </c>
      <c r="K1281" s="4">
        <v>720.8090701246455</v>
      </c>
      <c r="L1281" s="19">
        <v>7.208090701246455E20</v>
      </c>
      <c r="M1281" s="20">
        <v>7.208090701246455E19</v>
      </c>
    </row>
    <row r="1282">
      <c r="A1282" s="6"/>
      <c r="B1282" s="6"/>
      <c r="C1282" s="4"/>
      <c r="D1282" s="4">
        <v>9.672825519919328</v>
      </c>
      <c r="E1282" s="4" t="s">
        <v>2245</v>
      </c>
      <c r="F1282" s="4"/>
      <c r="G1282" s="4"/>
      <c r="H1282" s="4"/>
      <c r="I1282" s="4" t="str">
        <f>IFERROR(__xludf.DUMMYFUNCTION("""COMPUTED_VALUE"""),"0x44dc3320ead2bd42a0f8c4abd980c568f1e40417")</f>
        <v>0x44dc3320ead2bd42a0f8c4abd980c568f1e40417</v>
      </c>
      <c r="J1282" s="18">
        <v>48.3641275995966</v>
      </c>
      <c r="K1282" s="4">
        <v>604.5515949949574</v>
      </c>
      <c r="L1282" s="19">
        <v>6.045515949949574E20</v>
      </c>
      <c r="M1282" s="20">
        <v>6.045515949949574E19</v>
      </c>
    </row>
    <row r="1283">
      <c r="A1283" s="6"/>
      <c r="B1283" s="6"/>
      <c r="C1283" s="4"/>
      <c r="D1283" s="4">
        <v>10.1322019733549</v>
      </c>
      <c r="E1283" s="4" t="s">
        <v>2246</v>
      </c>
      <c r="F1283" s="4"/>
      <c r="G1283" s="4"/>
      <c r="H1283" s="4"/>
      <c r="I1283" s="4" t="str">
        <f>IFERROR(__xludf.DUMMYFUNCTION("""COMPUTED_VALUE"""),"0xa8dc2a066524ea17b7574bf664a4b9635cb54ae1")</f>
        <v>0xa8dc2a066524ea17b7574bf664a4b9635cb54ae1</v>
      </c>
      <c r="J1283" s="18">
        <v>0.0816174021783831</v>
      </c>
      <c r="K1283" s="4">
        <v>1.0202175272297889</v>
      </c>
      <c r="L1283" s="19">
        <v>1.0202175272297889E18</v>
      </c>
      <c r="M1283" s="20">
        <v>1.020217527229789E17</v>
      </c>
    </row>
    <row r="1284">
      <c r="A1284" s="6"/>
      <c r="B1284" s="6"/>
      <c r="C1284" s="4"/>
      <c r="D1284" s="4">
        <v>48.3641275995966</v>
      </c>
      <c r="E1284" s="4" t="s">
        <v>2248</v>
      </c>
      <c r="F1284" s="4"/>
      <c r="G1284" s="4"/>
      <c r="H1284" s="4"/>
      <c r="I1284" s="4" t="str">
        <f>IFERROR(__xludf.DUMMYFUNCTION("""COMPUTED_VALUE"""),"0xd8e9aca964088bbfbd494f06051bfe3a4e6bdfd9")</f>
        <v>0xd8e9aca964088bbfbd494f06051bfe3a4e6bdfd9</v>
      </c>
      <c r="J1284" s="18">
        <v>36.3432290741362</v>
      </c>
      <c r="K1284" s="4">
        <v>454.29036342670247</v>
      </c>
      <c r="L1284" s="19">
        <v>4.542903634267025E20</v>
      </c>
      <c r="M1284" s="20">
        <v>4.542903634267025E19</v>
      </c>
    </row>
    <row r="1285">
      <c r="A1285" s="6"/>
      <c r="B1285" s="6"/>
      <c r="C1285" s="4"/>
      <c r="D1285" s="4">
        <v>31.559771769598502</v>
      </c>
      <c r="E1285" s="4" t="s">
        <v>2249</v>
      </c>
      <c r="F1285" s="4"/>
      <c r="G1285" s="4"/>
      <c r="H1285" s="4"/>
      <c r="I1285" s="4" t="str">
        <f>IFERROR(__xludf.DUMMYFUNCTION("""COMPUTED_VALUE"""),"0x97e8798cb2952c0fba7b80ed20b7beb18624d7ff")</f>
        <v>0x97e8798cb2952c0fba7b80ed20b7beb18624d7ff</v>
      </c>
      <c r="J1285" s="18">
        <v>6.345346892022979</v>
      </c>
      <c r="K1285" s="4">
        <v>79.31683615028724</v>
      </c>
      <c r="L1285" s="19">
        <v>7.931683615028724E19</v>
      </c>
      <c r="M1285" s="20">
        <v>7.931683615028724E18</v>
      </c>
    </row>
    <row r="1286">
      <c r="A1286" s="6"/>
      <c r="B1286" s="6"/>
      <c r="C1286" s="4"/>
      <c r="D1286" s="4">
        <v>29.018476559758</v>
      </c>
      <c r="E1286" s="4" t="s">
        <v>2251</v>
      </c>
      <c r="F1286" s="4"/>
      <c r="G1286" s="4"/>
      <c r="H1286" s="4"/>
      <c r="I1286" s="4" t="str">
        <f>IFERROR(__xludf.DUMMYFUNCTION("""COMPUTED_VALUE"""),"0xf387c0bb7380364337ab510ee89c39026fc9c4ee")</f>
        <v>0xf387c0bb7380364337ab510ee89c39026fc9c4ee</v>
      </c>
      <c r="J1286" s="18">
        <v>43.9654938096005</v>
      </c>
      <c r="K1286" s="4">
        <v>549.5686726200063</v>
      </c>
      <c r="L1286" s="19">
        <v>5.495686726200063E20</v>
      </c>
      <c r="M1286" s="20">
        <v>5.495686726200063E19</v>
      </c>
    </row>
    <row r="1287">
      <c r="A1287" s="6"/>
      <c r="B1287" s="6"/>
      <c r="C1287" s="4"/>
      <c r="D1287" s="4">
        <v>12.055214099260201</v>
      </c>
      <c r="E1287" s="4" t="s">
        <v>2252</v>
      </c>
      <c r="F1287" s="4"/>
      <c r="G1287" s="4"/>
      <c r="H1287" s="4"/>
      <c r="I1287" s="4" t="str">
        <f>IFERROR(__xludf.DUMMYFUNCTION("""COMPUTED_VALUE"""),"0xe4a17c5cf1c8b5e9b24a53c48788ffdc93b3a370")</f>
        <v>0xe4a17c5cf1c8b5e9b24a53c48788ffdc93b3a370</v>
      </c>
      <c r="J1287" s="18">
        <v>213.1862724290016</v>
      </c>
      <c r="K1287" s="4">
        <v>2664.82840536252</v>
      </c>
      <c r="L1287" s="19">
        <v>2.66482840536252E21</v>
      </c>
      <c r="M1287" s="20">
        <v>2.6648284053625202E20</v>
      </c>
    </row>
    <row r="1288">
      <c r="A1288" s="6"/>
      <c r="B1288" s="6"/>
      <c r="C1288" s="4"/>
      <c r="D1288" s="4">
        <v>16.2890677981853</v>
      </c>
      <c r="E1288" s="4" t="s">
        <v>2254</v>
      </c>
      <c r="F1288" s="4"/>
      <c r="G1288" s="4"/>
      <c r="H1288" s="4"/>
      <c r="I1288" s="4" t="str">
        <f>IFERROR(__xludf.DUMMYFUNCTION("""COMPUTED_VALUE"""),"0xfc45e7058806b0c8c2a9b02210a57f075ef93d33")</f>
        <v>0xfc45e7058806b0c8c2a9b02210a57f075ef93d33</v>
      </c>
      <c r="J1288" s="18">
        <v>132.0695096929719</v>
      </c>
      <c r="K1288" s="4">
        <v>1650.8688711621487</v>
      </c>
      <c r="L1288" s="19">
        <v>1.6508688711621487E21</v>
      </c>
      <c r="M1288" s="20">
        <v>1.6508688711621486E20</v>
      </c>
    </row>
    <row r="1289">
      <c r="A1289" s="6"/>
      <c r="B1289" s="6"/>
      <c r="C1289" s="4"/>
      <c r="D1289" s="4">
        <v>48.3641275995966</v>
      </c>
      <c r="E1289" s="4" t="s">
        <v>2256</v>
      </c>
      <c r="F1289" s="4"/>
      <c r="G1289" s="4"/>
      <c r="H1289" s="4"/>
      <c r="I1289" s="4" t="str">
        <f>IFERROR(__xludf.DUMMYFUNCTION("""COMPUTED_VALUE"""),"0xc90943e4ab3cba873d7405fc9ed6ed5fa80c88d0")</f>
        <v>0xc90943e4ab3cba873d7405fc9ed6ed5fa80c88d0</v>
      </c>
      <c r="J1289" s="18">
        <v>55.8198054608426</v>
      </c>
      <c r="K1289" s="4">
        <v>697.7475682605325</v>
      </c>
      <c r="L1289" s="19">
        <v>6.977475682605325E20</v>
      </c>
      <c r="M1289" s="20">
        <v>6.9774756826053255E19</v>
      </c>
    </row>
    <row r="1290">
      <c r="A1290" s="6"/>
      <c r="B1290" s="6"/>
      <c r="C1290" s="4"/>
      <c r="D1290" s="4">
        <v>48.3641275995966</v>
      </c>
      <c r="E1290" s="4" t="s">
        <v>2257</v>
      </c>
      <c r="F1290" s="4"/>
      <c r="G1290" s="4"/>
      <c r="H1290" s="4"/>
      <c r="I1290" s="4" t="str">
        <f>IFERROR(__xludf.DUMMYFUNCTION("""COMPUTED_VALUE"""),"0x85c24c91252aa6f51bc95a9a80c6ddecc60bc2f4")</f>
        <v>0x85c24c91252aa6f51bc95a9a80c6ddecc60bc2f4</v>
      </c>
      <c r="J1290" s="18">
        <v>38.5152255410892</v>
      </c>
      <c r="K1290" s="4">
        <v>481.440319263615</v>
      </c>
      <c r="L1290" s="19">
        <v>4.8144031926361496E20</v>
      </c>
      <c r="M1290" s="20">
        <v>4.81440319263615E19</v>
      </c>
    </row>
    <row r="1291">
      <c r="A1291" s="6"/>
      <c r="B1291" s="6"/>
      <c r="C1291" s="4"/>
      <c r="D1291" s="4">
        <v>1.5771843128688698</v>
      </c>
      <c r="E1291" s="4" t="s">
        <v>2258</v>
      </c>
      <c r="F1291" s="4"/>
      <c r="G1291" s="4"/>
      <c r="H1291" s="4"/>
      <c r="I1291" s="4" t="str">
        <f>IFERROR(__xludf.DUMMYFUNCTION("""COMPUTED_VALUE"""),"0x0d1750d7bece509e467722d72d459f8ac5f44081")</f>
        <v>0x0d1750d7bece509e467722d72d459f8ac5f44081</v>
      </c>
      <c r="J1291" s="18">
        <v>19.864093669464303</v>
      </c>
      <c r="K1291" s="4">
        <v>248.30117086830379</v>
      </c>
      <c r="L1291" s="19">
        <v>2.483011708683038E20</v>
      </c>
      <c r="M1291" s="20">
        <v>2.483011708683038E19</v>
      </c>
    </row>
    <row r="1292">
      <c r="A1292" s="6"/>
      <c r="B1292" s="6"/>
      <c r="C1292" s="4"/>
      <c r="D1292" s="4">
        <v>18.953270291081303</v>
      </c>
      <c r="E1292" s="4" t="s">
        <v>2260</v>
      </c>
      <c r="F1292" s="4"/>
      <c r="G1292" s="4"/>
      <c r="H1292" s="4"/>
      <c r="I1292" s="4" t="str">
        <f>IFERROR(__xludf.DUMMYFUNCTION("""COMPUTED_VALUE"""),"0xf703edb701b918adefc9895f7cf6e74e2b51298c")</f>
        <v>0xf703edb701b918adefc9895f7cf6e74e2b51298c</v>
      </c>
      <c r="J1292" s="18">
        <v>48.3641275995966</v>
      </c>
      <c r="K1292" s="4">
        <v>604.5515949949574</v>
      </c>
      <c r="L1292" s="19">
        <v>6.045515949949574E20</v>
      </c>
      <c r="M1292" s="20">
        <v>6.045515949949574E19</v>
      </c>
    </row>
    <row r="1293">
      <c r="A1293" s="6"/>
      <c r="B1293" s="6"/>
      <c r="C1293" s="4"/>
      <c r="D1293" s="4">
        <v>48.3641275995966</v>
      </c>
      <c r="E1293" s="4" t="s">
        <v>2262</v>
      </c>
      <c r="F1293" s="4"/>
      <c r="G1293" s="4"/>
      <c r="H1293" s="4"/>
      <c r="I1293" s="4" t="str">
        <f>IFERROR(__xludf.DUMMYFUNCTION("""COMPUTED_VALUE"""),"0xaaf78732fcc857f47a4a07fb0ad436eff128f11d")</f>
        <v>0xaaf78732fcc857f47a4a07fb0ad436eff128f11d</v>
      </c>
      <c r="J1293" s="18">
        <v>9.67375006831509</v>
      </c>
      <c r="K1293" s="4">
        <v>120.92187585393863</v>
      </c>
      <c r="L1293" s="19">
        <v>1.2092187585393862E20</v>
      </c>
      <c r="M1293" s="20">
        <v>1.2092187585393863E19</v>
      </c>
    </row>
    <row r="1294">
      <c r="A1294" s="6"/>
      <c r="B1294" s="6"/>
      <c r="C1294" s="4"/>
      <c r="D1294" s="4">
        <v>9.746424387315509</v>
      </c>
      <c r="E1294" s="4" t="s">
        <v>2263</v>
      </c>
      <c r="F1294" s="4"/>
      <c r="G1294" s="4"/>
      <c r="H1294" s="4"/>
      <c r="I1294" s="4" t="str">
        <f>IFERROR(__xludf.DUMMYFUNCTION("""COMPUTED_VALUE"""),"0x0f623a464daf9d0ca8902a769ecf5703c6054867")</f>
        <v>0x0f623a464daf9d0ca8902a769ecf5703c6054867</v>
      </c>
      <c r="J1294" s="18">
        <v>38.9991874519074</v>
      </c>
      <c r="K1294" s="4">
        <v>487.4898431488425</v>
      </c>
      <c r="L1294" s="19">
        <v>4.8748984314884253E20</v>
      </c>
      <c r="M1294" s="20">
        <v>4.874898431488426E19</v>
      </c>
    </row>
    <row r="1295">
      <c r="A1295" s="6"/>
      <c r="B1295" s="6"/>
      <c r="C1295" s="4"/>
      <c r="D1295" s="4">
        <v>37.278765424843606</v>
      </c>
      <c r="E1295" s="4" t="s">
        <v>2265</v>
      </c>
      <c r="F1295" s="4"/>
      <c r="G1295" s="4"/>
      <c r="H1295" s="4"/>
      <c r="I1295" s="4" t="str">
        <f>IFERROR(__xludf.DUMMYFUNCTION("""COMPUTED_VALUE"""),"0xa10fd1626bd9b37dffaa82b3543de85b8df2f494")</f>
        <v>0xa10fd1626bd9b37dffaa82b3543de85b8df2f494</v>
      </c>
      <c r="J1295" s="18">
        <v>9.672825519919328</v>
      </c>
      <c r="K1295" s="4">
        <v>120.9103189989916</v>
      </c>
      <c r="L1295" s="19">
        <v>1.209103189989916E20</v>
      </c>
      <c r="M1295" s="20">
        <v>1.209103189989916E19</v>
      </c>
    </row>
    <row r="1296">
      <c r="A1296" s="6"/>
      <c r="B1296" s="6"/>
      <c r="C1296" s="4"/>
      <c r="D1296" s="4">
        <v>43.7781958285997</v>
      </c>
      <c r="E1296" s="4" t="s">
        <v>383</v>
      </c>
      <c r="F1296" s="4"/>
      <c r="G1296" s="4"/>
      <c r="H1296" s="4"/>
      <c r="I1296" s="4" t="str">
        <f>IFERROR(__xludf.DUMMYFUNCTION("""COMPUTED_VALUE"""),"0xfc25ba2ed8616a040500ec942c37e74eafc38a0f")</f>
        <v>0xfc25ba2ed8616a040500ec942c37e74eafc38a0f</v>
      </c>
      <c r="J1296" s="18">
        <v>57.66472560997164</v>
      </c>
      <c r="K1296" s="4">
        <v>720.8090701246455</v>
      </c>
      <c r="L1296" s="19">
        <v>7.208090701246455E20</v>
      </c>
      <c r="M1296" s="20">
        <v>7.208090701246455E19</v>
      </c>
    </row>
    <row r="1297">
      <c r="A1297" s="6"/>
      <c r="B1297" s="6"/>
      <c r="C1297" s="4"/>
      <c r="D1297" s="4">
        <v>1.4543840718871501</v>
      </c>
      <c r="E1297" s="4" t="s">
        <v>2268</v>
      </c>
      <c r="F1297" s="4"/>
      <c r="G1297" s="4"/>
      <c r="H1297" s="4"/>
      <c r="I1297" s="4" t="str">
        <f>IFERROR(__xludf.DUMMYFUNCTION("""COMPUTED_VALUE"""),"0x07e878070d8337e9d22416db14c398da993d6dd9")</f>
        <v>0x07e878070d8337e9d22416db14c398da993d6dd9</v>
      </c>
      <c r="J1297" s="18">
        <v>33.762501439652496</v>
      </c>
      <c r="K1297" s="4">
        <v>422.0312679956562</v>
      </c>
      <c r="L1297" s="19">
        <v>4.220312679956562E20</v>
      </c>
      <c r="M1297" s="20">
        <v>4.220312679956562E19</v>
      </c>
    </row>
    <row r="1298">
      <c r="A1298" s="6"/>
      <c r="B1298" s="6"/>
      <c r="C1298" s="4"/>
      <c r="D1298" s="4">
        <v>48.3641275995966</v>
      </c>
      <c r="E1298" s="4" t="s">
        <v>507</v>
      </c>
      <c r="F1298" s="4"/>
      <c r="G1298" s="4"/>
      <c r="H1298" s="4"/>
      <c r="I1298" s="4" t="str">
        <f>IFERROR(__xludf.DUMMYFUNCTION("""COMPUTED_VALUE"""),"0x5dacf57d40979a7f4debe9ef04a3a6357f54895f")</f>
        <v>0x5dacf57d40979a7f4debe9ef04a3a6357f54895f</v>
      </c>
      <c r="J1298" s="18">
        <v>4.10475256115996</v>
      </c>
      <c r="K1298" s="4">
        <v>51.3094070144995</v>
      </c>
      <c r="L1298" s="19">
        <v>5.13094070144995E19</v>
      </c>
      <c r="M1298" s="20">
        <v>5.13094070144995E18</v>
      </c>
    </row>
    <row r="1299">
      <c r="A1299" s="6"/>
      <c r="B1299" s="6"/>
      <c r="C1299" s="4"/>
      <c r="D1299" s="4">
        <v>48.3641275995966</v>
      </c>
      <c r="E1299" s="4" t="s">
        <v>2270</v>
      </c>
      <c r="F1299" s="4"/>
      <c r="G1299" s="4"/>
      <c r="H1299" s="4"/>
      <c r="I1299" s="4" t="str">
        <f>IFERROR(__xludf.DUMMYFUNCTION("""COMPUTED_VALUE"""),"0xbf12af303e58ecb6684d55b951e7c7800ba9e0ab")</f>
        <v>0xbf12af303e58ecb6684d55b951e7c7800ba9e0ab</v>
      </c>
      <c r="J1299" s="18">
        <v>18.5682228487377</v>
      </c>
      <c r="K1299" s="4">
        <v>232.10278560922126</v>
      </c>
      <c r="L1299" s="19">
        <v>2.3210278560922124E20</v>
      </c>
      <c r="M1299" s="20">
        <v>2.3210278560922124E19</v>
      </c>
    </row>
    <row r="1300">
      <c r="A1300" s="6"/>
      <c r="B1300" s="6"/>
      <c r="C1300" s="4"/>
      <c r="D1300" s="4">
        <v>46.909946884351</v>
      </c>
      <c r="E1300" s="4" t="s">
        <v>2271</v>
      </c>
      <c r="F1300" s="4"/>
      <c r="G1300" s="4"/>
      <c r="H1300" s="4"/>
      <c r="I1300" s="4" t="str">
        <f>IFERROR(__xludf.DUMMYFUNCTION("""COMPUTED_VALUE"""),"0x4ba99a28f76c572607a7e455625b9dd594b05efa")</f>
        <v>0x4ba99a28f76c572607a7e455625b9dd594b05efa</v>
      </c>
      <c r="J1300" s="18">
        <v>7.33077322511567</v>
      </c>
      <c r="K1300" s="4">
        <v>91.63466531394587</v>
      </c>
      <c r="L1300" s="19">
        <v>9.163466531394588E19</v>
      </c>
      <c r="M1300" s="20">
        <v>9.163466531394589E18</v>
      </c>
    </row>
    <row r="1301">
      <c r="A1301" s="6"/>
      <c r="B1301" s="6"/>
      <c r="C1301" s="4"/>
      <c r="D1301" s="4">
        <v>48.3641275995966</v>
      </c>
      <c r="E1301" s="4" t="s">
        <v>2273</v>
      </c>
      <c r="F1301" s="4"/>
      <c r="G1301" s="4"/>
      <c r="H1301" s="4"/>
      <c r="I1301" s="4" t="str">
        <f>IFERROR(__xludf.DUMMYFUNCTION("""COMPUTED_VALUE"""),"0x30efefb5f7e35bf623d772bfba927b11f6a731af")</f>
        <v>0x30efefb5f7e35bf623d772bfba927b11f6a731af</v>
      </c>
      <c r="J1301" s="18">
        <v>9.672825519919328</v>
      </c>
      <c r="K1301" s="4">
        <v>120.9103189989916</v>
      </c>
      <c r="L1301" s="19">
        <v>1.209103189989916E20</v>
      </c>
      <c r="M1301" s="20">
        <v>1.209103189989916E19</v>
      </c>
    </row>
    <row r="1302">
      <c r="A1302" s="6"/>
      <c r="B1302" s="6"/>
      <c r="C1302" s="4"/>
      <c r="D1302" s="4">
        <v>0.801696089682663</v>
      </c>
      <c r="E1302" s="4" t="s">
        <v>1300</v>
      </c>
      <c r="F1302" s="4"/>
      <c r="G1302" s="4"/>
      <c r="H1302" s="4"/>
      <c r="I1302" s="4" t="str">
        <f>IFERROR(__xludf.DUMMYFUNCTION("""COMPUTED_VALUE"""),"0xb5a22886f22bdcb44b804a00005200a7fff2d346")</f>
        <v>0xb5a22886f22bdcb44b804a00005200a7fff2d346</v>
      </c>
      <c r="J1302" s="18">
        <v>0.238803811729428</v>
      </c>
      <c r="K1302" s="4">
        <v>2.9850476466178497</v>
      </c>
      <c r="L1302" s="19">
        <v>2.98504764661785E18</v>
      </c>
      <c r="M1302" s="20">
        <v>2.98504764661785E17</v>
      </c>
    </row>
    <row r="1303">
      <c r="A1303" s="6"/>
      <c r="B1303" s="6"/>
      <c r="C1303" s="4"/>
      <c r="D1303" s="4">
        <v>36.2072605272714</v>
      </c>
      <c r="E1303" s="4" t="s">
        <v>1776</v>
      </c>
      <c r="F1303" s="4"/>
      <c r="G1303" s="4"/>
      <c r="H1303" s="4"/>
      <c r="I1303" s="4" t="str">
        <f>IFERROR(__xludf.DUMMYFUNCTION("""COMPUTED_VALUE"""),"0x4978d237b4c6e33ff8c6a3e24710fef0cee45f87")</f>
        <v>0x4978d237b4c6e33ff8c6a3e24710fef0cee45f87</v>
      </c>
      <c r="J1303" s="18">
        <v>188.2436019901016</v>
      </c>
      <c r="K1303" s="4">
        <v>2353.04502487627</v>
      </c>
      <c r="L1303" s="19">
        <v>2.35304502487627E21</v>
      </c>
      <c r="M1303" s="20">
        <v>2.35304502487627E20</v>
      </c>
    </row>
    <row r="1304">
      <c r="A1304" s="6"/>
      <c r="B1304" s="6"/>
      <c r="C1304" s="4"/>
      <c r="D1304" s="4">
        <v>48.3641275995966</v>
      </c>
      <c r="E1304" s="4" t="s">
        <v>2276</v>
      </c>
      <c r="F1304" s="4"/>
      <c r="G1304" s="4"/>
      <c r="H1304" s="4"/>
      <c r="I1304" s="4" t="str">
        <f>IFERROR(__xludf.DUMMYFUNCTION("""COMPUTED_VALUE"""),"0xa218d9d6169524848a3eb97e2c88d89d1a2f84a2")</f>
        <v>0xa218d9d6169524848a3eb97e2c88d89d1a2f84a2</v>
      </c>
      <c r="J1304" s="18">
        <v>4.76819779247119</v>
      </c>
      <c r="K1304" s="4">
        <v>59.60247240588987</v>
      </c>
      <c r="L1304" s="19">
        <v>5.960247240588987E19</v>
      </c>
      <c r="M1304" s="20">
        <v>5.960247240588987E18</v>
      </c>
    </row>
    <row r="1305">
      <c r="A1305" s="6"/>
      <c r="B1305" s="6"/>
      <c r="C1305" s="4"/>
      <c r="D1305" s="4">
        <v>48.3641275995966</v>
      </c>
      <c r="E1305" s="4" t="s">
        <v>2277</v>
      </c>
      <c r="F1305" s="4"/>
      <c r="G1305" s="4"/>
      <c r="H1305" s="4"/>
      <c r="I1305" s="4" t="str">
        <f>IFERROR(__xludf.DUMMYFUNCTION("""COMPUTED_VALUE"""),"0x6acd60819ac9510a4828ab183382fc3e86b47a91")</f>
        <v>0x6acd60819ac9510a4828ab183382fc3e86b47a91</v>
      </c>
      <c r="J1305" s="18">
        <v>48.3641275995966</v>
      </c>
      <c r="K1305" s="4">
        <v>604.5515949949574</v>
      </c>
      <c r="L1305" s="19">
        <v>6.045515949949574E20</v>
      </c>
      <c r="M1305" s="20">
        <v>6.045515949949574E19</v>
      </c>
    </row>
    <row r="1306">
      <c r="A1306" s="6"/>
      <c r="B1306" s="6"/>
      <c r="C1306" s="4"/>
      <c r="D1306" s="4">
        <v>48.3641275995966</v>
      </c>
      <c r="E1306" s="4" t="s">
        <v>354</v>
      </c>
      <c r="F1306" s="4"/>
      <c r="G1306" s="4"/>
      <c r="H1306" s="4"/>
      <c r="I1306" s="4" t="str">
        <f>IFERROR(__xludf.DUMMYFUNCTION("""COMPUTED_VALUE"""),"0xdfb3aaf857ab9c061f66fd197c0e271fe83277fc")</f>
        <v>0xdfb3aaf857ab9c061f66fd197c0e271fe83277fc</v>
      </c>
      <c r="J1306" s="18">
        <v>48.3641275995966</v>
      </c>
      <c r="K1306" s="4">
        <v>604.5515949949574</v>
      </c>
      <c r="L1306" s="19">
        <v>6.045515949949574E20</v>
      </c>
      <c r="M1306" s="20">
        <v>6.045515949949574E19</v>
      </c>
    </row>
    <row r="1307">
      <c r="A1307" s="6"/>
      <c r="B1307" s="6"/>
      <c r="C1307" s="4"/>
      <c r="D1307" s="4">
        <v>48.3641275995966</v>
      </c>
      <c r="E1307" s="4" t="s">
        <v>2278</v>
      </c>
      <c r="F1307" s="4"/>
      <c r="G1307" s="4"/>
      <c r="H1307" s="4"/>
      <c r="I1307" s="4" t="str">
        <f>IFERROR(__xludf.DUMMYFUNCTION("""COMPUTED_VALUE"""),"0xb381a30653fb825e336687becbdbf784a1470c3c")</f>
        <v>0xb381a30653fb825e336687becbdbf784a1470c3c</v>
      </c>
      <c r="J1307" s="18">
        <v>48.3641275995966</v>
      </c>
      <c r="K1307" s="4">
        <v>604.5515949949574</v>
      </c>
      <c r="L1307" s="19">
        <v>6.045515949949574E20</v>
      </c>
      <c r="M1307" s="20">
        <v>6.045515949949574E19</v>
      </c>
    </row>
    <row r="1308">
      <c r="A1308" s="6"/>
      <c r="B1308" s="6"/>
      <c r="C1308" s="4"/>
      <c r="D1308" s="4">
        <v>2.60645756968288</v>
      </c>
      <c r="E1308" s="4" t="s">
        <v>2279</v>
      </c>
      <c r="F1308" s="4"/>
      <c r="G1308" s="4"/>
      <c r="H1308" s="4"/>
      <c r="I1308" s="4" t="str">
        <f>IFERROR(__xludf.DUMMYFUNCTION("""COMPUTED_VALUE"""),"0xa22800d34b90a3bbb9399845d256029181f54519")</f>
        <v>0xa22800d34b90a3bbb9399845d256029181f54519</v>
      </c>
      <c r="J1308" s="18">
        <v>48.3641275995966</v>
      </c>
      <c r="K1308" s="4">
        <v>604.5515949949574</v>
      </c>
      <c r="L1308" s="19">
        <v>6.045515949949574E20</v>
      </c>
      <c r="M1308" s="20">
        <v>6.045515949949574E19</v>
      </c>
    </row>
    <row r="1309">
      <c r="A1309" s="6"/>
      <c r="B1309" s="6"/>
      <c r="C1309" s="4"/>
      <c r="D1309" s="4">
        <v>17.987276776826498</v>
      </c>
      <c r="E1309" s="4" t="s">
        <v>2281</v>
      </c>
      <c r="F1309" s="4"/>
      <c r="G1309" s="4"/>
      <c r="H1309" s="4"/>
      <c r="I1309" s="4" t="str">
        <f>IFERROR(__xludf.DUMMYFUNCTION("""COMPUTED_VALUE"""),"0xadb978774cd1d78a4845e4d8c5b43a5d1ff2f2ff")</f>
        <v>0xadb978774cd1d78a4845e4d8c5b43a5d1ff2f2ff</v>
      </c>
      <c r="J1309" s="18">
        <v>10.349899623561098</v>
      </c>
      <c r="K1309" s="4">
        <v>129.37374529451372</v>
      </c>
      <c r="L1309" s="19">
        <v>1.2937374529451372E20</v>
      </c>
      <c r="M1309" s="20">
        <v>1.2937374529451373E19</v>
      </c>
    </row>
    <row r="1310">
      <c r="A1310" s="6"/>
      <c r="B1310" s="6"/>
      <c r="C1310" s="4"/>
      <c r="D1310" s="4">
        <v>48.3641275995966</v>
      </c>
      <c r="E1310" s="4" t="s">
        <v>2283</v>
      </c>
      <c r="F1310" s="4"/>
      <c r="G1310" s="4"/>
      <c r="H1310" s="4"/>
      <c r="I1310" s="4" t="str">
        <f>IFERROR(__xludf.DUMMYFUNCTION("""COMPUTED_VALUE"""),"0x4d34192f6188d74e7930ba0ed8798f2a1beddbb1")</f>
        <v>0x4d34192f6188d74e7930ba0ed8798f2a1beddbb1</v>
      </c>
      <c r="J1310" s="18">
        <v>9.672825519919328</v>
      </c>
      <c r="K1310" s="4">
        <v>120.9103189989916</v>
      </c>
      <c r="L1310" s="19">
        <v>1.209103189989916E20</v>
      </c>
      <c r="M1310" s="20">
        <v>1.209103189989916E19</v>
      </c>
    </row>
    <row r="1311">
      <c r="A1311" s="6"/>
      <c r="B1311" s="6"/>
      <c r="C1311" s="4"/>
      <c r="D1311" s="4">
        <v>48.3641275995966</v>
      </c>
      <c r="E1311" s="4" t="s">
        <v>2284</v>
      </c>
      <c r="F1311" s="4"/>
      <c r="G1311" s="4"/>
      <c r="H1311" s="4"/>
      <c r="I1311" s="4" t="str">
        <f>IFERROR(__xludf.DUMMYFUNCTION("""COMPUTED_VALUE"""),"0x36a787783cfe2579319a3e2823d2a77384ff0b6f")</f>
        <v>0x36a787783cfe2579319a3e2823d2a77384ff0b6f</v>
      </c>
      <c r="J1311" s="18">
        <v>48.3641275995966</v>
      </c>
      <c r="K1311" s="4">
        <v>604.5515949949574</v>
      </c>
      <c r="L1311" s="19">
        <v>6.045515949949574E20</v>
      </c>
      <c r="M1311" s="20">
        <v>6.045515949949574E19</v>
      </c>
    </row>
    <row r="1312">
      <c r="A1312" s="6"/>
      <c r="B1312" s="6"/>
      <c r="C1312" s="4"/>
      <c r="D1312" s="4">
        <v>48.3641275995966</v>
      </c>
      <c r="E1312" s="4" t="s">
        <v>2285</v>
      </c>
      <c r="F1312" s="4"/>
      <c r="G1312" s="4"/>
      <c r="H1312" s="4"/>
      <c r="I1312" s="4" t="str">
        <f>IFERROR(__xludf.DUMMYFUNCTION("""COMPUTED_VALUE"""),"0x89a3ee25815ef7601a2ee1ec0e0e02749f119c30")</f>
        <v>0x89a3ee25815ef7601a2ee1ec0e0e02749f119c30</v>
      </c>
      <c r="J1312" s="18">
        <v>48.3641275995966</v>
      </c>
      <c r="K1312" s="4">
        <v>604.5515949949574</v>
      </c>
      <c r="L1312" s="19">
        <v>6.045515949949574E20</v>
      </c>
      <c r="M1312" s="20">
        <v>6.045515949949574E19</v>
      </c>
    </row>
    <row r="1313">
      <c r="A1313" s="6"/>
      <c r="B1313" s="6"/>
      <c r="C1313" s="4"/>
      <c r="D1313" s="4">
        <v>48.3641275995966</v>
      </c>
      <c r="E1313" s="4" t="s">
        <v>2286</v>
      </c>
      <c r="F1313" s="4"/>
      <c r="G1313" s="4"/>
      <c r="H1313" s="4"/>
      <c r="I1313" s="4" t="str">
        <f>IFERROR(__xludf.DUMMYFUNCTION("""COMPUTED_VALUE"""),"0xb6a2e160f47a0909a0f0464093de3da183cf2310")</f>
        <v>0xb6a2e160f47a0909a0f0464093de3da183cf2310</v>
      </c>
      <c r="J1313" s="18">
        <v>187.8730977552216</v>
      </c>
      <c r="K1313" s="4">
        <v>2348.41372194027</v>
      </c>
      <c r="L1313" s="19">
        <v>2.34841372194027E21</v>
      </c>
      <c r="M1313" s="20">
        <v>2.34841372194027E20</v>
      </c>
    </row>
    <row r="1314">
      <c r="A1314" s="6"/>
      <c r="B1314" s="6"/>
      <c r="C1314" s="4"/>
      <c r="D1314" s="4">
        <v>48.3641275995966</v>
      </c>
      <c r="E1314" s="4" t="s">
        <v>2287</v>
      </c>
      <c r="F1314" s="4"/>
      <c r="G1314" s="4"/>
      <c r="H1314" s="4"/>
      <c r="I1314" s="4" t="str">
        <f>IFERROR(__xludf.DUMMYFUNCTION("""COMPUTED_VALUE"""),"0x6f553a3598d8ea867491d39bdbe272cee3406ffe")</f>
        <v>0x6f553a3598d8ea867491d39bdbe272cee3406ffe</v>
      </c>
      <c r="J1314" s="18">
        <v>19.3456510398386</v>
      </c>
      <c r="K1314" s="4">
        <v>241.8206379979825</v>
      </c>
      <c r="L1314" s="19">
        <v>2.4182063799798248E20</v>
      </c>
      <c r="M1314" s="20">
        <v>2.418206379979825E19</v>
      </c>
    </row>
    <row r="1315">
      <c r="A1315" s="6"/>
      <c r="B1315" s="6"/>
      <c r="C1315" s="4"/>
      <c r="D1315" s="4">
        <v>14.90394646575</v>
      </c>
      <c r="E1315" s="4" t="s">
        <v>2288</v>
      </c>
      <c r="F1315" s="4"/>
      <c r="G1315" s="4"/>
      <c r="H1315" s="4"/>
      <c r="I1315" s="4" t="str">
        <f>IFERROR(__xludf.DUMMYFUNCTION("""COMPUTED_VALUE"""),"0x8b95145fc81e14d162d99255d478d6b33fbf83bc")</f>
        <v>0x8b95145fc81e14d162d99255d478d6b33fbf83bc</v>
      </c>
      <c r="J1315" s="18">
        <v>1.51970440676652</v>
      </c>
      <c r="K1315" s="4">
        <v>18.9963050845815</v>
      </c>
      <c r="L1315" s="19">
        <v>1.89963050845815E19</v>
      </c>
      <c r="M1315" s="20">
        <v>1.89963050845815E18</v>
      </c>
    </row>
    <row r="1316">
      <c r="A1316" s="6"/>
      <c r="B1316" s="6"/>
      <c r="C1316" s="4"/>
      <c r="D1316" s="4">
        <v>9.672825519919328</v>
      </c>
      <c r="E1316" s="4" t="s">
        <v>2290</v>
      </c>
      <c r="F1316" s="4"/>
      <c r="G1316" s="4"/>
      <c r="H1316" s="4"/>
      <c r="I1316" s="4" t="str">
        <f>IFERROR(__xludf.DUMMYFUNCTION("""COMPUTED_VALUE"""),"0xee459c9e50f5e2cb58d4d76f0b68f75c66a86650")</f>
        <v>0xee459c9e50f5e2cb58d4d76f0b68f75c66a86650</v>
      </c>
      <c r="J1316" s="18">
        <v>18.210228390803902</v>
      </c>
      <c r="K1316" s="4">
        <v>227.62785488504878</v>
      </c>
      <c r="L1316" s="19">
        <v>2.2762785488504878E20</v>
      </c>
      <c r="M1316" s="20">
        <v>2.276278548850488E19</v>
      </c>
    </row>
    <row r="1317">
      <c r="A1317" s="6"/>
      <c r="B1317" s="6"/>
      <c r="C1317" s="4"/>
      <c r="D1317" s="4">
        <v>48.3641275995966</v>
      </c>
      <c r="E1317" s="4" t="s">
        <v>2291</v>
      </c>
      <c r="F1317" s="4"/>
      <c r="G1317" s="4"/>
      <c r="H1317" s="4"/>
      <c r="I1317" s="4" t="str">
        <f>IFERROR(__xludf.DUMMYFUNCTION("""COMPUTED_VALUE"""),"0x940fd84b9fc595c376ac2e6fdb625710177942cc")</f>
        <v>0x940fd84b9fc595c376ac2e6fdb625710177942cc</v>
      </c>
      <c r="J1317" s="18">
        <v>48.3641275995966</v>
      </c>
      <c r="K1317" s="4">
        <v>604.5515949949574</v>
      </c>
      <c r="L1317" s="19">
        <v>6.045515949949574E20</v>
      </c>
      <c r="M1317" s="20">
        <v>6.045515949949574E19</v>
      </c>
    </row>
    <row r="1318">
      <c r="A1318" s="6"/>
      <c r="B1318" s="6"/>
      <c r="C1318" s="4"/>
      <c r="D1318" s="4">
        <v>48.3641275995966</v>
      </c>
      <c r="E1318" s="4" t="s">
        <v>2292</v>
      </c>
      <c r="F1318" s="4"/>
      <c r="G1318" s="4"/>
      <c r="H1318" s="4"/>
      <c r="I1318" s="4" t="str">
        <f>IFERROR(__xludf.DUMMYFUNCTION("""COMPUTED_VALUE"""),"0xabf99ecd0cd5743f820a537118f31325921783f1")</f>
        <v>0xabf99ecd0cd5743f820a537118f31325921783f1</v>
      </c>
      <c r="J1318" s="18">
        <v>9.672825519919328</v>
      </c>
      <c r="K1318" s="4">
        <v>120.9103189989916</v>
      </c>
      <c r="L1318" s="19">
        <v>1.209103189989916E20</v>
      </c>
      <c r="M1318" s="20">
        <v>1.209103189989916E19</v>
      </c>
    </row>
    <row r="1319">
      <c r="A1319" s="6"/>
      <c r="B1319" s="6"/>
      <c r="C1319" s="4"/>
      <c r="D1319" s="4">
        <v>48.3641275995966</v>
      </c>
      <c r="E1319" s="4" t="s">
        <v>2293</v>
      </c>
      <c r="F1319" s="4"/>
      <c r="G1319" s="4"/>
      <c r="H1319" s="4"/>
      <c r="I1319" s="4" t="str">
        <f>IFERROR(__xludf.DUMMYFUNCTION("""COMPUTED_VALUE"""),"0x3a8a0f7ec0b3c71e193b1849abf1aabb4fb23c79")</f>
        <v>0x3a8a0f7ec0b3c71e193b1849abf1aabb4fb23c79</v>
      </c>
      <c r="J1319" s="18">
        <v>48.3641275995966</v>
      </c>
      <c r="K1319" s="4">
        <v>604.5515949949574</v>
      </c>
      <c r="L1319" s="19">
        <v>6.045515949949574E20</v>
      </c>
      <c r="M1319" s="20">
        <v>6.045515949949574E19</v>
      </c>
    </row>
    <row r="1320">
      <c r="A1320" s="6"/>
      <c r="B1320" s="6"/>
      <c r="C1320" s="4"/>
      <c r="D1320" s="4">
        <v>0.0816174021783831</v>
      </c>
      <c r="E1320" s="4" t="s">
        <v>2294</v>
      </c>
      <c r="F1320" s="4"/>
      <c r="G1320" s="4"/>
      <c r="H1320" s="4"/>
      <c r="I1320" s="4" t="str">
        <f>IFERROR(__xludf.DUMMYFUNCTION("""COMPUTED_VALUE"""),"0x341ad20d1fc781f451b2345698db2467a892e54d")</f>
        <v>0x341ad20d1fc781f451b2345698db2467a892e54d</v>
      </c>
      <c r="J1320" s="18">
        <v>48.3641275995966</v>
      </c>
      <c r="K1320" s="4">
        <v>604.5515949949574</v>
      </c>
      <c r="L1320" s="19">
        <v>6.045515949949574E20</v>
      </c>
      <c r="M1320" s="20">
        <v>6.045515949949574E19</v>
      </c>
    </row>
    <row r="1321">
      <c r="A1321" s="6"/>
      <c r="B1321" s="6"/>
      <c r="C1321" s="4"/>
      <c r="D1321" s="4">
        <v>36.3432290741362</v>
      </c>
      <c r="E1321" s="4" t="s">
        <v>2296</v>
      </c>
      <c r="F1321" s="4"/>
      <c r="G1321" s="4"/>
      <c r="H1321" s="4"/>
      <c r="I1321" s="4" t="str">
        <f>IFERROR(__xludf.DUMMYFUNCTION("""COMPUTED_VALUE"""),"0x0de670f5473e988181209928085eb7058cf2e445")</f>
        <v>0x0de670f5473e988181209928085eb7058cf2e445</v>
      </c>
      <c r="J1321" s="18">
        <v>20.910186809162802</v>
      </c>
      <c r="K1321" s="4">
        <v>261.377335114535</v>
      </c>
      <c r="L1321" s="19">
        <v>2.61377335114535E20</v>
      </c>
      <c r="M1321" s="20">
        <v>2.6137733511453503E19</v>
      </c>
    </row>
    <row r="1322">
      <c r="A1322" s="6"/>
      <c r="B1322" s="6"/>
      <c r="C1322" s="4"/>
      <c r="D1322" s="4">
        <v>6.345346892022979</v>
      </c>
      <c r="E1322" s="4" t="s">
        <v>2298</v>
      </c>
      <c r="F1322" s="4"/>
      <c r="G1322" s="4"/>
      <c r="H1322" s="4"/>
      <c r="I1322" s="4" t="str">
        <f>IFERROR(__xludf.DUMMYFUNCTION("""COMPUTED_VALUE"""),"0x2460a69dee865bf0222d3d31ec9acce3f529e2c1")</f>
        <v>0x2460a69dee865bf0222d3d31ec9acce3f529e2c1</v>
      </c>
      <c r="J1322" s="18">
        <v>47.977214578799796</v>
      </c>
      <c r="K1322" s="4">
        <v>599.7151822349974</v>
      </c>
      <c r="L1322" s="19">
        <v>5.997151822349975E20</v>
      </c>
      <c r="M1322" s="20">
        <v>5.9971518223499756E19</v>
      </c>
    </row>
    <row r="1323">
      <c r="A1323" s="6"/>
      <c r="B1323" s="6"/>
      <c r="C1323" s="4"/>
      <c r="D1323" s="4">
        <v>43.9654938096005</v>
      </c>
      <c r="E1323" s="4" t="s">
        <v>2300</v>
      </c>
      <c r="F1323" s="4"/>
      <c r="G1323" s="4"/>
      <c r="H1323" s="4"/>
      <c r="I1323" s="4" t="str">
        <f>IFERROR(__xludf.DUMMYFUNCTION("""COMPUTED_VALUE"""),"0xf60e66d6d7727ea1854307d8a305ce66863494d4")</f>
        <v>0xf60e66d6d7727ea1854307d8a305ce66863494d4</v>
      </c>
      <c r="J1323" s="18">
        <v>0.877189930414998</v>
      </c>
      <c r="K1323" s="4">
        <v>10.964874130187475</v>
      </c>
      <c r="L1323" s="19">
        <v>1.0964874130187475E19</v>
      </c>
      <c r="M1323" s="20">
        <v>1.0964874130187475E18</v>
      </c>
    </row>
    <row r="1324">
      <c r="A1324" s="6"/>
      <c r="B1324" s="6"/>
      <c r="C1324" s="4"/>
      <c r="D1324" s="4">
        <v>43.884457188443605</v>
      </c>
      <c r="E1324" s="4" t="s">
        <v>2302</v>
      </c>
      <c r="F1324" s="4"/>
      <c r="G1324" s="4"/>
      <c r="H1324" s="4"/>
      <c r="I1324" s="4" t="str">
        <f>IFERROR(__xludf.DUMMYFUNCTION("""COMPUTED_VALUE"""),"0x1422715d048e5b1650ad38c6b8901347919edfad")</f>
        <v>0x1422715d048e5b1650ad38c6b8901347919edfad</v>
      </c>
      <c r="J1324" s="18">
        <v>4.761967258050801</v>
      </c>
      <c r="K1324" s="4">
        <v>59.52459072563501</v>
      </c>
      <c r="L1324" s="19">
        <v>5.952459072563501E19</v>
      </c>
      <c r="M1324" s="20">
        <v>5.952459072563501E18</v>
      </c>
    </row>
    <row r="1325">
      <c r="A1325" s="6"/>
      <c r="B1325" s="6"/>
      <c r="C1325" s="4"/>
      <c r="D1325" s="4">
        <v>48.3641275995966</v>
      </c>
      <c r="E1325" s="4" t="s">
        <v>2304</v>
      </c>
      <c r="F1325" s="4"/>
      <c r="G1325" s="4"/>
      <c r="H1325" s="4"/>
      <c r="I1325" s="4" t="str">
        <f>IFERROR(__xludf.DUMMYFUNCTION("""COMPUTED_VALUE"""),"0x9f3a795eb49c83aa21f8997c010a393443ab4ef1")</f>
        <v>0x9f3a795eb49c83aa21f8997c010a393443ab4ef1</v>
      </c>
      <c r="J1325" s="18">
        <v>35.4713954119458</v>
      </c>
      <c r="K1325" s="4">
        <v>443.3924426493225</v>
      </c>
      <c r="L1325" s="19">
        <v>4.433924426493225E20</v>
      </c>
      <c r="M1325" s="20">
        <v>4.433924426493225E19</v>
      </c>
    </row>
    <row r="1326">
      <c r="A1326" s="6"/>
      <c r="B1326" s="6"/>
      <c r="C1326" s="4"/>
      <c r="D1326" s="4">
        <v>23.707358789894098</v>
      </c>
      <c r="E1326" s="4" t="s">
        <v>2305</v>
      </c>
      <c r="F1326" s="4"/>
      <c r="G1326" s="4"/>
      <c r="H1326" s="4"/>
      <c r="I1326" s="4" t="str">
        <f>IFERROR(__xludf.DUMMYFUNCTION("""COMPUTED_VALUE"""),"0x9ad316e01dfb0da4d16db25b108cdffa66978c15")</f>
        <v>0x9ad316e01dfb0da4d16db25b108cdffa66978c15</v>
      </c>
      <c r="J1326" s="18">
        <v>23.2162956354295</v>
      </c>
      <c r="K1326" s="4">
        <v>290.20369544286876</v>
      </c>
      <c r="L1326" s="19">
        <v>2.9020369544286876E20</v>
      </c>
      <c r="M1326" s="20">
        <v>2.902036954428688E19</v>
      </c>
    </row>
    <row r="1327">
      <c r="A1327" s="6"/>
      <c r="B1327" s="6"/>
      <c r="C1327" s="4"/>
      <c r="D1327" s="4">
        <v>38.5152255410892</v>
      </c>
      <c r="E1327" s="4" t="s">
        <v>2307</v>
      </c>
      <c r="F1327" s="4"/>
      <c r="G1327" s="4"/>
      <c r="H1327" s="4"/>
      <c r="I1327" s="4" t="str">
        <f>IFERROR(__xludf.DUMMYFUNCTION("""COMPUTED_VALUE"""),"0xfa1fd704de3f5493090b354a6628c11a95891fce")</f>
        <v>0xfa1fd704de3f5493090b354a6628c11a95891fce</v>
      </c>
      <c r="J1327" s="18">
        <v>48.3641275995966</v>
      </c>
      <c r="K1327" s="4">
        <v>604.5515949949574</v>
      </c>
      <c r="L1327" s="19">
        <v>6.045515949949574E20</v>
      </c>
      <c r="M1327" s="20">
        <v>6.045515949949574E19</v>
      </c>
    </row>
    <row r="1328">
      <c r="A1328" s="6"/>
      <c r="B1328" s="6"/>
      <c r="C1328" s="4"/>
      <c r="D1328" s="4">
        <v>19.864093669464303</v>
      </c>
      <c r="E1328" s="4" t="s">
        <v>2309</v>
      </c>
      <c r="F1328" s="4"/>
      <c r="G1328" s="4"/>
      <c r="H1328" s="4"/>
      <c r="I1328" s="4" t="str">
        <f>IFERROR(__xludf.DUMMYFUNCTION("""COMPUTED_VALUE"""),"0xa95717ebe2d6edf6d4be580c147518a113d3c021")</f>
        <v>0xa95717ebe2d6edf6d4be580c147518a113d3c021</v>
      </c>
      <c r="J1328" s="18">
        <v>111.4490650395737</v>
      </c>
      <c r="K1328" s="4">
        <v>1393.113312994671</v>
      </c>
      <c r="L1328" s="19">
        <v>1.3931133129946712E21</v>
      </c>
      <c r="M1328" s="20">
        <v>1.3931133129946713E20</v>
      </c>
    </row>
    <row r="1329">
      <c r="A1329" s="6"/>
      <c r="B1329" s="6"/>
      <c r="C1329" s="4"/>
      <c r="D1329" s="4">
        <v>48.3641275995966</v>
      </c>
      <c r="E1329" s="4" t="s">
        <v>2311</v>
      </c>
      <c r="F1329" s="4"/>
      <c r="G1329" s="4"/>
      <c r="H1329" s="4"/>
      <c r="I1329" s="4" t="str">
        <f>IFERROR(__xludf.DUMMYFUNCTION("""COMPUTED_VALUE"""),"0xbefbbb230a7de4eff48749971ae62ec9d4ce9782")</f>
        <v>0xbefbbb230a7de4eff48749971ae62ec9d4ce9782</v>
      </c>
      <c r="J1329" s="18">
        <v>113.4683136722219</v>
      </c>
      <c r="K1329" s="4">
        <v>1418.3539209027738</v>
      </c>
      <c r="L1329" s="19">
        <v>1.4183539209027739E21</v>
      </c>
      <c r="M1329" s="20">
        <v>1.418353920902774E20</v>
      </c>
    </row>
    <row r="1330">
      <c r="A1330" s="6"/>
      <c r="B1330" s="6"/>
      <c r="C1330" s="4"/>
      <c r="D1330" s="4">
        <v>9.67375006831509</v>
      </c>
      <c r="E1330" s="4" t="s">
        <v>2312</v>
      </c>
      <c r="F1330" s="4"/>
      <c r="G1330" s="4"/>
      <c r="H1330" s="4"/>
      <c r="I1330" s="4" t="str">
        <f>IFERROR(__xludf.DUMMYFUNCTION("""COMPUTED_VALUE"""),"0xc606be3b697175632b2c00713f897d16b2ae9624")</f>
        <v>0xc606be3b697175632b2c00713f897d16b2ae9624</v>
      </c>
      <c r="J1330" s="18">
        <v>9.672825519919328</v>
      </c>
      <c r="K1330" s="4">
        <v>120.9103189989916</v>
      </c>
      <c r="L1330" s="19">
        <v>1.209103189989916E20</v>
      </c>
      <c r="M1330" s="20">
        <v>1.209103189989916E19</v>
      </c>
    </row>
    <row r="1331">
      <c r="A1331" s="6"/>
      <c r="B1331" s="6"/>
      <c r="C1331" s="4"/>
      <c r="D1331" s="4">
        <v>32.6709961492068</v>
      </c>
      <c r="E1331" s="4" t="s">
        <v>2314</v>
      </c>
      <c r="F1331" s="4"/>
      <c r="G1331" s="4"/>
      <c r="H1331" s="4"/>
      <c r="I1331" s="4" t="str">
        <f>IFERROR(__xludf.DUMMYFUNCTION("""COMPUTED_VALUE"""),"0xb19eb81d3efe0564ca1024f693cb6e1f4a947d7a")</f>
        <v>0xb19eb81d3efe0564ca1024f693cb6e1f4a947d7a</v>
      </c>
      <c r="J1331" s="18">
        <v>7.1469930680324305</v>
      </c>
      <c r="K1331" s="4">
        <v>89.33741335040538</v>
      </c>
      <c r="L1331" s="19">
        <v>8.933741335040539E19</v>
      </c>
      <c r="M1331" s="20">
        <v>8.93374133504054E18</v>
      </c>
    </row>
    <row r="1332">
      <c r="A1332" s="6"/>
      <c r="B1332" s="6"/>
      <c r="C1332" s="4"/>
      <c r="D1332" s="4">
        <v>9.672825519919328</v>
      </c>
      <c r="E1332" s="4" t="s">
        <v>2316</v>
      </c>
      <c r="F1332" s="4"/>
      <c r="G1332" s="4"/>
      <c r="H1332" s="4"/>
      <c r="I1332" s="4" t="str">
        <f>IFERROR(__xludf.DUMMYFUNCTION("""COMPUTED_VALUE"""),"0x501e3c82fae2062b76ee98a0f8c16329fc58af4a")</f>
        <v>0x501e3c82fae2062b76ee98a0f8c16329fc58af4a</v>
      </c>
      <c r="J1332" s="18">
        <v>9.672825519919328</v>
      </c>
      <c r="K1332" s="4">
        <v>120.9103189989916</v>
      </c>
      <c r="L1332" s="19">
        <v>1.209103189989916E20</v>
      </c>
      <c r="M1332" s="20">
        <v>1.209103189989916E19</v>
      </c>
    </row>
    <row r="1333">
      <c r="A1333" s="6"/>
      <c r="B1333" s="6"/>
      <c r="C1333" s="4"/>
      <c r="D1333" s="4">
        <v>48.3641275995966</v>
      </c>
      <c r="E1333" s="4" t="s">
        <v>2317</v>
      </c>
      <c r="F1333" s="4"/>
      <c r="G1333" s="4"/>
      <c r="H1333" s="4"/>
      <c r="I1333" s="4" t="str">
        <f>IFERROR(__xludf.DUMMYFUNCTION("""COMPUTED_VALUE"""),"0x417f07daabcb952b982261670e1a401800ee3c4b")</f>
        <v>0x417f07daabcb952b982261670e1a401800ee3c4b</v>
      </c>
      <c r="J1333" s="18">
        <v>124.3094992513374</v>
      </c>
      <c r="K1333" s="4">
        <v>1553.8687406417175</v>
      </c>
      <c r="L1333" s="19">
        <v>1.5538687406417175E21</v>
      </c>
      <c r="M1333" s="20">
        <v>1.5538687406417176E20</v>
      </c>
    </row>
    <row r="1334">
      <c r="A1334" s="6"/>
      <c r="B1334" s="6"/>
      <c r="C1334" s="4"/>
      <c r="D1334" s="4">
        <v>33.762501439652496</v>
      </c>
      <c r="E1334" s="4" t="s">
        <v>2318</v>
      </c>
      <c r="F1334" s="4"/>
      <c r="G1334" s="4"/>
      <c r="H1334" s="4"/>
      <c r="I1334" s="4" t="str">
        <f>IFERROR(__xludf.DUMMYFUNCTION("""COMPUTED_VALUE"""),"0xbe1a5ac95ff4496637e1919c59bd6640a6e29dc1")</f>
        <v>0xbe1a5ac95ff4496637e1919c59bd6640a6e29dc1</v>
      </c>
      <c r="J1334" s="18">
        <v>57.66472560997164</v>
      </c>
      <c r="K1334" s="4">
        <v>720.8090701246455</v>
      </c>
      <c r="L1334" s="19">
        <v>7.208090701246455E20</v>
      </c>
      <c r="M1334" s="20">
        <v>7.208090701246455E19</v>
      </c>
    </row>
    <row r="1335">
      <c r="A1335" s="6"/>
      <c r="B1335" s="6"/>
      <c r="C1335" s="4"/>
      <c r="D1335" s="4">
        <v>4.10475256115996</v>
      </c>
      <c r="E1335" s="4" t="s">
        <v>2320</v>
      </c>
      <c r="F1335" s="4"/>
      <c r="G1335" s="4"/>
      <c r="H1335" s="4"/>
      <c r="I1335" s="4" t="str">
        <f>IFERROR(__xludf.DUMMYFUNCTION("""COMPUTED_VALUE"""),"0x7f23057df9f88f1837052594f014aba16b007147")</f>
        <v>0x7f23057df9f88f1837052594f014aba16b007147</v>
      </c>
      <c r="J1335" s="18">
        <v>45.1918785694932</v>
      </c>
      <c r="K1335" s="4">
        <v>564.898482118665</v>
      </c>
      <c r="L1335" s="19">
        <v>5.6489848211866504E20</v>
      </c>
      <c r="M1335" s="20">
        <v>5.648984821186651E19</v>
      </c>
    </row>
    <row r="1336">
      <c r="A1336" s="6"/>
      <c r="B1336" s="6"/>
      <c r="C1336" s="4"/>
      <c r="D1336" s="4">
        <v>18.5682228487377</v>
      </c>
      <c r="E1336" s="4" t="s">
        <v>2322</v>
      </c>
      <c r="F1336" s="4"/>
      <c r="G1336" s="4"/>
      <c r="H1336" s="4"/>
      <c r="I1336" s="4" t="str">
        <f>IFERROR(__xludf.DUMMYFUNCTION("""COMPUTED_VALUE"""),"0x12398851149137dc6cb8d4960a6d41961b0cf660")</f>
        <v>0x12398851149137dc6cb8d4960a6d41961b0cf660</v>
      </c>
      <c r="J1336" s="18">
        <v>48.3641275995966</v>
      </c>
      <c r="K1336" s="4">
        <v>604.5515949949574</v>
      </c>
      <c r="L1336" s="19">
        <v>6.045515949949574E20</v>
      </c>
      <c r="M1336" s="20">
        <v>6.045515949949574E19</v>
      </c>
    </row>
    <row r="1337">
      <c r="A1337" s="6"/>
      <c r="B1337" s="6"/>
      <c r="C1337" s="4"/>
      <c r="D1337" s="4">
        <v>7.33077322511567</v>
      </c>
      <c r="E1337" s="4" t="s">
        <v>2324</v>
      </c>
      <c r="F1337" s="4"/>
      <c r="G1337" s="4"/>
      <c r="H1337" s="4"/>
      <c r="I1337" s="4" t="str">
        <f>IFERROR(__xludf.DUMMYFUNCTION("""COMPUTED_VALUE"""),"0x5e15687f1a48193a073f078eebfad23b333bb7f1")</f>
        <v>0x5e15687f1a48193a073f078eebfad23b333bb7f1</v>
      </c>
      <c r="J1337" s="18">
        <v>156.80800307490762</v>
      </c>
      <c r="K1337" s="4">
        <v>1960.1000384363451</v>
      </c>
      <c r="L1337" s="19">
        <v>1.960100038436345E21</v>
      </c>
      <c r="M1337" s="20">
        <v>1.9601000384363453E20</v>
      </c>
    </row>
    <row r="1338">
      <c r="A1338" s="6"/>
      <c r="B1338" s="6"/>
      <c r="C1338" s="4"/>
      <c r="D1338" s="4">
        <v>9.672825519919328</v>
      </c>
      <c r="E1338" s="4" t="s">
        <v>2326</v>
      </c>
      <c r="F1338" s="4"/>
      <c r="G1338" s="4"/>
      <c r="H1338" s="4"/>
      <c r="I1338" s="4" t="str">
        <f>IFERROR(__xludf.DUMMYFUNCTION("""COMPUTED_VALUE"""),"0x67b036a5832a87ebd5ea2e3fcf3965ed52cfef2a")</f>
        <v>0x67b036a5832a87ebd5ea2e3fcf3965ed52cfef2a</v>
      </c>
      <c r="J1338" s="18">
        <v>48.3641275995966</v>
      </c>
      <c r="K1338" s="4">
        <v>604.5515949949574</v>
      </c>
      <c r="L1338" s="19">
        <v>6.045515949949574E20</v>
      </c>
      <c r="M1338" s="20">
        <v>6.045515949949574E19</v>
      </c>
    </row>
    <row r="1339">
      <c r="A1339" s="6"/>
      <c r="B1339" s="6"/>
      <c r="C1339" s="4"/>
      <c r="D1339" s="4">
        <v>0.238803811729428</v>
      </c>
      <c r="E1339" s="4" t="s">
        <v>2327</v>
      </c>
      <c r="F1339" s="4"/>
      <c r="G1339" s="4"/>
      <c r="H1339" s="4"/>
      <c r="I1339" s="4" t="str">
        <f>IFERROR(__xludf.DUMMYFUNCTION("""COMPUTED_VALUE"""),"0xbdb7cb434b2feb6904feb35884b5e745d7e7c6d0")</f>
        <v>0xbdb7cb434b2feb6904feb35884b5e745d7e7c6d0</v>
      </c>
      <c r="J1339" s="18">
        <v>2.22640075600992</v>
      </c>
      <c r="K1339" s="4">
        <v>27.830009450124</v>
      </c>
      <c r="L1339" s="19">
        <v>2.7830009450123997E19</v>
      </c>
      <c r="M1339" s="20">
        <v>2.7830009450124E18</v>
      </c>
    </row>
    <row r="1340">
      <c r="A1340" s="6"/>
      <c r="B1340" s="6"/>
      <c r="C1340" s="4"/>
      <c r="D1340" s="4">
        <v>48.3641275995966</v>
      </c>
      <c r="E1340" s="4" t="s">
        <v>2329</v>
      </c>
      <c r="F1340" s="4"/>
      <c r="G1340" s="4"/>
      <c r="H1340" s="4"/>
      <c r="I1340" s="4" t="str">
        <f>IFERROR(__xludf.DUMMYFUNCTION("""COMPUTED_VALUE"""),"0x09ca24b9cb37bd629b65dd1dae77b76bf883bd5c")</f>
        <v>0x09ca24b9cb37bd629b65dd1dae77b76bf883bd5c</v>
      </c>
      <c r="J1340" s="18">
        <v>19.3456510398386</v>
      </c>
      <c r="K1340" s="4">
        <v>241.8206379979825</v>
      </c>
      <c r="L1340" s="19">
        <v>2.4182063799798248E20</v>
      </c>
      <c r="M1340" s="20">
        <v>2.418206379979825E19</v>
      </c>
    </row>
    <row r="1341">
      <c r="A1341" s="6"/>
      <c r="B1341" s="6"/>
      <c r="C1341" s="4"/>
      <c r="D1341" s="4">
        <v>4.76819779247119</v>
      </c>
      <c r="E1341" s="4" t="s">
        <v>2330</v>
      </c>
      <c r="F1341" s="4"/>
      <c r="G1341" s="4"/>
      <c r="H1341" s="4"/>
      <c r="I1341" s="4" t="str">
        <f>IFERROR(__xludf.DUMMYFUNCTION("""COMPUTED_VALUE"""),"0x7d07da14b87b6370fb987f022367db438ad38c03")</f>
        <v>0x7d07da14b87b6370fb987f022367db438ad38c03</v>
      </c>
      <c r="J1341" s="18">
        <v>58.6926290886114</v>
      </c>
      <c r="K1341" s="4">
        <v>733.6578636076424</v>
      </c>
      <c r="L1341" s="19">
        <v>7.336578636076424E20</v>
      </c>
      <c r="M1341" s="20">
        <v>7.3365786360764236E19</v>
      </c>
    </row>
    <row r="1342">
      <c r="A1342" s="6"/>
      <c r="B1342" s="6"/>
      <c r="C1342" s="4"/>
      <c r="D1342" s="4">
        <v>45.6833466445512</v>
      </c>
      <c r="E1342" s="4" t="s">
        <v>501</v>
      </c>
      <c r="F1342" s="4"/>
      <c r="G1342" s="4"/>
      <c r="H1342" s="4"/>
      <c r="I1342" s="4" t="str">
        <f>IFERROR(__xludf.DUMMYFUNCTION("""COMPUTED_VALUE"""),"0xc9fc80756f9e468de14306d96eaaeabb41478e5a")</f>
        <v>0xc9fc80756f9e468de14306d96eaaeabb41478e5a</v>
      </c>
      <c r="J1342" s="18">
        <v>48.3641275995966</v>
      </c>
      <c r="K1342" s="4">
        <v>604.5515949949574</v>
      </c>
      <c r="L1342" s="19">
        <v>6.045515949949574E20</v>
      </c>
      <c r="M1342" s="20">
        <v>6.045515949949574E19</v>
      </c>
    </row>
    <row r="1343">
      <c r="A1343" s="6"/>
      <c r="B1343" s="6"/>
      <c r="C1343" s="4"/>
      <c r="D1343" s="4">
        <v>48.3641275995966</v>
      </c>
      <c r="E1343" s="4" t="s">
        <v>2333</v>
      </c>
      <c r="F1343" s="4"/>
      <c r="G1343" s="4"/>
      <c r="H1343" s="4"/>
      <c r="I1343" s="4" t="str">
        <f>IFERROR(__xludf.DUMMYFUNCTION("""COMPUTED_VALUE"""),"0x36464193bece32a343491856671c2f2ed1d8250f")</f>
        <v>0x36464193bece32a343491856671c2f2ed1d8250f</v>
      </c>
      <c r="J1343" s="18">
        <v>17.2014094008577</v>
      </c>
      <c r="K1343" s="4">
        <v>215.01761751072124</v>
      </c>
      <c r="L1343" s="19">
        <v>2.1501761751072122E20</v>
      </c>
      <c r="M1343" s="20">
        <v>2.1501761751072125E19</v>
      </c>
    </row>
    <row r="1344">
      <c r="A1344" s="6"/>
      <c r="B1344" s="6"/>
      <c r="C1344" s="4"/>
      <c r="D1344" s="4">
        <v>48.3641275995966</v>
      </c>
      <c r="E1344" s="4" t="s">
        <v>2334</v>
      </c>
      <c r="F1344" s="4"/>
      <c r="G1344" s="4"/>
      <c r="H1344" s="4"/>
      <c r="I1344" s="4" t="str">
        <f>IFERROR(__xludf.DUMMYFUNCTION("""COMPUTED_VALUE"""),"0x325b17051b9e75121e6c9a3d14c6d17933f6dc5f")</f>
        <v>0x325b17051b9e75121e6c9a3d14c6d17933f6dc5f</v>
      </c>
      <c r="J1344" s="18">
        <v>1.46813933025003</v>
      </c>
      <c r="K1344" s="4">
        <v>18.351741628125374</v>
      </c>
      <c r="L1344" s="19">
        <v>1.8351741628125374E19</v>
      </c>
      <c r="M1344" s="20">
        <v>1.8351741628125376E18</v>
      </c>
    </row>
    <row r="1345">
      <c r="A1345" s="6"/>
      <c r="B1345" s="6"/>
      <c r="C1345" s="4"/>
      <c r="D1345" s="4">
        <v>48.3641275995966</v>
      </c>
      <c r="E1345" s="4" t="s">
        <v>2335</v>
      </c>
      <c r="F1345" s="4"/>
      <c r="G1345" s="4"/>
      <c r="H1345" s="4"/>
      <c r="I1345" s="4" t="str">
        <f>IFERROR(__xludf.DUMMYFUNCTION("""COMPUTED_VALUE"""),"0x2b21aa30ec2007955f6790c3e3c7d1c8c9ca72c6")</f>
        <v>0x2b21aa30ec2007955f6790c3e3c7d1c8c9ca72c6</v>
      </c>
      <c r="J1345" s="18">
        <v>234.37608780709658</v>
      </c>
      <c r="K1345" s="4">
        <v>2929.7010975887074</v>
      </c>
      <c r="L1345" s="19">
        <v>2.9297010975887076E21</v>
      </c>
      <c r="M1345" s="20">
        <v>2.9297010975887078E20</v>
      </c>
    </row>
    <row r="1346">
      <c r="A1346" s="6"/>
      <c r="B1346" s="6"/>
      <c r="C1346" s="4"/>
      <c r="D1346" s="4">
        <v>48.3641275995966</v>
      </c>
      <c r="E1346" s="4" t="s">
        <v>2336</v>
      </c>
      <c r="F1346" s="4"/>
      <c r="G1346" s="4"/>
      <c r="H1346" s="4"/>
      <c r="I1346" s="4" t="str">
        <f>IFERROR(__xludf.DUMMYFUNCTION("""COMPUTED_VALUE"""),"0xdfb09d2590d1873a788c638eba300c8d730cb8fc")</f>
        <v>0xdfb09d2590d1873a788c638eba300c8d730cb8fc</v>
      </c>
      <c r="J1346" s="18">
        <v>19.3456510398386</v>
      </c>
      <c r="K1346" s="4">
        <v>241.8206379979825</v>
      </c>
      <c r="L1346" s="19">
        <v>2.4182063799798248E20</v>
      </c>
      <c r="M1346" s="20">
        <v>2.418206379979825E19</v>
      </c>
    </row>
    <row r="1347">
      <c r="A1347" s="6"/>
      <c r="B1347" s="6"/>
      <c r="C1347" s="4"/>
      <c r="D1347" s="4">
        <v>10.349899623561098</v>
      </c>
      <c r="E1347" s="4" t="s">
        <v>2337</v>
      </c>
      <c r="F1347" s="4"/>
      <c r="G1347" s="4"/>
      <c r="H1347" s="4"/>
      <c r="I1347" s="4" t="str">
        <f>IFERROR(__xludf.DUMMYFUNCTION("""COMPUTED_VALUE"""),"0xa1d0f5741408043d363997b78ef288354d431dc6")</f>
        <v>0xa1d0f5741408043d363997b78ef288354d431dc6</v>
      </c>
      <c r="J1347" s="18">
        <v>8.92937996747302</v>
      </c>
      <c r="K1347" s="4">
        <v>111.61724959341275</v>
      </c>
      <c r="L1347" s="19">
        <v>1.1161724959341275E20</v>
      </c>
      <c r="M1347" s="20">
        <v>1.1161724959341275E19</v>
      </c>
    </row>
    <row r="1348">
      <c r="A1348" s="6"/>
      <c r="B1348" s="6"/>
      <c r="C1348" s="4"/>
      <c r="D1348" s="4">
        <v>9.672825519919328</v>
      </c>
      <c r="E1348" s="4" t="s">
        <v>2339</v>
      </c>
      <c r="F1348" s="4"/>
      <c r="G1348" s="4"/>
      <c r="H1348" s="4"/>
      <c r="I1348" s="4" t="str">
        <f>IFERROR(__xludf.DUMMYFUNCTION("""COMPUTED_VALUE"""),"0x25e4e84f313e7fd944d2c78a8892b7e5618ee9ee")</f>
        <v>0x25e4e84f313e7fd944d2c78a8892b7e5618ee9ee</v>
      </c>
      <c r="J1348" s="18">
        <v>217.3407764686773</v>
      </c>
      <c r="K1348" s="4">
        <v>2716.759705858466</v>
      </c>
      <c r="L1348" s="19">
        <v>2.716759705858466E21</v>
      </c>
      <c r="M1348" s="20">
        <v>2.716759705858466E20</v>
      </c>
    </row>
    <row r="1349">
      <c r="A1349" s="6"/>
      <c r="B1349" s="6"/>
      <c r="C1349" s="4"/>
      <c r="D1349" s="4">
        <v>48.3641275995966</v>
      </c>
      <c r="E1349" s="4" t="s">
        <v>2340</v>
      </c>
      <c r="F1349" s="4"/>
      <c r="G1349" s="4"/>
      <c r="H1349" s="4"/>
      <c r="I1349" s="4" t="str">
        <f>IFERROR(__xludf.DUMMYFUNCTION("""COMPUTED_VALUE"""),"0x121a8e64e073c81c82ee97710d5aa1d68ed847b6")</f>
        <v>0x121a8e64e073c81c82ee97710d5aa1d68ed847b6</v>
      </c>
      <c r="J1349" s="18">
        <v>4.081997100352</v>
      </c>
      <c r="K1349" s="4">
        <v>51.0249637544</v>
      </c>
      <c r="L1349" s="19">
        <v>5.10249637544E19</v>
      </c>
      <c r="M1349" s="20">
        <v>5.10249637544E18</v>
      </c>
    </row>
    <row r="1350">
      <c r="A1350" s="6"/>
      <c r="B1350" s="6"/>
      <c r="C1350" s="4"/>
      <c r="D1350" s="4">
        <v>48.3641275995966</v>
      </c>
      <c r="E1350" s="4" t="s">
        <v>2341</v>
      </c>
      <c r="F1350" s="4"/>
      <c r="G1350" s="4"/>
      <c r="H1350" s="4"/>
      <c r="I1350" s="4" t="str">
        <f>IFERROR(__xludf.DUMMYFUNCTION("""COMPUTED_VALUE"""),"0xe05d0c0964c33a6dd3093ff961e766ce578af1df")</f>
        <v>0xe05d0c0964c33a6dd3093ff961e766ce578af1df</v>
      </c>
      <c r="J1350" s="18">
        <v>29.6929662169385</v>
      </c>
      <c r="K1350" s="4">
        <v>371.16207771173123</v>
      </c>
      <c r="L1350" s="19">
        <v>3.711620777117312E20</v>
      </c>
      <c r="M1350" s="20">
        <v>3.711620777117312E19</v>
      </c>
    </row>
    <row r="1351">
      <c r="A1351" s="6"/>
      <c r="B1351" s="6"/>
      <c r="C1351" s="4"/>
      <c r="D1351" s="4">
        <v>48.3641275995966</v>
      </c>
      <c r="E1351" s="4" t="s">
        <v>2342</v>
      </c>
      <c r="F1351" s="4"/>
      <c r="G1351" s="4"/>
      <c r="H1351" s="4"/>
      <c r="I1351" s="4" t="str">
        <f>IFERROR(__xludf.DUMMYFUNCTION("""COMPUTED_VALUE"""),"0x9770bcc84f339b6ce2ba42ded6b4c73d2a806764")</f>
        <v>0x9770bcc84f339b6ce2ba42ded6b4c73d2a806764</v>
      </c>
      <c r="J1351" s="18">
        <v>48.3641275995966</v>
      </c>
      <c r="K1351" s="4">
        <v>604.5515949949574</v>
      </c>
      <c r="L1351" s="19">
        <v>6.045515949949574E20</v>
      </c>
      <c r="M1351" s="20">
        <v>6.045515949949574E19</v>
      </c>
    </row>
    <row r="1352">
      <c r="A1352" s="6"/>
      <c r="B1352" s="6"/>
      <c r="C1352" s="4"/>
      <c r="D1352" s="4">
        <v>19.3456510398386</v>
      </c>
      <c r="E1352" s="4" t="s">
        <v>2343</v>
      </c>
      <c r="F1352" s="4"/>
      <c r="G1352" s="4"/>
      <c r="H1352" s="4"/>
      <c r="I1352" s="4" t="str">
        <f>IFERROR(__xludf.DUMMYFUNCTION("""COMPUTED_VALUE"""),"0x3dea052171bf8903042afcb10d819753092f4c93")</f>
        <v>0x3dea052171bf8903042afcb10d819753092f4c93</v>
      </c>
      <c r="J1352" s="18">
        <v>20.615067037063202</v>
      </c>
      <c r="K1352" s="4">
        <v>257.68833796329</v>
      </c>
      <c r="L1352" s="19">
        <v>2.5768833796329E20</v>
      </c>
      <c r="M1352" s="20">
        <v>2.5768833796329E19</v>
      </c>
    </row>
    <row r="1353">
      <c r="A1353" s="6"/>
      <c r="B1353" s="6"/>
      <c r="C1353" s="4"/>
      <c r="D1353" s="4">
        <v>48.3641275995966</v>
      </c>
      <c r="E1353" s="4" t="s">
        <v>742</v>
      </c>
      <c r="F1353" s="4"/>
      <c r="G1353" s="4"/>
      <c r="H1353" s="4"/>
      <c r="I1353" s="4" t="str">
        <f>IFERROR(__xludf.DUMMYFUNCTION("""COMPUTED_VALUE"""),"0xc13966d84ab9c2a93df1c3f8d5eef57d25ed1263")</f>
        <v>0xc13966d84ab9c2a93df1c3f8d5eef57d25ed1263</v>
      </c>
      <c r="J1353" s="18">
        <v>32.0387190115152</v>
      </c>
      <c r="K1353" s="4">
        <v>400.48398764393994</v>
      </c>
      <c r="L1353" s="19">
        <v>4.0048398764393995E20</v>
      </c>
      <c r="M1353" s="20">
        <v>4.0048398764394E19</v>
      </c>
    </row>
    <row r="1354">
      <c r="A1354" s="6"/>
      <c r="B1354" s="6"/>
      <c r="C1354" s="4"/>
      <c r="D1354" s="4">
        <v>1.51970440676652</v>
      </c>
      <c r="E1354" s="4" t="s">
        <v>2344</v>
      </c>
      <c r="F1354" s="4"/>
      <c r="G1354" s="4"/>
      <c r="H1354" s="4"/>
      <c r="I1354" s="4" t="str">
        <f>IFERROR(__xludf.DUMMYFUNCTION("""COMPUTED_VALUE"""),"0x968cb18450b33214c031913b85c90aa84854aa38")</f>
        <v>0x968cb18450b33214c031913b85c90aa84854aa38</v>
      </c>
      <c r="J1354" s="18">
        <v>1.1366744995254798</v>
      </c>
      <c r="K1354" s="4">
        <v>14.208431244068498</v>
      </c>
      <c r="L1354" s="19">
        <v>1.4208431244068497E19</v>
      </c>
      <c r="M1354" s="20">
        <v>1.4208431244068498E18</v>
      </c>
    </row>
    <row r="1355">
      <c r="A1355" s="6"/>
      <c r="B1355" s="6"/>
      <c r="C1355" s="4"/>
      <c r="D1355" s="4">
        <v>18.210228390803902</v>
      </c>
      <c r="E1355" s="4" t="s">
        <v>2346</v>
      </c>
      <c r="F1355" s="4"/>
      <c r="G1355" s="4"/>
      <c r="H1355" s="4"/>
      <c r="I1355" s="4" t="str">
        <f>IFERROR(__xludf.DUMMYFUNCTION("""COMPUTED_VALUE"""),"0x8c6c7fc4b89e11c5a4291ec792e7258bc3842ccc")</f>
        <v>0x8c6c7fc4b89e11c5a4291ec792e7258bc3842ccc</v>
      </c>
      <c r="J1355" s="18">
        <v>10.059738540716099</v>
      </c>
      <c r="K1355" s="4">
        <v>125.74673175895123</v>
      </c>
      <c r="L1355" s="19">
        <v>1.2574673175895124E20</v>
      </c>
      <c r="M1355" s="20">
        <v>1.2574673175895124E19</v>
      </c>
    </row>
    <row r="1356">
      <c r="A1356" s="6"/>
      <c r="B1356" s="6"/>
      <c r="C1356" s="4"/>
      <c r="D1356" s="4">
        <v>36.485517839387</v>
      </c>
      <c r="E1356" s="4" t="s">
        <v>1393</v>
      </c>
      <c r="F1356" s="4"/>
      <c r="G1356" s="4"/>
      <c r="H1356" s="4"/>
      <c r="I1356" s="4" t="str">
        <f>IFERROR(__xludf.DUMMYFUNCTION("""COMPUTED_VALUE"""),"0x2ddbb66671da3b27fcc022ed48fbc8348f00508b")</f>
        <v>0x2ddbb66671da3b27fcc022ed48fbc8348f00508b</v>
      </c>
      <c r="J1356" s="18">
        <v>29.018476559758</v>
      </c>
      <c r="K1356" s="4">
        <v>362.730956996975</v>
      </c>
      <c r="L1356" s="19">
        <v>3.62730956996975E20</v>
      </c>
      <c r="M1356" s="20">
        <v>3.62730956996975E19</v>
      </c>
    </row>
    <row r="1357">
      <c r="A1357" s="6"/>
      <c r="B1357" s="6"/>
      <c r="C1357" s="4"/>
      <c r="D1357" s="4">
        <v>48.3641275995966</v>
      </c>
      <c r="E1357" s="4" t="s">
        <v>2349</v>
      </c>
      <c r="F1357" s="4"/>
      <c r="G1357" s="4"/>
      <c r="H1357" s="4"/>
      <c r="I1357" s="4" t="str">
        <f>IFERROR(__xludf.DUMMYFUNCTION("""COMPUTED_VALUE"""),"0xf61a1b21611ede154a38c7f5e89b1f940d7c6fbe")</f>
        <v>0xf61a1b21611ede154a38c7f5e89b1f940d7c6fbe</v>
      </c>
      <c r="J1357" s="18">
        <v>28.4381070285628</v>
      </c>
      <c r="K1357" s="4">
        <v>355.476337857035</v>
      </c>
      <c r="L1357" s="19">
        <v>3.55476337857035E20</v>
      </c>
      <c r="M1357" s="20">
        <v>3.5547633785703498E19</v>
      </c>
    </row>
    <row r="1358">
      <c r="A1358" s="6"/>
      <c r="B1358" s="6"/>
      <c r="C1358" s="4"/>
      <c r="D1358" s="4">
        <v>9.672825519919328</v>
      </c>
      <c r="E1358" s="4" t="s">
        <v>2350</v>
      </c>
      <c r="F1358" s="4"/>
      <c r="G1358" s="4"/>
      <c r="H1358" s="4"/>
      <c r="I1358" s="4" t="str">
        <f>IFERROR(__xludf.DUMMYFUNCTION("""COMPUTED_VALUE"""),"0xd6ef2918cd9a910868774f93631332a8f410a9a0")</f>
        <v>0xd6ef2918cd9a910868774f93631332a8f410a9a0</v>
      </c>
      <c r="J1358" s="18">
        <v>47.2743043421673</v>
      </c>
      <c r="K1358" s="4">
        <v>590.9288042770912</v>
      </c>
      <c r="L1358" s="19">
        <v>5.909288042770912E20</v>
      </c>
      <c r="M1358" s="20">
        <v>5.909288042770912E19</v>
      </c>
    </row>
    <row r="1359">
      <c r="A1359" s="6"/>
      <c r="B1359" s="6"/>
      <c r="C1359" s="4"/>
      <c r="D1359" s="4">
        <v>48.3641275995966</v>
      </c>
      <c r="E1359" s="4" t="s">
        <v>2351</v>
      </c>
      <c r="F1359" s="4"/>
      <c r="G1359" s="4"/>
      <c r="H1359" s="4"/>
      <c r="I1359" s="4" t="str">
        <f>IFERROR(__xludf.DUMMYFUNCTION("""COMPUTED_VALUE"""),"0x55a18d6c8b6b6aa2ed239b40bad6081d9173c210")</f>
        <v>0x55a18d6c8b6b6aa2ed239b40bad6081d9173c210</v>
      </c>
      <c r="J1359" s="18">
        <v>11.748628170836199</v>
      </c>
      <c r="K1359" s="4">
        <v>146.85785213545248</v>
      </c>
      <c r="L1359" s="19">
        <v>1.4685785213545248E20</v>
      </c>
      <c r="M1359" s="20">
        <v>1.4685785213545249E19</v>
      </c>
    </row>
    <row r="1360">
      <c r="A1360" s="6"/>
      <c r="B1360" s="6"/>
      <c r="C1360" s="4"/>
      <c r="D1360" s="4">
        <v>48.3641275995966</v>
      </c>
      <c r="E1360" s="4" t="s">
        <v>2352</v>
      </c>
      <c r="F1360" s="4"/>
      <c r="G1360" s="4"/>
      <c r="H1360" s="4"/>
      <c r="I1360" s="4" t="str">
        <f>IFERROR(__xludf.DUMMYFUNCTION("""COMPUTED_VALUE"""),"0xd2cc14b0628beaee4c8cd680d507252afcbb418e")</f>
        <v>0xd2cc14b0628beaee4c8cd680d507252afcbb418e</v>
      </c>
      <c r="J1360" s="18">
        <v>83.1745428319917</v>
      </c>
      <c r="K1360" s="4">
        <v>1039.6817853998962</v>
      </c>
      <c r="L1360" s="19">
        <v>1.0396817853998962E21</v>
      </c>
      <c r="M1360" s="20">
        <v>1.0396817853998963E20</v>
      </c>
    </row>
    <row r="1361">
      <c r="A1361" s="6"/>
      <c r="B1361" s="6"/>
      <c r="C1361" s="4"/>
      <c r="D1361" s="4">
        <v>20.910186809162802</v>
      </c>
      <c r="E1361" s="4" t="s">
        <v>2353</v>
      </c>
      <c r="F1361" s="4"/>
      <c r="G1361" s="4"/>
      <c r="H1361" s="4"/>
      <c r="I1361" s="4" t="str">
        <f>IFERROR(__xludf.DUMMYFUNCTION("""COMPUTED_VALUE"""),"0x9fd2726cca5a5c3bf083bb6b29499436d9d9d199")</f>
        <v>0x9fd2726cca5a5c3bf083bb6b29499436d9d9d199</v>
      </c>
      <c r="J1361" s="18">
        <v>48.3641275995966</v>
      </c>
      <c r="K1361" s="4">
        <v>604.5515949949574</v>
      </c>
      <c r="L1361" s="19">
        <v>6.045515949949574E20</v>
      </c>
      <c r="M1361" s="20">
        <v>6.045515949949574E19</v>
      </c>
    </row>
    <row r="1362">
      <c r="A1362" s="6"/>
      <c r="B1362" s="6"/>
      <c r="C1362" s="4"/>
      <c r="D1362" s="4">
        <v>47.977214578799796</v>
      </c>
      <c r="E1362" s="4" t="s">
        <v>2355</v>
      </c>
      <c r="F1362" s="4"/>
      <c r="G1362" s="4"/>
      <c r="H1362" s="4"/>
      <c r="I1362" s="4" t="str">
        <f>IFERROR(__xludf.DUMMYFUNCTION("""COMPUTED_VALUE"""),"0x91f5bede8abda2e07fbe3e7cd777073dae798a26")</f>
        <v>0x91f5bede8abda2e07fbe3e7cd777073dae798a26</v>
      </c>
      <c r="J1362" s="18">
        <v>131.9984017500874</v>
      </c>
      <c r="K1362" s="4">
        <v>1649.9800218760925</v>
      </c>
      <c r="L1362" s="19">
        <v>1.6499800218760926E21</v>
      </c>
      <c r="M1362" s="20">
        <v>1.6499800218760928E20</v>
      </c>
    </row>
    <row r="1363">
      <c r="A1363" s="6"/>
      <c r="B1363" s="6"/>
      <c r="C1363" s="4"/>
      <c r="D1363" s="4">
        <v>0.877189930414998</v>
      </c>
      <c r="E1363" s="4" t="s">
        <v>2357</v>
      </c>
      <c r="F1363" s="4"/>
      <c r="G1363" s="4"/>
      <c r="H1363" s="4"/>
      <c r="I1363" s="4" t="str">
        <f>IFERROR(__xludf.DUMMYFUNCTION("""COMPUTED_VALUE"""),"0xaebb3fc0db102569c985741eb82f597b94f284ca")</f>
        <v>0xaebb3fc0db102569c985741eb82f597b94f284ca</v>
      </c>
      <c r="J1363" s="18">
        <v>47.0989103690501</v>
      </c>
      <c r="K1363" s="4">
        <v>588.7363796131262</v>
      </c>
      <c r="L1363" s="19">
        <v>5.8873637961312626E20</v>
      </c>
      <c r="M1363" s="20">
        <v>5.887363796131263E19</v>
      </c>
    </row>
    <row r="1364">
      <c r="A1364" s="6"/>
      <c r="B1364" s="6"/>
      <c r="C1364" s="4"/>
      <c r="D1364" s="4">
        <v>2.9018476559758</v>
      </c>
      <c r="E1364" s="4" t="s">
        <v>2359</v>
      </c>
      <c r="F1364" s="4"/>
      <c r="G1364" s="4"/>
      <c r="H1364" s="4"/>
      <c r="I1364" s="4" t="str">
        <f>IFERROR(__xludf.DUMMYFUNCTION("""COMPUTED_VALUE"""),"0x22df9c564e3cfa7cffb36dcc90b8df30185b7b26")</f>
        <v>0x22df9c564e3cfa7cffb36dcc90b8df30185b7b26</v>
      </c>
      <c r="J1364" s="18">
        <v>13.033672211542301</v>
      </c>
      <c r="K1364" s="4">
        <v>162.92090264427875</v>
      </c>
      <c r="L1364" s="19">
        <v>1.6292090264427876E20</v>
      </c>
      <c r="M1364" s="20">
        <v>1.6292090264427876E19</v>
      </c>
    </row>
    <row r="1365">
      <c r="A1365" s="6"/>
      <c r="B1365" s="6"/>
      <c r="C1365" s="4"/>
      <c r="D1365" s="4">
        <v>35.4713954119458</v>
      </c>
      <c r="E1365" s="4" t="s">
        <v>2361</v>
      </c>
      <c r="F1365" s="4"/>
      <c r="G1365" s="4"/>
      <c r="H1365" s="4"/>
      <c r="I1365" s="4" t="str">
        <f>IFERROR(__xludf.DUMMYFUNCTION("""COMPUTED_VALUE"""),"0xc07dfc51468868f54250bb998990b7ff48b22e5e")</f>
        <v>0xc07dfc51468868f54250bb998990b7ff48b22e5e</v>
      </c>
      <c r="J1365" s="18">
        <v>48.3641275995966</v>
      </c>
      <c r="K1365" s="4">
        <v>604.5515949949574</v>
      </c>
      <c r="L1365" s="19">
        <v>6.045515949949574E20</v>
      </c>
      <c r="M1365" s="20">
        <v>6.045515949949574E19</v>
      </c>
    </row>
    <row r="1366">
      <c r="A1366" s="6"/>
      <c r="B1366" s="6"/>
      <c r="C1366" s="4"/>
      <c r="D1366" s="4">
        <v>23.2162956354295</v>
      </c>
      <c r="E1366" s="4" t="s">
        <v>2363</v>
      </c>
      <c r="F1366" s="4"/>
      <c r="G1366" s="4"/>
      <c r="H1366" s="4"/>
      <c r="I1366" s="4" t="str">
        <f>IFERROR(__xludf.DUMMYFUNCTION("""COMPUTED_VALUE"""),"0x0e93cf5ed2965b31d62533aea091252832eb3727")</f>
        <v>0x0e93cf5ed2965b31d62533aea091252832eb3727</v>
      </c>
      <c r="J1366" s="18">
        <v>130.8403245925791</v>
      </c>
      <c r="K1366" s="4">
        <v>1635.5040574072386</v>
      </c>
      <c r="L1366" s="19">
        <v>1.6355040574072386E21</v>
      </c>
      <c r="M1366" s="20">
        <v>1.6355040574072386E20</v>
      </c>
    </row>
    <row r="1367">
      <c r="A1367" s="6"/>
      <c r="B1367" s="6"/>
      <c r="C1367" s="4"/>
      <c r="D1367" s="4">
        <v>48.3641275995966</v>
      </c>
      <c r="E1367" s="4" t="s">
        <v>2365</v>
      </c>
      <c r="F1367" s="4"/>
      <c r="G1367" s="4"/>
      <c r="H1367" s="4"/>
      <c r="I1367" s="4" t="str">
        <f>IFERROR(__xludf.DUMMYFUNCTION("""COMPUTED_VALUE"""),"0x3541306371fb642aa845aa232c6781f5f1785f05")</f>
        <v>0x3541306371fb642aa845aa232c6781f5f1785f05</v>
      </c>
      <c r="J1367" s="18">
        <v>48.3641275995966</v>
      </c>
      <c r="K1367" s="4">
        <v>604.5515949949574</v>
      </c>
      <c r="L1367" s="19">
        <v>6.045515949949574E20</v>
      </c>
      <c r="M1367" s="20">
        <v>6.045515949949574E19</v>
      </c>
    </row>
    <row r="1368">
      <c r="A1368" s="6"/>
      <c r="B1368" s="6"/>
      <c r="C1368" s="4"/>
      <c r="D1368" s="4">
        <v>22.885403255898197</v>
      </c>
      <c r="E1368" s="4" t="s">
        <v>2366</v>
      </c>
      <c r="F1368" s="4"/>
      <c r="G1368" s="4"/>
      <c r="H1368" s="4"/>
      <c r="I1368" s="4" t="str">
        <f>IFERROR(__xludf.DUMMYFUNCTION("""COMPUTED_VALUE"""),"0x9efe066ea7c0b7f64834e9d7807717cb4a75f13c")</f>
        <v>0x9efe066ea7c0b7f64834e9d7807717cb4a75f13c</v>
      </c>
      <c r="J1368" s="18">
        <v>57.66472560997164</v>
      </c>
      <c r="K1368" s="4">
        <v>720.8090701246455</v>
      </c>
      <c r="L1368" s="19">
        <v>7.208090701246455E20</v>
      </c>
      <c r="M1368" s="20">
        <v>7.208090701246455E19</v>
      </c>
    </row>
    <row r="1369">
      <c r="A1369" s="6"/>
      <c r="B1369" s="6"/>
      <c r="C1369" s="4"/>
      <c r="D1369" s="4">
        <v>48.3641275995966</v>
      </c>
      <c r="E1369" s="4" t="s">
        <v>2368</v>
      </c>
      <c r="F1369" s="4"/>
      <c r="G1369" s="4"/>
      <c r="H1369" s="4"/>
      <c r="I1369" s="4" t="str">
        <f>IFERROR(__xludf.DUMMYFUNCTION("""COMPUTED_VALUE"""),"0x74e141bb8b9e09675e2f8fb4915fa84d355f6bd6")</f>
        <v>0x74e141bb8b9e09675e2f8fb4915fa84d355f6bd6</v>
      </c>
      <c r="J1369" s="18">
        <v>23.1009552228851</v>
      </c>
      <c r="K1369" s="4">
        <v>288.76194028606375</v>
      </c>
      <c r="L1369" s="19">
        <v>2.8876194028606374E20</v>
      </c>
      <c r="M1369" s="20">
        <v>2.8876194028606374E19</v>
      </c>
    </row>
    <row r="1370">
      <c r="A1370" s="6"/>
      <c r="B1370" s="6"/>
      <c r="C1370" s="4"/>
      <c r="D1370" s="4">
        <v>9.672825519919328</v>
      </c>
      <c r="E1370" s="4" t="s">
        <v>2369</v>
      </c>
      <c r="F1370" s="4"/>
      <c r="G1370" s="4"/>
      <c r="H1370" s="4"/>
      <c r="I1370" s="4" t="str">
        <f>IFERROR(__xludf.DUMMYFUNCTION("""COMPUTED_VALUE"""),"0x2365a03837e58ffd6b570cf214ae52f61188f1ba")</f>
        <v>0x2365a03837e58ffd6b570cf214ae52f61188f1ba</v>
      </c>
      <c r="J1370" s="18">
        <v>42.5122090529452</v>
      </c>
      <c r="K1370" s="4">
        <v>531.402613161815</v>
      </c>
      <c r="L1370" s="19">
        <v>5.31402613161815E20</v>
      </c>
      <c r="M1370" s="20">
        <v>5.31402613161815E19</v>
      </c>
    </row>
    <row r="1371">
      <c r="A1371" s="6"/>
      <c r="B1371" s="6"/>
      <c r="C1371" s="4"/>
      <c r="D1371" s="4">
        <v>7.1469930680324305</v>
      </c>
      <c r="E1371" s="4" t="s">
        <v>2370</v>
      </c>
      <c r="F1371" s="4"/>
      <c r="G1371" s="4"/>
      <c r="H1371" s="4"/>
      <c r="I1371" s="4" t="str">
        <f>IFERROR(__xludf.DUMMYFUNCTION("""COMPUTED_VALUE"""),"0x1ea8b82e6b7b372e4feebe428509b24022f22e89")</f>
        <v>0x1ea8b82e6b7b372e4feebe428509b24022f22e89</v>
      </c>
      <c r="J1371" s="18">
        <v>37.1082899259492</v>
      </c>
      <c r="K1371" s="4">
        <v>463.85362407436503</v>
      </c>
      <c r="L1371" s="19">
        <v>4.6385362407436504E20</v>
      </c>
      <c r="M1371" s="20">
        <v>4.638536240743651E19</v>
      </c>
    </row>
    <row r="1372">
      <c r="A1372" s="6"/>
      <c r="B1372" s="6"/>
      <c r="C1372" s="4"/>
      <c r="D1372" s="4">
        <v>9.672825519919328</v>
      </c>
      <c r="E1372" s="4" t="s">
        <v>2372</v>
      </c>
      <c r="F1372" s="4"/>
      <c r="G1372" s="4"/>
      <c r="H1372" s="4"/>
      <c r="I1372" s="4" t="str">
        <f>IFERROR(__xludf.DUMMYFUNCTION("""COMPUTED_VALUE"""),"0xff480456a8faab489a2085585c5016b14fb15130")</f>
        <v>0xff480456a8faab489a2085585c5016b14fb15130</v>
      </c>
      <c r="J1372" s="18">
        <v>9.30439361100888</v>
      </c>
      <c r="K1372" s="4">
        <v>116.30492013761099</v>
      </c>
      <c r="L1372" s="19">
        <v>1.1630492013761099E20</v>
      </c>
      <c r="M1372" s="20">
        <v>1.16304920137611E19</v>
      </c>
    </row>
    <row r="1373">
      <c r="A1373" s="6"/>
      <c r="B1373" s="6"/>
      <c r="C1373" s="4"/>
      <c r="D1373" s="4">
        <v>48.3641275995966</v>
      </c>
      <c r="E1373" s="4" t="s">
        <v>143</v>
      </c>
      <c r="F1373" s="4"/>
      <c r="G1373" s="4"/>
      <c r="H1373" s="4"/>
      <c r="I1373" s="4" t="str">
        <f>IFERROR(__xludf.DUMMYFUNCTION("""COMPUTED_VALUE"""),"0x681a14d7b08f1de027b84e9f1591a33bdc89f3e5")</f>
        <v>0x681a14d7b08f1de027b84e9f1591a33bdc89f3e5</v>
      </c>
      <c r="J1373" s="18">
        <v>48.3641275995966</v>
      </c>
      <c r="K1373" s="4">
        <v>604.5515949949574</v>
      </c>
      <c r="L1373" s="19">
        <v>6.045515949949574E20</v>
      </c>
      <c r="M1373" s="20">
        <v>6.045515949949574E19</v>
      </c>
    </row>
    <row r="1374">
      <c r="A1374" s="6"/>
      <c r="B1374" s="6"/>
      <c r="C1374" s="4"/>
      <c r="D1374" s="4">
        <v>31.862742475515198</v>
      </c>
      <c r="E1374" s="4" t="s">
        <v>2373</v>
      </c>
      <c r="F1374" s="4"/>
      <c r="G1374" s="4"/>
      <c r="H1374" s="4"/>
      <c r="I1374" s="4" t="str">
        <f>IFERROR(__xludf.DUMMYFUNCTION("""COMPUTED_VALUE"""),"0x8b8a7e3f14c2c74f9c85abdd48ca41653fadb029")</f>
        <v>0x8b8a7e3f14c2c74f9c85abdd48ca41653fadb029</v>
      </c>
      <c r="J1374" s="18">
        <v>125.2086659388456</v>
      </c>
      <c r="K1374" s="4">
        <v>1565.1083242355699</v>
      </c>
      <c r="L1374" s="19">
        <v>1.5651083242355698E21</v>
      </c>
      <c r="M1374" s="20">
        <v>1.5651083242355697E20</v>
      </c>
    </row>
    <row r="1375">
      <c r="A1375" s="6"/>
      <c r="B1375" s="6"/>
      <c r="C1375" s="4"/>
      <c r="D1375" s="4">
        <v>48.3641275995966</v>
      </c>
      <c r="E1375" s="4" t="s">
        <v>2375</v>
      </c>
      <c r="F1375" s="4"/>
      <c r="G1375" s="4"/>
      <c r="H1375" s="4"/>
      <c r="I1375" s="4" t="str">
        <f>IFERROR(__xludf.DUMMYFUNCTION("""COMPUTED_VALUE"""),"0x68ae12d2b917f6517d4f6c3bd1726c3bd6baa057")</f>
        <v>0x68ae12d2b917f6517d4f6c3bd1726c3bd6baa057</v>
      </c>
      <c r="J1375" s="18">
        <v>5.2521248628181105</v>
      </c>
      <c r="K1375" s="4">
        <v>65.65156078522638</v>
      </c>
      <c r="L1375" s="19">
        <v>6.565156078522638E19</v>
      </c>
      <c r="M1375" s="20">
        <v>6.565156078522638E18</v>
      </c>
    </row>
    <row r="1376">
      <c r="A1376" s="6"/>
      <c r="B1376" s="6"/>
      <c r="C1376" s="4"/>
      <c r="D1376" s="4">
        <v>45.1918785694932</v>
      </c>
      <c r="E1376" s="4" t="s">
        <v>2376</v>
      </c>
      <c r="F1376" s="4"/>
      <c r="G1376" s="4"/>
      <c r="H1376" s="4"/>
      <c r="I1376" s="4" t="str">
        <f>IFERROR(__xludf.DUMMYFUNCTION("""COMPUTED_VALUE"""),"0x626b1c114da59df2a1e0a212ed3100aa4616bf0c")</f>
        <v>0x626b1c114da59df2a1e0a212ed3100aa4616bf0c</v>
      </c>
      <c r="J1376" s="18">
        <v>9.672825519919328</v>
      </c>
      <c r="K1376" s="4">
        <v>120.9103189989916</v>
      </c>
      <c r="L1376" s="19">
        <v>1.209103189989916E20</v>
      </c>
      <c r="M1376" s="20">
        <v>1.209103189989916E19</v>
      </c>
    </row>
    <row r="1377">
      <c r="A1377" s="6"/>
      <c r="B1377" s="6"/>
      <c r="C1377" s="4"/>
      <c r="D1377" s="4">
        <v>48.3641275995966</v>
      </c>
      <c r="E1377" s="4" t="s">
        <v>2378</v>
      </c>
      <c r="F1377" s="4"/>
      <c r="G1377" s="4"/>
      <c r="H1377" s="4"/>
      <c r="I1377" s="4" t="str">
        <f>IFERROR(__xludf.DUMMYFUNCTION("""COMPUTED_VALUE"""),"0xdb00d23051169f7a85f1a9656d375f5f7a45bb0a")</f>
        <v>0xdb00d23051169f7a85f1a9656d375f5f7a45bb0a</v>
      </c>
      <c r="J1377" s="18">
        <v>32.463660590389196</v>
      </c>
      <c r="K1377" s="4">
        <v>405.79575737986494</v>
      </c>
      <c r="L1377" s="19">
        <v>4.0579575737986495E20</v>
      </c>
      <c r="M1377" s="20">
        <v>4.05795757379865E19</v>
      </c>
    </row>
    <row r="1378">
      <c r="A1378" s="6"/>
      <c r="B1378" s="6"/>
      <c r="C1378" s="4"/>
      <c r="D1378" s="4">
        <v>48.3641275995966</v>
      </c>
      <c r="E1378" s="4" t="s">
        <v>2379</v>
      </c>
      <c r="F1378" s="4"/>
      <c r="G1378" s="4"/>
      <c r="H1378" s="4"/>
      <c r="I1378" s="4" t="str">
        <f>IFERROR(__xludf.DUMMYFUNCTION("""COMPUTED_VALUE"""),"0xd958c34a9b9b4fbd6493ddec9c1e7b0dc417a5d4")</f>
        <v>0xd958c34a9b9b4fbd6493ddec9c1e7b0dc417a5d4</v>
      </c>
      <c r="J1378" s="18">
        <v>9.27312943524983</v>
      </c>
      <c r="K1378" s="4">
        <v>115.91411794062287</v>
      </c>
      <c r="L1378" s="19">
        <v>1.1591411794062287E20</v>
      </c>
      <c r="M1378" s="20">
        <v>1.1591411794062287E19</v>
      </c>
    </row>
    <row r="1379">
      <c r="A1379" s="6"/>
      <c r="B1379" s="6"/>
      <c r="C1379" s="4"/>
      <c r="D1379" s="4">
        <v>48.3641275995966</v>
      </c>
      <c r="E1379" s="4" t="s">
        <v>2380</v>
      </c>
      <c r="F1379" s="4"/>
      <c r="G1379" s="4"/>
      <c r="H1379" s="4"/>
      <c r="I1379" s="4" t="str">
        <f>IFERROR(__xludf.DUMMYFUNCTION("""COMPUTED_VALUE"""),"0x686543f5ff6a44fb6d4712409a641d2fad43f34a")</f>
        <v>0x686543f5ff6a44fb6d4712409a641d2fad43f34a</v>
      </c>
      <c r="J1379" s="18">
        <v>9.672825519919328</v>
      </c>
      <c r="K1379" s="4">
        <v>120.9103189989916</v>
      </c>
      <c r="L1379" s="19">
        <v>1.209103189989916E20</v>
      </c>
      <c r="M1379" s="20">
        <v>1.209103189989916E19</v>
      </c>
    </row>
    <row r="1380">
      <c r="A1380" s="6"/>
      <c r="B1380" s="6"/>
      <c r="C1380" s="4"/>
      <c r="D1380" s="4">
        <v>2.22640075600992</v>
      </c>
      <c r="E1380" s="4" t="s">
        <v>2381</v>
      </c>
      <c r="F1380" s="4"/>
      <c r="G1380" s="4"/>
      <c r="H1380" s="4"/>
      <c r="I1380" s="4" t="str">
        <f>IFERROR(__xludf.DUMMYFUNCTION("""COMPUTED_VALUE"""),"0x2e19ae3dfa17ba79a22258b88c4c5c13993aa3c0")</f>
        <v>0x2e19ae3dfa17ba79a22258b88c4c5c13993aa3c0</v>
      </c>
      <c r="J1380" s="18">
        <v>48.3641275995966</v>
      </c>
      <c r="K1380" s="4">
        <v>604.5515949949574</v>
      </c>
      <c r="L1380" s="19">
        <v>6.045515949949574E20</v>
      </c>
      <c r="M1380" s="20">
        <v>6.045515949949574E19</v>
      </c>
    </row>
    <row r="1381">
      <c r="A1381" s="6"/>
      <c r="B1381" s="6"/>
      <c r="C1381" s="4"/>
      <c r="D1381" s="4">
        <v>19.3456510398386</v>
      </c>
      <c r="E1381" s="4" t="s">
        <v>2383</v>
      </c>
      <c r="F1381" s="4"/>
      <c r="G1381" s="4"/>
      <c r="H1381" s="4"/>
      <c r="I1381" s="4" t="str">
        <f>IFERROR(__xludf.DUMMYFUNCTION("""COMPUTED_VALUE"""),"0x840420f36bba33d7ff152e181de5f0f1577b78a1")</f>
        <v>0x840420f36bba33d7ff152e181de5f0f1577b78a1</v>
      </c>
      <c r="J1381" s="18">
        <v>15.9549296869217</v>
      </c>
      <c r="K1381" s="4">
        <v>199.43662108652126</v>
      </c>
      <c r="L1381" s="19">
        <v>1.9943662108652126E20</v>
      </c>
      <c r="M1381" s="20">
        <v>1.9943662108652126E19</v>
      </c>
    </row>
    <row r="1382">
      <c r="A1382" s="6"/>
      <c r="B1382" s="6"/>
      <c r="C1382" s="4"/>
      <c r="D1382" s="4">
        <v>48.3641275995966</v>
      </c>
      <c r="E1382" s="4" t="s">
        <v>2384</v>
      </c>
      <c r="F1382" s="4"/>
      <c r="G1382" s="4"/>
      <c r="H1382" s="4"/>
      <c r="I1382" s="4" t="str">
        <f>IFERROR(__xludf.DUMMYFUNCTION("""COMPUTED_VALUE"""),"0x6f9670a1526b767d12bfd1cc5421c6bbee00bd74")</f>
        <v>0x6f9670a1526b767d12bfd1cc5421c6bbee00bd74</v>
      </c>
      <c r="J1382" s="18">
        <v>19.3456510398386</v>
      </c>
      <c r="K1382" s="4">
        <v>241.8206379979825</v>
      </c>
      <c r="L1382" s="19">
        <v>2.4182063799798248E20</v>
      </c>
      <c r="M1382" s="20">
        <v>2.418206379979825E19</v>
      </c>
    </row>
    <row r="1383">
      <c r="A1383" s="6"/>
      <c r="B1383" s="6"/>
      <c r="C1383" s="4"/>
      <c r="D1383" s="4">
        <v>48.3641275995966</v>
      </c>
      <c r="E1383" s="4" t="s">
        <v>2385</v>
      </c>
      <c r="F1383" s="4"/>
      <c r="G1383" s="4"/>
      <c r="H1383" s="4"/>
      <c r="I1383" s="4" t="str">
        <f>IFERROR(__xludf.DUMMYFUNCTION("""COMPUTED_VALUE"""),"0xcf072e200fd1e1709c59ade16354cf939f5ee0eb")</f>
        <v>0xcf072e200fd1e1709c59ade16354cf939f5ee0eb</v>
      </c>
      <c r="J1383" s="18">
        <v>48.3641275995966</v>
      </c>
      <c r="K1383" s="4">
        <v>604.5515949949574</v>
      </c>
      <c r="L1383" s="19">
        <v>6.045515949949574E20</v>
      </c>
      <c r="M1383" s="20">
        <v>6.045515949949574E19</v>
      </c>
    </row>
    <row r="1384">
      <c r="A1384" s="6"/>
      <c r="B1384" s="6"/>
      <c r="C1384" s="4"/>
      <c r="D1384" s="4">
        <v>17.2014094008577</v>
      </c>
      <c r="E1384" s="4" t="s">
        <v>2386</v>
      </c>
      <c r="F1384" s="4"/>
      <c r="G1384" s="4"/>
      <c r="H1384" s="4"/>
      <c r="I1384" s="4" t="str">
        <f>IFERROR(__xludf.DUMMYFUNCTION("""COMPUTED_VALUE"""),"0xda22d6c354b31bda5a1f956f08f4110ef1f8f5d0")</f>
        <v>0xda22d6c354b31bda5a1f956f08f4110ef1f8f5d0</v>
      </c>
      <c r="J1384" s="18">
        <v>48.3641275995966</v>
      </c>
      <c r="K1384" s="4">
        <v>604.5515949949574</v>
      </c>
      <c r="L1384" s="19">
        <v>6.045515949949574E20</v>
      </c>
      <c r="M1384" s="20">
        <v>6.045515949949574E19</v>
      </c>
    </row>
    <row r="1385">
      <c r="A1385" s="6"/>
      <c r="B1385" s="6"/>
      <c r="C1385" s="4"/>
      <c r="D1385" s="4">
        <v>1.46813933025003</v>
      </c>
      <c r="E1385" s="4" t="s">
        <v>2388</v>
      </c>
      <c r="F1385" s="4"/>
      <c r="G1385" s="4"/>
      <c r="H1385" s="4"/>
      <c r="I1385" s="4" t="str">
        <f>IFERROR(__xludf.DUMMYFUNCTION("""COMPUTED_VALUE"""),"0xca0bd935638a9151a5687b316df77ef1ca97230d")</f>
        <v>0xca0bd935638a9151a5687b316df77ef1ca97230d</v>
      </c>
      <c r="J1385" s="18">
        <v>29.3851887033578</v>
      </c>
      <c r="K1385" s="4">
        <v>367.31485879197254</v>
      </c>
      <c r="L1385" s="19">
        <v>3.673148587919726E20</v>
      </c>
      <c r="M1385" s="20">
        <v>3.6731485879197258E19</v>
      </c>
    </row>
    <row r="1386">
      <c r="A1386" s="6"/>
      <c r="B1386" s="6"/>
      <c r="C1386" s="4"/>
      <c r="D1386" s="4">
        <v>48.3641275995966</v>
      </c>
      <c r="E1386" s="4" t="s">
        <v>2390</v>
      </c>
      <c r="F1386" s="4"/>
      <c r="G1386" s="4"/>
      <c r="H1386" s="4"/>
      <c r="I1386" s="4" t="str">
        <f>IFERROR(__xludf.DUMMYFUNCTION("""COMPUTED_VALUE"""),"0x4ea58af76c7addb5fc0648914fa8a99578a08ffe")</f>
        <v>0x4ea58af76c7addb5fc0648914fa8a99578a08ffe</v>
      </c>
      <c r="J1386" s="18">
        <v>3.1981780336493397</v>
      </c>
      <c r="K1386" s="4">
        <v>39.97722542061675</v>
      </c>
      <c r="L1386" s="19">
        <v>3.9977225420616745E19</v>
      </c>
      <c r="M1386" s="20">
        <v>3.9977225420616745E18</v>
      </c>
    </row>
    <row r="1387">
      <c r="A1387" s="6"/>
      <c r="B1387" s="6"/>
      <c r="C1387" s="4"/>
      <c r="D1387" s="4">
        <v>48.3641275995966</v>
      </c>
      <c r="E1387" s="4" t="s">
        <v>1761</v>
      </c>
      <c r="F1387" s="4"/>
      <c r="G1387" s="4"/>
      <c r="H1387" s="4"/>
      <c r="I1387" s="4" t="str">
        <f>IFERROR(__xludf.DUMMYFUNCTION("""COMPUTED_VALUE"""),"0x7c608b36f8a0aa5dcd610fbf188c189fd27a1fdc")</f>
        <v>0x7c608b36f8a0aa5dcd610fbf188c189fd27a1fdc</v>
      </c>
      <c r="J1387" s="18">
        <v>2.2952332451165</v>
      </c>
      <c r="K1387" s="4">
        <v>28.69041556395625</v>
      </c>
      <c r="L1387" s="19">
        <v>2.869041556395625E19</v>
      </c>
      <c r="M1387" s="20">
        <v>2.869041556395625E18</v>
      </c>
    </row>
    <row r="1388">
      <c r="A1388" s="6"/>
      <c r="B1388" s="6"/>
      <c r="C1388" s="4"/>
      <c r="D1388" s="4">
        <v>19.3456510398386</v>
      </c>
      <c r="E1388" s="4" t="s">
        <v>2391</v>
      </c>
      <c r="F1388" s="4"/>
      <c r="G1388" s="4"/>
      <c r="H1388" s="4"/>
      <c r="I1388" s="4" t="str">
        <f>IFERROR(__xludf.DUMMYFUNCTION("""COMPUTED_VALUE"""),"0x43f107b4bff625a7c1685dfb2c09f12a39bbc371")</f>
        <v>0x43f107b4bff625a7c1685dfb2c09f12a39bbc371</v>
      </c>
      <c r="J1388" s="18">
        <v>9.43523928024889</v>
      </c>
      <c r="K1388" s="4">
        <v>117.94049100311112</v>
      </c>
      <c r="L1388" s="19">
        <v>1.1794049100311111E20</v>
      </c>
      <c r="M1388" s="20">
        <v>1.1794049100311112E19</v>
      </c>
    </row>
    <row r="1389">
      <c r="A1389" s="6"/>
      <c r="B1389" s="6"/>
      <c r="C1389" s="4"/>
      <c r="D1389" s="4">
        <v>8.92937996747302</v>
      </c>
      <c r="E1389" s="4" t="s">
        <v>2392</v>
      </c>
      <c r="F1389" s="4"/>
      <c r="G1389" s="4"/>
      <c r="H1389" s="4"/>
      <c r="I1389" s="4" t="str">
        <f>IFERROR(__xludf.DUMMYFUNCTION("""COMPUTED_VALUE"""),"0x73c5bfe9ba5c0c15cf6c5d34a40f2660f9b80de6")</f>
        <v>0x73c5bfe9ba5c0c15cf6c5d34a40f2660f9b80de6</v>
      </c>
      <c r="J1389" s="18">
        <v>10.3917743248721</v>
      </c>
      <c r="K1389" s="4">
        <v>129.89717906090127</v>
      </c>
      <c r="L1389" s="19">
        <v>1.2989717906090127E20</v>
      </c>
      <c r="M1389" s="20">
        <v>1.2989717906090127E19</v>
      </c>
    </row>
    <row r="1390">
      <c r="A1390" s="6"/>
      <c r="B1390" s="6"/>
      <c r="C1390" s="4"/>
      <c r="D1390" s="4">
        <v>44.751444682974295</v>
      </c>
      <c r="E1390" s="4" t="s">
        <v>2394</v>
      </c>
      <c r="F1390" s="4"/>
      <c r="G1390" s="4"/>
      <c r="H1390" s="4"/>
      <c r="I1390" s="4" t="str">
        <f>IFERROR(__xludf.DUMMYFUNCTION("""COMPUTED_VALUE"""),"0x84cb1c920b2c9141297ad0a9ff64567c56c7ac78")</f>
        <v>0x84cb1c920b2c9141297ad0a9ff64567c56c7ac78</v>
      </c>
      <c r="J1390" s="18">
        <v>48.3641275995966</v>
      </c>
      <c r="K1390" s="4">
        <v>604.5515949949574</v>
      </c>
      <c r="L1390" s="19">
        <v>6.045515949949574E20</v>
      </c>
      <c r="M1390" s="20">
        <v>6.045515949949574E19</v>
      </c>
    </row>
    <row r="1391">
      <c r="A1391" s="6"/>
      <c r="B1391" s="6"/>
      <c r="C1391" s="4"/>
      <c r="D1391" s="4">
        <v>4.081997100352</v>
      </c>
      <c r="E1391" s="4" t="s">
        <v>2396</v>
      </c>
      <c r="F1391" s="4"/>
      <c r="G1391" s="4"/>
      <c r="H1391" s="4"/>
      <c r="I1391" s="4" t="str">
        <f>IFERROR(__xludf.DUMMYFUNCTION("""COMPUTED_VALUE"""),"0xfc536fdffbc7cfa7bfb64fa18945d0552588f2f2")</f>
        <v>0xfc536fdffbc7cfa7bfb64fa18945d0552588f2f2</v>
      </c>
      <c r="J1391" s="18">
        <v>17.603718972586602</v>
      </c>
      <c r="K1391" s="4">
        <v>220.04648715733254</v>
      </c>
      <c r="L1391" s="19">
        <v>2.2004648715733254E20</v>
      </c>
      <c r="M1391" s="20">
        <v>2.2004648715733254E19</v>
      </c>
    </row>
    <row r="1392">
      <c r="A1392" s="6"/>
      <c r="B1392" s="6"/>
      <c r="C1392" s="4"/>
      <c r="D1392" s="4">
        <v>48.3641275995966</v>
      </c>
      <c r="E1392" s="4" t="s">
        <v>861</v>
      </c>
      <c r="F1392" s="4"/>
      <c r="G1392" s="4"/>
      <c r="H1392" s="4"/>
      <c r="I1392" s="4" t="str">
        <f>IFERROR(__xludf.DUMMYFUNCTION("""COMPUTED_VALUE"""),"0x26634a1412f839f21a6ba75ce42cfa60092b6efa")</f>
        <v>0x26634a1412f839f21a6ba75ce42cfa60092b6efa</v>
      </c>
      <c r="J1392" s="18">
        <v>37.418599524444204</v>
      </c>
      <c r="K1392" s="4">
        <v>467.73249405555254</v>
      </c>
      <c r="L1392" s="19">
        <v>4.677324940555525E20</v>
      </c>
      <c r="M1392" s="20">
        <v>4.677324940555525E19</v>
      </c>
    </row>
    <row r="1393">
      <c r="A1393" s="6"/>
      <c r="B1393" s="6"/>
      <c r="C1393" s="4"/>
      <c r="D1393" s="4">
        <v>29.6929662169385</v>
      </c>
      <c r="E1393" s="4" t="s">
        <v>2398</v>
      </c>
      <c r="F1393" s="4"/>
      <c r="G1393" s="4"/>
      <c r="H1393" s="4"/>
      <c r="I1393" s="4" t="str">
        <f>IFERROR(__xludf.DUMMYFUNCTION("""COMPUTED_VALUE"""),"0x3619ea2043392a33586c8f231d06be6a056ef4aa")</f>
        <v>0x3619ea2043392a33586c8f231d06be6a056ef4aa</v>
      </c>
      <c r="J1393" s="18">
        <v>57.72813834408919</v>
      </c>
      <c r="K1393" s="4">
        <v>721.6017293011148</v>
      </c>
      <c r="L1393" s="19">
        <v>7.216017293011148E20</v>
      </c>
      <c r="M1393" s="20">
        <v>7.216017293011148E19</v>
      </c>
    </row>
    <row r="1394">
      <c r="A1394" s="6"/>
      <c r="B1394" s="6"/>
      <c r="C1394" s="4"/>
      <c r="D1394" s="4">
        <v>47.3245618390358</v>
      </c>
      <c r="E1394" s="4" t="s">
        <v>1679</v>
      </c>
      <c r="F1394" s="4"/>
      <c r="G1394" s="4"/>
      <c r="H1394" s="4"/>
      <c r="I1394" s="4" t="str">
        <f>IFERROR(__xludf.DUMMYFUNCTION("""COMPUTED_VALUE"""),"0x19775e1817bc7a1e41060f80e0d00eabae2959a7")</f>
        <v>0x19775e1817bc7a1e41060f80e0d00eabae2959a7</v>
      </c>
      <c r="J1394" s="18">
        <v>188.0675721474536</v>
      </c>
      <c r="K1394" s="4">
        <v>2350.84465184317</v>
      </c>
      <c r="L1394" s="19">
        <v>2.35084465184317E21</v>
      </c>
      <c r="M1394" s="20">
        <v>2.35084465184317E20</v>
      </c>
    </row>
    <row r="1395">
      <c r="A1395" s="6"/>
      <c r="B1395" s="6"/>
      <c r="C1395" s="4"/>
      <c r="D1395" s="4">
        <v>48.3641275995966</v>
      </c>
      <c r="E1395" s="4" t="s">
        <v>2401</v>
      </c>
      <c r="F1395" s="4"/>
      <c r="G1395" s="4"/>
      <c r="H1395" s="4"/>
      <c r="I1395" s="4" t="str">
        <f>IFERROR(__xludf.DUMMYFUNCTION("""COMPUTED_VALUE"""),"0x35706dfbe28425dc831af3517b41b176e009cd0d")</f>
        <v>0x35706dfbe28425dc831af3517b41b176e009cd0d</v>
      </c>
      <c r="J1395" s="18">
        <v>9.672825519919328</v>
      </c>
      <c r="K1395" s="4">
        <v>120.9103189989916</v>
      </c>
      <c r="L1395" s="19">
        <v>1.209103189989916E20</v>
      </c>
      <c r="M1395" s="20">
        <v>1.209103189989916E19</v>
      </c>
    </row>
    <row r="1396">
      <c r="A1396" s="6"/>
      <c r="B1396" s="6"/>
      <c r="C1396" s="4"/>
      <c r="D1396" s="4">
        <v>20.615067037063202</v>
      </c>
      <c r="E1396" s="4" t="s">
        <v>2402</v>
      </c>
      <c r="F1396" s="4"/>
      <c r="G1396" s="4"/>
      <c r="H1396" s="4"/>
      <c r="I1396" s="4" t="str">
        <f>IFERROR(__xludf.DUMMYFUNCTION("""COMPUTED_VALUE"""),"0x9316ae6261d4fa383fdb3b012debae5fc35f9042")</f>
        <v>0x9316ae6261d4fa383fdb3b012debae5fc35f9042</v>
      </c>
      <c r="J1396" s="18">
        <v>48.3641275995966</v>
      </c>
      <c r="K1396" s="4">
        <v>604.5515949949574</v>
      </c>
      <c r="L1396" s="19">
        <v>6.045515949949574E20</v>
      </c>
      <c r="M1396" s="20">
        <v>6.045515949949574E19</v>
      </c>
    </row>
    <row r="1397">
      <c r="A1397" s="6"/>
      <c r="B1397" s="6"/>
      <c r="C1397" s="4"/>
      <c r="D1397" s="4">
        <v>32.0387190115152</v>
      </c>
      <c r="E1397" s="4" t="s">
        <v>2404</v>
      </c>
      <c r="F1397" s="4"/>
      <c r="G1397" s="4"/>
      <c r="H1397" s="4"/>
      <c r="I1397" s="4" t="str">
        <f>IFERROR(__xludf.DUMMYFUNCTION("""COMPUTED_VALUE"""),"0x104628acbca0a9ce952159b7c7842d759727dd49")</f>
        <v>0x104628acbca0a9ce952159b7c7842d759727dd49</v>
      </c>
      <c r="J1397" s="18">
        <v>32.7812291123744</v>
      </c>
      <c r="K1397" s="4">
        <v>409.76536390468</v>
      </c>
      <c r="L1397" s="19">
        <v>4.0976536390468E20</v>
      </c>
      <c r="M1397" s="20">
        <v>4.0976536390468E19</v>
      </c>
    </row>
    <row r="1398">
      <c r="A1398" s="6"/>
      <c r="B1398" s="6"/>
      <c r="C1398" s="4"/>
      <c r="D1398" s="4">
        <v>1.1366744995254798</v>
      </c>
      <c r="E1398" s="4" t="s">
        <v>2406</v>
      </c>
      <c r="F1398" s="4"/>
      <c r="G1398" s="4"/>
      <c r="H1398" s="4"/>
      <c r="I1398" s="4" t="str">
        <f>IFERROR(__xludf.DUMMYFUNCTION("""COMPUTED_VALUE"""),"0x18a5991c6c1c300c7b6c23db983f367203b68f4b")</f>
        <v>0x18a5991c6c1c300c7b6c23db983f367203b68f4b</v>
      </c>
      <c r="J1398" s="18">
        <v>41.848772581681644</v>
      </c>
      <c r="K1398" s="4">
        <v>523.1096572710205</v>
      </c>
      <c r="L1398" s="19">
        <v>5.2310965727102055E20</v>
      </c>
      <c r="M1398" s="20">
        <v>5.231096572710206E19</v>
      </c>
    </row>
    <row r="1399">
      <c r="A1399" s="6"/>
      <c r="B1399" s="6"/>
      <c r="C1399" s="4"/>
      <c r="D1399" s="4">
        <v>33.625866760733096</v>
      </c>
      <c r="E1399" s="4" t="s">
        <v>1505</v>
      </c>
      <c r="F1399" s="4"/>
      <c r="G1399" s="4"/>
      <c r="H1399" s="4"/>
      <c r="I1399" s="4" t="str">
        <f>IFERROR(__xludf.DUMMYFUNCTION("""COMPUTED_VALUE"""),"0x185df3839a57dbdd02f66dd10b54dbdd66c4ce84")</f>
        <v>0x185df3839a57dbdd02f66dd10b54dbdd66c4ce84</v>
      </c>
      <c r="J1399" s="18">
        <v>234.37608780709658</v>
      </c>
      <c r="K1399" s="4">
        <v>2929.7010975887074</v>
      </c>
      <c r="L1399" s="19">
        <v>2.9297010975887076E21</v>
      </c>
      <c r="M1399" s="20">
        <v>2.9297010975887078E20</v>
      </c>
    </row>
    <row r="1400">
      <c r="A1400" s="6"/>
      <c r="B1400" s="6"/>
      <c r="C1400" s="4"/>
      <c r="D1400" s="4">
        <v>10.059738540716099</v>
      </c>
      <c r="E1400" s="4" t="s">
        <v>2409</v>
      </c>
      <c r="F1400" s="4"/>
      <c r="G1400" s="4"/>
      <c r="H1400" s="4"/>
      <c r="I1400" s="4" t="str">
        <f>IFERROR(__xludf.DUMMYFUNCTION("""COMPUTED_VALUE"""),"0xc20087af4f1ec8f575472bd61fb0094dc1f9595c")</f>
        <v>0xc20087af4f1ec8f575472bd61fb0094dc1f9595c</v>
      </c>
      <c r="J1400" s="18">
        <v>70.58870860745171</v>
      </c>
      <c r="K1400" s="4">
        <v>882.3588575931464</v>
      </c>
      <c r="L1400" s="19">
        <v>8.823588575931463E20</v>
      </c>
      <c r="M1400" s="20">
        <v>8.823588575931464E19</v>
      </c>
    </row>
    <row r="1401">
      <c r="A1401" s="6"/>
      <c r="B1401" s="6"/>
      <c r="C1401" s="4"/>
      <c r="D1401" s="4">
        <v>29.018476559758</v>
      </c>
      <c r="E1401" s="4" t="s">
        <v>2410</v>
      </c>
      <c r="F1401" s="4"/>
      <c r="G1401" s="4"/>
      <c r="H1401" s="4"/>
      <c r="I1401" s="4" t="str">
        <f>IFERROR(__xludf.DUMMYFUNCTION("""COMPUTED_VALUE"""),"0x24bb4de554cc1a3fde5f10f1fcdaf4a66ecab35e")</f>
        <v>0x24bb4de554cc1a3fde5f10f1fcdaf4a66ecab35e</v>
      </c>
      <c r="J1401" s="18">
        <v>34.8504669075301</v>
      </c>
      <c r="K1401" s="4">
        <v>435.63083634412624</v>
      </c>
      <c r="L1401" s="19">
        <v>4.3563083634412624E20</v>
      </c>
      <c r="M1401" s="20">
        <v>4.356308363441263E19</v>
      </c>
    </row>
    <row r="1402">
      <c r="A1402" s="6"/>
      <c r="B1402" s="6"/>
      <c r="C1402" s="4"/>
      <c r="D1402" s="4">
        <v>28.4381070285628</v>
      </c>
      <c r="E1402" s="4" t="s">
        <v>2411</v>
      </c>
      <c r="F1402" s="4"/>
      <c r="G1402" s="4"/>
      <c r="H1402" s="4"/>
      <c r="I1402" s="4" t="str">
        <f>IFERROR(__xludf.DUMMYFUNCTION("""COMPUTED_VALUE"""),"0x283eb606d1d6dbb753d57206fcce12d41b1222be")</f>
        <v>0x283eb606d1d6dbb753d57206fcce12d41b1222be</v>
      </c>
      <c r="J1402" s="18">
        <v>9.82320033139737</v>
      </c>
      <c r="K1402" s="4">
        <v>122.79000414246713</v>
      </c>
      <c r="L1402" s="19">
        <v>1.2279000414246712E20</v>
      </c>
      <c r="M1402" s="20">
        <v>1.2279000414246713E19</v>
      </c>
    </row>
    <row r="1403">
      <c r="A1403" s="6"/>
      <c r="B1403" s="6"/>
      <c r="C1403" s="4"/>
      <c r="D1403" s="4">
        <v>47.2743043421673</v>
      </c>
      <c r="E1403" s="4" t="s">
        <v>2413</v>
      </c>
      <c r="F1403" s="4"/>
      <c r="G1403" s="4"/>
      <c r="H1403" s="4"/>
      <c r="I1403" s="4" t="str">
        <f>IFERROR(__xludf.DUMMYFUNCTION("""COMPUTED_VALUE"""),"0x5fbd4a3670df68a42f3f87c217125c2637e947f4")</f>
        <v>0x5fbd4a3670df68a42f3f87c217125c2637e947f4</v>
      </c>
      <c r="J1403" s="18">
        <v>57.66472560997164</v>
      </c>
      <c r="K1403" s="4">
        <v>720.8090701246455</v>
      </c>
      <c r="L1403" s="19">
        <v>7.208090701246455E20</v>
      </c>
      <c r="M1403" s="20">
        <v>7.208090701246455E19</v>
      </c>
    </row>
    <row r="1404">
      <c r="A1404" s="6"/>
      <c r="B1404" s="6"/>
      <c r="C1404" s="4"/>
      <c r="D1404" s="4">
        <v>11.748628170836199</v>
      </c>
      <c r="E1404" s="4" t="s">
        <v>2415</v>
      </c>
      <c r="F1404" s="4"/>
      <c r="G1404" s="4"/>
      <c r="H1404" s="4"/>
      <c r="I1404" s="4" t="str">
        <f>IFERROR(__xludf.DUMMYFUNCTION("""COMPUTED_VALUE"""),"0x5046c5effa4a52bc6190df3ad5ba17358a43dc19")</f>
        <v>0x5046c5effa4a52bc6190df3ad5ba17358a43dc19</v>
      </c>
      <c r="J1404" s="18">
        <v>68.834273774533</v>
      </c>
      <c r="K1404" s="4">
        <v>860.4284221816625</v>
      </c>
      <c r="L1404" s="19">
        <v>8.604284221816625E20</v>
      </c>
      <c r="M1404" s="20">
        <v>8.604284221816626E19</v>
      </c>
    </row>
    <row r="1405">
      <c r="A1405" s="6"/>
      <c r="B1405" s="6"/>
      <c r="C1405" s="4"/>
      <c r="D1405" s="4">
        <v>26.1988688371667</v>
      </c>
      <c r="E1405" s="4" t="s">
        <v>2417</v>
      </c>
      <c r="F1405" s="4"/>
      <c r="G1405" s="4"/>
      <c r="H1405" s="4"/>
      <c r="I1405" s="4" t="str">
        <f>IFERROR(__xludf.DUMMYFUNCTION("""COMPUTED_VALUE"""),"0xf6ffb43ef94332b871153cb7a1d03a202716b6af")</f>
        <v>0xf6ffb43ef94332b871153cb7a1d03a202716b6af</v>
      </c>
      <c r="J1405" s="18">
        <v>7.79242999106158</v>
      </c>
      <c r="K1405" s="4">
        <v>97.40537488826975</v>
      </c>
      <c r="L1405" s="19">
        <v>9.740537488826974E19</v>
      </c>
      <c r="M1405" s="20">
        <v>9.740537488826974E18</v>
      </c>
    </row>
    <row r="1406">
      <c r="A1406" s="6"/>
      <c r="B1406" s="6"/>
      <c r="C1406" s="4"/>
      <c r="D1406" s="4">
        <v>48.3641275995966</v>
      </c>
      <c r="E1406" s="4" t="s">
        <v>2419</v>
      </c>
      <c r="F1406" s="4"/>
      <c r="G1406" s="4"/>
      <c r="H1406" s="4"/>
      <c r="I1406" s="4" t="str">
        <f>IFERROR(__xludf.DUMMYFUNCTION("""COMPUTED_VALUE"""),"0xefda0444b06a4d11756df9c9b7f18e2ebc15ee89")</f>
        <v>0xefda0444b06a4d11756df9c9b7f18e2ebc15ee89</v>
      </c>
      <c r="J1406" s="18">
        <v>132.44153361338692</v>
      </c>
      <c r="K1406" s="4">
        <v>1655.5191701673366</v>
      </c>
      <c r="L1406" s="19">
        <v>1.6555191701673366E21</v>
      </c>
      <c r="M1406" s="20">
        <v>1.6555191701673368E20</v>
      </c>
    </row>
    <row r="1407">
      <c r="A1407" s="6"/>
      <c r="B1407" s="6"/>
      <c r="C1407" s="4"/>
      <c r="D1407" s="4">
        <v>48.3641275995966</v>
      </c>
      <c r="E1407" s="4" t="s">
        <v>2420</v>
      </c>
      <c r="F1407" s="4"/>
      <c r="G1407" s="4"/>
      <c r="H1407" s="4"/>
      <c r="I1407" s="4" t="str">
        <f>IFERROR(__xludf.DUMMYFUNCTION("""COMPUTED_VALUE"""),"0xefbd5783c4153d843dd2c6a3f941e6f623d3b480")</f>
        <v>0xefbd5783c4153d843dd2c6a3f941e6f623d3b480</v>
      </c>
      <c r="J1407" s="18">
        <v>23.2147812478064</v>
      </c>
      <c r="K1407" s="4">
        <v>290.18476559758</v>
      </c>
      <c r="L1407" s="19">
        <v>2.9018476559758E20</v>
      </c>
      <c r="M1407" s="20">
        <v>2.9018476559758E19</v>
      </c>
    </row>
    <row r="1408">
      <c r="A1408" s="6"/>
      <c r="B1408" s="6"/>
      <c r="C1408" s="4"/>
      <c r="D1408" s="4">
        <v>47.0989103690501</v>
      </c>
      <c r="E1408" s="4" t="s">
        <v>2421</v>
      </c>
      <c r="F1408" s="4"/>
      <c r="G1408" s="4"/>
      <c r="H1408" s="4"/>
      <c r="I1408" s="4" t="str">
        <f>IFERROR(__xludf.DUMMYFUNCTION("""COMPUTED_VALUE"""),"0xa590f5a855a6236140b344f62cf857ffc33ad8e4")</f>
        <v>0xa590f5a855a6236140b344f62cf857ffc33ad8e4</v>
      </c>
      <c r="J1408" s="18">
        <v>48.3641275995966</v>
      </c>
      <c r="K1408" s="4">
        <v>604.5515949949574</v>
      </c>
      <c r="L1408" s="19">
        <v>6.045515949949574E20</v>
      </c>
      <c r="M1408" s="20">
        <v>6.045515949949574E19</v>
      </c>
    </row>
    <row r="1409">
      <c r="A1409" s="6"/>
      <c r="B1409" s="6"/>
      <c r="C1409" s="4"/>
      <c r="D1409" s="4">
        <v>13.033672211542301</v>
      </c>
      <c r="E1409" s="4" t="s">
        <v>2423</v>
      </c>
      <c r="F1409" s="4"/>
      <c r="G1409" s="4"/>
      <c r="H1409" s="4"/>
      <c r="I1409" s="4" t="str">
        <f>IFERROR(__xludf.DUMMYFUNCTION("""COMPUTED_VALUE"""),"0xe26f4c2273ce0175c6ea69704f92adbff6cd7a86")</f>
        <v>0xe26f4c2273ce0175c6ea69704f92adbff6cd7a86</v>
      </c>
      <c r="J1409" s="18">
        <v>12.2155526426166</v>
      </c>
      <c r="K1409" s="4">
        <v>152.6944080327075</v>
      </c>
      <c r="L1409" s="19">
        <v>1.526944080327075E20</v>
      </c>
      <c r="M1409" s="20">
        <v>1.5269440803270752E19</v>
      </c>
    </row>
    <row r="1410">
      <c r="A1410" s="6"/>
      <c r="B1410" s="6"/>
      <c r="C1410" s="4"/>
      <c r="D1410" s="4">
        <v>48.3641275995966</v>
      </c>
      <c r="E1410" s="4" t="s">
        <v>2425</v>
      </c>
      <c r="F1410" s="4"/>
      <c r="G1410" s="4"/>
      <c r="H1410" s="4"/>
      <c r="I1410" s="4" t="str">
        <f>IFERROR(__xludf.DUMMYFUNCTION("""COMPUTED_VALUE"""),"0xafa88e8aaec51a3ba3760018c61d3e5596ad1e70")</f>
        <v>0xafa88e8aaec51a3ba3760018c61d3e5596ad1e70</v>
      </c>
      <c r="J1410" s="18">
        <v>5.275627130633589</v>
      </c>
      <c r="K1410" s="4">
        <v>65.94533913291987</v>
      </c>
      <c r="L1410" s="19">
        <v>6.594533913291987E19</v>
      </c>
      <c r="M1410" s="20">
        <v>6.594533913291988E18</v>
      </c>
    </row>
    <row r="1411">
      <c r="A1411" s="6"/>
      <c r="B1411" s="6"/>
      <c r="C1411" s="4"/>
      <c r="D1411" s="4">
        <v>48.3641275995966</v>
      </c>
      <c r="E1411" s="4" t="s">
        <v>2426</v>
      </c>
      <c r="F1411" s="4"/>
      <c r="G1411" s="4"/>
      <c r="H1411" s="4"/>
      <c r="I1411" s="4" t="str">
        <f>IFERROR(__xludf.DUMMYFUNCTION("""COMPUTED_VALUE"""),"0xd08b88e684c422b1921d24531bc5db6b994ba1ca")</f>
        <v>0xd08b88e684c422b1921d24531bc5db6b994ba1ca</v>
      </c>
      <c r="J1411" s="18">
        <v>41.2724553196488</v>
      </c>
      <c r="K1411" s="4">
        <v>515.90569149561</v>
      </c>
      <c r="L1411" s="19">
        <v>5.1590569149561E20</v>
      </c>
      <c r="M1411" s="20">
        <v>5.1590569149561E19</v>
      </c>
    </row>
    <row r="1412">
      <c r="A1412" s="6"/>
      <c r="B1412" s="6"/>
      <c r="C1412" s="4"/>
      <c r="D1412" s="4">
        <v>48.3641275995966</v>
      </c>
      <c r="E1412" s="4" t="s">
        <v>1734</v>
      </c>
      <c r="F1412" s="4"/>
      <c r="G1412" s="4"/>
      <c r="H1412" s="4"/>
      <c r="I1412" s="4" t="str">
        <f>IFERROR(__xludf.DUMMYFUNCTION("""COMPUTED_VALUE"""),"0xd2d6b3eb64088b5b96df628201ae77c08d06a534")</f>
        <v>0xd2d6b3eb64088b5b96df628201ae77c08d06a534</v>
      </c>
      <c r="J1412" s="18">
        <v>12.8746979256253</v>
      </c>
      <c r="K1412" s="4">
        <v>160.93372407031626</v>
      </c>
      <c r="L1412" s="19">
        <v>1.6093372407031624E20</v>
      </c>
      <c r="M1412" s="20">
        <v>1.6093372407031626E19</v>
      </c>
    </row>
    <row r="1413">
      <c r="A1413" s="6"/>
      <c r="B1413" s="6"/>
      <c r="C1413" s="4"/>
      <c r="D1413" s="4">
        <v>48.3641275995966</v>
      </c>
      <c r="E1413" s="4" t="s">
        <v>2427</v>
      </c>
      <c r="F1413" s="4"/>
      <c r="G1413" s="4"/>
      <c r="H1413" s="4"/>
      <c r="I1413" s="4" t="str">
        <f>IFERROR(__xludf.DUMMYFUNCTION("""COMPUTED_VALUE"""),"0x1963c8d8eec61cf1b571fad046a2cfd9f26d1438")</f>
        <v>0x1963c8d8eec61cf1b571fad046a2cfd9f26d1438</v>
      </c>
      <c r="J1413" s="18">
        <v>85.7890202179808</v>
      </c>
      <c r="K1413" s="4">
        <v>1072.36275272476</v>
      </c>
      <c r="L1413" s="19">
        <v>1.07236275272476E21</v>
      </c>
      <c r="M1413" s="20">
        <v>1.07236275272476E20</v>
      </c>
    </row>
    <row r="1414">
      <c r="A1414" s="6"/>
      <c r="B1414" s="6"/>
      <c r="C1414" s="4"/>
      <c r="D1414" s="4">
        <v>48.3641275995966</v>
      </c>
      <c r="E1414" s="4" t="s">
        <v>2428</v>
      </c>
      <c r="F1414" s="4"/>
      <c r="G1414" s="4"/>
      <c r="H1414" s="4"/>
      <c r="I1414" s="4" t="str">
        <f>IFERROR(__xludf.DUMMYFUNCTION("""COMPUTED_VALUE"""),"0x1eaecb9f66ec02db1e808c346474e1ea6956f195")</f>
        <v>0x1eaecb9f66ec02db1e808c346474e1ea6956f195</v>
      </c>
      <c r="J1414" s="18">
        <v>51.31433857422011</v>
      </c>
      <c r="K1414" s="4">
        <v>641.4292321777514</v>
      </c>
      <c r="L1414" s="19">
        <v>6.414292321777514E20</v>
      </c>
      <c r="M1414" s="20">
        <v>6.414292321777514E19</v>
      </c>
    </row>
    <row r="1415">
      <c r="A1415" s="6"/>
      <c r="B1415" s="6"/>
      <c r="C1415" s="4"/>
      <c r="D1415" s="4">
        <v>23.1009552228851</v>
      </c>
      <c r="E1415" s="4" t="s">
        <v>2429</v>
      </c>
      <c r="F1415" s="4"/>
      <c r="G1415" s="4"/>
      <c r="H1415" s="4"/>
      <c r="I1415" s="4" t="str">
        <f>IFERROR(__xludf.DUMMYFUNCTION("""COMPUTED_VALUE"""),"0x82316533a1b182c8c4c37caa459ad2fbeafee8e2")</f>
        <v>0x82316533a1b182c8c4c37caa459ad2fbeafee8e2</v>
      </c>
      <c r="J1415" s="18">
        <v>13.6506614593441</v>
      </c>
      <c r="K1415" s="4">
        <v>170.63326824180126</v>
      </c>
      <c r="L1415" s="19">
        <v>1.7063326824180125E20</v>
      </c>
      <c r="M1415" s="20">
        <v>1.7063326824180126E19</v>
      </c>
    </row>
    <row r="1416">
      <c r="A1416" s="6"/>
      <c r="B1416" s="6"/>
      <c r="C1416" s="4"/>
      <c r="D1416" s="4">
        <v>48.3641275995966</v>
      </c>
      <c r="E1416" s="4" t="s">
        <v>72</v>
      </c>
      <c r="F1416" s="4"/>
      <c r="G1416" s="4"/>
      <c r="H1416" s="4"/>
      <c r="I1416" s="4" t="str">
        <f>IFERROR(__xludf.DUMMYFUNCTION("""COMPUTED_VALUE"""),"0xfd7d1b7d8644f32b57c2736c9557240dd5e05475")</f>
        <v>0xfd7d1b7d8644f32b57c2736c9557240dd5e05475</v>
      </c>
      <c r="J1416" s="18">
        <v>48.3641275995966</v>
      </c>
      <c r="K1416" s="4">
        <v>604.5515949949574</v>
      </c>
      <c r="L1416" s="19">
        <v>6.045515949949574E20</v>
      </c>
      <c r="M1416" s="20">
        <v>6.045515949949574E19</v>
      </c>
    </row>
    <row r="1417">
      <c r="A1417" s="6"/>
      <c r="B1417" s="6"/>
      <c r="C1417" s="4"/>
      <c r="D1417" s="4">
        <v>42.5122090529452</v>
      </c>
      <c r="E1417" s="4" t="s">
        <v>2431</v>
      </c>
      <c r="F1417" s="4"/>
      <c r="G1417" s="4"/>
      <c r="H1417" s="4"/>
      <c r="I1417" s="4" t="str">
        <f>IFERROR(__xludf.DUMMYFUNCTION("""COMPUTED_VALUE"""),"0x1410e6af00dc1912eb568e7431a4bb80fb71ec2a")</f>
        <v>0x1410e6af00dc1912eb568e7431a4bb80fb71ec2a</v>
      </c>
      <c r="J1417" s="18">
        <v>17.9527007621284</v>
      </c>
      <c r="K1417" s="4">
        <v>224.40875952660502</v>
      </c>
      <c r="L1417" s="19">
        <v>2.2440875952660503E20</v>
      </c>
      <c r="M1417" s="20">
        <v>2.2440875952660505E19</v>
      </c>
    </row>
    <row r="1418">
      <c r="A1418" s="6"/>
      <c r="B1418" s="6"/>
      <c r="C1418" s="4"/>
      <c r="D1418" s="4">
        <v>37.1082899259492</v>
      </c>
      <c r="E1418" s="4" t="s">
        <v>2433</v>
      </c>
      <c r="F1418" s="4"/>
      <c r="G1418" s="4"/>
      <c r="H1418" s="4"/>
      <c r="I1418" s="4" t="str">
        <f>IFERROR(__xludf.DUMMYFUNCTION("""COMPUTED_VALUE"""),"0xd1434c0049fd66dd640db2f59ee839c0979750dd")</f>
        <v>0xd1434c0049fd66dd640db2f59ee839c0979750dd</v>
      </c>
      <c r="J1418" s="18">
        <v>9.672825519919328</v>
      </c>
      <c r="K1418" s="4">
        <v>120.9103189989916</v>
      </c>
      <c r="L1418" s="19">
        <v>1.209103189989916E20</v>
      </c>
      <c r="M1418" s="20">
        <v>1.209103189989916E19</v>
      </c>
    </row>
    <row r="1419">
      <c r="A1419" s="6"/>
      <c r="B1419" s="6"/>
      <c r="C1419" s="4"/>
      <c r="D1419" s="4">
        <v>9.30439361100888</v>
      </c>
      <c r="E1419" s="4" t="s">
        <v>2435</v>
      </c>
      <c r="F1419" s="4"/>
      <c r="G1419" s="4"/>
      <c r="H1419" s="4"/>
      <c r="I1419" s="4" t="str">
        <f>IFERROR(__xludf.DUMMYFUNCTION("""COMPUTED_VALUE"""),"0x95b49e38b2a3140f5242d57f6ec34920601ae193")</f>
        <v>0x95b49e38b2a3140f5242d57f6ec34920601ae193</v>
      </c>
      <c r="J1419" s="18">
        <v>48.3641275995966</v>
      </c>
      <c r="K1419" s="4">
        <v>604.5515949949574</v>
      </c>
      <c r="L1419" s="19">
        <v>6.045515949949574E20</v>
      </c>
      <c r="M1419" s="20">
        <v>6.045515949949574E19</v>
      </c>
    </row>
    <row r="1420">
      <c r="A1420" s="6"/>
      <c r="B1420" s="6"/>
      <c r="C1420" s="4"/>
      <c r="D1420" s="4">
        <v>48.3641275995966</v>
      </c>
      <c r="E1420" s="4" t="s">
        <v>2437</v>
      </c>
      <c r="F1420" s="4"/>
      <c r="G1420" s="4"/>
      <c r="H1420" s="4"/>
      <c r="I1420" s="4" t="str">
        <f>IFERROR(__xludf.DUMMYFUNCTION("""COMPUTED_VALUE"""),"0x7a3d23518161891d3ed3b10a530993067cbca9a1")</f>
        <v>0x7a3d23518161891d3ed3b10a530993067cbca9a1</v>
      </c>
      <c r="J1420" s="18">
        <v>4.44071277800409</v>
      </c>
      <c r="K1420" s="4">
        <v>55.508909725051126</v>
      </c>
      <c r="L1420" s="19">
        <v>5.5508909725051126E19</v>
      </c>
      <c r="M1420" s="20">
        <v>5.550890972505113E18</v>
      </c>
    </row>
    <row r="1421">
      <c r="A1421" s="6"/>
      <c r="B1421" s="6"/>
      <c r="C1421" s="4"/>
      <c r="D1421" s="4">
        <v>48.3641275995966</v>
      </c>
      <c r="E1421" s="4" t="s">
        <v>2438</v>
      </c>
      <c r="F1421" s="4"/>
      <c r="G1421" s="4"/>
      <c r="H1421" s="4"/>
      <c r="I1421" s="4" t="str">
        <f>IFERROR(__xludf.DUMMYFUNCTION("""COMPUTED_VALUE"""),"0xed6d77aa137bcd11b00a30a2d625871d2ffaeb59")</f>
        <v>0xed6d77aa137bcd11b00a30a2d625871d2ffaeb59</v>
      </c>
      <c r="J1421" s="18">
        <v>48.3641275995966</v>
      </c>
      <c r="K1421" s="4">
        <v>604.5515949949574</v>
      </c>
      <c r="L1421" s="19">
        <v>6.045515949949574E20</v>
      </c>
      <c r="M1421" s="20">
        <v>6.045515949949574E19</v>
      </c>
    </row>
    <row r="1422">
      <c r="A1422" s="6"/>
      <c r="B1422" s="6"/>
      <c r="C1422" s="4"/>
      <c r="D1422" s="4">
        <v>5.2521248628181105</v>
      </c>
      <c r="E1422" s="4" t="s">
        <v>2439</v>
      </c>
      <c r="F1422" s="4"/>
      <c r="G1422" s="4"/>
      <c r="H1422" s="4"/>
      <c r="I1422" s="4" t="str">
        <f>IFERROR(__xludf.DUMMYFUNCTION("""COMPUTED_VALUE"""),"0xa7b1c37b41b9575ba632e02cae87eea449b8f7f4")</f>
        <v>0xa7b1c37b41b9575ba632e02cae87eea449b8f7f4</v>
      </c>
      <c r="J1422" s="18">
        <v>9.76990106476377</v>
      </c>
      <c r="K1422" s="4">
        <v>122.12376330954713</v>
      </c>
      <c r="L1422" s="19">
        <v>1.2212376330954713E20</v>
      </c>
      <c r="M1422" s="20">
        <v>1.2212376330954713E19</v>
      </c>
    </row>
    <row r="1423">
      <c r="A1423" s="6"/>
      <c r="B1423" s="6"/>
      <c r="C1423" s="4"/>
      <c r="D1423" s="4">
        <v>43.3129362048434</v>
      </c>
      <c r="E1423" s="4" t="s">
        <v>471</v>
      </c>
      <c r="F1423" s="4"/>
      <c r="G1423" s="4"/>
      <c r="H1423" s="4"/>
      <c r="I1423" s="4" t="str">
        <f>IFERROR(__xludf.DUMMYFUNCTION("""COMPUTED_VALUE"""),"0xdd1fcdd7232bd9547b02ada8de664896f20f8fe1")</f>
        <v>0xdd1fcdd7232bd9547b02ada8de664896f20f8fe1</v>
      </c>
      <c r="J1423" s="18">
        <v>94.8822016550379</v>
      </c>
      <c r="K1423" s="4">
        <v>1186.0275206879737</v>
      </c>
      <c r="L1423" s="19">
        <v>1.1860275206879736E21</v>
      </c>
      <c r="M1423" s="20">
        <v>1.1860275206879737E20</v>
      </c>
    </row>
    <row r="1424">
      <c r="A1424" s="6"/>
      <c r="B1424" s="6"/>
      <c r="C1424" s="4"/>
      <c r="D1424" s="4">
        <v>48.3641275995966</v>
      </c>
      <c r="E1424" s="4" t="s">
        <v>388</v>
      </c>
      <c r="F1424" s="4"/>
      <c r="G1424" s="4"/>
      <c r="H1424" s="4"/>
      <c r="I1424" s="4" t="str">
        <f>IFERROR(__xludf.DUMMYFUNCTION("""COMPUTED_VALUE"""),"0x9116b20c8143827c2c52dcfa135ff5a2d2f0bb64")</f>
        <v>0x9116b20c8143827c2c52dcfa135ff5a2d2f0bb64</v>
      </c>
      <c r="J1424" s="18">
        <v>29.405389580554697</v>
      </c>
      <c r="K1424" s="4">
        <v>367.5673697569337</v>
      </c>
      <c r="L1424" s="19">
        <v>3.675673697569337E20</v>
      </c>
      <c r="M1424" s="20">
        <v>3.675673697569337E19</v>
      </c>
    </row>
    <row r="1425">
      <c r="A1425" s="6"/>
      <c r="B1425" s="6"/>
      <c r="C1425" s="4"/>
      <c r="D1425" s="4">
        <v>9.672825519919328</v>
      </c>
      <c r="E1425" s="4" t="s">
        <v>2442</v>
      </c>
      <c r="F1425" s="4"/>
      <c r="G1425" s="4"/>
      <c r="H1425" s="4"/>
      <c r="I1425" s="4" t="str">
        <f>IFERROR(__xludf.DUMMYFUNCTION("""COMPUTED_VALUE"""),"0xaa0ebc761542527770af86079eccd9729e39776a")</f>
        <v>0xaa0ebc761542527770af86079eccd9729e39776a</v>
      </c>
      <c r="J1425" s="18">
        <v>48.3641275995966</v>
      </c>
      <c r="K1425" s="4">
        <v>604.5515949949574</v>
      </c>
      <c r="L1425" s="19">
        <v>6.045515949949574E20</v>
      </c>
      <c r="M1425" s="20">
        <v>6.045515949949574E19</v>
      </c>
    </row>
    <row r="1426">
      <c r="A1426" s="6"/>
      <c r="B1426" s="6"/>
      <c r="C1426" s="4"/>
      <c r="D1426" s="4">
        <v>45.3580824677824</v>
      </c>
      <c r="E1426" s="4" t="s">
        <v>1543</v>
      </c>
      <c r="F1426" s="4"/>
      <c r="G1426" s="4"/>
      <c r="H1426" s="4"/>
      <c r="I1426" s="4" t="str">
        <f>IFERROR(__xludf.DUMMYFUNCTION("""COMPUTED_VALUE"""),"0xac59e74c91c64216fc243f8c87ef304097e92931")</f>
        <v>0xac59e74c91c64216fc243f8c87ef304097e92931</v>
      </c>
      <c r="J1426" s="18">
        <v>48.3641275995966</v>
      </c>
      <c r="K1426" s="4">
        <v>604.5515949949574</v>
      </c>
      <c r="L1426" s="19">
        <v>6.045515949949574E20</v>
      </c>
      <c r="M1426" s="20">
        <v>6.045515949949574E19</v>
      </c>
    </row>
    <row r="1427">
      <c r="A1427" s="6"/>
      <c r="B1427" s="6"/>
      <c r="C1427" s="4"/>
      <c r="D1427" s="4">
        <v>32.463660590389196</v>
      </c>
      <c r="E1427" s="4" t="s">
        <v>2444</v>
      </c>
      <c r="F1427" s="4"/>
      <c r="G1427" s="4"/>
      <c r="H1427" s="4"/>
      <c r="I1427" s="4" t="str">
        <f>IFERROR(__xludf.DUMMYFUNCTION("""COMPUTED_VALUE"""),"0x0980c0e2294542c6b33c7888f0707e8d2485a40b")</f>
        <v>0x0980c0e2294542c6b33c7888f0707e8d2485a40b</v>
      </c>
      <c r="J1427" s="18">
        <v>69.8295485605973</v>
      </c>
      <c r="K1427" s="4">
        <v>872.8693570074663</v>
      </c>
      <c r="L1427" s="19">
        <v>8.728693570074663E20</v>
      </c>
      <c r="M1427" s="20">
        <v>8.728693570074663E19</v>
      </c>
    </row>
    <row r="1428">
      <c r="A1428" s="6"/>
      <c r="B1428" s="6"/>
      <c r="C1428" s="4"/>
      <c r="D1428" s="4">
        <v>9.27312943524983</v>
      </c>
      <c r="E1428" s="4" t="s">
        <v>2446</v>
      </c>
      <c r="F1428" s="4"/>
      <c r="G1428" s="4"/>
      <c r="H1428" s="4"/>
      <c r="I1428" s="4" t="str">
        <f>IFERROR(__xludf.DUMMYFUNCTION("""COMPUTED_VALUE"""),"0x39bda5095ed65f1ad5b9d6ece617ca0ec09f6c33")</f>
        <v>0x39bda5095ed65f1ad5b9d6ece617ca0ec09f6c33</v>
      </c>
      <c r="J1428" s="18">
        <v>48.3641275995966</v>
      </c>
      <c r="K1428" s="4">
        <v>604.5515949949574</v>
      </c>
      <c r="L1428" s="19">
        <v>6.045515949949574E20</v>
      </c>
      <c r="M1428" s="20">
        <v>6.045515949949574E19</v>
      </c>
    </row>
    <row r="1429">
      <c r="A1429" s="6"/>
      <c r="B1429" s="6"/>
      <c r="C1429" s="4"/>
      <c r="D1429" s="4">
        <v>9.672825519919328</v>
      </c>
      <c r="E1429" s="4" t="s">
        <v>2448</v>
      </c>
      <c r="F1429" s="4"/>
      <c r="G1429" s="4"/>
      <c r="H1429" s="4"/>
      <c r="I1429" s="4" t="str">
        <f>IFERROR(__xludf.DUMMYFUNCTION("""COMPUTED_VALUE"""),"0x5868d2d76689681f771bfca6e42f213e9657d1ea")</f>
        <v>0x5868d2d76689681f771bfca6e42f213e9657d1ea</v>
      </c>
      <c r="J1429" s="18">
        <v>18.3416473292165</v>
      </c>
      <c r="K1429" s="4">
        <v>229.27059161520623</v>
      </c>
      <c r="L1429" s="19">
        <v>2.2927059161520623E20</v>
      </c>
      <c r="M1429" s="20">
        <v>2.2927059161520624E19</v>
      </c>
    </row>
    <row r="1430">
      <c r="A1430" s="6"/>
      <c r="B1430" s="6"/>
      <c r="C1430" s="4"/>
      <c r="D1430" s="4">
        <v>48.3641275995966</v>
      </c>
      <c r="E1430" s="4" t="s">
        <v>2449</v>
      </c>
      <c r="F1430" s="4"/>
      <c r="G1430" s="4"/>
      <c r="H1430" s="4"/>
      <c r="I1430" s="4" t="str">
        <f>IFERROR(__xludf.DUMMYFUNCTION("""COMPUTED_VALUE"""),"0x42dccbc8e722e9e475d6ebae857f67fdb33673d4")</f>
        <v>0x42dccbc8e722e9e475d6ebae857f67fdb33673d4</v>
      </c>
      <c r="J1430" s="18">
        <v>27.6073612506552</v>
      </c>
      <c r="K1430" s="4">
        <v>345.09201563319</v>
      </c>
      <c r="L1430" s="19">
        <v>3.4509201563318996E20</v>
      </c>
      <c r="M1430" s="20">
        <v>3.4509201563318997E19</v>
      </c>
    </row>
    <row r="1431">
      <c r="A1431" s="6"/>
      <c r="B1431" s="6"/>
      <c r="C1431" s="4"/>
      <c r="D1431" s="4">
        <v>15.9549296869217</v>
      </c>
      <c r="E1431" s="4" t="s">
        <v>2450</v>
      </c>
      <c r="F1431" s="4"/>
      <c r="G1431" s="4"/>
      <c r="H1431" s="4"/>
      <c r="I1431" s="4" t="str">
        <f>IFERROR(__xludf.DUMMYFUNCTION("""COMPUTED_VALUE"""),"0x65d736c629e8cd47ec7af6eb7181e192c1d97505")</f>
        <v>0x65d736c629e8cd47ec7af6eb7181e192c1d97505</v>
      </c>
      <c r="J1431" s="18">
        <v>38.6913020796773</v>
      </c>
      <c r="K1431" s="4">
        <v>483.6412759959662</v>
      </c>
      <c r="L1431" s="19">
        <v>4.836412759959662E20</v>
      </c>
      <c r="M1431" s="20">
        <v>4.836412759959663E19</v>
      </c>
    </row>
    <row r="1432">
      <c r="A1432" s="6"/>
      <c r="B1432" s="6"/>
      <c r="C1432" s="4"/>
      <c r="D1432" s="4">
        <v>19.3456510398386</v>
      </c>
      <c r="E1432" s="4" t="s">
        <v>2452</v>
      </c>
      <c r="F1432" s="4"/>
      <c r="G1432" s="4"/>
      <c r="H1432" s="4"/>
      <c r="I1432" s="4" t="str">
        <f>IFERROR(__xludf.DUMMYFUNCTION("""COMPUTED_VALUE"""),"0x4a5dfd75cf95c3c7fad72d35b75ad889b86402ca")</f>
        <v>0x4a5dfd75cf95c3c7fad72d35b75ad889b86402ca</v>
      </c>
      <c r="J1432" s="18">
        <v>48.3641275995966</v>
      </c>
      <c r="K1432" s="4">
        <v>604.5515949949574</v>
      </c>
      <c r="L1432" s="19">
        <v>6.045515949949574E20</v>
      </c>
      <c r="M1432" s="20">
        <v>6.045515949949574E19</v>
      </c>
    </row>
    <row r="1433">
      <c r="A1433" s="6"/>
      <c r="B1433" s="6"/>
      <c r="C1433" s="4"/>
      <c r="D1433" s="4">
        <v>48.3641275995966</v>
      </c>
      <c r="E1433" s="4" t="s">
        <v>2453</v>
      </c>
      <c r="F1433" s="4"/>
      <c r="G1433" s="4"/>
      <c r="H1433" s="4"/>
      <c r="I1433" s="4" t="str">
        <f>IFERROR(__xludf.DUMMYFUNCTION("""COMPUTED_VALUE"""),"0xa500741e8214f64a69dde989e9a44c5a654235f5")</f>
        <v>0xa500741e8214f64a69dde989e9a44c5a654235f5</v>
      </c>
      <c r="J1433" s="18">
        <v>4.4100213208999</v>
      </c>
      <c r="K1433" s="4">
        <v>55.125266511248746</v>
      </c>
      <c r="L1433" s="19">
        <v>5.5125266511248744E19</v>
      </c>
      <c r="M1433" s="20">
        <v>5.512526651124874E18</v>
      </c>
    </row>
    <row r="1434">
      <c r="A1434" s="6"/>
      <c r="B1434" s="6"/>
      <c r="C1434" s="4"/>
      <c r="D1434" s="4">
        <v>48.3641275995966</v>
      </c>
      <c r="E1434" s="4" t="s">
        <v>2454</v>
      </c>
      <c r="F1434" s="4"/>
      <c r="G1434" s="4"/>
      <c r="H1434" s="4"/>
      <c r="I1434" s="4" t="str">
        <f>IFERROR(__xludf.DUMMYFUNCTION("""COMPUTED_VALUE"""),"0xe44887452c613dcc3ddee1fef97668442c42d35e")</f>
        <v>0xe44887452c613dcc3ddee1fef97668442c42d35e</v>
      </c>
      <c r="J1434" s="18">
        <v>48.3641275995966</v>
      </c>
      <c r="K1434" s="4">
        <v>604.5515949949574</v>
      </c>
      <c r="L1434" s="19">
        <v>6.045515949949574E20</v>
      </c>
      <c r="M1434" s="20">
        <v>6.045515949949574E19</v>
      </c>
    </row>
    <row r="1435">
      <c r="A1435" s="6"/>
      <c r="B1435" s="6"/>
      <c r="C1435" s="4"/>
      <c r="D1435" s="4">
        <v>29.3851887033578</v>
      </c>
      <c r="E1435" s="4" t="s">
        <v>2455</v>
      </c>
      <c r="F1435" s="4"/>
      <c r="G1435" s="4"/>
      <c r="H1435" s="4"/>
      <c r="I1435" s="4" t="str">
        <f>IFERROR(__xludf.DUMMYFUNCTION("""COMPUTED_VALUE"""),"0x212046be13c4a13e08dd5ac77b3fe97fbac0c0e0")</f>
        <v>0x212046be13c4a13e08dd5ac77b3fe97fbac0c0e0</v>
      </c>
      <c r="J1435" s="18">
        <v>9.92672497768153</v>
      </c>
      <c r="K1435" s="4">
        <v>124.08406222101912</v>
      </c>
      <c r="L1435" s="19">
        <v>1.2408406222101912E20</v>
      </c>
      <c r="M1435" s="20">
        <v>1.2408406222101914E19</v>
      </c>
    </row>
    <row r="1436">
      <c r="A1436" s="6"/>
      <c r="B1436" s="6"/>
      <c r="C1436" s="4"/>
      <c r="D1436" s="4">
        <v>3.1981780336493397</v>
      </c>
      <c r="E1436" s="4" t="s">
        <v>2457</v>
      </c>
      <c r="F1436" s="4"/>
      <c r="G1436" s="4"/>
      <c r="H1436" s="4"/>
      <c r="I1436" s="4" t="str">
        <f>IFERROR(__xludf.DUMMYFUNCTION("""COMPUTED_VALUE"""),"0xcbc21f73c3d8c4442d8de4083c2d0662be77a7e2")</f>
        <v>0xcbc21f73c3d8c4442d8de4083c2d0662be77a7e2</v>
      </c>
      <c r="J1436" s="18">
        <v>9.555983643886139</v>
      </c>
      <c r="K1436" s="4">
        <v>119.44979554857673</v>
      </c>
      <c r="L1436" s="19">
        <v>1.1944979554857673E20</v>
      </c>
      <c r="M1436" s="20">
        <v>1.1944979554857673E19</v>
      </c>
    </row>
    <row r="1437">
      <c r="A1437" s="6"/>
      <c r="B1437" s="6"/>
      <c r="C1437" s="4"/>
      <c r="D1437" s="4">
        <v>2.2952332451165</v>
      </c>
      <c r="E1437" s="4" t="s">
        <v>2459</v>
      </c>
      <c r="F1437" s="4"/>
      <c r="G1437" s="4"/>
      <c r="H1437" s="4"/>
      <c r="I1437" s="4" t="str">
        <f>IFERROR(__xludf.DUMMYFUNCTION("""COMPUTED_VALUE"""),"0x0347dbc08f3cf84a0977842cbf5b771a9c3bebb1")</f>
        <v>0x0347dbc08f3cf84a0977842cbf5b771a9c3bebb1</v>
      </c>
      <c r="J1437" s="18">
        <v>168.7505798504696</v>
      </c>
      <c r="K1437" s="4">
        <v>2109.38224813087</v>
      </c>
      <c r="L1437" s="19">
        <v>2.1093822481308697E21</v>
      </c>
      <c r="M1437" s="20">
        <v>2.10938224813087E20</v>
      </c>
    </row>
    <row r="1438">
      <c r="A1438" s="6"/>
      <c r="B1438" s="6"/>
      <c r="C1438" s="4"/>
      <c r="D1438" s="4">
        <v>9.43523928024889</v>
      </c>
      <c r="E1438" s="4" t="s">
        <v>2461</v>
      </c>
      <c r="F1438" s="4"/>
      <c r="G1438" s="4"/>
      <c r="H1438" s="4"/>
      <c r="I1438" s="4" t="str">
        <f>IFERROR(__xludf.DUMMYFUNCTION("""COMPUTED_VALUE"""),"0x733db7050c16a76eee3d56de7445d293ec6bceea")</f>
        <v>0x733db7050c16a76eee3d56de7445d293ec6bceea</v>
      </c>
      <c r="J1438" s="18">
        <v>29.018476559758</v>
      </c>
      <c r="K1438" s="4">
        <v>362.730956996975</v>
      </c>
      <c r="L1438" s="19">
        <v>3.62730956996975E20</v>
      </c>
      <c r="M1438" s="20">
        <v>3.62730956996975E19</v>
      </c>
    </row>
    <row r="1439">
      <c r="A1439" s="6"/>
      <c r="B1439" s="6"/>
      <c r="C1439" s="4"/>
      <c r="D1439" s="4">
        <v>10.3917743248721</v>
      </c>
      <c r="E1439" s="4" t="s">
        <v>2463</v>
      </c>
      <c r="F1439" s="4"/>
      <c r="G1439" s="4"/>
      <c r="H1439" s="4"/>
      <c r="I1439" s="4" t="str">
        <f>IFERROR(__xludf.DUMMYFUNCTION("""COMPUTED_VALUE"""),"0x11a8a0335bdd466efc827301abf20f9869f55253")</f>
        <v>0x11a8a0335bdd466efc827301abf20f9869f55253</v>
      </c>
      <c r="J1439" s="18">
        <v>48.3641275995966</v>
      </c>
      <c r="K1439" s="4">
        <v>604.5515949949574</v>
      </c>
      <c r="L1439" s="19">
        <v>6.045515949949574E20</v>
      </c>
      <c r="M1439" s="20">
        <v>6.045515949949574E19</v>
      </c>
    </row>
    <row r="1440">
      <c r="A1440" s="6"/>
      <c r="B1440" s="6"/>
      <c r="C1440" s="4"/>
      <c r="D1440" s="4">
        <v>48.3641275995966</v>
      </c>
      <c r="E1440" s="4" t="s">
        <v>2465</v>
      </c>
      <c r="F1440" s="4"/>
      <c r="G1440" s="4"/>
      <c r="H1440" s="4"/>
      <c r="I1440" s="4" t="str">
        <f>IFERROR(__xludf.DUMMYFUNCTION("""COMPUTED_VALUE"""),"0xe2ff54e5a14f134cf7185c888ce7c7a98df3e921")</f>
        <v>0xe2ff54e5a14f134cf7185c888ce7c7a98df3e921</v>
      </c>
      <c r="J1440" s="18">
        <v>45.7922903764344</v>
      </c>
      <c r="K1440" s="4">
        <v>572.40362970543</v>
      </c>
      <c r="L1440" s="19">
        <v>5.7240362970543004E20</v>
      </c>
      <c r="M1440" s="20">
        <v>5.7240362970543006E19</v>
      </c>
    </row>
    <row r="1441">
      <c r="A1441" s="6"/>
      <c r="B1441" s="6"/>
      <c r="C1441" s="4"/>
      <c r="D1441" s="4">
        <v>17.603718972586602</v>
      </c>
      <c r="E1441" s="4" t="s">
        <v>2466</v>
      </c>
      <c r="F1441" s="4"/>
      <c r="G1441" s="4"/>
      <c r="H1441" s="4"/>
      <c r="I1441" s="4" t="str">
        <f>IFERROR(__xludf.DUMMYFUNCTION("""COMPUTED_VALUE"""),"0x2a72a3164d1a8947f2eaed02ae3a4b1868580d0b")</f>
        <v>0x2a72a3164d1a8947f2eaed02ae3a4b1868580d0b</v>
      </c>
      <c r="J1441" s="18">
        <v>47.0233758884776</v>
      </c>
      <c r="K1441" s="4">
        <v>587.79219860597</v>
      </c>
      <c r="L1441" s="19">
        <v>5.8779219860597E20</v>
      </c>
      <c r="M1441" s="20">
        <v>5.877921986059701E19</v>
      </c>
    </row>
    <row r="1442">
      <c r="A1442" s="6"/>
      <c r="B1442" s="6"/>
      <c r="C1442" s="4"/>
      <c r="D1442" s="4">
        <v>37.418599524444204</v>
      </c>
      <c r="E1442" s="4" t="s">
        <v>2468</v>
      </c>
      <c r="F1442" s="4"/>
      <c r="G1442" s="4"/>
      <c r="H1442" s="4"/>
      <c r="I1442" s="4" t="str">
        <f>IFERROR(__xludf.DUMMYFUNCTION("""COMPUTED_VALUE"""),"0x9db9a311d97191c1e1d674d6a4d9a9531d1ecc7c")</f>
        <v>0x9db9a311d97191c1e1d674d6a4d9a9531d1ecc7c</v>
      </c>
      <c r="J1442" s="18">
        <v>3.2532563016016303</v>
      </c>
      <c r="K1442" s="4">
        <v>40.66570377002038</v>
      </c>
      <c r="L1442" s="19">
        <v>4.066570377002038E19</v>
      </c>
      <c r="M1442" s="20">
        <v>4.0665703770020383E18</v>
      </c>
    </row>
    <row r="1443">
      <c r="A1443" s="6"/>
      <c r="B1443" s="6"/>
      <c r="C1443" s="4"/>
      <c r="D1443" s="4">
        <v>48.3641275995966</v>
      </c>
      <c r="E1443" s="4" t="s">
        <v>2470</v>
      </c>
      <c r="F1443" s="4"/>
      <c r="G1443" s="4"/>
      <c r="H1443" s="4"/>
      <c r="I1443" s="4" t="str">
        <f>IFERROR(__xludf.DUMMYFUNCTION("""COMPUTED_VALUE"""),"0x19e6bedb806c30202c06454c11e568ba084aebee")</f>
        <v>0x19e6bedb806c30202c06454c11e568ba084aebee</v>
      </c>
      <c r="J1443" s="18">
        <v>6.57487633811354</v>
      </c>
      <c r="K1443" s="4">
        <v>82.18595422641926</v>
      </c>
      <c r="L1443" s="19">
        <v>8.218595422641925E19</v>
      </c>
      <c r="M1443" s="20">
        <v>8.218595422641926E18</v>
      </c>
    </row>
    <row r="1444">
      <c r="A1444" s="6"/>
      <c r="B1444" s="6"/>
      <c r="C1444" s="4"/>
      <c r="D1444" s="4">
        <v>48.3641275995966</v>
      </c>
      <c r="E1444" s="4" t="s">
        <v>2471</v>
      </c>
      <c r="F1444" s="4"/>
      <c r="G1444" s="4"/>
      <c r="H1444" s="4"/>
      <c r="I1444" s="4" t="str">
        <f>IFERROR(__xludf.DUMMYFUNCTION("""COMPUTED_VALUE"""),"0xe29432a36b4cfb52c05538a00352d4964f65520b")</f>
        <v>0xe29432a36b4cfb52c05538a00352d4964f65520b</v>
      </c>
      <c r="J1444" s="18">
        <v>19.4505044684745</v>
      </c>
      <c r="K1444" s="4">
        <v>243.13130585593123</v>
      </c>
      <c r="L1444" s="19">
        <v>2.4313130585593122E20</v>
      </c>
      <c r="M1444" s="20">
        <v>2.4313130585593123E19</v>
      </c>
    </row>
    <row r="1445">
      <c r="A1445" s="6"/>
      <c r="B1445" s="6"/>
      <c r="C1445" s="4"/>
      <c r="D1445" s="4">
        <v>9.672825519919328</v>
      </c>
      <c r="E1445" s="4" t="s">
        <v>2472</v>
      </c>
      <c r="F1445" s="4"/>
      <c r="G1445" s="4"/>
      <c r="H1445" s="4"/>
      <c r="I1445" s="4" t="str">
        <f>IFERROR(__xludf.DUMMYFUNCTION("""COMPUTED_VALUE"""),"0xd968331cfe0643a044ec54c423fd04961b87ac08")</f>
        <v>0xd968331cfe0643a044ec54c423fd04961b87ac08</v>
      </c>
      <c r="J1445" s="18">
        <v>48.3641275995966</v>
      </c>
      <c r="K1445" s="4">
        <v>604.5515949949574</v>
      </c>
      <c r="L1445" s="19">
        <v>6.045515949949574E20</v>
      </c>
      <c r="M1445" s="20">
        <v>6.045515949949574E19</v>
      </c>
    </row>
    <row r="1446">
      <c r="A1446" s="6"/>
      <c r="B1446" s="6"/>
      <c r="C1446" s="4"/>
      <c r="D1446" s="4">
        <v>48.3641275995966</v>
      </c>
      <c r="E1446" s="4" t="s">
        <v>2473</v>
      </c>
      <c r="F1446" s="4"/>
      <c r="G1446" s="4"/>
      <c r="H1446" s="4"/>
      <c r="I1446" s="4" t="str">
        <f>IFERROR(__xludf.DUMMYFUNCTION("""COMPUTED_VALUE"""),"0x77bdd5d6854d3497b926b205684182b3cb7589c0")</f>
        <v>0x77bdd5d6854d3497b926b205684182b3cb7589c0</v>
      </c>
      <c r="J1446" s="18">
        <v>56.07583235077239</v>
      </c>
      <c r="K1446" s="4">
        <v>700.9479043846549</v>
      </c>
      <c r="L1446" s="19">
        <v>7.009479043846549E20</v>
      </c>
      <c r="M1446" s="20">
        <v>7.0094790438465495E19</v>
      </c>
    </row>
    <row r="1447">
      <c r="A1447" s="6"/>
      <c r="B1447" s="6"/>
      <c r="C1447" s="4"/>
      <c r="D1447" s="4">
        <v>32.7812291123744</v>
      </c>
      <c r="E1447" s="4" t="s">
        <v>2474</v>
      </c>
      <c r="F1447" s="4"/>
      <c r="G1447" s="4"/>
      <c r="H1447" s="4"/>
      <c r="I1447" s="4" t="str">
        <f>IFERROR(__xludf.DUMMYFUNCTION("""COMPUTED_VALUE"""),"0xf03c44e95d62c030bd31224d6ec90fb18149ddda")</f>
        <v>0xf03c44e95d62c030bd31224d6ec90fb18149ddda</v>
      </c>
      <c r="J1447" s="18">
        <v>58.7226679774016</v>
      </c>
      <c r="K1447" s="4">
        <v>734.03334971752</v>
      </c>
      <c r="L1447" s="19">
        <v>7.3403334971752E20</v>
      </c>
      <c r="M1447" s="20">
        <v>7.3403334971752006E19</v>
      </c>
    </row>
    <row r="1448">
      <c r="A1448" s="6"/>
      <c r="B1448" s="6"/>
      <c r="C1448" s="4"/>
      <c r="D1448" s="4">
        <v>35.0258936807259</v>
      </c>
      <c r="E1448" s="4" t="s">
        <v>2476</v>
      </c>
      <c r="F1448" s="4"/>
      <c r="G1448" s="4"/>
      <c r="H1448" s="4"/>
      <c r="I1448" s="4" t="str">
        <f>IFERROR(__xludf.DUMMYFUNCTION("""COMPUTED_VALUE"""),"0x695cabcf448ab75176a8c78bcad9fb815ee86b6c")</f>
        <v>0x695cabcf448ab75176a8c78bcad9fb815ee86b6c</v>
      </c>
      <c r="J1448" s="18">
        <v>48.3641275995966</v>
      </c>
      <c r="K1448" s="4">
        <v>604.5515949949574</v>
      </c>
      <c r="L1448" s="19">
        <v>6.045515949949574E20</v>
      </c>
      <c r="M1448" s="20">
        <v>6.045515949949574E19</v>
      </c>
    </row>
    <row r="1449">
      <c r="A1449" s="6"/>
      <c r="B1449" s="6"/>
      <c r="C1449" s="4"/>
      <c r="D1449" s="4">
        <v>48.3641275995966</v>
      </c>
      <c r="E1449" s="4" t="s">
        <v>2478</v>
      </c>
      <c r="F1449" s="4"/>
      <c r="G1449" s="4"/>
      <c r="H1449" s="4"/>
      <c r="I1449" s="4" t="str">
        <f>IFERROR(__xludf.DUMMYFUNCTION("""COMPUTED_VALUE"""),"0x187595e18b621ba826997ccc28c1fb287dc65a43")</f>
        <v>0x187595e18b621ba826997ccc28c1fb287dc65a43</v>
      </c>
      <c r="J1449" s="18">
        <v>48.3641275995966</v>
      </c>
      <c r="K1449" s="4">
        <v>604.5515949949574</v>
      </c>
      <c r="L1449" s="19">
        <v>6.045515949949574E20</v>
      </c>
      <c r="M1449" s="20">
        <v>6.045515949949574E19</v>
      </c>
    </row>
    <row r="1450">
      <c r="A1450" s="6"/>
      <c r="B1450" s="6"/>
      <c r="C1450" s="4"/>
      <c r="D1450" s="4">
        <v>45.4520441294253</v>
      </c>
      <c r="E1450" s="4" t="s">
        <v>2479</v>
      </c>
      <c r="F1450" s="4"/>
      <c r="G1450" s="4"/>
      <c r="H1450" s="4"/>
      <c r="I1450" s="4" t="str">
        <f>IFERROR(__xludf.DUMMYFUNCTION("""COMPUTED_VALUE"""),"0xd6b6fcb3eca1b9840cb237b0ae7ed39d74d181e6")</f>
        <v>0xd6b6fcb3eca1b9840cb237b0ae7ed39d74d181e6</v>
      </c>
      <c r="J1450" s="18">
        <v>134.7031896080295</v>
      </c>
      <c r="K1450" s="4">
        <v>1683.7898701003687</v>
      </c>
      <c r="L1450" s="19">
        <v>1.6837898701003686E21</v>
      </c>
      <c r="M1450" s="20">
        <v>1.6837898701003686E20</v>
      </c>
    </row>
    <row r="1451">
      <c r="A1451" s="6"/>
      <c r="B1451" s="6"/>
      <c r="C1451" s="4"/>
      <c r="D1451" s="4">
        <v>34.8504669075301</v>
      </c>
      <c r="E1451" s="4" t="s">
        <v>2481</v>
      </c>
      <c r="F1451" s="4"/>
      <c r="G1451" s="4"/>
      <c r="H1451" s="4"/>
      <c r="I1451" s="4" t="str">
        <f>IFERROR(__xludf.DUMMYFUNCTION("""COMPUTED_VALUE"""),"0xd653ee953948a758f44ce6803bf10192b8fad6f0")</f>
        <v>0xd653ee953948a758f44ce6803bf10192b8fad6f0</v>
      </c>
      <c r="J1451" s="18">
        <v>0.5018259519970331</v>
      </c>
      <c r="K1451" s="4">
        <v>6.272824399962913</v>
      </c>
      <c r="L1451" s="19">
        <v>6.272824399962914E18</v>
      </c>
      <c r="M1451" s="20">
        <v>6.272824399962915E17</v>
      </c>
    </row>
    <row r="1452">
      <c r="A1452" s="6"/>
      <c r="B1452" s="6"/>
      <c r="C1452" s="4"/>
      <c r="D1452" s="4">
        <v>9.82320033139737</v>
      </c>
      <c r="E1452" s="4" t="s">
        <v>2483</v>
      </c>
      <c r="F1452" s="4"/>
      <c r="G1452" s="4"/>
      <c r="H1452" s="4"/>
      <c r="I1452" s="4" t="str">
        <f>IFERROR(__xludf.DUMMYFUNCTION("""COMPUTED_VALUE"""),"0xe648521c9eec4c03784521c8f00cf35ec5b1be04")</f>
        <v>0xe648521c9eec4c03784521c8f00cf35ec5b1be04</v>
      </c>
      <c r="J1452" s="18">
        <v>13.875434881611302</v>
      </c>
      <c r="K1452" s="4">
        <v>173.44293602014127</v>
      </c>
      <c r="L1452" s="19">
        <v>1.7344293602014128E20</v>
      </c>
      <c r="M1452" s="20">
        <v>1.7344293602014128E19</v>
      </c>
    </row>
    <row r="1453">
      <c r="A1453" s="6"/>
      <c r="B1453" s="6"/>
      <c r="C1453" s="4"/>
      <c r="D1453" s="4">
        <v>48.3641275995966</v>
      </c>
      <c r="E1453" s="4" t="s">
        <v>2485</v>
      </c>
      <c r="F1453" s="4"/>
      <c r="G1453" s="4"/>
      <c r="H1453" s="4"/>
      <c r="I1453" s="4" t="str">
        <f>IFERROR(__xludf.DUMMYFUNCTION("""COMPUTED_VALUE"""),"0xa3eea6a957de8a21122c85dfb34c9817fff749b5")</f>
        <v>0xa3eea6a957de8a21122c85dfb34c9817fff749b5</v>
      </c>
      <c r="J1453" s="18">
        <v>11.667645179646799</v>
      </c>
      <c r="K1453" s="4">
        <v>145.845564745585</v>
      </c>
      <c r="L1453" s="19">
        <v>1.45845564745585E20</v>
      </c>
      <c r="M1453" s="20">
        <v>1.45845564745585E19</v>
      </c>
    </row>
    <row r="1454">
      <c r="A1454" s="6"/>
      <c r="B1454" s="6"/>
      <c r="C1454" s="4"/>
      <c r="D1454" s="4">
        <v>48.3641275995966</v>
      </c>
      <c r="E1454" s="4" t="s">
        <v>2486</v>
      </c>
      <c r="F1454" s="4"/>
      <c r="G1454" s="4"/>
      <c r="H1454" s="4"/>
      <c r="I1454" s="4" t="str">
        <f>IFERROR(__xludf.DUMMYFUNCTION("""COMPUTED_VALUE"""),"0xd4ab109863feaedeefc38a4b307e6a25a7701320")</f>
        <v>0xd4ab109863feaedeefc38a4b307e6a25a7701320</v>
      </c>
      <c r="J1454" s="18">
        <v>9.672825519919328</v>
      </c>
      <c r="K1454" s="4">
        <v>120.9103189989916</v>
      </c>
      <c r="L1454" s="19">
        <v>1.209103189989916E20</v>
      </c>
      <c r="M1454" s="20">
        <v>1.209103189989916E19</v>
      </c>
    </row>
    <row r="1455">
      <c r="A1455" s="6"/>
      <c r="B1455" s="6"/>
      <c r="C1455" s="4"/>
      <c r="D1455" s="4">
        <v>7.79242999106158</v>
      </c>
      <c r="E1455" s="4" t="s">
        <v>2487</v>
      </c>
      <c r="F1455" s="4"/>
      <c r="G1455" s="4"/>
      <c r="H1455" s="4"/>
      <c r="I1455" s="4" t="str">
        <f>IFERROR(__xludf.DUMMYFUNCTION("""COMPUTED_VALUE"""),"0x3b9ec77ead8b4a10879a12d84eefc01b4f90e324")</f>
        <v>0x3b9ec77ead8b4a10879a12d84eefc01b4f90e324</v>
      </c>
      <c r="J1455" s="18">
        <v>48.3641275995966</v>
      </c>
      <c r="K1455" s="4">
        <v>604.5515949949574</v>
      </c>
      <c r="L1455" s="19">
        <v>6.045515949949574E20</v>
      </c>
      <c r="M1455" s="20">
        <v>6.045515949949574E19</v>
      </c>
    </row>
    <row r="1456">
      <c r="A1456" s="6"/>
      <c r="B1456" s="6"/>
      <c r="C1456" s="4"/>
      <c r="D1456" s="4">
        <v>48.3641275995966</v>
      </c>
      <c r="E1456" s="4" t="s">
        <v>1085</v>
      </c>
      <c r="F1456" s="4"/>
      <c r="G1456" s="4"/>
      <c r="H1456" s="4"/>
      <c r="I1456" s="4" t="str">
        <f>IFERROR(__xludf.DUMMYFUNCTION("""COMPUTED_VALUE"""),"0x9f64f9fc3d0ed2020d185552b5ba61abca6106fd")</f>
        <v>0x9f64f9fc3d0ed2020d185552b5ba61abca6106fd</v>
      </c>
      <c r="J1456" s="18">
        <v>48.3641275995966</v>
      </c>
      <c r="K1456" s="4">
        <v>604.5515949949574</v>
      </c>
      <c r="L1456" s="19">
        <v>6.045515949949574E20</v>
      </c>
      <c r="M1456" s="20">
        <v>6.045515949949574E19</v>
      </c>
    </row>
    <row r="1457">
      <c r="A1457" s="6"/>
      <c r="B1457" s="6"/>
      <c r="C1457" s="4"/>
      <c r="D1457" s="4">
        <v>48.3641275995966</v>
      </c>
      <c r="E1457" s="4" t="s">
        <v>2489</v>
      </c>
      <c r="F1457" s="4"/>
      <c r="G1457" s="4"/>
      <c r="H1457" s="4"/>
      <c r="I1457" s="4" t="str">
        <f>IFERROR(__xludf.DUMMYFUNCTION("""COMPUTED_VALUE"""),"0x8d25bd44f505c08f1160a740528ce33dddc1cd65")</f>
        <v>0x8d25bd44f505c08f1160a740528ce33dddc1cd65</v>
      </c>
      <c r="J1457" s="18">
        <v>48.3641275995966</v>
      </c>
      <c r="K1457" s="4">
        <v>604.5515949949574</v>
      </c>
      <c r="L1457" s="19">
        <v>6.045515949949574E20</v>
      </c>
      <c r="M1457" s="20">
        <v>6.045515949949574E19</v>
      </c>
    </row>
    <row r="1458">
      <c r="A1458" s="6"/>
      <c r="B1458" s="6"/>
      <c r="C1458" s="4"/>
      <c r="D1458" s="4">
        <v>23.2147812478064</v>
      </c>
      <c r="E1458" s="4" t="s">
        <v>2490</v>
      </c>
      <c r="F1458" s="4"/>
      <c r="G1458" s="4"/>
      <c r="H1458" s="4"/>
      <c r="I1458" s="4" t="str">
        <f>IFERROR(__xludf.DUMMYFUNCTION("""COMPUTED_VALUE"""),"0xfbbe5c379301664b3c6cc2eafeb6ac4c84fa01ad")</f>
        <v>0xfbbe5c379301664b3c6cc2eafeb6ac4c84fa01ad</v>
      </c>
      <c r="J1458" s="18">
        <v>48.48266393626866</v>
      </c>
      <c r="K1458" s="4">
        <v>606.0332992033582</v>
      </c>
      <c r="L1458" s="19">
        <v>6.060332992033582E20</v>
      </c>
      <c r="M1458" s="20">
        <v>6.060332992033582E19</v>
      </c>
    </row>
    <row r="1459">
      <c r="A1459" s="6"/>
      <c r="B1459" s="6"/>
      <c r="C1459" s="4"/>
      <c r="D1459" s="4">
        <v>48.3641275995966</v>
      </c>
      <c r="E1459" s="4" t="s">
        <v>2492</v>
      </c>
      <c r="F1459" s="4"/>
      <c r="G1459" s="4"/>
      <c r="H1459" s="4"/>
      <c r="I1459" s="4" t="str">
        <f>IFERROR(__xludf.DUMMYFUNCTION("""COMPUTED_VALUE"""),"0x07bac041bfd0ad05f7ba52366693534545f434f8")</f>
        <v>0x07bac041bfd0ad05f7ba52366693534545f434f8</v>
      </c>
      <c r="J1459" s="18">
        <v>48.3641275995966</v>
      </c>
      <c r="K1459" s="4">
        <v>604.5515949949574</v>
      </c>
      <c r="L1459" s="19">
        <v>6.045515949949574E20</v>
      </c>
      <c r="M1459" s="20">
        <v>6.045515949949574E19</v>
      </c>
    </row>
    <row r="1460">
      <c r="A1460" s="6"/>
      <c r="B1460" s="6"/>
      <c r="C1460" s="4"/>
      <c r="D1460" s="4">
        <v>12.2155526426166</v>
      </c>
      <c r="E1460" s="4" t="s">
        <v>2493</v>
      </c>
      <c r="F1460" s="4"/>
      <c r="G1460" s="4"/>
      <c r="H1460" s="4"/>
      <c r="I1460" s="4" t="str">
        <f>IFERROR(__xludf.DUMMYFUNCTION("""COMPUTED_VALUE"""),"0xf92d523a6b606655d943f89aaf5103ab834f8fb1")</f>
        <v>0xf92d523a6b606655d943f89aaf5103ab834f8fb1</v>
      </c>
      <c r="J1460" s="18">
        <v>37.9002470421448</v>
      </c>
      <c r="K1460" s="4">
        <v>473.75308802680996</v>
      </c>
      <c r="L1460" s="19">
        <v>4.7375308802681E20</v>
      </c>
      <c r="M1460" s="20">
        <v>4.7375308802681E19</v>
      </c>
    </row>
    <row r="1461">
      <c r="A1461" s="6"/>
      <c r="B1461" s="6"/>
      <c r="C1461" s="4"/>
      <c r="D1461" s="4">
        <v>5.275627130633589</v>
      </c>
      <c r="E1461" s="4" t="s">
        <v>2495</v>
      </c>
      <c r="F1461" s="4"/>
      <c r="G1461" s="4"/>
      <c r="H1461" s="4"/>
      <c r="I1461" s="4" t="str">
        <f>IFERROR(__xludf.DUMMYFUNCTION("""COMPUTED_VALUE"""),"0x5a19c1ca7388760fafc370133d1d5d309bdb51f6")</f>
        <v>0x5a19c1ca7388760fafc370133d1d5d309bdb51f6</v>
      </c>
      <c r="J1461" s="18">
        <v>47.2513516024829</v>
      </c>
      <c r="K1461" s="4">
        <v>590.6418950310363</v>
      </c>
      <c r="L1461" s="19">
        <v>5.906418950310363E20</v>
      </c>
      <c r="M1461" s="20">
        <v>5.906418950310363E19</v>
      </c>
    </row>
    <row r="1462">
      <c r="A1462" s="6"/>
      <c r="B1462" s="6"/>
      <c r="C1462" s="4"/>
      <c r="D1462" s="4">
        <v>41.2724553196488</v>
      </c>
      <c r="E1462" s="4" t="s">
        <v>2497</v>
      </c>
      <c r="F1462" s="4"/>
      <c r="G1462" s="4"/>
      <c r="H1462" s="4"/>
      <c r="I1462" s="4" t="str">
        <f>IFERROR(__xludf.DUMMYFUNCTION("""COMPUTED_VALUE"""),"0xeaf88a50309b9bc91a2ee1acb78863b5350b6dcd")</f>
        <v>0xeaf88a50309b9bc91a2ee1acb78863b5350b6dcd</v>
      </c>
      <c r="J1462" s="18">
        <v>94.885570700499</v>
      </c>
      <c r="K1462" s="4">
        <v>1186.0696337562374</v>
      </c>
      <c r="L1462" s="19">
        <v>1.1860696337562374E21</v>
      </c>
      <c r="M1462" s="20">
        <v>1.1860696337562375E20</v>
      </c>
    </row>
    <row r="1463">
      <c r="A1463" s="6"/>
      <c r="B1463" s="6"/>
      <c r="C1463" s="4"/>
      <c r="D1463" s="4">
        <v>12.8746979256253</v>
      </c>
      <c r="E1463" s="4" t="s">
        <v>2499</v>
      </c>
      <c r="F1463" s="4"/>
      <c r="G1463" s="4"/>
      <c r="H1463" s="4"/>
      <c r="I1463" s="4" t="str">
        <f>IFERROR(__xludf.DUMMYFUNCTION("""COMPUTED_VALUE"""),"0x5b085ee6daa844e4e5394723f056f7e733f2d06e")</f>
        <v>0x5b085ee6daa844e4e5394723f056f7e733f2d06e</v>
      </c>
      <c r="J1463" s="18">
        <v>22.409018897916503</v>
      </c>
      <c r="K1463" s="4">
        <v>280.1127362239563</v>
      </c>
      <c r="L1463" s="19">
        <v>2.801127362239563E20</v>
      </c>
      <c r="M1463" s="20">
        <v>2.8011273622395634E19</v>
      </c>
    </row>
    <row r="1464">
      <c r="A1464" s="6"/>
      <c r="B1464" s="6"/>
      <c r="C1464" s="4"/>
      <c r="D1464" s="4">
        <v>43.666934416572</v>
      </c>
      <c r="E1464" s="4" t="s">
        <v>2501</v>
      </c>
      <c r="F1464" s="4"/>
      <c r="G1464" s="4"/>
      <c r="H1464" s="4"/>
      <c r="I1464" s="4" t="str">
        <f>IFERROR(__xludf.DUMMYFUNCTION("""COMPUTED_VALUE"""),"0x750eb46c7daf8c50b68f9c47b3e8511f3cef7efb")</f>
        <v>0x750eb46c7daf8c50b68f9c47b3e8511f3cef7efb</v>
      </c>
      <c r="J1464" s="18">
        <v>19.9725646079007</v>
      </c>
      <c r="K1464" s="4">
        <v>249.65705759875874</v>
      </c>
      <c r="L1464" s="19">
        <v>2.4965705759875875E20</v>
      </c>
      <c r="M1464" s="20">
        <v>2.4965705759875875E19</v>
      </c>
    </row>
    <row r="1465">
      <c r="A1465" s="6"/>
      <c r="B1465" s="6"/>
      <c r="C1465" s="4"/>
      <c r="D1465" s="4">
        <v>48.3641275995966</v>
      </c>
      <c r="E1465" s="4" t="s">
        <v>2503</v>
      </c>
      <c r="F1465" s="4"/>
      <c r="G1465" s="4"/>
      <c r="H1465" s="4"/>
      <c r="I1465" s="4" t="str">
        <f>IFERROR(__xludf.DUMMYFUNCTION("""COMPUTED_VALUE"""),"0x0043b4e228387b397b3bd28b47d8be2e3c28a32e")</f>
        <v>0x0043b4e228387b397b3bd28b47d8be2e3c28a32e</v>
      </c>
      <c r="J1465" s="18">
        <v>32.872915986053</v>
      </c>
      <c r="K1465" s="4">
        <v>410.9114498256625</v>
      </c>
      <c r="L1465" s="19">
        <v>4.109114498256625E20</v>
      </c>
      <c r="M1465" s="20">
        <v>4.109114498256625E19</v>
      </c>
    </row>
    <row r="1466">
      <c r="A1466" s="6"/>
      <c r="B1466" s="6"/>
      <c r="C1466" s="4"/>
      <c r="D1466" s="4">
        <v>13.6506614593441</v>
      </c>
      <c r="E1466" s="4" t="s">
        <v>2504</v>
      </c>
      <c r="F1466" s="4"/>
      <c r="G1466" s="4"/>
      <c r="H1466" s="4"/>
      <c r="I1466" s="4" t="str">
        <f>IFERROR(__xludf.DUMMYFUNCTION("""COMPUTED_VALUE"""),"0x61ad4efe68fb596c25f4df4207a046c1422418f1")</f>
        <v>0x61ad4efe68fb596c25f4df4207a046c1422418f1</v>
      </c>
      <c r="J1466" s="18">
        <v>15.55820729484138</v>
      </c>
      <c r="K1466" s="4">
        <v>194.47759118551724</v>
      </c>
      <c r="L1466" s="19">
        <v>1.9447759118551725E20</v>
      </c>
      <c r="M1466" s="20">
        <v>1.9447759118551724E19</v>
      </c>
    </row>
    <row r="1467">
      <c r="A1467" s="6"/>
      <c r="B1467" s="6"/>
      <c r="C1467" s="4"/>
      <c r="D1467" s="4">
        <v>48.3641275995966</v>
      </c>
      <c r="E1467" s="4" t="s">
        <v>2506</v>
      </c>
      <c r="F1467" s="4"/>
      <c r="G1467" s="4"/>
      <c r="H1467" s="4"/>
      <c r="I1467" s="4" t="str">
        <f>IFERROR(__xludf.DUMMYFUNCTION("""COMPUTED_VALUE"""),"0x4de3dff17244e1488e08880780663d6e3db768ec")</f>
        <v>0x4de3dff17244e1488e08880780663d6e3db768ec</v>
      </c>
      <c r="J1467" s="18">
        <v>48.3641275995966</v>
      </c>
      <c r="K1467" s="4">
        <v>604.5515949949574</v>
      </c>
      <c r="L1467" s="19">
        <v>6.045515949949574E20</v>
      </c>
      <c r="M1467" s="20">
        <v>6.045515949949574E19</v>
      </c>
    </row>
    <row r="1468">
      <c r="A1468" s="6"/>
      <c r="B1468" s="6"/>
      <c r="C1468" s="4"/>
      <c r="D1468" s="4">
        <v>17.9527007621284</v>
      </c>
      <c r="E1468" s="4" t="s">
        <v>2507</v>
      </c>
      <c r="F1468" s="4"/>
      <c r="G1468" s="4"/>
      <c r="H1468" s="4"/>
      <c r="I1468" s="4" t="str">
        <f>IFERROR(__xludf.DUMMYFUNCTION("""COMPUTED_VALUE"""),"0x58cc531dc57f693eb8abd0fa0bc07f4cbe3b9ef3")</f>
        <v>0x58cc531dc57f693eb8abd0fa0bc07f4cbe3b9ef3</v>
      </c>
      <c r="J1468" s="18">
        <v>19.3456510398386</v>
      </c>
      <c r="K1468" s="4">
        <v>241.8206379979825</v>
      </c>
      <c r="L1468" s="19">
        <v>2.4182063799798248E20</v>
      </c>
      <c r="M1468" s="20">
        <v>2.418206379979825E19</v>
      </c>
    </row>
    <row r="1469">
      <c r="A1469" s="6"/>
      <c r="B1469" s="6"/>
      <c r="C1469" s="4"/>
      <c r="D1469" s="4">
        <v>9.672825519919328</v>
      </c>
      <c r="E1469" s="4" t="s">
        <v>2509</v>
      </c>
      <c r="F1469" s="4"/>
      <c r="G1469" s="4"/>
      <c r="H1469" s="4"/>
      <c r="I1469" s="4" t="str">
        <f>IFERROR(__xludf.DUMMYFUNCTION("""COMPUTED_VALUE"""),"0x54782acddf7a615e13fe82b7804ba461a3823289")</f>
        <v>0x54782acddf7a615e13fe82b7804ba461a3823289</v>
      </c>
      <c r="J1469" s="18">
        <v>48.3641275995966</v>
      </c>
      <c r="K1469" s="4">
        <v>604.5515949949574</v>
      </c>
      <c r="L1469" s="19">
        <v>6.045515949949574E20</v>
      </c>
      <c r="M1469" s="20">
        <v>6.045515949949574E19</v>
      </c>
    </row>
    <row r="1470">
      <c r="A1470" s="6"/>
      <c r="B1470" s="6"/>
      <c r="C1470" s="4"/>
      <c r="D1470" s="4">
        <v>48.3641275995966</v>
      </c>
      <c r="E1470" s="4" t="s">
        <v>2510</v>
      </c>
      <c r="F1470" s="4"/>
      <c r="G1470" s="4"/>
      <c r="H1470" s="4"/>
      <c r="I1470" s="4" t="str">
        <f>IFERROR(__xludf.DUMMYFUNCTION("""COMPUTED_VALUE"""),"0x7c8e1918fa3aca78d4662f647d4650be8e2748e5")</f>
        <v>0x7c8e1918fa3aca78d4662f647d4650be8e2748e5</v>
      </c>
      <c r="J1470" s="18">
        <v>234.37608780709658</v>
      </c>
      <c r="K1470" s="4">
        <v>2929.7010975887074</v>
      </c>
      <c r="L1470" s="19">
        <v>2.9297010975887076E21</v>
      </c>
      <c r="M1470" s="20">
        <v>2.9297010975887078E20</v>
      </c>
    </row>
    <row r="1471">
      <c r="A1471" s="6"/>
      <c r="B1471" s="6"/>
      <c r="C1471" s="4"/>
      <c r="D1471" s="4">
        <v>4.44071277800409</v>
      </c>
      <c r="E1471" s="4" t="s">
        <v>2511</v>
      </c>
      <c r="F1471" s="4"/>
      <c r="G1471" s="4"/>
      <c r="H1471" s="4"/>
      <c r="I1471" s="4" t="str">
        <f>IFERROR(__xludf.DUMMYFUNCTION("""COMPUTED_VALUE"""),"0x36dd7555f34c963eb9f28ba72fe27e958121a78e")</f>
        <v>0x36dd7555f34c963eb9f28ba72fe27e958121a78e</v>
      </c>
      <c r="J1471" s="18">
        <v>19.3456510398386</v>
      </c>
      <c r="K1471" s="4">
        <v>241.8206379979825</v>
      </c>
      <c r="L1471" s="19">
        <v>2.4182063799798248E20</v>
      </c>
      <c r="M1471" s="20">
        <v>2.418206379979825E19</v>
      </c>
    </row>
    <row r="1472">
      <c r="A1472" s="6"/>
      <c r="B1472" s="6"/>
      <c r="C1472" s="4"/>
      <c r="D1472" s="4">
        <v>48.3641275995966</v>
      </c>
      <c r="E1472" s="4" t="s">
        <v>2513</v>
      </c>
      <c r="F1472" s="4"/>
      <c r="G1472" s="4"/>
      <c r="H1472" s="4"/>
      <c r="I1472" s="4" t="str">
        <f>IFERROR(__xludf.DUMMYFUNCTION("""COMPUTED_VALUE"""),"0xf7451522544e56b896d614cadb8508d4b9e75fd6")</f>
        <v>0xf7451522544e56b896d614cadb8508d4b9e75fd6</v>
      </c>
      <c r="J1472" s="18">
        <v>9.82093975570354</v>
      </c>
      <c r="K1472" s="4">
        <v>122.76174694629425</v>
      </c>
      <c r="L1472" s="19">
        <v>1.2276174694629425E20</v>
      </c>
      <c r="M1472" s="20">
        <v>1.2276174694629425E19</v>
      </c>
    </row>
    <row r="1473">
      <c r="A1473" s="6"/>
      <c r="B1473" s="6"/>
      <c r="C1473" s="4"/>
      <c r="D1473" s="4">
        <v>9.76990106476377</v>
      </c>
      <c r="E1473" s="4" t="s">
        <v>2514</v>
      </c>
      <c r="F1473" s="4"/>
      <c r="G1473" s="4"/>
      <c r="H1473" s="4"/>
      <c r="I1473" s="4" t="str">
        <f>IFERROR(__xludf.DUMMYFUNCTION("""COMPUTED_VALUE"""),"0x49b71b8e040301ab9da862916e90eea69fc717d7")</f>
        <v>0x49b71b8e040301ab9da862916e90eea69fc717d7</v>
      </c>
      <c r="J1473" s="18">
        <v>57.20582499885428</v>
      </c>
      <c r="K1473" s="4">
        <v>715.0728124856785</v>
      </c>
      <c r="L1473" s="19">
        <v>7.150728124856785E20</v>
      </c>
      <c r="M1473" s="20">
        <v>7.150728124856785E19</v>
      </c>
    </row>
    <row r="1474">
      <c r="A1474" s="6"/>
      <c r="B1474" s="6"/>
      <c r="C1474" s="4"/>
      <c r="D1474" s="4">
        <v>48.3641275995966</v>
      </c>
      <c r="E1474" s="4" t="s">
        <v>2516</v>
      </c>
      <c r="F1474" s="4"/>
      <c r="G1474" s="4"/>
      <c r="H1474" s="4"/>
      <c r="I1474" s="4" t="str">
        <f>IFERROR(__xludf.DUMMYFUNCTION("""COMPUTED_VALUE"""),"0x877f2c7b9421cabea381eab06d64e081bbd5a8ec")</f>
        <v>0x877f2c7b9421cabea381eab06d64e081bbd5a8ec</v>
      </c>
      <c r="J1474" s="18">
        <v>199.54143041691438</v>
      </c>
      <c r="K1474" s="4">
        <v>2494.2678802114297</v>
      </c>
      <c r="L1474" s="19">
        <v>2.4942678802114297E21</v>
      </c>
      <c r="M1474" s="20">
        <v>2.4942678802114298E20</v>
      </c>
    </row>
    <row r="1475">
      <c r="A1475" s="6"/>
      <c r="B1475" s="6"/>
      <c r="C1475" s="4"/>
      <c r="D1475" s="4">
        <v>29.405389580554697</v>
      </c>
      <c r="E1475" s="4" t="s">
        <v>2517</v>
      </c>
      <c r="F1475" s="4"/>
      <c r="G1475" s="4"/>
      <c r="H1475" s="4"/>
      <c r="I1475" s="4" t="str">
        <f>IFERROR(__xludf.DUMMYFUNCTION("""COMPUTED_VALUE"""),"0x472a3b2b7fdfe833bb4893f7c967a5dd7032675f")</f>
        <v>0x472a3b2b7fdfe833bb4893f7c967a5dd7032675f</v>
      </c>
      <c r="J1475" s="18">
        <v>40.3040391594071</v>
      </c>
      <c r="K1475" s="4">
        <v>503.8004894925887</v>
      </c>
      <c r="L1475" s="19">
        <v>5.038004894925887E20</v>
      </c>
      <c r="M1475" s="20">
        <v>5.038004894925888E19</v>
      </c>
    </row>
    <row r="1476">
      <c r="A1476" s="6"/>
      <c r="B1476" s="6"/>
      <c r="C1476" s="4"/>
      <c r="D1476" s="4">
        <v>48.3641275995966</v>
      </c>
      <c r="E1476" s="4" t="s">
        <v>2519</v>
      </c>
      <c r="F1476" s="4"/>
      <c r="G1476" s="4"/>
      <c r="H1476" s="4"/>
      <c r="I1476" s="4" t="str">
        <f>IFERROR(__xludf.DUMMYFUNCTION("""COMPUTED_VALUE"""),"0x18e2cf09616c69e5f546109d0c7948fd5a481265")</f>
        <v>0x18e2cf09616c69e5f546109d0c7948fd5a481265</v>
      </c>
      <c r="J1476" s="18">
        <v>16.8137381681864</v>
      </c>
      <c r="K1476" s="4">
        <v>210.17172710233</v>
      </c>
      <c r="L1476" s="19">
        <v>2.1017172710233E20</v>
      </c>
      <c r="M1476" s="20">
        <v>2.1017172710233E19</v>
      </c>
    </row>
    <row r="1477">
      <c r="A1477" s="6"/>
      <c r="B1477" s="6"/>
      <c r="C1477" s="4"/>
      <c r="D1477" s="4">
        <v>48.3641275995966</v>
      </c>
      <c r="E1477" s="4" t="s">
        <v>2520</v>
      </c>
      <c r="F1477" s="4"/>
      <c r="G1477" s="4"/>
      <c r="H1477" s="4"/>
      <c r="I1477" s="4" t="str">
        <f>IFERROR(__xludf.DUMMYFUNCTION("""COMPUTED_VALUE"""),"0x37b7116cf75cdd38a8673e6e8db02920fe7faa1c")</f>
        <v>0x37b7116cf75cdd38a8673e6e8db02920fe7faa1c</v>
      </c>
      <c r="J1477" s="18">
        <v>3.75171194593841</v>
      </c>
      <c r="K1477" s="4">
        <v>46.896399324230124</v>
      </c>
      <c r="L1477" s="19">
        <v>4.689639932423012E19</v>
      </c>
      <c r="M1477" s="20">
        <v>4.689639932423012E18</v>
      </c>
    </row>
    <row r="1478">
      <c r="A1478" s="6"/>
      <c r="B1478" s="6"/>
      <c r="C1478" s="4"/>
      <c r="D1478" s="4">
        <v>48.3641275995966</v>
      </c>
      <c r="E1478" s="4" t="s">
        <v>2521</v>
      </c>
      <c r="F1478" s="4"/>
      <c r="G1478" s="4"/>
      <c r="H1478" s="4"/>
      <c r="I1478" s="4" t="str">
        <f>IFERROR(__xludf.DUMMYFUNCTION("""COMPUTED_VALUE"""),"0x005b62b5dbe862dc625bad7dabb23f7b45b91494")</f>
        <v>0x005b62b5dbe862dc625bad7dabb23f7b45b91494</v>
      </c>
      <c r="J1478" s="18">
        <v>5.0515745232778</v>
      </c>
      <c r="K1478" s="4">
        <v>63.1446815409725</v>
      </c>
      <c r="L1478" s="19">
        <v>6.31446815409725E19</v>
      </c>
      <c r="M1478" s="20">
        <v>6.31446815409725E18</v>
      </c>
    </row>
    <row r="1479">
      <c r="A1479" s="6"/>
      <c r="B1479" s="6"/>
      <c r="C1479" s="4"/>
      <c r="D1479" s="4">
        <v>48.3641275995966</v>
      </c>
      <c r="E1479" s="4" t="s">
        <v>2522</v>
      </c>
      <c r="F1479" s="4"/>
      <c r="G1479" s="4"/>
      <c r="H1479" s="4"/>
      <c r="I1479" s="4" t="str">
        <f>IFERROR(__xludf.DUMMYFUNCTION("""COMPUTED_VALUE"""),"0xc22bb52a2272c7039f5268189d4a9fcd05af7943")</f>
        <v>0xc22bb52a2272c7039f5268189d4a9fcd05af7943</v>
      </c>
      <c r="J1479" s="18">
        <v>188.8031575562596</v>
      </c>
      <c r="K1479" s="4">
        <v>2360.039469453245</v>
      </c>
      <c r="L1479" s="19">
        <v>2.3600394694532452E21</v>
      </c>
      <c r="M1479" s="20">
        <v>2.360039469453245E20</v>
      </c>
    </row>
    <row r="1480">
      <c r="A1480" s="6"/>
      <c r="B1480" s="6"/>
      <c r="C1480" s="4"/>
      <c r="D1480" s="4">
        <v>18.3416473292165</v>
      </c>
      <c r="E1480" s="4" t="s">
        <v>2523</v>
      </c>
      <c r="F1480" s="4"/>
      <c r="G1480" s="4"/>
      <c r="H1480" s="4"/>
      <c r="I1480" s="4" t="str">
        <f>IFERROR(__xludf.DUMMYFUNCTION("""COMPUTED_VALUE"""),"0x088043144c87eac10068b77bdec89113e874f9aa")</f>
        <v>0x088043144c87eac10068b77bdec89113e874f9aa</v>
      </c>
      <c r="J1480" s="18">
        <v>28.5118029581222</v>
      </c>
      <c r="K1480" s="4">
        <v>356.3975369765275</v>
      </c>
      <c r="L1480" s="19">
        <v>3.563975369765275E20</v>
      </c>
      <c r="M1480" s="20">
        <v>3.5639753697652752E19</v>
      </c>
    </row>
    <row r="1481">
      <c r="A1481" s="6"/>
      <c r="B1481" s="6"/>
      <c r="C1481" s="4"/>
      <c r="D1481" s="4">
        <v>27.6073612506552</v>
      </c>
      <c r="E1481" s="4" t="s">
        <v>2525</v>
      </c>
      <c r="F1481" s="4"/>
      <c r="G1481" s="4"/>
      <c r="H1481" s="4"/>
      <c r="I1481" s="4" t="str">
        <f>IFERROR(__xludf.DUMMYFUNCTION("""COMPUTED_VALUE"""),"0xd8c8552e36e5cff51e13a3e5024a70074c336e25")</f>
        <v>0xd8c8552e36e5cff51e13a3e5024a70074c336e25</v>
      </c>
      <c r="J1481" s="18">
        <v>48.3641275995966</v>
      </c>
      <c r="K1481" s="4">
        <v>604.5515949949574</v>
      </c>
      <c r="L1481" s="19">
        <v>6.045515949949574E20</v>
      </c>
      <c r="M1481" s="20">
        <v>6.045515949949574E19</v>
      </c>
    </row>
    <row r="1482">
      <c r="A1482" s="6"/>
      <c r="B1482" s="6"/>
      <c r="C1482" s="4"/>
      <c r="D1482" s="4">
        <v>47.1626374212033</v>
      </c>
      <c r="E1482" s="4" t="s">
        <v>550</v>
      </c>
      <c r="F1482" s="4"/>
      <c r="G1482" s="4"/>
      <c r="H1482" s="4"/>
      <c r="I1482" s="4" t="str">
        <f>IFERROR(__xludf.DUMMYFUNCTION("""COMPUTED_VALUE"""),"0x5dfa24c5e60e58a9097d9e082836fe7336c5d3f9")</f>
        <v>0x5dfa24c5e60e58a9097d9e082836fe7336c5d3f9</v>
      </c>
      <c r="J1482" s="18">
        <v>48.3641275995966</v>
      </c>
      <c r="K1482" s="4">
        <v>604.5515949949574</v>
      </c>
      <c r="L1482" s="19">
        <v>6.045515949949574E20</v>
      </c>
      <c r="M1482" s="20">
        <v>6.045515949949574E19</v>
      </c>
    </row>
    <row r="1483">
      <c r="A1483" s="6"/>
      <c r="B1483" s="6"/>
      <c r="C1483" s="4"/>
      <c r="D1483" s="4">
        <v>38.6913020796773</v>
      </c>
      <c r="E1483" s="4" t="s">
        <v>2528</v>
      </c>
      <c r="F1483" s="4"/>
      <c r="G1483" s="4"/>
      <c r="H1483" s="4"/>
      <c r="I1483" s="4" t="str">
        <f>IFERROR(__xludf.DUMMYFUNCTION("""COMPUTED_VALUE"""),"0xd5ec78c2d4cb7d81ac002a67e2a918f4df9b01c5")</f>
        <v>0xd5ec78c2d4cb7d81ac002a67e2a918f4df9b01c5</v>
      </c>
      <c r="J1483" s="18">
        <v>132.0695096929719</v>
      </c>
      <c r="K1483" s="4">
        <v>1650.8688711621487</v>
      </c>
      <c r="L1483" s="19">
        <v>1.6508688711621487E21</v>
      </c>
      <c r="M1483" s="20">
        <v>1.6508688711621486E20</v>
      </c>
    </row>
    <row r="1484">
      <c r="A1484" s="6"/>
      <c r="B1484" s="6"/>
      <c r="C1484" s="4"/>
      <c r="D1484" s="4">
        <v>48.3641275995966</v>
      </c>
      <c r="E1484" s="4" t="s">
        <v>1391</v>
      </c>
      <c r="F1484" s="4"/>
      <c r="G1484" s="4"/>
      <c r="H1484" s="4"/>
      <c r="I1484" s="4" t="str">
        <f>IFERROR(__xludf.DUMMYFUNCTION("""COMPUTED_VALUE"""),"0x58ed61f8282cf5e1c340c75b001a74ad88fc757a")</f>
        <v>0x58ed61f8282cf5e1c340c75b001a74ad88fc757a</v>
      </c>
      <c r="J1484" s="18">
        <v>14.5728922207238</v>
      </c>
      <c r="K1484" s="4">
        <v>182.1611527590475</v>
      </c>
      <c r="L1484" s="19">
        <v>1.821611527590475E20</v>
      </c>
      <c r="M1484" s="20">
        <v>1.821611527590475E19</v>
      </c>
    </row>
    <row r="1485">
      <c r="A1485" s="6"/>
      <c r="B1485" s="6"/>
      <c r="C1485" s="4"/>
      <c r="D1485" s="4">
        <v>48.3641275995966</v>
      </c>
      <c r="E1485" s="4" t="s">
        <v>2529</v>
      </c>
      <c r="F1485" s="4"/>
      <c r="G1485" s="4"/>
      <c r="H1485" s="4"/>
      <c r="I1485" s="4" t="str">
        <f>IFERROR(__xludf.DUMMYFUNCTION("""COMPUTED_VALUE"""),"0x9eb86e4977b0db3a4967dffc565c51a43b76f58b")</f>
        <v>0x9eb86e4977b0db3a4967dffc565c51a43b76f58b</v>
      </c>
      <c r="J1485" s="18">
        <v>46.386036533887804</v>
      </c>
      <c r="K1485" s="4">
        <v>579.8254566735975</v>
      </c>
      <c r="L1485" s="19">
        <v>5.798254566735975E20</v>
      </c>
      <c r="M1485" s="20">
        <v>5.798254566735975E19</v>
      </c>
    </row>
    <row r="1486">
      <c r="A1486" s="6"/>
      <c r="B1486" s="6"/>
      <c r="C1486" s="4"/>
      <c r="D1486" s="4">
        <v>48.3641275995966</v>
      </c>
      <c r="E1486" s="4" t="s">
        <v>956</v>
      </c>
      <c r="F1486" s="4"/>
      <c r="G1486" s="4"/>
      <c r="H1486" s="4"/>
      <c r="I1486" s="4" t="str">
        <f>IFERROR(__xludf.DUMMYFUNCTION("""COMPUTED_VALUE"""),"0x665bd4b75602618e58ba78ca7125fad4362fb316")</f>
        <v>0x665bd4b75602618e58ba78ca7125fad4362fb316</v>
      </c>
      <c r="J1486" s="18">
        <v>13.6891104612021</v>
      </c>
      <c r="K1486" s="4">
        <v>171.11388076502624</v>
      </c>
      <c r="L1486" s="19">
        <v>1.7111388076502624E20</v>
      </c>
      <c r="M1486" s="20">
        <v>1.7111388076502624E19</v>
      </c>
    </row>
    <row r="1487">
      <c r="A1487" s="6"/>
      <c r="B1487" s="6"/>
      <c r="C1487" s="4"/>
      <c r="D1487" s="4">
        <v>4.4100213208999</v>
      </c>
      <c r="E1487" s="4" t="s">
        <v>2530</v>
      </c>
      <c r="F1487" s="4"/>
      <c r="G1487" s="4"/>
      <c r="H1487" s="4"/>
      <c r="I1487" s="4" t="str">
        <f>IFERROR(__xludf.DUMMYFUNCTION("""COMPUTED_VALUE"""),"0xfc12c7122021de462ed006be9168a9f6d992afa3")</f>
        <v>0xfc12c7122021de462ed006be9168a9f6d992afa3</v>
      </c>
      <c r="J1487" s="18">
        <v>38.333843689074996</v>
      </c>
      <c r="K1487" s="4">
        <v>479.17304611343747</v>
      </c>
      <c r="L1487" s="19">
        <v>4.791730461134375E20</v>
      </c>
      <c r="M1487" s="20">
        <v>4.791730461134375E19</v>
      </c>
    </row>
    <row r="1488">
      <c r="A1488" s="6"/>
      <c r="B1488" s="6"/>
      <c r="C1488" s="4"/>
      <c r="D1488" s="4">
        <v>48.3641275995966</v>
      </c>
      <c r="E1488" s="4" t="s">
        <v>2532</v>
      </c>
      <c r="F1488" s="4"/>
      <c r="G1488" s="4"/>
      <c r="H1488" s="4"/>
      <c r="I1488" s="4" t="str">
        <f>IFERROR(__xludf.DUMMYFUNCTION("""COMPUTED_VALUE"""),"0xdfb93af3cf6dbd9d10bc5509cf55f7355c7496ba")</f>
        <v>0xdfb93af3cf6dbd9d10bc5509cf55f7355c7496ba</v>
      </c>
      <c r="J1488" s="18">
        <v>155.4883724006796</v>
      </c>
      <c r="K1488" s="4">
        <v>1943.604655008495</v>
      </c>
      <c r="L1488" s="19">
        <v>1.943604655008495E21</v>
      </c>
      <c r="M1488" s="20">
        <v>1.943604655008495E20</v>
      </c>
    </row>
    <row r="1489">
      <c r="A1489" s="6"/>
      <c r="B1489" s="6"/>
      <c r="C1489" s="4"/>
      <c r="D1489" s="4">
        <v>9.92672497768153</v>
      </c>
      <c r="E1489" s="4" t="s">
        <v>2533</v>
      </c>
      <c r="F1489" s="4"/>
      <c r="G1489" s="4"/>
      <c r="H1489" s="4"/>
      <c r="I1489" s="4" t="str">
        <f>IFERROR(__xludf.DUMMYFUNCTION("""COMPUTED_VALUE"""),"0xb886718ddc1510f8fd339e2915f04a5533c1c8bb")</f>
        <v>0xb886718ddc1510f8fd339e2915f04a5533c1c8bb</v>
      </c>
      <c r="J1489" s="18">
        <v>25.472660970591303</v>
      </c>
      <c r="K1489" s="4">
        <v>318.40826213239126</v>
      </c>
      <c r="L1489" s="19">
        <v>3.184082621323913E20</v>
      </c>
      <c r="M1489" s="20">
        <v>3.184082621323913E19</v>
      </c>
    </row>
    <row r="1490">
      <c r="A1490" s="6"/>
      <c r="B1490" s="6"/>
      <c r="C1490" s="4"/>
      <c r="D1490" s="4">
        <v>9.555983643886139</v>
      </c>
      <c r="E1490" s="4" t="s">
        <v>2535</v>
      </c>
      <c r="F1490" s="4"/>
      <c r="G1490" s="4"/>
      <c r="H1490" s="4"/>
      <c r="I1490" s="4" t="str">
        <f>IFERROR(__xludf.DUMMYFUNCTION("""COMPUTED_VALUE"""),"0xced9450c4671b64b27c0614bea50676115f5b6e7")</f>
        <v>0xced9450c4671b64b27c0614bea50676115f5b6e7</v>
      </c>
      <c r="J1490" s="18">
        <v>48.3641275995966</v>
      </c>
      <c r="K1490" s="4">
        <v>604.5515949949574</v>
      </c>
      <c r="L1490" s="19">
        <v>6.045515949949574E20</v>
      </c>
      <c r="M1490" s="20">
        <v>6.045515949949574E19</v>
      </c>
    </row>
    <row r="1491">
      <c r="A1491" s="6"/>
      <c r="B1491" s="6"/>
      <c r="C1491" s="4"/>
      <c r="D1491" s="4">
        <v>48.3641275995966</v>
      </c>
      <c r="E1491" s="4" t="s">
        <v>2537</v>
      </c>
      <c r="F1491" s="4"/>
      <c r="G1491" s="4"/>
      <c r="H1491" s="4"/>
      <c r="I1491" s="4" t="str">
        <f>IFERROR(__xludf.DUMMYFUNCTION("""COMPUTED_VALUE"""),"0xb18a64a2d272aae0a318c1c7fdf8312a3e2e7fd3")</f>
        <v>0xb18a64a2d272aae0a318c1c7fdf8312a3e2e7fd3</v>
      </c>
      <c r="J1491" s="18">
        <v>9.67290919353575</v>
      </c>
      <c r="K1491" s="4">
        <v>120.91136491919687</v>
      </c>
      <c r="L1491" s="19">
        <v>1.2091136491919688E20</v>
      </c>
      <c r="M1491" s="20">
        <v>1.2091136491919688E19</v>
      </c>
    </row>
    <row r="1492">
      <c r="A1492" s="6"/>
      <c r="B1492" s="6"/>
      <c r="C1492" s="4"/>
      <c r="D1492" s="4">
        <v>29.018476559758</v>
      </c>
      <c r="E1492" s="4" t="s">
        <v>916</v>
      </c>
      <c r="F1492" s="4"/>
      <c r="G1492" s="4"/>
      <c r="H1492" s="4"/>
      <c r="I1492" s="4" t="str">
        <f>IFERROR(__xludf.DUMMYFUNCTION("""COMPUTED_VALUE"""),"0x999b9933c02150482807bec9b4a54375eb6c9cb5")</f>
        <v>0x999b9933c02150482807bec9b4a54375eb6c9cb5</v>
      </c>
      <c r="J1492" s="18">
        <v>10.715079431609999</v>
      </c>
      <c r="K1492" s="4">
        <v>133.93849289512497</v>
      </c>
      <c r="L1492" s="19">
        <v>1.3393849289512496E20</v>
      </c>
      <c r="M1492" s="20">
        <v>1.3393849289512497E19</v>
      </c>
    </row>
    <row r="1493">
      <c r="A1493" s="6"/>
      <c r="B1493" s="6"/>
      <c r="C1493" s="4"/>
      <c r="D1493" s="4">
        <v>29.018476559758</v>
      </c>
      <c r="E1493" s="4" t="s">
        <v>2538</v>
      </c>
      <c r="F1493" s="4"/>
      <c r="G1493" s="4"/>
      <c r="H1493" s="4"/>
      <c r="I1493" s="4" t="str">
        <f>IFERROR(__xludf.DUMMYFUNCTION("""COMPUTED_VALUE"""),"0xebf2de846225fb36d2d7e66ea575233d17c980ba")</f>
        <v>0xebf2de846225fb36d2d7e66ea575233d17c980ba</v>
      </c>
      <c r="J1493" s="18">
        <v>22.2277290214213</v>
      </c>
      <c r="K1493" s="4">
        <v>277.84661276776626</v>
      </c>
      <c r="L1493" s="19">
        <v>2.7784661276776625E20</v>
      </c>
      <c r="M1493" s="20">
        <v>2.778466127677663E19</v>
      </c>
    </row>
    <row r="1494">
      <c r="A1494" s="6"/>
      <c r="B1494" s="6"/>
      <c r="C1494" s="4"/>
      <c r="D1494" s="4">
        <v>48.3641275995966</v>
      </c>
      <c r="E1494" s="4" t="s">
        <v>2539</v>
      </c>
      <c r="F1494" s="4"/>
      <c r="G1494" s="4"/>
      <c r="H1494" s="4"/>
      <c r="I1494" s="4" t="str">
        <f>IFERROR(__xludf.DUMMYFUNCTION("""COMPUTED_VALUE"""),"0xbe3c90d34b757587c62852dcd57f7c8e1bc5547c")</f>
        <v>0xbe3c90d34b757587c62852dcd57f7c8e1bc5547c</v>
      </c>
      <c r="J1494" s="18">
        <v>13.098227640380001</v>
      </c>
      <c r="K1494" s="4">
        <v>163.72784550475</v>
      </c>
      <c r="L1494" s="19">
        <v>1.6372784550475E20</v>
      </c>
      <c r="M1494" s="20">
        <v>1.6372784550475E19</v>
      </c>
    </row>
    <row r="1495">
      <c r="A1495" s="6"/>
      <c r="B1495" s="6"/>
      <c r="C1495" s="4"/>
      <c r="D1495" s="4">
        <v>45.7922903764344</v>
      </c>
      <c r="E1495" s="4" t="s">
        <v>2540</v>
      </c>
      <c r="F1495" s="4"/>
      <c r="G1495" s="4"/>
      <c r="H1495" s="4"/>
      <c r="I1495" s="4" t="str">
        <f>IFERROR(__xludf.DUMMYFUNCTION("""COMPUTED_VALUE"""),"0xbe8668fa86cf6ebf37d6eea6ba473bb3aa3a7ea2")</f>
        <v>0xbe8668fa86cf6ebf37d6eea6ba473bb3aa3a7ea2</v>
      </c>
      <c r="J1495" s="18">
        <v>57.66472560997164</v>
      </c>
      <c r="K1495" s="4">
        <v>720.8090701246455</v>
      </c>
      <c r="L1495" s="19">
        <v>7.208090701246455E20</v>
      </c>
      <c r="M1495" s="20">
        <v>7.208090701246455E19</v>
      </c>
    </row>
    <row r="1496">
      <c r="A1496" s="6"/>
      <c r="B1496" s="6"/>
      <c r="C1496" s="4"/>
      <c r="D1496" s="4">
        <v>47.0233758884776</v>
      </c>
      <c r="E1496" s="4" t="s">
        <v>2542</v>
      </c>
      <c r="F1496" s="4"/>
      <c r="G1496" s="4"/>
      <c r="H1496" s="4"/>
      <c r="I1496" s="4" t="str">
        <f>IFERROR(__xludf.DUMMYFUNCTION("""COMPUTED_VALUE"""),"0x2311bb3fd5423ab1e24970ba3daa034387c2faa6")</f>
        <v>0x2311bb3fd5423ab1e24970ba3daa034387c2faa6</v>
      </c>
      <c r="J1496" s="18">
        <v>22.5992430375798</v>
      </c>
      <c r="K1496" s="4">
        <v>282.4905379697475</v>
      </c>
      <c r="L1496" s="19">
        <v>2.824905379697475E20</v>
      </c>
      <c r="M1496" s="20">
        <v>2.824905379697475E19</v>
      </c>
    </row>
    <row r="1497">
      <c r="A1497" s="6"/>
      <c r="B1497" s="6"/>
      <c r="C1497" s="4"/>
      <c r="D1497" s="4">
        <v>3.2532563016016303</v>
      </c>
      <c r="E1497" s="4" t="s">
        <v>2544</v>
      </c>
      <c r="F1497" s="4"/>
      <c r="G1497" s="4"/>
      <c r="H1497" s="4"/>
      <c r="I1497" s="4" t="str">
        <f>IFERROR(__xludf.DUMMYFUNCTION("""COMPUTED_VALUE"""),"0x786c09ac653faa5839b2fb8adfbd97afa27e1e2b")</f>
        <v>0x786c09ac653faa5839b2fb8adfbd97afa27e1e2b</v>
      </c>
      <c r="J1497" s="18">
        <v>48.3641275995966</v>
      </c>
      <c r="K1497" s="4">
        <v>604.5515949949574</v>
      </c>
      <c r="L1497" s="19">
        <v>6.045515949949574E20</v>
      </c>
      <c r="M1497" s="20">
        <v>6.045515949949574E19</v>
      </c>
    </row>
    <row r="1498">
      <c r="A1498" s="6"/>
      <c r="B1498" s="6"/>
      <c r="C1498" s="4"/>
      <c r="D1498" s="4">
        <v>6.57487633811354</v>
      </c>
      <c r="E1498" s="4" t="s">
        <v>2546</v>
      </c>
      <c r="F1498" s="4"/>
      <c r="G1498" s="4"/>
      <c r="H1498" s="4"/>
      <c r="I1498" s="4" t="str">
        <f>IFERROR(__xludf.DUMMYFUNCTION("""COMPUTED_VALUE"""),"0x6cc28d3e74b8b0913a561cddb41364ec8594b0fb")</f>
        <v>0x6cc28d3e74b8b0913a561cddb41364ec8594b0fb</v>
      </c>
      <c r="J1498" s="18">
        <v>234.37608780709658</v>
      </c>
      <c r="K1498" s="4">
        <v>2929.7010975887074</v>
      </c>
      <c r="L1498" s="19">
        <v>2.9297010975887076E21</v>
      </c>
      <c r="M1498" s="20">
        <v>2.9297010975887078E20</v>
      </c>
    </row>
    <row r="1499">
      <c r="A1499" s="6"/>
      <c r="B1499" s="6"/>
      <c r="C1499" s="4"/>
      <c r="D1499" s="4">
        <v>19.4505044684745</v>
      </c>
      <c r="E1499" s="4" t="s">
        <v>2548</v>
      </c>
      <c r="F1499" s="4"/>
      <c r="G1499" s="4"/>
      <c r="H1499" s="4"/>
      <c r="I1499" s="4" t="str">
        <f>IFERROR(__xludf.DUMMYFUNCTION("""COMPUTED_VALUE"""),"0xd53570ddbb35c2d8336681a1dbe1b753ea711f3a")</f>
        <v>0xd53570ddbb35c2d8336681a1dbe1b753ea711f3a</v>
      </c>
      <c r="J1499" s="18">
        <v>17.5604656124601</v>
      </c>
      <c r="K1499" s="4">
        <v>219.50582015575122</v>
      </c>
      <c r="L1499" s="19">
        <v>2.1950582015575124E20</v>
      </c>
      <c r="M1499" s="20">
        <v>2.1950582015575126E19</v>
      </c>
    </row>
    <row r="1500">
      <c r="A1500" s="6"/>
      <c r="B1500" s="6"/>
      <c r="C1500" s="4"/>
      <c r="D1500" s="4">
        <v>48.3641275995966</v>
      </c>
      <c r="E1500" s="4" t="s">
        <v>2550</v>
      </c>
      <c r="F1500" s="4"/>
      <c r="G1500" s="4"/>
      <c r="H1500" s="4"/>
      <c r="I1500" s="4" t="str">
        <f>IFERROR(__xludf.DUMMYFUNCTION("""COMPUTED_VALUE"""),"0x08412a55b4dd8ae3931f91d94a9b5fae99d4cbf4")</f>
        <v>0x08412a55b4dd8ae3931f91d94a9b5fae99d4cbf4</v>
      </c>
      <c r="J1500" s="18">
        <v>42.841022914494395</v>
      </c>
      <c r="K1500" s="4">
        <v>535.51278643118</v>
      </c>
      <c r="L1500" s="19">
        <v>5.3551278643117995E20</v>
      </c>
      <c r="M1500" s="20">
        <v>5.3551278643118E19</v>
      </c>
    </row>
    <row r="1501">
      <c r="A1501" s="6"/>
      <c r="B1501" s="6"/>
      <c r="C1501" s="4"/>
      <c r="D1501" s="4">
        <v>48.3641275995966</v>
      </c>
      <c r="E1501" s="4" t="s">
        <v>2551</v>
      </c>
      <c r="F1501" s="4"/>
      <c r="G1501" s="4"/>
      <c r="H1501" s="4"/>
      <c r="I1501" s="4" t="str">
        <f>IFERROR(__xludf.DUMMYFUNCTION("""COMPUTED_VALUE"""),"0xcf5ade5a7d9585e40afbfa6f0db0d638d2f8ca61")</f>
        <v>0xcf5ade5a7d9585e40afbfa6f0db0d638d2f8ca61</v>
      </c>
      <c r="J1501" s="18">
        <v>6.73538308965418</v>
      </c>
      <c r="K1501" s="4">
        <v>84.19228862067725</v>
      </c>
      <c r="L1501" s="19">
        <v>8.419228862067725E19</v>
      </c>
      <c r="M1501" s="20">
        <v>8.419228862067725E18</v>
      </c>
    </row>
    <row r="1502">
      <c r="A1502" s="6"/>
      <c r="B1502" s="6"/>
      <c r="C1502" s="4"/>
      <c r="D1502" s="4">
        <v>48.3641275995966</v>
      </c>
      <c r="E1502" s="4" t="s">
        <v>2552</v>
      </c>
      <c r="F1502" s="4"/>
      <c r="G1502" s="4"/>
      <c r="H1502" s="4"/>
      <c r="I1502" s="4" t="str">
        <f>IFERROR(__xludf.DUMMYFUNCTION("""COMPUTED_VALUE"""),"0x2710d691a472f8fcd95497cc8271be6ce089416f")</f>
        <v>0x2710d691a472f8fcd95497cc8271be6ce089416f</v>
      </c>
      <c r="J1502" s="18">
        <v>48.3641275995966</v>
      </c>
      <c r="K1502" s="4">
        <v>604.5515949949574</v>
      </c>
      <c r="L1502" s="19">
        <v>6.045515949949574E20</v>
      </c>
      <c r="M1502" s="20">
        <v>6.045515949949574E19</v>
      </c>
    </row>
    <row r="1503">
      <c r="A1503" s="6"/>
      <c r="B1503" s="6"/>
      <c r="C1503" s="4"/>
      <c r="D1503" s="4">
        <v>48.3641275995966</v>
      </c>
      <c r="E1503" s="4" t="s">
        <v>485</v>
      </c>
      <c r="F1503" s="4"/>
      <c r="G1503" s="4"/>
      <c r="H1503" s="4"/>
      <c r="I1503" s="4" t="str">
        <f>IFERROR(__xludf.DUMMYFUNCTION("""COMPUTED_VALUE"""),"0xcd0a463d42b4d9934cd27783c6620761f58de698")</f>
        <v>0xcd0a463d42b4d9934cd27783c6620761f58de698</v>
      </c>
      <c r="J1503" s="18">
        <v>101.09997669739201</v>
      </c>
      <c r="K1503" s="4">
        <v>1263.7497087174002</v>
      </c>
      <c r="L1503" s="19">
        <v>1.2637497087174003E21</v>
      </c>
      <c r="M1503" s="20">
        <v>1.2637497087174004E20</v>
      </c>
    </row>
    <row r="1504">
      <c r="A1504" s="6"/>
      <c r="B1504" s="6"/>
      <c r="C1504" s="4"/>
      <c r="D1504" s="4">
        <v>48.3641275995966</v>
      </c>
      <c r="E1504" s="4" t="s">
        <v>2553</v>
      </c>
      <c r="F1504" s="4"/>
      <c r="G1504" s="4"/>
      <c r="H1504" s="4"/>
      <c r="I1504" s="4" t="str">
        <f>IFERROR(__xludf.DUMMYFUNCTION("""COMPUTED_VALUE"""),"0x768a819e5e92bfa14f24d4882aea4ab8e906e037")</f>
        <v>0x768a819e5e92bfa14f24d4882aea4ab8e906e037</v>
      </c>
      <c r="J1504" s="18">
        <v>48.3641275995966</v>
      </c>
      <c r="K1504" s="4">
        <v>604.5515949949574</v>
      </c>
      <c r="L1504" s="19">
        <v>6.045515949949574E20</v>
      </c>
      <c r="M1504" s="20">
        <v>6.045515949949574E19</v>
      </c>
    </row>
    <row r="1505">
      <c r="A1505" s="6"/>
      <c r="B1505" s="6"/>
      <c r="C1505" s="4"/>
      <c r="D1505" s="4">
        <v>3.33464304213026</v>
      </c>
      <c r="E1505" s="4" t="s">
        <v>1703</v>
      </c>
      <c r="F1505" s="4"/>
      <c r="G1505" s="4"/>
      <c r="H1505" s="4"/>
      <c r="I1505" s="4" t="str">
        <f>IFERROR(__xludf.DUMMYFUNCTION("""COMPUTED_VALUE"""),"0x77aa5a2d41793ed468da93832724159cfaa1f0a9")</f>
        <v>0x77aa5a2d41793ed468da93832724159cfaa1f0a9</v>
      </c>
      <c r="J1505" s="18">
        <v>19.3456510398386</v>
      </c>
      <c r="K1505" s="4">
        <v>241.8206379979825</v>
      </c>
      <c r="L1505" s="19">
        <v>2.4182063799798248E20</v>
      </c>
      <c r="M1505" s="20">
        <v>2.418206379979825E19</v>
      </c>
    </row>
    <row r="1506">
      <c r="A1506" s="6"/>
      <c r="B1506" s="6"/>
      <c r="C1506" s="4"/>
      <c r="D1506" s="4">
        <v>48.3641275995966</v>
      </c>
      <c r="E1506" s="4" t="s">
        <v>784</v>
      </c>
      <c r="F1506" s="4"/>
      <c r="G1506" s="4"/>
      <c r="H1506" s="4"/>
      <c r="I1506" s="4" t="str">
        <f>IFERROR(__xludf.DUMMYFUNCTION("""COMPUTED_VALUE"""),"0x67484feedb5034f234b4282daad95d51c6041974")</f>
        <v>0x67484feedb5034f234b4282daad95d51c6041974</v>
      </c>
      <c r="J1506" s="18">
        <v>48.3641275995966</v>
      </c>
      <c r="K1506" s="4">
        <v>604.5515949949574</v>
      </c>
      <c r="L1506" s="19">
        <v>6.045515949949574E20</v>
      </c>
      <c r="M1506" s="20">
        <v>6.045515949949574E19</v>
      </c>
    </row>
    <row r="1507">
      <c r="A1507" s="6"/>
      <c r="B1507" s="6"/>
      <c r="C1507" s="4"/>
      <c r="D1507" s="4">
        <v>48.3641275995966</v>
      </c>
      <c r="E1507" s="4" t="s">
        <v>2555</v>
      </c>
      <c r="F1507" s="4"/>
      <c r="G1507" s="4"/>
      <c r="H1507" s="4"/>
      <c r="I1507" s="4" t="str">
        <f>IFERROR(__xludf.DUMMYFUNCTION("""COMPUTED_VALUE"""),"0xac5af824b4784389d03ed0b22f1ef40c0a9cc52f")</f>
        <v>0xac5af824b4784389d03ed0b22f1ef40c0a9cc52f</v>
      </c>
      <c r="J1507" s="18">
        <v>48.3641275995966</v>
      </c>
      <c r="K1507" s="4">
        <v>604.5515949949574</v>
      </c>
      <c r="L1507" s="19">
        <v>6.045515949949574E20</v>
      </c>
      <c r="M1507" s="20">
        <v>6.045515949949574E19</v>
      </c>
    </row>
    <row r="1508">
      <c r="A1508" s="6"/>
      <c r="B1508" s="6"/>
      <c r="C1508" s="4"/>
      <c r="D1508" s="4">
        <v>48.3641275995966</v>
      </c>
      <c r="E1508" s="4" t="s">
        <v>2556</v>
      </c>
      <c r="F1508" s="4"/>
      <c r="G1508" s="4"/>
      <c r="H1508" s="4"/>
      <c r="I1508" s="4" t="str">
        <f>IFERROR(__xludf.DUMMYFUNCTION("""COMPUTED_VALUE"""),"0x84be3502400b60f1b53678b69b56bae200d17abd")</f>
        <v>0x84be3502400b60f1b53678b69b56bae200d17abd</v>
      </c>
      <c r="J1508" s="18">
        <v>48.2504305242593</v>
      </c>
      <c r="K1508" s="4">
        <v>603.1303815532413</v>
      </c>
      <c r="L1508" s="19">
        <v>6.031303815532413E20</v>
      </c>
      <c r="M1508" s="20">
        <v>6.031303815532413E19</v>
      </c>
    </row>
    <row r="1509">
      <c r="A1509" s="6"/>
      <c r="B1509" s="6"/>
      <c r="C1509" s="4"/>
      <c r="D1509" s="4">
        <v>0.5018259519970331</v>
      </c>
      <c r="E1509" s="4" t="s">
        <v>2557</v>
      </c>
      <c r="F1509" s="4"/>
      <c r="G1509" s="4"/>
      <c r="H1509" s="4"/>
      <c r="I1509" s="4" t="str">
        <f>IFERROR(__xludf.DUMMYFUNCTION("""COMPUTED_VALUE"""),"0x2532b981a2ff9903ffcf01cce4d0963977162872")</f>
        <v>0x2532b981a2ff9903ffcf01cce4d0963977162872</v>
      </c>
      <c r="J1509" s="18">
        <v>81.87112238392069</v>
      </c>
      <c r="K1509" s="4">
        <v>1023.3890297990087</v>
      </c>
      <c r="L1509" s="19">
        <v>1.0233890297990087E21</v>
      </c>
      <c r="M1509" s="20">
        <v>1.0233890297990087E20</v>
      </c>
    </row>
    <row r="1510">
      <c r="A1510" s="6"/>
      <c r="B1510" s="6"/>
      <c r="C1510" s="4"/>
      <c r="D1510" s="4">
        <v>13.875434881611302</v>
      </c>
      <c r="E1510" s="4" t="s">
        <v>2559</v>
      </c>
      <c r="F1510" s="4"/>
      <c r="G1510" s="4"/>
      <c r="H1510" s="4"/>
      <c r="I1510" s="4" t="str">
        <f>IFERROR(__xludf.DUMMYFUNCTION("""COMPUTED_VALUE"""),"0xa4ff1fa8b5560270c0de30c120d7a5008d78c6ad")</f>
        <v>0xa4ff1fa8b5560270c0de30c120d7a5008d78c6ad</v>
      </c>
      <c r="J1510" s="18">
        <v>48.3641275995966</v>
      </c>
      <c r="K1510" s="4">
        <v>604.5515949949574</v>
      </c>
      <c r="L1510" s="19">
        <v>6.045515949949574E20</v>
      </c>
      <c r="M1510" s="20">
        <v>6.045515949949574E19</v>
      </c>
    </row>
    <row r="1511">
      <c r="A1511" s="6"/>
      <c r="B1511" s="6"/>
      <c r="C1511" s="4"/>
      <c r="D1511" s="4">
        <v>11.667645179646799</v>
      </c>
      <c r="E1511" s="4" t="s">
        <v>2561</v>
      </c>
      <c r="F1511" s="4"/>
      <c r="G1511" s="4"/>
      <c r="H1511" s="4"/>
      <c r="I1511" s="4" t="str">
        <f>IFERROR(__xludf.DUMMYFUNCTION("""COMPUTED_VALUE"""),"0x8e5d46cfc3c8e215ad4680a645f6db40c797c2f8")</f>
        <v>0x8e5d46cfc3c8e215ad4680a645f6db40c797c2f8</v>
      </c>
      <c r="J1511" s="18">
        <v>83.5687015859608</v>
      </c>
      <c r="K1511" s="4">
        <v>1044.6087698245099</v>
      </c>
      <c r="L1511" s="19">
        <v>1.0446087698245099E21</v>
      </c>
      <c r="M1511" s="20">
        <v>1.04460876982451E20</v>
      </c>
    </row>
    <row r="1512">
      <c r="A1512" s="6"/>
      <c r="B1512" s="6"/>
      <c r="C1512" s="4"/>
      <c r="D1512" s="4">
        <v>2.58759082279335</v>
      </c>
      <c r="E1512" s="4" t="s">
        <v>602</v>
      </c>
      <c r="F1512" s="4"/>
      <c r="G1512" s="4"/>
      <c r="H1512" s="4"/>
      <c r="I1512" s="4" t="str">
        <f>IFERROR(__xludf.DUMMYFUNCTION("""COMPUTED_VALUE"""),"0x467d3e98cf04c636fc5222fa80d701d0a1a7158e")</f>
        <v>0x467d3e98cf04c636fc5222fa80d701d0a1a7158e</v>
      </c>
      <c r="J1512" s="18">
        <v>24.8317616944802</v>
      </c>
      <c r="K1512" s="4">
        <v>310.3970211810025</v>
      </c>
      <c r="L1512" s="19">
        <v>3.103970211810025E20</v>
      </c>
      <c r="M1512" s="20">
        <v>3.1039702118100255E19</v>
      </c>
    </row>
    <row r="1513">
      <c r="A1513" s="6"/>
      <c r="B1513" s="6"/>
      <c r="C1513" s="4"/>
      <c r="D1513" s="4">
        <v>9.672825519919328</v>
      </c>
      <c r="E1513" s="4" t="s">
        <v>2564</v>
      </c>
      <c r="F1513" s="4"/>
      <c r="G1513" s="4"/>
      <c r="H1513" s="4"/>
      <c r="I1513" s="4" t="str">
        <f>IFERROR(__xludf.DUMMYFUNCTION("""COMPUTED_VALUE"""),"0x4cf4bcb75608a09635315645853a69cb345ec170")</f>
        <v>0x4cf4bcb75608a09635315645853a69cb345ec170</v>
      </c>
      <c r="J1513" s="18">
        <v>48.2621968200593</v>
      </c>
      <c r="K1513" s="4">
        <v>603.2774602507412</v>
      </c>
      <c r="L1513" s="19">
        <v>6.032774602507412E20</v>
      </c>
      <c r="M1513" s="20">
        <v>6.032774602507412E19</v>
      </c>
    </row>
    <row r="1514">
      <c r="A1514" s="6"/>
      <c r="B1514" s="6"/>
      <c r="C1514" s="4"/>
      <c r="D1514" s="4">
        <v>48.3641275995966</v>
      </c>
      <c r="E1514" s="4" t="s">
        <v>2565</v>
      </c>
      <c r="F1514" s="4"/>
      <c r="G1514" s="4"/>
      <c r="H1514" s="4"/>
      <c r="I1514" s="4" t="str">
        <f>IFERROR(__xludf.DUMMYFUNCTION("""COMPUTED_VALUE"""),"0xf75157b11791ad307cac5bb60fa18b0ca95e7448")</f>
        <v>0xf75157b11791ad307cac5bb60fa18b0ca95e7448</v>
      </c>
      <c r="J1514" s="18">
        <v>9.838348603734481</v>
      </c>
      <c r="K1514" s="4">
        <v>122.97935754668102</v>
      </c>
      <c r="L1514" s="19">
        <v>1.22979357546681E20</v>
      </c>
      <c r="M1514" s="20">
        <v>1.2297935754668102E19</v>
      </c>
    </row>
    <row r="1515">
      <c r="A1515" s="6"/>
      <c r="B1515" s="6"/>
      <c r="C1515" s="4"/>
      <c r="D1515" s="4">
        <v>48.3641275995966</v>
      </c>
      <c r="E1515" s="4" t="s">
        <v>2566</v>
      </c>
      <c r="F1515" s="4"/>
      <c r="G1515" s="4"/>
      <c r="H1515" s="4"/>
      <c r="I1515" s="4" t="str">
        <f>IFERROR(__xludf.DUMMYFUNCTION("""COMPUTED_VALUE"""),"0x41e2ec54bd1df5bc50645d85e7564e56a3e74d35")</f>
        <v>0x41e2ec54bd1df5bc50645d85e7564e56a3e74d35</v>
      </c>
      <c r="J1515" s="18">
        <v>211.38252502779162</v>
      </c>
      <c r="K1515" s="4">
        <v>2642.281562847395</v>
      </c>
      <c r="L1515" s="19">
        <v>2.642281562847395E21</v>
      </c>
      <c r="M1515" s="20">
        <v>2.6422815628473952E20</v>
      </c>
    </row>
    <row r="1516">
      <c r="A1516" s="6"/>
      <c r="B1516" s="6"/>
      <c r="C1516" s="4"/>
      <c r="D1516" s="4">
        <v>48.3641275995966</v>
      </c>
      <c r="E1516" s="4" t="s">
        <v>2567</v>
      </c>
      <c r="F1516" s="4"/>
      <c r="G1516" s="4"/>
      <c r="H1516" s="4"/>
      <c r="I1516" s="4" t="str">
        <f>IFERROR(__xludf.DUMMYFUNCTION("""COMPUTED_VALUE"""),"0x5fda01c8976a0ae70602749804ef24066ca11624")</f>
        <v>0x5fda01c8976a0ae70602749804ef24066ca11624</v>
      </c>
      <c r="J1516" s="18">
        <v>113.9660214087459</v>
      </c>
      <c r="K1516" s="4">
        <v>1424.5752676093236</v>
      </c>
      <c r="L1516" s="19">
        <v>1.4245752676093238E21</v>
      </c>
      <c r="M1516" s="20">
        <v>1.4245752676093238E20</v>
      </c>
    </row>
    <row r="1517">
      <c r="A1517" s="6"/>
      <c r="B1517" s="6"/>
      <c r="C1517" s="4"/>
      <c r="D1517" s="4">
        <v>48.3641275995966</v>
      </c>
      <c r="E1517" s="4" t="s">
        <v>2568</v>
      </c>
      <c r="F1517" s="4"/>
      <c r="G1517" s="4"/>
      <c r="H1517" s="4"/>
      <c r="I1517" s="4" t="str">
        <f>IFERROR(__xludf.DUMMYFUNCTION("""COMPUTED_VALUE"""),"0xee08f563a923c07e99c82e058ac4155ce1486c9b")</f>
        <v>0xee08f563a923c07e99c82e058ac4155ce1486c9b</v>
      </c>
      <c r="J1517" s="18">
        <v>9.672825519919328</v>
      </c>
      <c r="K1517" s="4">
        <v>120.9103189989916</v>
      </c>
      <c r="L1517" s="19">
        <v>1.209103189989916E20</v>
      </c>
      <c r="M1517" s="20">
        <v>1.209103189989916E19</v>
      </c>
    </row>
    <row r="1518">
      <c r="A1518" s="6"/>
      <c r="B1518" s="6"/>
      <c r="C1518" s="4"/>
      <c r="D1518" s="4">
        <v>48.3641275995966</v>
      </c>
      <c r="E1518" s="4" t="s">
        <v>2569</v>
      </c>
      <c r="F1518" s="4"/>
      <c r="G1518" s="4"/>
      <c r="H1518" s="4"/>
      <c r="I1518" s="4" t="str">
        <f>IFERROR(__xludf.DUMMYFUNCTION("""COMPUTED_VALUE"""),"0x4669dfc7e5ad6da49d52b666c3c3a1bc43ea3050")</f>
        <v>0x4669dfc7e5ad6da49d52b666c3c3a1bc43ea3050</v>
      </c>
      <c r="J1518" s="18">
        <v>9.672825519919328</v>
      </c>
      <c r="K1518" s="4">
        <v>120.9103189989916</v>
      </c>
      <c r="L1518" s="19">
        <v>1.209103189989916E20</v>
      </c>
      <c r="M1518" s="20">
        <v>1.209103189989916E19</v>
      </c>
    </row>
    <row r="1519">
      <c r="A1519" s="6"/>
      <c r="B1519" s="6"/>
      <c r="C1519" s="4"/>
      <c r="D1519" s="4">
        <v>37.9002470421448</v>
      </c>
      <c r="E1519" s="4" t="s">
        <v>2570</v>
      </c>
      <c r="F1519" s="4"/>
      <c r="G1519" s="4"/>
      <c r="H1519" s="4"/>
      <c r="I1519" s="4" t="str">
        <f>IFERROR(__xludf.DUMMYFUNCTION("""COMPUTED_VALUE"""),"0x50414b85e1f59bee5639b2d0ff9ead3695079fde")</f>
        <v>0x50414b85e1f59bee5639b2d0ff9ead3695079fde</v>
      </c>
      <c r="J1519" s="18">
        <v>234.37608780709658</v>
      </c>
      <c r="K1519" s="4">
        <v>2929.7010975887074</v>
      </c>
      <c r="L1519" s="19">
        <v>2.9297010975887076E21</v>
      </c>
      <c r="M1519" s="20">
        <v>2.9297010975887078E20</v>
      </c>
    </row>
    <row r="1520">
      <c r="A1520" s="6"/>
      <c r="B1520" s="6"/>
      <c r="C1520" s="4"/>
      <c r="D1520" s="4">
        <v>47.2513516024829</v>
      </c>
      <c r="E1520" s="4" t="s">
        <v>2572</v>
      </c>
      <c r="F1520" s="4"/>
      <c r="G1520" s="4"/>
      <c r="H1520" s="4"/>
      <c r="I1520" s="4" t="str">
        <f>IFERROR(__xludf.DUMMYFUNCTION("""COMPUTED_VALUE"""),"0xe79b95b688bdc4b71b867b75010ab6ca48dc78fd")</f>
        <v>0xe79b95b688bdc4b71b867b75010ab6ca48dc78fd</v>
      </c>
      <c r="J1520" s="18">
        <v>19.4865804205762</v>
      </c>
      <c r="K1520" s="4">
        <v>243.5822552572025</v>
      </c>
      <c r="L1520" s="19">
        <v>2.435822552572025E20</v>
      </c>
      <c r="M1520" s="20">
        <v>2.4358225525720252E19</v>
      </c>
    </row>
    <row r="1521">
      <c r="A1521" s="6"/>
      <c r="B1521" s="6"/>
      <c r="C1521" s="4"/>
      <c r="D1521" s="4">
        <v>48.3641275995966</v>
      </c>
      <c r="E1521" s="4" t="s">
        <v>2574</v>
      </c>
      <c r="F1521" s="4"/>
      <c r="G1521" s="4"/>
      <c r="H1521" s="4"/>
      <c r="I1521" s="4" t="str">
        <f>IFERROR(__xludf.DUMMYFUNCTION("""COMPUTED_VALUE"""),"0x86cc888252ce7fb22de4ed65edec68763df2e066")</f>
        <v>0x86cc888252ce7fb22de4ed65edec68763df2e066</v>
      </c>
      <c r="J1521" s="18">
        <v>48.3641275995966</v>
      </c>
      <c r="K1521" s="4">
        <v>604.5515949949574</v>
      </c>
      <c r="L1521" s="19">
        <v>6.045515949949574E20</v>
      </c>
      <c r="M1521" s="20">
        <v>6.045515949949574E19</v>
      </c>
    </row>
    <row r="1522">
      <c r="A1522" s="6"/>
      <c r="B1522" s="6"/>
      <c r="C1522" s="4"/>
      <c r="D1522" s="4">
        <v>22.409018897916503</v>
      </c>
      <c r="E1522" s="4" t="s">
        <v>2575</v>
      </c>
      <c r="F1522" s="4"/>
      <c r="G1522" s="4"/>
      <c r="H1522" s="4"/>
      <c r="I1522" s="4" t="str">
        <f>IFERROR(__xludf.DUMMYFUNCTION("""COMPUTED_VALUE"""),"0xe98b5e19049a7a0672cba377d1940cede2fecc25")</f>
        <v>0xe98b5e19049a7a0672cba377d1940cede2fecc25</v>
      </c>
      <c r="J1522" s="18">
        <v>48.1288498667956</v>
      </c>
      <c r="K1522" s="4">
        <v>601.610623334945</v>
      </c>
      <c r="L1522" s="19">
        <v>6.01610623334945E20</v>
      </c>
      <c r="M1522" s="20">
        <v>6.01610623334945E19</v>
      </c>
    </row>
    <row r="1523">
      <c r="A1523" s="6"/>
      <c r="B1523" s="6"/>
      <c r="C1523" s="4"/>
      <c r="D1523" s="4">
        <v>48.3641275995966</v>
      </c>
      <c r="E1523" s="4" t="s">
        <v>986</v>
      </c>
      <c r="F1523" s="4"/>
      <c r="G1523" s="4"/>
      <c r="H1523" s="4"/>
      <c r="I1523" s="4" t="str">
        <f>IFERROR(__xludf.DUMMYFUNCTION("""COMPUTED_VALUE"""),"0xac34457d13cd6bd41be54ef3644e5be9ffe683e4")</f>
        <v>0xac34457d13cd6bd41be54ef3644e5be9ffe683e4</v>
      </c>
      <c r="J1523" s="18">
        <v>132.0695096929719</v>
      </c>
      <c r="K1523" s="4">
        <v>1650.8688711621487</v>
      </c>
      <c r="L1523" s="19">
        <v>1.6508688711621487E21</v>
      </c>
      <c r="M1523" s="20">
        <v>1.6508688711621486E20</v>
      </c>
    </row>
    <row r="1524">
      <c r="A1524" s="6"/>
      <c r="B1524" s="6"/>
      <c r="C1524" s="4"/>
      <c r="D1524" s="4">
        <v>19.9725646079007</v>
      </c>
      <c r="E1524" s="4" t="s">
        <v>2577</v>
      </c>
      <c r="F1524" s="4"/>
      <c r="G1524" s="4"/>
      <c r="H1524" s="4"/>
      <c r="I1524" s="4" t="str">
        <f>IFERROR(__xludf.DUMMYFUNCTION("""COMPUTED_VALUE"""),"0x6de9667144e3bb3912cb51fb294f49b3006dca45")</f>
        <v>0x6de9667144e3bb3912cb51fb294f49b3006dca45</v>
      </c>
      <c r="J1524" s="18">
        <v>19.3456510398386</v>
      </c>
      <c r="K1524" s="4">
        <v>241.8206379979825</v>
      </c>
      <c r="L1524" s="19">
        <v>2.4182063799798248E20</v>
      </c>
      <c r="M1524" s="20">
        <v>2.418206379979825E19</v>
      </c>
    </row>
    <row r="1525">
      <c r="A1525" s="6"/>
      <c r="B1525" s="6"/>
      <c r="C1525" s="4"/>
      <c r="D1525" s="4">
        <v>32.872915986053</v>
      </c>
      <c r="E1525" s="4" t="s">
        <v>2579</v>
      </c>
      <c r="F1525" s="4"/>
      <c r="G1525" s="4"/>
      <c r="H1525" s="4"/>
      <c r="I1525" s="4" t="str">
        <f>IFERROR(__xludf.DUMMYFUNCTION("""COMPUTED_VALUE"""),"0xded772005318e4d1d49a4651c481d8bf1c59efcd")</f>
        <v>0xded772005318e4d1d49a4651c481d8bf1c59efcd</v>
      </c>
      <c r="J1525" s="18">
        <v>2.08711973212509</v>
      </c>
      <c r="K1525" s="4">
        <v>26.088996651563622</v>
      </c>
      <c r="L1525" s="19">
        <v>2.6088996651563622E19</v>
      </c>
      <c r="M1525" s="20">
        <v>2.608899665156362E18</v>
      </c>
    </row>
    <row r="1526">
      <c r="A1526" s="6"/>
      <c r="B1526" s="6"/>
      <c r="C1526" s="4"/>
      <c r="D1526" s="4">
        <v>7.931716926333849</v>
      </c>
      <c r="E1526" s="4" t="s">
        <v>2581</v>
      </c>
      <c r="F1526" s="4"/>
      <c r="G1526" s="4"/>
      <c r="H1526" s="4"/>
      <c r="I1526" s="4" t="str">
        <f>IFERROR(__xludf.DUMMYFUNCTION("""COMPUTED_VALUE"""),"0x302d400df13b1c6e40f6bd9790cab3b54aa59362")</f>
        <v>0x302d400df13b1c6e40f6bd9790cab3b54aa59362</v>
      </c>
      <c r="J1526" s="18">
        <v>46.312716777027</v>
      </c>
      <c r="K1526" s="4">
        <v>578.9089597128375</v>
      </c>
      <c r="L1526" s="19">
        <v>5.789089597128375E20</v>
      </c>
      <c r="M1526" s="20">
        <v>5.7890895971283755E19</v>
      </c>
    </row>
    <row r="1527">
      <c r="A1527" s="6"/>
      <c r="B1527" s="6"/>
      <c r="C1527" s="4"/>
      <c r="D1527" s="4">
        <v>45.760919917032496</v>
      </c>
      <c r="E1527" s="4" t="s">
        <v>1621</v>
      </c>
      <c r="F1527" s="4"/>
      <c r="G1527" s="4"/>
      <c r="H1527" s="4"/>
      <c r="I1527" s="4" t="str">
        <f>IFERROR(__xludf.DUMMYFUNCTION("""COMPUTED_VALUE"""),"0x5c0d0605569f48a8e63e4c86d9e0520d3a708df4")</f>
        <v>0x5c0d0605569f48a8e63e4c86d9e0520d3a708df4</v>
      </c>
      <c r="J1527" s="18">
        <v>151.8058657174496</v>
      </c>
      <c r="K1527" s="4">
        <v>1897.57332146812</v>
      </c>
      <c r="L1527" s="19">
        <v>1.89757332146812E21</v>
      </c>
      <c r="M1527" s="20">
        <v>1.89757332146812E20</v>
      </c>
    </row>
    <row r="1528">
      <c r="A1528" s="6"/>
      <c r="B1528" s="6"/>
      <c r="C1528" s="4"/>
      <c r="D1528" s="4">
        <v>48.3641275995966</v>
      </c>
      <c r="E1528" s="4" t="s">
        <v>827</v>
      </c>
      <c r="F1528" s="4"/>
      <c r="G1528" s="4"/>
      <c r="H1528" s="4"/>
      <c r="I1528" s="4" t="str">
        <f>IFERROR(__xludf.DUMMYFUNCTION("""COMPUTED_VALUE"""),"0xbb402e420eca3160b6d102aa8e693e652cc5c4b6")</f>
        <v>0xbb402e420eca3160b6d102aa8e693e652cc5c4b6</v>
      </c>
      <c r="J1528" s="18">
        <v>16.75886002727982</v>
      </c>
      <c r="K1528" s="4">
        <v>209.48575034099775</v>
      </c>
      <c r="L1528" s="19">
        <v>2.0948575034099774E20</v>
      </c>
      <c r="M1528" s="20">
        <v>2.0948575034099773E19</v>
      </c>
    </row>
    <row r="1529">
      <c r="A1529" s="6"/>
      <c r="B1529" s="6"/>
      <c r="C1529" s="4"/>
      <c r="D1529" s="4">
        <v>48.3641275995966</v>
      </c>
      <c r="E1529" s="4" t="s">
        <v>2584</v>
      </c>
      <c r="F1529" s="4"/>
      <c r="G1529" s="4"/>
      <c r="H1529" s="4"/>
      <c r="I1529" s="4" t="str">
        <f>IFERROR(__xludf.DUMMYFUNCTION("""COMPUTED_VALUE"""),"0xc65fbc100a60c22519f2cf7fc7b6b44543c1d69f")</f>
        <v>0xc65fbc100a60c22519f2cf7fc7b6b44543c1d69f</v>
      </c>
      <c r="J1529" s="18">
        <v>17.392229876852</v>
      </c>
      <c r="K1529" s="4">
        <v>217.40287346065</v>
      </c>
      <c r="L1529" s="19">
        <v>2.1740287346065E20</v>
      </c>
      <c r="M1529" s="20">
        <v>2.1740287346065E19</v>
      </c>
    </row>
    <row r="1530">
      <c r="A1530" s="6"/>
      <c r="B1530" s="6"/>
      <c r="C1530" s="4"/>
      <c r="D1530" s="4">
        <v>19.3456510398386</v>
      </c>
      <c r="E1530" s="4" t="s">
        <v>2585</v>
      </c>
      <c r="F1530" s="4"/>
      <c r="G1530" s="4"/>
      <c r="H1530" s="4"/>
      <c r="I1530" s="4" t="str">
        <f>IFERROR(__xludf.DUMMYFUNCTION("""COMPUTED_VALUE"""),"0xbae4956e1b3d98e1a9418346b4782525a2f824f1")</f>
        <v>0xbae4956e1b3d98e1a9418346b4782525a2f824f1</v>
      </c>
      <c r="J1530" s="18">
        <v>14.9511122299094</v>
      </c>
      <c r="K1530" s="4">
        <v>186.8889028738675</v>
      </c>
      <c r="L1530" s="19">
        <v>1.868889028738675E20</v>
      </c>
      <c r="M1530" s="20">
        <v>1.868889028738675E19</v>
      </c>
    </row>
    <row r="1531">
      <c r="A1531" s="6"/>
      <c r="B1531" s="6"/>
      <c r="C1531" s="4"/>
      <c r="D1531" s="4">
        <v>48.3641275995966</v>
      </c>
      <c r="E1531" s="4" t="s">
        <v>35</v>
      </c>
      <c r="F1531" s="4"/>
      <c r="G1531" s="4"/>
      <c r="H1531" s="4"/>
      <c r="I1531" s="4" t="str">
        <f>IFERROR(__xludf.DUMMYFUNCTION("""COMPUTED_VALUE"""),"0x4409079b3c76d2eddaf7a29a771ea2c2d64fa007")</f>
        <v>0x4409079b3c76d2eddaf7a29a771ea2c2d64fa007</v>
      </c>
      <c r="J1531" s="18">
        <v>1.93456510398386</v>
      </c>
      <c r="K1531" s="4">
        <v>24.18206379979825</v>
      </c>
      <c r="L1531" s="19">
        <v>2.418206379979825E19</v>
      </c>
      <c r="M1531" s="20">
        <v>2.418206379979825E18</v>
      </c>
    </row>
    <row r="1532">
      <c r="A1532" s="6"/>
      <c r="B1532" s="6"/>
      <c r="C1532" s="4"/>
      <c r="D1532" s="4">
        <v>48.3641275995966</v>
      </c>
      <c r="E1532" s="4" t="s">
        <v>2586</v>
      </c>
      <c r="F1532" s="4"/>
      <c r="G1532" s="4"/>
      <c r="H1532" s="4"/>
      <c r="I1532" s="4" t="str">
        <f>IFERROR(__xludf.DUMMYFUNCTION("""COMPUTED_VALUE"""),"0x71f77988f7b990bd1d4ea914a21f43684360b7e0")</f>
        <v>0x71f77988f7b990bd1d4ea914a21f43684360b7e0</v>
      </c>
      <c r="J1532" s="18">
        <v>6.19410858351296</v>
      </c>
      <c r="K1532" s="4">
        <v>77.42635729391199</v>
      </c>
      <c r="L1532" s="19">
        <v>7.7426357293912E19</v>
      </c>
      <c r="M1532" s="20">
        <v>7.7426357293912E18</v>
      </c>
    </row>
    <row r="1533">
      <c r="A1533" s="6"/>
      <c r="B1533" s="6"/>
      <c r="C1533" s="4"/>
      <c r="D1533" s="4">
        <v>29.9886660502391</v>
      </c>
      <c r="E1533" s="4" t="s">
        <v>620</v>
      </c>
      <c r="F1533" s="4"/>
      <c r="G1533" s="4"/>
      <c r="H1533" s="4"/>
      <c r="I1533" s="4" t="str">
        <f>IFERROR(__xludf.DUMMYFUNCTION("""COMPUTED_VALUE"""),"0xd5a842845eae69021bb0d2bfedb078c3cadc01e4")</f>
        <v>0xd5a842845eae69021bb0d2bfedb078c3cadc01e4</v>
      </c>
      <c r="J1533" s="18">
        <v>28.4416176329244</v>
      </c>
      <c r="K1533" s="4">
        <v>355.520220411555</v>
      </c>
      <c r="L1533" s="19">
        <v>3.5552022041155496E20</v>
      </c>
      <c r="M1533" s="20">
        <v>3.55520220411555E19</v>
      </c>
    </row>
    <row r="1534">
      <c r="A1534" s="6"/>
      <c r="B1534" s="6"/>
      <c r="C1534" s="4"/>
      <c r="D1534" s="4">
        <v>48.3641275995966</v>
      </c>
      <c r="E1534" s="4" t="s">
        <v>2588</v>
      </c>
      <c r="F1534" s="4"/>
      <c r="G1534" s="4"/>
      <c r="H1534" s="4"/>
      <c r="I1534" s="4" t="str">
        <f>IFERROR(__xludf.DUMMYFUNCTION("""COMPUTED_VALUE"""),"0xc0f65175331165c27823d5fc0afa522f6d832702")</f>
        <v>0xc0f65175331165c27823d5fc0afa522f6d832702</v>
      </c>
      <c r="J1534" s="18">
        <v>5.2256638076366</v>
      </c>
      <c r="K1534" s="4">
        <v>65.3207975954575</v>
      </c>
      <c r="L1534" s="19">
        <v>6.53207975954575E19</v>
      </c>
      <c r="M1534" s="20">
        <v>6.532079759545751E18</v>
      </c>
    </row>
    <row r="1535">
      <c r="A1535" s="6"/>
      <c r="B1535" s="6"/>
      <c r="C1535" s="4"/>
      <c r="D1535" s="4">
        <v>19.3456510398386</v>
      </c>
      <c r="E1535" s="4" t="s">
        <v>2589</v>
      </c>
      <c r="F1535" s="4"/>
      <c r="G1535" s="4"/>
      <c r="H1535" s="4"/>
      <c r="I1535" s="4" t="str">
        <f>IFERROR(__xludf.DUMMYFUNCTION("""COMPUTED_VALUE"""),"0x392b37ee6ad343132c817feca267cfd49c5da7ed")</f>
        <v>0x392b37ee6ad343132c817feca267cfd49c5da7ed</v>
      </c>
      <c r="J1535" s="18">
        <v>9.65116434800034</v>
      </c>
      <c r="K1535" s="4">
        <v>120.63955435000423</v>
      </c>
      <c r="L1535" s="19">
        <v>1.2063955435000424E20</v>
      </c>
      <c r="M1535" s="20">
        <v>1.2063955435000424E19</v>
      </c>
    </row>
    <row r="1536">
      <c r="A1536" s="6"/>
      <c r="B1536" s="6"/>
      <c r="C1536" s="4"/>
      <c r="D1536" s="4">
        <v>9.82093975570354</v>
      </c>
      <c r="E1536" s="4" t="s">
        <v>2590</v>
      </c>
      <c r="F1536" s="4"/>
      <c r="G1536" s="4"/>
      <c r="H1536" s="4"/>
      <c r="I1536" s="4" t="str">
        <f>IFERROR(__xludf.DUMMYFUNCTION("""COMPUTED_VALUE"""),"0xe6319efb6655edbb0c9437c8f77e90c8ebc3a0c0")</f>
        <v>0xe6319efb6655edbb0c9437c8f77e90c8ebc3a0c0</v>
      </c>
      <c r="J1536" s="18">
        <v>187.8730977552216</v>
      </c>
      <c r="K1536" s="4">
        <v>2348.41372194027</v>
      </c>
      <c r="L1536" s="19">
        <v>2.34841372194027E21</v>
      </c>
      <c r="M1536" s="20">
        <v>2.34841372194027E20</v>
      </c>
    </row>
    <row r="1537">
      <c r="A1537" s="6"/>
      <c r="B1537" s="6"/>
      <c r="C1537" s="4"/>
      <c r="D1537" s="4">
        <v>48.3641275995966</v>
      </c>
      <c r="E1537" s="4" t="s">
        <v>2592</v>
      </c>
      <c r="F1537" s="4"/>
      <c r="G1537" s="4"/>
      <c r="H1537" s="4"/>
      <c r="I1537" s="4" t="str">
        <f>IFERROR(__xludf.DUMMYFUNCTION("""COMPUTED_VALUE"""),"0xc25032f12a8774347d84ec5d40270f73aef4e0b0")</f>
        <v>0xc25032f12a8774347d84ec5d40270f73aef4e0b0</v>
      </c>
      <c r="J1537" s="18">
        <v>48.3641275995966</v>
      </c>
      <c r="K1537" s="4">
        <v>604.5515949949574</v>
      </c>
      <c r="L1537" s="19">
        <v>6.045515949949574E20</v>
      </c>
      <c r="M1537" s="20">
        <v>6.045515949949574E19</v>
      </c>
    </row>
    <row r="1538">
      <c r="A1538" s="6"/>
      <c r="B1538" s="6"/>
      <c r="C1538" s="4"/>
      <c r="D1538" s="4">
        <v>41.029913826441394</v>
      </c>
      <c r="E1538" s="4" t="s">
        <v>2593</v>
      </c>
      <c r="F1538" s="4"/>
      <c r="G1538" s="4"/>
      <c r="H1538" s="4"/>
      <c r="I1538" s="4" t="str">
        <f>IFERROR(__xludf.DUMMYFUNCTION("""COMPUTED_VALUE"""),"0x496a239bdc7fd17260f254130162d4b9f8b41cdd")</f>
        <v>0x496a239bdc7fd17260f254130162d4b9f8b41cdd</v>
      </c>
      <c r="J1538" s="18">
        <v>48.3641275995966</v>
      </c>
      <c r="K1538" s="4">
        <v>604.5515949949574</v>
      </c>
      <c r="L1538" s="19">
        <v>6.045515949949574E20</v>
      </c>
      <c r="M1538" s="20">
        <v>6.045515949949574E19</v>
      </c>
    </row>
    <row r="1539">
      <c r="A1539" s="6"/>
      <c r="B1539" s="6"/>
      <c r="C1539" s="4"/>
      <c r="D1539" s="4">
        <v>40.3040391594071</v>
      </c>
      <c r="E1539" s="4" t="s">
        <v>2595</v>
      </c>
      <c r="F1539" s="4"/>
      <c r="G1539" s="4"/>
      <c r="H1539" s="4"/>
      <c r="I1539" s="4" t="str">
        <f>IFERROR(__xludf.DUMMYFUNCTION("""COMPUTED_VALUE"""),"0x6787978f06d6efebc5ef7bd2bf90b28ee5a1cf49")</f>
        <v>0x6787978f06d6efebc5ef7bd2bf90b28ee5a1cf49</v>
      </c>
      <c r="J1539" s="18">
        <v>8.35444817618457</v>
      </c>
      <c r="K1539" s="4">
        <v>104.43060220230713</v>
      </c>
      <c r="L1539" s="19">
        <v>1.0443060220230713E20</v>
      </c>
      <c r="M1539" s="20">
        <v>1.0443060220230713E19</v>
      </c>
    </row>
    <row r="1540">
      <c r="A1540" s="6"/>
      <c r="B1540" s="6"/>
      <c r="C1540" s="4"/>
      <c r="D1540" s="4">
        <v>16.8137381681864</v>
      </c>
      <c r="E1540" s="4" t="s">
        <v>2597</v>
      </c>
      <c r="F1540" s="4"/>
      <c r="G1540" s="4"/>
      <c r="H1540" s="4"/>
      <c r="I1540" s="4" t="str">
        <f>IFERROR(__xludf.DUMMYFUNCTION("""COMPUTED_VALUE"""),"0xa0af5d02faff1b61a9bdd27919506b4259e3e746")</f>
        <v>0xa0af5d02faff1b61a9bdd27919506b4259e3e746</v>
      </c>
      <c r="J1540" s="18">
        <v>43.6354254513566</v>
      </c>
      <c r="K1540" s="4">
        <v>545.4428181419576</v>
      </c>
      <c r="L1540" s="19">
        <v>5.454428181419576E20</v>
      </c>
      <c r="M1540" s="20">
        <v>5.4544281814195765E19</v>
      </c>
    </row>
    <row r="1541">
      <c r="A1541" s="6"/>
      <c r="B1541" s="6"/>
      <c r="C1541" s="4"/>
      <c r="D1541" s="4">
        <v>3.75171194593841</v>
      </c>
      <c r="E1541" s="4" t="s">
        <v>2599</v>
      </c>
      <c r="F1541" s="4"/>
      <c r="G1541" s="4"/>
      <c r="H1541" s="4"/>
      <c r="I1541" s="4" t="str">
        <f>IFERROR(__xludf.DUMMYFUNCTION("""COMPUTED_VALUE"""),"0x531dbe62658b4240e0fe602b2006bcbed10b256b")</f>
        <v>0x531dbe62658b4240e0fe602b2006bcbed10b256b</v>
      </c>
      <c r="J1541" s="18">
        <v>48.3641275995966</v>
      </c>
      <c r="K1541" s="4">
        <v>604.5515949949574</v>
      </c>
      <c r="L1541" s="19">
        <v>6.045515949949574E20</v>
      </c>
      <c r="M1541" s="20">
        <v>6.045515949949574E19</v>
      </c>
    </row>
    <row r="1542">
      <c r="A1542" s="6"/>
      <c r="B1542" s="6"/>
      <c r="C1542" s="4"/>
      <c r="D1542" s="4">
        <v>5.0515745232778</v>
      </c>
      <c r="E1542" s="4" t="s">
        <v>2601</v>
      </c>
      <c r="F1542" s="4"/>
      <c r="G1542" s="4"/>
      <c r="H1542" s="4"/>
      <c r="I1542" s="4" t="str">
        <f>IFERROR(__xludf.DUMMYFUNCTION("""COMPUTED_VALUE"""),"0x4b2f6d3a23badb60c8405d50289ef3dab9109936")</f>
        <v>0x4b2f6d3a23badb60c8405d50289ef3dab9109936</v>
      </c>
      <c r="J1542" s="18">
        <v>48.3641275995966</v>
      </c>
      <c r="K1542" s="4">
        <v>604.5515949949574</v>
      </c>
      <c r="L1542" s="19">
        <v>6.045515949949574E20</v>
      </c>
      <c r="M1542" s="20">
        <v>6.045515949949574E19</v>
      </c>
    </row>
    <row r="1543">
      <c r="A1543" s="6"/>
      <c r="B1543" s="6"/>
      <c r="C1543" s="4"/>
      <c r="D1543" s="4">
        <v>48.3641275995966</v>
      </c>
      <c r="E1543" s="4" t="s">
        <v>2603</v>
      </c>
      <c r="F1543" s="4"/>
      <c r="G1543" s="4"/>
      <c r="H1543" s="4"/>
      <c r="I1543" s="4" t="str">
        <f>IFERROR(__xludf.DUMMYFUNCTION("""COMPUTED_VALUE"""),"0x0bd617316a8878ed69c2323982dbb7b9cb76702e")</f>
        <v>0x0bd617316a8878ed69c2323982dbb7b9cb76702e</v>
      </c>
      <c r="J1543" s="18">
        <v>17.9529014224376</v>
      </c>
      <c r="K1543" s="4">
        <v>224.41126778046998</v>
      </c>
      <c r="L1543" s="19">
        <v>2.2441126778046998E20</v>
      </c>
      <c r="M1543" s="20">
        <v>2.2441126778047E19</v>
      </c>
    </row>
    <row r="1544">
      <c r="A1544" s="6"/>
      <c r="B1544" s="6"/>
      <c r="C1544" s="4"/>
      <c r="D1544" s="4">
        <v>28.5118029581222</v>
      </c>
      <c r="E1544" s="4" t="s">
        <v>2604</v>
      </c>
      <c r="F1544" s="4"/>
      <c r="G1544" s="4"/>
      <c r="H1544" s="4"/>
      <c r="I1544" s="4" t="str">
        <f>IFERROR(__xludf.DUMMYFUNCTION("""COMPUTED_VALUE"""),"0x1c1e2432a546debd7a8b860099bc984b93902a31")</f>
        <v>0x1c1e2432a546debd7a8b860099bc984b93902a31</v>
      </c>
      <c r="J1544" s="18">
        <v>10.919457993821</v>
      </c>
      <c r="K1544" s="4">
        <v>136.4932249227625</v>
      </c>
      <c r="L1544" s="19">
        <v>1.364932249227625E20</v>
      </c>
      <c r="M1544" s="20">
        <v>1.364932249227625E19</v>
      </c>
    </row>
    <row r="1545">
      <c r="A1545" s="6"/>
      <c r="B1545" s="6"/>
      <c r="C1545" s="4"/>
      <c r="D1545" s="4">
        <v>48.3641275995966</v>
      </c>
      <c r="E1545" s="4" t="s">
        <v>2606</v>
      </c>
      <c r="F1545" s="4"/>
      <c r="G1545" s="4"/>
      <c r="H1545" s="4"/>
      <c r="I1545" s="4" t="str">
        <f>IFERROR(__xludf.DUMMYFUNCTION("""COMPUTED_VALUE"""),"0xc2988b57f0cd2ed1e1c87fd6abfabbc651ab7a1b")</f>
        <v>0xc2988b57f0cd2ed1e1c87fd6abfabbc651ab7a1b</v>
      </c>
      <c r="J1545" s="18">
        <v>47.883077857242604</v>
      </c>
      <c r="K1545" s="4">
        <v>598.5384732155326</v>
      </c>
      <c r="L1545" s="19">
        <v>5.985384732155326E20</v>
      </c>
      <c r="M1545" s="20">
        <v>5.9853847321553265E19</v>
      </c>
    </row>
    <row r="1546">
      <c r="A1546" s="6"/>
      <c r="B1546" s="6"/>
      <c r="C1546" s="4"/>
      <c r="D1546" s="4">
        <v>48.3641275995966</v>
      </c>
      <c r="E1546" s="4" t="s">
        <v>2607</v>
      </c>
      <c r="F1546" s="4"/>
      <c r="G1546" s="4"/>
      <c r="H1546" s="4"/>
      <c r="I1546" s="4" t="str">
        <f>IFERROR(__xludf.DUMMYFUNCTION("""COMPUTED_VALUE"""),"0x8166e6476afe22d9b316a48b1a4d39dd51d08643")</f>
        <v>0x8166e6476afe22d9b316a48b1a4d39dd51d08643</v>
      </c>
      <c r="J1546" s="18">
        <v>183.4853508597929</v>
      </c>
      <c r="K1546" s="4">
        <v>2293.566885747411</v>
      </c>
      <c r="L1546" s="19">
        <v>2.293566885747411E21</v>
      </c>
      <c r="M1546" s="20">
        <v>2.2935668857474112E20</v>
      </c>
    </row>
    <row r="1547">
      <c r="A1547" s="6"/>
      <c r="B1547" s="6"/>
      <c r="C1547" s="4"/>
      <c r="D1547" s="4">
        <v>48.3641275995966</v>
      </c>
      <c r="E1547" s="4" t="s">
        <v>2608</v>
      </c>
      <c r="F1547" s="4"/>
      <c r="G1547" s="4"/>
      <c r="H1547" s="4"/>
      <c r="I1547" s="4" t="str">
        <f>IFERROR(__xludf.DUMMYFUNCTION("""COMPUTED_VALUE"""),"0x36551725a6899b5dcdaa3d71d0536f54b330e728")</f>
        <v>0x36551725a6899b5dcdaa3d71d0536f54b330e728</v>
      </c>
      <c r="J1547" s="18">
        <v>9.86628203031772</v>
      </c>
      <c r="K1547" s="4">
        <v>123.32852537897149</v>
      </c>
      <c r="L1547" s="19">
        <v>1.2332852537897148E20</v>
      </c>
      <c r="M1547" s="20">
        <v>1.2332852537897148E19</v>
      </c>
    </row>
    <row r="1548">
      <c r="A1548" s="6"/>
      <c r="B1548" s="6"/>
      <c r="C1548" s="4"/>
      <c r="D1548" s="4">
        <v>14.5728922207238</v>
      </c>
      <c r="E1548" s="4" t="s">
        <v>2609</v>
      </c>
      <c r="F1548" s="4"/>
      <c r="G1548" s="4"/>
      <c r="H1548" s="4"/>
      <c r="I1548" s="4" t="str">
        <f>IFERROR(__xludf.DUMMYFUNCTION("""COMPUTED_VALUE"""),"0x0ad610169ee1410c37e055b91bdc6127e7656a45")</f>
        <v>0x0ad610169ee1410c37e055b91bdc6127e7656a45</v>
      </c>
      <c r="J1548" s="18">
        <v>9.672825519919328</v>
      </c>
      <c r="K1548" s="4">
        <v>120.9103189989916</v>
      </c>
      <c r="L1548" s="19">
        <v>1.209103189989916E20</v>
      </c>
      <c r="M1548" s="20">
        <v>1.209103189989916E19</v>
      </c>
    </row>
    <row r="1549">
      <c r="A1549" s="6"/>
      <c r="B1549" s="6"/>
      <c r="C1549" s="4"/>
      <c r="D1549" s="4">
        <v>46.386036533887804</v>
      </c>
      <c r="E1549" s="4" t="s">
        <v>2611</v>
      </c>
      <c r="F1549" s="4"/>
      <c r="G1549" s="4"/>
      <c r="H1549" s="4"/>
      <c r="I1549" s="4" t="str">
        <f>IFERROR(__xludf.DUMMYFUNCTION("""COMPUTED_VALUE"""),"0xda753dbef318b6b0b17f289f8194274aa53b46dd")</f>
        <v>0xda753dbef318b6b0b17f289f8194274aa53b46dd</v>
      </c>
      <c r="J1549" s="18">
        <v>47.9201604066137</v>
      </c>
      <c r="K1549" s="4">
        <v>599.0020050826712</v>
      </c>
      <c r="L1549" s="19">
        <v>5.990020050826712E20</v>
      </c>
      <c r="M1549" s="20">
        <v>5.990020050826712E19</v>
      </c>
    </row>
    <row r="1550">
      <c r="A1550" s="6"/>
      <c r="B1550" s="6"/>
      <c r="C1550" s="4"/>
      <c r="D1550" s="4">
        <v>13.6891104612021</v>
      </c>
      <c r="E1550" s="4" t="s">
        <v>2613</v>
      </c>
      <c r="F1550" s="4"/>
      <c r="G1550" s="4"/>
      <c r="H1550" s="4"/>
      <c r="I1550" s="4" t="str">
        <f>IFERROR(__xludf.DUMMYFUNCTION("""COMPUTED_VALUE"""),"0xb35e4d04c0e521a6696e5d6a0a7146de0874fece")</f>
        <v>0xb35e4d04c0e521a6696e5d6a0a7146de0874fece</v>
      </c>
      <c r="J1550" s="18">
        <v>0.633028146624974</v>
      </c>
      <c r="K1550" s="4">
        <v>7.912851832812175</v>
      </c>
      <c r="L1550" s="19">
        <v>7.912851832812174E18</v>
      </c>
      <c r="M1550" s="20">
        <v>7.912851832812175E17</v>
      </c>
    </row>
    <row r="1551">
      <c r="A1551" s="6"/>
      <c r="B1551" s="6"/>
      <c r="C1551" s="4"/>
      <c r="D1551" s="4">
        <v>38.333843689074996</v>
      </c>
      <c r="E1551" s="4" t="s">
        <v>2615</v>
      </c>
      <c r="F1551" s="4"/>
      <c r="G1551" s="4"/>
      <c r="H1551" s="4"/>
      <c r="I1551" s="4" t="str">
        <f>IFERROR(__xludf.DUMMYFUNCTION("""COMPUTED_VALUE"""),"0x5a427223d38c1bf40262b8ab7d25c4506e7bf1b3")</f>
        <v>0x5a427223d38c1bf40262b8ab7d25c4506e7bf1b3</v>
      </c>
      <c r="J1551" s="18">
        <v>234.37608780709658</v>
      </c>
      <c r="K1551" s="4">
        <v>2929.7010975887074</v>
      </c>
      <c r="L1551" s="19">
        <v>2.9297010975887076E21</v>
      </c>
      <c r="M1551" s="20">
        <v>2.9297010975887078E20</v>
      </c>
    </row>
    <row r="1552">
      <c r="A1552" s="6"/>
      <c r="B1552" s="6"/>
      <c r="C1552" s="4"/>
      <c r="D1552" s="4">
        <v>48.3641275995966</v>
      </c>
      <c r="E1552" s="4" t="s">
        <v>2617</v>
      </c>
      <c r="F1552" s="4"/>
      <c r="G1552" s="4"/>
      <c r="H1552" s="4"/>
      <c r="I1552" s="4" t="str">
        <f>IFERROR(__xludf.DUMMYFUNCTION("""COMPUTED_VALUE"""),"0x3dd64531bc2a5f8f452003794b129f84b977718a")</f>
        <v>0x3dd64531bc2a5f8f452003794b129f84b977718a</v>
      </c>
      <c r="J1552" s="18">
        <v>48.3641275995966</v>
      </c>
      <c r="K1552" s="4">
        <v>604.5515949949574</v>
      </c>
      <c r="L1552" s="19">
        <v>6.045515949949574E20</v>
      </c>
      <c r="M1552" s="20">
        <v>6.045515949949574E19</v>
      </c>
    </row>
    <row r="1553">
      <c r="A1553" s="6"/>
      <c r="B1553" s="6"/>
      <c r="C1553" s="4"/>
      <c r="D1553" s="4">
        <v>25.472660970591303</v>
      </c>
      <c r="E1553" s="4" t="s">
        <v>2618</v>
      </c>
      <c r="F1553" s="4"/>
      <c r="G1553" s="4"/>
      <c r="H1553" s="4"/>
      <c r="I1553" s="4" t="str">
        <f>IFERROR(__xludf.DUMMYFUNCTION("""COMPUTED_VALUE"""),"0x3adbab7cd849abad03e3d27feb514adcab6cd5e3")</f>
        <v>0x3adbab7cd849abad03e3d27feb514adcab6cd5e3</v>
      </c>
      <c r="J1553" s="18">
        <v>45.429193723344895</v>
      </c>
      <c r="K1553" s="4">
        <v>567.8649215418112</v>
      </c>
      <c r="L1553" s="19">
        <v>5.6786492154181124E20</v>
      </c>
      <c r="M1553" s="20">
        <v>5.678649215418112E19</v>
      </c>
    </row>
    <row r="1554">
      <c r="A1554" s="6"/>
      <c r="B1554" s="6"/>
      <c r="C1554" s="4"/>
      <c r="D1554" s="4">
        <v>48.3641275995966</v>
      </c>
      <c r="E1554" s="4" t="s">
        <v>542</v>
      </c>
      <c r="F1554" s="4"/>
      <c r="G1554" s="4"/>
      <c r="H1554" s="4"/>
      <c r="I1554" s="4" t="str">
        <f>IFERROR(__xludf.DUMMYFUNCTION("""COMPUTED_VALUE"""),"0x450762ccc88e437631b0438ada5d0500ad5d9d09")</f>
        <v>0x450762ccc88e437631b0438ada5d0500ad5d9d09</v>
      </c>
      <c r="J1554" s="18">
        <v>57.66472560997164</v>
      </c>
      <c r="K1554" s="4">
        <v>720.8090701246455</v>
      </c>
      <c r="L1554" s="19">
        <v>7.208090701246455E20</v>
      </c>
      <c r="M1554" s="20">
        <v>7.208090701246455E19</v>
      </c>
    </row>
    <row r="1555">
      <c r="A1555" s="6"/>
      <c r="B1555" s="6"/>
      <c r="C1555" s="4"/>
      <c r="D1555" s="4">
        <v>48.3641275995966</v>
      </c>
      <c r="E1555" s="4" t="s">
        <v>2620</v>
      </c>
      <c r="F1555" s="4"/>
      <c r="G1555" s="4"/>
      <c r="H1555" s="4"/>
      <c r="I1555" s="4" t="str">
        <f>IFERROR(__xludf.DUMMYFUNCTION("""COMPUTED_VALUE"""),"0x54b7f3583f834f58f6ac268dc93910748f65b355")</f>
        <v>0x54b7f3583f834f58f6ac268dc93910748f65b355</v>
      </c>
      <c r="J1555" s="18">
        <v>24.6270137737146</v>
      </c>
      <c r="K1555" s="4">
        <v>307.83767217143253</v>
      </c>
      <c r="L1555" s="19">
        <v>3.078376721714325E20</v>
      </c>
      <c r="M1555" s="20">
        <v>3.078376721714325E19</v>
      </c>
    </row>
    <row r="1556">
      <c r="A1556" s="6"/>
      <c r="B1556" s="6"/>
      <c r="C1556" s="4"/>
      <c r="D1556" s="4">
        <v>9.67290919353575</v>
      </c>
      <c r="E1556" s="4" t="s">
        <v>2621</v>
      </c>
      <c r="F1556" s="4"/>
      <c r="G1556" s="4"/>
      <c r="H1556" s="4"/>
      <c r="I1556" s="4" t="str">
        <f>IFERROR(__xludf.DUMMYFUNCTION("""COMPUTED_VALUE"""),"0x70fdb2bf81abe1f3198d0025c93abd26232b86a3")</f>
        <v>0x70fdb2bf81abe1f3198d0025c93abd26232b86a3</v>
      </c>
      <c r="J1556" s="18">
        <v>57.99551386110125</v>
      </c>
      <c r="K1556" s="4">
        <v>724.9439232637657</v>
      </c>
      <c r="L1556" s="19">
        <v>7.249439232637656E20</v>
      </c>
      <c r="M1556" s="20">
        <v>7.249439232637656E19</v>
      </c>
    </row>
    <row r="1557">
      <c r="A1557" s="6"/>
      <c r="B1557" s="6"/>
      <c r="C1557" s="4"/>
      <c r="D1557" s="4">
        <v>10.715079431609999</v>
      </c>
      <c r="E1557" s="4" t="s">
        <v>2623</v>
      </c>
      <c r="F1557" s="4"/>
      <c r="G1557" s="4"/>
      <c r="H1557" s="4"/>
      <c r="I1557" s="4" t="str">
        <f>IFERROR(__xludf.DUMMYFUNCTION("""COMPUTED_VALUE"""),"0xecc23ecc7364c3883f3d3539882031e281226685")</f>
        <v>0xecc23ecc7364c3883f3d3539882031e281226685</v>
      </c>
      <c r="J1557" s="18">
        <v>48.3641275995966</v>
      </c>
      <c r="K1557" s="4">
        <v>604.5515949949574</v>
      </c>
      <c r="L1557" s="19">
        <v>6.045515949949574E20</v>
      </c>
      <c r="M1557" s="20">
        <v>6.045515949949574E19</v>
      </c>
    </row>
    <row r="1558">
      <c r="A1558" s="6"/>
      <c r="B1558" s="6"/>
      <c r="C1558" s="4"/>
      <c r="D1558" s="4">
        <v>22.2277290214213</v>
      </c>
      <c r="E1558" s="4" t="s">
        <v>2625</v>
      </c>
      <c r="F1558" s="4"/>
      <c r="G1558" s="4"/>
      <c r="H1558" s="4"/>
      <c r="I1558" s="4" t="str">
        <f>IFERROR(__xludf.DUMMYFUNCTION("""COMPUTED_VALUE"""),"0xfa4d29122bb4409a7a9a5b25e809f9fefcb3248f")</f>
        <v>0xfa4d29122bb4409a7a9a5b25e809f9fefcb3248f</v>
      </c>
      <c r="J1558" s="18">
        <v>48.3641275995966</v>
      </c>
      <c r="K1558" s="4">
        <v>604.5515949949574</v>
      </c>
      <c r="L1558" s="19">
        <v>6.045515949949574E20</v>
      </c>
      <c r="M1558" s="20">
        <v>6.045515949949574E19</v>
      </c>
    </row>
    <row r="1559">
      <c r="A1559" s="6"/>
      <c r="B1559" s="6"/>
      <c r="C1559" s="4"/>
      <c r="D1559" s="4">
        <v>48.3641275995966</v>
      </c>
      <c r="E1559" s="4" t="s">
        <v>734</v>
      </c>
      <c r="F1559" s="4"/>
      <c r="G1559" s="4"/>
      <c r="H1559" s="4"/>
      <c r="I1559" s="4" t="str">
        <f>IFERROR(__xludf.DUMMYFUNCTION("""COMPUTED_VALUE"""),"0x903435bb40a3955aba055488321d0016525f1c2b")</f>
        <v>0x903435bb40a3955aba055488321d0016525f1c2b</v>
      </c>
      <c r="J1559" s="18">
        <v>48.3641275995966</v>
      </c>
      <c r="K1559" s="4">
        <v>604.5515949949574</v>
      </c>
      <c r="L1559" s="19">
        <v>6.045515949949574E20</v>
      </c>
      <c r="M1559" s="20">
        <v>6.045515949949574E19</v>
      </c>
    </row>
    <row r="1560">
      <c r="A1560" s="6"/>
      <c r="B1560" s="6"/>
      <c r="C1560" s="4"/>
      <c r="D1560" s="4">
        <v>13.098227640380001</v>
      </c>
      <c r="E1560" s="4" t="s">
        <v>2627</v>
      </c>
      <c r="F1560" s="4"/>
      <c r="G1560" s="4"/>
      <c r="H1560" s="4"/>
      <c r="I1560" s="4" t="str">
        <f>IFERROR(__xludf.DUMMYFUNCTION("""COMPUTED_VALUE"""),"0xd049a090c3e1a8030b9ee9a326d54d67843e4870")</f>
        <v>0xd049a090c3e1a8030b9ee9a326d54d67843e4870</v>
      </c>
      <c r="J1560" s="18">
        <v>43.56379069566481</v>
      </c>
      <c r="K1560" s="4">
        <v>544.54738369581</v>
      </c>
      <c r="L1560" s="19">
        <v>5.4454738369581004E20</v>
      </c>
      <c r="M1560" s="20">
        <v>5.445473836958101E19</v>
      </c>
    </row>
    <row r="1561">
      <c r="A1561" s="6"/>
      <c r="B1561" s="6"/>
      <c r="C1561" s="4"/>
      <c r="D1561" s="4">
        <v>48.3641275995966</v>
      </c>
      <c r="E1561" s="4" t="s">
        <v>2629</v>
      </c>
      <c r="F1561" s="4"/>
      <c r="G1561" s="4"/>
      <c r="H1561" s="4"/>
      <c r="I1561" s="4" t="str">
        <f>IFERROR(__xludf.DUMMYFUNCTION("""COMPUTED_VALUE"""),"0xe68734e04786a1a89d0349f3a84b8fd24cda1445")</f>
        <v>0xe68734e04786a1a89d0349f3a84b8fd24cda1445</v>
      </c>
      <c r="J1561" s="18">
        <v>9.687776407805059</v>
      </c>
      <c r="K1561" s="4">
        <v>121.09720509756323</v>
      </c>
      <c r="L1561" s="19">
        <v>1.2109720509756323E20</v>
      </c>
      <c r="M1561" s="20">
        <v>1.2109720509756324E19</v>
      </c>
    </row>
    <row r="1562">
      <c r="A1562" s="6"/>
      <c r="B1562" s="6"/>
      <c r="C1562" s="4"/>
      <c r="D1562" s="4">
        <v>22.5992430375798</v>
      </c>
      <c r="E1562" s="4" t="s">
        <v>2630</v>
      </c>
      <c r="F1562" s="4"/>
      <c r="G1562" s="4"/>
      <c r="H1562" s="4"/>
      <c r="I1562" s="4" t="str">
        <f>IFERROR(__xludf.DUMMYFUNCTION("""COMPUTED_VALUE"""),"0x6bdf72fe7e389e89dc1b53a8352a90c8244b1d6a")</f>
        <v>0x6bdf72fe7e389e89dc1b53a8352a90c8244b1d6a</v>
      </c>
      <c r="J1562" s="18">
        <v>101.52344241767139</v>
      </c>
      <c r="K1562" s="4">
        <v>1269.0430302208924</v>
      </c>
      <c r="L1562" s="19">
        <v>1.2690430302208925E21</v>
      </c>
      <c r="M1562" s="20">
        <v>1.2690430302208926E20</v>
      </c>
    </row>
    <row r="1563">
      <c r="A1563" s="6"/>
      <c r="B1563" s="6"/>
      <c r="C1563" s="4"/>
      <c r="D1563" s="4">
        <v>48.3641275995966</v>
      </c>
      <c r="E1563" s="4" t="s">
        <v>2632</v>
      </c>
      <c r="F1563" s="4"/>
      <c r="G1563" s="4"/>
      <c r="H1563" s="4"/>
      <c r="I1563" s="4" t="str">
        <f>IFERROR(__xludf.DUMMYFUNCTION("""COMPUTED_VALUE"""),"0x9d0c447abff42b09e757ca1798fdc0eaab7eb6e9")</f>
        <v>0x9d0c447abff42b09e757ca1798fdc0eaab7eb6e9</v>
      </c>
      <c r="J1563" s="18">
        <v>46.6838576321113</v>
      </c>
      <c r="K1563" s="4">
        <v>583.5482204013912</v>
      </c>
      <c r="L1563" s="19">
        <v>5.835482204013912E20</v>
      </c>
      <c r="M1563" s="20">
        <v>5.835482204013912E19</v>
      </c>
    </row>
    <row r="1564">
      <c r="A1564" s="6"/>
      <c r="B1564" s="6"/>
      <c r="C1564" s="4"/>
      <c r="D1564" s="4">
        <v>48.3641275995966</v>
      </c>
      <c r="E1564" s="4" t="s">
        <v>2633</v>
      </c>
      <c r="F1564" s="4"/>
      <c r="G1564" s="4"/>
      <c r="H1564" s="4"/>
      <c r="I1564" s="4" t="str">
        <f>IFERROR(__xludf.DUMMYFUNCTION("""COMPUTED_VALUE"""),"0x4399b049f7ed58f5e2ca188286387ff788253067")</f>
        <v>0x4399b049f7ed58f5e2ca188286387ff788253067</v>
      </c>
      <c r="J1564" s="18">
        <v>48.3641275995966</v>
      </c>
      <c r="K1564" s="4">
        <v>604.5515949949574</v>
      </c>
      <c r="L1564" s="19">
        <v>6.045515949949574E20</v>
      </c>
      <c r="M1564" s="20">
        <v>6.045515949949574E19</v>
      </c>
    </row>
    <row r="1565">
      <c r="A1565" s="6"/>
      <c r="B1565" s="6"/>
      <c r="C1565" s="4"/>
      <c r="D1565" s="4">
        <v>17.5604656124601</v>
      </c>
      <c r="E1565" s="4" t="s">
        <v>2634</v>
      </c>
      <c r="F1565" s="4"/>
      <c r="G1565" s="4"/>
      <c r="H1565" s="4"/>
      <c r="I1565" s="4" t="str">
        <f>IFERROR(__xludf.DUMMYFUNCTION("""COMPUTED_VALUE"""),"0x4558d2321f770289f77ab12b8a7f6e7c562a8979")</f>
        <v>0x4558d2321f770289f77ab12b8a7f6e7c562a8979</v>
      </c>
      <c r="J1565" s="18">
        <v>104.6163475107887</v>
      </c>
      <c r="K1565" s="4">
        <v>1307.7043438848586</v>
      </c>
      <c r="L1565" s="19">
        <v>1.3077043438848587E21</v>
      </c>
      <c r="M1565" s="20">
        <v>1.3077043438848587E20</v>
      </c>
    </row>
    <row r="1566">
      <c r="A1566" s="6"/>
      <c r="B1566" s="6"/>
      <c r="C1566" s="4"/>
      <c r="D1566" s="4">
        <v>42.841022914494395</v>
      </c>
      <c r="E1566" s="4" t="s">
        <v>2636</v>
      </c>
      <c r="F1566" s="4"/>
      <c r="G1566" s="4"/>
      <c r="H1566" s="4"/>
      <c r="I1566" s="4" t="str">
        <f>IFERROR(__xludf.DUMMYFUNCTION("""COMPUTED_VALUE"""),"0x97d0b0b03e982cac64652e757003d75e18a81833")</f>
        <v>0x97d0b0b03e982cac64652e757003d75e18a81833</v>
      </c>
      <c r="J1566" s="18">
        <v>9.480077028232401</v>
      </c>
      <c r="K1566" s="4">
        <v>118.500962852905</v>
      </c>
      <c r="L1566" s="19">
        <v>1.1850096285290501E20</v>
      </c>
      <c r="M1566" s="20">
        <v>1.1850096285290502E19</v>
      </c>
    </row>
    <row r="1567">
      <c r="A1567" s="6"/>
      <c r="B1567" s="6"/>
      <c r="C1567" s="4"/>
      <c r="D1567" s="4">
        <v>6.73538308965418</v>
      </c>
      <c r="E1567" s="4" t="s">
        <v>2638</v>
      </c>
      <c r="F1567" s="4"/>
      <c r="G1567" s="4"/>
      <c r="H1567" s="4"/>
      <c r="I1567" s="4" t="str">
        <f>IFERROR(__xludf.DUMMYFUNCTION("""COMPUTED_VALUE"""),"0x0fa0fa78e57550ddae03af153dd731788a3f3041")</f>
        <v>0x0fa0fa78e57550ddae03af153dd731788a3f3041</v>
      </c>
      <c r="J1567" s="18">
        <v>24.819858733752202</v>
      </c>
      <c r="K1567" s="4">
        <v>310.24823417190254</v>
      </c>
      <c r="L1567" s="19">
        <v>3.102482341719025E20</v>
      </c>
      <c r="M1567" s="20">
        <v>3.1024823417190253E19</v>
      </c>
    </row>
    <row r="1568">
      <c r="A1568" s="6"/>
      <c r="B1568" s="6"/>
      <c r="C1568" s="4"/>
      <c r="D1568" s="4">
        <v>48.3641275995966</v>
      </c>
      <c r="E1568" s="4" t="s">
        <v>2640</v>
      </c>
      <c r="F1568" s="4"/>
      <c r="G1568" s="4"/>
      <c r="H1568" s="4"/>
      <c r="I1568" s="4" t="str">
        <f>IFERROR(__xludf.DUMMYFUNCTION("""COMPUTED_VALUE"""),"0x3e1e0b07741eb0d9ee9b725e526173a75fcf25b7")</f>
        <v>0x3e1e0b07741eb0d9ee9b725e526173a75fcf25b7</v>
      </c>
      <c r="J1568" s="18">
        <v>234.37608780709658</v>
      </c>
      <c r="K1568" s="4">
        <v>2929.7010975887074</v>
      </c>
      <c r="L1568" s="19">
        <v>2.9297010975887076E21</v>
      </c>
      <c r="M1568" s="20">
        <v>2.9297010975887078E20</v>
      </c>
    </row>
    <row r="1569">
      <c r="A1569" s="6"/>
      <c r="B1569" s="6"/>
      <c r="C1569" s="4"/>
      <c r="D1569" s="4">
        <v>48.3641275995966</v>
      </c>
      <c r="E1569" s="4" t="s">
        <v>2641</v>
      </c>
      <c r="F1569" s="4"/>
      <c r="G1569" s="4"/>
      <c r="H1569" s="4"/>
      <c r="I1569" s="4" t="str">
        <f>IFERROR(__xludf.DUMMYFUNCTION("""COMPUTED_VALUE"""),"0x1c33870fac8983c6b9bf7fc681a11d2b85c68ebb")</f>
        <v>0x1c33870fac8983c6b9bf7fc681a11d2b85c68ebb</v>
      </c>
      <c r="J1569" s="18">
        <v>27.1415396518113</v>
      </c>
      <c r="K1569" s="4">
        <v>339.26924564764124</v>
      </c>
      <c r="L1569" s="19">
        <v>3.3926924564764125E20</v>
      </c>
      <c r="M1569" s="20">
        <v>3.3926924564764127E19</v>
      </c>
    </row>
    <row r="1570">
      <c r="A1570" s="6"/>
      <c r="B1570" s="6"/>
      <c r="C1570" s="4"/>
      <c r="D1570" s="4">
        <v>48.3641275995966</v>
      </c>
      <c r="E1570" s="4" t="s">
        <v>2642</v>
      </c>
      <c r="F1570" s="4"/>
      <c r="G1570" s="4"/>
      <c r="H1570" s="4"/>
      <c r="I1570" s="4" t="str">
        <f>IFERROR(__xludf.DUMMYFUNCTION("""COMPUTED_VALUE"""),"0x8717e9f1f7002a3e0477dc24197e60ce0a47e9d3")</f>
        <v>0x8717e9f1f7002a3e0477dc24197e60ce0a47e9d3</v>
      </c>
      <c r="J1570" s="18">
        <v>6.77097786394353</v>
      </c>
      <c r="K1570" s="4">
        <v>84.63722329929412</v>
      </c>
      <c r="L1570" s="19">
        <v>8.463722329929412E19</v>
      </c>
      <c r="M1570" s="20">
        <v>8.463722329929413E18</v>
      </c>
    </row>
    <row r="1571">
      <c r="A1571" s="6"/>
      <c r="B1571" s="6"/>
      <c r="C1571" s="4"/>
      <c r="D1571" s="4">
        <v>19.3456510398386</v>
      </c>
      <c r="E1571" s="4" t="s">
        <v>2643</v>
      </c>
      <c r="F1571" s="4"/>
      <c r="G1571" s="4"/>
      <c r="H1571" s="4"/>
      <c r="I1571" s="4" t="str">
        <f>IFERROR(__xludf.DUMMYFUNCTION("""COMPUTED_VALUE"""),"0x59b42d0fc02589e69132a25f3f9a9d8569453a69")</f>
        <v>0x59b42d0fc02589e69132a25f3f9a9d8569453a69</v>
      </c>
      <c r="J1571" s="18">
        <v>9.71942764310728</v>
      </c>
      <c r="K1571" s="4">
        <v>121.49284553884101</v>
      </c>
      <c r="L1571" s="19">
        <v>1.21492845538841E20</v>
      </c>
      <c r="M1571" s="20">
        <v>1.21492845538841E19</v>
      </c>
    </row>
    <row r="1572">
      <c r="A1572" s="6"/>
      <c r="B1572" s="6"/>
      <c r="C1572" s="4"/>
      <c r="D1572" s="4">
        <v>48.3641275995966</v>
      </c>
      <c r="E1572" s="4" t="s">
        <v>2644</v>
      </c>
      <c r="F1572" s="4"/>
      <c r="G1572" s="4"/>
      <c r="H1572" s="4"/>
      <c r="I1572" s="4" t="str">
        <f>IFERROR(__xludf.DUMMYFUNCTION("""COMPUTED_VALUE"""),"0x014270c7bebb71861bc90da6a12e302c7348fe75")</f>
        <v>0x014270c7bebb71861bc90da6a12e302c7348fe75</v>
      </c>
      <c r="J1572" s="18">
        <v>75.8156623197209</v>
      </c>
      <c r="K1572" s="4">
        <v>947.6957789965112</v>
      </c>
      <c r="L1572" s="19">
        <v>9.476957789965112E20</v>
      </c>
      <c r="M1572" s="20">
        <v>9.476957789965112E19</v>
      </c>
    </row>
    <row r="1573">
      <c r="A1573" s="6"/>
      <c r="B1573" s="6"/>
      <c r="C1573" s="4"/>
      <c r="D1573" s="4">
        <v>48.3641275995966</v>
      </c>
      <c r="E1573" s="4" t="s">
        <v>2645</v>
      </c>
      <c r="F1573" s="4"/>
      <c r="G1573" s="4"/>
      <c r="H1573" s="4"/>
      <c r="I1573" s="4" t="str">
        <f>IFERROR(__xludf.DUMMYFUNCTION("""COMPUTED_VALUE"""),"0xfaa9dd71625979ae12ca8cb8b88b36e7a162a500")</f>
        <v>0xfaa9dd71625979ae12ca8cb8b88b36e7a162a500</v>
      </c>
      <c r="J1573" s="18">
        <v>6.632860197152239</v>
      </c>
      <c r="K1573" s="4">
        <v>82.91075246440299</v>
      </c>
      <c r="L1573" s="19">
        <v>8.291075246440299E19</v>
      </c>
      <c r="M1573" s="20">
        <v>8.2910752464403E18</v>
      </c>
    </row>
    <row r="1574">
      <c r="A1574" s="6"/>
      <c r="B1574" s="6"/>
      <c r="C1574" s="4"/>
      <c r="D1574" s="4">
        <v>48.2504305242593</v>
      </c>
      <c r="E1574" s="4" t="s">
        <v>2646</v>
      </c>
      <c r="F1574" s="4"/>
      <c r="G1574" s="4"/>
      <c r="H1574" s="4"/>
      <c r="I1574" s="4" t="str">
        <f>IFERROR(__xludf.DUMMYFUNCTION("""COMPUTED_VALUE"""),"0xaf05c4793a6bab413bc2435dc8a157ef83a52736")</f>
        <v>0xaf05c4793a6bab413bc2435dc8a157ef83a52736</v>
      </c>
      <c r="J1574" s="18">
        <v>15.396330359136</v>
      </c>
      <c r="K1574" s="4">
        <v>192.4541294892</v>
      </c>
      <c r="L1574" s="19">
        <v>1.924541294892E20</v>
      </c>
      <c r="M1574" s="20">
        <v>1.924541294892E19</v>
      </c>
    </row>
    <row r="1575">
      <c r="A1575" s="6"/>
      <c r="B1575" s="6"/>
      <c r="C1575" s="4"/>
      <c r="D1575" s="4">
        <v>41.6555203808012</v>
      </c>
      <c r="E1575" s="4" t="s">
        <v>2648</v>
      </c>
      <c r="F1575" s="4"/>
      <c r="G1575" s="4"/>
      <c r="H1575" s="4"/>
      <c r="I1575" s="4" t="str">
        <f>IFERROR(__xludf.DUMMYFUNCTION("""COMPUTED_VALUE"""),"0xb438e7c6d35e928dd6330f1c726fc362286c47d7")</f>
        <v>0xb438e7c6d35e928dd6330f1c726fc362286c47d7</v>
      </c>
      <c r="J1575" s="18">
        <v>99.6486916407296</v>
      </c>
      <c r="K1575" s="4">
        <v>1245.60864550912</v>
      </c>
      <c r="L1575" s="19">
        <v>1.24560864550912E21</v>
      </c>
      <c r="M1575" s="20">
        <v>1.24560864550912E20</v>
      </c>
    </row>
    <row r="1576">
      <c r="A1576" s="6"/>
      <c r="B1576" s="6"/>
      <c r="C1576" s="4"/>
      <c r="D1576" s="4">
        <v>48.3641275995966</v>
      </c>
      <c r="E1576" s="4" t="s">
        <v>2650</v>
      </c>
      <c r="F1576" s="4"/>
      <c r="G1576" s="4"/>
      <c r="H1576" s="4"/>
      <c r="I1576" s="4" t="str">
        <f>IFERROR(__xludf.DUMMYFUNCTION("""COMPUTED_VALUE"""),"0x2a20ea6d712035e0fa22d98f302ef4df0b38db4f")</f>
        <v>0x2a20ea6d712035e0fa22d98f302ef4df0b38db4f</v>
      </c>
      <c r="J1576" s="18">
        <v>48.3641275995966</v>
      </c>
      <c r="K1576" s="4">
        <v>604.5515949949574</v>
      </c>
      <c r="L1576" s="19">
        <v>6.045515949949574E20</v>
      </c>
      <c r="M1576" s="20">
        <v>6.045515949949574E19</v>
      </c>
    </row>
    <row r="1577">
      <c r="A1577" s="6"/>
      <c r="B1577" s="6"/>
      <c r="C1577" s="4"/>
      <c r="D1577" s="4">
        <v>48.3641275995966</v>
      </c>
      <c r="E1577" s="4" t="s">
        <v>287</v>
      </c>
      <c r="F1577" s="4"/>
      <c r="G1577" s="4"/>
      <c r="H1577" s="4"/>
      <c r="I1577" s="4" t="str">
        <f>IFERROR(__xludf.DUMMYFUNCTION("""COMPUTED_VALUE"""),"0x6e3463139760de9250f2eecd9f8ab9509ca1cdf0")</f>
        <v>0x6e3463139760de9250f2eecd9f8ab9509ca1cdf0</v>
      </c>
      <c r="J1577" s="18">
        <v>9.672825519919328</v>
      </c>
      <c r="K1577" s="4">
        <v>120.9103189989916</v>
      </c>
      <c r="L1577" s="19">
        <v>1.209103189989916E20</v>
      </c>
      <c r="M1577" s="20">
        <v>1.209103189989916E19</v>
      </c>
    </row>
    <row r="1578">
      <c r="A1578" s="6"/>
      <c r="B1578" s="6"/>
      <c r="C1578" s="4"/>
      <c r="D1578" s="4">
        <v>48.3641275995966</v>
      </c>
      <c r="E1578" s="4" t="s">
        <v>936</v>
      </c>
      <c r="F1578" s="4"/>
      <c r="G1578" s="4"/>
      <c r="H1578" s="4"/>
      <c r="I1578" s="4" t="str">
        <f>IFERROR(__xludf.DUMMYFUNCTION("""COMPUTED_VALUE"""),"0xbe1f97ade85384a04b6dd344c476c3f6248c5a14")</f>
        <v>0xbe1f97ade85384a04b6dd344c476c3f6248c5a14</v>
      </c>
      <c r="J1578" s="18">
        <v>53.15955647204516</v>
      </c>
      <c r="K1578" s="4">
        <v>664.4944559005645</v>
      </c>
      <c r="L1578" s="19">
        <v>6.644944559005645E20</v>
      </c>
      <c r="M1578" s="20">
        <v>6.644944559005645E19</v>
      </c>
    </row>
    <row r="1579">
      <c r="A1579" s="6"/>
      <c r="B1579" s="6"/>
      <c r="C1579" s="4"/>
      <c r="D1579" s="4">
        <v>48.3641275995966</v>
      </c>
      <c r="E1579" s="4" t="s">
        <v>2651</v>
      </c>
      <c r="F1579" s="4"/>
      <c r="G1579" s="4"/>
      <c r="H1579" s="4"/>
      <c r="I1579" s="4" t="str">
        <f>IFERROR(__xludf.DUMMYFUNCTION("""COMPUTED_VALUE"""),"0x676d89688905f1b22e24818a738d8b81ff205160")</f>
        <v>0x676d89688905f1b22e24818a738d8b81ff205160</v>
      </c>
      <c r="J1579" s="18">
        <v>9.672825519919328</v>
      </c>
      <c r="K1579" s="4">
        <v>120.9103189989916</v>
      </c>
      <c r="L1579" s="19">
        <v>1.209103189989916E20</v>
      </c>
      <c r="M1579" s="20">
        <v>1.209103189989916E19</v>
      </c>
    </row>
    <row r="1580">
      <c r="A1580" s="6"/>
      <c r="B1580" s="6"/>
      <c r="C1580" s="4"/>
      <c r="D1580" s="4">
        <v>24.8317616944802</v>
      </c>
      <c r="E1580" s="4" t="s">
        <v>2652</v>
      </c>
      <c r="F1580" s="4"/>
      <c r="G1580" s="4"/>
      <c r="H1580" s="4"/>
      <c r="I1580" s="4" t="str">
        <f>IFERROR(__xludf.DUMMYFUNCTION("""COMPUTED_VALUE"""),"0x75bfaaf19646fe6708744e74444ae90675a072fa")</f>
        <v>0x75bfaaf19646fe6708744e74444ae90675a072fa</v>
      </c>
      <c r="J1580" s="18">
        <v>48.3637893199949</v>
      </c>
      <c r="K1580" s="4">
        <v>604.5473664999363</v>
      </c>
      <c r="L1580" s="19">
        <v>6.045473664999362E20</v>
      </c>
      <c r="M1580" s="20">
        <v>6.0454736649993626E19</v>
      </c>
    </row>
    <row r="1581">
      <c r="A1581" s="6"/>
      <c r="B1581" s="6"/>
      <c r="C1581" s="4"/>
      <c r="D1581" s="4">
        <v>48.2621968200593</v>
      </c>
      <c r="E1581" s="4" t="s">
        <v>2654</v>
      </c>
      <c r="F1581" s="4"/>
      <c r="G1581" s="4"/>
      <c r="H1581" s="4"/>
      <c r="I1581" s="4" t="str">
        <f>IFERROR(__xludf.DUMMYFUNCTION("""COMPUTED_VALUE"""),"0xad4489f64a8be791294116d3e99d2721c7f0a72a")</f>
        <v>0xad4489f64a8be791294116d3e99d2721c7f0a72a</v>
      </c>
      <c r="J1581" s="18">
        <v>104.0469818174604</v>
      </c>
      <c r="K1581" s="4">
        <v>1300.587272718255</v>
      </c>
      <c r="L1581" s="19">
        <v>1.300587272718255E21</v>
      </c>
      <c r="M1581" s="20">
        <v>1.3005872727182552E20</v>
      </c>
    </row>
    <row r="1582">
      <c r="A1582" s="6"/>
      <c r="B1582" s="6"/>
      <c r="C1582" s="4"/>
      <c r="D1582" s="4">
        <v>9.838348603734481</v>
      </c>
      <c r="E1582" s="4" t="s">
        <v>2656</v>
      </c>
      <c r="F1582" s="4"/>
      <c r="G1582" s="4"/>
      <c r="H1582" s="4"/>
      <c r="I1582" s="4" t="str">
        <f>IFERROR(__xludf.DUMMYFUNCTION("""COMPUTED_VALUE"""),"0x3136bf1ebc4f6225d2b7aa2965a7498948596bb5")</f>
        <v>0x3136bf1ebc4f6225d2b7aa2965a7498948596bb5</v>
      </c>
      <c r="J1582" s="18">
        <v>234.37608780709658</v>
      </c>
      <c r="K1582" s="4">
        <v>2929.7010975887074</v>
      </c>
      <c r="L1582" s="19">
        <v>2.9297010975887076E21</v>
      </c>
      <c r="M1582" s="20">
        <v>2.9297010975887078E20</v>
      </c>
    </row>
    <row r="1583">
      <c r="A1583" s="6"/>
      <c r="B1583" s="6"/>
      <c r="C1583" s="4"/>
      <c r="D1583" s="4">
        <v>43.506946862781604</v>
      </c>
      <c r="E1583" s="4" t="s">
        <v>2658</v>
      </c>
      <c r="F1583" s="4"/>
      <c r="G1583" s="4"/>
      <c r="H1583" s="4"/>
      <c r="I1583" s="4" t="str">
        <f>IFERROR(__xludf.DUMMYFUNCTION("""COMPUTED_VALUE"""),"0x2d902b5e872c629a83e42aa41afbb68105e815f0")</f>
        <v>0x2d902b5e872c629a83e42aa41afbb68105e815f0</v>
      </c>
      <c r="J1583" s="18">
        <v>48.3641275995966</v>
      </c>
      <c r="K1583" s="4">
        <v>604.5515949949574</v>
      </c>
      <c r="L1583" s="19">
        <v>6.045515949949574E20</v>
      </c>
      <c r="M1583" s="20">
        <v>6.045515949949574E19</v>
      </c>
    </row>
    <row r="1584">
      <c r="A1584" s="6"/>
      <c r="B1584" s="6"/>
      <c r="C1584" s="4"/>
      <c r="D1584" s="4">
        <v>48.3641275995966</v>
      </c>
      <c r="E1584" s="4" t="s">
        <v>2660</v>
      </c>
      <c r="F1584" s="4"/>
      <c r="G1584" s="4"/>
      <c r="H1584" s="4"/>
      <c r="I1584" s="4" t="str">
        <f>IFERROR(__xludf.DUMMYFUNCTION("""COMPUTED_VALUE"""),"0x820809b80a92855f74f49b2127717f0dfc67acd8")</f>
        <v>0x820809b80a92855f74f49b2127717f0dfc67acd8</v>
      </c>
      <c r="J1584" s="18">
        <v>17.4248861653099</v>
      </c>
      <c r="K1584" s="4">
        <v>217.81107706637374</v>
      </c>
      <c r="L1584" s="19">
        <v>2.1781107706637373E20</v>
      </c>
      <c r="M1584" s="20">
        <v>2.1781107706637373E19</v>
      </c>
    </row>
    <row r="1585">
      <c r="A1585" s="6"/>
      <c r="B1585" s="6"/>
      <c r="C1585" s="4"/>
      <c r="D1585" s="4">
        <v>48.3641275995966</v>
      </c>
      <c r="E1585" s="4" t="s">
        <v>1472</v>
      </c>
      <c r="F1585" s="4"/>
      <c r="G1585" s="4"/>
      <c r="H1585" s="4"/>
      <c r="I1585" s="4" t="str">
        <f>IFERROR(__xludf.DUMMYFUNCTION("""COMPUTED_VALUE"""),"0x0de836940795ef09cfc6f1a1313923e212aeb354")</f>
        <v>0x0de836940795ef09cfc6f1a1313923e212aeb354</v>
      </c>
      <c r="J1585" s="18">
        <v>9.70834917786587</v>
      </c>
      <c r="K1585" s="4">
        <v>121.35436472332337</v>
      </c>
      <c r="L1585" s="19">
        <v>1.2135436472332337E20</v>
      </c>
      <c r="M1585" s="20">
        <v>1.2135436472332337E19</v>
      </c>
    </row>
    <row r="1586">
      <c r="A1586" s="6"/>
      <c r="B1586" s="6"/>
      <c r="C1586" s="4"/>
      <c r="D1586" s="4">
        <v>9.672825519919328</v>
      </c>
      <c r="E1586" s="4" t="s">
        <v>2661</v>
      </c>
      <c r="F1586" s="4"/>
      <c r="G1586" s="4"/>
      <c r="H1586" s="4"/>
      <c r="I1586" s="4" t="str">
        <f>IFERROR(__xludf.DUMMYFUNCTION("""COMPUTED_VALUE"""),"0x024686df01da3c9b3519dfec19fd547539a434b1")</f>
        <v>0x024686df01da3c9b3519dfec19fd547539a434b1</v>
      </c>
      <c r="J1586" s="18">
        <v>34.687603794882804</v>
      </c>
      <c r="K1586" s="4">
        <v>433.59504743603503</v>
      </c>
      <c r="L1586" s="19">
        <v>4.33595047436035E20</v>
      </c>
      <c r="M1586" s="20">
        <v>4.33595047436035E19</v>
      </c>
    </row>
    <row r="1587">
      <c r="A1587" s="6"/>
      <c r="B1587" s="6"/>
      <c r="C1587" s="4"/>
      <c r="D1587" s="4">
        <v>9.672825519919328</v>
      </c>
      <c r="E1587" s="4" t="s">
        <v>2662</v>
      </c>
      <c r="F1587" s="4"/>
      <c r="G1587" s="4"/>
      <c r="H1587" s="4"/>
      <c r="I1587" s="4" t="str">
        <f>IFERROR(__xludf.DUMMYFUNCTION("""COMPUTED_VALUE"""),"0x55b7abfca760de66b59c4708f48514aa98ea1d1a")</f>
        <v>0x55b7abfca760de66b59c4708f48514aa98ea1d1a</v>
      </c>
      <c r="J1587" s="18">
        <v>20.6268677034389</v>
      </c>
      <c r="K1587" s="4">
        <v>257.8358462929863</v>
      </c>
      <c r="L1587" s="19">
        <v>2.5783584629298627E20</v>
      </c>
      <c r="M1587" s="20">
        <v>2.5783584629298627E19</v>
      </c>
    </row>
    <row r="1588">
      <c r="A1588" s="6"/>
      <c r="B1588" s="6"/>
      <c r="C1588" s="4"/>
      <c r="D1588" s="4">
        <v>48.3641275995966</v>
      </c>
      <c r="E1588" s="4" t="s">
        <v>2663</v>
      </c>
      <c r="F1588" s="4"/>
      <c r="G1588" s="4"/>
      <c r="H1588" s="4"/>
      <c r="I1588" s="4" t="str">
        <f>IFERROR(__xludf.DUMMYFUNCTION("""COMPUTED_VALUE"""),"0xde8c2d149dd24b64d0c6296337ea24515b958f56")</f>
        <v>0xde8c2d149dd24b64d0c6296337ea24515b958f56</v>
      </c>
      <c r="J1588" s="18">
        <v>13.9174767525386</v>
      </c>
      <c r="K1588" s="4">
        <v>173.96845940673248</v>
      </c>
      <c r="L1588" s="19">
        <v>1.739684594067325E20</v>
      </c>
      <c r="M1588" s="20">
        <v>1.739684594067325E19</v>
      </c>
    </row>
    <row r="1589">
      <c r="A1589" s="6"/>
      <c r="B1589" s="6"/>
      <c r="C1589" s="4"/>
      <c r="D1589" s="4">
        <v>19.4865804205762</v>
      </c>
      <c r="E1589" s="4" t="s">
        <v>2664</v>
      </c>
      <c r="F1589" s="4"/>
      <c r="G1589" s="4"/>
      <c r="H1589" s="4"/>
      <c r="I1589" s="4" t="str">
        <f>IFERROR(__xludf.DUMMYFUNCTION("""COMPUTED_VALUE"""),"0xa611a44cf08cddfd2c888c892334b548a60ed886")</f>
        <v>0xa611a44cf08cddfd2c888c892334b548a60ed886</v>
      </c>
      <c r="J1589" s="18">
        <v>48.3641275995966</v>
      </c>
      <c r="K1589" s="4">
        <v>604.5515949949574</v>
      </c>
      <c r="L1589" s="19">
        <v>6.045515949949574E20</v>
      </c>
      <c r="M1589" s="20">
        <v>6.045515949949574E19</v>
      </c>
    </row>
    <row r="1590">
      <c r="A1590" s="6"/>
      <c r="B1590" s="6"/>
      <c r="C1590" s="4"/>
      <c r="D1590" s="4">
        <v>48.3641275995966</v>
      </c>
      <c r="E1590" s="4" t="s">
        <v>2666</v>
      </c>
      <c r="F1590" s="4"/>
      <c r="G1590" s="4"/>
      <c r="H1590" s="4"/>
      <c r="I1590" s="4" t="str">
        <f>IFERROR(__xludf.DUMMYFUNCTION("""COMPUTED_VALUE"""),"0x6d377b14ca14f59945b17c18fbc32f2018ee9917")</f>
        <v>0x6d377b14ca14f59945b17c18fbc32f2018ee9917</v>
      </c>
      <c r="J1590" s="18">
        <v>35.7244963869855</v>
      </c>
      <c r="K1590" s="4">
        <v>446.5562048373187</v>
      </c>
      <c r="L1590" s="19">
        <v>4.465562048373187E20</v>
      </c>
      <c r="M1590" s="20">
        <v>4.465562048373187E19</v>
      </c>
    </row>
    <row r="1591">
      <c r="A1591" s="6"/>
      <c r="B1591" s="6"/>
      <c r="C1591" s="4"/>
      <c r="D1591" s="4">
        <v>48.1288498667956</v>
      </c>
      <c r="E1591" s="4" t="s">
        <v>2667</v>
      </c>
      <c r="F1591" s="4"/>
      <c r="G1591" s="4"/>
      <c r="H1591" s="4"/>
      <c r="I1591" s="4" t="str">
        <f>IFERROR(__xludf.DUMMYFUNCTION("""COMPUTED_VALUE"""),"0xb8f1a055699b85160629feda4e4e789cfcfe2209")</f>
        <v>0xb8f1a055699b85160629feda4e4e789cfcfe2209</v>
      </c>
      <c r="J1591" s="18">
        <v>234.37608780709658</v>
      </c>
      <c r="K1591" s="4">
        <v>2929.7010975887074</v>
      </c>
      <c r="L1591" s="19">
        <v>2.9297010975887076E21</v>
      </c>
      <c r="M1591" s="20">
        <v>2.9297010975887078E20</v>
      </c>
    </row>
    <row r="1592">
      <c r="A1592" s="6"/>
      <c r="B1592" s="6"/>
      <c r="C1592" s="4"/>
      <c r="D1592" s="4">
        <v>48.3641275995966</v>
      </c>
      <c r="E1592" s="4" t="s">
        <v>2669</v>
      </c>
      <c r="F1592" s="4"/>
      <c r="G1592" s="4"/>
      <c r="H1592" s="4"/>
      <c r="I1592" s="4" t="str">
        <f>IFERROR(__xludf.DUMMYFUNCTION("""COMPUTED_VALUE"""),"0xe5a064d0d07da39a6200e3f070ef6f7d6615e2f9")</f>
        <v>0xe5a064d0d07da39a6200e3f070ef6f7d6615e2f9</v>
      </c>
      <c r="J1592" s="18">
        <v>14.1223252590822</v>
      </c>
      <c r="K1592" s="4">
        <v>176.5290657385275</v>
      </c>
      <c r="L1592" s="19">
        <v>1.765290657385275E20</v>
      </c>
      <c r="M1592" s="20">
        <v>1.7652906573852752E19</v>
      </c>
    </row>
    <row r="1593">
      <c r="A1593" s="6"/>
      <c r="B1593" s="6"/>
      <c r="C1593" s="4"/>
      <c r="D1593" s="4">
        <v>19.3456510398386</v>
      </c>
      <c r="E1593" s="4" t="s">
        <v>2670</v>
      </c>
      <c r="F1593" s="4"/>
      <c r="G1593" s="4"/>
      <c r="H1593" s="4"/>
      <c r="I1593" s="4" t="str">
        <f>IFERROR(__xludf.DUMMYFUNCTION("""COMPUTED_VALUE"""),"0x6523a8b507c189a6640095afe5a72c743acc587f")</f>
        <v>0x6523a8b507c189a6640095afe5a72c743acc587f</v>
      </c>
      <c r="J1593" s="18">
        <v>234.37608780709658</v>
      </c>
      <c r="K1593" s="4">
        <v>2929.7010975887074</v>
      </c>
      <c r="L1593" s="19">
        <v>2.9297010975887076E21</v>
      </c>
      <c r="M1593" s="20">
        <v>2.9297010975887078E20</v>
      </c>
    </row>
    <row r="1594">
      <c r="A1594" s="6"/>
      <c r="B1594" s="6"/>
      <c r="C1594" s="4"/>
      <c r="D1594" s="4">
        <v>2.08711973212509</v>
      </c>
      <c r="E1594" s="4" t="s">
        <v>2671</v>
      </c>
      <c r="F1594" s="4"/>
      <c r="G1594" s="4"/>
      <c r="H1594" s="4"/>
      <c r="I1594" s="4" t="str">
        <f>IFERROR(__xludf.DUMMYFUNCTION("""COMPUTED_VALUE"""),"0xe3d099bfdf784802292be0dc560d7ffd962f3a55")</f>
        <v>0xe3d099bfdf784802292be0dc560d7ffd962f3a55</v>
      </c>
      <c r="J1594" s="18">
        <v>48.3641275995966</v>
      </c>
      <c r="K1594" s="4">
        <v>604.5515949949574</v>
      </c>
      <c r="L1594" s="19">
        <v>6.045515949949574E20</v>
      </c>
      <c r="M1594" s="20">
        <v>6.045515949949574E19</v>
      </c>
    </row>
    <row r="1595">
      <c r="A1595" s="6"/>
      <c r="B1595" s="6"/>
      <c r="C1595" s="4"/>
      <c r="D1595" s="4">
        <v>46.312716777027</v>
      </c>
      <c r="E1595" s="4" t="s">
        <v>2673</v>
      </c>
      <c r="F1595" s="4"/>
      <c r="G1595" s="4"/>
      <c r="H1595" s="4"/>
      <c r="I1595" s="4" t="str">
        <f>IFERROR(__xludf.DUMMYFUNCTION("""COMPUTED_VALUE"""),"0xffeb2bf0f49c1a8853d6ea7f2952c032b2d2b3b9")</f>
        <v>0xffeb2bf0f49c1a8853d6ea7f2952c032b2d2b3b9</v>
      </c>
      <c r="J1595" s="18">
        <v>16.4471875189861</v>
      </c>
      <c r="K1595" s="4">
        <v>205.58984398732628</v>
      </c>
      <c r="L1595" s="19">
        <v>2.0558984398732627E20</v>
      </c>
      <c r="M1595" s="20">
        <v>2.055898439873263E19</v>
      </c>
    </row>
    <row r="1596">
      <c r="A1596" s="6"/>
      <c r="B1596" s="6"/>
      <c r="C1596" s="4"/>
      <c r="D1596" s="4">
        <v>48.3641275995966</v>
      </c>
      <c r="E1596" s="4" t="s">
        <v>2675</v>
      </c>
      <c r="F1596" s="4"/>
      <c r="G1596" s="4"/>
      <c r="H1596" s="4"/>
      <c r="I1596" s="4" t="str">
        <f>IFERROR(__xludf.DUMMYFUNCTION("""COMPUTED_VALUE"""),"0xf6875152c90e9d4ef7b1de459eb04629ecae43ad")</f>
        <v>0xf6875152c90e9d4ef7b1de459eb04629ecae43ad</v>
      </c>
      <c r="J1596" s="18">
        <v>0.217213500717213</v>
      </c>
      <c r="K1596" s="4">
        <v>2.715168758965162</v>
      </c>
      <c r="L1596" s="19">
        <v>2.715168758965162E18</v>
      </c>
      <c r="M1596" s="20">
        <v>2.7151687589651622E17</v>
      </c>
    </row>
    <row r="1597">
      <c r="A1597" s="6"/>
      <c r="B1597" s="6"/>
      <c r="C1597" s="4"/>
      <c r="D1597" s="4">
        <v>14.028014801083199</v>
      </c>
      <c r="E1597" s="4" t="s">
        <v>2676</v>
      </c>
      <c r="F1597" s="4"/>
      <c r="G1597" s="4"/>
      <c r="H1597" s="4"/>
      <c r="I1597" s="4" t="str">
        <f>IFERROR(__xludf.DUMMYFUNCTION("""COMPUTED_VALUE"""),"0xf6cc674930985edefcd56a30da522c327039d037")</f>
        <v>0xf6cc674930985edefcd56a30da522c327039d037</v>
      </c>
      <c r="J1597" s="18">
        <v>48.3641275995966</v>
      </c>
      <c r="K1597" s="4">
        <v>604.5515949949574</v>
      </c>
      <c r="L1597" s="19">
        <v>6.045515949949574E20</v>
      </c>
      <c r="M1597" s="20">
        <v>6.045515949949574E19</v>
      </c>
    </row>
    <row r="1598">
      <c r="A1598" s="6"/>
      <c r="B1598" s="6"/>
      <c r="C1598" s="4"/>
      <c r="D1598" s="4">
        <v>17.392229876852</v>
      </c>
      <c r="E1598" s="4" t="s">
        <v>2678</v>
      </c>
      <c r="F1598" s="4"/>
      <c r="G1598" s="4"/>
      <c r="H1598" s="4"/>
      <c r="I1598" s="4" t="str">
        <f>IFERROR(__xludf.DUMMYFUNCTION("""COMPUTED_VALUE"""),"0x56ae5ee6e737d257174b0d69acabf2ae96b8a239")</f>
        <v>0x56ae5ee6e737d257174b0d69acabf2ae96b8a239</v>
      </c>
      <c r="J1598" s="18">
        <v>16.8667957869386</v>
      </c>
      <c r="K1598" s="4">
        <v>210.83494733673248</v>
      </c>
      <c r="L1598" s="19">
        <v>2.1083494733673248E20</v>
      </c>
      <c r="M1598" s="20">
        <v>2.1083494733673247E19</v>
      </c>
    </row>
    <row r="1599">
      <c r="A1599" s="6"/>
      <c r="B1599" s="6"/>
      <c r="C1599" s="4"/>
      <c r="D1599" s="4">
        <v>14.9511122299094</v>
      </c>
      <c r="E1599" s="4" t="s">
        <v>2680</v>
      </c>
      <c r="F1599" s="4"/>
      <c r="G1599" s="4"/>
      <c r="H1599" s="4"/>
      <c r="I1599" s="4" t="str">
        <f>IFERROR(__xludf.DUMMYFUNCTION("""COMPUTED_VALUE"""),"0x4938cab14a719bcc2ad668a96f68961ea08ff4b0")</f>
        <v>0x4938cab14a719bcc2ad668a96f68961ea08ff4b0</v>
      </c>
      <c r="J1599" s="18">
        <v>8.6189929595877</v>
      </c>
      <c r="K1599" s="4">
        <v>107.73741199484625</v>
      </c>
      <c r="L1599" s="19">
        <v>1.0773741199484625E20</v>
      </c>
      <c r="M1599" s="20">
        <v>1.0773741199484625E19</v>
      </c>
    </row>
    <row r="1600">
      <c r="A1600" s="6"/>
      <c r="B1600" s="6"/>
      <c r="C1600" s="4"/>
      <c r="D1600" s="4">
        <v>1.93456510398386</v>
      </c>
      <c r="E1600" s="4" t="s">
        <v>2682</v>
      </c>
      <c r="F1600" s="4"/>
      <c r="G1600" s="4"/>
      <c r="H1600" s="4"/>
      <c r="I1600" s="4" t="str">
        <f>IFERROR(__xludf.DUMMYFUNCTION("""COMPUTED_VALUE"""),"0xa00cce8a7ef7cd4b8b5446075d65d5c686ba05d4")</f>
        <v>0xa00cce8a7ef7cd4b8b5446075d65d5c686ba05d4</v>
      </c>
      <c r="J1600" s="18">
        <v>6.10628878969105</v>
      </c>
      <c r="K1600" s="4">
        <v>76.32860987113811</v>
      </c>
      <c r="L1600" s="19">
        <v>7.632860987113811E19</v>
      </c>
      <c r="M1600" s="20">
        <v>7.632860987113812E18</v>
      </c>
    </row>
    <row r="1601">
      <c r="A1601" s="6"/>
      <c r="B1601" s="6"/>
      <c r="C1601" s="4"/>
      <c r="D1601" s="4">
        <v>6.19410858351296</v>
      </c>
      <c r="E1601" s="4" t="s">
        <v>2684</v>
      </c>
      <c r="F1601" s="4"/>
      <c r="G1601" s="4"/>
      <c r="H1601" s="4"/>
      <c r="I1601" s="4" t="str">
        <f>IFERROR(__xludf.DUMMYFUNCTION("""COMPUTED_VALUE"""),"0xa4f89aa46a70431a6b16e797fa34f8e862a9c07b")</f>
        <v>0xa4f89aa46a70431a6b16e797fa34f8e862a9c07b</v>
      </c>
      <c r="J1601" s="18">
        <v>9.672825519919328</v>
      </c>
      <c r="K1601" s="4">
        <v>120.9103189989916</v>
      </c>
      <c r="L1601" s="19">
        <v>1.209103189989916E20</v>
      </c>
      <c r="M1601" s="20">
        <v>1.209103189989916E19</v>
      </c>
    </row>
    <row r="1602">
      <c r="A1602" s="6"/>
      <c r="B1602" s="6"/>
      <c r="C1602" s="4"/>
      <c r="D1602" s="4">
        <v>28.4416176329244</v>
      </c>
      <c r="E1602" s="4" t="s">
        <v>2686</v>
      </c>
      <c r="F1602" s="4"/>
      <c r="G1602" s="4"/>
      <c r="H1602" s="4"/>
      <c r="I1602" s="4" t="str">
        <f>IFERROR(__xludf.DUMMYFUNCTION("""COMPUTED_VALUE"""),"0xf12e3eaf5271e79e5c0143cd2b4f350bad9e91ef")</f>
        <v>0xf12e3eaf5271e79e5c0143cd2b4f350bad9e91ef</v>
      </c>
      <c r="J1602" s="18">
        <v>9.7828751457361</v>
      </c>
      <c r="K1602" s="4">
        <v>122.28593932170124</v>
      </c>
      <c r="L1602" s="19">
        <v>1.2228593932170124E20</v>
      </c>
      <c r="M1602" s="20">
        <v>1.2228593932170125E19</v>
      </c>
    </row>
    <row r="1603">
      <c r="A1603" s="6"/>
      <c r="B1603" s="6"/>
      <c r="C1603" s="4"/>
      <c r="D1603" s="4">
        <v>5.2256638076366</v>
      </c>
      <c r="E1603" s="4" t="s">
        <v>2688</v>
      </c>
      <c r="F1603" s="4"/>
      <c r="G1603" s="4"/>
      <c r="H1603" s="4"/>
      <c r="I1603" s="4" t="str">
        <f>IFERROR(__xludf.DUMMYFUNCTION("""COMPUTED_VALUE"""),"0x4be6d67c3d5cfec677323a06a75ef5a998b88815")</f>
        <v>0x4be6d67c3d5cfec677323a06a75ef5a998b88815</v>
      </c>
      <c r="J1603" s="18">
        <v>6.38406484314676</v>
      </c>
      <c r="K1603" s="4">
        <v>79.80081053933449</v>
      </c>
      <c r="L1603" s="19">
        <v>7.980081053933448E19</v>
      </c>
      <c r="M1603" s="20">
        <v>7.980081053933449E18</v>
      </c>
    </row>
    <row r="1604">
      <c r="A1604" s="6"/>
      <c r="B1604" s="6"/>
      <c r="C1604" s="4"/>
      <c r="D1604" s="4">
        <v>9.65116434800034</v>
      </c>
      <c r="E1604" s="4" t="s">
        <v>2690</v>
      </c>
      <c r="F1604" s="4"/>
      <c r="G1604" s="4"/>
      <c r="H1604" s="4"/>
      <c r="I1604" s="4" t="str">
        <f>IFERROR(__xludf.DUMMYFUNCTION("""COMPUTED_VALUE"""),"0x72cff70d01722bf0f33e92626c4e21b06ac7aa17")</f>
        <v>0x72cff70d01722bf0f33e92626c4e21b06ac7aa17</v>
      </c>
      <c r="J1604" s="18">
        <v>43.4060560035443</v>
      </c>
      <c r="K1604" s="4">
        <v>542.5757000443037</v>
      </c>
      <c r="L1604" s="19">
        <v>5.4257570004430376E20</v>
      </c>
      <c r="M1604" s="20">
        <v>5.425757000443038E19</v>
      </c>
    </row>
    <row r="1605">
      <c r="A1605" s="6"/>
      <c r="B1605" s="6"/>
      <c r="C1605" s="4"/>
      <c r="D1605" s="4">
        <v>48.3641275995966</v>
      </c>
      <c r="E1605" s="4" t="s">
        <v>2692</v>
      </c>
      <c r="F1605" s="4"/>
      <c r="G1605" s="4"/>
      <c r="H1605" s="4"/>
      <c r="I1605" s="4" t="str">
        <f>IFERROR(__xludf.DUMMYFUNCTION("""COMPUTED_VALUE"""),"0x82656931c38f2b0b7f6f23a479bcdf5e94eb860b")</f>
        <v>0x82656931c38f2b0b7f6f23a479bcdf5e94eb860b</v>
      </c>
      <c r="J1605" s="18">
        <v>48.3641275995966</v>
      </c>
      <c r="K1605" s="4">
        <v>604.5515949949574</v>
      </c>
      <c r="L1605" s="19">
        <v>6.045515949949574E20</v>
      </c>
      <c r="M1605" s="20">
        <v>6.045515949949574E19</v>
      </c>
    </row>
    <row r="1606">
      <c r="A1606" s="6"/>
      <c r="B1606" s="6"/>
      <c r="C1606" s="4"/>
      <c r="D1606" s="4">
        <v>48.3641275995966</v>
      </c>
      <c r="E1606" s="4" t="s">
        <v>2693</v>
      </c>
      <c r="F1606" s="4"/>
      <c r="G1606" s="4"/>
      <c r="H1606" s="4"/>
      <c r="I1606" s="4" t="str">
        <f>IFERROR(__xludf.DUMMYFUNCTION("""COMPUTED_VALUE"""),"0x35570f310697a5c687eb37b63b4ae696ce0d14c0")</f>
        <v>0x35570f310697a5c687eb37b63b4ae696ce0d14c0</v>
      </c>
      <c r="J1606" s="18">
        <v>19.3456510398386</v>
      </c>
      <c r="K1606" s="4">
        <v>241.8206379979825</v>
      </c>
      <c r="L1606" s="19">
        <v>2.4182063799798248E20</v>
      </c>
      <c r="M1606" s="20">
        <v>2.418206379979825E19</v>
      </c>
    </row>
    <row r="1607">
      <c r="A1607" s="6"/>
      <c r="B1607" s="6"/>
      <c r="C1607" s="4"/>
      <c r="D1607" s="4">
        <v>48.3641275995966</v>
      </c>
      <c r="E1607" s="4" t="s">
        <v>2694</v>
      </c>
      <c r="F1607" s="4"/>
      <c r="G1607" s="4"/>
      <c r="H1607" s="4"/>
      <c r="I1607" s="4" t="str">
        <f>IFERROR(__xludf.DUMMYFUNCTION("""COMPUTED_VALUE"""),"0xddd99beca9f7daa4bda89117259c9d3584f31e0a")</f>
        <v>0xddd99beca9f7daa4bda89117259c9d3584f31e0a</v>
      </c>
      <c r="J1607" s="18">
        <v>48.3641275995966</v>
      </c>
      <c r="K1607" s="4">
        <v>604.5515949949574</v>
      </c>
      <c r="L1607" s="19">
        <v>6.045515949949574E20</v>
      </c>
      <c r="M1607" s="20">
        <v>6.045515949949574E19</v>
      </c>
    </row>
    <row r="1608">
      <c r="A1608" s="6"/>
      <c r="B1608" s="6"/>
      <c r="C1608" s="4"/>
      <c r="D1608" s="4">
        <v>8.35444817618457</v>
      </c>
      <c r="E1608" s="4" t="s">
        <v>2695</v>
      </c>
      <c r="F1608" s="4"/>
      <c r="G1608" s="4"/>
      <c r="H1608" s="4"/>
      <c r="I1608" s="4" t="str">
        <f>IFERROR(__xludf.DUMMYFUNCTION("""COMPUTED_VALUE"""),"0x923c0bc1a01f64a8917164560815d0b48ba0f1d7")</f>
        <v>0x923c0bc1a01f64a8917164560815d0b48ba0f1d7</v>
      </c>
      <c r="J1608" s="18">
        <v>113.4683136722219</v>
      </c>
      <c r="K1608" s="4">
        <v>1418.3539209027738</v>
      </c>
      <c r="L1608" s="19">
        <v>1.4183539209027739E21</v>
      </c>
      <c r="M1608" s="20">
        <v>1.418353920902774E20</v>
      </c>
    </row>
    <row r="1609">
      <c r="A1609" s="6"/>
      <c r="B1609" s="6"/>
      <c r="C1609" s="4"/>
      <c r="D1609" s="4">
        <v>48.3641275995966</v>
      </c>
      <c r="E1609" s="4" t="s">
        <v>808</v>
      </c>
      <c r="F1609" s="4"/>
      <c r="G1609" s="4"/>
      <c r="H1609" s="4"/>
      <c r="I1609" s="4" t="str">
        <f>IFERROR(__xludf.DUMMYFUNCTION("""COMPUTED_VALUE"""),"0x21bf8881f509b48f762a65c4fc8068fcc46ac929")</f>
        <v>0x21bf8881f509b48f762a65c4fc8068fcc46ac929</v>
      </c>
      <c r="J1609" s="18">
        <v>0.522494944212999</v>
      </c>
      <c r="K1609" s="4">
        <v>6.5311868026624875</v>
      </c>
      <c r="L1609" s="19">
        <v>6.531186802662487E18</v>
      </c>
      <c r="M1609" s="20">
        <v>6.531186802662487E17</v>
      </c>
    </row>
    <row r="1610">
      <c r="A1610" s="6"/>
      <c r="B1610" s="6"/>
      <c r="C1610" s="4"/>
      <c r="D1610" s="4">
        <v>43.6354254513566</v>
      </c>
      <c r="E1610" s="4" t="s">
        <v>2697</v>
      </c>
      <c r="F1610" s="4"/>
      <c r="G1610" s="4"/>
      <c r="H1610" s="4"/>
      <c r="I1610" s="4" t="str">
        <f>IFERROR(__xludf.DUMMYFUNCTION("""COMPUTED_VALUE"""),"0x1df4946de400bc92ebbbc60e06defbd279308550")</f>
        <v>0x1df4946de400bc92ebbbc60e06defbd279308550</v>
      </c>
      <c r="J1610" s="18">
        <v>9.89320049428358</v>
      </c>
      <c r="K1610" s="4">
        <v>123.66500617854474</v>
      </c>
      <c r="L1610" s="19">
        <v>1.2366500617854475E20</v>
      </c>
      <c r="M1610" s="20">
        <v>1.2366500617854476E19</v>
      </c>
    </row>
    <row r="1611">
      <c r="A1611" s="6"/>
      <c r="B1611" s="6"/>
      <c r="C1611" s="4"/>
      <c r="D1611" s="4">
        <v>48.3641275995966</v>
      </c>
      <c r="E1611" s="4" t="s">
        <v>2699</v>
      </c>
      <c r="F1611" s="4"/>
      <c r="G1611" s="4"/>
      <c r="H1611" s="4"/>
      <c r="I1611" s="4" t="str">
        <f>IFERROR(__xludf.DUMMYFUNCTION("""COMPUTED_VALUE"""),"0x31f756166113cff5c49f0055e6acb76e7cb072f0")</f>
        <v>0x31f756166113cff5c49f0055e6acb76e7cb072f0</v>
      </c>
      <c r="J1611" s="18">
        <v>9.86628203031772</v>
      </c>
      <c r="K1611" s="4">
        <v>123.32852537897149</v>
      </c>
      <c r="L1611" s="19">
        <v>1.2332852537897148E20</v>
      </c>
      <c r="M1611" s="20">
        <v>1.2332852537897148E19</v>
      </c>
    </row>
    <row r="1612">
      <c r="A1612" s="6"/>
      <c r="B1612" s="6"/>
      <c r="C1612" s="4"/>
      <c r="D1612" s="4">
        <v>48.3641275995966</v>
      </c>
      <c r="E1612" s="4" t="s">
        <v>2700</v>
      </c>
      <c r="F1612" s="4"/>
      <c r="G1612" s="4"/>
      <c r="H1612" s="4"/>
      <c r="I1612" s="4" t="str">
        <f>IFERROR(__xludf.DUMMYFUNCTION("""COMPUTED_VALUE"""),"0x8192589b8079b8dc2a9269720b923972e3eeb0b5")</f>
        <v>0x8192589b8079b8dc2a9269720b923972e3eeb0b5</v>
      </c>
      <c r="J1612" s="18">
        <v>9.686879629511001</v>
      </c>
      <c r="K1612" s="4">
        <v>121.08599536888751</v>
      </c>
      <c r="L1612" s="19">
        <v>1.2108599536888752E20</v>
      </c>
      <c r="M1612" s="20">
        <v>1.2108599536888752E19</v>
      </c>
    </row>
    <row r="1613">
      <c r="A1613" s="6"/>
      <c r="B1613" s="6"/>
      <c r="C1613" s="4"/>
      <c r="D1613" s="4">
        <v>17.9529014224376</v>
      </c>
      <c r="E1613" s="4" t="s">
        <v>2701</v>
      </c>
      <c r="F1613" s="4"/>
      <c r="G1613" s="4"/>
      <c r="H1613" s="4"/>
      <c r="I1613" s="4" t="str">
        <f>IFERROR(__xludf.DUMMYFUNCTION("""COMPUTED_VALUE"""),"0x8ef517e81f2b5816b39dbee32336d7c17d27677e")</f>
        <v>0x8ef517e81f2b5816b39dbee32336d7c17d27677e</v>
      </c>
      <c r="J1613" s="18">
        <v>19.3456510398386</v>
      </c>
      <c r="K1613" s="4">
        <v>241.8206379979825</v>
      </c>
      <c r="L1613" s="19">
        <v>2.4182063799798248E20</v>
      </c>
      <c r="M1613" s="20">
        <v>2.418206379979825E19</v>
      </c>
    </row>
    <row r="1614">
      <c r="A1614" s="6"/>
      <c r="B1614" s="6"/>
      <c r="C1614" s="4"/>
      <c r="D1614" s="4">
        <v>10.919457993821</v>
      </c>
      <c r="E1614" s="4" t="s">
        <v>2703</v>
      </c>
      <c r="F1614" s="4"/>
      <c r="G1614" s="4"/>
      <c r="H1614" s="4"/>
      <c r="I1614" s="4" t="str">
        <f>IFERROR(__xludf.DUMMYFUNCTION("""COMPUTED_VALUE"""),"0x7c614c9da4a195f209ef9e63e5c6f5801db86fab")</f>
        <v>0x7c614c9da4a195f209ef9e63e5c6f5801db86fab</v>
      </c>
      <c r="J1614" s="18">
        <v>234.37608780709658</v>
      </c>
      <c r="K1614" s="4">
        <v>2929.7010975887074</v>
      </c>
      <c r="L1614" s="19">
        <v>2.9297010975887076E21</v>
      </c>
      <c r="M1614" s="20">
        <v>2.9297010975887078E20</v>
      </c>
    </row>
    <row r="1615">
      <c r="A1615" s="6"/>
      <c r="B1615" s="6"/>
      <c r="C1615" s="4"/>
      <c r="D1615" s="4">
        <v>47.883077857242604</v>
      </c>
      <c r="E1615" s="4" t="s">
        <v>2705</v>
      </c>
      <c r="F1615" s="4"/>
      <c r="G1615" s="4"/>
      <c r="H1615" s="4"/>
      <c r="I1615" s="4" t="str">
        <f>IFERROR(__xludf.DUMMYFUNCTION("""COMPUTED_VALUE"""),"0x48117526e7dccfb48a0651f4cc7d92e7e8b517d4")</f>
        <v>0x48117526e7dccfb48a0651f4cc7d92e7e8b517d4</v>
      </c>
      <c r="J1615" s="18">
        <v>48.3641275995966</v>
      </c>
      <c r="K1615" s="4">
        <v>604.5515949949574</v>
      </c>
      <c r="L1615" s="19">
        <v>6.045515949949574E20</v>
      </c>
      <c r="M1615" s="20">
        <v>6.045515949949574E19</v>
      </c>
    </row>
    <row r="1616">
      <c r="A1616" s="6"/>
      <c r="B1616" s="6"/>
      <c r="C1616" s="4"/>
      <c r="D1616" s="4">
        <v>37.6955454012099</v>
      </c>
      <c r="E1616" s="4" t="s">
        <v>2707</v>
      </c>
      <c r="F1616" s="4"/>
      <c r="G1616" s="4"/>
      <c r="H1616" s="4"/>
      <c r="I1616" s="4" t="str">
        <f>IFERROR(__xludf.DUMMYFUNCTION("""COMPUTED_VALUE"""),"0xeb8cfb283c51b37e415dea27a5fecfdc06303efa")</f>
        <v>0xeb8cfb283c51b37e415dea27a5fecfdc06303efa</v>
      </c>
      <c r="J1616" s="18">
        <v>9.6928215754228</v>
      </c>
      <c r="K1616" s="4">
        <v>121.160269692785</v>
      </c>
      <c r="L1616" s="19">
        <v>1.21160269692785E20</v>
      </c>
      <c r="M1616" s="20">
        <v>1.21160269692785E19</v>
      </c>
    </row>
    <row r="1617">
      <c r="A1617" s="6"/>
      <c r="B1617" s="6"/>
      <c r="C1617" s="4"/>
      <c r="D1617" s="4">
        <v>9.86628203031772</v>
      </c>
      <c r="E1617" s="4" t="s">
        <v>2709</v>
      </c>
      <c r="F1617" s="4"/>
      <c r="G1617" s="4"/>
      <c r="H1617" s="4"/>
      <c r="I1617" s="4" t="str">
        <f>IFERROR(__xludf.DUMMYFUNCTION("""COMPUTED_VALUE"""),"0x4158c7c3e80be7c9ae2cbd81a67e5a560bb9cae4")</f>
        <v>0x4158c7c3e80be7c9ae2cbd81a67e5a560bb9cae4</v>
      </c>
      <c r="J1617" s="18">
        <v>5.20329708432879</v>
      </c>
      <c r="K1617" s="4">
        <v>65.04121355410987</v>
      </c>
      <c r="L1617" s="19">
        <v>6.5041213554109874E19</v>
      </c>
      <c r="M1617" s="20">
        <v>6.504121355410988E18</v>
      </c>
    </row>
    <row r="1618">
      <c r="A1618" s="6"/>
      <c r="B1618" s="6"/>
      <c r="C1618" s="4"/>
      <c r="D1618" s="4">
        <v>9.672825519919328</v>
      </c>
      <c r="E1618" s="4" t="s">
        <v>2710</v>
      </c>
      <c r="F1618" s="4"/>
      <c r="G1618" s="4"/>
      <c r="H1618" s="4"/>
      <c r="I1618" s="4" t="str">
        <f>IFERROR(__xludf.DUMMYFUNCTION("""COMPUTED_VALUE"""),"0xf6204ec8cd77f21a170762150301c73782573e47")</f>
        <v>0xf6204ec8cd77f21a170762150301c73782573e47</v>
      </c>
      <c r="J1618" s="18">
        <v>16.4807988285678</v>
      </c>
      <c r="K1618" s="4">
        <v>206.0099853570975</v>
      </c>
      <c r="L1618" s="19">
        <v>2.060099853570975E20</v>
      </c>
      <c r="M1618" s="20">
        <v>2.060099853570975E19</v>
      </c>
    </row>
    <row r="1619">
      <c r="A1619" s="6"/>
      <c r="B1619" s="6"/>
      <c r="C1619" s="4"/>
      <c r="D1619" s="4">
        <v>47.9201604066137</v>
      </c>
      <c r="E1619" s="4" t="s">
        <v>2711</v>
      </c>
      <c r="F1619" s="4"/>
      <c r="G1619" s="4"/>
      <c r="H1619" s="4"/>
      <c r="I1619" s="4" t="str">
        <f>IFERROR(__xludf.DUMMYFUNCTION("""COMPUTED_VALUE"""),"0xeb4e674151af340b658ab301563def0029a96d6f")</f>
        <v>0xeb4e674151af340b658ab301563def0029a96d6f</v>
      </c>
      <c r="J1619" s="18">
        <v>92.96159141524619</v>
      </c>
      <c r="K1619" s="4">
        <v>1162.0198926905773</v>
      </c>
      <c r="L1619" s="19">
        <v>1.1620198926905773E21</v>
      </c>
      <c r="M1619" s="20">
        <v>1.1620198926905773E20</v>
      </c>
    </row>
    <row r="1620">
      <c r="A1620" s="6"/>
      <c r="B1620" s="6"/>
      <c r="C1620" s="4"/>
      <c r="D1620" s="4">
        <v>46.796496130966005</v>
      </c>
      <c r="E1620" s="4" t="s">
        <v>1052</v>
      </c>
      <c r="F1620" s="4"/>
      <c r="G1620" s="4"/>
      <c r="H1620" s="4"/>
      <c r="I1620" s="4" t="str">
        <f>IFERROR(__xludf.DUMMYFUNCTION("""COMPUTED_VALUE"""),"0x8f25098cdd6e815d2fc138516fd3da75f161893b")</f>
        <v>0x8f25098cdd6e815d2fc138516fd3da75f161893b</v>
      </c>
      <c r="J1620" s="18">
        <v>53.14257870355315</v>
      </c>
      <c r="K1620" s="4">
        <v>664.2822337944143</v>
      </c>
      <c r="L1620" s="19">
        <v>6.642822337944142E20</v>
      </c>
      <c r="M1620" s="20">
        <v>6.642822337944143E19</v>
      </c>
    </row>
    <row r="1621">
      <c r="A1621" s="6"/>
      <c r="B1621" s="6"/>
      <c r="C1621" s="4"/>
      <c r="D1621" s="4">
        <v>0.633028146624974</v>
      </c>
      <c r="E1621" s="4" t="s">
        <v>2714</v>
      </c>
      <c r="F1621" s="4"/>
      <c r="G1621" s="4"/>
      <c r="H1621" s="4"/>
      <c r="I1621" s="4" t="str">
        <f>IFERROR(__xludf.DUMMYFUNCTION("""COMPUTED_VALUE"""),"0xa2172f9440b0c3f709202b176824b542d71f8488")</f>
        <v>0xa2172f9440b0c3f709202b176824b542d71f8488</v>
      </c>
      <c r="J1621" s="18">
        <v>134.115900836247</v>
      </c>
      <c r="K1621" s="4">
        <v>1676.4487604530873</v>
      </c>
      <c r="L1621" s="19">
        <v>1.6764487604530874E21</v>
      </c>
      <c r="M1621" s="20">
        <v>1.6764487604530876E20</v>
      </c>
    </row>
    <row r="1622">
      <c r="A1622" s="6"/>
      <c r="B1622" s="6"/>
      <c r="C1622" s="4"/>
      <c r="D1622" s="4">
        <v>13.3619005449439</v>
      </c>
      <c r="E1622" s="4" t="s">
        <v>375</v>
      </c>
      <c r="F1622" s="4"/>
      <c r="G1622" s="4"/>
      <c r="H1622" s="4"/>
      <c r="I1622" s="4" t="str">
        <f>IFERROR(__xludf.DUMMYFUNCTION("""COMPUTED_VALUE"""),"0x00e72dc37378a8aac65786e8f9f1fe6023d5182d")</f>
        <v>0x00e72dc37378a8aac65786e8f9f1fe6023d5182d</v>
      </c>
      <c r="J1622" s="18">
        <v>2.47982552101148</v>
      </c>
      <c r="K1622" s="4">
        <v>30.9978190126435</v>
      </c>
      <c r="L1622" s="19">
        <v>3.09978190126435E19</v>
      </c>
      <c r="M1622" s="20">
        <v>3.09978190126435E18</v>
      </c>
    </row>
    <row r="1623">
      <c r="A1623" s="6"/>
      <c r="B1623" s="6"/>
      <c r="C1623" s="4"/>
      <c r="D1623" s="4">
        <v>48.3641275995966</v>
      </c>
      <c r="E1623" s="4" t="s">
        <v>2717</v>
      </c>
      <c r="F1623" s="4"/>
      <c r="G1623" s="4"/>
      <c r="H1623" s="4"/>
      <c r="I1623" s="4" t="str">
        <f>IFERROR(__xludf.DUMMYFUNCTION("""COMPUTED_VALUE"""),"0x2ce263ae03152b68f1229984e8a620161b11205e")</f>
        <v>0x2ce263ae03152b68f1229984e8a620161b11205e</v>
      </c>
      <c r="J1623" s="18">
        <v>0.193456510398386</v>
      </c>
      <c r="K1623" s="4">
        <v>2.418206379979825</v>
      </c>
      <c r="L1623" s="19">
        <v>2.418206379979825E18</v>
      </c>
      <c r="M1623" s="20">
        <v>2.4182063799798253E17</v>
      </c>
    </row>
    <row r="1624">
      <c r="A1624" s="6"/>
      <c r="B1624" s="6"/>
      <c r="C1624" s="4"/>
      <c r="D1624" s="4">
        <v>48.3641275995966</v>
      </c>
      <c r="E1624" s="4" t="s">
        <v>2718</v>
      </c>
      <c r="F1624" s="4"/>
      <c r="G1624" s="4"/>
      <c r="H1624" s="4"/>
      <c r="I1624" s="4" t="str">
        <f>IFERROR(__xludf.DUMMYFUNCTION("""COMPUTED_VALUE"""),"0x5d049bc0947673b6617a7f7e122b4e3deecc88ff")</f>
        <v>0x5d049bc0947673b6617a7f7e122b4e3deecc88ff</v>
      </c>
      <c r="J1624" s="18">
        <v>24.0461500423851</v>
      </c>
      <c r="K1624" s="4">
        <v>300.5768755298138</v>
      </c>
      <c r="L1624" s="19">
        <v>3.0057687552981375E20</v>
      </c>
      <c r="M1624" s="20">
        <v>3.0057687552981377E19</v>
      </c>
    </row>
    <row r="1625">
      <c r="A1625" s="6"/>
      <c r="B1625" s="6"/>
      <c r="C1625" s="4"/>
      <c r="D1625" s="4">
        <v>45.429193723344895</v>
      </c>
      <c r="E1625" s="4" t="s">
        <v>2719</v>
      </c>
      <c r="F1625" s="4"/>
      <c r="G1625" s="4"/>
      <c r="H1625" s="4"/>
      <c r="I1625" s="4" t="str">
        <f>IFERROR(__xludf.DUMMYFUNCTION("""COMPUTED_VALUE"""),"0x431c6b6c901131e124910a4c35f59dfdc3ca578a")</f>
        <v>0x431c6b6c901131e124910a4c35f59dfdc3ca578a</v>
      </c>
      <c r="J1625" s="18">
        <v>48.3641275995966</v>
      </c>
      <c r="K1625" s="4">
        <v>604.5515949949574</v>
      </c>
      <c r="L1625" s="19">
        <v>6.045515949949574E20</v>
      </c>
      <c r="M1625" s="20">
        <v>6.045515949949574E19</v>
      </c>
    </row>
    <row r="1626">
      <c r="A1626" s="6"/>
      <c r="B1626" s="6"/>
      <c r="C1626" s="4"/>
      <c r="D1626" s="4">
        <v>48.3641275995966</v>
      </c>
      <c r="E1626" s="4" t="s">
        <v>2721</v>
      </c>
      <c r="F1626" s="4"/>
      <c r="G1626" s="4"/>
      <c r="H1626" s="4"/>
      <c r="I1626" s="4" t="str">
        <f>IFERROR(__xludf.DUMMYFUNCTION("""COMPUTED_VALUE"""),"0x915ec8d3cb6df56845c974a82373f2a1f353fa83")</f>
        <v>0x915ec8d3cb6df56845c974a82373f2a1f353fa83</v>
      </c>
      <c r="J1626" s="18">
        <v>48.3641275995966</v>
      </c>
      <c r="K1626" s="4">
        <v>604.5515949949574</v>
      </c>
      <c r="L1626" s="19">
        <v>6.045515949949574E20</v>
      </c>
      <c r="M1626" s="20">
        <v>6.045515949949574E19</v>
      </c>
    </row>
    <row r="1627">
      <c r="A1627" s="6"/>
      <c r="B1627" s="6"/>
      <c r="C1627" s="4"/>
      <c r="D1627" s="4">
        <v>24.6270137737146</v>
      </c>
      <c r="E1627" s="4" t="s">
        <v>2722</v>
      </c>
      <c r="F1627" s="4"/>
      <c r="G1627" s="4"/>
      <c r="H1627" s="4"/>
      <c r="I1627" s="4" t="str">
        <f>IFERROR(__xludf.DUMMYFUNCTION("""COMPUTED_VALUE"""),"0x2d8774e99e2ed6cbc1536c8fc463f02deee14334")</f>
        <v>0x2d8774e99e2ed6cbc1536c8fc463f02deee14334</v>
      </c>
      <c r="J1627" s="18">
        <v>48.3641275995966</v>
      </c>
      <c r="K1627" s="4">
        <v>604.5515949949574</v>
      </c>
      <c r="L1627" s="19">
        <v>6.045515949949574E20</v>
      </c>
      <c r="M1627" s="20">
        <v>6.045515949949574E19</v>
      </c>
    </row>
    <row r="1628">
      <c r="A1628" s="6"/>
      <c r="B1628" s="6"/>
      <c r="C1628" s="4"/>
      <c r="D1628" s="4">
        <v>48.3641275995966</v>
      </c>
      <c r="E1628" s="4" t="s">
        <v>2724</v>
      </c>
      <c r="F1628" s="4"/>
      <c r="G1628" s="4"/>
      <c r="H1628" s="4"/>
      <c r="I1628" s="4" t="str">
        <f>IFERROR(__xludf.DUMMYFUNCTION("""COMPUTED_VALUE"""),"0x608f79bd12483ae2f50be1a9d876f4cc6734bca4")</f>
        <v>0x608f79bd12483ae2f50be1a9d876f4cc6734bca4</v>
      </c>
      <c r="J1628" s="18">
        <v>234.37608780709658</v>
      </c>
      <c r="K1628" s="4">
        <v>2929.7010975887074</v>
      </c>
      <c r="L1628" s="19">
        <v>2.9297010975887076E21</v>
      </c>
      <c r="M1628" s="20">
        <v>2.9297010975887078E20</v>
      </c>
    </row>
    <row r="1629">
      <c r="A1629" s="6"/>
      <c r="B1629" s="6"/>
      <c r="C1629" s="4"/>
      <c r="D1629" s="4">
        <v>48.3641275995966</v>
      </c>
      <c r="E1629" s="4" t="s">
        <v>487</v>
      </c>
      <c r="F1629" s="4"/>
      <c r="G1629" s="4"/>
      <c r="H1629" s="4"/>
      <c r="I1629" s="4" t="str">
        <f>IFERROR(__xludf.DUMMYFUNCTION("""COMPUTED_VALUE"""),"0x930ce864fec1fffad82340ed3a41763fb24cdb2d")</f>
        <v>0x930ce864fec1fffad82340ed3a41763fb24cdb2d</v>
      </c>
      <c r="J1629" s="18">
        <v>7.49004344877453</v>
      </c>
      <c r="K1629" s="4">
        <v>93.62554310968163</v>
      </c>
      <c r="L1629" s="19">
        <v>9.362554310968163E19</v>
      </c>
      <c r="M1629" s="20">
        <v>9.362554310968162E18</v>
      </c>
    </row>
    <row r="1630">
      <c r="A1630" s="6"/>
      <c r="B1630" s="6"/>
      <c r="C1630" s="4"/>
      <c r="D1630" s="4">
        <v>48.3641275995966</v>
      </c>
      <c r="E1630" s="4" t="s">
        <v>2725</v>
      </c>
      <c r="F1630" s="4"/>
      <c r="G1630" s="4"/>
      <c r="H1630" s="4"/>
      <c r="I1630" s="4" t="str">
        <f>IFERROR(__xludf.DUMMYFUNCTION("""COMPUTED_VALUE"""),"0x177656e09a959afe4ccc48d127b639c00c198c5b")</f>
        <v>0x177656e09a959afe4ccc48d127b639c00c198c5b</v>
      </c>
      <c r="J1630" s="18">
        <v>5.164892409652031</v>
      </c>
      <c r="K1630" s="4">
        <v>64.56115512065038</v>
      </c>
      <c r="L1630" s="19">
        <v>6.456115512065038E19</v>
      </c>
      <c r="M1630" s="20">
        <v>6.456115512065038E18</v>
      </c>
    </row>
    <row r="1631">
      <c r="A1631" s="6"/>
      <c r="B1631" s="6"/>
      <c r="C1631" s="4"/>
      <c r="D1631" s="4">
        <v>21.9582090827283</v>
      </c>
      <c r="E1631" s="4" t="s">
        <v>628</v>
      </c>
      <c r="F1631" s="4"/>
      <c r="G1631" s="4"/>
      <c r="H1631" s="4"/>
      <c r="I1631" s="4" t="str">
        <f>IFERROR(__xludf.DUMMYFUNCTION("""COMPUTED_VALUE"""),"0x91088421122510c56f31901c7059401d692e0ef8")</f>
        <v>0x91088421122510c56f31901c7059401d692e0ef8</v>
      </c>
      <c r="J1631" s="18">
        <v>23.540944044966302</v>
      </c>
      <c r="K1631" s="4">
        <v>294.26180056207875</v>
      </c>
      <c r="L1631" s="19">
        <v>2.9426180056207874E20</v>
      </c>
      <c r="M1631" s="20">
        <v>2.9426180056207876E19</v>
      </c>
    </row>
    <row r="1632">
      <c r="A1632" s="6"/>
      <c r="B1632" s="6"/>
      <c r="C1632" s="4"/>
      <c r="D1632" s="4">
        <v>48.3641275995966</v>
      </c>
      <c r="E1632" s="4" t="s">
        <v>2727</v>
      </c>
      <c r="F1632" s="4"/>
      <c r="G1632" s="4"/>
      <c r="H1632" s="4"/>
      <c r="I1632" s="4" t="str">
        <f>IFERROR(__xludf.DUMMYFUNCTION("""COMPUTED_VALUE"""),"0x893a15e3f1b68c4418316f644128968a7a2b069f")</f>
        <v>0x893a15e3f1b68c4418316f644128968a7a2b069f</v>
      </c>
      <c r="J1632" s="18">
        <v>48.3641275995966</v>
      </c>
      <c r="K1632" s="4">
        <v>604.5515949949574</v>
      </c>
      <c r="L1632" s="19">
        <v>6.045515949949574E20</v>
      </c>
      <c r="M1632" s="20">
        <v>6.045515949949574E19</v>
      </c>
    </row>
    <row r="1633">
      <c r="A1633" s="6"/>
      <c r="B1633" s="6"/>
      <c r="C1633" s="4"/>
      <c r="D1633" s="4">
        <v>48.3641275995966</v>
      </c>
      <c r="E1633" s="4" t="s">
        <v>2728</v>
      </c>
      <c r="F1633" s="4"/>
      <c r="G1633" s="4"/>
      <c r="H1633" s="4"/>
      <c r="I1633" s="4" t="str">
        <f>IFERROR(__xludf.DUMMYFUNCTION("""COMPUTED_VALUE"""),"0xdf2f10b9a7b8f8788f5aeb594145d630a5a95dd0")</f>
        <v>0xdf2f10b9a7b8f8788f5aeb594145d630a5a95dd0</v>
      </c>
      <c r="J1633" s="18">
        <v>9.672825519919328</v>
      </c>
      <c r="K1633" s="4">
        <v>120.9103189989916</v>
      </c>
      <c r="L1633" s="19">
        <v>1.209103189989916E20</v>
      </c>
      <c r="M1633" s="20">
        <v>1.209103189989916E19</v>
      </c>
    </row>
    <row r="1634">
      <c r="A1634" s="6"/>
      <c r="B1634" s="6"/>
      <c r="C1634" s="4"/>
      <c r="D1634" s="4">
        <v>43.56379069566481</v>
      </c>
      <c r="E1634" s="4" t="s">
        <v>2729</v>
      </c>
      <c r="F1634" s="4"/>
      <c r="G1634" s="4"/>
      <c r="H1634" s="4"/>
      <c r="I1634" s="4" t="str">
        <f>IFERROR(__xludf.DUMMYFUNCTION("""COMPUTED_VALUE"""),"0x6a6a00f7ef6e076fdf126c15e12a9babb78c7a65")</f>
        <v>0x6a6a00f7ef6e076fdf126c15e12a9babb78c7a65</v>
      </c>
      <c r="J1634" s="18">
        <v>57.95936855494032</v>
      </c>
      <c r="K1634" s="4">
        <v>724.492106936754</v>
      </c>
      <c r="L1634" s="19">
        <v>7.24492106936754E20</v>
      </c>
      <c r="M1634" s="20">
        <v>7.24492106936754E19</v>
      </c>
    </row>
    <row r="1635">
      <c r="A1635" s="6"/>
      <c r="B1635" s="6"/>
      <c r="C1635" s="4"/>
      <c r="D1635" s="4">
        <v>9.687776407805059</v>
      </c>
      <c r="E1635" s="4" t="s">
        <v>2731</v>
      </c>
      <c r="F1635" s="4"/>
      <c r="G1635" s="4"/>
      <c r="H1635" s="4"/>
      <c r="I1635" s="4" t="str">
        <f>IFERROR(__xludf.DUMMYFUNCTION("""COMPUTED_VALUE"""),"0xc818e913984193e4c11b5c61339551f32cf26711")</f>
        <v>0xc818e913984193e4c11b5c61339551f32cf26711</v>
      </c>
      <c r="J1635" s="18">
        <v>48.3641275995966</v>
      </c>
      <c r="K1635" s="4">
        <v>604.5515949949574</v>
      </c>
      <c r="L1635" s="19">
        <v>6.045515949949574E20</v>
      </c>
      <c r="M1635" s="20">
        <v>6.045515949949574E19</v>
      </c>
    </row>
    <row r="1636">
      <c r="A1636" s="6"/>
      <c r="B1636" s="6"/>
      <c r="C1636" s="4"/>
      <c r="D1636" s="4">
        <v>43.179802020123</v>
      </c>
      <c r="E1636" s="4" t="s">
        <v>2733</v>
      </c>
      <c r="F1636" s="4"/>
      <c r="G1636" s="4"/>
      <c r="H1636" s="4"/>
      <c r="I1636" s="4" t="str">
        <f>IFERROR(__xludf.DUMMYFUNCTION("""COMPUTED_VALUE"""),"0x22180730a5dc9f4ec8fd7d4a210e10b8d004a465")</f>
        <v>0x22180730a5dc9f4ec8fd7d4a210e10b8d004a465</v>
      </c>
      <c r="J1636" s="18">
        <v>48.3641275995966</v>
      </c>
      <c r="K1636" s="4">
        <v>604.5515949949574</v>
      </c>
      <c r="L1636" s="19">
        <v>6.045515949949574E20</v>
      </c>
      <c r="M1636" s="20">
        <v>6.045515949949574E19</v>
      </c>
    </row>
    <row r="1637">
      <c r="A1637" s="6"/>
      <c r="B1637" s="6"/>
      <c r="C1637" s="4"/>
      <c r="D1637" s="4">
        <v>46.6838576321113</v>
      </c>
      <c r="E1637" s="4" t="s">
        <v>2735</v>
      </c>
      <c r="F1637" s="4"/>
      <c r="G1637" s="4"/>
      <c r="H1637" s="4"/>
      <c r="I1637" s="4" t="str">
        <f>IFERROR(__xludf.DUMMYFUNCTION("""COMPUTED_VALUE"""),"0x61fcb864d0ee3892e7dea89107fb5fdaa8dd6605")</f>
        <v>0x61fcb864d0ee3892e7dea89107fb5fdaa8dd6605</v>
      </c>
      <c r="J1637" s="18">
        <v>225.8072964187233</v>
      </c>
      <c r="K1637" s="4">
        <v>2822.5912052340414</v>
      </c>
      <c r="L1637" s="19">
        <v>2.822591205234041E21</v>
      </c>
      <c r="M1637" s="20">
        <v>2.822591205234041E20</v>
      </c>
    </row>
    <row r="1638">
      <c r="A1638" s="6"/>
      <c r="B1638" s="6"/>
      <c r="C1638" s="4"/>
      <c r="D1638" s="4">
        <v>48.3641275995966</v>
      </c>
      <c r="E1638" s="4" t="s">
        <v>2737</v>
      </c>
      <c r="F1638" s="4"/>
      <c r="G1638" s="4"/>
      <c r="H1638" s="4"/>
      <c r="I1638" s="4" t="str">
        <f>IFERROR(__xludf.DUMMYFUNCTION("""COMPUTED_VALUE"""),"0xf4032da66ca3e2fc30dadc7d51fe8080e24aa9b3")</f>
        <v>0xf4032da66ca3e2fc30dadc7d51fe8080e24aa9b3</v>
      </c>
      <c r="J1638" s="18">
        <v>9.781725266161459</v>
      </c>
      <c r="K1638" s="4">
        <v>122.27156582701824</v>
      </c>
      <c r="L1638" s="19">
        <v>1.2227156582701824E20</v>
      </c>
      <c r="M1638" s="20">
        <v>1.2227156582701826E19</v>
      </c>
    </row>
    <row r="1639">
      <c r="A1639" s="6"/>
      <c r="B1639" s="6"/>
      <c r="C1639" s="4"/>
      <c r="D1639" s="4">
        <v>48.3641275995966</v>
      </c>
      <c r="E1639" s="4" t="s">
        <v>2738</v>
      </c>
      <c r="F1639" s="4"/>
      <c r="G1639" s="4"/>
      <c r="H1639" s="4"/>
      <c r="I1639" s="4" t="str">
        <f>IFERROR(__xludf.DUMMYFUNCTION("""COMPUTED_VALUE"""),"0x04e19eed5fd3f2402f0f7e95425c498f4c62d02e")</f>
        <v>0x04e19eed5fd3f2402f0f7e95425c498f4c62d02e</v>
      </c>
      <c r="J1639" s="18">
        <v>36.4064473357744</v>
      </c>
      <c r="K1639" s="4">
        <v>455.08059169718</v>
      </c>
      <c r="L1639" s="19">
        <v>4.5508059169718003E20</v>
      </c>
      <c r="M1639" s="20">
        <v>4.550805916971801E19</v>
      </c>
    </row>
    <row r="1640">
      <c r="A1640" s="6"/>
      <c r="B1640" s="6"/>
      <c r="C1640" s="4"/>
      <c r="D1640" s="4">
        <v>9.480077028232401</v>
      </c>
      <c r="E1640" s="4" t="s">
        <v>2739</v>
      </c>
      <c r="F1640" s="4"/>
      <c r="G1640" s="4"/>
      <c r="H1640" s="4"/>
      <c r="I1640" s="4" t="str">
        <f>IFERROR(__xludf.DUMMYFUNCTION("""COMPUTED_VALUE"""),"0x1c4093a2153ad497e8a85174488083a49b4bbf93")</f>
        <v>0x1c4093a2153ad497e8a85174488083a49b4bbf93</v>
      </c>
      <c r="J1640" s="18">
        <v>13.7030970832564</v>
      </c>
      <c r="K1640" s="4">
        <v>171.288713540705</v>
      </c>
      <c r="L1640" s="19">
        <v>1.71288713540705E20</v>
      </c>
      <c r="M1640" s="20">
        <v>1.71288713540705E19</v>
      </c>
    </row>
    <row r="1641">
      <c r="A1641" s="6"/>
      <c r="B1641" s="6"/>
      <c r="C1641" s="4"/>
      <c r="D1641" s="4">
        <v>48.3641275995966</v>
      </c>
      <c r="E1641" s="4" t="s">
        <v>1044</v>
      </c>
      <c r="F1641" s="4"/>
      <c r="G1641" s="4"/>
      <c r="H1641" s="4"/>
      <c r="I1641" s="4" t="str">
        <f>IFERROR(__xludf.DUMMYFUNCTION("""COMPUTED_VALUE"""),"0xdc34ebbd33d8a9641808503a18a9181fd8e9f997")</f>
        <v>0xdc34ebbd33d8a9641808503a18a9181fd8e9f997</v>
      </c>
      <c r="J1641" s="18">
        <v>13.1579409795347</v>
      </c>
      <c r="K1641" s="4">
        <v>164.47426224418376</v>
      </c>
      <c r="L1641" s="19">
        <v>1.6447426224418377E20</v>
      </c>
      <c r="M1641" s="20">
        <v>1.6447426224418378E19</v>
      </c>
    </row>
    <row r="1642">
      <c r="A1642" s="6"/>
      <c r="B1642" s="6"/>
      <c r="C1642" s="4"/>
      <c r="D1642" s="4">
        <v>24.819858733752202</v>
      </c>
      <c r="E1642" s="4" t="s">
        <v>2741</v>
      </c>
      <c r="F1642" s="4"/>
      <c r="G1642" s="4"/>
      <c r="H1642" s="4"/>
      <c r="I1642" s="4" t="str">
        <f>IFERROR(__xludf.DUMMYFUNCTION("""COMPUTED_VALUE"""),"0x9e7ee7d242c53ca8e36258e462333beb9649d1c6")</f>
        <v>0x9e7ee7d242c53ca8e36258e462333beb9649d1c6</v>
      </c>
      <c r="J1642" s="18">
        <v>48.3641275995966</v>
      </c>
      <c r="K1642" s="4">
        <v>604.5515949949574</v>
      </c>
      <c r="L1642" s="19">
        <v>6.045515949949574E20</v>
      </c>
      <c r="M1642" s="20">
        <v>6.045515949949574E19</v>
      </c>
    </row>
    <row r="1643">
      <c r="A1643" s="6"/>
      <c r="B1643" s="6"/>
      <c r="C1643" s="4"/>
      <c r="D1643" s="4">
        <v>48.3641275995966</v>
      </c>
      <c r="E1643" s="4" t="s">
        <v>2743</v>
      </c>
      <c r="F1643" s="4"/>
      <c r="G1643" s="4"/>
      <c r="H1643" s="4"/>
      <c r="I1643" s="4" t="str">
        <f>IFERROR(__xludf.DUMMYFUNCTION("""COMPUTED_VALUE"""),"0x2c265355448e01fa2f0ffe5ba3b1c4621c4e285a")</f>
        <v>0x2c265355448e01fa2f0ffe5ba3b1c4621c4e285a</v>
      </c>
      <c r="J1643" s="18">
        <v>5.8036953119516</v>
      </c>
      <c r="K1643" s="4">
        <v>72.546191399395</v>
      </c>
      <c r="L1643" s="19">
        <v>7.2546191399395E19</v>
      </c>
      <c r="M1643" s="20">
        <v>7.2546191399395E18</v>
      </c>
    </row>
    <row r="1644">
      <c r="A1644" s="6"/>
      <c r="B1644" s="6"/>
      <c r="C1644" s="4"/>
      <c r="D1644" s="4">
        <v>27.1415396518113</v>
      </c>
      <c r="E1644" s="4" t="s">
        <v>2744</v>
      </c>
      <c r="F1644" s="4"/>
      <c r="G1644" s="4"/>
      <c r="H1644" s="4"/>
      <c r="I1644" s="4" t="str">
        <f>IFERROR(__xludf.DUMMYFUNCTION("""COMPUTED_VALUE"""),"0x17f6a95ee23fec9b84685971dd30f1d6c4d4e6ec")</f>
        <v>0x17f6a95ee23fec9b84685971dd30f1d6c4d4e6ec</v>
      </c>
      <c r="J1644" s="18">
        <v>1.2350529158505401</v>
      </c>
      <c r="K1644" s="4">
        <v>15.438161448131751</v>
      </c>
      <c r="L1644" s="19">
        <v>1.5438161448131752E19</v>
      </c>
      <c r="M1644" s="20">
        <v>1.5438161448131753E18</v>
      </c>
    </row>
    <row r="1645">
      <c r="A1645" s="6"/>
      <c r="B1645" s="6"/>
      <c r="C1645" s="4"/>
      <c r="D1645" s="4">
        <v>6.77097786394353</v>
      </c>
      <c r="E1645" s="4" t="s">
        <v>2746</v>
      </c>
      <c r="F1645" s="4"/>
      <c r="G1645" s="4"/>
      <c r="H1645" s="4"/>
      <c r="I1645" s="4" t="str">
        <f>IFERROR(__xludf.DUMMYFUNCTION("""COMPUTED_VALUE"""),"0xbc777978adeb3408cad8eb9baf004fb160cc017c")</f>
        <v>0xbc777978adeb3408cad8eb9baf004fb160cc017c</v>
      </c>
      <c r="J1645" s="18">
        <v>20.734083378521003</v>
      </c>
      <c r="K1645" s="4">
        <v>259.17604223151255</v>
      </c>
      <c r="L1645" s="19">
        <v>2.5917604223151256E20</v>
      </c>
      <c r="M1645" s="20">
        <v>2.591760422315126E19</v>
      </c>
    </row>
    <row r="1646">
      <c r="A1646" s="6"/>
      <c r="B1646" s="6"/>
      <c r="C1646" s="4"/>
      <c r="D1646" s="4">
        <v>48.3641275995966</v>
      </c>
      <c r="E1646" s="4" t="s">
        <v>942</v>
      </c>
      <c r="F1646" s="4"/>
      <c r="G1646" s="4"/>
      <c r="H1646" s="4"/>
      <c r="I1646" s="4" t="str">
        <f>IFERROR(__xludf.DUMMYFUNCTION("""COMPUTED_VALUE"""),"0xd84d7bdc4b79171917c81ddbb22a01139eb4cd84")</f>
        <v>0xd84d7bdc4b79171917c81ddbb22a01139eb4cd84</v>
      </c>
      <c r="J1646" s="18">
        <v>1.93456510398386</v>
      </c>
      <c r="K1646" s="4">
        <v>24.18206379979825</v>
      </c>
      <c r="L1646" s="19">
        <v>2.418206379979825E19</v>
      </c>
      <c r="M1646" s="20">
        <v>2.418206379979825E18</v>
      </c>
    </row>
    <row r="1647">
      <c r="A1647" s="6"/>
      <c r="B1647" s="6"/>
      <c r="C1647" s="4"/>
      <c r="D1647" s="4">
        <v>9.71942764310728</v>
      </c>
      <c r="E1647" s="4" t="s">
        <v>2747</v>
      </c>
      <c r="F1647" s="4"/>
      <c r="G1647" s="4"/>
      <c r="H1647" s="4"/>
      <c r="I1647" s="4" t="str">
        <f>IFERROR(__xludf.DUMMYFUNCTION("""COMPUTED_VALUE"""),"0xc7e0175990c3382f9662e700ad60432c18082208")</f>
        <v>0xc7e0175990c3382f9662e700ad60432c18082208</v>
      </c>
      <c r="J1647" s="18">
        <v>78.0223588724644</v>
      </c>
      <c r="K1647" s="4">
        <v>975.2794859058049</v>
      </c>
      <c r="L1647" s="19">
        <v>9.752794859058049E20</v>
      </c>
      <c r="M1647" s="20">
        <v>9.75279485905805E19</v>
      </c>
    </row>
    <row r="1648">
      <c r="A1648" s="6"/>
      <c r="B1648" s="6"/>
      <c r="C1648" s="4"/>
      <c r="D1648" s="4">
        <v>48.3641275995966</v>
      </c>
      <c r="E1648" s="4" t="s">
        <v>2749</v>
      </c>
      <c r="F1648" s="4"/>
      <c r="G1648" s="4"/>
      <c r="H1648" s="4"/>
      <c r="I1648" s="4" t="str">
        <f>IFERROR(__xludf.DUMMYFUNCTION("""COMPUTED_VALUE"""),"0xd0312be053a21fdcb87b5a198bcb0bbca57a74f3")</f>
        <v>0xd0312be053a21fdcb87b5a198bcb0bbca57a74f3</v>
      </c>
      <c r="J1648" s="18">
        <v>19.3456510398386</v>
      </c>
      <c r="K1648" s="4">
        <v>241.8206379979825</v>
      </c>
      <c r="L1648" s="19">
        <v>2.4182063799798248E20</v>
      </c>
      <c r="M1648" s="20">
        <v>2.418206379979825E19</v>
      </c>
    </row>
    <row r="1649">
      <c r="A1649" s="6"/>
      <c r="B1649" s="6"/>
      <c r="C1649" s="4"/>
      <c r="D1649" s="4">
        <v>6.632860197152239</v>
      </c>
      <c r="E1649" s="4" t="s">
        <v>2750</v>
      </c>
      <c r="F1649" s="4"/>
      <c r="G1649" s="4"/>
      <c r="H1649" s="4"/>
      <c r="I1649" s="4" t="str">
        <f>IFERROR(__xludf.DUMMYFUNCTION("""COMPUTED_VALUE"""),"0x2f3b28ba96abdaaaeea73cf23807f1db3e4d1e5f")</f>
        <v>0x2f3b28ba96abdaaaeea73cf23807f1db3e4d1e5f</v>
      </c>
      <c r="J1649" s="18">
        <v>46.7072374532285</v>
      </c>
      <c r="K1649" s="4">
        <v>583.8404681653562</v>
      </c>
      <c r="L1649" s="19">
        <v>5.838404681653562E20</v>
      </c>
      <c r="M1649" s="20">
        <v>5.8384046816535626E19</v>
      </c>
    </row>
    <row r="1650">
      <c r="A1650" s="6"/>
      <c r="B1650" s="6"/>
      <c r="C1650" s="4"/>
      <c r="D1650" s="4">
        <v>15.396330359136</v>
      </c>
      <c r="E1650" s="4" t="s">
        <v>2752</v>
      </c>
      <c r="F1650" s="4"/>
      <c r="G1650" s="4"/>
      <c r="H1650" s="4"/>
      <c r="I1650" s="4" t="str">
        <f>IFERROR(__xludf.DUMMYFUNCTION("""COMPUTED_VALUE"""),"0xa220664e9d0bce7e063a8ca5daf963c48df85fa5")</f>
        <v>0xa220664e9d0bce7e063a8ca5daf963c48df85fa5</v>
      </c>
      <c r="J1650" s="18">
        <v>234.37608780709658</v>
      </c>
      <c r="K1650" s="4">
        <v>2929.7010975887074</v>
      </c>
      <c r="L1650" s="19">
        <v>2.9297010975887076E21</v>
      </c>
      <c r="M1650" s="20">
        <v>2.9297010975887078E20</v>
      </c>
    </row>
    <row r="1651">
      <c r="A1651" s="6"/>
      <c r="B1651" s="6"/>
      <c r="C1651" s="4"/>
      <c r="D1651" s="4">
        <v>48.3641275995966</v>
      </c>
      <c r="E1651" s="4" t="s">
        <v>2754</v>
      </c>
      <c r="F1651" s="4"/>
      <c r="G1651" s="4"/>
      <c r="H1651" s="4"/>
      <c r="I1651" s="4" t="str">
        <f>IFERROR(__xludf.DUMMYFUNCTION("""COMPUTED_VALUE"""),"0x72ad643bd2ca84fa7c9cf2807441edb0fb47bf48")</f>
        <v>0x72ad643bd2ca84fa7c9cf2807441edb0fb47bf48</v>
      </c>
      <c r="J1651" s="18">
        <v>9.672825519919328</v>
      </c>
      <c r="K1651" s="4">
        <v>120.9103189989916</v>
      </c>
      <c r="L1651" s="19">
        <v>1.209103189989916E20</v>
      </c>
      <c r="M1651" s="20">
        <v>1.209103189989916E19</v>
      </c>
    </row>
    <row r="1652">
      <c r="A1652" s="6"/>
      <c r="B1652" s="6"/>
      <c r="C1652" s="4"/>
      <c r="D1652" s="4">
        <v>48.3641275995966</v>
      </c>
      <c r="E1652" s="4" t="s">
        <v>2755</v>
      </c>
      <c r="F1652" s="4"/>
      <c r="G1652" s="4"/>
      <c r="H1652" s="4"/>
      <c r="I1652" s="4" t="str">
        <f>IFERROR(__xludf.DUMMYFUNCTION("""COMPUTED_VALUE"""),"0x214f6d4e82aa9abe0b46ced21cdd3f2be9202ec8")</f>
        <v>0x214f6d4e82aa9abe0b46ced21cdd3f2be9202ec8</v>
      </c>
      <c r="J1652" s="18">
        <v>234.37608780709658</v>
      </c>
      <c r="K1652" s="4">
        <v>2929.7010975887074</v>
      </c>
      <c r="L1652" s="19">
        <v>2.9297010975887076E21</v>
      </c>
      <c r="M1652" s="20">
        <v>2.9297010975887078E20</v>
      </c>
    </row>
    <row r="1653">
      <c r="A1653" s="6"/>
      <c r="B1653" s="6"/>
      <c r="C1653" s="4"/>
      <c r="D1653" s="4">
        <v>9.672825519919328</v>
      </c>
      <c r="E1653" s="4" t="s">
        <v>2756</v>
      </c>
      <c r="F1653" s="4"/>
      <c r="G1653" s="4"/>
      <c r="H1653" s="4"/>
      <c r="I1653" s="4" t="str">
        <f>IFERROR(__xludf.DUMMYFUNCTION("""COMPUTED_VALUE"""),"0x978c3e5fc2713e5dc6fc193e703e1591d104635c")</f>
        <v>0x978c3e5fc2713e5dc6fc193e703e1591d104635c</v>
      </c>
      <c r="J1653" s="18">
        <v>3.66281960403853</v>
      </c>
      <c r="K1653" s="4">
        <v>45.78524505048163</v>
      </c>
      <c r="L1653" s="19">
        <v>4.578524505048163E19</v>
      </c>
      <c r="M1653" s="20">
        <v>4.5785245050481633E18</v>
      </c>
    </row>
    <row r="1654">
      <c r="A1654" s="6"/>
      <c r="B1654" s="6"/>
      <c r="C1654" s="4"/>
      <c r="D1654" s="4">
        <v>44.5667747490428</v>
      </c>
      <c r="E1654" s="4" t="s">
        <v>2757</v>
      </c>
      <c r="F1654" s="4"/>
      <c r="G1654" s="4"/>
      <c r="H1654" s="4"/>
      <c r="I1654" s="4" t="str">
        <f>IFERROR(__xludf.DUMMYFUNCTION("""COMPUTED_VALUE"""),"0x3aefb57450683d2567eeed2d5fcee20d3bc31cae")</f>
        <v>0x3aefb57450683d2567eeed2d5fcee20d3bc31cae</v>
      </c>
      <c r="J1654" s="18">
        <v>9.86628203031772</v>
      </c>
      <c r="K1654" s="4">
        <v>123.32852537897149</v>
      </c>
      <c r="L1654" s="19">
        <v>1.2332852537897148E20</v>
      </c>
      <c r="M1654" s="20">
        <v>1.2332852537897148E19</v>
      </c>
    </row>
    <row r="1655">
      <c r="A1655" s="6"/>
      <c r="B1655" s="6"/>
      <c r="C1655" s="4"/>
      <c r="D1655" s="4">
        <v>9.672825519919328</v>
      </c>
      <c r="E1655" s="4" t="s">
        <v>2759</v>
      </c>
      <c r="F1655" s="4"/>
      <c r="G1655" s="4"/>
      <c r="H1655" s="4"/>
      <c r="I1655" s="4" t="str">
        <f>IFERROR(__xludf.DUMMYFUNCTION("""COMPUTED_VALUE"""),"0x767f704427ecdc7690c57df8fb5f9c986f978a22")</f>
        <v>0x767f704427ecdc7690c57df8fb5f9c986f978a22</v>
      </c>
      <c r="J1655" s="18">
        <v>9.672825519919328</v>
      </c>
      <c r="K1655" s="4">
        <v>120.9103189989916</v>
      </c>
      <c r="L1655" s="19">
        <v>1.209103189989916E20</v>
      </c>
      <c r="M1655" s="20">
        <v>1.209103189989916E19</v>
      </c>
    </row>
    <row r="1656">
      <c r="A1656" s="6"/>
      <c r="B1656" s="6"/>
      <c r="C1656" s="4"/>
      <c r="D1656" s="4">
        <v>48.3637893199949</v>
      </c>
      <c r="E1656" s="4" t="s">
        <v>2760</v>
      </c>
      <c r="F1656" s="4"/>
      <c r="G1656" s="4"/>
      <c r="H1656" s="4"/>
      <c r="I1656" s="4" t="str">
        <f>IFERROR(__xludf.DUMMYFUNCTION("""COMPUTED_VALUE"""),"0xa377661466838b70a218e7879a599e80d309f9b5")</f>
        <v>0xa377661466838b70a218e7879a599e80d309f9b5</v>
      </c>
      <c r="J1656" s="18">
        <v>9.055638635187341</v>
      </c>
      <c r="K1656" s="4">
        <v>113.19548293984177</v>
      </c>
      <c r="L1656" s="19">
        <v>1.1319548293984177E20</v>
      </c>
      <c r="M1656" s="20">
        <v>1.1319548293984178E19</v>
      </c>
    </row>
    <row r="1657">
      <c r="A1657" s="6"/>
      <c r="B1657" s="6"/>
      <c r="C1657" s="4"/>
      <c r="D1657" s="4">
        <v>26.6563837208826</v>
      </c>
      <c r="E1657" s="4" t="s">
        <v>2762</v>
      </c>
      <c r="F1657" s="4"/>
      <c r="G1657" s="4"/>
      <c r="H1657" s="4"/>
      <c r="I1657" s="4" t="str">
        <f>IFERROR(__xludf.DUMMYFUNCTION("""COMPUTED_VALUE"""),"0x0980a4faf2d6083749ffe112efe687f3c85d28ee")</f>
        <v>0x0980a4faf2d6083749ffe112efe687f3c85d28ee</v>
      </c>
      <c r="J1657" s="18">
        <v>24.8944658998589</v>
      </c>
      <c r="K1657" s="4">
        <v>311.18082374823626</v>
      </c>
      <c r="L1657" s="19">
        <v>3.111808237482363E20</v>
      </c>
      <c r="M1657" s="20">
        <v>3.111808237482363E19</v>
      </c>
    </row>
    <row r="1658">
      <c r="A1658" s="6"/>
      <c r="B1658" s="6"/>
      <c r="C1658" s="4"/>
      <c r="D1658" s="4">
        <v>48.3641275995966</v>
      </c>
      <c r="E1658" s="4" t="s">
        <v>2764</v>
      </c>
      <c r="F1658" s="4"/>
      <c r="G1658" s="4"/>
      <c r="H1658" s="4"/>
      <c r="I1658" s="4" t="str">
        <f>IFERROR(__xludf.DUMMYFUNCTION("""COMPUTED_VALUE"""),"0x312f4a11c3484dc47e418ff86acbf5aee67cd8f4")</f>
        <v>0x312f4a11c3484dc47e418ff86acbf5aee67cd8f4</v>
      </c>
      <c r="J1658" s="18">
        <v>48.3641275995966</v>
      </c>
      <c r="K1658" s="4">
        <v>604.5515949949574</v>
      </c>
      <c r="L1658" s="19">
        <v>6.045515949949574E20</v>
      </c>
      <c r="M1658" s="20">
        <v>6.045515949949574E19</v>
      </c>
    </row>
    <row r="1659">
      <c r="A1659" s="6"/>
      <c r="B1659" s="6"/>
      <c r="C1659" s="4"/>
      <c r="D1659" s="4">
        <v>48.3641275995966</v>
      </c>
      <c r="E1659" s="4" t="s">
        <v>2765</v>
      </c>
      <c r="F1659" s="4"/>
      <c r="G1659" s="4"/>
      <c r="H1659" s="4"/>
      <c r="I1659" s="4" t="str">
        <f>IFERROR(__xludf.DUMMYFUNCTION("""COMPUTED_VALUE"""),"0xe049481c4f1cdc8a4a3f204c6a751316db1bf8a6")</f>
        <v>0xe049481c4f1cdc8a4a3f204c6a751316db1bf8a6</v>
      </c>
      <c r="J1659" s="18">
        <v>7.65429536434998</v>
      </c>
      <c r="K1659" s="4">
        <v>95.67869205437475</v>
      </c>
      <c r="L1659" s="19">
        <v>9.567869205437474E19</v>
      </c>
      <c r="M1659" s="20">
        <v>9.567869205437475E18</v>
      </c>
    </row>
    <row r="1660">
      <c r="A1660" s="6"/>
      <c r="B1660" s="6"/>
      <c r="C1660" s="4"/>
      <c r="D1660" s="4">
        <v>17.4248861653099</v>
      </c>
      <c r="E1660" s="4" t="s">
        <v>2766</v>
      </c>
      <c r="F1660" s="4"/>
      <c r="G1660" s="4"/>
      <c r="H1660" s="4"/>
      <c r="I1660" s="4" t="str">
        <f>IFERROR(__xludf.DUMMYFUNCTION("""COMPUTED_VALUE"""),"0xf0c0de07ad331d7fe46ab15c7a6f2859152a780d")</f>
        <v>0xf0c0de07ad331d7fe46ab15c7a6f2859152a780d</v>
      </c>
      <c r="J1660" s="18">
        <v>234.37608780709658</v>
      </c>
      <c r="K1660" s="4">
        <v>2929.7010975887074</v>
      </c>
      <c r="L1660" s="19">
        <v>2.9297010975887076E21</v>
      </c>
      <c r="M1660" s="20">
        <v>2.9297010975887078E20</v>
      </c>
    </row>
    <row r="1661">
      <c r="A1661" s="6"/>
      <c r="B1661" s="6"/>
      <c r="C1661" s="4"/>
      <c r="D1661" s="4">
        <v>9.70834917786587</v>
      </c>
      <c r="E1661" s="4" t="s">
        <v>2768</v>
      </c>
      <c r="F1661" s="4"/>
      <c r="G1661" s="4"/>
      <c r="H1661" s="4"/>
      <c r="I1661" s="4" t="str">
        <f>IFERROR(__xludf.DUMMYFUNCTION("""COMPUTED_VALUE"""),"0x09e43773e05d2c7f74999616bd701a6a0afafa98")</f>
        <v>0x09e43773e05d2c7f74999616bd701a6a0afafa98</v>
      </c>
      <c r="J1661" s="18">
        <v>15.629800230735999</v>
      </c>
      <c r="K1661" s="4">
        <v>195.37250288419997</v>
      </c>
      <c r="L1661" s="19">
        <v>1.953725028842E20</v>
      </c>
      <c r="M1661" s="20">
        <v>1.953725028842E19</v>
      </c>
    </row>
    <row r="1662">
      <c r="A1662" s="6"/>
      <c r="B1662" s="6"/>
      <c r="C1662" s="4"/>
      <c r="D1662" s="4">
        <v>34.687603794882804</v>
      </c>
      <c r="E1662" s="4" t="s">
        <v>2770</v>
      </c>
      <c r="F1662" s="4"/>
      <c r="G1662" s="4"/>
      <c r="H1662" s="4"/>
      <c r="I1662" s="4" t="str">
        <f>IFERROR(__xludf.DUMMYFUNCTION("""COMPUTED_VALUE"""),"0x9276691791d25e5bd2451bc99044c72b19ad3b6e")</f>
        <v>0x9276691791d25e5bd2451bc99044c72b19ad3b6e</v>
      </c>
      <c r="J1662" s="18">
        <v>48.3641275995966</v>
      </c>
      <c r="K1662" s="4">
        <v>604.5515949949574</v>
      </c>
      <c r="L1662" s="19">
        <v>6.045515949949574E20</v>
      </c>
      <c r="M1662" s="20">
        <v>6.045515949949574E19</v>
      </c>
    </row>
    <row r="1663">
      <c r="A1663" s="6"/>
      <c r="B1663" s="6"/>
      <c r="C1663" s="4"/>
      <c r="D1663" s="4">
        <v>20.6268677034389</v>
      </c>
      <c r="E1663" s="4" t="s">
        <v>2772</v>
      </c>
      <c r="F1663" s="4"/>
      <c r="G1663" s="4"/>
      <c r="H1663" s="4"/>
      <c r="I1663" s="4" t="str">
        <f>IFERROR(__xludf.DUMMYFUNCTION("""COMPUTED_VALUE"""),"0xaf9b12f501a2fedbb5474d0bcb5cbfa080a62e30")</f>
        <v>0xaf9b12f501a2fedbb5474d0bcb5cbfa080a62e30</v>
      </c>
      <c r="J1663" s="18">
        <v>3.5945511739494997</v>
      </c>
      <c r="K1663" s="4">
        <v>44.93188967436875</v>
      </c>
      <c r="L1663" s="19">
        <v>4.4931889674368745E19</v>
      </c>
      <c r="M1663" s="20">
        <v>4.493188967436875E18</v>
      </c>
    </row>
    <row r="1664">
      <c r="A1664" s="6"/>
      <c r="B1664" s="6"/>
      <c r="C1664" s="4"/>
      <c r="D1664" s="4">
        <v>13.9174767525386</v>
      </c>
      <c r="E1664" s="4" t="s">
        <v>2774</v>
      </c>
      <c r="F1664" s="4"/>
      <c r="G1664" s="4"/>
      <c r="H1664" s="4"/>
      <c r="I1664" s="4" t="str">
        <f>IFERROR(__xludf.DUMMYFUNCTION("""COMPUTED_VALUE"""),"0x79a2035d3121a2e4287927dd7c310817ef9607fc")</f>
        <v>0x79a2035d3121a2e4287927dd7c310817ef9607fc</v>
      </c>
      <c r="J1664" s="18">
        <v>36.6060118716982</v>
      </c>
      <c r="K1664" s="4">
        <v>457.5751483962275</v>
      </c>
      <c r="L1664" s="19">
        <v>4.575751483962275E20</v>
      </c>
      <c r="M1664" s="20">
        <v>4.5757514839622754E19</v>
      </c>
    </row>
    <row r="1665">
      <c r="A1665" s="6"/>
      <c r="B1665" s="6"/>
      <c r="C1665" s="4"/>
      <c r="D1665" s="4">
        <v>41.70530546002961</v>
      </c>
      <c r="E1665" s="4" t="s">
        <v>522</v>
      </c>
      <c r="F1665" s="4"/>
      <c r="G1665" s="4"/>
      <c r="H1665" s="4"/>
      <c r="I1665" s="4" t="str">
        <f>IFERROR(__xludf.DUMMYFUNCTION("""COMPUTED_VALUE"""),"0x53f6292deef1df28ea72cc1c50c05b94042f68a5")</f>
        <v>0x53f6292deef1df28ea72cc1c50c05b94042f68a5</v>
      </c>
      <c r="J1665" s="18">
        <v>9.71256641816815</v>
      </c>
      <c r="K1665" s="4">
        <v>121.40708022710187</v>
      </c>
      <c r="L1665" s="19">
        <v>1.2140708022710187E20</v>
      </c>
      <c r="M1665" s="20">
        <v>1.2140708022710188E19</v>
      </c>
    </row>
    <row r="1666">
      <c r="A1666" s="6"/>
      <c r="B1666" s="6"/>
      <c r="C1666" s="4"/>
      <c r="D1666" s="4">
        <v>48.3641275995966</v>
      </c>
      <c r="E1666" s="4" t="s">
        <v>2777</v>
      </c>
      <c r="F1666" s="4"/>
      <c r="G1666" s="4"/>
      <c r="H1666" s="4"/>
      <c r="I1666" s="4" t="str">
        <f>IFERROR(__xludf.DUMMYFUNCTION("""COMPUTED_VALUE"""),"0xdf5b35e2471ebea613924320ecdfb3d7f75d0353")</f>
        <v>0xdf5b35e2471ebea613924320ecdfb3d7f75d0353</v>
      </c>
      <c r="J1666" s="18">
        <v>9.3237035290233</v>
      </c>
      <c r="K1666" s="4">
        <v>116.54629411279124</v>
      </c>
      <c r="L1666" s="19">
        <v>1.1654629411279125E20</v>
      </c>
      <c r="M1666" s="20">
        <v>1.1654629411279127E19</v>
      </c>
    </row>
    <row r="1667">
      <c r="A1667" s="6"/>
      <c r="B1667" s="6"/>
      <c r="C1667" s="4"/>
      <c r="D1667" s="4">
        <v>35.7244963869855</v>
      </c>
      <c r="E1667" s="4" t="s">
        <v>2778</v>
      </c>
      <c r="F1667" s="4"/>
      <c r="G1667" s="4"/>
      <c r="H1667" s="4"/>
      <c r="I1667" s="4" t="str">
        <f>IFERROR(__xludf.DUMMYFUNCTION("""COMPUTED_VALUE"""),"0x79001ae85607f2b1efc0b769a35af01b9c7026fb")</f>
        <v>0x79001ae85607f2b1efc0b769a35af01b9c7026fb</v>
      </c>
      <c r="J1667" s="18">
        <v>234.37608780709658</v>
      </c>
      <c r="K1667" s="4">
        <v>2929.7010975887074</v>
      </c>
      <c r="L1667" s="19">
        <v>2.9297010975887076E21</v>
      </c>
      <c r="M1667" s="20">
        <v>2.9297010975887078E20</v>
      </c>
    </row>
    <row r="1668">
      <c r="A1668" s="6"/>
      <c r="B1668" s="6"/>
      <c r="C1668" s="4"/>
      <c r="D1668" s="4">
        <v>48.3641275995966</v>
      </c>
      <c r="E1668" s="4" t="s">
        <v>2780</v>
      </c>
      <c r="F1668" s="4"/>
      <c r="G1668" s="4"/>
      <c r="H1668" s="4"/>
      <c r="I1668" s="4" t="str">
        <f>IFERROR(__xludf.DUMMYFUNCTION("""COMPUTED_VALUE"""),"0x944da032609dc316105cffee18ac2955120ead01")</f>
        <v>0x944da032609dc316105cffee18ac2955120ead01</v>
      </c>
      <c r="J1668" s="18">
        <v>19.742492990267802</v>
      </c>
      <c r="K1668" s="4">
        <v>246.78116237834752</v>
      </c>
      <c r="L1668" s="19">
        <v>2.467811623783475E20</v>
      </c>
      <c r="M1668" s="20">
        <v>2.467811623783475E19</v>
      </c>
    </row>
    <row r="1669">
      <c r="A1669" s="6"/>
      <c r="B1669" s="6"/>
      <c r="C1669" s="4"/>
      <c r="D1669" s="4">
        <v>14.1223252590822</v>
      </c>
      <c r="E1669" s="4" t="s">
        <v>2781</v>
      </c>
      <c r="F1669" s="4"/>
      <c r="G1669" s="4"/>
      <c r="H1669" s="4"/>
      <c r="I1669" s="4" t="str">
        <f>IFERROR(__xludf.DUMMYFUNCTION("""COMPUTED_VALUE"""),"0x2024d0f2f1b822674a502229543b4152c58c2566")</f>
        <v>0x2024d0f2f1b822674a502229543b4152c58c2566</v>
      </c>
      <c r="J1669" s="18">
        <v>18.0874369217868</v>
      </c>
      <c r="K1669" s="4">
        <v>226.092961522335</v>
      </c>
      <c r="L1669" s="19">
        <v>2.26092961522335E20</v>
      </c>
      <c r="M1669" s="20">
        <v>2.26092961522335E19</v>
      </c>
    </row>
    <row r="1670">
      <c r="A1670" s="6"/>
      <c r="B1670" s="6"/>
      <c r="C1670" s="4"/>
      <c r="D1670" s="4">
        <v>48.3641275995966</v>
      </c>
      <c r="E1670" s="4" t="s">
        <v>2783</v>
      </c>
      <c r="F1670" s="4"/>
      <c r="G1670" s="4"/>
      <c r="H1670" s="4"/>
      <c r="I1670" s="4" t="str">
        <f>IFERROR(__xludf.DUMMYFUNCTION("""COMPUTED_VALUE"""),"0xc815d475a4d681bd1b43edb219ab0a5660ade596")</f>
        <v>0xc815d475a4d681bd1b43edb219ab0a5660ade596</v>
      </c>
      <c r="J1670" s="18">
        <v>14.5717255959581</v>
      </c>
      <c r="K1670" s="4">
        <v>182.14656994947623</v>
      </c>
      <c r="L1670" s="19">
        <v>1.8214656994947623E20</v>
      </c>
      <c r="M1670" s="20">
        <v>1.8214656994947623E19</v>
      </c>
    </row>
    <row r="1671">
      <c r="A1671" s="6"/>
      <c r="B1671" s="6"/>
      <c r="C1671" s="4"/>
      <c r="D1671" s="4">
        <v>48.3641275995966</v>
      </c>
      <c r="E1671" s="4" t="s">
        <v>2784</v>
      </c>
      <c r="F1671" s="4"/>
      <c r="G1671" s="4"/>
      <c r="H1671" s="4"/>
      <c r="I1671" s="4" t="str">
        <f>IFERROR(__xludf.DUMMYFUNCTION("""COMPUTED_VALUE"""),"0x4724144c79bddd2e35a3cc42f2b679a85b88e377")</f>
        <v>0x4724144c79bddd2e35a3cc42f2b679a85b88e377</v>
      </c>
      <c r="J1671" s="18">
        <v>48.3641275995966</v>
      </c>
      <c r="K1671" s="4">
        <v>604.5515949949574</v>
      </c>
      <c r="L1671" s="19">
        <v>6.045515949949574E20</v>
      </c>
      <c r="M1671" s="20">
        <v>6.045515949949574E19</v>
      </c>
    </row>
    <row r="1672">
      <c r="A1672" s="6"/>
      <c r="B1672" s="6"/>
      <c r="C1672" s="4"/>
      <c r="D1672" s="4">
        <v>16.4471875189861</v>
      </c>
      <c r="E1672" s="4" t="s">
        <v>2785</v>
      </c>
      <c r="F1672" s="4"/>
      <c r="G1672" s="4"/>
      <c r="H1672" s="4"/>
      <c r="I1672" s="4" t="str">
        <f>IFERROR(__xludf.DUMMYFUNCTION("""COMPUTED_VALUE"""),"0xd69c04bfb2707ef5af12de0551832b8ad0b9ae18")</f>
        <v>0xd69c04bfb2707ef5af12de0551832b8ad0b9ae18</v>
      </c>
      <c r="J1672" s="18">
        <v>43.2858568053503</v>
      </c>
      <c r="K1672" s="4">
        <v>541.0732100668787</v>
      </c>
      <c r="L1672" s="19">
        <v>5.4107321006687866E20</v>
      </c>
      <c r="M1672" s="20">
        <v>5.410732100668787E19</v>
      </c>
    </row>
    <row r="1673">
      <c r="A1673" s="6"/>
      <c r="B1673" s="6"/>
      <c r="C1673" s="4"/>
      <c r="D1673" s="4">
        <v>0.217213500717213</v>
      </c>
      <c r="E1673" s="4" t="s">
        <v>2787</v>
      </c>
      <c r="F1673" s="4"/>
      <c r="G1673" s="4"/>
      <c r="H1673" s="4"/>
      <c r="I1673" s="4" t="str">
        <f>IFERROR(__xludf.DUMMYFUNCTION("""COMPUTED_VALUE"""),"0xed2a1cac99999f4c1fd804afd09a07eb38c4518c")</f>
        <v>0xed2a1cac99999f4c1fd804afd09a07eb38c4518c</v>
      </c>
      <c r="J1673" s="18">
        <v>56.9202705908831</v>
      </c>
      <c r="K1673" s="4">
        <v>711.5033823860388</v>
      </c>
      <c r="L1673" s="19">
        <v>7.115033823860388E20</v>
      </c>
      <c r="M1673" s="20">
        <v>7.115033823860389E19</v>
      </c>
    </row>
    <row r="1674">
      <c r="A1674" s="6"/>
      <c r="B1674" s="6"/>
      <c r="C1674" s="4"/>
      <c r="D1674" s="4">
        <v>48.3641275995966</v>
      </c>
      <c r="E1674" s="4" t="s">
        <v>2789</v>
      </c>
      <c r="F1674" s="4"/>
      <c r="G1674" s="4"/>
      <c r="H1674" s="4"/>
      <c r="I1674" s="4" t="str">
        <f>IFERROR(__xludf.DUMMYFUNCTION("""COMPUTED_VALUE"""),"0x8cc295c9706c25f68a5bd0ccd0001066f1c1bf86")</f>
        <v>0x8cc295c9706c25f68a5bd0ccd0001066f1c1bf86</v>
      </c>
      <c r="J1674" s="18">
        <v>9.69142486449309</v>
      </c>
      <c r="K1674" s="4">
        <v>121.14281080616362</v>
      </c>
      <c r="L1674" s="19">
        <v>1.2114281080616362E20</v>
      </c>
      <c r="M1674" s="20">
        <v>1.2114281080616362E19</v>
      </c>
    </row>
    <row r="1675">
      <c r="A1675" s="6"/>
      <c r="B1675" s="6"/>
      <c r="C1675" s="4"/>
      <c r="D1675" s="4">
        <v>16.8667957869386</v>
      </c>
      <c r="E1675" s="4" t="s">
        <v>2790</v>
      </c>
      <c r="F1675" s="4"/>
      <c r="G1675" s="4"/>
      <c r="H1675" s="4"/>
      <c r="I1675" s="4" t="str">
        <f>IFERROR(__xludf.DUMMYFUNCTION("""COMPUTED_VALUE"""),"0x3049cfdadc637212740b7061b2169e6e0311422e")</f>
        <v>0x3049cfdadc637212740b7061b2169e6e0311422e</v>
      </c>
      <c r="J1675" s="18">
        <v>170.8847874244966</v>
      </c>
      <c r="K1675" s="4">
        <v>2136.0598428062076</v>
      </c>
      <c r="L1675" s="19">
        <v>2.1360598428062075E21</v>
      </c>
      <c r="M1675" s="20">
        <v>2.1360598428062076E20</v>
      </c>
    </row>
    <row r="1676">
      <c r="A1676" s="6"/>
      <c r="B1676" s="6"/>
      <c r="C1676" s="4"/>
      <c r="D1676" s="4">
        <v>8.6189929595877</v>
      </c>
      <c r="E1676" s="4" t="s">
        <v>2792</v>
      </c>
      <c r="F1676" s="4"/>
      <c r="G1676" s="4"/>
      <c r="H1676" s="4"/>
      <c r="I1676" s="4" t="str">
        <f>IFERROR(__xludf.DUMMYFUNCTION("""COMPUTED_VALUE"""),"0x802650d1c7f5fdb5413cefcdabe1395c9ff8da20")</f>
        <v>0x802650d1c7f5fdb5413cefcdabe1395c9ff8da20</v>
      </c>
      <c r="J1676" s="18">
        <v>48.3641275995966</v>
      </c>
      <c r="K1676" s="4">
        <v>604.5515949949574</v>
      </c>
      <c r="L1676" s="19">
        <v>6.045515949949574E20</v>
      </c>
      <c r="M1676" s="20">
        <v>6.045515949949574E19</v>
      </c>
    </row>
    <row r="1677">
      <c r="A1677" s="6"/>
      <c r="B1677" s="6"/>
      <c r="C1677" s="4"/>
      <c r="D1677" s="4">
        <v>47.205556095203804</v>
      </c>
      <c r="E1677" s="4" t="s">
        <v>983</v>
      </c>
      <c r="F1677" s="4"/>
      <c r="G1677" s="4"/>
      <c r="H1677" s="4"/>
      <c r="I1677" s="4" t="str">
        <f>IFERROR(__xludf.DUMMYFUNCTION("""COMPUTED_VALUE"""),"0xa3d9bca28d9747837ca6a3499c451f095455054f")</f>
        <v>0xa3d9bca28d9747837ca6a3499c451f095455054f</v>
      </c>
      <c r="J1677" s="18">
        <v>25.0406787452354</v>
      </c>
      <c r="K1677" s="4">
        <v>313.0084843154425</v>
      </c>
      <c r="L1677" s="19">
        <v>3.130084843154425E20</v>
      </c>
      <c r="M1677" s="20">
        <v>3.1300848431544254E19</v>
      </c>
    </row>
    <row r="1678">
      <c r="A1678" s="6"/>
      <c r="B1678" s="6"/>
      <c r="C1678" s="4"/>
      <c r="D1678" s="4">
        <v>48.3641275995966</v>
      </c>
      <c r="E1678" s="4" t="s">
        <v>256</v>
      </c>
      <c r="F1678" s="4"/>
      <c r="G1678" s="4"/>
      <c r="H1678" s="4"/>
      <c r="I1678" s="4" t="str">
        <f>IFERROR(__xludf.DUMMYFUNCTION("""COMPUTED_VALUE"""),"0x7ab3b4cf82b9d4b9173abc1f93eb2280fc4a6c6e")</f>
        <v>0x7ab3b4cf82b9d4b9173abc1f93eb2280fc4a6c6e</v>
      </c>
      <c r="J1678" s="18">
        <v>9.810269517747411</v>
      </c>
      <c r="K1678" s="4">
        <v>122.62836897184263</v>
      </c>
      <c r="L1678" s="19">
        <v>1.2262836897184263E20</v>
      </c>
      <c r="M1678" s="20">
        <v>1.2262836897184264E19</v>
      </c>
    </row>
    <row r="1679">
      <c r="A1679" s="6"/>
      <c r="B1679" s="6"/>
      <c r="C1679" s="4"/>
      <c r="D1679" s="4">
        <v>6.10628878969105</v>
      </c>
      <c r="E1679" s="4" t="s">
        <v>2795</v>
      </c>
      <c r="F1679" s="4"/>
      <c r="G1679" s="4"/>
      <c r="H1679" s="4"/>
      <c r="I1679" s="4" t="str">
        <f>IFERROR(__xludf.DUMMYFUNCTION("""COMPUTED_VALUE"""),"0x7506b47d375be79bd679be2e334fc06bd845efbd")</f>
        <v>0x7506b47d375be79bd679be2e334fc06bd845efbd</v>
      </c>
      <c r="J1679" s="18">
        <v>11.3791864824553</v>
      </c>
      <c r="K1679" s="4">
        <v>142.23983103069125</v>
      </c>
      <c r="L1679" s="19">
        <v>1.4223983103069125E20</v>
      </c>
      <c r="M1679" s="20">
        <v>1.4223983103069127E19</v>
      </c>
    </row>
    <row r="1680">
      <c r="A1680" s="6"/>
      <c r="B1680" s="6"/>
      <c r="C1680" s="4"/>
      <c r="D1680" s="4">
        <v>9.672825519919328</v>
      </c>
      <c r="E1680" s="4" t="s">
        <v>2797</v>
      </c>
      <c r="F1680" s="4"/>
      <c r="G1680" s="4"/>
      <c r="H1680" s="4"/>
      <c r="I1680" s="4" t="str">
        <f>IFERROR(__xludf.DUMMYFUNCTION("""COMPUTED_VALUE"""),"0xc994f9d7ee0c8a41744ca858ed5c77c9f68cabd5")</f>
        <v>0xc994f9d7ee0c8a41744ca858ed5c77c9f68cabd5</v>
      </c>
      <c r="J1680" s="18">
        <v>30.0832337493525</v>
      </c>
      <c r="K1680" s="4">
        <v>376.0404218669063</v>
      </c>
      <c r="L1680" s="19">
        <v>3.7604042186690626E20</v>
      </c>
      <c r="M1680" s="20">
        <v>3.7604042186690626E19</v>
      </c>
    </row>
    <row r="1681">
      <c r="A1681" s="6"/>
      <c r="B1681" s="6"/>
      <c r="C1681" s="4"/>
      <c r="D1681" s="4">
        <v>9.7828751457361</v>
      </c>
      <c r="E1681" s="4" t="s">
        <v>2798</v>
      </c>
      <c r="F1681" s="4"/>
      <c r="G1681" s="4"/>
      <c r="H1681" s="4"/>
      <c r="I1681" s="4" t="str">
        <f>IFERROR(__xludf.DUMMYFUNCTION("""COMPUTED_VALUE"""),"0x33c7191ad8122808429bae43a0ecc8f39d206c1a")</f>
        <v>0x33c7191ad8122808429bae43a0ecc8f39d206c1a</v>
      </c>
      <c r="J1681" s="18">
        <v>48.3641275995966</v>
      </c>
      <c r="K1681" s="4">
        <v>604.5515949949574</v>
      </c>
      <c r="L1681" s="19">
        <v>6.045515949949574E20</v>
      </c>
      <c r="M1681" s="20">
        <v>6.045515949949574E19</v>
      </c>
    </row>
    <row r="1682">
      <c r="A1682" s="6"/>
      <c r="B1682" s="6"/>
      <c r="C1682" s="4"/>
      <c r="D1682" s="4">
        <v>6.38406484314676</v>
      </c>
      <c r="E1682" s="4" t="s">
        <v>2800</v>
      </c>
      <c r="F1682" s="4"/>
      <c r="G1682" s="4"/>
      <c r="H1682" s="4"/>
      <c r="I1682" s="4" t="str">
        <f>IFERROR(__xludf.DUMMYFUNCTION("""COMPUTED_VALUE"""),"0x0ef87ef8ddd5c6495e9663ed0c02503bbc7125ec")</f>
        <v>0x0ef87ef8ddd5c6495e9663ed0c02503bbc7125ec</v>
      </c>
      <c r="J1682" s="18">
        <v>9.672825519919328</v>
      </c>
      <c r="K1682" s="4">
        <v>120.9103189989916</v>
      </c>
      <c r="L1682" s="19">
        <v>1.209103189989916E20</v>
      </c>
      <c r="M1682" s="20">
        <v>1.209103189989916E19</v>
      </c>
    </row>
    <row r="1683">
      <c r="A1683" s="6"/>
      <c r="B1683" s="6"/>
      <c r="C1683" s="4"/>
      <c r="D1683" s="4">
        <v>43.4060560035443</v>
      </c>
      <c r="E1683" s="4" t="s">
        <v>2802</v>
      </c>
      <c r="F1683" s="4"/>
      <c r="G1683" s="4"/>
      <c r="H1683" s="4"/>
      <c r="I1683" s="4" t="str">
        <f>IFERROR(__xludf.DUMMYFUNCTION("""COMPUTED_VALUE"""),"0x90761abae14e9f28f9299dc6a6288b4a82040359")</f>
        <v>0x90761abae14e9f28f9299dc6a6288b4a82040359</v>
      </c>
      <c r="J1683" s="18">
        <v>48.3641275995966</v>
      </c>
      <c r="K1683" s="4">
        <v>604.5515949949574</v>
      </c>
      <c r="L1683" s="19">
        <v>6.045515949949574E20</v>
      </c>
      <c r="M1683" s="20">
        <v>6.045515949949574E19</v>
      </c>
    </row>
    <row r="1684">
      <c r="A1684" s="6"/>
      <c r="B1684" s="6"/>
      <c r="C1684" s="4"/>
      <c r="D1684" s="4">
        <v>48.3641275995966</v>
      </c>
      <c r="E1684" s="4" t="s">
        <v>2804</v>
      </c>
      <c r="F1684" s="4"/>
      <c r="G1684" s="4"/>
      <c r="H1684" s="4"/>
      <c r="I1684" s="4" t="str">
        <f>IFERROR(__xludf.DUMMYFUNCTION("""COMPUTED_VALUE"""),"0x2dd328673350551bda3119dd014e743aeea79d42")</f>
        <v>0x2dd328673350551bda3119dd014e743aeea79d42</v>
      </c>
      <c r="J1684" s="18">
        <v>4.34166878615247</v>
      </c>
      <c r="K1684" s="4">
        <v>54.27085982690587</v>
      </c>
      <c r="L1684" s="19">
        <v>5.427085982690587E19</v>
      </c>
      <c r="M1684" s="20">
        <v>5.427085982690587E18</v>
      </c>
    </row>
    <row r="1685">
      <c r="A1685" s="6"/>
      <c r="B1685" s="6"/>
      <c r="C1685" s="4"/>
      <c r="D1685" s="4">
        <v>19.3456510398386</v>
      </c>
      <c r="E1685" s="4" t="s">
        <v>2805</v>
      </c>
      <c r="F1685" s="4"/>
      <c r="G1685" s="4"/>
      <c r="H1685" s="4"/>
      <c r="I1685" s="4" t="str">
        <f>IFERROR(__xludf.DUMMYFUNCTION("""COMPUTED_VALUE"""),"0x57a36e40a540fb1744cc30d47d2c7e5888110c5d")</f>
        <v>0x57a36e40a540fb1744cc30d47d2c7e5888110c5d</v>
      </c>
      <c r="J1685" s="18">
        <v>94.1180880887987</v>
      </c>
      <c r="K1685" s="4">
        <v>1176.4761011099838</v>
      </c>
      <c r="L1685" s="19">
        <v>1.1764761011099837E21</v>
      </c>
      <c r="M1685" s="20">
        <v>1.1764761011099838E20</v>
      </c>
    </row>
    <row r="1686">
      <c r="A1686" s="6"/>
      <c r="B1686" s="6"/>
      <c r="C1686" s="4"/>
      <c r="D1686" s="4">
        <v>48.3641275995966</v>
      </c>
      <c r="E1686" s="4" t="s">
        <v>2806</v>
      </c>
      <c r="F1686" s="4"/>
      <c r="G1686" s="4"/>
      <c r="H1686" s="4"/>
      <c r="I1686" s="4" t="str">
        <f>IFERROR(__xludf.DUMMYFUNCTION("""COMPUTED_VALUE"""),"0x005be4a7352818232a89542626a18a729d908c88")</f>
        <v>0x005be4a7352818232a89542626a18a729d908c88</v>
      </c>
      <c r="J1686" s="18">
        <v>48.3641275995966</v>
      </c>
      <c r="K1686" s="4">
        <v>604.5515949949574</v>
      </c>
      <c r="L1686" s="19">
        <v>6.045515949949574E20</v>
      </c>
      <c r="M1686" s="20">
        <v>6.045515949949574E19</v>
      </c>
    </row>
    <row r="1687">
      <c r="A1687" s="6"/>
      <c r="B1687" s="6"/>
      <c r="C1687" s="4"/>
      <c r="D1687" s="4">
        <v>48.3641275995966</v>
      </c>
      <c r="E1687" s="4" t="s">
        <v>2807</v>
      </c>
      <c r="F1687" s="4"/>
      <c r="G1687" s="4"/>
      <c r="H1687" s="4"/>
      <c r="I1687" s="4" t="str">
        <f>IFERROR(__xludf.DUMMYFUNCTION("""COMPUTED_VALUE"""),"0x160701f13a274f9c3780264445c9a5f1867e314b")</f>
        <v>0x160701f13a274f9c3780264445c9a5f1867e314b</v>
      </c>
      <c r="J1687" s="18">
        <v>19.3456510398386</v>
      </c>
      <c r="K1687" s="4">
        <v>241.8206379979825</v>
      </c>
      <c r="L1687" s="19">
        <v>2.4182063799798248E20</v>
      </c>
      <c r="M1687" s="20">
        <v>2.418206379979825E19</v>
      </c>
    </row>
    <row r="1688">
      <c r="A1688" s="6"/>
      <c r="B1688" s="6"/>
      <c r="C1688" s="4"/>
      <c r="D1688" s="4">
        <v>0.522494944212999</v>
      </c>
      <c r="E1688" s="4" t="s">
        <v>2808</v>
      </c>
      <c r="F1688" s="4"/>
      <c r="G1688" s="4"/>
      <c r="H1688" s="4"/>
      <c r="I1688" s="4" t="str">
        <f>IFERROR(__xludf.DUMMYFUNCTION("""COMPUTED_VALUE"""),"0x2837944bdc622fc4634ea5ecfebba01d7335c0f0")</f>
        <v>0x2837944bdc622fc4634ea5ecfebba01d7335c0f0</v>
      </c>
      <c r="J1688" s="18">
        <v>10.6932660793304</v>
      </c>
      <c r="K1688" s="4">
        <v>133.66582599163</v>
      </c>
      <c r="L1688" s="19">
        <v>1.3366582599162998E20</v>
      </c>
      <c r="M1688" s="20">
        <v>1.3366582599162999E19</v>
      </c>
    </row>
    <row r="1689">
      <c r="A1689" s="6"/>
      <c r="B1689" s="6"/>
      <c r="C1689" s="4"/>
      <c r="D1689" s="4">
        <v>9.89320049428358</v>
      </c>
      <c r="E1689" s="4" t="s">
        <v>2810</v>
      </c>
      <c r="F1689" s="4"/>
      <c r="G1689" s="4"/>
      <c r="H1689" s="4"/>
      <c r="I1689" s="4" t="str">
        <f>IFERROR(__xludf.DUMMYFUNCTION("""COMPUTED_VALUE"""),"0x967b53d39d24d3f047e18511edcd7dca4aaf8273")</f>
        <v>0x967b53d39d24d3f047e18511edcd7dca4aaf8273</v>
      </c>
      <c r="J1689" s="18">
        <v>144.8001682495733</v>
      </c>
      <c r="K1689" s="4">
        <v>1810.0021031196661</v>
      </c>
      <c r="L1689" s="19">
        <v>1.8100021031196662E21</v>
      </c>
      <c r="M1689" s="20">
        <v>1.8100021031196662E20</v>
      </c>
    </row>
    <row r="1690">
      <c r="A1690" s="6"/>
      <c r="B1690" s="6"/>
      <c r="C1690" s="4"/>
      <c r="D1690" s="4">
        <v>9.86628203031772</v>
      </c>
      <c r="E1690" s="4" t="s">
        <v>2812</v>
      </c>
      <c r="F1690" s="4"/>
      <c r="G1690" s="4"/>
      <c r="H1690" s="4"/>
      <c r="I1690" s="4" t="str">
        <f>IFERROR(__xludf.DUMMYFUNCTION("""COMPUTED_VALUE"""),"0xd5996e7e369d704d074e2bcfd7c339ebd1cdf8c6")</f>
        <v>0xd5996e7e369d704d074e2bcfd7c339ebd1cdf8c6</v>
      </c>
      <c r="J1690" s="18">
        <v>29.018476559758</v>
      </c>
      <c r="K1690" s="4">
        <v>362.730956996975</v>
      </c>
      <c r="L1690" s="19">
        <v>3.62730956996975E20</v>
      </c>
      <c r="M1690" s="20">
        <v>3.62730956996975E19</v>
      </c>
    </row>
    <row r="1691">
      <c r="A1691" s="6"/>
      <c r="B1691" s="6"/>
      <c r="C1691" s="4"/>
      <c r="D1691" s="4">
        <v>9.686879629511001</v>
      </c>
      <c r="E1691" s="4" t="s">
        <v>2813</v>
      </c>
      <c r="F1691" s="4"/>
      <c r="G1691" s="4"/>
      <c r="H1691" s="4"/>
      <c r="I1691" s="4" t="str">
        <f>IFERROR(__xludf.DUMMYFUNCTION("""COMPUTED_VALUE"""),"0x3d36f9f140222504dd31e566a161803faddf32bb")</f>
        <v>0x3d36f9f140222504dd31e566a161803faddf32bb</v>
      </c>
      <c r="J1691" s="18">
        <v>94.8671176514718</v>
      </c>
      <c r="K1691" s="4">
        <v>1185.8389706433975</v>
      </c>
      <c r="L1691" s="19">
        <v>1.1858389706433975E21</v>
      </c>
      <c r="M1691" s="20">
        <v>1.1858389706433975E20</v>
      </c>
    </row>
    <row r="1692">
      <c r="A1692" s="6"/>
      <c r="B1692" s="6"/>
      <c r="C1692" s="4"/>
      <c r="D1692" s="4">
        <v>19.3456510398386</v>
      </c>
      <c r="E1692" s="4" t="s">
        <v>2815</v>
      </c>
      <c r="F1692" s="4"/>
      <c r="G1692" s="4"/>
      <c r="H1692" s="4"/>
      <c r="I1692" s="4" t="str">
        <f>IFERROR(__xludf.DUMMYFUNCTION("""COMPUTED_VALUE"""),"0xadd3ae6b9ba14fea02e2e00d34771f286d97b303")</f>
        <v>0xadd3ae6b9ba14fea02e2e00d34771f286d97b303</v>
      </c>
      <c r="J1692" s="18">
        <v>3.17060809446485</v>
      </c>
      <c r="K1692" s="4">
        <v>39.632601180810624</v>
      </c>
      <c r="L1692" s="19">
        <v>3.9632601180810625E19</v>
      </c>
      <c r="M1692" s="20">
        <v>3.963260118081063E18</v>
      </c>
    </row>
    <row r="1693">
      <c r="A1693" s="6"/>
      <c r="B1693" s="6"/>
      <c r="C1693" s="4"/>
      <c r="D1693" s="4">
        <v>20.129949180916498</v>
      </c>
      <c r="E1693" s="4" t="s">
        <v>921</v>
      </c>
      <c r="F1693" s="4"/>
      <c r="G1693" s="4"/>
      <c r="H1693" s="4"/>
      <c r="I1693" s="4" t="str">
        <f>IFERROR(__xludf.DUMMYFUNCTION("""COMPUTED_VALUE"""),"0x465c2551ae05ec31baa38137de82f591368e0544")</f>
        <v>0x465c2551ae05ec31baa38137de82f591368e0544</v>
      </c>
      <c r="J1693" s="18">
        <v>42.110476964297206</v>
      </c>
      <c r="K1693" s="4">
        <v>526.380962053715</v>
      </c>
      <c r="L1693" s="19">
        <v>5.2638096205371507E20</v>
      </c>
      <c r="M1693" s="20">
        <v>5.263809620537151E19</v>
      </c>
    </row>
    <row r="1694">
      <c r="A1694" s="6"/>
      <c r="B1694" s="6"/>
      <c r="C1694" s="4"/>
      <c r="D1694" s="4">
        <v>48.3641275995966</v>
      </c>
      <c r="E1694" s="4" t="s">
        <v>2817</v>
      </c>
      <c r="F1694" s="4"/>
      <c r="G1694" s="4"/>
      <c r="H1694" s="4"/>
      <c r="I1694" s="4" t="str">
        <f>IFERROR(__xludf.DUMMYFUNCTION("""COMPUTED_VALUE"""),"0x9e4786715a63fb037eb3fc11836ae648441eb739")</f>
        <v>0x9e4786715a63fb037eb3fc11836ae648441eb739</v>
      </c>
      <c r="J1694" s="18">
        <v>231.6834713062814</v>
      </c>
      <c r="K1694" s="4">
        <v>2896.0433913285174</v>
      </c>
      <c r="L1694" s="19">
        <v>2.8960433913285176E21</v>
      </c>
      <c r="M1694" s="20">
        <v>2.8960433913285178E20</v>
      </c>
    </row>
    <row r="1695">
      <c r="A1695" s="6"/>
      <c r="B1695" s="6"/>
      <c r="C1695" s="4"/>
      <c r="D1695" s="4">
        <v>48.3641275995966</v>
      </c>
      <c r="E1695" s="4" t="s">
        <v>2818</v>
      </c>
      <c r="F1695" s="4"/>
      <c r="G1695" s="4"/>
      <c r="H1695" s="4"/>
      <c r="I1695" s="4" t="str">
        <f>IFERROR(__xludf.DUMMYFUNCTION("""COMPUTED_VALUE"""),"0xc75f1ad2eaef79b729c8dd8bcbaeddd893f5a761")</f>
        <v>0xc75f1ad2eaef79b729c8dd8bcbaeddd893f5a761</v>
      </c>
      <c r="J1695" s="18">
        <v>156.7698022009836</v>
      </c>
      <c r="K1695" s="4">
        <v>1959.622527512295</v>
      </c>
      <c r="L1695" s="19">
        <v>1.959622527512295E21</v>
      </c>
      <c r="M1695" s="20">
        <v>1.9596225275122952E20</v>
      </c>
    </row>
    <row r="1696">
      <c r="A1696" s="6"/>
      <c r="B1696" s="6"/>
      <c r="C1696" s="4"/>
      <c r="D1696" s="4">
        <v>16.5321550692769</v>
      </c>
      <c r="E1696" s="4" t="s">
        <v>43</v>
      </c>
      <c r="F1696" s="4"/>
      <c r="G1696" s="4"/>
      <c r="H1696" s="4"/>
      <c r="I1696" s="4" t="str">
        <f>IFERROR(__xludf.DUMMYFUNCTION("""COMPUTED_VALUE"""),"0x2d03174e82a6029c8b053abdbbb664d0342d5581")</f>
        <v>0x2d03174e82a6029c8b053abdbbb664d0342d5581</v>
      </c>
      <c r="J1696" s="18">
        <v>7.52920746663994</v>
      </c>
      <c r="K1696" s="4">
        <v>94.11509333299924</v>
      </c>
      <c r="L1696" s="19">
        <v>9.411509333299924E19</v>
      </c>
      <c r="M1696" s="20">
        <v>9.411509333299925E18</v>
      </c>
    </row>
    <row r="1697">
      <c r="A1697" s="6"/>
      <c r="B1697" s="6"/>
      <c r="C1697" s="4"/>
      <c r="D1697" s="4">
        <v>9.6928215754228</v>
      </c>
      <c r="E1697" s="4" t="s">
        <v>2820</v>
      </c>
      <c r="F1697" s="4"/>
      <c r="G1697" s="4"/>
      <c r="H1697" s="4"/>
      <c r="I1697" s="4" t="str">
        <f>IFERROR(__xludf.DUMMYFUNCTION("""COMPUTED_VALUE"""),"0xb772565dfd2115a43b05779cba608cbb2d559508")</f>
        <v>0xb772565dfd2115a43b05779cba608cbb2d559508</v>
      </c>
      <c r="J1697" s="18">
        <v>82.0429494263725</v>
      </c>
      <c r="K1697" s="4">
        <v>1025.5368678296563</v>
      </c>
      <c r="L1697" s="19">
        <v>1.0255368678296563E21</v>
      </c>
      <c r="M1697" s="20">
        <v>1.0255368678296565E20</v>
      </c>
    </row>
    <row r="1698">
      <c r="A1698" s="6"/>
      <c r="B1698" s="6"/>
      <c r="C1698" s="4"/>
      <c r="D1698" s="4">
        <v>5.20329708432879</v>
      </c>
      <c r="E1698" s="4" t="s">
        <v>2822</v>
      </c>
      <c r="F1698" s="4"/>
      <c r="G1698" s="4"/>
      <c r="H1698" s="4"/>
      <c r="I1698" s="4" t="str">
        <f>IFERROR(__xludf.DUMMYFUNCTION("""COMPUTED_VALUE"""),"0xb1d6ae6274747c0552c9e6bbf52d53dbeeb4f261")</f>
        <v>0xb1d6ae6274747c0552c9e6bbf52d53dbeeb4f261</v>
      </c>
      <c r="J1698" s="18">
        <v>32.4770056803575</v>
      </c>
      <c r="K1698" s="4">
        <v>405.96257100446877</v>
      </c>
      <c r="L1698" s="19">
        <v>4.059625710044688E20</v>
      </c>
      <c r="M1698" s="20">
        <v>4.059625710044688E19</v>
      </c>
    </row>
    <row r="1699">
      <c r="A1699" s="6"/>
      <c r="B1699" s="6"/>
      <c r="C1699" s="4"/>
      <c r="D1699" s="4">
        <v>16.4807988285678</v>
      </c>
      <c r="E1699" s="4" t="s">
        <v>2824</v>
      </c>
      <c r="F1699" s="4"/>
      <c r="G1699" s="4"/>
      <c r="H1699" s="4"/>
      <c r="I1699" s="4" t="str">
        <f>IFERROR(__xludf.DUMMYFUNCTION("""COMPUTED_VALUE"""),"0x180fa79e1598dd7cc58bff03d03bfb01b8a76cff")</f>
        <v>0x180fa79e1598dd7cc58bff03d03bfb01b8a76cff</v>
      </c>
      <c r="J1699" s="18">
        <v>3.153206712383</v>
      </c>
      <c r="K1699" s="4">
        <v>39.4150839047875</v>
      </c>
      <c r="L1699" s="19">
        <v>3.94150839047875E19</v>
      </c>
      <c r="M1699" s="20">
        <v>3.9415083904787497E18</v>
      </c>
    </row>
    <row r="1700">
      <c r="A1700" s="6"/>
      <c r="B1700" s="6"/>
      <c r="C1700" s="4"/>
      <c r="D1700" s="4">
        <v>47.379659144015896</v>
      </c>
      <c r="E1700" s="4" t="s">
        <v>2826</v>
      </c>
      <c r="F1700" s="4"/>
      <c r="G1700" s="4"/>
      <c r="H1700" s="4"/>
      <c r="I1700" s="4" t="str">
        <f>IFERROR(__xludf.DUMMYFUNCTION("""COMPUTED_VALUE"""),"0xa2728622b70dc891edc42973d410132c233c3c9a")</f>
        <v>0xa2728622b70dc891edc42973d410132c233c3c9a</v>
      </c>
      <c r="J1700" s="18">
        <v>0.444220942233989</v>
      </c>
      <c r="K1700" s="4">
        <v>5.552761777924863</v>
      </c>
      <c r="L1700" s="19">
        <v>5.552761777924863E18</v>
      </c>
      <c r="M1700" s="20">
        <v>5.5527617779248634E17</v>
      </c>
    </row>
    <row r="1701">
      <c r="A1701" s="6"/>
      <c r="B1701" s="6"/>
      <c r="C1701" s="4"/>
      <c r="D1701" s="4">
        <v>44.5091224619274</v>
      </c>
      <c r="E1701" s="4" t="s">
        <v>2828</v>
      </c>
      <c r="F1701" s="4"/>
      <c r="G1701" s="4"/>
      <c r="H1701" s="4"/>
      <c r="I1701" s="4" t="str">
        <f>IFERROR(__xludf.DUMMYFUNCTION("""COMPUTED_VALUE"""),"0x969b7f788df56bc0cba120a4c07ca11c644b4503")</f>
        <v>0x969b7f788df56bc0cba120a4c07ca11c644b4503</v>
      </c>
      <c r="J1701" s="18">
        <v>9.82759072823804</v>
      </c>
      <c r="K1701" s="4">
        <v>122.84488410297548</v>
      </c>
      <c r="L1701" s="19">
        <v>1.2284488410297549E20</v>
      </c>
      <c r="M1701" s="20">
        <v>1.2284488410297549E19</v>
      </c>
    </row>
    <row r="1702">
      <c r="A1702" s="6"/>
      <c r="B1702" s="6"/>
      <c r="C1702" s="4"/>
      <c r="D1702" s="4">
        <v>48.3641275995966</v>
      </c>
      <c r="E1702" s="4" t="s">
        <v>2830</v>
      </c>
      <c r="F1702" s="4"/>
      <c r="G1702" s="4"/>
      <c r="H1702" s="4"/>
      <c r="I1702" s="4" t="str">
        <f>IFERROR(__xludf.DUMMYFUNCTION("""COMPUTED_VALUE"""),"0x82d2258c2dcc6383169e99d4f48cb91d2bd1a098")</f>
        <v>0x82d2258c2dcc6383169e99d4f48cb91d2bd1a098</v>
      </c>
      <c r="J1702" s="18">
        <v>113.4683136722219</v>
      </c>
      <c r="K1702" s="4">
        <v>1418.3539209027738</v>
      </c>
      <c r="L1702" s="19">
        <v>1.4183539209027739E21</v>
      </c>
      <c r="M1702" s="20">
        <v>1.418353920902774E20</v>
      </c>
    </row>
    <row r="1703">
      <c r="A1703" s="6"/>
      <c r="B1703" s="6"/>
      <c r="C1703" s="4"/>
      <c r="D1703" s="4">
        <v>2.47982552101148</v>
      </c>
      <c r="E1703" s="4" t="s">
        <v>2831</v>
      </c>
      <c r="F1703" s="4"/>
      <c r="G1703" s="4"/>
      <c r="H1703" s="4"/>
      <c r="I1703" s="4" t="str">
        <f>IFERROR(__xludf.DUMMYFUNCTION("""COMPUTED_VALUE"""),"0xf99162f8b136f40b1dfc9d6d3374e9634d849167")</f>
        <v>0xf99162f8b136f40b1dfc9d6d3374e9634d849167</v>
      </c>
      <c r="J1703" s="18">
        <v>57.32411518606497</v>
      </c>
      <c r="K1703" s="4">
        <v>716.5514398258122</v>
      </c>
      <c r="L1703" s="19">
        <v>7.165514398258122E20</v>
      </c>
      <c r="M1703" s="20">
        <v>7.165514398258122E19</v>
      </c>
    </row>
    <row r="1704">
      <c r="A1704" s="6"/>
      <c r="B1704" s="6"/>
      <c r="C1704" s="4"/>
      <c r="D1704" s="4">
        <v>0.193456510398386</v>
      </c>
      <c r="E1704" s="4" t="s">
        <v>2833</v>
      </c>
      <c r="F1704" s="4"/>
      <c r="G1704" s="4"/>
      <c r="H1704" s="4"/>
      <c r="I1704" s="4" t="str">
        <f>IFERROR(__xludf.DUMMYFUNCTION("""COMPUTED_VALUE"""),"0x8fb8e7884f0763e30e00bb9ba00f0a8a22eab994")</f>
        <v>0x8fb8e7884f0763e30e00bb9ba00f0a8a22eab994</v>
      </c>
      <c r="J1704" s="18">
        <v>48.3641275995966</v>
      </c>
      <c r="K1704" s="4">
        <v>604.5515949949574</v>
      </c>
      <c r="L1704" s="19">
        <v>6.045515949949574E20</v>
      </c>
      <c r="M1704" s="20">
        <v>6.045515949949574E19</v>
      </c>
    </row>
    <row r="1705">
      <c r="A1705" s="6"/>
      <c r="B1705" s="6"/>
      <c r="C1705" s="4"/>
      <c r="D1705" s="4">
        <v>24.0461500423851</v>
      </c>
      <c r="E1705" s="4" t="s">
        <v>2835</v>
      </c>
      <c r="F1705" s="4"/>
      <c r="G1705" s="4"/>
      <c r="H1705" s="4"/>
      <c r="I1705" s="4" t="str">
        <f>IFERROR(__xludf.DUMMYFUNCTION("""COMPUTED_VALUE"""),"0xfee9b0e5e83643e55d7d4e398a3c65714f91decd")</f>
        <v>0xfee9b0e5e83643e55d7d4e398a3c65714f91decd</v>
      </c>
      <c r="J1705" s="18">
        <v>58.27766434587302</v>
      </c>
      <c r="K1705" s="4">
        <v>728.4708043234127</v>
      </c>
      <c r="L1705" s="19">
        <v>7.284708043234127E20</v>
      </c>
      <c r="M1705" s="20">
        <v>7.284708043234128E19</v>
      </c>
    </row>
    <row r="1706">
      <c r="A1706" s="6"/>
      <c r="B1706" s="6"/>
      <c r="C1706" s="4"/>
      <c r="D1706" s="4">
        <v>48.3641275995966</v>
      </c>
      <c r="E1706" s="4" t="s">
        <v>842</v>
      </c>
      <c r="F1706" s="4"/>
      <c r="G1706" s="4"/>
      <c r="H1706" s="4"/>
      <c r="I1706" s="4" t="str">
        <f>IFERROR(__xludf.DUMMYFUNCTION("""COMPUTED_VALUE"""),"0x3abfb638d0e33e053034e32701c7f8576f53119f")</f>
        <v>0x3abfb638d0e33e053034e32701c7f8576f53119f</v>
      </c>
      <c r="J1706" s="18">
        <v>48.3641275995966</v>
      </c>
      <c r="K1706" s="4">
        <v>604.5515949949574</v>
      </c>
      <c r="L1706" s="19">
        <v>6.045515949949574E20</v>
      </c>
      <c r="M1706" s="20">
        <v>6.045515949949574E19</v>
      </c>
    </row>
    <row r="1707">
      <c r="A1707" s="6"/>
      <c r="B1707" s="6"/>
      <c r="C1707" s="4"/>
      <c r="D1707" s="4">
        <v>48.3641275995966</v>
      </c>
      <c r="E1707" s="4" t="s">
        <v>2837</v>
      </c>
      <c r="F1707" s="4"/>
      <c r="G1707" s="4"/>
      <c r="H1707" s="4"/>
      <c r="I1707" s="4" t="str">
        <f>IFERROR(__xludf.DUMMYFUNCTION("""COMPUTED_VALUE"""),"0x0a04907422c1c70d26df8770bff1b17743d65cf1")</f>
        <v>0x0a04907422c1c70d26df8770bff1b17743d65cf1</v>
      </c>
      <c r="J1707" s="18">
        <v>31.4208019228163</v>
      </c>
      <c r="K1707" s="4">
        <v>392.76002403520374</v>
      </c>
      <c r="L1707" s="19">
        <v>3.9276002403520374E20</v>
      </c>
      <c r="M1707" s="20">
        <v>3.927600240352037E19</v>
      </c>
    </row>
    <row r="1708">
      <c r="A1708" s="6"/>
      <c r="B1708" s="6"/>
      <c r="C1708" s="4"/>
      <c r="D1708" s="4">
        <v>48.3641275995966</v>
      </c>
      <c r="E1708" s="4" t="s">
        <v>2838</v>
      </c>
      <c r="F1708" s="4"/>
      <c r="G1708" s="4"/>
      <c r="H1708" s="4"/>
      <c r="I1708" s="4" t="str">
        <f>IFERROR(__xludf.DUMMYFUNCTION("""COMPUTED_VALUE"""),"0xdb64a7142d223e7ed153587d23f0e2e0dc0f8c73")</f>
        <v>0xdb64a7142d223e7ed153587d23f0e2e0dc0f8c73</v>
      </c>
      <c r="J1708" s="18">
        <v>26.6831734975603</v>
      </c>
      <c r="K1708" s="4">
        <v>333.53966871950377</v>
      </c>
      <c r="L1708" s="19">
        <v>3.3353966871950374E20</v>
      </c>
      <c r="M1708" s="20">
        <v>3.3353966871950377E19</v>
      </c>
    </row>
    <row r="1709">
      <c r="A1709" s="6"/>
      <c r="B1709" s="6"/>
      <c r="C1709" s="4"/>
      <c r="D1709" s="4">
        <v>48.3641275995966</v>
      </c>
      <c r="E1709" s="4" t="s">
        <v>2839</v>
      </c>
      <c r="F1709" s="4"/>
      <c r="G1709" s="4"/>
      <c r="H1709" s="4"/>
      <c r="I1709" s="4" t="str">
        <f>IFERROR(__xludf.DUMMYFUNCTION("""COMPUTED_VALUE"""),"0xbac20b46a1f123989427c8918034439f91a544aa")</f>
        <v>0xbac20b46a1f123989427c8918034439f91a544aa</v>
      </c>
      <c r="J1709" s="18">
        <v>7.87938101740656</v>
      </c>
      <c r="K1709" s="4">
        <v>98.492262717582</v>
      </c>
      <c r="L1709" s="19">
        <v>9.8492262717582E19</v>
      </c>
      <c r="M1709" s="20">
        <v>9.8492262717582E18</v>
      </c>
    </row>
    <row r="1710">
      <c r="A1710" s="6"/>
      <c r="B1710" s="6"/>
      <c r="C1710" s="4"/>
      <c r="D1710" s="4">
        <v>48.3641275995966</v>
      </c>
      <c r="E1710" s="4" t="s">
        <v>2840</v>
      </c>
      <c r="F1710" s="4"/>
      <c r="G1710" s="4"/>
      <c r="H1710" s="4"/>
      <c r="I1710" s="4" t="str">
        <f>IFERROR(__xludf.DUMMYFUNCTION("""COMPUTED_VALUE"""),"0x09d9b00900540d310e1d9ecb2ba664d9b052af6e")</f>
        <v>0x09d9b00900540d310e1d9ecb2ba664d9b052af6e</v>
      </c>
      <c r="J1710" s="18">
        <v>9.672825519919328</v>
      </c>
      <c r="K1710" s="4">
        <v>120.9103189989916</v>
      </c>
      <c r="L1710" s="19">
        <v>1.209103189989916E20</v>
      </c>
      <c r="M1710" s="20">
        <v>1.209103189989916E19</v>
      </c>
    </row>
    <row r="1711">
      <c r="A1711" s="6"/>
      <c r="B1711" s="6"/>
      <c r="C1711" s="4"/>
      <c r="D1711" s="4">
        <v>7.49004344877453</v>
      </c>
      <c r="E1711" s="4" t="s">
        <v>2841</v>
      </c>
      <c r="F1711" s="4"/>
      <c r="G1711" s="4"/>
      <c r="H1711" s="4"/>
      <c r="I1711" s="4" t="str">
        <f>IFERROR(__xludf.DUMMYFUNCTION("""COMPUTED_VALUE"""),"0x5938079ae5093f0edeaf33f038c550c0513e6eb9")</f>
        <v>0x5938079ae5093f0edeaf33f038c550c0513e6eb9</v>
      </c>
      <c r="J1711" s="18">
        <v>9.672825519919328</v>
      </c>
      <c r="K1711" s="4">
        <v>120.9103189989916</v>
      </c>
      <c r="L1711" s="19">
        <v>1.209103189989916E20</v>
      </c>
      <c r="M1711" s="20">
        <v>1.209103189989916E19</v>
      </c>
    </row>
    <row r="1712">
      <c r="A1712" s="6"/>
      <c r="B1712" s="6"/>
      <c r="C1712" s="4"/>
      <c r="D1712" s="4">
        <v>5.164892409652031</v>
      </c>
      <c r="E1712" s="4" t="s">
        <v>2843</v>
      </c>
      <c r="F1712" s="4"/>
      <c r="G1712" s="4"/>
      <c r="H1712" s="4"/>
      <c r="I1712" s="4" t="str">
        <f>IFERROR(__xludf.DUMMYFUNCTION("""COMPUTED_VALUE"""),"0x098b01363941aebb349e0cdbb7437fffaaf951d8")</f>
        <v>0x098b01363941aebb349e0cdbb7437fffaaf951d8</v>
      </c>
      <c r="J1712" s="18">
        <v>234.37608780709658</v>
      </c>
      <c r="K1712" s="4">
        <v>2929.7010975887074</v>
      </c>
      <c r="L1712" s="19">
        <v>2.9297010975887076E21</v>
      </c>
      <c r="M1712" s="20">
        <v>2.9297010975887078E20</v>
      </c>
    </row>
    <row r="1713">
      <c r="A1713" s="6"/>
      <c r="B1713" s="6"/>
      <c r="C1713" s="4"/>
      <c r="D1713" s="4">
        <v>23.540944044966302</v>
      </c>
      <c r="E1713" s="4" t="s">
        <v>2845</v>
      </c>
      <c r="F1713" s="4"/>
      <c r="G1713" s="4"/>
      <c r="H1713" s="4"/>
      <c r="I1713" s="4" t="str">
        <f>IFERROR(__xludf.DUMMYFUNCTION("""COMPUTED_VALUE"""),"0xe627620e52e11d043f5a1dfaf8eb4308219e6d6a")</f>
        <v>0xe627620e52e11d043f5a1dfaf8eb4308219e6d6a</v>
      </c>
      <c r="J1713" s="18">
        <v>57.6647257074419</v>
      </c>
      <c r="K1713" s="4">
        <v>720.8090713430238</v>
      </c>
      <c r="L1713" s="19">
        <v>7.208090713430238E20</v>
      </c>
      <c r="M1713" s="20">
        <v>7.208090713430239E19</v>
      </c>
    </row>
    <row r="1714">
      <c r="A1714" s="6"/>
      <c r="B1714" s="6"/>
      <c r="C1714" s="4"/>
      <c r="D1714" s="4">
        <v>48.3641275995966</v>
      </c>
      <c r="E1714" s="4" t="s">
        <v>1077</v>
      </c>
      <c r="F1714" s="4"/>
      <c r="G1714" s="4"/>
      <c r="H1714" s="4"/>
      <c r="I1714" s="4" t="str">
        <f>IFERROR(__xludf.DUMMYFUNCTION("""COMPUTED_VALUE"""),"0x1aceb5721d301e4af99b3c35d78ba62788f096e2")</f>
        <v>0x1aceb5721d301e4af99b3c35d78ba62788f096e2</v>
      </c>
      <c r="J1714" s="18">
        <v>29.018476559758</v>
      </c>
      <c r="K1714" s="4">
        <v>362.730956996975</v>
      </c>
      <c r="L1714" s="19">
        <v>3.62730956996975E20</v>
      </c>
      <c r="M1714" s="20">
        <v>3.62730956996975E19</v>
      </c>
    </row>
    <row r="1715">
      <c r="A1715" s="6"/>
      <c r="B1715" s="6"/>
      <c r="C1715" s="4"/>
      <c r="D1715" s="4">
        <v>48.3641275995966</v>
      </c>
      <c r="E1715" s="4" t="s">
        <v>2847</v>
      </c>
      <c r="F1715" s="4"/>
      <c r="G1715" s="4"/>
      <c r="H1715" s="4"/>
      <c r="I1715" s="4" t="str">
        <f>IFERROR(__xludf.DUMMYFUNCTION("""COMPUTED_VALUE"""),"0x607c6ff5e222be9e9601c45923f4e82f8b547a34")</f>
        <v>0x607c6ff5e222be9e9601c45923f4e82f8b547a34</v>
      </c>
      <c r="J1715" s="18">
        <v>8.19085731270752</v>
      </c>
      <c r="K1715" s="4">
        <v>102.38571640884399</v>
      </c>
      <c r="L1715" s="19">
        <v>1.02385716408844E20</v>
      </c>
      <c r="M1715" s="20">
        <v>1.02385716408844E19</v>
      </c>
    </row>
    <row r="1716">
      <c r="A1716" s="6"/>
      <c r="B1716" s="6"/>
      <c r="C1716" s="4"/>
      <c r="D1716" s="4">
        <v>9.672825519919328</v>
      </c>
      <c r="E1716" s="4" t="s">
        <v>2848</v>
      </c>
      <c r="F1716" s="4"/>
      <c r="G1716" s="4"/>
      <c r="H1716" s="4"/>
      <c r="I1716" s="4" t="str">
        <f>IFERROR(__xludf.DUMMYFUNCTION("""COMPUTED_VALUE"""),"0x8feda4370bddf83bb61be4a7808f362db563c117")</f>
        <v>0x8feda4370bddf83bb61be4a7808f362db563c117</v>
      </c>
      <c r="J1716" s="18">
        <v>56.7949245432308</v>
      </c>
      <c r="K1716" s="4">
        <v>709.936556790385</v>
      </c>
      <c r="L1716" s="19">
        <v>7.09936556790385E20</v>
      </c>
      <c r="M1716" s="20">
        <v>7.09936556790385E19</v>
      </c>
    </row>
    <row r="1717">
      <c r="A1717" s="6"/>
      <c r="B1717" s="6"/>
      <c r="C1717" s="4"/>
      <c r="D1717" s="4">
        <v>48.3641275995966</v>
      </c>
      <c r="E1717" s="4" t="s">
        <v>2849</v>
      </c>
      <c r="F1717" s="4"/>
      <c r="G1717" s="4"/>
      <c r="H1717" s="4"/>
      <c r="I1717" s="4" t="str">
        <f>IFERROR(__xludf.DUMMYFUNCTION("""COMPUTED_VALUE"""),"0xeb80077d98a5f4407afe29cda0293d3f8a55805c")</f>
        <v>0xeb80077d98a5f4407afe29cda0293d3f8a55805c</v>
      </c>
      <c r="J1717" s="18">
        <v>48.3641275995966</v>
      </c>
      <c r="K1717" s="4">
        <v>604.5515949949574</v>
      </c>
      <c r="L1717" s="19">
        <v>6.045515949949574E20</v>
      </c>
      <c r="M1717" s="20">
        <v>6.045515949949574E19</v>
      </c>
    </row>
    <row r="1718">
      <c r="A1718" s="6"/>
      <c r="B1718" s="6"/>
      <c r="C1718" s="4"/>
      <c r="D1718" s="4">
        <v>48.3641275995966</v>
      </c>
      <c r="E1718" s="4" t="s">
        <v>591</v>
      </c>
      <c r="F1718" s="4"/>
      <c r="G1718" s="4"/>
      <c r="H1718" s="4"/>
      <c r="I1718" s="4" t="str">
        <f>IFERROR(__xludf.DUMMYFUNCTION("""COMPUTED_VALUE"""),"0x4777cef6fdc524e80606207c04bde48dc11edf19")</f>
        <v>0x4777cef6fdc524e80606207c04bde48dc11edf19</v>
      </c>
      <c r="J1718" s="18">
        <v>21.9698821022867</v>
      </c>
      <c r="K1718" s="4">
        <v>274.62352627858377</v>
      </c>
      <c r="L1718" s="19">
        <v>2.7462352627858378E20</v>
      </c>
      <c r="M1718" s="20">
        <v>2.746235262785838E19</v>
      </c>
    </row>
    <row r="1719">
      <c r="A1719" s="6"/>
      <c r="B1719" s="6"/>
      <c r="C1719" s="4"/>
      <c r="D1719" s="4">
        <v>48.3641275995966</v>
      </c>
      <c r="E1719" s="4" t="s">
        <v>2850</v>
      </c>
      <c r="F1719" s="4"/>
      <c r="G1719" s="4"/>
      <c r="H1719" s="4"/>
      <c r="I1719" s="4" t="str">
        <f>IFERROR(__xludf.DUMMYFUNCTION("""COMPUTED_VALUE"""),"0x3311cfa961f1b7ac453e21e61cb334b0a3c46f67")</f>
        <v>0x3311cfa961f1b7ac453e21e61cb334b0a3c46f67</v>
      </c>
      <c r="J1719" s="18">
        <v>10.5934850529052</v>
      </c>
      <c r="K1719" s="4">
        <v>132.41856316131498</v>
      </c>
      <c r="L1719" s="19">
        <v>1.3241856316131498E20</v>
      </c>
      <c r="M1719" s="20">
        <v>1.32418563161315E19</v>
      </c>
    </row>
    <row r="1720">
      <c r="A1720" s="6"/>
      <c r="B1720" s="6"/>
      <c r="C1720" s="4"/>
      <c r="D1720" s="4">
        <v>48.3641275995966</v>
      </c>
      <c r="E1720" s="4" t="s">
        <v>2851</v>
      </c>
      <c r="F1720" s="4"/>
      <c r="G1720" s="4"/>
      <c r="H1720" s="4"/>
      <c r="I1720" s="4" t="str">
        <f>IFERROR(__xludf.DUMMYFUNCTION("""COMPUTED_VALUE"""),"0x5bef45489a03462d199612c5cd992f114f398ea8")</f>
        <v>0x5bef45489a03462d199612c5cd992f114f398ea8</v>
      </c>
      <c r="J1720" s="18">
        <v>178.84007651582232</v>
      </c>
      <c r="K1720" s="4">
        <v>2235.500956447779</v>
      </c>
      <c r="L1720" s="19">
        <v>2.235500956447779E21</v>
      </c>
      <c r="M1720" s="20">
        <v>2.235500956447779E20</v>
      </c>
    </row>
    <row r="1721">
      <c r="A1721" s="6"/>
      <c r="B1721" s="6"/>
      <c r="C1721" s="4"/>
      <c r="D1721" s="4">
        <v>46.5396287386353</v>
      </c>
      <c r="E1721" s="4" t="s">
        <v>2852</v>
      </c>
      <c r="F1721" s="4"/>
      <c r="G1721" s="4"/>
      <c r="H1721" s="4"/>
      <c r="I1721" s="4" t="str">
        <f>IFERROR(__xludf.DUMMYFUNCTION("""COMPUTED_VALUE"""),"0x47be2d5a6342006ad489e29e71e1cb30abd1a941")</f>
        <v>0x47be2d5a6342006ad489e29e71e1cb30abd1a941</v>
      </c>
      <c r="J1721" s="18">
        <v>67.0578049924071</v>
      </c>
      <c r="K1721" s="4">
        <v>838.2225624050888</v>
      </c>
      <c r="L1721" s="19">
        <v>8.382225624050888E20</v>
      </c>
      <c r="M1721" s="20">
        <v>8.382225624050888E19</v>
      </c>
    </row>
    <row r="1722">
      <c r="A1722" s="6"/>
      <c r="B1722" s="6"/>
      <c r="C1722" s="4"/>
      <c r="D1722" s="4">
        <v>9.781725266161459</v>
      </c>
      <c r="E1722" s="4" t="s">
        <v>2854</v>
      </c>
      <c r="F1722" s="4"/>
      <c r="G1722" s="4"/>
      <c r="H1722" s="4"/>
      <c r="I1722" s="4" t="str">
        <f>IFERROR(__xludf.DUMMYFUNCTION("""COMPUTED_VALUE"""),"0xd6bd310e0aefc2395e6e5e43feaada65ca714ee0")</f>
        <v>0xd6bd310e0aefc2395e6e5e43feaada65ca714ee0</v>
      </c>
      <c r="J1722" s="18">
        <v>6.31502177384504</v>
      </c>
      <c r="K1722" s="4">
        <v>78.937772173063</v>
      </c>
      <c r="L1722" s="19">
        <v>7.8937772173063E19</v>
      </c>
      <c r="M1722" s="20">
        <v>7.8937772173063E18</v>
      </c>
    </row>
    <row r="1723">
      <c r="A1723" s="6"/>
      <c r="B1723" s="6"/>
      <c r="C1723" s="4"/>
      <c r="D1723" s="4">
        <v>36.4064473357744</v>
      </c>
      <c r="E1723" s="4" t="s">
        <v>2856</v>
      </c>
      <c r="F1723" s="4"/>
      <c r="G1723" s="4"/>
      <c r="H1723" s="4"/>
      <c r="I1723" s="4" t="str">
        <f>IFERROR(__xludf.DUMMYFUNCTION("""COMPUTED_VALUE"""),"0x2cb7c53f4a7c986f333b1a3d9ae2d7f2bb3c63c6")</f>
        <v>0x2cb7c53f4a7c986f333b1a3d9ae2d7f2bb3c63c6</v>
      </c>
      <c r="J1723" s="18">
        <v>234.37608780709658</v>
      </c>
      <c r="K1723" s="4">
        <v>2929.7010975887074</v>
      </c>
      <c r="L1723" s="19">
        <v>2.9297010975887076E21</v>
      </c>
      <c r="M1723" s="20">
        <v>2.9297010975887078E20</v>
      </c>
    </row>
    <row r="1724">
      <c r="A1724" s="6"/>
      <c r="B1724" s="6"/>
      <c r="C1724" s="4"/>
      <c r="D1724" s="4">
        <v>13.7030970832564</v>
      </c>
      <c r="E1724" s="4" t="s">
        <v>2858</v>
      </c>
      <c r="F1724" s="4"/>
      <c r="G1724" s="4"/>
      <c r="H1724" s="4"/>
      <c r="I1724" s="4" t="str">
        <f>IFERROR(__xludf.DUMMYFUNCTION("""COMPUTED_VALUE"""),"0xbcccc84786cf33a93c0d57415e2c0faa9a89e1fa")</f>
        <v>0xbcccc84786cf33a93c0d57415e2c0faa9a89e1fa</v>
      </c>
      <c r="J1724" s="18">
        <v>19.4681320483024</v>
      </c>
      <c r="K1724" s="4">
        <v>243.35165060378</v>
      </c>
      <c r="L1724" s="19">
        <v>2.4335165060378E20</v>
      </c>
      <c r="M1724" s="20">
        <v>2.4335165060378E19</v>
      </c>
    </row>
    <row r="1725">
      <c r="A1725" s="6"/>
      <c r="B1725" s="6"/>
      <c r="C1725" s="4"/>
      <c r="D1725" s="4">
        <v>13.1579409795347</v>
      </c>
      <c r="E1725" s="4" t="s">
        <v>2860</v>
      </c>
      <c r="F1725" s="4"/>
      <c r="G1725" s="4"/>
      <c r="H1725" s="4"/>
      <c r="I1725" s="4" t="str">
        <f>IFERROR(__xludf.DUMMYFUNCTION("""COMPUTED_VALUE"""),"0xdb679c6899375c6a0bac43dcb9f8bef62d0c583b")</f>
        <v>0xdb679c6899375c6a0bac43dcb9f8bef62d0c583b</v>
      </c>
      <c r="J1725" s="18">
        <v>6.19060833274837</v>
      </c>
      <c r="K1725" s="4">
        <v>77.38260415935463</v>
      </c>
      <c r="L1725" s="19">
        <v>7.738260415935463E19</v>
      </c>
      <c r="M1725" s="20">
        <v>7.738260415935463E18</v>
      </c>
    </row>
    <row r="1726">
      <c r="A1726" s="6"/>
      <c r="B1726" s="6"/>
      <c r="C1726" s="4"/>
      <c r="D1726" s="4">
        <v>48.3641275995966</v>
      </c>
      <c r="E1726" s="4" t="s">
        <v>2862</v>
      </c>
      <c r="F1726" s="4"/>
      <c r="G1726" s="4"/>
      <c r="H1726" s="4"/>
      <c r="I1726" s="4" t="str">
        <f>IFERROR(__xludf.DUMMYFUNCTION("""COMPUTED_VALUE"""),"0x86fb0ca9ef443e1f99640bdfb02b32c70ac4db0c")</f>
        <v>0x86fb0ca9ef443e1f99640bdfb02b32c70ac4db0c</v>
      </c>
      <c r="J1726" s="18">
        <v>19.3456510398386</v>
      </c>
      <c r="K1726" s="4">
        <v>241.8206379979825</v>
      </c>
      <c r="L1726" s="19">
        <v>2.4182063799798248E20</v>
      </c>
      <c r="M1726" s="20">
        <v>2.418206379979825E19</v>
      </c>
    </row>
    <row r="1727">
      <c r="A1727" s="6"/>
      <c r="B1727" s="6"/>
      <c r="C1727" s="4"/>
      <c r="D1727" s="4">
        <v>5.8036953119516</v>
      </c>
      <c r="E1727" s="4" t="s">
        <v>2863</v>
      </c>
      <c r="F1727" s="4"/>
      <c r="G1727" s="4"/>
      <c r="H1727" s="4"/>
      <c r="I1727" s="4" t="str">
        <f>IFERROR(__xludf.DUMMYFUNCTION("""COMPUTED_VALUE"""),"0x13ccde9d129ab208e01f2a6fd81e2b95249764fd")</f>
        <v>0x13ccde9d129ab208e01f2a6fd81e2b95249764fd</v>
      </c>
      <c r="J1727" s="18">
        <v>9.672825519919328</v>
      </c>
      <c r="K1727" s="4">
        <v>120.9103189989916</v>
      </c>
      <c r="L1727" s="19">
        <v>1.209103189989916E20</v>
      </c>
      <c r="M1727" s="20">
        <v>1.209103189989916E19</v>
      </c>
    </row>
    <row r="1728">
      <c r="A1728" s="6"/>
      <c r="B1728" s="6"/>
      <c r="C1728" s="4"/>
      <c r="D1728" s="4">
        <v>1.2350529158505401</v>
      </c>
      <c r="E1728" s="4" t="s">
        <v>2865</v>
      </c>
      <c r="F1728" s="4"/>
      <c r="G1728" s="4"/>
      <c r="H1728" s="4"/>
      <c r="I1728" s="4" t="str">
        <f>IFERROR(__xludf.DUMMYFUNCTION("""COMPUTED_VALUE"""),"0xbe09910e2b19fb207c6304309f8be2781125ad2b")</f>
        <v>0xbe09910e2b19fb207c6304309f8be2781125ad2b</v>
      </c>
      <c r="J1728" s="18">
        <v>8.32439246873042</v>
      </c>
      <c r="K1728" s="4">
        <v>104.05490585913024</v>
      </c>
      <c r="L1728" s="19">
        <v>1.0405490585913025E20</v>
      </c>
      <c r="M1728" s="20">
        <v>1.0405490585913025E19</v>
      </c>
    </row>
    <row r="1729">
      <c r="A1729" s="6"/>
      <c r="B1729" s="6"/>
      <c r="C1729" s="4"/>
      <c r="D1729" s="4">
        <v>20.734083378521003</v>
      </c>
      <c r="E1729" s="4" t="s">
        <v>2867</v>
      </c>
      <c r="F1729" s="4"/>
      <c r="G1729" s="4"/>
      <c r="H1729" s="4"/>
      <c r="I1729" s="4" t="str">
        <f>IFERROR(__xludf.DUMMYFUNCTION("""COMPUTED_VALUE"""),"0x1468cc61152942986759a007d10205a1f869e78b")</f>
        <v>0x1468cc61152942986759a007d10205a1f869e78b</v>
      </c>
      <c r="J1729" s="18">
        <v>19.3456510398386</v>
      </c>
      <c r="K1729" s="4">
        <v>241.8206379979825</v>
      </c>
      <c r="L1729" s="19">
        <v>2.4182063799798248E20</v>
      </c>
      <c r="M1729" s="20">
        <v>2.418206379979825E19</v>
      </c>
    </row>
    <row r="1730">
      <c r="A1730" s="6"/>
      <c r="B1730" s="6"/>
      <c r="C1730" s="4"/>
      <c r="D1730" s="4">
        <v>1.93456510398386</v>
      </c>
      <c r="E1730" s="4" t="s">
        <v>2869</v>
      </c>
      <c r="F1730" s="4"/>
      <c r="G1730" s="4"/>
      <c r="H1730" s="4"/>
      <c r="I1730" s="4" t="str">
        <f>IFERROR(__xludf.DUMMYFUNCTION("""COMPUTED_VALUE"""),"0x117bff81e7dde0d03f93e980b424f1c18b185b4f")</f>
        <v>0x117bff81e7dde0d03f93e980b424f1c18b185b4f</v>
      </c>
      <c r="J1730" s="18">
        <v>39.9588034046242</v>
      </c>
      <c r="K1730" s="4">
        <v>499.4850425578025</v>
      </c>
      <c r="L1730" s="19">
        <v>4.994850425578025E20</v>
      </c>
      <c r="M1730" s="20">
        <v>4.994850425578026E19</v>
      </c>
    </row>
    <row r="1731">
      <c r="A1731" s="6"/>
      <c r="B1731" s="6"/>
      <c r="C1731" s="4"/>
      <c r="D1731" s="4">
        <v>48.3641275995966</v>
      </c>
      <c r="E1731" s="4" t="s">
        <v>2870</v>
      </c>
      <c r="F1731" s="4"/>
      <c r="G1731" s="4"/>
      <c r="H1731" s="4"/>
      <c r="I1731" s="4" t="str">
        <f>IFERROR(__xludf.DUMMYFUNCTION("""COMPUTED_VALUE"""),"0x20b82f504e51b216dc0f6ab355025ac35ac4c942")</f>
        <v>0x20b82f504e51b216dc0f6ab355025ac35ac4c942</v>
      </c>
      <c r="J1731" s="18">
        <v>155.6930286393236</v>
      </c>
      <c r="K1731" s="4">
        <v>1946.1628579915448</v>
      </c>
      <c r="L1731" s="19">
        <v>1.9461628579915448E21</v>
      </c>
      <c r="M1731" s="20">
        <v>1.9461628579915448E20</v>
      </c>
    </row>
    <row r="1732">
      <c r="A1732" s="6"/>
      <c r="B1732" s="6"/>
      <c r="C1732" s="4"/>
      <c r="D1732" s="4">
        <v>19.3456510398386</v>
      </c>
      <c r="E1732" s="4" t="s">
        <v>2871</v>
      </c>
      <c r="F1732" s="4"/>
      <c r="G1732" s="4"/>
      <c r="H1732" s="4"/>
      <c r="I1732" s="4" t="str">
        <f>IFERROR(__xludf.DUMMYFUNCTION("""COMPUTED_VALUE"""),"0x75afa0148a5330c0d54a63a2388fb4aefb36b540")</f>
        <v>0x75afa0148a5330c0d54a63a2388fb4aefb36b540</v>
      </c>
      <c r="J1732" s="18">
        <v>47.8293345929685</v>
      </c>
      <c r="K1732" s="4">
        <v>597.8666824121062</v>
      </c>
      <c r="L1732" s="19">
        <v>5.978666824121063E20</v>
      </c>
      <c r="M1732" s="20">
        <v>5.978666824121063E19</v>
      </c>
    </row>
    <row r="1733">
      <c r="A1733" s="6"/>
      <c r="B1733" s="6"/>
      <c r="C1733" s="4"/>
      <c r="D1733" s="4">
        <v>46.7072374532285</v>
      </c>
      <c r="E1733" s="4" t="s">
        <v>2872</v>
      </c>
      <c r="F1733" s="4"/>
      <c r="G1733" s="4"/>
      <c r="H1733" s="4"/>
      <c r="I1733" s="4" t="str">
        <f>IFERROR(__xludf.DUMMYFUNCTION("""COMPUTED_VALUE"""),"0x71c01fc13b71a839cd0e3dc6cff14f5c50759572")</f>
        <v>0x71c01fc13b71a839cd0e3dc6cff14f5c50759572</v>
      </c>
      <c r="J1733" s="18">
        <v>9.672825519919328</v>
      </c>
      <c r="K1733" s="4">
        <v>120.9103189989916</v>
      </c>
      <c r="L1733" s="19">
        <v>1.209103189989916E20</v>
      </c>
      <c r="M1733" s="20">
        <v>1.209103189989916E19</v>
      </c>
    </row>
    <row r="1734">
      <c r="A1734" s="6"/>
      <c r="B1734" s="6"/>
      <c r="C1734" s="4"/>
      <c r="D1734" s="4">
        <v>48.3641275995966</v>
      </c>
      <c r="E1734" s="4" t="s">
        <v>2874</v>
      </c>
      <c r="F1734" s="4"/>
      <c r="G1734" s="4"/>
      <c r="H1734" s="4"/>
      <c r="I1734" s="4" t="str">
        <f>IFERROR(__xludf.DUMMYFUNCTION("""COMPUTED_VALUE"""),"0xd27dc34d2d351dde18e894ac9f17ea2a67010924")</f>
        <v>0xd27dc34d2d351dde18e894ac9f17ea2a67010924</v>
      </c>
      <c r="J1734" s="18">
        <v>9.80293573368849</v>
      </c>
      <c r="K1734" s="4">
        <v>122.53669667110611</v>
      </c>
      <c r="L1734" s="19">
        <v>1.2253669667110612E20</v>
      </c>
      <c r="M1734" s="20">
        <v>1.2253669667110613E19</v>
      </c>
    </row>
    <row r="1735">
      <c r="A1735" s="6"/>
      <c r="B1735" s="6"/>
      <c r="C1735" s="4"/>
      <c r="D1735" s="4">
        <v>9.672825519919328</v>
      </c>
      <c r="E1735" s="4" t="s">
        <v>2875</v>
      </c>
      <c r="F1735" s="4"/>
      <c r="G1735" s="4"/>
      <c r="H1735" s="4"/>
      <c r="I1735" s="4" t="str">
        <f>IFERROR(__xludf.DUMMYFUNCTION("""COMPUTED_VALUE"""),"0x0c5eaa7fcf1ea92808c2475e2d2128e2114e8b6e")</f>
        <v>0x0c5eaa7fcf1ea92808c2475e2d2128e2114e8b6e</v>
      </c>
      <c r="J1735" s="18">
        <v>48.3641275995966</v>
      </c>
      <c r="K1735" s="4">
        <v>604.5515949949574</v>
      </c>
      <c r="L1735" s="19">
        <v>6.045515949949574E20</v>
      </c>
      <c r="M1735" s="20">
        <v>6.045515949949574E19</v>
      </c>
    </row>
    <row r="1736">
      <c r="A1736" s="6"/>
      <c r="B1736" s="6"/>
      <c r="C1736" s="4"/>
      <c r="D1736" s="4">
        <v>48.3641275995966</v>
      </c>
      <c r="E1736" s="4" t="s">
        <v>2876</v>
      </c>
      <c r="F1736" s="4"/>
      <c r="G1736" s="4"/>
      <c r="H1736" s="4"/>
      <c r="I1736" s="4" t="str">
        <f>IFERROR(__xludf.DUMMYFUNCTION("""COMPUTED_VALUE"""),"0x654ecf30ede43400d342da2dcbc000d756882f64")</f>
        <v>0x654ecf30ede43400d342da2dcbc000d756882f64</v>
      </c>
      <c r="J1736" s="18">
        <v>48.3641275995966</v>
      </c>
      <c r="K1736" s="4">
        <v>604.5515949949574</v>
      </c>
      <c r="L1736" s="19">
        <v>6.045515949949574E20</v>
      </c>
      <c r="M1736" s="20">
        <v>6.045515949949574E19</v>
      </c>
    </row>
    <row r="1737">
      <c r="A1737" s="6"/>
      <c r="B1737" s="6"/>
      <c r="C1737" s="4"/>
      <c r="D1737" s="4">
        <v>3.66281960403853</v>
      </c>
      <c r="E1737" s="4" t="s">
        <v>2877</v>
      </c>
      <c r="F1737" s="4"/>
      <c r="G1737" s="4"/>
      <c r="H1737" s="4"/>
      <c r="I1737" s="4" t="str">
        <f>IFERROR(__xludf.DUMMYFUNCTION("""COMPUTED_VALUE"""),"0x2fc9044e7d7cf4862ef17c55c4404b98d2458184")</f>
        <v>0x2fc9044e7d7cf4862ef17c55c4404b98d2458184</v>
      </c>
      <c r="J1737" s="18">
        <v>9.687506047882271</v>
      </c>
      <c r="K1737" s="4">
        <v>121.0938255985284</v>
      </c>
      <c r="L1737" s="19">
        <v>1.210938255985284E20</v>
      </c>
      <c r="M1737" s="20">
        <v>1.210938255985284E19</v>
      </c>
    </row>
    <row r="1738">
      <c r="A1738" s="6"/>
      <c r="B1738" s="6"/>
      <c r="C1738" s="4"/>
      <c r="D1738" s="4">
        <v>9.86628203031772</v>
      </c>
      <c r="E1738" s="4" t="s">
        <v>2879</v>
      </c>
      <c r="F1738" s="4"/>
      <c r="G1738" s="4"/>
      <c r="H1738" s="4"/>
      <c r="I1738" s="4" t="str">
        <f>IFERROR(__xludf.DUMMYFUNCTION("""COMPUTED_VALUE"""),"0x9dd9e69acbc603ef581d07e2b43777eec5eb091e")</f>
        <v>0x9dd9e69acbc603ef581d07e2b43777eec5eb091e</v>
      </c>
      <c r="J1738" s="18">
        <v>1.42729340871626</v>
      </c>
      <c r="K1738" s="4">
        <v>17.84116760895325</v>
      </c>
      <c r="L1738" s="19">
        <v>1.784116760895325E19</v>
      </c>
      <c r="M1738" s="20">
        <v>1.7841167608953252E18</v>
      </c>
    </row>
    <row r="1739">
      <c r="A1739" s="6"/>
      <c r="B1739" s="6"/>
      <c r="C1739" s="4"/>
      <c r="D1739" s="4">
        <v>9.672825519919328</v>
      </c>
      <c r="E1739" s="4" t="s">
        <v>2880</v>
      </c>
      <c r="F1739" s="4"/>
      <c r="G1739" s="4"/>
      <c r="H1739" s="4"/>
      <c r="I1739" s="4" t="str">
        <f>IFERROR(__xludf.DUMMYFUNCTION("""COMPUTED_VALUE"""),"0xec9d9be7d8b1a1e1a8c6df1a44b981bc5b839854")</f>
        <v>0xec9d9be7d8b1a1e1a8c6df1a44b981bc5b839854</v>
      </c>
      <c r="J1739" s="18">
        <v>37.7293903638618</v>
      </c>
      <c r="K1739" s="4">
        <v>471.61737954827254</v>
      </c>
      <c r="L1739" s="19">
        <v>4.716173795482725E20</v>
      </c>
      <c r="M1739" s="20">
        <v>4.7161737954827256E19</v>
      </c>
    </row>
    <row r="1740">
      <c r="A1740" s="6"/>
      <c r="B1740" s="6"/>
      <c r="C1740" s="4"/>
      <c r="D1740" s="4">
        <v>9.055638635187341</v>
      </c>
      <c r="E1740" s="4" t="s">
        <v>2881</v>
      </c>
      <c r="F1740" s="4"/>
      <c r="G1740" s="4"/>
      <c r="H1740" s="4"/>
      <c r="I1740" s="4" t="str">
        <f>IFERROR(__xludf.DUMMYFUNCTION("""COMPUTED_VALUE"""),"0xa5cebac830948a359c14811b8acb1bdb70cb536a")</f>
        <v>0xa5cebac830948a359c14811b8acb1bdb70cb536a</v>
      </c>
      <c r="J1740" s="18">
        <v>48.3641275995966</v>
      </c>
      <c r="K1740" s="4">
        <v>604.5515949949574</v>
      </c>
      <c r="L1740" s="19">
        <v>6.045515949949574E20</v>
      </c>
      <c r="M1740" s="20">
        <v>6.045515949949574E19</v>
      </c>
    </row>
    <row r="1741">
      <c r="A1741" s="6"/>
      <c r="B1741" s="6"/>
      <c r="C1741" s="4"/>
      <c r="D1741" s="4">
        <v>24.8944658998589</v>
      </c>
      <c r="E1741" s="4" t="s">
        <v>2883</v>
      </c>
      <c r="F1741" s="4"/>
      <c r="G1741" s="4"/>
      <c r="H1741" s="4"/>
      <c r="I1741" s="4" t="str">
        <f>IFERROR(__xludf.DUMMYFUNCTION("""COMPUTED_VALUE"""),"0x5f866c2befcd50aced442a969cd93df9e2bae80b")</f>
        <v>0x5f866c2befcd50aced442a969cd93df9e2bae80b</v>
      </c>
      <c r="J1741" s="18">
        <v>37.20871353838095</v>
      </c>
      <c r="K1741" s="4">
        <v>465.10891922976185</v>
      </c>
      <c r="L1741" s="19">
        <v>4.6510891922976185E20</v>
      </c>
      <c r="M1741" s="20">
        <v>4.651089192297619E19</v>
      </c>
    </row>
    <row r="1742">
      <c r="A1742" s="6"/>
      <c r="B1742" s="6"/>
      <c r="C1742" s="4"/>
      <c r="D1742" s="4">
        <v>48.3641275995966</v>
      </c>
      <c r="E1742" s="4" t="s">
        <v>2885</v>
      </c>
      <c r="F1742" s="4"/>
      <c r="G1742" s="4"/>
      <c r="H1742" s="4"/>
      <c r="I1742" s="4" t="str">
        <f>IFERROR(__xludf.DUMMYFUNCTION("""COMPUTED_VALUE"""),"0xb1136675bb381608e1b3b1cfbd09e9112b95c3fd")</f>
        <v>0xb1136675bb381608e1b3b1cfbd09e9112b95c3fd</v>
      </c>
      <c r="J1742" s="18">
        <v>9.672825519919328</v>
      </c>
      <c r="K1742" s="4">
        <v>120.9103189989916</v>
      </c>
      <c r="L1742" s="19">
        <v>1.209103189989916E20</v>
      </c>
      <c r="M1742" s="20">
        <v>1.209103189989916E19</v>
      </c>
    </row>
    <row r="1743">
      <c r="A1743" s="6"/>
      <c r="B1743" s="6"/>
      <c r="C1743" s="4"/>
      <c r="D1743" s="4">
        <v>7.65429536434998</v>
      </c>
      <c r="E1743" s="4" t="s">
        <v>2886</v>
      </c>
      <c r="F1743" s="4"/>
      <c r="G1743" s="4"/>
      <c r="H1743" s="4"/>
      <c r="I1743" s="4" t="str">
        <f>IFERROR(__xludf.DUMMYFUNCTION("""COMPUTED_VALUE"""),"0x985a493fcd876061f4915fe8ab3ec59ec3330f81")</f>
        <v>0x985a493fcd876061f4915fe8ab3ec59ec3330f81</v>
      </c>
      <c r="J1743" s="18">
        <v>29.018476559758</v>
      </c>
      <c r="K1743" s="4">
        <v>362.730956996975</v>
      </c>
      <c r="L1743" s="19">
        <v>3.62730956996975E20</v>
      </c>
      <c r="M1743" s="20">
        <v>3.62730956996975E19</v>
      </c>
    </row>
    <row r="1744">
      <c r="A1744" s="6"/>
      <c r="B1744" s="6"/>
      <c r="C1744" s="4"/>
      <c r="D1744" s="4">
        <v>48.3641275995966</v>
      </c>
      <c r="E1744" s="4" t="s">
        <v>2888</v>
      </c>
      <c r="F1744" s="4"/>
      <c r="G1744" s="4"/>
      <c r="H1744" s="4"/>
      <c r="I1744" s="4" t="str">
        <f>IFERROR(__xludf.DUMMYFUNCTION("""COMPUTED_VALUE"""),"0x01a762639ed27cf925f3f9b08afd7c537b1d4d81")</f>
        <v>0x01a762639ed27cf925f3f9b08afd7c537b1d4d81</v>
      </c>
      <c r="J1744" s="18">
        <v>234.37608780709658</v>
      </c>
      <c r="K1744" s="4">
        <v>2929.7010975887074</v>
      </c>
      <c r="L1744" s="19">
        <v>2.9297010975887076E21</v>
      </c>
      <c r="M1744" s="20">
        <v>2.9297010975887078E20</v>
      </c>
    </row>
    <row r="1745">
      <c r="A1745" s="6"/>
      <c r="B1745" s="6"/>
      <c r="C1745" s="4"/>
      <c r="D1745" s="4">
        <v>15.629800230735999</v>
      </c>
      <c r="E1745" s="4" t="s">
        <v>2889</v>
      </c>
      <c r="F1745" s="4"/>
      <c r="G1745" s="4"/>
      <c r="H1745" s="4"/>
      <c r="I1745" s="4" t="str">
        <f>IFERROR(__xludf.DUMMYFUNCTION("""COMPUTED_VALUE"""),"0x282bb01bda10456f022af337a6e00195a41c2782")</f>
        <v>0x282bb01bda10456f022af337a6e00195a41c2782</v>
      </c>
      <c r="J1745" s="18">
        <v>17.0563487330195</v>
      </c>
      <c r="K1745" s="4">
        <v>213.20435916274377</v>
      </c>
      <c r="L1745" s="19">
        <v>2.1320435916274378E20</v>
      </c>
      <c r="M1745" s="20">
        <v>2.132043591627438E19</v>
      </c>
    </row>
    <row r="1746">
      <c r="A1746" s="6"/>
      <c r="B1746" s="6"/>
      <c r="C1746" s="4"/>
      <c r="D1746" s="4">
        <v>48.3641275995966</v>
      </c>
      <c r="E1746" s="4" t="s">
        <v>2891</v>
      </c>
      <c r="F1746" s="4"/>
      <c r="G1746" s="4"/>
      <c r="H1746" s="4"/>
      <c r="I1746" s="4" t="str">
        <f>IFERROR(__xludf.DUMMYFUNCTION("""COMPUTED_VALUE"""),"0x6e02082bb084d93b4c471d2171c48ffafdc0938b")</f>
        <v>0x6e02082bb084d93b4c471d2171c48ffafdc0938b</v>
      </c>
      <c r="J1746" s="18">
        <v>48.3641275995966</v>
      </c>
      <c r="K1746" s="4">
        <v>604.5515949949574</v>
      </c>
      <c r="L1746" s="19">
        <v>6.045515949949574E20</v>
      </c>
      <c r="M1746" s="20">
        <v>6.045515949949574E19</v>
      </c>
    </row>
    <row r="1747">
      <c r="A1747" s="6"/>
      <c r="B1747" s="6"/>
      <c r="C1747" s="4"/>
      <c r="D1747" s="4">
        <v>3.5945511739494997</v>
      </c>
      <c r="E1747" s="4" t="s">
        <v>2892</v>
      </c>
      <c r="F1747" s="4"/>
      <c r="G1747" s="4"/>
      <c r="H1747" s="4"/>
      <c r="I1747" s="4" t="str">
        <f>IFERROR(__xludf.DUMMYFUNCTION("""COMPUTED_VALUE"""),"0x424cd658a2ee5679f3e3f315916a9f70c42fea70")</f>
        <v>0x424cd658a2ee5679f3e3f315916a9f70c42fea70</v>
      </c>
      <c r="J1747" s="18">
        <v>1.58715455016869</v>
      </c>
      <c r="K1747" s="4">
        <v>19.839431877108623</v>
      </c>
      <c r="L1747" s="19">
        <v>1.983943187710862E19</v>
      </c>
      <c r="M1747" s="20">
        <v>1.9839431877108623E18</v>
      </c>
    </row>
    <row r="1748">
      <c r="A1748" s="6"/>
      <c r="B1748" s="6"/>
      <c r="C1748" s="4"/>
      <c r="D1748" s="4">
        <v>36.6060118716982</v>
      </c>
      <c r="E1748" s="4" t="s">
        <v>2894</v>
      </c>
      <c r="F1748" s="4"/>
      <c r="G1748" s="4"/>
      <c r="H1748" s="4"/>
      <c r="I1748" s="4" t="str">
        <f>IFERROR(__xludf.DUMMYFUNCTION("""COMPUTED_VALUE"""),"0x53a15a8c187820720b94463f31c57c641a564f13")</f>
        <v>0x53a15a8c187820720b94463f31c57c641a564f13</v>
      </c>
      <c r="J1748" s="18">
        <v>113.93018449823259</v>
      </c>
      <c r="K1748" s="4">
        <v>1424.1273062279074</v>
      </c>
      <c r="L1748" s="19">
        <v>1.4241273062279073E21</v>
      </c>
      <c r="M1748" s="20">
        <v>1.4241273062279073E20</v>
      </c>
    </row>
    <row r="1749">
      <c r="A1749" s="6"/>
      <c r="B1749" s="6"/>
      <c r="C1749" s="4"/>
      <c r="D1749" s="4">
        <v>9.71256641816815</v>
      </c>
      <c r="E1749" s="4" t="s">
        <v>2896</v>
      </c>
      <c r="F1749" s="4"/>
      <c r="G1749" s="4"/>
      <c r="H1749" s="4"/>
      <c r="I1749" s="4" t="str">
        <f>IFERROR(__xludf.DUMMYFUNCTION("""COMPUTED_VALUE"""),"0xe4db900b96513dc038e7fa66f25a0e0f28c9760c")</f>
        <v>0xe4db900b96513dc038e7fa66f25a0e0f28c9760c</v>
      </c>
      <c r="J1749" s="18">
        <v>19.3642078943983</v>
      </c>
      <c r="K1749" s="4">
        <v>242.05259867997876</v>
      </c>
      <c r="L1749" s="19">
        <v>2.4205259867997877E20</v>
      </c>
      <c r="M1749" s="20">
        <v>2.420525986799788E19</v>
      </c>
    </row>
    <row r="1750">
      <c r="A1750" s="6"/>
      <c r="B1750" s="6"/>
      <c r="C1750" s="4"/>
      <c r="D1750" s="4">
        <v>9.3237035290233</v>
      </c>
      <c r="E1750" s="4" t="s">
        <v>2898</v>
      </c>
      <c r="F1750" s="4"/>
      <c r="G1750" s="4"/>
      <c r="H1750" s="4"/>
      <c r="I1750" s="4" t="str">
        <f>IFERROR(__xludf.DUMMYFUNCTION("""COMPUTED_VALUE"""),"0xcca1ad5b7ae6bbe9330d85fc8cdebbe5bc45f48a")</f>
        <v>0xcca1ad5b7ae6bbe9330d85fc8cdebbe5bc45f48a</v>
      </c>
      <c r="J1750" s="18">
        <v>48.3641275995966</v>
      </c>
      <c r="K1750" s="4">
        <v>604.5515949949574</v>
      </c>
      <c r="L1750" s="19">
        <v>6.045515949949574E20</v>
      </c>
      <c r="M1750" s="20">
        <v>6.045515949949574E19</v>
      </c>
    </row>
    <row r="1751">
      <c r="A1751" s="6"/>
      <c r="B1751" s="6"/>
      <c r="C1751" s="4"/>
      <c r="D1751" s="4">
        <v>48.3641275995966</v>
      </c>
      <c r="E1751" s="4" t="s">
        <v>2900</v>
      </c>
      <c r="F1751" s="4"/>
      <c r="G1751" s="4"/>
      <c r="H1751" s="4"/>
      <c r="I1751" s="4" t="str">
        <f>IFERROR(__xludf.DUMMYFUNCTION("""COMPUTED_VALUE"""),"0x9ffd9ff0483a16fade04d30236dd45d6d5499a5d")</f>
        <v>0x9ffd9ff0483a16fade04d30236dd45d6d5499a5d</v>
      </c>
      <c r="J1751" s="18">
        <v>40.9926801230367</v>
      </c>
      <c r="K1751" s="4">
        <v>512.4085015379587</v>
      </c>
      <c r="L1751" s="19">
        <v>5.124085015379587E20</v>
      </c>
      <c r="M1751" s="20">
        <v>5.124085015379588E19</v>
      </c>
    </row>
    <row r="1752">
      <c r="A1752" s="6"/>
      <c r="B1752" s="6"/>
      <c r="C1752" s="4"/>
      <c r="D1752" s="4">
        <v>19.742492990267802</v>
      </c>
      <c r="E1752" s="4" t="s">
        <v>2901</v>
      </c>
      <c r="F1752" s="4"/>
      <c r="G1752" s="4"/>
      <c r="H1752" s="4"/>
      <c r="I1752" s="4" t="str">
        <f>IFERROR(__xludf.DUMMYFUNCTION("""COMPUTED_VALUE"""),"0x9471942ced0bafc1fc9d5a278b98dfdbab4a18a8")</f>
        <v>0x9471942ced0bafc1fc9d5a278b98dfdbab4a18a8</v>
      </c>
      <c r="J1752" s="18">
        <v>9.672825519919328</v>
      </c>
      <c r="K1752" s="4">
        <v>120.9103189989916</v>
      </c>
      <c r="L1752" s="19">
        <v>1.209103189989916E20</v>
      </c>
      <c r="M1752" s="20">
        <v>1.209103189989916E19</v>
      </c>
    </row>
    <row r="1753">
      <c r="A1753" s="6"/>
      <c r="B1753" s="6"/>
      <c r="C1753" s="4"/>
      <c r="D1753" s="4">
        <v>18.0874369217868</v>
      </c>
      <c r="E1753" s="4" t="s">
        <v>2903</v>
      </c>
      <c r="F1753" s="4"/>
      <c r="G1753" s="4"/>
      <c r="H1753" s="4"/>
      <c r="I1753" s="4" t="str">
        <f>IFERROR(__xludf.DUMMYFUNCTION("""COMPUTED_VALUE"""),"0xa07c565326376055dcfa206ef5b84ae471fb735b")</f>
        <v>0xa07c565326376055dcfa206ef5b84ae471fb735b</v>
      </c>
      <c r="J1753" s="18">
        <v>45.7794101007728</v>
      </c>
      <c r="K1753" s="4">
        <v>572.24262625966</v>
      </c>
      <c r="L1753" s="19">
        <v>5.7224262625966005E20</v>
      </c>
      <c r="M1753" s="20">
        <v>5.722426262596601E19</v>
      </c>
    </row>
    <row r="1754">
      <c r="A1754" s="6"/>
      <c r="B1754" s="6"/>
      <c r="C1754" s="4"/>
      <c r="D1754" s="4">
        <v>14.5717255959581</v>
      </c>
      <c r="E1754" s="4" t="s">
        <v>2905</v>
      </c>
      <c r="F1754" s="4"/>
      <c r="G1754" s="4"/>
      <c r="H1754" s="4"/>
      <c r="I1754" s="4" t="str">
        <f>IFERROR(__xludf.DUMMYFUNCTION("""COMPUTED_VALUE"""),"0x4bac210f7a760e7187b7e5f0191cc1109e896a02")</f>
        <v>0x4bac210f7a760e7187b7e5f0191cc1109e896a02</v>
      </c>
      <c r="J1754" s="18">
        <v>57.75796172295649</v>
      </c>
      <c r="K1754" s="4">
        <v>721.9745215369561</v>
      </c>
      <c r="L1754" s="19">
        <v>7.219745215369561E20</v>
      </c>
      <c r="M1754" s="20">
        <v>7.219745215369561E19</v>
      </c>
    </row>
    <row r="1755">
      <c r="A1755" s="6"/>
      <c r="B1755" s="6"/>
      <c r="C1755" s="4"/>
      <c r="D1755" s="4">
        <v>48.3641275995966</v>
      </c>
      <c r="E1755" s="4" t="s">
        <v>2907</v>
      </c>
      <c r="F1755" s="4"/>
      <c r="G1755" s="4"/>
      <c r="H1755" s="4"/>
      <c r="I1755" s="4" t="str">
        <f>IFERROR(__xludf.DUMMYFUNCTION("""COMPUTED_VALUE"""),"0x3aecff8d5b4970b2c6dc044112e028607e271f92")</f>
        <v>0x3aecff8d5b4970b2c6dc044112e028607e271f92</v>
      </c>
      <c r="J1755" s="18">
        <v>48.3641275995966</v>
      </c>
      <c r="K1755" s="4">
        <v>604.5515949949574</v>
      </c>
      <c r="L1755" s="19">
        <v>6.045515949949574E20</v>
      </c>
      <c r="M1755" s="20">
        <v>6.045515949949574E19</v>
      </c>
    </row>
    <row r="1756">
      <c r="A1756" s="6"/>
      <c r="B1756" s="6"/>
      <c r="C1756" s="4"/>
      <c r="D1756" s="4">
        <v>43.2858568053503</v>
      </c>
      <c r="E1756" s="4" t="s">
        <v>2908</v>
      </c>
      <c r="F1756" s="4"/>
      <c r="G1756" s="4"/>
      <c r="H1756" s="4"/>
      <c r="I1756" s="4" t="str">
        <f>IFERROR(__xludf.DUMMYFUNCTION("""COMPUTED_VALUE"""),"0xbe69afddc6a36b96bd0c092149f7aafddce15eb6")</f>
        <v>0xbe69afddc6a36b96bd0c092149f7aafddce15eb6</v>
      </c>
      <c r="J1756" s="18">
        <v>43.4363675153964</v>
      </c>
      <c r="K1756" s="4">
        <v>542.954593942455</v>
      </c>
      <c r="L1756" s="19">
        <v>5.429545939424549E20</v>
      </c>
      <c r="M1756" s="20">
        <v>5.429545939424549E19</v>
      </c>
    </row>
    <row r="1757">
      <c r="A1757" s="6"/>
      <c r="B1757" s="6"/>
      <c r="C1757" s="4"/>
      <c r="D1757" s="4">
        <v>29.018476559758</v>
      </c>
      <c r="E1757" s="4" t="s">
        <v>2910</v>
      </c>
      <c r="F1757" s="4"/>
      <c r="G1757" s="4"/>
      <c r="H1757" s="4"/>
      <c r="I1757" s="4" t="str">
        <f>IFERROR(__xludf.DUMMYFUNCTION("""COMPUTED_VALUE"""),"0x8f3f46a0d77eeb2ab09141395bdaff88c73adbee")</f>
        <v>0x8f3f46a0d77eeb2ab09141395bdaff88c73adbee</v>
      </c>
      <c r="J1757" s="18">
        <v>23.9994748176476</v>
      </c>
      <c r="K1757" s="4">
        <v>299.99343522059496</v>
      </c>
      <c r="L1757" s="19">
        <v>2.99993435220595E20</v>
      </c>
      <c r="M1757" s="20">
        <v>2.99993435220595E19</v>
      </c>
    </row>
    <row r="1758">
      <c r="A1758" s="6"/>
      <c r="B1758" s="6"/>
      <c r="C1758" s="4"/>
      <c r="D1758" s="4">
        <v>9.71774758764727</v>
      </c>
      <c r="E1758" s="4" t="s">
        <v>1448</v>
      </c>
      <c r="F1758" s="4"/>
      <c r="G1758" s="4"/>
      <c r="H1758" s="4"/>
      <c r="I1758" s="4" t="str">
        <f>IFERROR(__xludf.DUMMYFUNCTION("""COMPUTED_VALUE"""),"0xdd4536f67079e52337e3b780105e2a8c18f8121e")</f>
        <v>0xdd4536f67079e52337e3b780105e2a8c18f8121e</v>
      </c>
      <c r="J1758" s="18">
        <v>64.81427257913481</v>
      </c>
      <c r="K1758" s="4">
        <v>810.178407239185</v>
      </c>
      <c r="L1758" s="19">
        <v>8.101784072391851E20</v>
      </c>
      <c r="M1758" s="20">
        <v>8.10178407239185E19</v>
      </c>
    </row>
    <row r="1759">
      <c r="A1759" s="6"/>
      <c r="B1759" s="6"/>
      <c r="C1759" s="4"/>
      <c r="D1759" s="4">
        <v>9.69142486449309</v>
      </c>
      <c r="E1759" s="4" t="s">
        <v>2912</v>
      </c>
      <c r="F1759" s="4"/>
      <c r="G1759" s="4"/>
      <c r="H1759" s="4"/>
      <c r="I1759" s="4" t="str">
        <f>IFERROR(__xludf.DUMMYFUNCTION("""COMPUTED_VALUE"""),"0xf719c9c72aa33c5680eca3de449d7a10c312e05c")</f>
        <v>0xf719c9c72aa33c5680eca3de449d7a10c312e05c</v>
      </c>
      <c r="J1759" s="18">
        <v>9.6761615495664</v>
      </c>
      <c r="K1759" s="4">
        <v>120.95201936958</v>
      </c>
      <c r="L1759" s="19">
        <v>1.2095201936958E20</v>
      </c>
      <c r="M1759" s="20">
        <v>1.2095201936958001E19</v>
      </c>
    </row>
    <row r="1760">
      <c r="A1760" s="6"/>
      <c r="B1760" s="6"/>
      <c r="C1760" s="4"/>
      <c r="D1760" s="4">
        <v>48.3641275995966</v>
      </c>
      <c r="E1760" s="4" t="s">
        <v>2914</v>
      </c>
      <c r="F1760" s="4"/>
      <c r="G1760" s="4"/>
      <c r="H1760" s="4"/>
      <c r="I1760" s="4" t="str">
        <f>IFERROR(__xludf.DUMMYFUNCTION("""COMPUTED_VALUE"""),"0x6ea22df8955f54db697fd0feb8221140a46766b7")</f>
        <v>0x6ea22df8955f54db697fd0feb8221140a46766b7</v>
      </c>
      <c r="J1760" s="18">
        <v>113.7956384327358</v>
      </c>
      <c r="K1760" s="4">
        <v>1422.4454804091974</v>
      </c>
      <c r="L1760" s="19">
        <v>1.4224454804091974E21</v>
      </c>
      <c r="M1760" s="20">
        <v>1.4224454804091974E20</v>
      </c>
    </row>
    <row r="1761">
      <c r="A1761" s="6"/>
      <c r="B1761" s="6"/>
      <c r="C1761" s="4"/>
      <c r="D1761" s="4">
        <v>48.3641275995966</v>
      </c>
      <c r="E1761" s="4" t="s">
        <v>2915</v>
      </c>
      <c r="F1761" s="4"/>
      <c r="G1761" s="4"/>
      <c r="H1761" s="4"/>
      <c r="I1761" s="4" t="str">
        <f>IFERROR(__xludf.DUMMYFUNCTION("""COMPUTED_VALUE"""),"0xb85065e079a5541edbe425f54d9f982be1c5fb7f")</f>
        <v>0xb85065e079a5541edbe425f54d9f982be1c5fb7f</v>
      </c>
      <c r="J1761" s="18">
        <v>48.3641275995966</v>
      </c>
      <c r="K1761" s="4">
        <v>604.5515949949574</v>
      </c>
      <c r="L1761" s="19">
        <v>6.045515949949574E20</v>
      </c>
      <c r="M1761" s="20">
        <v>6.045515949949574E19</v>
      </c>
    </row>
    <row r="1762">
      <c r="A1762" s="6"/>
      <c r="B1762" s="6"/>
      <c r="C1762" s="4"/>
      <c r="D1762" s="4">
        <v>25.0406787452354</v>
      </c>
      <c r="E1762" s="4" t="s">
        <v>2916</v>
      </c>
      <c r="F1762" s="4"/>
      <c r="G1762" s="4"/>
      <c r="H1762" s="4"/>
      <c r="I1762" s="4" t="str">
        <f>IFERROR(__xludf.DUMMYFUNCTION("""COMPUTED_VALUE"""),"0x753717520bd78304c5c372080e398f77ea5808b8")</f>
        <v>0x753717520bd78304c5c372080e398f77ea5808b8</v>
      </c>
      <c r="J1762" s="18">
        <v>135.29510376530538</v>
      </c>
      <c r="K1762" s="4">
        <v>1691.1887970663172</v>
      </c>
      <c r="L1762" s="19">
        <v>1.6911887970663171E21</v>
      </c>
      <c r="M1762" s="20">
        <v>1.6911887970663173E20</v>
      </c>
    </row>
    <row r="1763">
      <c r="A1763" s="6"/>
      <c r="B1763" s="6"/>
      <c r="C1763" s="4"/>
      <c r="D1763" s="4">
        <v>9.810269517747411</v>
      </c>
      <c r="E1763" s="4" t="s">
        <v>2918</v>
      </c>
      <c r="F1763" s="4"/>
      <c r="G1763" s="4"/>
      <c r="H1763" s="4"/>
      <c r="I1763" s="4" t="str">
        <f>IFERROR(__xludf.DUMMYFUNCTION("""COMPUTED_VALUE"""),"0x37d73f1ea8166d069ceacd2e21c319935bfcc712")</f>
        <v>0x37d73f1ea8166d069ceacd2e21c319935bfcc712</v>
      </c>
      <c r="J1763" s="18">
        <v>8.45298531189211</v>
      </c>
      <c r="K1763" s="4">
        <v>105.66231639865137</v>
      </c>
      <c r="L1763" s="19">
        <v>1.0566231639865138E20</v>
      </c>
      <c r="M1763" s="20">
        <v>1.0566231639865137E19</v>
      </c>
    </row>
    <row r="1764">
      <c r="A1764" s="6"/>
      <c r="B1764" s="6"/>
      <c r="C1764" s="4"/>
      <c r="D1764" s="4">
        <v>11.3791864824553</v>
      </c>
      <c r="E1764" s="4" t="s">
        <v>2920</v>
      </c>
      <c r="F1764" s="4"/>
      <c r="G1764" s="4"/>
      <c r="H1764" s="4"/>
      <c r="I1764" s="4" t="str">
        <f>IFERROR(__xludf.DUMMYFUNCTION("""COMPUTED_VALUE"""),"0xf7046ed4acadf1f6e94074aeda8d0914f6dd1921")</f>
        <v>0xf7046ed4acadf1f6e94074aeda8d0914f6dd1921</v>
      </c>
      <c r="J1764" s="18">
        <v>6.8780133814291995</v>
      </c>
      <c r="K1764" s="4">
        <v>85.97516726786499</v>
      </c>
      <c r="L1764" s="19">
        <v>8.597516726786499E19</v>
      </c>
      <c r="M1764" s="20">
        <v>8.597516726786499E18</v>
      </c>
    </row>
    <row r="1765">
      <c r="A1765" s="6"/>
      <c r="B1765" s="6"/>
      <c r="C1765" s="4"/>
      <c r="D1765" s="4">
        <v>48.3641275995966</v>
      </c>
      <c r="E1765" s="4" t="s">
        <v>1554</v>
      </c>
      <c r="F1765" s="4"/>
      <c r="G1765" s="4"/>
      <c r="H1765" s="4"/>
      <c r="I1765" s="4" t="str">
        <f>IFERROR(__xludf.DUMMYFUNCTION("""COMPUTED_VALUE"""),"0x1ade544f1aa8777a814c1b2f6118503ef8e54293")</f>
        <v>0x1ade544f1aa8777a814c1b2f6118503ef8e54293</v>
      </c>
      <c r="J1765" s="18">
        <v>10.6401080719112</v>
      </c>
      <c r="K1765" s="4">
        <v>133.00135089889</v>
      </c>
      <c r="L1765" s="19">
        <v>1.3300135089889E20</v>
      </c>
      <c r="M1765" s="20">
        <v>1.3300135089889001E19</v>
      </c>
    </row>
    <row r="1766">
      <c r="A1766" s="6"/>
      <c r="B1766" s="6"/>
      <c r="C1766" s="4"/>
      <c r="D1766" s="4">
        <v>48.3641275995966</v>
      </c>
      <c r="E1766" s="4" t="s">
        <v>1618</v>
      </c>
      <c r="F1766" s="4"/>
      <c r="G1766" s="4"/>
      <c r="H1766" s="4"/>
      <c r="I1766" s="4" t="str">
        <f>IFERROR(__xludf.DUMMYFUNCTION("""COMPUTED_VALUE"""),"0x977e371dca3a46078504a8caee1b8d1c347c912f")</f>
        <v>0x977e371dca3a46078504a8caee1b8d1c347c912f</v>
      </c>
      <c r="J1766" s="18">
        <v>9.672825519919328</v>
      </c>
      <c r="K1766" s="4">
        <v>120.9103189989916</v>
      </c>
      <c r="L1766" s="19">
        <v>1.209103189989916E20</v>
      </c>
      <c r="M1766" s="20">
        <v>1.209103189989916E19</v>
      </c>
    </row>
    <row r="1767">
      <c r="A1767" s="6"/>
      <c r="B1767" s="6"/>
      <c r="C1767" s="4"/>
      <c r="D1767" s="4">
        <v>30.0832337493525</v>
      </c>
      <c r="E1767" s="4" t="s">
        <v>2922</v>
      </c>
      <c r="F1767" s="4"/>
      <c r="G1767" s="4"/>
      <c r="H1767" s="4"/>
      <c r="I1767" s="4" t="str">
        <f>IFERROR(__xludf.DUMMYFUNCTION("""COMPUTED_VALUE"""),"0xbf3c7db385b2f6528b9c1b223d8bce5eeddc888e")</f>
        <v>0xbf3c7db385b2f6528b9c1b223d8bce5eeddc888e</v>
      </c>
      <c r="J1767" s="18">
        <v>45.130972176016094</v>
      </c>
      <c r="K1767" s="4">
        <v>564.1371522002012</v>
      </c>
      <c r="L1767" s="19">
        <v>5.6413715220020114E20</v>
      </c>
      <c r="M1767" s="20">
        <v>5.641371522002012E19</v>
      </c>
    </row>
    <row r="1768">
      <c r="A1768" s="6"/>
      <c r="B1768" s="6"/>
      <c r="C1768" s="4"/>
      <c r="D1768" s="4">
        <v>48.3641275995966</v>
      </c>
      <c r="E1768" s="4" t="s">
        <v>722</v>
      </c>
      <c r="F1768" s="4"/>
      <c r="G1768" s="4"/>
      <c r="H1768" s="4"/>
      <c r="I1768" s="4" t="str">
        <f>IFERROR(__xludf.DUMMYFUNCTION("""COMPUTED_VALUE"""),"0xeaeecea3535052d3fe965542c05256ec78fdc465")</f>
        <v>0xeaeecea3535052d3fe965542c05256ec78fdc465</v>
      </c>
      <c r="J1768" s="18">
        <v>40.6000758555996</v>
      </c>
      <c r="K1768" s="4">
        <v>507.500948194995</v>
      </c>
      <c r="L1768" s="19">
        <v>5.0750094819499495E20</v>
      </c>
      <c r="M1768" s="20">
        <v>5.07500948194995E19</v>
      </c>
    </row>
    <row r="1769">
      <c r="A1769" s="6"/>
      <c r="B1769" s="6"/>
      <c r="C1769" s="4"/>
      <c r="D1769" s="4">
        <v>48.3641275995966</v>
      </c>
      <c r="E1769" s="4" t="s">
        <v>2924</v>
      </c>
      <c r="F1769" s="4"/>
      <c r="G1769" s="4"/>
      <c r="H1769" s="4"/>
      <c r="I1769" s="4" t="str">
        <f>IFERROR(__xludf.DUMMYFUNCTION("""COMPUTED_VALUE"""),"0x1811cce680a6391c48b519701808afc7db36a323")</f>
        <v>0x1811cce680a6391c48b519701808afc7db36a323</v>
      </c>
      <c r="J1769" s="18">
        <v>48.3641275995966</v>
      </c>
      <c r="K1769" s="4">
        <v>604.5515949949574</v>
      </c>
      <c r="L1769" s="19">
        <v>6.045515949949574E20</v>
      </c>
      <c r="M1769" s="20">
        <v>6.045515949949574E19</v>
      </c>
    </row>
    <row r="1770">
      <c r="A1770" s="6"/>
      <c r="B1770" s="6"/>
      <c r="C1770" s="4"/>
      <c r="D1770" s="4">
        <v>9.672825519919328</v>
      </c>
      <c r="E1770" s="4" t="s">
        <v>2925</v>
      </c>
      <c r="F1770" s="4"/>
      <c r="G1770" s="4"/>
      <c r="H1770" s="4"/>
      <c r="I1770" s="4" t="str">
        <f>IFERROR(__xludf.DUMMYFUNCTION("""COMPUTED_VALUE"""),"0xdf1fe52e27c653e5f867ad909d16d717c953614a")</f>
        <v>0xdf1fe52e27c653e5f867ad909d16d717c953614a</v>
      </c>
      <c r="J1770" s="18">
        <v>38.6913020796773</v>
      </c>
      <c r="K1770" s="4">
        <v>483.6412759959662</v>
      </c>
      <c r="L1770" s="19">
        <v>4.836412759959662E20</v>
      </c>
      <c r="M1770" s="20">
        <v>4.836412759959663E19</v>
      </c>
    </row>
    <row r="1771">
      <c r="A1771" s="6"/>
      <c r="B1771" s="6"/>
      <c r="C1771" s="4"/>
      <c r="D1771" s="4">
        <v>48.3641275995966</v>
      </c>
      <c r="E1771" s="4" t="s">
        <v>2926</v>
      </c>
      <c r="F1771" s="4"/>
      <c r="G1771" s="4"/>
      <c r="H1771" s="4"/>
      <c r="I1771" s="4" t="str">
        <f>IFERROR(__xludf.DUMMYFUNCTION("""COMPUTED_VALUE"""),"0x03bb69cf296c834b97b6d64153fc2c0d3cece0b9")</f>
        <v>0x03bb69cf296c834b97b6d64153fc2c0d3cece0b9</v>
      </c>
      <c r="J1771" s="18">
        <v>4.93219623983523</v>
      </c>
      <c r="K1771" s="4">
        <v>61.65245299794037</v>
      </c>
      <c r="L1771" s="19">
        <v>6.165245299794037E19</v>
      </c>
      <c r="M1771" s="20">
        <v>6.165245299794038E18</v>
      </c>
    </row>
    <row r="1772">
      <c r="A1772" s="6"/>
      <c r="B1772" s="6"/>
      <c r="C1772" s="4"/>
      <c r="D1772" s="4">
        <v>4.34166878615247</v>
      </c>
      <c r="E1772" s="4" t="s">
        <v>2927</v>
      </c>
      <c r="F1772" s="4"/>
      <c r="G1772" s="4"/>
      <c r="H1772" s="4"/>
      <c r="I1772" s="4" t="str">
        <f>IFERROR(__xludf.DUMMYFUNCTION("""COMPUTED_VALUE"""),"0x912bbe47436edcb255334a4dd92ec2de875b2f1b")</f>
        <v>0x912bbe47436edcb255334a4dd92ec2de875b2f1b</v>
      </c>
      <c r="J1772" s="18">
        <v>80.1776863690813</v>
      </c>
      <c r="K1772" s="4">
        <v>1002.2210796135163</v>
      </c>
      <c r="L1772" s="19">
        <v>1.0022210796135163E21</v>
      </c>
      <c r="M1772" s="20">
        <v>1.0022210796135163E20</v>
      </c>
    </row>
    <row r="1773">
      <c r="A1773" s="6"/>
      <c r="B1773" s="6"/>
      <c r="C1773" s="4"/>
      <c r="D1773" s="4">
        <v>47.9731671746749</v>
      </c>
      <c r="E1773" s="4" t="s">
        <v>2929</v>
      </c>
      <c r="F1773" s="4"/>
      <c r="G1773" s="4"/>
      <c r="H1773" s="4"/>
      <c r="I1773" s="4" t="str">
        <f>IFERROR(__xludf.DUMMYFUNCTION("""COMPUTED_VALUE"""),"0xb6108c865cf1ad19a2a26b90805eab70e31c16d0")</f>
        <v>0xb6108c865cf1ad19a2a26b90805eab70e31c16d0</v>
      </c>
      <c r="J1773" s="18">
        <v>43.0878026218301</v>
      </c>
      <c r="K1773" s="4">
        <v>538.5975327728762</v>
      </c>
      <c r="L1773" s="19">
        <v>5.385975327728762E20</v>
      </c>
      <c r="M1773" s="20">
        <v>5.385975327728763E19</v>
      </c>
    </row>
    <row r="1774">
      <c r="A1774" s="6"/>
      <c r="B1774" s="6"/>
      <c r="C1774" s="4"/>
      <c r="D1774" s="4">
        <v>48.3641275995966</v>
      </c>
      <c r="E1774" s="4" t="s">
        <v>2931</v>
      </c>
      <c r="F1774" s="4"/>
      <c r="G1774" s="4"/>
      <c r="H1774" s="4"/>
      <c r="I1774" s="4" t="str">
        <f>IFERROR(__xludf.DUMMYFUNCTION("""COMPUTED_VALUE"""),"0x10bb8ab9aed0a46b788fc50a6066d28c39f214fe")</f>
        <v>0x10bb8ab9aed0a46b788fc50a6066d28c39f214fe</v>
      </c>
      <c r="J1774" s="18">
        <v>48.3641275995966</v>
      </c>
      <c r="K1774" s="4">
        <v>604.5515949949574</v>
      </c>
      <c r="L1774" s="19">
        <v>6.045515949949574E20</v>
      </c>
      <c r="M1774" s="20">
        <v>6.045515949949574E19</v>
      </c>
    </row>
    <row r="1775">
      <c r="A1775" s="6"/>
      <c r="B1775" s="6"/>
      <c r="C1775" s="4"/>
      <c r="D1775" s="4">
        <v>19.3456510398386</v>
      </c>
      <c r="E1775" s="4" t="s">
        <v>2932</v>
      </c>
      <c r="F1775" s="4"/>
      <c r="G1775" s="4"/>
      <c r="H1775" s="4"/>
      <c r="I1775" s="4" t="str">
        <f>IFERROR(__xludf.DUMMYFUNCTION("""COMPUTED_VALUE"""),"0x54d76a93561e61d1e9a64b9f78de4a02ae64a332")</f>
        <v>0x54d76a93561e61d1e9a64b9f78de4a02ae64a332</v>
      </c>
      <c r="J1775" s="18">
        <v>13.6538281188323</v>
      </c>
      <c r="K1775" s="4">
        <v>170.67285148540373</v>
      </c>
      <c r="L1775" s="19">
        <v>1.706728514854037E20</v>
      </c>
      <c r="M1775" s="20">
        <v>1.706728514854037E19</v>
      </c>
    </row>
    <row r="1776">
      <c r="A1776" s="6"/>
      <c r="B1776" s="6"/>
      <c r="C1776" s="4"/>
      <c r="D1776" s="4">
        <v>10.6932660793304</v>
      </c>
      <c r="E1776" s="4" t="s">
        <v>2933</v>
      </c>
      <c r="F1776" s="4"/>
      <c r="G1776" s="4"/>
      <c r="H1776" s="4"/>
      <c r="I1776" s="4" t="str">
        <f>IFERROR(__xludf.DUMMYFUNCTION("""COMPUTED_VALUE"""),"0x514948d3ba30a7fedcdac029f56b629785d23d32")</f>
        <v>0x514948d3ba30a7fedcdac029f56b629785d23d32</v>
      </c>
      <c r="J1776" s="18">
        <v>9.34494189179375</v>
      </c>
      <c r="K1776" s="4">
        <v>116.81177364742187</v>
      </c>
      <c r="L1776" s="19">
        <v>1.1681177364742187E20</v>
      </c>
      <c r="M1776" s="20">
        <v>1.1681177364742187E19</v>
      </c>
    </row>
    <row r="1777">
      <c r="A1777" s="6"/>
      <c r="B1777" s="6"/>
      <c r="C1777" s="4"/>
      <c r="D1777" s="4">
        <v>48.3641275995966</v>
      </c>
      <c r="E1777" s="4" t="s">
        <v>1412</v>
      </c>
      <c r="F1777" s="4"/>
      <c r="G1777" s="4"/>
      <c r="H1777" s="4"/>
      <c r="I1777" s="4" t="str">
        <f>IFERROR(__xludf.DUMMYFUNCTION("""COMPUTED_VALUE"""),"0xb5f98526f9be330b9d4fb2ece099c9b5f88094f9")</f>
        <v>0xb5f98526f9be330b9d4fb2ece099c9b5f88094f9</v>
      </c>
      <c r="J1777" s="18">
        <v>234.37608780709658</v>
      </c>
      <c r="K1777" s="4">
        <v>2929.7010975887074</v>
      </c>
      <c r="L1777" s="19">
        <v>2.9297010975887076E21</v>
      </c>
      <c r="M1777" s="20">
        <v>2.9297010975887078E20</v>
      </c>
    </row>
    <row r="1778">
      <c r="A1778" s="6"/>
      <c r="B1778" s="6"/>
      <c r="C1778" s="4"/>
      <c r="D1778" s="4">
        <v>48.3641275995966</v>
      </c>
      <c r="E1778" s="4" t="s">
        <v>2935</v>
      </c>
      <c r="F1778" s="4"/>
      <c r="G1778" s="4"/>
      <c r="H1778" s="4"/>
      <c r="I1778" s="4" t="str">
        <f>IFERROR(__xludf.DUMMYFUNCTION("""COMPUTED_VALUE"""),"0x01bc8fe04a6d045445d402d72360b0ee4a1d34c0")</f>
        <v>0x01bc8fe04a6d045445d402d72360b0ee4a1d34c0</v>
      </c>
      <c r="J1778" s="18">
        <v>12.586672826822491</v>
      </c>
      <c r="K1778" s="4">
        <v>157.33341033528114</v>
      </c>
      <c r="L1778" s="19">
        <v>1.5733341033528115E20</v>
      </c>
      <c r="M1778" s="20">
        <v>1.5733341033528115E19</v>
      </c>
    </row>
    <row r="1779">
      <c r="A1779" s="6"/>
      <c r="B1779" s="6"/>
      <c r="C1779" s="4"/>
      <c r="D1779" s="4">
        <v>29.018476559758</v>
      </c>
      <c r="E1779" s="4" t="s">
        <v>2936</v>
      </c>
      <c r="F1779" s="4"/>
      <c r="G1779" s="4"/>
      <c r="H1779" s="4"/>
      <c r="I1779" s="4" t="str">
        <f>IFERROR(__xludf.DUMMYFUNCTION("""COMPUTED_VALUE"""),"0x4802de6e932f46be3d2b0d5e3ca6448cafc4e538")</f>
        <v>0x4802de6e932f46be3d2b0d5e3ca6448cafc4e538</v>
      </c>
      <c r="J1779" s="18">
        <v>58.5947854110091</v>
      </c>
      <c r="K1779" s="4">
        <v>732.4348176376137</v>
      </c>
      <c r="L1779" s="19">
        <v>7.324348176376137E20</v>
      </c>
      <c r="M1779" s="20">
        <v>7.324348176376137E19</v>
      </c>
    </row>
    <row r="1780">
      <c r="A1780" s="6"/>
      <c r="B1780" s="6"/>
      <c r="C1780" s="4"/>
      <c r="D1780" s="4">
        <v>48.3641275995966</v>
      </c>
      <c r="E1780" s="4" t="s">
        <v>1336</v>
      </c>
      <c r="F1780" s="4"/>
      <c r="G1780" s="4"/>
      <c r="H1780" s="4"/>
      <c r="I1780" s="4" t="str">
        <f>IFERROR(__xludf.DUMMYFUNCTION("""COMPUTED_VALUE"""),"0xccf0a530c20cb7a74c0ed6e3676a0ca1524628e4")</f>
        <v>0xccf0a530c20cb7a74c0ed6e3676a0ca1524628e4</v>
      </c>
      <c r="J1780" s="18">
        <v>27.3975438515183</v>
      </c>
      <c r="K1780" s="4">
        <v>342.46929814397873</v>
      </c>
      <c r="L1780" s="19">
        <v>3.424692981439787E20</v>
      </c>
      <c r="M1780" s="20">
        <v>3.4246929814397874E19</v>
      </c>
    </row>
    <row r="1781">
      <c r="A1781" s="6"/>
      <c r="B1781" s="6"/>
      <c r="C1781" s="4"/>
      <c r="D1781" s="4">
        <v>48.3641275995966</v>
      </c>
      <c r="E1781" s="4" t="s">
        <v>2937</v>
      </c>
      <c r="F1781" s="4"/>
      <c r="G1781" s="4"/>
      <c r="H1781" s="4"/>
      <c r="I1781" s="4" t="str">
        <f>IFERROR(__xludf.DUMMYFUNCTION("""COMPUTED_VALUE"""),"0x3e6ffae65a4169015d90b0e8c1e73d1cec8f8863")</f>
        <v>0x3e6ffae65a4169015d90b0e8c1e73d1cec8f8863</v>
      </c>
      <c r="J1781" s="18">
        <v>9.672825519919328</v>
      </c>
      <c r="K1781" s="4">
        <v>120.9103189989916</v>
      </c>
      <c r="L1781" s="19">
        <v>1.209103189989916E20</v>
      </c>
      <c r="M1781" s="20">
        <v>1.209103189989916E19</v>
      </c>
    </row>
    <row r="1782">
      <c r="A1782" s="6"/>
      <c r="B1782" s="6"/>
      <c r="C1782" s="4"/>
      <c r="D1782" s="4">
        <v>3.17060809446485</v>
      </c>
      <c r="E1782" s="4" t="s">
        <v>2938</v>
      </c>
      <c r="F1782" s="4"/>
      <c r="G1782" s="4"/>
      <c r="H1782" s="4"/>
      <c r="I1782" s="4" t="str">
        <f>IFERROR(__xludf.DUMMYFUNCTION("""COMPUTED_VALUE"""),"0xed874854f206d3a74ca0dbceee70acc3e3fbc8cd")</f>
        <v>0xed874854f206d3a74ca0dbceee70acc3e3fbc8cd</v>
      </c>
      <c r="J1782" s="18">
        <v>9.428073015403381</v>
      </c>
      <c r="K1782" s="4">
        <v>117.85091269254227</v>
      </c>
      <c r="L1782" s="19">
        <v>1.1785091269254226E20</v>
      </c>
      <c r="M1782" s="20">
        <v>1.1785091269254226E19</v>
      </c>
    </row>
    <row r="1783">
      <c r="A1783" s="6"/>
      <c r="B1783" s="6"/>
      <c r="C1783" s="4"/>
      <c r="D1783" s="4">
        <v>42.110476964297206</v>
      </c>
      <c r="E1783" s="4" t="s">
        <v>2940</v>
      </c>
      <c r="F1783" s="4"/>
      <c r="G1783" s="4"/>
      <c r="H1783" s="4"/>
      <c r="I1783" s="4" t="str">
        <f>IFERROR(__xludf.DUMMYFUNCTION("""COMPUTED_VALUE"""),"0x3a49cf2e2f8440c45107ec97dbbf21dd9d40c645")</f>
        <v>0x3a49cf2e2f8440c45107ec97dbbf21dd9d40c645</v>
      </c>
      <c r="J1783" s="18">
        <v>20.3192137206158</v>
      </c>
      <c r="K1783" s="4">
        <v>253.99017150769748</v>
      </c>
      <c r="L1783" s="19">
        <v>2.539901715076975E20</v>
      </c>
      <c r="M1783" s="20">
        <v>2.539901715076975E19</v>
      </c>
    </row>
    <row r="1784">
      <c r="A1784" s="6"/>
      <c r="B1784" s="6"/>
      <c r="C1784" s="4"/>
      <c r="D1784" s="4">
        <v>47.7958137795924</v>
      </c>
      <c r="E1784" s="4" t="s">
        <v>2942</v>
      </c>
      <c r="F1784" s="4"/>
      <c r="G1784" s="4"/>
      <c r="H1784" s="4"/>
      <c r="I1784" s="4" t="str">
        <f>IFERROR(__xludf.DUMMYFUNCTION("""COMPUTED_VALUE"""),"0xd5102725cc00421854dd616a2d8769ce36017315")</f>
        <v>0xd5102725cc00421854dd616a2d8769ce36017315</v>
      </c>
      <c r="J1784" s="18">
        <v>140.59700142533268</v>
      </c>
      <c r="K1784" s="4">
        <v>1757.4625178166584</v>
      </c>
      <c r="L1784" s="19">
        <v>1.7574625178166585E21</v>
      </c>
      <c r="M1784" s="20">
        <v>1.7574625178166585E20</v>
      </c>
    </row>
    <row r="1785">
      <c r="A1785" s="6"/>
      <c r="B1785" s="6"/>
      <c r="C1785" s="4"/>
      <c r="D1785" s="4">
        <v>48.3641275995966</v>
      </c>
      <c r="E1785" s="4" t="s">
        <v>2944</v>
      </c>
      <c r="F1785" s="4"/>
      <c r="G1785" s="4"/>
      <c r="H1785" s="4"/>
      <c r="I1785" s="4" t="str">
        <f>IFERROR(__xludf.DUMMYFUNCTION("""COMPUTED_VALUE"""),"0xed796f9e412dd231bba84b077c109e354b0fb555")</f>
        <v>0xed796f9e412dd231bba84b077c109e354b0fb555</v>
      </c>
      <c r="J1785" s="18">
        <v>57.70006788241106</v>
      </c>
      <c r="K1785" s="4">
        <v>721.2508485301382</v>
      </c>
      <c r="L1785" s="19">
        <v>7.212508485301383E20</v>
      </c>
      <c r="M1785" s="20">
        <v>7.212508485301383E19</v>
      </c>
    </row>
    <row r="1786">
      <c r="A1786" s="6"/>
      <c r="B1786" s="6"/>
      <c r="C1786" s="4"/>
      <c r="D1786" s="4">
        <v>7.52920746663994</v>
      </c>
      <c r="E1786" s="4" t="s">
        <v>2945</v>
      </c>
      <c r="F1786" s="4"/>
      <c r="G1786" s="4"/>
      <c r="H1786" s="4"/>
      <c r="I1786" s="4" t="str">
        <f>IFERROR(__xludf.DUMMYFUNCTION("""COMPUTED_VALUE"""),"0x348896ae1123389ebf17a0847111246f6555ddc4")</f>
        <v>0x348896ae1123389ebf17a0847111246f6555ddc4</v>
      </c>
      <c r="J1786" s="18">
        <v>19.3456510398386</v>
      </c>
      <c r="K1786" s="4">
        <v>241.8206379979825</v>
      </c>
      <c r="L1786" s="19">
        <v>2.4182063799798248E20</v>
      </c>
      <c r="M1786" s="20">
        <v>2.418206379979825E19</v>
      </c>
    </row>
    <row r="1787">
      <c r="A1787" s="6"/>
      <c r="B1787" s="6"/>
      <c r="C1787" s="4"/>
      <c r="D1787" s="4">
        <v>48.3641275995966</v>
      </c>
      <c r="E1787" s="4" t="s">
        <v>2947</v>
      </c>
      <c r="F1787" s="4"/>
      <c r="G1787" s="4"/>
      <c r="H1787" s="4"/>
      <c r="I1787" s="4" t="str">
        <f>IFERROR(__xludf.DUMMYFUNCTION("""COMPUTED_VALUE"""),"0xd46303d304a35f75739a7e0a059eba617274e6b3")</f>
        <v>0xd46303d304a35f75739a7e0a059eba617274e6b3</v>
      </c>
      <c r="J1787" s="18">
        <v>28.9313265761415</v>
      </c>
      <c r="K1787" s="4">
        <v>361.64158220176876</v>
      </c>
      <c r="L1787" s="19">
        <v>3.616415822017688E20</v>
      </c>
      <c r="M1787" s="20">
        <v>3.616415822017688E19</v>
      </c>
    </row>
    <row r="1788">
      <c r="A1788" s="6"/>
      <c r="B1788" s="6"/>
      <c r="C1788" s="4"/>
      <c r="D1788" s="4">
        <v>32.4770056803575</v>
      </c>
      <c r="E1788" s="4" t="s">
        <v>2948</v>
      </c>
      <c r="F1788" s="4"/>
      <c r="G1788" s="4"/>
      <c r="H1788" s="4"/>
      <c r="I1788" s="4" t="str">
        <f>IFERROR(__xludf.DUMMYFUNCTION("""COMPUTED_VALUE"""),"0x52135dcd45daa4bd0fdd10526ffd0c25aabd6d56")</f>
        <v>0x52135dcd45daa4bd0fdd10526ffd0c25aabd6d56</v>
      </c>
      <c r="J1788" s="18">
        <v>48.3641275995966</v>
      </c>
      <c r="K1788" s="4">
        <v>604.5515949949574</v>
      </c>
      <c r="L1788" s="19">
        <v>6.045515949949574E20</v>
      </c>
      <c r="M1788" s="20">
        <v>6.045515949949574E19</v>
      </c>
    </row>
    <row r="1789">
      <c r="A1789" s="6"/>
      <c r="B1789" s="6"/>
      <c r="C1789" s="4"/>
      <c r="D1789" s="4">
        <v>3.153206712383</v>
      </c>
      <c r="E1789" s="4" t="s">
        <v>2950</v>
      </c>
      <c r="F1789" s="4"/>
      <c r="G1789" s="4"/>
      <c r="H1789" s="4"/>
      <c r="I1789" s="4" t="str">
        <f>IFERROR(__xludf.DUMMYFUNCTION("""COMPUTED_VALUE"""),"0x035df91bfb4db748b50e29c86ceefb97e2b8fd63")</f>
        <v>0x035df91bfb4db748b50e29c86ceefb97e2b8fd63</v>
      </c>
      <c r="J1789" s="18">
        <v>174.3440911576386</v>
      </c>
      <c r="K1789" s="4">
        <v>2179.301139470482</v>
      </c>
      <c r="L1789" s="19">
        <v>2.1793011394704821E21</v>
      </c>
      <c r="M1789" s="20">
        <v>2.179301139470482E20</v>
      </c>
    </row>
    <row r="1790">
      <c r="A1790" s="6"/>
      <c r="B1790" s="6"/>
      <c r="C1790" s="4"/>
      <c r="D1790" s="4">
        <v>0.444220942233989</v>
      </c>
      <c r="E1790" s="4" t="s">
        <v>2952</v>
      </c>
      <c r="F1790" s="4"/>
      <c r="G1790" s="4"/>
      <c r="H1790" s="4"/>
      <c r="I1790" s="4" t="str">
        <f>IFERROR(__xludf.DUMMYFUNCTION("""COMPUTED_VALUE"""),"0x7a6ba988528ae0837d00afec6cc159b70d87bbd5")</f>
        <v>0x7a6ba988528ae0837d00afec6cc159b70d87bbd5</v>
      </c>
      <c r="J1790" s="18">
        <v>9.943898442920231</v>
      </c>
      <c r="K1790" s="4">
        <v>124.29873053650289</v>
      </c>
      <c r="L1790" s="19">
        <v>1.2429873053650289E20</v>
      </c>
      <c r="M1790" s="20">
        <v>1.2429873053650289E19</v>
      </c>
    </row>
    <row r="1791">
      <c r="A1791" s="6"/>
      <c r="B1791" s="6"/>
      <c r="C1791" s="4"/>
      <c r="D1791" s="4">
        <v>9.82759072823804</v>
      </c>
      <c r="E1791" s="4" t="s">
        <v>2954</v>
      </c>
      <c r="F1791" s="4"/>
      <c r="G1791" s="4"/>
      <c r="H1791" s="4"/>
      <c r="I1791" s="4" t="str">
        <f>IFERROR(__xludf.DUMMYFUNCTION("""COMPUTED_VALUE"""),"0x5b301ec659748232b74d725de5151a5ead0ed7c3")</f>
        <v>0x5b301ec659748232b74d725de5151a5ead0ed7c3</v>
      </c>
      <c r="J1791" s="18">
        <v>9.672825519919328</v>
      </c>
      <c r="K1791" s="4">
        <v>120.9103189989916</v>
      </c>
      <c r="L1791" s="19">
        <v>1.209103189989916E20</v>
      </c>
      <c r="M1791" s="20">
        <v>1.209103189989916E19</v>
      </c>
    </row>
    <row r="1792">
      <c r="A1792" s="6"/>
      <c r="B1792" s="6"/>
      <c r="C1792" s="4"/>
      <c r="D1792" s="4">
        <v>48.3641275995966</v>
      </c>
      <c r="E1792" s="4" t="s">
        <v>2956</v>
      </c>
      <c r="F1792" s="4"/>
      <c r="G1792" s="4"/>
      <c r="H1792" s="4"/>
      <c r="I1792" s="4" t="str">
        <f>IFERROR(__xludf.DUMMYFUNCTION("""COMPUTED_VALUE"""),"0xa906ec465ea4f1092746c485a7709a099f3703b0")</f>
        <v>0xa906ec465ea4f1092746c485a7709a099f3703b0</v>
      </c>
      <c r="J1792" s="18">
        <v>11.1547797432856</v>
      </c>
      <c r="K1792" s="4">
        <v>139.43474679106998</v>
      </c>
      <c r="L1792" s="19">
        <v>1.3943474679106999E20</v>
      </c>
      <c r="M1792" s="20">
        <v>1.3943474679107E19</v>
      </c>
    </row>
    <row r="1793">
      <c r="A1793" s="6"/>
      <c r="B1793" s="6"/>
      <c r="C1793" s="4"/>
      <c r="D1793" s="4">
        <v>48.3641275995966</v>
      </c>
      <c r="E1793" s="4" t="s">
        <v>834</v>
      </c>
      <c r="F1793" s="4"/>
      <c r="G1793" s="4"/>
      <c r="H1793" s="4"/>
      <c r="I1793" s="4" t="str">
        <f>IFERROR(__xludf.DUMMYFUNCTION("""COMPUTED_VALUE"""),"0xb9f0afa8161f4f100d9f34df8146f51469df2552")</f>
        <v>0xb9f0afa8161f4f100d9f34df8146f51469df2552</v>
      </c>
      <c r="J1793" s="18">
        <v>19.3456510398386</v>
      </c>
      <c r="K1793" s="4">
        <v>241.8206379979825</v>
      </c>
      <c r="L1793" s="19">
        <v>2.4182063799798248E20</v>
      </c>
      <c r="M1793" s="20">
        <v>2.418206379979825E19</v>
      </c>
    </row>
    <row r="1794">
      <c r="A1794" s="6"/>
      <c r="B1794" s="6"/>
      <c r="C1794" s="4"/>
      <c r="D1794" s="4">
        <v>48.3641275995966</v>
      </c>
      <c r="E1794" s="4" t="s">
        <v>2957</v>
      </c>
      <c r="F1794" s="4"/>
      <c r="G1794" s="4"/>
      <c r="H1794" s="4"/>
      <c r="I1794" s="4" t="str">
        <f>IFERROR(__xludf.DUMMYFUNCTION("""COMPUTED_VALUE"""),"0xa58013629f6485faf99143759a01dbff61be1173")</f>
        <v>0xa58013629f6485faf99143759a01dbff61be1173</v>
      </c>
      <c r="J1794" s="18">
        <v>48.3641275995966</v>
      </c>
      <c r="K1794" s="4">
        <v>604.5515949949574</v>
      </c>
      <c r="L1794" s="19">
        <v>6.045515949949574E20</v>
      </c>
      <c r="M1794" s="20">
        <v>6.045515949949574E19</v>
      </c>
    </row>
    <row r="1795">
      <c r="A1795" s="6"/>
      <c r="B1795" s="6"/>
      <c r="C1795" s="4"/>
      <c r="D1795" s="4">
        <v>48.3641275995966</v>
      </c>
      <c r="E1795" s="4" t="s">
        <v>2958</v>
      </c>
      <c r="F1795" s="4"/>
      <c r="G1795" s="4"/>
      <c r="H1795" s="4"/>
      <c r="I1795" s="4" t="str">
        <f>IFERROR(__xludf.DUMMYFUNCTION("""COMPUTED_VALUE"""),"0x63105a6781fb61bb39c4dcb42e7692796a44122b")</f>
        <v>0x63105a6781fb61bb39c4dcb42e7692796a44122b</v>
      </c>
      <c r="J1795" s="18">
        <v>29.778454253845403</v>
      </c>
      <c r="K1795" s="4">
        <v>372.23067817306753</v>
      </c>
      <c r="L1795" s="19">
        <v>3.722306781730675E20</v>
      </c>
      <c r="M1795" s="20">
        <v>3.722306781730675E19</v>
      </c>
    </row>
    <row r="1796">
      <c r="A1796" s="6"/>
      <c r="B1796" s="6"/>
      <c r="C1796" s="4"/>
      <c r="D1796" s="4">
        <v>48.3641275995966</v>
      </c>
      <c r="E1796" s="4" t="s">
        <v>2959</v>
      </c>
      <c r="F1796" s="4"/>
      <c r="G1796" s="4"/>
      <c r="H1796" s="4"/>
      <c r="I1796" s="4" t="str">
        <f>IFERROR(__xludf.DUMMYFUNCTION("""COMPUTED_VALUE"""),"0x223d06585ed18dcdaf3f3dd9a57beea2119a512d")</f>
        <v>0x223d06585ed18dcdaf3f3dd9a57beea2119a512d</v>
      </c>
      <c r="J1796" s="18">
        <v>48.3641275995966</v>
      </c>
      <c r="K1796" s="4">
        <v>604.5515949949574</v>
      </c>
      <c r="L1796" s="19">
        <v>6.045515949949574E20</v>
      </c>
      <c r="M1796" s="20">
        <v>6.045515949949574E19</v>
      </c>
    </row>
    <row r="1797">
      <c r="A1797" s="6"/>
      <c r="B1797" s="6"/>
      <c r="C1797" s="4"/>
      <c r="D1797" s="4">
        <v>48.3641275995966</v>
      </c>
      <c r="E1797" s="4" t="s">
        <v>2960</v>
      </c>
      <c r="F1797" s="4"/>
      <c r="G1797" s="4"/>
      <c r="H1797" s="4"/>
      <c r="I1797" s="4" t="str">
        <f>IFERROR(__xludf.DUMMYFUNCTION("""COMPUTED_VALUE"""),"0x72be0aee75afeb770ae7565838fdda70222713a6")</f>
        <v>0x72be0aee75afeb770ae7565838fdda70222713a6</v>
      </c>
      <c r="J1797" s="18">
        <v>43.2441468630019</v>
      </c>
      <c r="K1797" s="4">
        <v>540.5518357875237</v>
      </c>
      <c r="L1797" s="19">
        <v>5.405518357875237E20</v>
      </c>
      <c r="M1797" s="20">
        <v>5.405518357875238E19</v>
      </c>
    </row>
    <row r="1798">
      <c r="A1798" s="6"/>
      <c r="B1798" s="6"/>
      <c r="C1798" s="4"/>
      <c r="D1798" s="4">
        <v>31.4208019228163</v>
      </c>
      <c r="E1798" s="4" t="s">
        <v>2961</v>
      </c>
      <c r="F1798" s="4"/>
      <c r="G1798" s="4"/>
      <c r="H1798" s="4"/>
      <c r="I1798" s="4" t="str">
        <f>IFERROR(__xludf.DUMMYFUNCTION("""COMPUTED_VALUE"""),"0xddc93f58cc9f119d86f1a93468ad48a79099b21a")</f>
        <v>0xddc93f58cc9f119d86f1a93468ad48a79099b21a</v>
      </c>
      <c r="J1798" s="18">
        <v>12.858273274898</v>
      </c>
      <c r="K1798" s="4">
        <v>160.728415936225</v>
      </c>
      <c r="L1798" s="19">
        <v>1.60728415936225E20</v>
      </c>
      <c r="M1798" s="20">
        <v>1.60728415936225E19</v>
      </c>
    </row>
    <row r="1799">
      <c r="A1799" s="6"/>
      <c r="B1799" s="6"/>
      <c r="C1799" s="4"/>
      <c r="D1799" s="4">
        <v>26.6831734975603</v>
      </c>
      <c r="E1799" s="4" t="s">
        <v>2963</v>
      </c>
      <c r="F1799" s="4"/>
      <c r="G1799" s="4"/>
      <c r="H1799" s="4"/>
      <c r="I1799" s="4" t="str">
        <f>IFERROR(__xludf.DUMMYFUNCTION("""COMPUTED_VALUE"""),"0x8dd2e9caf14a81e0093e52031a9a50f9c9050d00")</f>
        <v>0x8dd2e9caf14a81e0093e52031a9a50f9c9050d00</v>
      </c>
      <c r="J1799" s="18">
        <v>29.1766688060503</v>
      </c>
      <c r="K1799" s="4">
        <v>364.7083600756288</v>
      </c>
      <c r="L1799" s="19">
        <v>3.647083600756288E20</v>
      </c>
      <c r="M1799" s="20">
        <v>3.647083600756288E19</v>
      </c>
    </row>
    <row r="1800">
      <c r="A1800" s="6"/>
      <c r="B1800" s="6"/>
      <c r="C1800" s="4"/>
      <c r="D1800" s="4">
        <v>7.87938101740656</v>
      </c>
      <c r="E1800" s="4" t="s">
        <v>2965</v>
      </c>
      <c r="F1800" s="4"/>
      <c r="G1800" s="4"/>
      <c r="H1800" s="4"/>
      <c r="I1800" s="4" t="str">
        <f>IFERROR(__xludf.DUMMYFUNCTION("""COMPUTED_VALUE"""),"0x600d807b14532e4d6619b502dafd920c8d7f911a")</f>
        <v>0x600d807b14532e4d6619b502dafd920c8d7f911a</v>
      </c>
      <c r="J1800" s="18">
        <v>21.16203762637204</v>
      </c>
      <c r="K1800" s="4">
        <v>264.5254703296505</v>
      </c>
      <c r="L1800" s="19">
        <v>2.6452547032965048E20</v>
      </c>
      <c r="M1800" s="20">
        <v>2.645254703296505E19</v>
      </c>
    </row>
    <row r="1801">
      <c r="A1801" s="6"/>
      <c r="B1801" s="6"/>
      <c r="C1801" s="4"/>
      <c r="D1801" s="4">
        <v>9.672825519919328</v>
      </c>
      <c r="E1801" s="4" t="s">
        <v>2967</v>
      </c>
      <c r="F1801" s="4"/>
      <c r="G1801" s="4"/>
      <c r="H1801" s="4"/>
      <c r="I1801" s="4" t="str">
        <f>IFERROR(__xludf.DUMMYFUNCTION("""COMPUTED_VALUE"""),"0x875b9932eeab29b5848f873b2044e1801773ce8e")</f>
        <v>0x875b9932eeab29b5848f873b2044e1801773ce8e</v>
      </c>
      <c r="J1801" s="18">
        <v>234.37608780709658</v>
      </c>
      <c r="K1801" s="4">
        <v>2929.7010975887074</v>
      </c>
      <c r="L1801" s="19">
        <v>2.9297010975887076E21</v>
      </c>
      <c r="M1801" s="20">
        <v>2.9297010975887078E20</v>
      </c>
    </row>
    <row r="1802">
      <c r="A1802" s="6"/>
      <c r="B1802" s="6"/>
      <c r="C1802" s="4"/>
      <c r="D1802" s="4">
        <v>9.672825519919328</v>
      </c>
      <c r="E1802" s="4" t="s">
        <v>2968</v>
      </c>
      <c r="F1802" s="4"/>
      <c r="G1802" s="4"/>
      <c r="H1802" s="4"/>
      <c r="I1802" s="4" t="str">
        <f>IFERROR(__xludf.DUMMYFUNCTION("""COMPUTED_VALUE"""),"0x35393930c0aa0cf0001f00737ccb706e8603b60b")</f>
        <v>0x35393930c0aa0cf0001f00737ccb706e8603b60b</v>
      </c>
      <c r="J1802" s="18">
        <v>4.5820890626080395</v>
      </c>
      <c r="K1802" s="4">
        <v>57.27611328260049</v>
      </c>
      <c r="L1802" s="19">
        <v>5.727611328260049E19</v>
      </c>
      <c r="M1802" s="20">
        <v>5.72761132826005E18</v>
      </c>
    </row>
    <row r="1803">
      <c r="A1803" s="6"/>
      <c r="B1803" s="6"/>
      <c r="C1803" s="4"/>
      <c r="D1803" s="4">
        <v>48.3641275995966</v>
      </c>
      <c r="E1803" s="4" t="s">
        <v>2969</v>
      </c>
      <c r="F1803" s="4"/>
      <c r="G1803" s="4"/>
      <c r="H1803" s="4"/>
      <c r="I1803" s="4" t="str">
        <f>IFERROR(__xludf.DUMMYFUNCTION("""COMPUTED_VALUE"""),"0xf120179dbecbf5efb4096172cef094d88bd916ee")</f>
        <v>0xf120179dbecbf5efb4096172cef094d88bd916ee</v>
      </c>
      <c r="J1803" s="18">
        <v>41.74839258862885</v>
      </c>
      <c r="K1803" s="4">
        <v>521.8549073578606</v>
      </c>
      <c r="L1803" s="19">
        <v>5.218549073578606E20</v>
      </c>
      <c r="M1803" s="20">
        <v>5.218549073578607E19</v>
      </c>
    </row>
    <row r="1804">
      <c r="A1804" s="6"/>
      <c r="B1804" s="6"/>
      <c r="C1804" s="4"/>
      <c r="D1804" s="4">
        <v>48.3641275995966</v>
      </c>
      <c r="E1804" s="4" t="s">
        <v>2970</v>
      </c>
      <c r="F1804" s="4"/>
      <c r="G1804" s="4"/>
      <c r="H1804" s="4"/>
      <c r="I1804" s="4" t="str">
        <f>IFERROR(__xludf.DUMMYFUNCTION("""COMPUTED_VALUE"""),"0xfc3a7cb91c071f6303f809a42e50fac35d31ccbb")</f>
        <v>0xfc3a7cb91c071f6303f809a42e50fac35d31ccbb</v>
      </c>
      <c r="J1804" s="18">
        <v>57.75358924713679</v>
      </c>
      <c r="K1804" s="4">
        <v>721.9198655892098</v>
      </c>
      <c r="L1804" s="19">
        <v>7.219198655892099E20</v>
      </c>
      <c r="M1804" s="20">
        <v>7.219198655892099E19</v>
      </c>
    </row>
    <row r="1805">
      <c r="A1805" s="6"/>
      <c r="B1805" s="6"/>
      <c r="C1805" s="4"/>
      <c r="D1805" s="4">
        <v>29.018476559758</v>
      </c>
      <c r="E1805" s="4" t="s">
        <v>2971</v>
      </c>
      <c r="F1805" s="4"/>
      <c r="G1805" s="4"/>
      <c r="H1805" s="4"/>
      <c r="I1805" s="4" t="str">
        <f>IFERROR(__xludf.DUMMYFUNCTION("""COMPUTED_VALUE"""),"0x69ccba053ef42e77de0058e1bdfbab089c78a471")</f>
        <v>0x69ccba053ef42e77de0058e1bdfbab089c78a471</v>
      </c>
      <c r="J1805" s="18">
        <v>234.37608780709658</v>
      </c>
      <c r="K1805" s="4">
        <v>2929.7010975887074</v>
      </c>
      <c r="L1805" s="19">
        <v>2.9297010975887076E21</v>
      </c>
      <c r="M1805" s="20">
        <v>2.9297010975887078E20</v>
      </c>
    </row>
    <row r="1806">
      <c r="A1806" s="6"/>
      <c r="B1806" s="6"/>
      <c r="C1806" s="4"/>
      <c r="D1806" s="4">
        <v>8.19085731270752</v>
      </c>
      <c r="E1806" s="4" t="s">
        <v>2972</v>
      </c>
      <c r="F1806" s="4"/>
      <c r="G1806" s="4"/>
      <c r="H1806" s="4"/>
      <c r="I1806" s="4" t="str">
        <f>IFERROR(__xludf.DUMMYFUNCTION("""COMPUTED_VALUE"""),"0x0097bc49e4c33eae61d5b3b661da92f1f9e2af21")</f>
        <v>0x0097bc49e4c33eae61d5b3b661da92f1f9e2af21</v>
      </c>
      <c r="J1806" s="18">
        <v>48.3641275995966</v>
      </c>
      <c r="K1806" s="4">
        <v>604.5515949949574</v>
      </c>
      <c r="L1806" s="19">
        <v>6.045515949949574E20</v>
      </c>
      <c r="M1806" s="20">
        <v>6.045515949949574E19</v>
      </c>
    </row>
    <row r="1807">
      <c r="A1807" s="6"/>
      <c r="B1807" s="6"/>
      <c r="C1807" s="4"/>
      <c r="D1807" s="4">
        <v>43.1989139330637</v>
      </c>
      <c r="E1807" s="4" t="s">
        <v>2974</v>
      </c>
      <c r="F1807" s="4"/>
      <c r="G1807" s="4"/>
      <c r="H1807" s="4"/>
      <c r="I1807" s="4" t="str">
        <f>IFERROR(__xludf.DUMMYFUNCTION("""COMPUTED_VALUE"""),"0xf09030ecbf19ab84a3650514a453bf777e0450f8")</f>
        <v>0xf09030ecbf19ab84a3650514a453bf777e0450f8</v>
      </c>
      <c r="J1807" s="18">
        <v>10.2513320217785</v>
      </c>
      <c r="K1807" s="4">
        <v>128.14165027223126</v>
      </c>
      <c r="L1807" s="19">
        <v>1.2814165027223126E20</v>
      </c>
      <c r="M1807" s="20">
        <v>1.2814165027223126E19</v>
      </c>
    </row>
    <row r="1808">
      <c r="A1808" s="6"/>
      <c r="B1808" s="6"/>
      <c r="C1808" s="4"/>
      <c r="D1808" s="4">
        <v>48.3641275995966</v>
      </c>
      <c r="E1808" s="4" t="s">
        <v>2976</v>
      </c>
      <c r="F1808" s="4"/>
      <c r="G1808" s="4"/>
      <c r="H1808" s="4"/>
      <c r="I1808" s="4" t="str">
        <f>IFERROR(__xludf.DUMMYFUNCTION("""COMPUTED_VALUE"""),"0x5d40a792a3fce5d02b9cd9ecbdc7e0536867d638")</f>
        <v>0x5d40a792a3fce5d02b9cd9ecbdc7e0536867d638</v>
      </c>
      <c r="J1808" s="18">
        <v>47.286031950653</v>
      </c>
      <c r="K1808" s="4">
        <v>591.0753993831624</v>
      </c>
      <c r="L1808" s="19">
        <v>5.910753993831624E20</v>
      </c>
      <c r="M1808" s="20">
        <v>5.910753993831625E19</v>
      </c>
    </row>
    <row r="1809">
      <c r="A1809" s="6"/>
      <c r="B1809" s="6"/>
      <c r="C1809" s="4"/>
      <c r="D1809" s="4">
        <v>21.9698821022867</v>
      </c>
      <c r="E1809" s="4" t="s">
        <v>2977</v>
      </c>
      <c r="F1809" s="4"/>
      <c r="G1809" s="4"/>
      <c r="H1809" s="4"/>
      <c r="I1809" s="4" t="str">
        <f>IFERROR(__xludf.DUMMYFUNCTION("""COMPUTED_VALUE"""),"0x5c72192e0ad21c44c7da51d6d76a551d6ba77214")</f>
        <v>0x5c72192e0ad21c44c7da51d6d76a551d6ba77214</v>
      </c>
      <c r="J1809" s="18">
        <v>121.25829266349041</v>
      </c>
      <c r="K1809" s="4">
        <v>1515.7286582936301</v>
      </c>
      <c r="L1809" s="19">
        <v>1.5157286582936302E21</v>
      </c>
      <c r="M1809" s="20">
        <v>1.5157286582936302E20</v>
      </c>
    </row>
    <row r="1810">
      <c r="A1810" s="6"/>
      <c r="B1810" s="6"/>
      <c r="C1810" s="4"/>
      <c r="D1810" s="4">
        <v>10.5934850529052</v>
      </c>
      <c r="E1810" s="4" t="s">
        <v>2979</v>
      </c>
      <c r="F1810" s="4"/>
      <c r="G1810" s="4"/>
      <c r="H1810" s="4"/>
      <c r="I1810" s="4" t="str">
        <f>IFERROR(__xludf.DUMMYFUNCTION("""COMPUTED_VALUE"""),"0x69c8af34b5a1ad59614916d1deb80f99c50c69d5")</f>
        <v>0x69c8af34b5a1ad59614916d1deb80f99c50c69d5</v>
      </c>
      <c r="J1810" s="18">
        <v>10.0266101123198</v>
      </c>
      <c r="K1810" s="4">
        <v>125.3326264039975</v>
      </c>
      <c r="L1810" s="19">
        <v>1.253326264039975E20</v>
      </c>
      <c r="M1810" s="20">
        <v>1.2533262640399751E19</v>
      </c>
    </row>
    <row r="1811">
      <c r="A1811" s="6"/>
      <c r="B1811" s="6"/>
      <c r="C1811" s="4"/>
      <c r="D1811" s="4">
        <v>36.7188519410973</v>
      </c>
      <c r="E1811" s="4" t="s">
        <v>2981</v>
      </c>
      <c r="F1811" s="4"/>
      <c r="G1811" s="4"/>
      <c r="H1811" s="4"/>
      <c r="I1811" s="4" t="str">
        <f>IFERROR(__xludf.DUMMYFUNCTION("""COMPUTED_VALUE"""),"0xacf2c254a3c48b43efe34bfa6416f533ae017129")</f>
        <v>0xacf2c254a3c48b43efe34bfa6416f533ae017129</v>
      </c>
      <c r="J1811" s="18">
        <v>88.1204449886687</v>
      </c>
      <c r="K1811" s="4">
        <v>1101.5055623583587</v>
      </c>
      <c r="L1811" s="19">
        <v>1.1015055623583587E21</v>
      </c>
      <c r="M1811" s="20">
        <v>1.1015055623583588E20</v>
      </c>
    </row>
    <row r="1812">
      <c r="A1812" s="6"/>
      <c r="B1812" s="6"/>
      <c r="C1812" s="4"/>
      <c r="D1812" s="4">
        <v>48.3641275995966</v>
      </c>
      <c r="E1812" s="4" t="s">
        <v>2983</v>
      </c>
      <c r="F1812" s="4"/>
      <c r="G1812" s="4"/>
      <c r="H1812" s="4"/>
      <c r="I1812" s="4" t="str">
        <f>IFERROR(__xludf.DUMMYFUNCTION("""COMPUTED_VALUE"""),"0x3ae46f5c14a3177f0f806cc4760520ca9672a7bb")</f>
        <v>0x3ae46f5c14a3177f0f806cc4760520ca9672a7bb</v>
      </c>
      <c r="J1812" s="18">
        <v>2.06124033394014</v>
      </c>
      <c r="K1812" s="4">
        <v>25.765504174251753</v>
      </c>
      <c r="L1812" s="19">
        <v>2.5765504174251753E19</v>
      </c>
      <c r="M1812" s="20">
        <v>2.5765504174251756E18</v>
      </c>
    </row>
    <row r="1813">
      <c r="A1813" s="6"/>
      <c r="B1813" s="6"/>
      <c r="C1813" s="4"/>
      <c r="D1813" s="4">
        <v>6.31502177384504</v>
      </c>
      <c r="E1813" s="4" t="s">
        <v>2984</v>
      </c>
      <c r="F1813" s="4"/>
      <c r="G1813" s="4"/>
      <c r="H1813" s="4"/>
      <c r="I1813" s="4" t="str">
        <f>IFERROR(__xludf.DUMMYFUNCTION("""COMPUTED_VALUE"""),"0xbe4efcb0d0074e04a3a050cd0e8f01dfc38867ad")</f>
        <v>0xbe4efcb0d0074e04a3a050cd0e8f01dfc38867ad</v>
      </c>
      <c r="J1813" s="18">
        <v>31.6137283160256</v>
      </c>
      <c r="K1813" s="4">
        <v>395.17160395032</v>
      </c>
      <c r="L1813" s="19">
        <v>3.9517160395031996E20</v>
      </c>
      <c r="M1813" s="20">
        <v>3.9517160395031994E19</v>
      </c>
    </row>
    <row r="1814">
      <c r="A1814" s="6"/>
      <c r="B1814" s="6"/>
      <c r="C1814" s="4"/>
      <c r="D1814" s="4">
        <v>48.3641275995966</v>
      </c>
      <c r="E1814" s="4" t="s">
        <v>2986</v>
      </c>
      <c r="F1814" s="4"/>
      <c r="G1814" s="4"/>
      <c r="H1814" s="4"/>
      <c r="I1814" s="4" t="str">
        <f>IFERROR(__xludf.DUMMYFUNCTION("""COMPUTED_VALUE"""),"0x0a859a2cae021f8ecd3ce4b13121d451af83101e")</f>
        <v>0x0a859a2cae021f8ecd3ce4b13121d451af83101e</v>
      </c>
      <c r="J1814" s="18">
        <v>9.672825519919328</v>
      </c>
      <c r="K1814" s="4">
        <v>120.9103189989916</v>
      </c>
      <c r="L1814" s="19">
        <v>1.209103189989916E20</v>
      </c>
      <c r="M1814" s="20">
        <v>1.209103189989916E19</v>
      </c>
    </row>
    <row r="1815">
      <c r="A1815" s="6"/>
      <c r="B1815" s="6"/>
      <c r="C1815" s="4"/>
      <c r="D1815" s="4">
        <v>19.4681320483024</v>
      </c>
      <c r="E1815" s="4" t="s">
        <v>2987</v>
      </c>
      <c r="F1815" s="4"/>
      <c r="G1815" s="4"/>
      <c r="H1815" s="4"/>
      <c r="I1815" s="4" t="str">
        <f>IFERROR(__xludf.DUMMYFUNCTION("""COMPUTED_VALUE"""),"0x2ff00ee3d2458ec95e89c7e907607f49cb4a4a98")</f>
        <v>0x2ff00ee3d2458ec95e89c7e907607f49cb4a4a98</v>
      </c>
      <c r="J1815" s="18">
        <v>48.39623060685801</v>
      </c>
      <c r="K1815" s="4">
        <v>604.9528825857251</v>
      </c>
      <c r="L1815" s="19">
        <v>6.04952882585725E20</v>
      </c>
      <c r="M1815" s="20">
        <v>6.049528825857251E19</v>
      </c>
    </row>
    <row r="1816">
      <c r="A1816" s="6"/>
      <c r="B1816" s="6"/>
      <c r="C1816" s="4"/>
      <c r="D1816" s="4">
        <v>6.19060833274837</v>
      </c>
      <c r="E1816" s="4" t="s">
        <v>2989</v>
      </c>
      <c r="F1816" s="4"/>
      <c r="G1816" s="4"/>
      <c r="H1816" s="4"/>
      <c r="I1816" s="4" t="str">
        <f>IFERROR(__xludf.DUMMYFUNCTION("""COMPUTED_VALUE"""),"0x2961a607c4839c66a3ce7b4285a21823c71449b5")</f>
        <v>0x2961a607c4839c66a3ce7b4285a21823c71449b5</v>
      </c>
      <c r="J1816" s="18">
        <v>1.2686754647223502</v>
      </c>
      <c r="K1816" s="4">
        <v>15.858443309029377</v>
      </c>
      <c r="L1816" s="19">
        <v>1.5858443309029378E19</v>
      </c>
      <c r="M1816" s="20">
        <v>1.5858443309029379E18</v>
      </c>
    </row>
    <row r="1817">
      <c r="A1817" s="6"/>
      <c r="B1817" s="6"/>
      <c r="C1817" s="4"/>
      <c r="D1817" s="4">
        <v>19.3456510398386</v>
      </c>
      <c r="E1817" s="4" t="s">
        <v>2991</v>
      </c>
      <c r="F1817" s="4"/>
      <c r="G1817" s="4"/>
      <c r="H1817" s="4"/>
      <c r="I1817" s="4" t="str">
        <f>IFERROR(__xludf.DUMMYFUNCTION("""COMPUTED_VALUE"""),"0x8dd710090d1869dd4e133155f5a8846e142afdda")</f>
        <v>0x8dd710090d1869dd4e133155f5a8846e142afdda</v>
      </c>
      <c r="J1817" s="18">
        <v>48.3641275995966</v>
      </c>
      <c r="K1817" s="4">
        <v>604.5515949949574</v>
      </c>
      <c r="L1817" s="19">
        <v>6.045515949949574E20</v>
      </c>
      <c r="M1817" s="20">
        <v>6.045515949949574E19</v>
      </c>
    </row>
    <row r="1818">
      <c r="A1818" s="6"/>
      <c r="B1818" s="6"/>
      <c r="C1818" s="4"/>
      <c r="D1818" s="4">
        <v>9.672825519919328</v>
      </c>
      <c r="E1818" s="4" t="s">
        <v>2992</v>
      </c>
      <c r="F1818" s="4"/>
      <c r="G1818" s="4"/>
      <c r="H1818" s="4"/>
      <c r="I1818" s="4" t="str">
        <f>IFERROR(__xludf.DUMMYFUNCTION("""COMPUTED_VALUE"""),"0x7989454ede611d88bacf4632e1c046ee92a10ea1")</f>
        <v>0x7989454ede611d88bacf4632e1c046ee92a10ea1</v>
      </c>
      <c r="J1818" s="18">
        <v>6.892370249471891</v>
      </c>
      <c r="K1818" s="4">
        <v>86.15462811839863</v>
      </c>
      <c r="L1818" s="19">
        <v>8.615462811839863E19</v>
      </c>
      <c r="M1818" s="20">
        <v>8.615462811839864E18</v>
      </c>
    </row>
    <row r="1819">
      <c r="A1819" s="6"/>
      <c r="B1819" s="6"/>
      <c r="C1819" s="4"/>
      <c r="D1819" s="4">
        <v>8.32439246873042</v>
      </c>
      <c r="E1819" s="4" t="s">
        <v>2993</v>
      </c>
      <c r="F1819" s="4"/>
      <c r="G1819" s="4"/>
      <c r="H1819" s="4"/>
      <c r="I1819" s="4" t="str">
        <f>IFERROR(__xludf.DUMMYFUNCTION("""COMPUTED_VALUE"""),"0x05f58caa43596c19c8ab955eb9cd3a65704adb09")</f>
        <v>0x05f58caa43596c19c8ab955eb9cd3a65704adb09</v>
      </c>
      <c r="J1819" s="18">
        <v>9.82898444736281</v>
      </c>
      <c r="K1819" s="4">
        <v>122.86230559203513</v>
      </c>
      <c r="L1819" s="19">
        <v>1.2286230559203513E20</v>
      </c>
      <c r="M1819" s="20">
        <v>1.2286230559203514E19</v>
      </c>
    </row>
    <row r="1820">
      <c r="A1820" s="6"/>
      <c r="B1820" s="6"/>
      <c r="C1820" s="4"/>
      <c r="D1820" s="4">
        <v>19.3456510398386</v>
      </c>
      <c r="E1820" s="4" t="s">
        <v>2995</v>
      </c>
      <c r="F1820" s="4"/>
      <c r="G1820" s="4"/>
      <c r="H1820" s="4"/>
      <c r="I1820" s="4" t="str">
        <f>IFERROR(__xludf.DUMMYFUNCTION("""COMPUTED_VALUE"""),"0x409013faa477e7d6afb3a17673c8dd6b89c515ef")</f>
        <v>0x409013faa477e7d6afb3a17673c8dd6b89c515ef</v>
      </c>
      <c r="J1820" s="18">
        <v>48.3641275995966</v>
      </c>
      <c r="K1820" s="4">
        <v>604.5515949949574</v>
      </c>
      <c r="L1820" s="19">
        <v>6.045515949949574E20</v>
      </c>
      <c r="M1820" s="20">
        <v>6.045515949949574E19</v>
      </c>
    </row>
    <row r="1821">
      <c r="A1821" s="6"/>
      <c r="B1821" s="6"/>
      <c r="C1821" s="4"/>
      <c r="D1821" s="4">
        <v>39.9588034046242</v>
      </c>
      <c r="E1821" s="4" t="s">
        <v>2996</v>
      </c>
      <c r="F1821" s="4"/>
      <c r="G1821" s="4"/>
      <c r="H1821" s="4"/>
      <c r="I1821" s="4" t="str">
        <f>IFERROR(__xludf.DUMMYFUNCTION("""COMPUTED_VALUE"""),"0x7362bcb5a29a84bc8400bbf23e22183e1695f794")</f>
        <v>0x7362bcb5a29a84bc8400bbf23e22183e1695f794</v>
      </c>
      <c r="J1821" s="18">
        <v>9.672825519919328</v>
      </c>
      <c r="K1821" s="4">
        <v>120.9103189989916</v>
      </c>
      <c r="L1821" s="19">
        <v>1.209103189989916E20</v>
      </c>
      <c r="M1821" s="20">
        <v>1.209103189989916E19</v>
      </c>
    </row>
    <row r="1822">
      <c r="A1822" s="6"/>
      <c r="B1822" s="6"/>
      <c r="C1822" s="4"/>
      <c r="D1822" s="4">
        <v>48.3641275995966</v>
      </c>
      <c r="E1822" s="4" t="s">
        <v>2998</v>
      </c>
      <c r="F1822" s="4"/>
      <c r="G1822" s="4"/>
      <c r="H1822" s="4"/>
      <c r="I1822" s="4" t="str">
        <f>IFERROR(__xludf.DUMMYFUNCTION("""COMPUTED_VALUE"""),"0x1d4c739ef11d25f2ac76ff8c5a99c42197cc864c")</f>
        <v>0x1d4c739ef11d25f2ac76ff8c5a99c42197cc864c</v>
      </c>
      <c r="J1822" s="18">
        <v>17.9717727459525</v>
      </c>
      <c r="K1822" s="4">
        <v>224.64715932440623</v>
      </c>
      <c r="L1822" s="19">
        <v>2.2464715932440622E20</v>
      </c>
      <c r="M1822" s="20">
        <v>2.2464715932440625E19</v>
      </c>
    </row>
    <row r="1823">
      <c r="A1823" s="6"/>
      <c r="B1823" s="6"/>
      <c r="C1823" s="4"/>
      <c r="D1823" s="4">
        <v>47.8293345929685</v>
      </c>
      <c r="E1823" s="4" t="s">
        <v>2999</v>
      </c>
      <c r="F1823" s="4"/>
      <c r="G1823" s="4"/>
      <c r="H1823" s="4"/>
      <c r="I1823" s="4" t="str">
        <f>IFERROR(__xludf.DUMMYFUNCTION("""COMPUTED_VALUE"""),"0x6cec252ef55c66a2ec0f9a29fb7986651859ecfc")</f>
        <v>0x6cec252ef55c66a2ec0f9a29fb7986651859ecfc</v>
      </c>
      <c r="J1823" s="18">
        <v>48.3641275995966</v>
      </c>
      <c r="K1823" s="4">
        <v>604.5515949949574</v>
      </c>
      <c r="L1823" s="19">
        <v>6.045515949949574E20</v>
      </c>
      <c r="M1823" s="20">
        <v>6.045515949949574E19</v>
      </c>
    </row>
    <row r="1824">
      <c r="A1824" s="6"/>
      <c r="B1824" s="6"/>
      <c r="C1824" s="4"/>
      <c r="D1824" s="4">
        <v>9.672825519919328</v>
      </c>
      <c r="E1824" s="4" t="s">
        <v>3001</v>
      </c>
      <c r="F1824" s="4"/>
      <c r="G1824" s="4"/>
      <c r="H1824" s="4"/>
      <c r="I1824" s="4" t="str">
        <f>IFERROR(__xludf.DUMMYFUNCTION("""COMPUTED_VALUE"""),"0xc94327cbb9eef801a4bbe3459766bb712c5ad979")</f>
        <v>0xc94327cbb9eef801a4bbe3459766bb712c5ad979</v>
      </c>
      <c r="J1824" s="18">
        <v>10.4705841836489</v>
      </c>
      <c r="K1824" s="4">
        <v>130.88230229561123</v>
      </c>
      <c r="L1824" s="19">
        <v>1.3088230229561123E20</v>
      </c>
      <c r="M1824" s="20">
        <v>1.3088230229561123E19</v>
      </c>
    </row>
    <row r="1825">
      <c r="A1825" s="6"/>
      <c r="B1825" s="6"/>
      <c r="C1825" s="4"/>
      <c r="D1825" s="4">
        <v>9.80293573368849</v>
      </c>
      <c r="E1825" s="4" t="s">
        <v>3002</v>
      </c>
      <c r="F1825" s="4"/>
      <c r="G1825" s="4"/>
      <c r="H1825" s="4"/>
      <c r="I1825" s="4" t="str">
        <f>IFERROR(__xludf.DUMMYFUNCTION("""COMPUTED_VALUE"""),"0x020e7df5adf2f9bd94f987fd75a907083d67246f")</f>
        <v>0x020e7df5adf2f9bd94f987fd75a907083d67246f</v>
      </c>
      <c r="J1825" s="18">
        <v>48.3641275995966</v>
      </c>
      <c r="K1825" s="4">
        <v>604.5515949949574</v>
      </c>
      <c r="L1825" s="19">
        <v>6.045515949949574E20</v>
      </c>
      <c r="M1825" s="20">
        <v>6.045515949949574E19</v>
      </c>
    </row>
    <row r="1826">
      <c r="A1826" s="6"/>
      <c r="B1826" s="6"/>
      <c r="C1826" s="4"/>
      <c r="D1826" s="4">
        <v>48.3641275995966</v>
      </c>
      <c r="E1826" s="4" t="s">
        <v>3004</v>
      </c>
      <c r="F1826" s="4"/>
      <c r="G1826" s="4"/>
      <c r="H1826" s="4"/>
      <c r="I1826" s="4" t="str">
        <f>IFERROR(__xludf.DUMMYFUNCTION("""COMPUTED_VALUE"""),"0x29b7c019a367059b258170d8e448542e794ed2a5")</f>
        <v>0x29b7c019a367059b258170d8e448542e794ed2a5</v>
      </c>
      <c r="J1826" s="18">
        <v>8.68643894415862</v>
      </c>
      <c r="K1826" s="4">
        <v>108.58048680198276</v>
      </c>
      <c r="L1826" s="19">
        <v>1.0858048680198275E20</v>
      </c>
      <c r="M1826" s="20">
        <v>1.0858048680198275E19</v>
      </c>
    </row>
    <row r="1827">
      <c r="A1827" s="6"/>
      <c r="B1827" s="6"/>
      <c r="C1827" s="4"/>
      <c r="D1827" s="4">
        <v>48.3641275995966</v>
      </c>
      <c r="E1827" s="4" t="s">
        <v>3005</v>
      </c>
      <c r="F1827" s="4"/>
      <c r="G1827" s="4"/>
      <c r="H1827" s="4"/>
      <c r="I1827" s="4" t="str">
        <f>IFERROR(__xludf.DUMMYFUNCTION("""COMPUTED_VALUE"""),"0xc62e2f0ded9c7c0617c10cb35852d91d963fa405")</f>
        <v>0xc62e2f0ded9c7c0617c10cb35852d91d963fa405</v>
      </c>
      <c r="J1827" s="18">
        <v>48.3641275995966</v>
      </c>
      <c r="K1827" s="4">
        <v>604.5515949949574</v>
      </c>
      <c r="L1827" s="19">
        <v>6.045515949949574E20</v>
      </c>
      <c r="M1827" s="20">
        <v>6.045515949949574E19</v>
      </c>
    </row>
    <row r="1828">
      <c r="A1828" s="6"/>
      <c r="B1828" s="6"/>
      <c r="C1828" s="4"/>
      <c r="D1828" s="4">
        <v>9.687506047882271</v>
      </c>
      <c r="E1828" s="4" t="s">
        <v>3006</v>
      </c>
      <c r="F1828" s="4"/>
      <c r="G1828" s="4"/>
      <c r="H1828" s="4"/>
      <c r="I1828" s="4" t="str">
        <f>IFERROR(__xludf.DUMMYFUNCTION("""COMPUTED_VALUE"""),"0xbca2280c072846912dc23ddb71d19b89c3684c32")</f>
        <v>0xbca2280c072846912dc23ddb71d19b89c3684c32</v>
      </c>
      <c r="J1828" s="18">
        <v>48.3641275995966</v>
      </c>
      <c r="K1828" s="4">
        <v>604.5515949949574</v>
      </c>
      <c r="L1828" s="19">
        <v>6.045515949949574E20</v>
      </c>
      <c r="M1828" s="20">
        <v>6.045515949949574E19</v>
      </c>
    </row>
    <row r="1829">
      <c r="A1829" s="6"/>
      <c r="B1829" s="6"/>
      <c r="C1829" s="4"/>
      <c r="D1829" s="4">
        <v>1.42729340871626</v>
      </c>
      <c r="E1829" s="4" t="s">
        <v>3008</v>
      </c>
      <c r="F1829" s="4"/>
      <c r="G1829" s="4"/>
      <c r="H1829" s="4"/>
      <c r="I1829" s="4" t="str">
        <f>IFERROR(__xludf.DUMMYFUNCTION("""COMPUTED_VALUE"""),"0x4bff2a3bd8a489d3daa54b8a0be3f238b83caeca")</f>
        <v>0x4bff2a3bd8a489d3daa54b8a0be3f238b83caeca</v>
      </c>
      <c r="J1829" s="18">
        <v>19.5185927550298</v>
      </c>
      <c r="K1829" s="4">
        <v>243.9824094378725</v>
      </c>
      <c r="L1829" s="19">
        <v>2.439824094378725E20</v>
      </c>
      <c r="M1829" s="20">
        <v>2.439824094378725E19</v>
      </c>
    </row>
    <row r="1830">
      <c r="A1830" s="6"/>
      <c r="B1830" s="6"/>
      <c r="C1830" s="4"/>
      <c r="D1830" s="4">
        <v>37.7293903638618</v>
      </c>
      <c r="E1830" s="4" t="s">
        <v>3010</v>
      </c>
      <c r="F1830" s="4"/>
      <c r="G1830" s="4"/>
      <c r="H1830" s="4"/>
      <c r="I1830" s="4" t="str">
        <f>IFERROR(__xludf.DUMMYFUNCTION("""COMPUTED_VALUE"""),"0x3e9b4e75518543e36c502bba74aa15b22b139d37")</f>
        <v>0x3e9b4e75518543e36c502bba74aa15b22b139d37</v>
      </c>
      <c r="J1830" s="18">
        <v>48.3641275995966</v>
      </c>
      <c r="K1830" s="4">
        <v>604.5515949949574</v>
      </c>
      <c r="L1830" s="19">
        <v>6.045515949949574E20</v>
      </c>
      <c r="M1830" s="20">
        <v>6.045515949949574E19</v>
      </c>
    </row>
    <row r="1831">
      <c r="A1831" s="6"/>
      <c r="B1831" s="6"/>
      <c r="C1831" s="4"/>
      <c r="D1831" s="4">
        <v>1.3541955727886998</v>
      </c>
      <c r="E1831" s="4" t="s">
        <v>404</v>
      </c>
      <c r="F1831" s="4"/>
      <c r="G1831" s="4"/>
      <c r="H1831" s="4"/>
      <c r="I1831" s="4" t="str">
        <f>IFERROR(__xludf.DUMMYFUNCTION("""COMPUTED_VALUE"""),"0xe4058a875eec832d09cecaf7eba8ce19b491faa9")</f>
        <v>0xe4058a875eec832d09cecaf7eba8ce19b491faa9</v>
      </c>
      <c r="J1831" s="18">
        <v>23.7951507790015</v>
      </c>
      <c r="K1831" s="4">
        <v>297.4393847375187</v>
      </c>
      <c r="L1831" s="19">
        <v>2.974393847375187E20</v>
      </c>
      <c r="M1831" s="20">
        <v>2.974393847375187E19</v>
      </c>
    </row>
    <row r="1832">
      <c r="A1832" s="6"/>
      <c r="B1832" s="6"/>
      <c r="C1832" s="4"/>
      <c r="D1832" s="4">
        <v>48.3641275995966</v>
      </c>
      <c r="E1832" s="4" t="s">
        <v>3013</v>
      </c>
      <c r="F1832" s="4"/>
      <c r="G1832" s="4"/>
      <c r="H1832" s="4"/>
      <c r="I1832" s="4" t="str">
        <f>IFERROR(__xludf.DUMMYFUNCTION("""COMPUTED_VALUE"""),"0xb25bdc63f02291be7b5caece16ecd5d84422f7df")</f>
        <v>0xb25bdc63f02291be7b5caece16ecd5d84422f7df</v>
      </c>
      <c r="J1832" s="18">
        <v>13.7230436218293</v>
      </c>
      <c r="K1832" s="4">
        <v>171.53804527286624</v>
      </c>
      <c r="L1832" s="19">
        <v>1.7153804527286623E20</v>
      </c>
      <c r="M1832" s="20">
        <v>1.7153804527286624E19</v>
      </c>
    </row>
    <row r="1833">
      <c r="A1833" s="6"/>
      <c r="B1833" s="6"/>
      <c r="C1833" s="4"/>
      <c r="D1833" s="4">
        <v>35.821845251636496</v>
      </c>
      <c r="E1833" s="4" t="s">
        <v>3014</v>
      </c>
      <c r="F1833" s="4"/>
      <c r="G1833" s="4"/>
      <c r="H1833" s="4"/>
      <c r="I1833" s="4" t="str">
        <f>IFERROR(__xludf.DUMMYFUNCTION("""COMPUTED_VALUE"""),"0xd11edb0d9c91f658d6d77b929b1ed20086abe309")</f>
        <v>0xd11edb0d9c91f658d6d77b929b1ed20086abe309</v>
      </c>
      <c r="J1833" s="18">
        <v>32.881492885688</v>
      </c>
      <c r="K1833" s="4">
        <v>411.0186610711</v>
      </c>
      <c r="L1833" s="19">
        <v>4.110186610711E20</v>
      </c>
      <c r="M1833" s="20">
        <v>4.110186610711E19</v>
      </c>
    </row>
    <row r="1834">
      <c r="A1834" s="6"/>
      <c r="B1834" s="6"/>
      <c r="C1834" s="4"/>
      <c r="D1834" s="4">
        <v>9.672825519919328</v>
      </c>
      <c r="E1834" s="4" t="s">
        <v>3016</v>
      </c>
      <c r="F1834" s="4"/>
      <c r="G1834" s="4"/>
      <c r="H1834" s="4"/>
      <c r="I1834" s="4" t="str">
        <f>IFERROR(__xludf.DUMMYFUNCTION("""COMPUTED_VALUE"""),"0x1ac448763ebafcddce5297fee9feef57fe242256")</f>
        <v>0x1ac448763ebafcddce5297fee9feef57fe242256</v>
      </c>
      <c r="J1834" s="18">
        <v>48.3641275995966</v>
      </c>
      <c r="K1834" s="4">
        <v>604.5515949949574</v>
      </c>
      <c r="L1834" s="19">
        <v>6.045515949949574E20</v>
      </c>
      <c r="M1834" s="20">
        <v>6.045515949949574E19</v>
      </c>
    </row>
    <row r="1835">
      <c r="A1835" s="6"/>
      <c r="B1835" s="6"/>
      <c r="C1835" s="4"/>
      <c r="D1835" s="4">
        <v>48.3641275995966</v>
      </c>
      <c r="E1835" s="4" t="s">
        <v>252</v>
      </c>
      <c r="F1835" s="4"/>
      <c r="G1835" s="4"/>
      <c r="H1835" s="4"/>
      <c r="I1835" s="4" t="str">
        <f>IFERROR(__xludf.DUMMYFUNCTION("""COMPUTED_VALUE"""),"0x49a0b3e7a8dbb827d6a49bfac3a3a36b7c278eae")</f>
        <v>0x49a0b3e7a8dbb827d6a49bfac3a3a36b7c278eae</v>
      </c>
      <c r="J1835" s="18">
        <v>45.9573832098647</v>
      </c>
      <c r="K1835" s="4">
        <v>574.4672901233088</v>
      </c>
      <c r="L1835" s="19">
        <v>5.7446729012330876E20</v>
      </c>
      <c r="M1835" s="20">
        <v>5.744672901233088E19</v>
      </c>
    </row>
    <row r="1836">
      <c r="A1836" s="6"/>
      <c r="B1836" s="6"/>
      <c r="C1836" s="4"/>
      <c r="D1836" s="4">
        <v>29.018476559758</v>
      </c>
      <c r="E1836" s="4" t="s">
        <v>3017</v>
      </c>
      <c r="F1836" s="4"/>
      <c r="G1836" s="4"/>
      <c r="H1836" s="4"/>
      <c r="I1836" s="4" t="str">
        <f>IFERROR(__xludf.DUMMYFUNCTION("""COMPUTED_VALUE"""),"0xa0e9dab471e6166afdcba35ab576077068c7af18")</f>
        <v>0xa0e9dab471e6166afdcba35ab576077068c7af18</v>
      </c>
      <c r="J1836" s="18">
        <v>93.0069980493968</v>
      </c>
      <c r="K1836" s="4">
        <v>1162.5874756174599</v>
      </c>
      <c r="L1836" s="19">
        <v>1.1625874756174599E21</v>
      </c>
      <c r="M1836" s="20">
        <v>1.1625874756174599E20</v>
      </c>
    </row>
    <row r="1837">
      <c r="A1837" s="6"/>
      <c r="B1837" s="6"/>
      <c r="C1837" s="4"/>
      <c r="D1837" s="4">
        <v>48.3641275995966</v>
      </c>
      <c r="E1837" s="4" t="s">
        <v>3018</v>
      </c>
      <c r="F1837" s="4"/>
      <c r="G1837" s="4"/>
      <c r="H1837" s="4"/>
      <c r="I1837" s="4" t="str">
        <f>IFERROR(__xludf.DUMMYFUNCTION("""COMPUTED_VALUE"""),"0xc9873302b9793447c00e02ed7495f3c302ae36b6")</f>
        <v>0xc9873302b9793447c00e02ed7495f3c302ae36b6</v>
      </c>
      <c r="J1837" s="18">
        <v>19.535237508461996</v>
      </c>
      <c r="K1837" s="4">
        <v>244.19046885577495</v>
      </c>
      <c r="L1837" s="19">
        <v>2.4419046885577494E20</v>
      </c>
      <c r="M1837" s="20">
        <v>2.4419046885577495E19</v>
      </c>
    </row>
    <row r="1838">
      <c r="A1838" s="6"/>
      <c r="B1838" s="6"/>
      <c r="C1838" s="4"/>
      <c r="D1838" s="4">
        <v>17.0563487330195</v>
      </c>
      <c r="E1838" s="4" t="s">
        <v>3019</v>
      </c>
      <c r="F1838" s="4"/>
      <c r="G1838" s="4"/>
      <c r="H1838" s="4"/>
      <c r="I1838" s="4" t="str">
        <f>IFERROR(__xludf.DUMMYFUNCTION("""COMPUTED_VALUE"""),"0xbb17b689aba22a3be6792655ff4ca363c89771df")</f>
        <v>0xbb17b689aba22a3be6792655ff4ca363c89771df</v>
      </c>
      <c r="J1838" s="18">
        <v>217.4726668545165</v>
      </c>
      <c r="K1838" s="4">
        <v>2718.4083356814563</v>
      </c>
      <c r="L1838" s="19">
        <v>2.718408335681456E21</v>
      </c>
      <c r="M1838" s="20">
        <v>2.7184083356814564E20</v>
      </c>
    </row>
    <row r="1839">
      <c r="A1839" s="6"/>
      <c r="B1839" s="6"/>
      <c r="C1839" s="4"/>
      <c r="D1839" s="4">
        <v>48.3641275995966</v>
      </c>
      <c r="E1839" s="4" t="s">
        <v>3021</v>
      </c>
      <c r="F1839" s="4"/>
      <c r="G1839" s="4"/>
      <c r="H1839" s="4"/>
      <c r="I1839" s="4" t="str">
        <f>IFERROR(__xludf.DUMMYFUNCTION("""COMPUTED_VALUE"""),"0x54975fc3f7ec8e9655bc203aebc42686d11542bd")</f>
        <v>0x54975fc3f7ec8e9655bc203aebc42686d11542bd</v>
      </c>
      <c r="J1839" s="18">
        <v>40.0075382735543</v>
      </c>
      <c r="K1839" s="4">
        <v>500.09422841942876</v>
      </c>
      <c r="L1839" s="19">
        <v>5.0009422841942875E20</v>
      </c>
      <c r="M1839" s="20">
        <v>5.000942284194288E19</v>
      </c>
    </row>
    <row r="1840">
      <c r="A1840" s="6"/>
      <c r="B1840" s="6"/>
      <c r="C1840" s="4"/>
      <c r="D1840" s="4">
        <v>1.58715455016869</v>
      </c>
      <c r="E1840" s="4" t="s">
        <v>3022</v>
      </c>
      <c r="F1840" s="4"/>
      <c r="G1840" s="4"/>
      <c r="H1840" s="4"/>
      <c r="I1840" s="4" t="str">
        <f>IFERROR(__xludf.DUMMYFUNCTION("""COMPUTED_VALUE"""),"0x2967ca89c96792e938d8475d81fc66c8180490e0")</f>
        <v>0x2967ca89c96792e938d8475d81fc66c8180490e0</v>
      </c>
      <c r="J1840" s="18">
        <v>113.4683136722219</v>
      </c>
      <c r="K1840" s="4">
        <v>1418.3539209027738</v>
      </c>
      <c r="L1840" s="19">
        <v>1.4183539209027739E21</v>
      </c>
      <c r="M1840" s="20">
        <v>1.418353920902774E20</v>
      </c>
    </row>
    <row r="1841">
      <c r="A1841" s="6"/>
      <c r="B1841" s="6"/>
      <c r="C1841" s="4"/>
      <c r="D1841" s="4">
        <v>48.3641275995966</v>
      </c>
      <c r="E1841" s="4" t="s">
        <v>3024</v>
      </c>
      <c r="F1841" s="4"/>
      <c r="G1841" s="4"/>
      <c r="H1841" s="4"/>
      <c r="I1841" s="4" t="str">
        <f>IFERROR(__xludf.DUMMYFUNCTION("""COMPUTED_VALUE"""),"0x7127d2bf9dc393fb15bd5cdb04fd8f00e04bb7f0")</f>
        <v>0x7127d2bf9dc393fb15bd5cdb04fd8f00e04bb7f0</v>
      </c>
      <c r="J1841" s="18">
        <v>5.02930554597589</v>
      </c>
      <c r="K1841" s="4">
        <v>62.86631932469863</v>
      </c>
      <c r="L1841" s="19">
        <v>6.286631932469863E19</v>
      </c>
      <c r="M1841" s="20">
        <v>6.286631932469863E18</v>
      </c>
    </row>
    <row r="1842">
      <c r="A1842" s="6"/>
      <c r="B1842" s="6"/>
      <c r="C1842" s="4"/>
      <c r="D1842" s="4">
        <v>19.3642078943983</v>
      </c>
      <c r="E1842" s="4" t="s">
        <v>3025</v>
      </c>
      <c r="F1842" s="4"/>
      <c r="G1842" s="4"/>
      <c r="H1842" s="4"/>
      <c r="I1842" s="4" t="str">
        <f>IFERROR(__xludf.DUMMYFUNCTION("""COMPUTED_VALUE"""),"0xd6e37480a61a8dabfcfd5524a7f9744ac69be7dd")</f>
        <v>0xd6e37480a61a8dabfcfd5524a7f9744ac69be7dd</v>
      </c>
      <c r="J1842" s="18">
        <v>0.532850813388398</v>
      </c>
      <c r="K1842" s="4">
        <v>6.660635167354975</v>
      </c>
      <c r="L1842" s="19">
        <v>6.660635167354975E18</v>
      </c>
      <c r="M1842" s="20">
        <v>6.660635167354976E17</v>
      </c>
    </row>
    <row r="1843">
      <c r="A1843" s="6"/>
      <c r="B1843" s="6"/>
      <c r="C1843" s="4"/>
      <c r="D1843" s="4">
        <v>48.3641275995966</v>
      </c>
      <c r="E1843" s="4" t="s">
        <v>3027</v>
      </c>
      <c r="F1843" s="4"/>
      <c r="G1843" s="4"/>
      <c r="H1843" s="4"/>
      <c r="I1843" s="4" t="str">
        <f>IFERROR(__xludf.DUMMYFUNCTION("""COMPUTED_VALUE"""),"0xddd21391a99287558d1277da21822beb28919d32")</f>
        <v>0xddd21391a99287558d1277da21822beb28919d32</v>
      </c>
      <c r="J1843" s="18">
        <v>131.8834977327644</v>
      </c>
      <c r="K1843" s="4">
        <v>1648.5437216595549</v>
      </c>
      <c r="L1843" s="19">
        <v>1.6485437216595549E21</v>
      </c>
      <c r="M1843" s="20">
        <v>1.648543721659555E20</v>
      </c>
    </row>
    <row r="1844">
      <c r="A1844" s="6"/>
      <c r="B1844" s="6"/>
      <c r="C1844" s="4"/>
      <c r="D1844" s="4">
        <v>40.9926801230367</v>
      </c>
      <c r="E1844" s="4" t="s">
        <v>3028</v>
      </c>
      <c r="F1844" s="4"/>
      <c r="G1844" s="4"/>
      <c r="H1844" s="4"/>
      <c r="I1844" s="4" t="str">
        <f>IFERROR(__xludf.DUMMYFUNCTION("""COMPUTED_VALUE"""),"0x42fdf6292fdf4a553d6c5438589c8305b4c4e9f9")</f>
        <v>0x42fdf6292fdf4a553d6c5438589c8305b4c4e9f9</v>
      </c>
      <c r="J1844" s="18">
        <v>24.00462639227</v>
      </c>
      <c r="K1844" s="4">
        <v>300.057829903375</v>
      </c>
      <c r="L1844" s="19">
        <v>3.00057829903375E20</v>
      </c>
      <c r="M1844" s="20">
        <v>3.0005782990337503E19</v>
      </c>
    </row>
    <row r="1845">
      <c r="A1845" s="6"/>
      <c r="B1845" s="6"/>
      <c r="C1845" s="4"/>
      <c r="D1845" s="4">
        <v>9.672825519919328</v>
      </c>
      <c r="E1845" s="4" t="s">
        <v>3030</v>
      </c>
      <c r="F1845" s="4"/>
      <c r="G1845" s="4"/>
      <c r="H1845" s="4"/>
      <c r="I1845" s="4" t="str">
        <f>IFERROR(__xludf.DUMMYFUNCTION("""COMPUTED_VALUE"""),"0x70987d3350497d8750710ab58be5ae6481924c60")</f>
        <v>0x70987d3350497d8750710ab58be5ae6481924c60</v>
      </c>
      <c r="J1845" s="18">
        <v>48.3162562711895</v>
      </c>
      <c r="K1845" s="4">
        <v>603.9532033898688</v>
      </c>
      <c r="L1845" s="19">
        <v>6.039532033898688E20</v>
      </c>
      <c r="M1845" s="20">
        <v>6.0395320338986885E19</v>
      </c>
    </row>
    <row r="1846">
      <c r="A1846" s="6"/>
      <c r="B1846" s="6"/>
      <c r="C1846" s="4"/>
      <c r="D1846" s="4">
        <v>23.3247843695116</v>
      </c>
      <c r="E1846" s="4" t="s">
        <v>3031</v>
      </c>
      <c r="F1846" s="4"/>
      <c r="G1846" s="4"/>
      <c r="H1846" s="4"/>
      <c r="I1846" s="4" t="str">
        <f>IFERROR(__xludf.DUMMYFUNCTION("""COMPUTED_VALUE"""),"0xfd0412cfb36af618692b6d5f24dacb60187e62b3")</f>
        <v>0xfd0412cfb36af618692b6d5f24dacb60187e62b3</v>
      </c>
      <c r="J1846" s="18">
        <v>12.187760155098301</v>
      </c>
      <c r="K1846" s="4">
        <v>152.34700193872877</v>
      </c>
      <c r="L1846" s="19">
        <v>1.5234700193872878E20</v>
      </c>
      <c r="M1846" s="20">
        <v>1.523470019387288E19</v>
      </c>
    </row>
    <row r="1847">
      <c r="A1847" s="6"/>
      <c r="B1847" s="6"/>
      <c r="C1847" s="4"/>
      <c r="D1847" s="4">
        <v>48.3641275995966</v>
      </c>
      <c r="E1847" s="4" t="s">
        <v>3033</v>
      </c>
      <c r="F1847" s="4"/>
      <c r="G1847" s="4"/>
      <c r="H1847" s="4"/>
      <c r="I1847" s="4" t="str">
        <f>IFERROR(__xludf.DUMMYFUNCTION("""COMPUTED_VALUE"""),"0xaf1314d0369706cc5ff3db8e1dd2eeab7c17e985")</f>
        <v>0xaf1314d0369706cc5ff3db8e1dd2eeab7c17e985</v>
      </c>
      <c r="J1847" s="18">
        <v>19.486643630363</v>
      </c>
      <c r="K1847" s="4">
        <v>243.5830453795375</v>
      </c>
      <c r="L1847" s="19">
        <v>2.435830453795375E20</v>
      </c>
      <c r="M1847" s="20">
        <v>2.435830453795375E19</v>
      </c>
    </row>
    <row r="1848">
      <c r="A1848" s="6"/>
      <c r="B1848" s="6"/>
      <c r="C1848" s="4"/>
      <c r="D1848" s="4">
        <v>48.3641275995966</v>
      </c>
      <c r="E1848" s="4" t="s">
        <v>3034</v>
      </c>
      <c r="F1848" s="4"/>
      <c r="G1848" s="4"/>
      <c r="H1848" s="4"/>
      <c r="I1848" s="4" t="str">
        <f>IFERROR(__xludf.DUMMYFUNCTION("""COMPUTED_VALUE"""),"0xd5f6c8ef57a5abb6539e57ee50093efa3717e76c")</f>
        <v>0xd5f6c8ef57a5abb6539e57ee50093efa3717e76c</v>
      </c>
      <c r="J1848" s="18">
        <v>95.1248656029281</v>
      </c>
      <c r="K1848" s="4">
        <v>1189.0608200366012</v>
      </c>
      <c r="L1848" s="19">
        <v>1.1890608200366012E21</v>
      </c>
      <c r="M1848" s="20">
        <v>1.1890608200366013E20</v>
      </c>
    </row>
    <row r="1849">
      <c r="A1849" s="6"/>
      <c r="B1849" s="6"/>
      <c r="C1849" s="4"/>
      <c r="D1849" s="4">
        <v>43.4363675153964</v>
      </c>
      <c r="E1849" s="4" t="s">
        <v>3035</v>
      </c>
      <c r="F1849" s="4"/>
      <c r="G1849" s="4"/>
      <c r="H1849" s="4"/>
      <c r="I1849" s="4" t="str">
        <f>IFERROR(__xludf.DUMMYFUNCTION("""COMPUTED_VALUE"""),"0x3d60840fa020ab7c62eac5de2f57fae9efafa617")</f>
        <v>0x3d60840fa020ab7c62eac5de2f57fae9efafa617</v>
      </c>
      <c r="J1849" s="18">
        <v>9.479369009520939</v>
      </c>
      <c r="K1849" s="4">
        <v>118.49211261901173</v>
      </c>
      <c r="L1849" s="19">
        <v>1.1849211261901174E20</v>
      </c>
      <c r="M1849" s="20">
        <v>1.1849211261901175E19</v>
      </c>
    </row>
    <row r="1850">
      <c r="A1850" s="6"/>
      <c r="B1850" s="6"/>
      <c r="C1850" s="4"/>
      <c r="D1850" s="4">
        <v>23.9994748176476</v>
      </c>
      <c r="E1850" s="4" t="s">
        <v>3037</v>
      </c>
      <c r="F1850" s="4"/>
      <c r="G1850" s="4"/>
      <c r="H1850" s="4"/>
      <c r="I1850" s="4" t="str">
        <f>IFERROR(__xludf.DUMMYFUNCTION("""COMPUTED_VALUE"""),"0x74f34ce983378b4bcb77403da156d06f5fd8cc6f")</f>
        <v>0x74f34ce983378b4bcb77403da156d06f5fd8cc6f</v>
      </c>
      <c r="J1850" s="18">
        <v>48.3641275995966</v>
      </c>
      <c r="K1850" s="4">
        <v>604.5515949949574</v>
      </c>
      <c r="L1850" s="19">
        <v>6.045515949949574E20</v>
      </c>
      <c r="M1850" s="20">
        <v>6.045515949949574E19</v>
      </c>
    </row>
    <row r="1851">
      <c r="A1851" s="6"/>
      <c r="B1851" s="6"/>
      <c r="C1851" s="4"/>
      <c r="D1851" s="4">
        <v>48.3641275995966</v>
      </c>
      <c r="E1851" s="4" t="s">
        <v>3039</v>
      </c>
      <c r="F1851" s="4"/>
      <c r="G1851" s="4"/>
      <c r="H1851" s="4"/>
      <c r="I1851" s="4" t="str">
        <f>IFERROR(__xludf.DUMMYFUNCTION("""COMPUTED_VALUE"""),"0x088e936e23961e3b7a364999b61b5e9b7e78e1b2")</f>
        <v>0x088e936e23961e3b7a364999b61b5e9b7e78e1b2</v>
      </c>
      <c r="J1851" s="18">
        <v>19.3456510398386</v>
      </c>
      <c r="K1851" s="4">
        <v>241.8206379979825</v>
      </c>
      <c r="L1851" s="19">
        <v>2.4182063799798248E20</v>
      </c>
      <c r="M1851" s="20">
        <v>2.418206379979825E19</v>
      </c>
    </row>
    <row r="1852">
      <c r="A1852" s="6"/>
      <c r="B1852" s="6"/>
      <c r="C1852" s="4"/>
      <c r="D1852" s="4">
        <v>9.6761615495664</v>
      </c>
      <c r="E1852" s="4" t="s">
        <v>3040</v>
      </c>
      <c r="F1852" s="4"/>
      <c r="G1852" s="4"/>
      <c r="H1852" s="4"/>
      <c r="I1852" s="4" t="str">
        <f>IFERROR(__xludf.DUMMYFUNCTION("""COMPUTED_VALUE"""),"0x0d1390c5333b7d45c68a25496071744004d1c5f0")</f>
        <v>0x0d1390c5333b7d45c68a25496071744004d1c5f0</v>
      </c>
      <c r="J1852" s="18">
        <v>15.796236591882701</v>
      </c>
      <c r="K1852" s="4">
        <v>197.45295739853375</v>
      </c>
      <c r="L1852" s="19">
        <v>1.9745295739853377E20</v>
      </c>
      <c r="M1852" s="20">
        <v>1.9745295739853378E19</v>
      </c>
    </row>
    <row r="1853">
      <c r="A1853" s="6"/>
      <c r="B1853" s="6"/>
      <c r="C1853" s="4"/>
      <c r="D1853" s="4">
        <v>48.3641275995966</v>
      </c>
      <c r="E1853" s="4" t="s">
        <v>3042</v>
      </c>
      <c r="F1853" s="4"/>
      <c r="G1853" s="4"/>
      <c r="H1853" s="4"/>
      <c r="I1853" s="4" t="str">
        <f>IFERROR(__xludf.DUMMYFUNCTION("""COMPUTED_VALUE"""),"0x0433bd38991e1dd3a07641532e9c66bc19babe2d")</f>
        <v>0x0433bd38991e1dd3a07641532e9c66bc19babe2d</v>
      </c>
      <c r="J1853" s="18">
        <v>113.4683136722219</v>
      </c>
      <c r="K1853" s="4">
        <v>1418.3539209027738</v>
      </c>
      <c r="L1853" s="19">
        <v>1.4183539209027739E21</v>
      </c>
      <c r="M1853" s="20">
        <v>1.418353920902774E20</v>
      </c>
    </row>
    <row r="1854">
      <c r="A1854" s="6"/>
      <c r="B1854" s="6"/>
      <c r="C1854" s="4"/>
      <c r="D1854" s="4">
        <v>48.3641275995966</v>
      </c>
      <c r="E1854" s="4" t="s">
        <v>3043</v>
      </c>
      <c r="F1854" s="4"/>
      <c r="G1854" s="4"/>
      <c r="H1854" s="4"/>
      <c r="I1854" s="4" t="str">
        <f>IFERROR(__xludf.DUMMYFUNCTION("""COMPUTED_VALUE"""),"0x46ff9ca21f26750e6e80633aa9d390ed12aabc28")</f>
        <v>0x46ff9ca21f26750e6e80633aa9d390ed12aabc28</v>
      </c>
      <c r="J1854" s="18">
        <v>48.3641275995966</v>
      </c>
      <c r="K1854" s="4">
        <v>604.5515949949574</v>
      </c>
      <c r="L1854" s="19">
        <v>6.045515949949574E20</v>
      </c>
      <c r="M1854" s="20">
        <v>6.045515949949574E19</v>
      </c>
    </row>
    <row r="1855">
      <c r="A1855" s="6"/>
      <c r="B1855" s="6"/>
      <c r="C1855" s="4"/>
      <c r="D1855" s="4">
        <v>48.3641275995966</v>
      </c>
      <c r="E1855" s="4" t="s">
        <v>3044</v>
      </c>
      <c r="F1855" s="4"/>
      <c r="G1855" s="4"/>
      <c r="H1855" s="4"/>
      <c r="I1855" s="4" t="str">
        <f>IFERROR(__xludf.DUMMYFUNCTION("""COMPUTED_VALUE"""),"0x079e117238de1f75b00ad2be5f181635a5206210")</f>
        <v>0x079e117238de1f75b00ad2be5f181635a5206210</v>
      </c>
      <c r="J1855" s="18">
        <v>234.37608780709658</v>
      </c>
      <c r="K1855" s="4">
        <v>2929.7010975887074</v>
      </c>
      <c r="L1855" s="19">
        <v>2.9297010975887076E21</v>
      </c>
      <c r="M1855" s="20">
        <v>2.9297010975887078E20</v>
      </c>
    </row>
    <row r="1856">
      <c r="A1856" s="6"/>
      <c r="B1856" s="6"/>
      <c r="C1856" s="4"/>
      <c r="D1856" s="4">
        <v>8.45298531189211</v>
      </c>
      <c r="E1856" s="4" t="s">
        <v>3045</v>
      </c>
      <c r="F1856" s="4"/>
      <c r="G1856" s="4"/>
      <c r="H1856" s="4"/>
      <c r="I1856" s="4" t="str">
        <f>IFERROR(__xludf.DUMMYFUNCTION("""COMPUTED_VALUE"""),"0x5b1053748e5ffb0930634a614657745cc445c41c")</f>
        <v>0x5b1053748e5ffb0930634a614657745cc445c41c</v>
      </c>
      <c r="J1856" s="18">
        <v>48.3641275995966</v>
      </c>
      <c r="K1856" s="4">
        <v>604.5515949949574</v>
      </c>
      <c r="L1856" s="19">
        <v>6.045515949949574E20</v>
      </c>
      <c r="M1856" s="20">
        <v>6.045515949949574E19</v>
      </c>
    </row>
    <row r="1857">
      <c r="A1857" s="6"/>
      <c r="B1857" s="6"/>
      <c r="C1857" s="4"/>
      <c r="D1857" s="4">
        <v>6.8780133814291995</v>
      </c>
      <c r="E1857" s="4" t="s">
        <v>3047</v>
      </c>
      <c r="F1857" s="4"/>
      <c r="G1857" s="4"/>
      <c r="H1857" s="4"/>
      <c r="I1857" s="4" t="str">
        <f>IFERROR(__xludf.DUMMYFUNCTION("""COMPUTED_VALUE"""),"0x6983d69cf247eb8ac049a85bafb2e55842a184a5")</f>
        <v>0x6983d69cf247eb8ac049a85bafb2e55842a184a5</v>
      </c>
      <c r="J1857" s="18">
        <v>9.67901730388729</v>
      </c>
      <c r="K1857" s="4">
        <v>120.98771629859112</v>
      </c>
      <c r="L1857" s="19">
        <v>1.2098771629859113E20</v>
      </c>
      <c r="M1857" s="20">
        <v>1.2098771629859113E19</v>
      </c>
    </row>
    <row r="1858">
      <c r="A1858" s="6"/>
      <c r="B1858" s="6"/>
      <c r="C1858" s="4"/>
      <c r="D1858" s="4">
        <v>48.3641275995966</v>
      </c>
      <c r="E1858" s="4" t="s">
        <v>877</v>
      </c>
      <c r="F1858" s="4"/>
      <c r="G1858" s="4"/>
      <c r="H1858" s="4"/>
      <c r="I1858" s="4" t="str">
        <f>IFERROR(__xludf.DUMMYFUNCTION("""COMPUTED_VALUE"""),"0x61d97456f25697bd53db1422199ac54e7a4c8abc")</f>
        <v>0x61d97456f25697bd53db1422199ac54e7a4c8abc</v>
      </c>
      <c r="J1858" s="18">
        <v>9.517459236080429</v>
      </c>
      <c r="K1858" s="4">
        <v>118.96824045100536</v>
      </c>
      <c r="L1858" s="19">
        <v>1.1896824045100535E20</v>
      </c>
      <c r="M1858" s="20">
        <v>1.1896824045100536E19</v>
      </c>
    </row>
    <row r="1859">
      <c r="A1859" s="6"/>
      <c r="B1859" s="6"/>
      <c r="C1859" s="4"/>
      <c r="D1859" s="4">
        <v>10.6401080719112</v>
      </c>
      <c r="E1859" s="4" t="s">
        <v>3049</v>
      </c>
      <c r="F1859" s="4"/>
      <c r="G1859" s="4"/>
      <c r="H1859" s="4"/>
      <c r="I1859" s="4" t="str">
        <f>IFERROR(__xludf.DUMMYFUNCTION("""COMPUTED_VALUE"""),"0xd9ed0db444776d9731922a7dae5bd8058821692b")</f>
        <v>0xd9ed0db444776d9731922a7dae5bd8058821692b</v>
      </c>
      <c r="J1859" s="18">
        <v>57.1062825510906</v>
      </c>
      <c r="K1859" s="4">
        <v>713.8285318886325</v>
      </c>
      <c r="L1859" s="19">
        <v>7.138285318886325E20</v>
      </c>
      <c r="M1859" s="20">
        <v>7.1382853188863255E19</v>
      </c>
    </row>
    <row r="1860">
      <c r="A1860" s="6"/>
      <c r="B1860" s="6"/>
      <c r="C1860" s="4"/>
      <c r="D1860" s="4">
        <v>9.672825519919328</v>
      </c>
      <c r="E1860" s="4" t="s">
        <v>3051</v>
      </c>
      <c r="F1860" s="4"/>
      <c r="G1860" s="4"/>
      <c r="H1860" s="4"/>
      <c r="I1860" s="4" t="str">
        <f>IFERROR(__xludf.DUMMYFUNCTION("""COMPUTED_VALUE"""),"0xb9d3d15205a785fe492ee63e26e2acb9131bd05b")</f>
        <v>0xb9d3d15205a785fe492ee63e26e2acb9131bd05b</v>
      </c>
      <c r="J1860" s="18">
        <v>42.7912367097713</v>
      </c>
      <c r="K1860" s="4">
        <v>534.8904588721412</v>
      </c>
      <c r="L1860" s="19">
        <v>5.348904588721412E20</v>
      </c>
      <c r="M1860" s="20">
        <v>5.3489045887214125E19</v>
      </c>
    </row>
    <row r="1861">
      <c r="A1861" s="6"/>
      <c r="B1861" s="6"/>
      <c r="C1861" s="4"/>
      <c r="D1861" s="4">
        <v>45.130972176016094</v>
      </c>
      <c r="E1861" s="4" t="s">
        <v>3052</v>
      </c>
      <c r="F1861" s="4"/>
      <c r="G1861" s="4"/>
      <c r="H1861" s="4"/>
      <c r="I1861" s="4" t="str">
        <f>IFERROR(__xludf.DUMMYFUNCTION("""COMPUTED_VALUE"""),"0xf9723c16e1236165f51bcb1704609f8eaba45fac")</f>
        <v>0xf9723c16e1236165f51bcb1704609f8eaba45fac</v>
      </c>
      <c r="J1861" s="18">
        <v>9.86628203031772</v>
      </c>
      <c r="K1861" s="4">
        <v>123.32852537897149</v>
      </c>
      <c r="L1861" s="19">
        <v>1.2332852537897148E20</v>
      </c>
      <c r="M1861" s="20">
        <v>1.2332852537897148E19</v>
      </c>
    </row>
    <row r="1862">
      <c r="A1862" s="6"/>
      <c r="B1862" s="6"/>
      <c r="C1862" s="4"/>
      <c r="D1862" s="4">
        <v>40.6000758555996</v>
      </c>
      <c r="E1862" s="4" t="s">
        <v>3054</v>
      </c>
      <c r="F1862" s="4"/>
      <c r="G1862" s="4"/>
      <c r="H1862" s="4"/>
      <c r="I1862" s="4" t="str">
        <f>IFERROR(__xludf.DUMMYFUNCTION("""COMPUTED_VALUE"""),"0xb8e18294bdb03bd3f19695243163c42a541bc4d9")</f>
        <v>0xb8e18294bdb03bd3f19695243163c42a541bc4d9</v>
      </c>
      <c r="J1862" s="18">
        <v>48.3641275995966</v>
      </c>
      <c r="K1862" s="4">
        <v>604.5515949949574</v>
      </c>
      <c r="L1862" s="19">
        <v>6.045515949949574E20</v>
      </c>
      <c r="M1862" s="20">
        <v>6.045515949949574E19</v>
      </c>
    </row>
    <row r="1863">
      <c r="A1863" s="6"/>
      <c r="B1863" s="6"/>
      <c r="C1863" s="4"/>
      <c r="D1863" s="4">
        <v>48.3641275995966</v>
      </c>
      <c r="E1863" s="4" t="s">
        <v>3056</v>
      </c>
      <c r="F1863" s="4"/>
      <c r="G1863" s="4"/>
      <c r="H1863" s="4"/>
      <c r="I1863" s="4" t="str">
        <f>IFERROR(__xludf.DUMMYFUNCTION("""COMPUTED_VALUE"""),"0xf3f76be4cd04a7efefcbc4b1254f19f245673a20")</f>
        <v>0xf3f76be4cd04a7efefcbc4b1254f19f245673a20</v>
      </c>
      <c r="J1863" s="18">
        <v>9.672825519919328</v>
      </c>
      <c r="K1863" s="4">
        <v>120.9103189989916</v>
      </c>
      <c r="L1863" s="19">
        <v>1.209103189989916E20</v>
      </c>
      <c r="M1863" s="20">
        <v>1.209103189989916E19</v>
      </c>
    </row>
    <row r="1864">
      <c r="A1864" s="6"/>
      <c r="B1864" s="6"/>
      <c r="C1864" s="4"/>
      <c r="D1864" s="4">
        <v>38.6913020796773</v>
      </c>
      <c r="E1864" s="4" t="s">
        <v>3057</v>
      </c>
      <c r="F1864" s="4"/>
      <c r="G1864" s="4"/>
      <c r="H1864" s="4"/>
      <c r="I1864" s="4" t="str">
        <f>IFERROR(__xludf.DUMMYFUNCTION("""COMPUTED_VALUE"""),"0x82751365a402c022ea381dac7e89cba5ed31629b")</f>
        <v>0x82751365a402c022ea381dac7e89cba5ed31629b</v>
      </c>
      <c r="J1864" s="18">
        <v>8.50680846420656</v>
      </c>
      <c r="K1864" s="4">
        <v>106.335105802582</v>
      </c>
      <c r="L1864" s="19">
        <v>1.06335105802582E20</v>
      </c>
      <c r="M1864" s="20">
        <v>1.06335105802582E19</v>
      </c>
    </row>
    <row r="1865">
      <c r="A1865" s="6"/>
      <c r="B1865" s="6"/>
      <c r="C1865" s="4"/>
      <c r="D1865" s="4">
        <v>4.93219623983523</v>
      </c>
      <c r="E1865" s="4" t="s">
        <v>3058</v>
      </c>
      <c r="F1865" s="4"/>
      <c r="G1865" s="4"/>
      <c r="H1865" s="4"/>
      <c r="I1865" s="4" t="str">
        <f>IFERROR(__xludf.DUMMYFUNCTION("""COMPUTED_VALUE"""),"0x5ad81b52622a0653d8d65c95609113bb72491a14")</f>
        <v>0x5ad81b52622a0653d8d65c95609113bb72491a14</v>
      </c>
      <c r="J1865" s="18">
        <v>48.3641275995966</v>
      </c>
      <c r="K1865" s="4">
        <v>604.5515949949574</v>
      </c>
      <c r="L1865" s="19">
        <v>6.045515949949574E20</v>
      </c>
      <c r="M1865" s="20">
        <v>6.045515949949574E19</v>
      </c>
    </row>
    <row r="1866">
      <c r="A1866" s="6"/>
      <c r="B1866" s="6"/>
      <c r="C1866" s="4"/>
      <c r="D1866" s="4">
        <v>48.3641275995966</v>
      </c>
      <c r="E1866" s="4" t="s">
        <v>3060</v>
      </c>
      <c r="F1866" s="4"/>
      <c r="G1866" s="4"/>
      <c r="H1866" s="4"/>
      <c r="I1866" s="4" t="str">
        <f>IFERROR(__xludf.DUMMYFUNCTION("""COMPUTED_VALUE"""),"0x52d73946bc7adb43b9524b21584533b58930ee19")</f>
        <v>0x52d73946bc7adb43b9524b21584533b58930ee19</v>
      </c>
      <c r="J1866" s="18">
        <v>38.652271540400406</v>
      </c>
      <c r="K1866" s="4">
        <v>483.1533942550051</v>
      </c>
      <c r="L1866" s="19">
        <v>4.831533942550051E20</v>
      </c>
      <c r="M1866" s="20">
        <v>4.831533942550051E19</v>
      </c>
    </row>
    <row r="1867">
      <c r="A1867" s="6"/>
      <c r="B1867" s="6"/>
      <c r="C1867" s="4"/>
      <c r="D1867" s="4">
        <v>43.0878026218301</v>
      </c>
      <c r="E1867" s="4" t="s">
        <v>3061</v>
      </c>
      <c r="F1867" s="4"/>
      <c r="G1867" s="4"/>
      <c r="H1867" s="4"/>
      <c r="I1867" s="4" t="str">
        <f>IFERROR(__xludf.DUMMYFUNCTION("""COMPUTED_VALUE"""),"0xc0ac304e025514b92ab9c0b27535da8e4084b76c")</f>
        <v>0xc0ac304e025514b92ab9c0b27535da8e4084b76c</v>
      </c>
      <c r="J1867" s="18">
        <v>2.16453270614861</v>
      </c>
      <c r="K1867" s="4">
        <v>27.056658826857625</v>
      </c>
      <c r="L1867" s="19">
        <v>2.7056658826857624E19</v>
      </c>
      <c r="M1867" s="20">
        <v>2.7056658826857626E18</v>
      </c>
    </row>
    <row r="1868">
      <c r="A1868" s="6"/>
      <c r="B1868" s="6"/>
      <c r="C1868" s="4"/>
      <c r="D1868" s="4">
        <v>48.3641275995966</v>
      </c>
      <c r="E1868" s="4" t="s">
        <v>3063</v>
      </c>
      <c r="F1868" s="4"/>
      <c r="G1868" s="4"/>
      <c r="H1868" s="4"/>
      <c r="I1868" s="4" t="str">
        <f>IFERROR(__xludf.DUMMYFUNCTION("""COMPUTED_VALUE"""),"0x9234a405b420a746eaa6631f80c8df3c86629505")</f>
        <v>0x9234a405b420a746eaa6631f80c8df3c86629505</v>
      </c>
      <c r="J1868" s="18">
        <v>48.3641275995966</v>
      </c>
      <c r="K1868" s="4">
        <v>604.5515949949574</v>
      </c>
      <c r="L1868" s="19">
        <v>6.045515949949574E20</v>
      </c>
      <c r="M1868" s="20">
        <v>6.045515949949574E19</v>
      </c>
    </row>
    <row r="1869">
      <c r="A1869" s="6"/>
      <c r="B1869" s="6"/>
      <c r="C1869" s="4"/>
      <c r="D1869" s="4">
        <v>13.6538281188323</v>
      </c>
      <c r="E1869" s="4" t="s">
        <v>3064</v>
      </c>
      <c r="F1869" s="4"/>
      <c r="G1869" s="4"/>
      <c r="H1869" s="4"/>
      <c r="I1869" s="4" t="str">
        <f>IFERROR(__xludf.DUMMYFUNCTION("""COMPUTED_VALUE"""),"0x6eaca93e231578c6e89d0b8e1673147aa852de5b")</f>
        <v>0x6eaca93e231578c6e89d0b8e1673147aa852de5b</v>
      </c>
      <c r="J1869" s="18">
        <v>48.892615664864</v>
      </c>
      <c r="K1869" s="4">
        <v>611.1576958108001</v>
      </c>
      <c r="L1869" s="19">
        <v>6.111576958108E20</v>
      </c>
      <c r="M1869" s="20">
        <v>6.111576958108001E19</v>
      </c>
    </row>
    <row r="1870">
      <c r="A1870" s="6"/>
      <c r="B1870" s="6"/>
      <c r="C1870" s="4"/>
      <c r="D1870" s="4">
        <v>9.34494189179375</v>
      </c>
      <c r="E1870" s="4" t="s">
        <v>3066</v>
      </c>
      <c r="F1870" s="4"/>
      <c r="G1870" s="4"/>
      <c r="H1870" s="4"/>
      <c r="I1870" s="4" t="str">
        <f>IFERROR(__xludf.DUMMYFUNCTION("""COMPUTED_VALUE"""),"0x22aa420bc0b508335030c3fe6fb2de8c1af211c1")</f>
        <v>0x22aa420bc0b508335030c3fe6fb2de8c1af211c1</v>
      </c>
      <c r="J1870" s="18">
        <v>48.3641275995966</v>
      </c>
      <c r="K1870" s="4">
        <v>604.5515949949574</v>
      </c>
      <c r="L1870" s="19">
        <v>6.045515949949574E20</v>
      </c>
      <c r="M1870" s="20">
        <v>6.045515949949574E19</v>
      </c>
    </row>
    <row r="1871">
      <c r="A1871" s="6"/>
      <c r="B1871" s="6"/>
      <c r="C1871" s="4"/>
      <c r="D1871" s="4">
        <v>48.3641275995966</v>
      </c>
      <c r="E1871" s="4" t="s">
        <v>3068</v>
      </c>
      <c r="F1871" s="4"/>
      <c r="G1871" s="4"/>
      <c r="H1871" s="4"/>
      <c r="I1871" s="4" t="str">
        <f>IFERROR(__xludf.DUMMYFUNCTION("""COMPUTED_VALUE"""),"0xf6168297046ca6fa514834c30168e63a47256af4")</f>
        <v>0xf6168297046ca6fa514834c30168e63a47256af4</v>
      </c>
      <c r="J1871" s="18">
        <v>234.37608780709658</v>
      </c>
      <c r="K1871" s="4">
        <v>2929.7010975887074</v>
      </c>
      <c r="L1871" s="19">
        <v>2.9297010975887076E21</v>
      </c>
      <c r="M1871" s="20">
        <v>2.9297010975887078E20</v>
      </c>
    </row>
    <row r="1872">
      <c r="A1872" s="6"/>
      <c r="B1872" s="6"/>
      <c r="C1872" s="4"/>
      <c r="D1872" s="4">
        <v>10.8978774074299</v>
      </c>
      <c r="E1872" s="4" t="s">
        <v>3069</v>
      </c>
      <c r="F1872" s="4"/>
      <c r="G1872" s="4"/>
      <c r="H1872" s="4"/>
      <c r="I1872" s="4" t="str">
        <f>IFERROR(__xludf.DUMMYFUNCTION("""COMPUTED_VALUE"""),"0xe9baf2accf6f74b9b575584dc31617726d1c2134")</f>
        <v>0xe9baf2accf6f74b9b575584dc31617726d1c2134</v>
      </c>
      <c r="J1872" s="18">
        <v>9.672825519919328</v>
      </c>
      <c r="K1872" s="4">
        <v>120.9103189989916</v>
      </c>
      <c r="L1872" s="19">
        <v>1.209103189989916E20</v>
      </c>
      <c r="M1872" s="20">
        <v>1.209103189989916E19</v>
      </c>
    </row>
    <row r="1873">
      <c r="A1873" s="6"/>
      <c r="B1873" s="6"/>
      <c r="C1873" s="4"/>
      <c r="D1873" s="4">
        <v>48.3641275995966</v>
      </c>
      <c r="E1873" s="4" t="s">
        <v>3071</v>
      </c>
      <c r="F1873" s="4"/>
      <c r="G1873" s="4"/>
      <c r="H1873" s="4"/>
      <c r="I1873" s="4" t="str">
        <f>IFERROR(__xludf.DUMMYFUNCTION("""COMPUTED_VALUE"""),"0xc4970aa1aa25dcb8f226119a7b8cd12adcb7381c")</f>
        <v>0xc4970aa1aa25dcb8f226119a7b8cd12adcb7381c</v>
      </c>
      <c r="J1873" s="18">
        <v>1.8528117993447601</v>
      </c>
      <c r="K1873" s="4">
        <v>23.1601474918095</v>
      </c>
      <c r="L1873" s="19">
        <v>2.31601474918095E19</v>
      </c>
      <c r="M1873" s="20">
        <v>2.31601474918095E18</v>
      </c>
    </row>
    <row r="1874">
      <c r="A1874" s="6"/>
      <c r="B1874" s="6"/>
      <c r="C1874" s="4"/>
      <c r="D1874" s="4">
        <v>27.3975438515183</v>
      </c>
      <c r="E1874" s="4" t="s">
        <v>3072</v>
      </c>
      <c r="F1874" s="4"/>
      <c r="G1874" s="4"/>
      <c r="H1874" s="4"/>
      <c r="I1874" s="4" t="str">
        <f>IFERROR(__xludf.DUMMYFUNCTION("""COMPUTED_VALUE"""),"0xaeee7df269a78d4d9a3a6361de31ee8a5f0475b5")</f>
        <v>0xaeee7df269a78d4d9a3a6361de31ee8a5f0475b5</v>
      </c>
      <c r="J1874" s="18">
        <v>18.0422119340447</v>
      </c>
      <c r="K1874" s="4">
        <v>225.52764917555876</v>
      </c>
      <c r="L1874" s="19">
        <v>2.2552764917555875E20</v>
      </c>
      <c r="M1874" s="20">
        <v>2.2552764917555876E19</v>
      </c>
    </row>
    <row r="1875">
      <c r="A1875" s="6"/>
      <c r="B1875" s="6"/>
      <c r="C1875" s="4"/>
      <c r="D1875" s="4">
        <v>9.672825519919328</v>
      </c>
      <c r="E1875" s="4" t="s">
        <v>3074</v>
      </c>
      <c r="F1875" s="4"/>
      <c r="G1875" s="4"/>
      <c r="H1875" s="4"/>
      <c r="I1875" s="4" t="str">
        <f>IFERROR(__xludf.DUMMYFUNCTION("""COMPUTED_VALUE"""),"0x51b71266880434d15c9cb0aa5005e10e7d4d83e7")</f>
        <v>0x51b71266880434d15c9cb0aa5005e10e7d4d83e7</v>
      </c>
      <c r="J1875" s="18">
        <v>16.8670189059985</v>
      </c>
      <c r="K1875" s="4">
        <v>210.83773632498122</v>
      </c>
      <c r="L1875" s="19">
        <v>2.1083773632498123E20</v>
      </c>
      <c r="M1875" s="20">
        <v>2.1083773632498123E19</v>
      </c>
    </row>
    <row r="1876">
      <c r="A1876" s="6"/>
      <c r="B1876" s="6"/>
      <c r="C1876" s="4"/>
      <c r="D1876" s="4">
        <v>9.428073015403381</v>
      </c>
      <c r="E1876" s="4" t="s">
        <v>3075</v>
      </c>
      <c r="F1876" s="4"/>
      <c r="G1876" s="4"/>
      <c r="H1876" s="4"/>
      <c r="I1876" s="4" t="str">
        <f>IFERROR(__xludf.DUMMYFUNCTION("""COMPUTED_VALUE"""),"0x37c6215fcb1b39f3bc29cba6ae7586f37c4b58de")</f>
        <v>0x37c6215fcb1b39f3bc29cba6ae7586f37c4b58de</v>
      </c>
      <c r="J1876" s="18">
        <v>12.6387126976192</v>
      </c>
      <c r="K1876" s="4">
        <v>157.98390872023998</v>
      </c>
      <c r="L1876" s="19">
        <v>1.5798390872023997E20</v>
      </c>
      <c r="M1876" s="20">
        <v>1.5798390872023998E19</v>
      </c>
    </row>
    <row r="1877">
      <c r="A1877" s="6"/>
      <c r="B1877" s="6"/>
      <c r="C1877" s="4"/>
      <c r="D1877" s="4">
        <v>48.3641275995966</v>
      </c>
      <c r="E1877" s="4" t="s">
        <v>579</v>
      </c>
      <c r="F1877" s="4"/>
      <c r="G1877" s="4"/>
      <c r="H1877" s="4"/>
      <c r="I1877" s="4" t="str">
        <f>IFERROR(__xludf.DUMMYFUNCTION("""COMPUTED_VALUE"""),"0x5bcf7a4331055cd982be021c26089c6cea5992e6")</f>
        <v>0x5bcf7a4331055cd982be021c26089c6cea5992e6</v>
      </c>
      <c r="J1877" s="18">
        <v>0.802136357896805</v>
      </c>
      <c r="K1877" s="4">
        <v>10.026704473710064</v>
      </c>
      <c r="L1877" s="19">
        <v>1.0026704473710064E19</v>
      </c>
      <c r="M1877" s="20">
        <v>1.0026704473710065E18</v>
      </c>
    </row>
    <row r="1878">
      <c r="A1878" s="6"/>
      <c r="B1878" s="6"/>
      <c r="C1878" s="4"/>
      <c r="D1878" s="4">
        <v>20.3192137206158</v>
      </c>
      <c r="E1878" s="4" t="s">
        <v>3077</v>
      </c>
      <c r="F1878" s="4"/>
      <c r="G1878" s="4"/>
      <c r="H1878" s="4"/>
      <c r="I1878" s="4" t="str">
        <f>IFERROR(__xludf.DUMMYFUNCTION("""COMPUTED_VALUE"""),"0xdc0d36d8661760761c969d9148569542f4f5a1c0")</f>
        <v>0xdc0d36d8661760761c969d9148569542f4f5a1c0</v>
      </c>
      <c r="J1878" s="18">
        <v>9.609930931742161</v>
      </c>
      <c r="K1878" s="4">
        <v>120.12413664677702</v>
      </c>
      <c r="L1878" s="19">
        <v>1.2012413664677701E20</v>
      </c>
      <c r="M1878" s="20">
        <v>1.2012413664677702E19</v>
      </c>
    </row>
    <row r="1879">
      <c r="A1879" s="6"/>
      <c r="B1879" s="6"/>
      <c r="C1879" s="4"/>
      <c r="D1879" s="4">
        <v>37.2372524115307</v>
      </c>
      <c r="E1879" s="4" t="s">
        <v>3079</v>
      </c>
      <c r="F1879" s="4"/>
      <c r="G1879" s="4"/>
      <c r="H1879" s="4"/>
      <c r="I1879" s="4" t="str">
        <f>IFERROR(__xludf.DUMMYFUNCTION("""COMPUTED_VALUE"""),"0xf59f98018a00bb31cdd16e23ea1da73682b362aa")</f>
        <v>0xf59f98018a00bb31cdd16e23ea1da73682b362aa</v>
      </c>
      <c r="J1879" s="18">
        <v>9.672825519919328</v>
      </c>
      <c r="K1879" s="4">
        <v>120.9103189989916</v>
      </c>
      <c r="L1879" s="19">
        <v>1.209103189989916E20</v>
      </c>
      <c r="M1879" s="20">
        <v>1.209103189989916E19</v>
      </c>
    </row>
    <row r="1880">
      <c r="A1880" s="6"/>
      <c r="B1880" s="6"/>
      <c r="C1880" s="4"/>
      <c r="D1880" s="4">
        <v>48.3641275995966</v>
      </c>
      <c r="E1880" s="4" t="s">
        <v>1575</v>
      </c>
      <c r="F1880" s="4"/>
      <c r="G1880" s="4"/>
      <c r="H1880" s="4"/>
      <c r="I1880" s="4" t="str">
        <f>IFERROR(__xludf.DUMMYFUNCTION("""COMPUTED_VALUE"""),"0x478f43c6654757cff41c716b25c6c05b3a2379b3")</f>
        <v>0x478f43c6654757cff41c716b25c6c05b3a2379b3</v>
      </c>
      <c r="J1880" s="18">
        <v>122.7689116825969</v>
      </c>
      <c r="K1880" s="4">
        <v>1534.6113960324612</v>
      </c>
      <c r="L1880" s="19">
        <v>1.5346113960324613E21</v>
      </c>
      <c r="M1880" s="20">
        <v>1.5346113960324612E20</v>
      </c>
    </row>
    <row r="1881">
      <c r="A1881" s="6"/>
      <c r="B1881" s="6"/>
      <c r="C1881" s="4"/>
      <c r="D1881" s="4">
        <v>48.3641275995966</v>
      </c>
      <c r="E1881" s="4" t="s">
        <v>3081</v>
      </c>
      <c r="F1881" s="4"/>
      <c r="G1881" s="4"/>
      <c r="H1881" s="4"/>
      <c r="I1881" s="4" t="str">
        <f>IFERROR(__xludf.DUMMYFUNCTION("""COMPUTED_VALUE"""),"0xd7abd379248ccd18c98b358f7e79ff8916b4adc6")</f>
        <v>0xd7abd379248ccd18c98b358f7e79ff8916b4adc6</v>
      </c>
      <c r="J1881" s="18">
        <v>57.88582394801104</v>
      </c>
      <c r="K1881" s="4">
        <v>723.572799350138</v>
      </c>
      <c r="L1881" s="19">
        <v>7.23572799350138E20</v>
      </c>
      <c r="M1881" s="20">
        <v>7.23572799350138E19</v>
      </c>
    </row>
    <row r="1882">
      <c r="A1882" s="6"/>
      <c r="B1882" s="6"/>
      <c r="C1882" s="4"/>
      <c r="D1882" s="4">
        <v>19.3456510398386</v>
      </c>
      <c r="E1882" s="4" t="s">
        <v>3082</v>
      </c>
      <c r="F1882" s="4"/>
      <c r="G1882" s="4"/>
      <c r="H1882" s="4"/>
      <c r="I1882" s="4" t="str">
        <f>IFERROR(__xludf.DUMMYFUNCTION("""COMPUTED_VALUE"""),"0x9767d18e0f7596e14788ce97c04288eab692b13c")</f>
        <v>0x9767d18e0f7596e14788ce97c04288eab692b13c</v>
      </c>
      <c r="J1882" s="18">
        <v>48.3641275995966</v>
      </c>
      <c r="K1882" s="4">
        <v>604.5515949949574</v>
      </c>
      <c r="L1882" s="19">
        <v>6.045515949949574E20</v>
      </c>
      <c r="M1882" s="20">
        <v>6.045515949949574E19</v>
      </c>
    </row>
    <row r="1883">
      <c r="A1883" s="6"/>
      <c r="B1883" s="6"/>
      <c r="C1883" s="4"/>
      <c r="D1883" s="4">
        <v>28.9313265761415</v>
      </c>
      <c r="E1883" s="4" t="s">
        <v>3083</v>
      </c>
      <c r="F1883" s="4"/>
      <c r="G1883" s="4"/>
      <c r="H1883" s="4"/>
      <c r="I1883" s="4" t="str">
        <f>IFERROR(__xludf.DUMMYFUNCTION("""COMPUTED_VALUE"""),"0xe59f4a315aa1d99bdd32d999bd265aee215c6cf6")</f>
        <v>0xe59f4a315aa1d99bdd32d999bd265aee215c6cf6</v>
      </c>
      <c r="J1883" s="18">
        <v>13.8265588729588</v>
      </c>
      <c r="K1883" s="4">
        <v>172.83198591198502</v>
      </c>
      <c r="L1883" s="19">
        <v>1.72831985911985E20</v>
      </c>
      <c r="M1883" s="20">
        <v>1.7283198591198503E19</v>
      </c>
    </row>
    <row r="1884">
      <c r="A1884" s="6"/>
      <c r="B1884" s="6"/>
      <c r="C1884" s="4"/>
      <c r="D1884" s="4">
        <v>48.3641275995966</v>
      </c>
      <c r="E1884" s="4" t="s">
        <v>3085</v>
      </c>
      <c r="F1884" s="4"/>
      <c r="G1884" s="4"/>
      <c r="H1884" s="4"/>
      <c r="I1884" s="4" t="str">
        <f>IFERROR(__xludf.DUMMYFUNCTION("""COMPUTED_VALUE"""),"0xda69f90ada1e13339c65d0bc67ba265d680fa553")</f>
        <v>0xda69f90ada1e13339c65d0bc67ba265d680fa553</v>
      </c>
      <c r="J1884" s="18">
        <v>57.97301196618714</v>
      </c>
      <c r="K1884" s="4">
        <v>724.6626495773392</v>
      </c>
      <c r="L1884" s="19">
        <v>7.246626495773391E20</v>
      </c>
      <c r="M1884" s="20">
        <v>7.246626495773391E19</v>
      </c>
    </row>
    <row r="1885">
      <c r="A1885" s="6"/>
      <c r="B1885" s="6"/>
      <c r="C1885" s="4"/>
      <c r="D1885" s="4">
        <v>48.3641275995966</v>
      </c>
      <c r="E1885" s="4" t="s">
        <v>3086</v>
      </c>
      <c r="F1885" s="4"/>
      <c r="G1885" s="4"/>
      <c r="H1885" s="4"/>
      <c r="I1885" s="4" t="str">
        <f>IFERROR(__xludf.DUMMYFUNCTION("""COMPUTED_VALUE"""),"0x0e50fca3c0d081d5e527dc291633e786ba7bebb9")</f>
        <v>0x0e50fca3c0d081d5e527dc291633e786ba7bebb9</v>
      </c>
      <c r="J1885" s="18">
        <v>15.2563368360326</v>
      </c>
      <c r="K1885" s="4">
        <v>190.70421045040752</v>
      </c>
      <c r="L1885" s="19">
        <v>1.9070421045040752E20</v>
      </c>
      <c r="M1885" s="20">
        <v>1.9070421045040755E19</v>
      </c>
    </row>
    <row r="1886">
      <c r="A1886" s="6"/>
      <c r="B1886" s="6"/>
      <c r="C1886" s="4"/>
      <c r="D1886" s="4">
        <v>9.943898442920231</v>
      </c>
      <c r="E1886" s="4" t="s">
        <v>3087</v>
      </c>
      <c r="F1886" s="4"/>
      <c r="G1886" s="4"/>
      <c r="H1886" s="4"/>
      <c r="I1886" s="4" t="str">
        <f>IFERROR(__xludf.DUMMYFUNCTION("""COMPUTED_VALUE"""),"0x801bcab6c126b4cc2fd6605d138dfc34260143e8")</f>
        <v>0x801bcab6c126b4cc2fd6605d138dfc34260143e8</v>
      </c>
      <c r="J1886" s="18">
        <v>48.0060336624666</v>
      </c>
      <c r="K1886" s="4">
        <v>600.0754207808325</v>
      </c>
      <c r="L1886" s="19">
        <v>6.000754207808325E20</v>
      </c>
      <c r="M1886" s="20">
        <v>6.000754207808325E19</v>
      </c>
    </row>
    <row r="1887">
      <c r="A1887" s="6"/>
      <c r="B1887" s="6"/>
      <c r="C1887" s="4"/>
      <c r="D1887" s="4">
        <v>9.672825519919328</v>
      </c>
      <c r="E1887" s="4" t="s">
        <v>3089</v>
      </c>
      <c r="F1887" s="4"/>
      <c r="G1887" s="4"/>
      <c r="H1887" s="4"/>
      <c r="I1887" s="4" t="str">
        <f>IFERROR(__xludf.DUMMYFUNCTION("""COMPUTED_VALUE"""),"0xfecc700e4eb525a52c2e39f231bd0d4a3d6db9fb")</f>
        <v>0xfecc700e4eb525a52c2e39f231bd0d4a3d6db9fb</v>
      </c>
      <c r="J1887" s="18">
        <v>48.3641275995966</v>
      </c>
      <c r="K1887" s="4">
        <v>604.5515949949574</v>
      </c>
      <c r="L1887" s="19">
        <v>6.045515949949574E20</v>
      </c>
      <c r="M1887" s="20">
        <v>6.045515949949574E19</v>
      </c>
    </row>
    <row r="1888">
      <c r="A1888" s="6"/>
      <c r="B1888" s="6"/>
      <c r="C1888" s="4"/>
      <c r="D1888" s="4">
        <v>11.1547797432856</v>
      </c>
      <c r="E1888" s="4" t="s">
        <v>3090</v>
      </c>
      <c r="F1888" s="4"/>
      <c r="G1888" s="4"/>
      <c r="H1888" s="4"/>
      <c r="I1888" s="4" t="str">
        <f>IFERROR(__xludf.DUMMYFUNCTION("""COMPUTED_VALUE"""),"0xe540c45c504b348ad4d6eb9344e6cfa07c959be6")</f>
        <v>0xe540c45c504b348ad4d6eb9344e6cfa07c959be6</v>
      </c>
      <c r="J1888" s="18">
        <v>141.370107703347</v>
      </c>
      <c r="K1888" s="4">
        <v>1767.1263462918375</v>
      </c>
      <c r="L1888" s="19">
        <v>1.7671263462918377E21</v>
      </c>
      <c r="M1888" s="20">
        <v>1.7671263462918377E20</v>
      </c>
    </row>
    <row r="1889">
      <c r="A1889" s="6"/>
      <c r="B1889" s="6"/>
      <c r="C1889" s="4"/>
      <c r="D1889" s="4">
        <v>19.3456510398386</v>
      </c>
      <c r="E1889" s="4" t="s">
        <v>3092</v>
      </c>
      <c r="F1889" s="4"/>
      <c r="G1889" s="4"/>
      <c r="H1889" s="4"/>
      <c r="I1889" s="4" t="str">
        <f>IFERROR(__xludf.DUMMYFUNCTION("""COMPUTED_VALUE"""),"0x770fbbbcaeafe785f87c49c8eb87eee727f650f9")</f>
        <v>0x770fbbbcaeafe785f87c49c8eb87eee727f650f9</v>
      </c>
      <c r="J1889" s="18">
        <v>5.83080823279147</v>
      </c>
      <c r="K1889" s="4">
        <v>72.88510290989338</v>
      </c>
      <c r="L1889" s="19">
        <v>7.288510290989338E19</v>
      </c>
      <c r="M1889" s="20">
        <v>7.288510290989339E18</v>
      </c>
    </row>
    <row r="1890">
      <c r="A1890" s="6"/>
      <c r="B1890" s="6"/>
      <c r="C1890" s="4"/>
      <c r="D1890" s="4">
        <v>48.3641275995966</v>
      </c>
      <c r="E1890" s="4" t="s">
        <v>3093</v>
      </c>
      <c r="F1890" s="4"/>
      <c r="G1890" s="4"/>
      <c r="H1890" s="4"/>
      <c r="I1890" s="4" t="str">
        <f>IFERROR(__xludf.DUMMYFUNCTION("""COMPUTED_VALUE"""),"0x3fd67d2cae60279852775df278c5cda44280670b")</f>
        <v>0x3fd67d2cae60279852775df278c5cda44280670b</v>
      </c>
      <c r="J1890" s="18">
        <v>5.321089834999911</v>
      </c>
      <c r="K1890" s="4">
        <v>66.51362293749888</v>
      </c>
      <c r="L1890" s="19">
        <v>6.651362293749888E19</v>
      </c>
      <c r="M1890" s="20">
        <v>6.651362293749888E18</v>
      </c>
    </row>
    <row r="1891">
      <c r="A1891" s="6"/>
      <c r="B1891" s="6"/>
      <c r="C1891" s="4"/>
      <c r="D1891" s="4">
        <v>29.778454253845403</v>
      </c>
      <c r="E1891" s="4" t="s">
        <v>3094</v>
      </c>
      <c r="F1891" s="4"/>
      <c r="G1891" s="4"/>
      <c r="H1891" s="4"/>
      <c r="I1891" s="4" t="str">
        <f>IFERROR(__xludf.DUMMYFUNCTION("""COMPUTED_VALUE"""),"0x8b5597eb3cceebf8d3b2c6e810f45cba53af538f")</f>
        <v>0x8b5597eb3cceebf8d3b2c6e810f45cba53af538f</v>
      </c>
      <c r="J1891" s="18">
        <v>57.66472560997164</v>
      </c>
      <c r="K1891" s="4">
        <v>720.8090701246455</v>
      </c>
      <c r="L1891" s="19">
        <v>7.208090701246455E20</v>
      </c>
      <c r="M1891" s="20">
        <v>7.208090701246455E19</v>
      </c>
    </row>
    <row r="1892">
      <c r="A1892" s="6"/>
      <c r="B1892" s="6"/>
      <c r="C1892" s="4"/>
      <c r="D1892" s="4">
        <v>48.3641275995966</v>
      </c>
      <c r="E1892" s="4" t="s">
        <v>3096</v>
      </c>
      <c r="F1892" s="4"/>
      <c r="G1892" s="4"/>
      <c r="H1892" s="4"/>
      <c r="I1892" s="4" t="str">
        <f>IFERROR(__xludf.DUMMYFUNCTION("""COMPUTED_VALUE"""),"0x17635ab9e748084dd56151aef2c0bfb59d6ba03b")</f>
        <v>0x17635ab9e748084dd56151aef2c0bfb59d6ba03b</v>
      </c>
      <c r="J1892" s="18">
        <v>9.20310623349544</v>
      </c>
      <c r="K1892" s="4">
        <v>115.038827918693</v>
      </c>
      <c r="L1892" s="19">
        <v>1.15038827918693E20</v>
      </c>
      <c r="M1892" s="20">
        <v>1.15038827918693E19</v>
      </c>
    </row>
    <row r="1893">
      <c r="A1893" s="6"/>
      <c r="B1893" s="6"/>
      <c r="C1893" s="4"/>
      <c r="D1893" s="4">
        <v>48.3641275995966</v>
      </c>
      <c r="E1893" s="4" t="s">
        <v>7</v>
      </c>
      <c r="F1893" s="4"/>
      <c r="G1893" s="4"/>
      <c r="H1893" s="4"/>
      <c r="I1893" s="4" t="str">
        <f>IFERROR(__xludf.DUMMYFUNCTION("""COMPUTED_VALUE"""),"0x72872adaea835f855d6303c130c7531208a76642")</f>
        <v>0x72872adaea835f855d6303c130c7531208a76642</v>
      </c>
      <c r="J1893" s="18">
        <v>48.3641275995966</v>
      </c>
      <c r="K1893" s="4">
        <v>604.5515949949574</v>
      </c>
      <c r="L1893" s="19">
        <v>6.045515949949574E20</v>
      </c>
      <c r="M1893" s="20">
        <v>6.045515949949574E19</v>
      </c>
    </row>
    <row r="1894">
      <c r="A1894" s="6"/>
      <c r="B1894" s="6"/>
      <c r="C1894" s="4"/>
      <c r="D1894" s="4">
        <v>43.2441468630019</v>
      </c>
      <c r="E1894" s="4" t="s">
        <v>3097</v>
      </c>
      <c r="F1894" s="4"/>
      <c r="G1894" s="4"/>
      <c r="H1894" s="4"/>
      <c r="I1894" s="4" t="str">
        <f>IFERROR(__xludf.DUMMYFUNCTION("""COMPUTED_VALUE"""),"0x3ebfa640a596310880d0cd2c7993163987637c36")</f>
        <v>0x3ebfa640a596310880d0cd2c7993163987637c36</v>
      </c>
      <c r="J1894" s="18">
        <v>57.66472560997164</v>
      </c>
      <c r="K1894" s="4">
        <v>720.8090701246455</v>
      </c>
      <c r="L1894" s="19">
        <v>7.208090701246455E20</v>
      </c>
      <c r="M1894" s="20">
        <v>7.208090701246455E19</v>
      </c>
    </row>
    <row r="1895">
      <c r="A1895" s="6"/>
      <c r="B1895" s="6"/>
      <c r="C1895" s="4"/>
      <c r="D1895" s="4">
        <v>12.858273274898</v>
      </c>
      <c r="E1895" s="4" t="s">
        <v>3099</v>
      </c>
      <c r="F1895" s="4"/>
      <c r="G1895" s="4"/>
      <c r="H1895" s="4"/>
      <c r="I1895" s="4" t="str">
        <f>IFERROR(__xludf.DUMMYFUNCTION("""COMPUTED_VALUE"""),"0x7072d68676778f421f05cd36dfbe63b402f40baf")</f>
        <v>0x7072d68676778f421f05cd36dfbe63b402f40baf</v>
      </c>
      <c r="J1895" s="18">
        <v>234.37608780709658</v>
      </c>
      <c r="K1895" s="4">
        <v>2929.7010975887074</v>
      </c>
      <c r="L1895" s="19">
        <v>2.9297010975887076E21</v>
      </c>
      <c r="M1895" s="20">
        <v>2.9297010975887078E20</v>
      </c>
    </row>
    <row r="1896">
      <c r="A1896" s="6"/>
      <c r="B1896" s="6"/>
      <c r="C1896" s="4"/>
      <c r="D1896" s="4">
        <v>29.1766688060503</v>
      </c>
      <c r="E1896" s="4" t="s">
        <v>3101</v>
      </c>
      <c r="F1896" s="4"/>
      <c r="G1896" s="4"/>
      <c r="H1896" s="4"/>
      <c r="I1896" s="4" t="str">
        <f>IFERROR(__xludf.DUMMYFUNCTION("""COMPUTED_VALUE"""),"0xd91672a7e9ea8bf163f52a8de90b2a98afbee032")</f>
        <v>0xd91672a7e9ea8bf163f52a8de90b2a98afbee032</v>
      </c>
      <c r="J1896" s="18">
        <v>119.3980418946105</v>
      </c>
      <c r="K1896" s="4">
        <v>1492.4755236826313</v>
      </c>
      <c r="L1896" s="19">
        <v>1.4924755236826314E21</v>
      </c>
      <c r="M1896" s="20">
        <v>1.4924755236826314E20</v>
      </c>
    </row>
    <row r="1897">
      <c r="A1897" s="6"/>
      <c r="B1897" s="6"/>
      <c r="C1897" s="4"/>
      <c r="D1897" s="4">
        <v>2.56084160562204</v>
      </c>
      <c r="E1897" s="4" t="s">
        <v>3103</v>
      </c>
      <c r="F1897" s="4"/>
      <c r="G1897" s="4"/>
      <c r="H1897" s="4"/>
      <c r="I1897" s="4" t="str">
        <f>IFERROR(__xludf.DUMMYFUNCTION("""COMPUTED_VALUE"""),"0x99492af57325ba3971542b9ea4036186be50fa07")</f>
        <v>0x99492af57325ba3971542b9ea4036186be50fa07</v>
      </c>
      <c r="J1897" s="18">
        <v>6.4630396381436395</v>
      </c>
      <c r="K1897" s="4">
        <v>80.78799547679549</v>
      </c>
      <c r="L1897" s="19">
        <v>8.078799547679549E19</v>
      </c>
      <c r="M1897" s="20">
        <v>8.078799547679549E18</v>
      </c>
    </row>
    <row r="1898">
      <c r="A1898" s="6"/>
      <c r="B1898" s="6"/>
      <c r="C1898" s="4"/>
      <c r="D1898" s="4">
        <v>48.3641275995966</v>
      </c>
      <c r="E1898" s="4" t="s">
        <v>3105</v>
      </c>
      <c r="F1898" s="4"/>
      <c r="G1898" s="4"/>
      <c r="H1898" s="4"/>
      <c r="I1898" s="4" t="str">
        <f>IFERROR(__xludf.DUMMYFUNCTION("""COMPUTED_VALUE"""),"0x1769155d575a1f918e3a45b32f9f8858329b3315")</f>
        <v>0x1769155d575a1f918e3a45b32f9f8858329b3315</v>
      </c>
      <c r="J1898" s="18">
        <v>9.672825519919328</v>
      </c>
      <c r="K1898" s="4">
        <v>120.9103189989916</v>
      </c>
      <c r="L1898" s="19">
        <v>1.209103189989916E20</v>
      </c>
      <c r="M1898" s="20">
        <v>1.209103189989916E19</v>
      </c>
    </row>
    <row r="1899">
      <c r="A1899" s="6"/>
      <c r="B1899" s="6"/>
      <c r="C1899" s="4"/>
      <c r="D1899" s="4">
        <v>4.5820890626080395</v>
      </c>
      <c r="E1899" s="4" t="s">
        <v>3106</v>
      </c>
      <c r="F1899" s="4"/>
      <c r="G1899" s="4"/>
      <c r="H1899" s="4"/>
      <c r="I1899" s="4" t="str">
        <f>IFERROR(__xludf.DUMMYFUNCTION("""COMPUTED_VALUE"""),"0xfa5a5b695fa83c2a0e268cee936a3a939eda5ac7")</f>
        <v>0xfa5a5b695fa83c2a0e268cee936a3a939eda5ac7</v>
      </c>
      <c r="J1899" s="18">
        <v>30.49465181912374</v>
      </c>
      <c r="K1899" s="4">
        <v>381.1831477390467</v>
      </c>
      <c r="L1899" s="19">
        <v>3.8118314773904674E20</v>
      </c>
      <c r="M1899" s="20">
        <v>3.811831477390468E19</v>
      </c>
    </row>
    <row r="1900">
      <c r="A1900" s="6"/>
      <c r="B1900" s="6"/>
      <c r="C1900" s="4"/>
      <c r="D1900" s="4">
        <v>48.3641275995966</v>
      </c>
      <c r="E1900" s="4" t="s">
        <v>763</v>
      </c>
      <c r="F1900" s="4"/>
      <c r="G1900" s="4"/>
      <c r="H1900" s="4"/>
      <c r="I1900" s="4" t="str">
        <f>IFERROR(__xludf.DUMMYFUNCTION("""COMPUTED_VALUE"""),"0x5614db5b29abe38e74c11d3c198c87688e8e3bde")</f>
        <v>0x5614db5b29abe38e74c11d3c198c87688e8e3bde</v>
      </c>
      <c r="J1900" s="18">
        <v>9.672825519919328</v>
      </c>
      <c r="K1900" s="4">
        <v>120.9103189989916</v>
      </c>
      <c r="L1900" s="19">
        <v>1.209103189989916E20</v>
      </c>
      <c r="M1900" s="20">
        <v>1.209103189989916E19</v>
      </c>
    </row>
    <row r="1901">
      <c r="A1901" s="6"/>
      <c r="B1901" s="6"/>
      <c r="C1901" s="4"/>
      <c r="D1901" s="4">
        <v>34.9764179773815</v>
      </c>
      <c r="E1901" s="4" t="s">
        <v>3108</v>
      </c>
      <c r="F1901" s="4"/>
      <c r="G1901" s="4"/>
      <c r="H1901" s="4"/>
      <c r="I1901" s="4" t="str">
        <f>IFERROR(__xludf.DUMMYFUNCTION("""COMPUTED_VALUE"""),"0x314cda6a0fcd1a8b555c59eb5a4b476eb3791e66")</f>
        <v>0x314cda6a0fcd1a8b555c59eb5a4b476eb3791e66</v>
      </c>
      <c r="J1901" s="18">
        <v>58.04039059546005</v>
      </c>
      <c r="K1901" s="4">
        <v>725.5048824432506</v>
      </c>
      <c r="L1901" s="19">
        <v>7.255048824432506E20</v>
      </c>
      <c r="M1901" s="20">
        <v>7.255048824432506E19</v>
      </c>
    </row>
    <row r="1902">
      <c r="A1902" s="6"/>
      <c r="B1902" s="6"/>
      <c r="C1902" s="4"/>
      <c r="D1902" s="4">
        <v>48.3641275995966</v>
      </c>
      <c r="E1902" s="4" t="s">
        <v>3110</v>
      </c>
      <c r="F1902" s="4"/>
      <c r="G1902" s="4"/>
      <c r="H1902" s="4"/>
      <c r="I1902" s="4" t="str">
        <f>IFERROR(__xludf.DUMMYFUNCTION("""COMPUTED_VALUE"""),"0x5ef5b5e3254ffb56bd44af3f428a2196f56c9517")</f>
        <v>0x5ef5b5e3254ffb56bd44af3f428a2196f56c9517</v>
      </c>
      <c r="J1902" s="18">
        <v>0.048751040620392705</v>
      </c>
      <c r="K1902" s="4">
        <v>0.6093880077549088</v>
      </c>
      <c r="L1902" s="19">
        <v>6.093880077549088E17</v>
      </c>
      <c r="M1902" s="20">
        <v>6.093880077549088E16</v>
      </c>
    </row>
    <row r="1903">
      <c r="A1903" s="6"/>
      <c r="B1903" s="6"/>
      <c r="C1903" s="4"/>
      <c r="D1903" s="4">
        <v>48.3641275995966</v>
      </c>
      <c r="E1903" s="4" t="s">
        <v>3111</v>
      </c>
      <c r="F1903" s="4"/>
      <c r="G1903" s="4"/>
      <c r="H1903" s="4"/>
      <c r="I1903" s="4" t="str">
        <f>IFERROR(__xludf.DUMMYFUNCTION("""COMPUTED_VALUE"""),"0x0b2677f1db50a327a72e8dc7c748886ecd90870f")</f>
        <v>0x0b2677f1db50a327a72e8dc7c748886ecd90870f</v>
      </c>
      <c r="J1903" s="18">
        <v>234.37608780709658</v>
      </c>
      <c r="K1903" s="4">
        <v>2929.7010975887074</v>
      </c>
      <c r="L1903" s="19">
        <v>2.9297010975887076E21</v>
      </c>
      <c r="M1903" s="20">
        <v>2.9297010975887078E20</v>
      </c>
    </row>
    <row r="1904">
      <c r="A1904" s="6"/>
      <c r="B1904" s="6"/>
      <c r="C1904" s="4"/>
      <c r="D1904" s="4">
        <v>48.3641275995966</v>
      </c>
      <c r="E1904" s="4" t="s">
        <v>3112</v>
      </c>
      <c r="F1904" s="4"/>
      <c r="G1904" s="4"/>
      <c r="H1904" s="4"/>
      <c r="I1904" s="4" t="str">
        <f>IFERROR(__xludf.DUMMYFUNCTION("""COMPUTED_VALUE"""),"0xcdc5fccc3e1eb03a627b9265c0e7920f8cbc75ac")</f>
        <v>0xcdc5fccc3e1eb03a627b9265c0e7920f8cbc75ac</v>
      </c>
      <c r="J1904" s="18">
        <v>7.43636087413308</v>
      </c>
      <c r="K1904" s="4">
        <v>92.9545109266635</v>
      </c>
      <c r="L1904" s="19">
        <v>9.29545109266635E19</v>
      </c>
      <c r="M1904" s="20">
        <v>9.29545109266635E18</v>
      </c>
    </row>
    <row r="1905">
      <c r="A1905" s="6"/>
      <c r="B1905" s="6"/>
      <c r="C1905" s="4"/>
      <c r="D1905" s="4">
        <v>10.2513320217785</v>
      </c>
      <c r="E1905" s="4" t="s">
        <v>3113</v>
      </c>
      <c r="F1905" s="4"/>
      <c r="G1905" s="4"/>
      <c r="H1905" s="4"/>
      <c r="I1905" s="4" t="str">
        <f>IFERROR(__xludf.DUMMYFUNCTION("""COMPUTED_VALUE"""),"0xb83adf2d4da16c4a9a5bc366cdc396dbd16a33e6")</f>
        <v>0xb83adf2d4da16c4a9a5bc366cdc396dbd16a33e6</v>
      </c>
      <c r="J1905" s="18">
        <v>15.491514733270801</v>
      </c>
      <c r="K1905" s="4">
        <v>193.643934165885</v>
      </c>
      <c r="L1905" s="19">
        <v>1.9364393416588503E20</v>
      </c>
      <c r="M1905" s="20">
        <v>1.9364393416588505E19</v>
      </c>
    </row>
    <row r="1906">
      <c r="A1906" s="6"/>
      <c r="B1906" s="6"/>
      <c r="C1906" s="4"/>
      <c r="D1906" s="4">
        <v>48.3641275995966</v>
      </c>
      <c r="E1906" s="4" t="s">
        <v>596</v>
      </c>
      <c r="F1906" s="4"/>
      <c r="G1906" s="4"/>
      <c r="H1906" s="4"/>
      <c r="I1906" s="4" t="str">
        <f>IFERROR(__xludf.DUMMYFUNCTION("""COMPUTED_VALUE"""),"0x1c634804ba4f83a66134cd92961066f7adc6b928")</f>
        <v>0x1c634804ba4f83a66134cd92961066f7adc6b928</v>
      </c>
      <c r="J1906" s="18">
        <v>234.37608780709658</v>
      </c>
      <c r="K1906" s="4">
        <v>2929.7010975887074</v>
      </c>
      <c r="L1906" s="19">
        <v>2.9297010975887076E21</v>
      </c>
      <c r="M1906" s="20">
        <v>2.9297010975887078E20</v>
      </c>
    </row>
    <row r="1907">
      <c r="A1907" s="6"/>
      <c r="B1907" s="6"/>
      <c r="C1907" s="4"/>
      <c r="D1907" s="4">
        <v>47.286031950653</v>
      </c>
      <c r="E1907" s="4" t="s">
        <v>3115</v>
      </c>
      <c r="F1907" s="4"/>
      <c r="G1907" s="4"/>
      <c r="H1907" s="4"/>
      <c r="I1907" s="4" t="str">
        <f>IFERROR(__xludf.DUMMYFUNCTION("""COMPUTED_VALUE"""),"0x0fd109e40a0b7a3692d7d282b794c6204b7fe665")</f>
        <v>0x0fd109e40a0b7a3692d7d282b794c6204b7fe665</v>
      </c>
      <c r="J1907" s="18">
        <v>17.41555577378709</v>
      </c>
      <c r="K1907" s="4">
        <v>217.69444717233864</v>
      </c>
      <c r="L1907" s="19">
        <v>2.1769444717233865E20</v>
      </c>
      <c r="M1907" s="20">
        <v>2.1769444717233865E19</v>
      </c>
    </row>
    <row r="1908">
      <c r="A1908" s="6"/>
      <c r="B1908" s="6"/>
      <c r="C1908" s="4"/>
      <c r="D1908" s="4">
        <v>30.898472349633902</v>
      </c>
      <c r="E1908" s="4" t="s">
        <v>3117</v>
      </c>
      <c r="F1908" s="4"/>
      <c r="G1908" s="4"/>
      <c r="H1908" s="4"/>
      <c r="I1908" s="4" t="str">
        <f>IFERROR(__xludf.DUMMYFUNCTION("""COMPUTED_VALUE"""),"0x86d82373806e90e7d572b9dfeeb20a786609341f")</f>
        <v>0x86d82373806e90e7d572b9dfeeb20a786609341f</v>
      </c>
      <c r="J1908" s="18">
        <v>10.548495285845298</v>
      </c>
      <c r="K1908" s="4">
        <v>131.85619107306624</v>
      </c>
      <c r="L1908" s="19">
        <v>1.3185619107306624E20</v>
      </c>
      <c r="M1908" s="20">
        <v>1.3185619107306625E19</v>
      </c>
    </row>
    <row r="1909">
      <c r="A1909" s="6"/>
      <c r="B1909" s="6"/>
      <c r="C1909" s="4"/>
      <c r="D1909" s="4">
        <v>10.0266101123198</v>
      </c>
      <c r="E1909" s="4" t="s">
        <v>3119</v>
      </c>
      <c r="F1909" s="4"/>
      <c r="G1909" s="4"/>
      <c r="H1909" s="4"/>
      <c r="I1909" s="4" t="str">
        <f>IFERROR(__xludf.DUMMYFUNCTION("""COMPUTED_VALUE"""),"0x88920273afadc7bb1051ca5e8089969129d31bd5")</f>
        <v>0x88920273afadc7bb1051ca5e8089969129d31bd5</v>
      </c>
      <c r="J1909" s="18">
        <v>16.4245737528657</v>
      </c>
      <c r="K1909" s="4">
        <v>205.30717191082127</v>
      </c>
      <c r="L1909" s="19">
        <v>2.0530717191082128E20</v>
      </c>
      <c r="M1909" s="20">
        <v>2.0530717191082127E19</v>
      </c>
    </row>
    <row r="1910">
      <c r="A1910" s="6"/>
      <c r="B1910" s="6"/>
      <c r="C1910" s="4"/>
      <c r="D1910" s="4">
        <v>48.3641275995966</v>
      </c>
      <c r="E1910" s="4" t="s">
        <v>3121</v>
      </c>
      <c r="F1910" s="4"/>
      <c r="G1910" s="4"/>
      <c r="H1910" s="4"/>
      <c r="I1910" s="4" t="str">
        <f>IFERROR(__xludf.DUMMYFUNCTION("""COMPUTED_VALUE"""),"0x74a06ea35a7805307540b9044210fdeffad4fbb2")</f>
        <v>0x74a06ea35a7805307540b9044210fdeffad4fbb2</v>
      </c>
      <c r="J1910" s="18">
        <v>13.436395711023499</v>
      </c>
      <c r="K1910" s="4">
        <v>167.95494638779374</v>
      </c>
      <c r="L1910" s="19">
        <v>1.6795494638779374E20</v>
      </c>
      <c r="M1910" s="20">
        <v>1.6795494638779376E19</v>
      </c>
    </row>
    <row r="1911">
      <c r="A1911" s="6"/>
      <c r="B1911" s="6"/>
      <c r="C1911" s="4"/>
      <c r="D1911" s="4">
        <v>2.06124033394014</v>
      </c>
      <c r="E1911" s="4" t="s">
        <v>3122</v>
      </c>
      <c r="F1911" s="4"/>
      <c r="G1911" s="4"/>
      <c r="H1911" s="4"/>
      <c r="I1911" s="4" t="str">
        <f>IFERROR(__xludf.DUMMYFUNCTION("""COMPUTED_VALUE"""),"0xc9c435304e08740107f21cf42c23eb7f569f52f6")</f>
        <v>0xc9c435304e08740107f21cf42c23eb7f569f52f6</v>
      </c>
      <c r="J1911" s="18">
        <v>112.5385348104505</v>
      </c>
      <c r="K1911" s="4">
        <v>1406.7316851306311</v>
      </c>
      <c r="L1911" s="19">
        <v>1.406731685130631E21</v>
      </c>
      <c r="M1911" s="20">
        <v>1.4067316851306312E20</v>
      </c>
    </row>
    <row r="1912">
      <c r="A1912" s="6"/>
      <c r="B1912" s="6"/>
      <c r="C1912" s="4"/>
      <c r="D1912" s="4">
        <v>31.6137283160256</v>
      </c>
      <c r="E1912" s="4" t="s">
        <v>3124</v>
      </c>
      <c r="F1912" s="4"/>
      <c r="G1912" s="4"/>
      <c r="H1912" s="4"/>
      <c r="I1912" s="4" t="str">
        <f>IFERROR(__xludf.DUMMYFUNCTION("""COMPUTED_VALUE"""),"0x2f5b3356123d3f620013c1dbf4cebd1b5f65f36f")</f>
        <v>0x2f5b3356123d3f620013c1dbf4cebd1b5f65f36f</v>
      </c>
      <c r="J1912" s="18">
        <v>113.4683136722219</v>
      </c>
      <c r="K1912" s="4">
        <v>1418.3539209027738</v>
      </c>
      <c r="L1912" s="19">
        <v>1.4183539209027739E21</v>
      </c>
      <c r="M1912" s="20">
        <v>1.418353920902774E20</v>
      </c>
    </row>
    <row r="1913">
      <c r="A1913" s="6"/>
      <c r="B1913" s="6"/>
      <c r="C1913" s="4"/>
      <c r="D1913" s="4">
        <v>9.672825519919328</v>
      </c>
      <c r="E1913" s="4" t="s">
        <v>3126</v>
      </c>
      <c r="F1913" s="4"/>
      <c r="G1913" s="4"/>
      <c r="H1913" s="4"/>
      <c r="I1913" s="4" t="str">
        <f>IFERROR(__xludf.DUMMYFUNCTION("""COMPUTED_VALUE"""),"0xdbae76eb6804f4f4b5c430ff90e031a283334d6d")</f>
        <v>0xdbae76eb6804f4f4b5c430ff90e031a283334d6d</v>
      </c>
      <c r="J1913" s="18">
        <v>19.3755604723207</v>
      </c>
      <c r="K1913" s="4">
        <v>242.19450590400874</v>
      </c>
      <c r="L1913" s="19">
        <v>2.4219450590400872E20</v>
      </c>
      <c r="M1913" s="20">
        <v>2.4219450590400872E19</v>
      </c>
    </row>
    <row r="1914">
      <c r="A1914" s="6"/>
      <c r="B1914" s="6"/>
      <c r="C1914" s="4"/>
      <c r="D1914" s="4">
        <v>39.912065569671704</v>
      </c>
      <c r="E1914" s="4" t="s">
        <v>3127</v>
      </c>
      <c r="F1914" s="4"/>
      <c r="G1914" s="4"/>
      <c r="H1914" s="4"/>
      <c r="I1914" s="4" t="str">
        <f>IFERROR(__xludf.DUMMYFUNCTION("""COMPUTED_VALUE"""),"0x49638f0fc3046c0e6dba40363d3d18fd163578d6")</f>
        <v>0x49638f0fc3046c0e6dba40363d3d18fd163578d6</v>
      </c>
      <c r="J1914" s="18">
        <v>47.9442127666688</v>
      </c>
      <c r="K1914" s="4">
        <v>599.30265958336</v>
      </c>
      <c r="L1914" s="19">
        <v>5.9930265958336E20</v>
      </c>
      <c r="M1914" s="20">
        <v>5.9930265958336E19</v>
      </c>
    </row>
    <row r="1915">
      <c r="A1915" s="6"/>
      <c r="B1915" s="6"/>
      <c r="C1915" s="4"/>
      <c r="D1915" s="4">
        <v>1.2686754647223502</v>
      </c>
      <c r="E1915" s="4" t="s">
        <v>3129</v>
      </c>
      <c r="F1915" s="4"/>
      <c r="G1915" s="4"/>
      <c r="H1915" s="4"/>
      <c r="I1915" s="4" t="str">
        <f>IFERROR(__xludf.DUMMYFUNCTION("""COMPUTED_VALUE"""),"0xe18125a52f83bef0df09e0c9789d0425c32d9ff5")</f>
        <v>0xe18125a52f83bef0df09e0c9789d0425c32d9ff5</v>
      </c>
      <c r="J1915" s="18">
        <v>15.6927893512838</v>
      </c>
      <c r="K1915" s="4">
        <v>196.1598668910475</v>
      </c>
      <c r="L1915" s="19">
        <v>1.961598668910475E20</v>
      </c>
      <c r="M1915" s="20">
        <v>1.9615986689104753E19</v>
      </c>
    </row>
    <row r="1916">
      <c r="A1916" s="6"/>
      <c r="B1916" s="6"/>
      <c r="C1916" s="4"/>
      <c r="D1916" s="4">
        <v>48.3641275995966</v>
      </c>
      <c r="E1916" s="4" t="s">
        <v>3131</v>
      </c>
      <c r="F1916" s="4"/>
      <c r="G1916" s="4"/>
      <c r="H1916" s="4"/>
      <c r="I1916" s="4" t="str">
        <f>IFERROR(__xludf.DUMMYFUNCTION("""COMPUTED_VALUE"""),"0x161182660cf5a11453babe220814b6fb4add82b9")</f>
        <v>0x161182660cf5a11453babe220814b6fb4add82b9</v>
      </c>
      <c r="J1916" s="18">
        <v>9.672825519919328</v>
      </c>
      <c r="K1916" s="4">
        <v>120.9103189989916</v>
      </c>
      <c r="L1916" s="19">
        <v>1.209103189989916E20</v>
      </c>
      <c r="M1916" s="20">
        <v>1.209103189989916E19</v>
      </c>
    </row>
    <row r="1917">
      <c r="A1917" s="6"/>
      <c r="B1917" s="6"/>
      <c r="C1917" s="4"/>
      <c r="D1917" s="4">
        <v>6.892370249471891</v>
      </c>
      <c r="E1917" s="4" t="s">
        <v>3132</v>
      </c>
      <c r="F1917" s="4"/>
      <c r="G1917" s="4"/>
      <c r="H1917" s="4"/>
      <c r="I1917" s="4" t="str">
        <f>IFERROR(__xludf.DUMMYFUNCTION("""COMPUTED_VALUE"""),"0x1b62825f9d4f218155bf301a066316f8e1039779")</f>
        <v>0x1b62825f9d4f218155bf301a066316f8e1039779</v>
      </c>
      <c r="J1917" s="18">
        <v>100.24762297227011</v>
      </c>
      <c r="K1917" s="4">
        <v>1253.0952871533764</v>
      </c>
      <c r="L1917" s="19">
        <v>1.2530952871533764E21</v>
      </c>
      <c r="M1917" s="20">
        <v>1.2530952871533765E20</v>
      </c>
    </row>
    <row r="1918">
      <c r="A1918" s="6"/>
      <c r="B1918" s="6"/>
      <c r="C1918" s="4"/>
      <c r="D1918" s="4">
        <v>9.82898444736281</v>
      </c>
      <c r="E1918" s="4" t="s">
        <v>3134</v>
      </c>
      <c r="F1918" s="4"/>
      <c r="G1918" s="4"/>
      <c r="H1918" s="4"/>
      <c r="I1918" s="4" t="str">
        <f>IFERROR(__xludf.DUMMYFUNCTION("""COMPUTED_VALUE"""),"0xbc587cec4c9d98b5624d1293e3c8eb49a97480da")</f>
        <v>0xbc587cec4c9d98b5624d1293e3c8eb49a97480da</v>
      </c>
      <c r="J1918" s="18">
        <v>57.66472560997164</v>
      </c>
      <c r="K1918" s="4">
        <v>720.8090701246455</v>
      </c>
      <c r="L1918" s="19">
        <v>7.208090701246455E20</v>
      </c>
      <c r="M1918" s="20">
        <v>7.208090701246455E19</v>
      </c>
    </row>
    <row r="1919">
      <c r="A1919" s="6"/>
      <c r="B1919" s="6"/>
      <c r="C1919" s="4"/>
      <c r="D1919" s="4">
        <v>48.3641275995966</v>
      </c>
      <c r="E1919" s="4" t="s">
        <v>3136</v>
      </c>
      <c r="F1919" s="4"/>
      <c r="G1919" s="4"/>
      <c r="H1919" s="4"/>
      <c r="I1919" s="4" t="str">
        <f>IFERROR(__xludf.DUMMYFUNCTION("""COMPUTED_VALUE"""),"0xad5fb41228b0572aab66e974b6e27adc48557100")</f>
        <v>0xad5fb41228b0572aab66e974b6e27adc48557100</v>
      </c>
      <c r="J1919" s="18">
        <v>234.37608780709658</v>
      </c>
      <c r="K1919" s="4">
        <v>2929.7010975887074</v>
      </c>
      <c r="L1919" s="19">
        <v>2.9297010975887076E21</v>
      </c>
      <c r="M1919" s="20">
        <v>2.9297010975887078E20</v>
      </c>
    </row>
    <row r="1920">
      <c r="A1920" s="6"/>
      <c r="B1920" s="6"/>
      <c r="C1920" s="4"/>
      <c r="D1920" s="4">
        <v>9.672825519919328</v>
      </c>
      <c r="E1920" s="4" t="s">
        <v>3137</v>
      </c>
      <c r="F1920" s="4"/>
      <c r="G1920" s="4"/>
      <c r="H1920" s="4"/>
      <c r="I1920" s="4" t="str">
        <f>IFERROR(__xludf.DUMMYFUNCTION("""COMPUTED_VALUE"""),"0xa94edec908c693444b1d9e57a72913ab3c825f11")</f>
        <v>0xa94edec908c693444b1d9e57a72913ab3c825f11</v>
      </c>
      <c r="J1920" s="18">
        <v>123.12825177557039</v>
      </c>
      <c r="K1920" s="4">
        <v>1539.1031471946299</v>
      </c>
      <c r="L1920" s="19">
        <v>1.5391031471946298E21</v>
      </c>
      <c r="M1920" s="20">
        <v>1.5391031471946298E20</v>
      </c>
    </row>
    <row r="1921">
      <c r="A1921" s="6"/>
      <c r="B1921" s="6"/>
      <c r="C1921" s="4"/>
      <c r="D1921" s="4">
        <v>17.9717727459525</v>
      </c>
      <c r="E1921" s="4" t="s">
        <v>3138</v>
      </c>
      <c r="F1921" s="4"/>
      <c r="G1921" s="4"/>
      <c r="H1921" s="4"/>
      <c r="I1921" s="4" t="str">
        <f>IFERROR(__xludf.DUMMYFUNCTION("""COMPUTED_VALUE"""),"0xc6c4dc8a4e6a4e89ef99c66569c4e342335e0f76")</f>
        <v>0xc6c4dc8a4e6a4e89ef99c66569c4e342335e0f76</v>
      </c>
      <c r="J1921" s="18">
        <v>9.54347962950307</v>
      </c>
      <c r="K1921" s="4">
        <v>119.29349536878837</v>
      </c>
      <c r="L1921" s="19">
        <v>1.1929349536878838E20</v>
      </c>
      <c r="M1921" s="20">
        <v>1.1929349536878838E19</v>
      </c>
    </row>
    <row r="1922">
      <c r="A1922" s="6"/>
      <c r="B1922" s="6"/>
      <c r="C1922" s="4"/>
      <c r="D1922" s="4">
        <v>48.3641275995966</v>
      </c>
      <c r="E1922" s="4" t="s">
        <v>3140</v>
      </c>
      <c r="F1922" s="4"/>
      <c r="G1922" s="4"/>
      <c r="H1922" s="4"/>
      <c r="I1922" s="4" t="str">
        <f>IFERROR(__xludf.DUMMYFUNCTION("""COMPUTED_VALUE"""),"0xe0f105b6bc23faeeb681585de955429efdb78580")</f>
        <v>0xe0f105b6bc23faeeb681585de955429efdb78580</v>
      </c>
      <c r="J1922" s="18">
        <v>212.9168218694611</v>
      </c>
      <c r="K1922" s="4">
        <v>2661.4602733682636</v>
      </c>
      <c r="L1922" s="19">
        <v>2.6614602733682636E21</v>
      </c>
      <c r="M1922" s="20">
        <v>2.6614602733682636E20</v>
      </c>
    </row>
    <row r="1923">
      <c r="A1923" s="6"/>
      <c r="B1923" s="6"/>
      <c r="C1923" s="4"/>
      <c r="D1923" s="4">
        <v>10.4705841836489</v>
      </c>
      <c r="E1923" s="4" t="s">
        <v>3141</v>
      </c>
      <c r="F1923" s="4"/>
      <c r="G1923" s="4"/>
      <c r="H1923" s="4"/>
      <c r="I1923" s="4" t="str">
        <f>IFERROR(__xludf.DUMMYFUNCTION("""COMPUTED_VALUE"""),"0xd1a9681d9f2fb632484a1ae9fc0b118cea1e849c")</f>
        <v>0xd1a9681d9f2fb632484a1ae9fc0b118cea1e849c</v>
      </c>
      <c r="J1923" s="18">
        <v>234.37608780709658</v>
      </c>
      <c r="K1923" s="4">
        <v>2929.7010975887074</v>
      </c>
      <c r="L1923" s="19">
        <v>2.9297010975887076E21</v>
      </c>
      <c r="M1923" s="20">
        <v>2.9297010975887078E20</v>
      </c>
    </row>
    <row r="1924">
      <c r="A1924" s="6"/>
      <c r="B1924" s="6"/>
      <c r="C1924" s="4"/>
      <c r="D1924" s="4">
        <v>48.3641275995966</v>
      </c>
      <c r="E1924" s="4" t="s">
        <v>3143</v>
      </c>
      <c r="F1924" s="4"/>
      <c r="G1924" s="4"/>
      <c r="H1924" s="4"/>
      <c r="I1924" s="4" t="str">
        <f>IFERROR(__xludf.DUMMYFUNCTION("""COMPUTED_VALUE"""),"0xadfa41a8e3e53b2b1b0f30860c512d48d27dd58d")</f>
        <v>0xadfa41a8e3e53b2b1b0f30860c512d48d27dd58d</v>
      </c>
      <c r="J1924" s="18">
        <v>43.63500568887191</v>
      </c>
      <c r="K1924" s="4">
        <v>545.4375711108988</v>
      </c>
      <c r="L1924" s="19">
        <v>5.454375711108988E20</v>
      </c>
      <c r="M1924" s="20">
        <v>5.454375711108989E19</v>
      </c>
    </row>
    <row r="1925">
      <c r="A1925" s="6"/>
      <c r="B1925" s="6"/>
      <c r="C1925" s="4"/>
      <c r="D1925" s="4">
        <v>8.68643894415862</v>
      </c>
      <c r="E1925" s="4" t="s">
        <v>3144</v>
      </c>
      <c r="F1925" s="4"/>
      <c r="G1925" s="4"/>
      <c r="H1925" s="4"/>
      <c r="I1925" s="4" t="str">
        <f>IFERROR(__xludf.DUMMYFUNCTION("""COMPUTED_VALUE"""),"0x8b4cacd8ca55751a98ad821b0005ddfeacbcaae4")</f>
        <v>0x8b4cacd8ca55751a98ad821b0005ddfeacbcaae4</v>
      </c>
      <c r="J1925" s="18">
        <v>48.3641275995966</v>
      </c>
      <c r="K1925" s="4">
        <v>604.5515949949574</v>
      </c>
      <c r="L1925" s="19">
        <v>6.045515949949574E20</v>
      </c>
      <c r="M1925" s="20">
        <v>6.045515949949574E19</v>
      </c>
    </row>
    <row r="1926">
      <c r="A1926" s="6"/>
      <c r="B1926" s="6"/>
      <c r="C1926" s="4"/>
      <c r="D1926" s="4">
        <v>48.3641275995966</v>
      </c>
      <c r="E1926" s="4" t="s">
        <v>3146</v>
      </c>
      <c r="F1926" s="4"/>
      <c r="G1926" s="4"/>
      <c r="H1926" s="4"/>
      <c r="I1926" s="4" t="str">
        <f>IFERROR(__xludf.DUMMYFUNCTION("""COMPUTED_VALUE"""),"0xa991c06e5dfee048e3367be4bbb49727c7895398")</f>
        <v>0xa991c06e5dfee048e3367be4bbb49727c7895398</v>
      </c>
      <c r="J1926" s="18">
        <v>3.52186828348802</v>
      </c>
      <c r="K1926" s="4">
        <v>44.02335354360025</v>
      </c>
      <c r="L1926" s="19">
        <v>4.402335354360025E19</v>
      </c>
      <c r="M1926" s="20">
        <v>4.402335354360025E18</v>
      </c>
    </row>
    <row r="1927">
      <c r="A1927" s="6"/>
      <c r="B1927" s="6"/>
      <c r="C1927" s="4"/>
      <c r="D1927" s="4">
        <v>48.3641275995966</v>
      </c>
      <c r="E1927" s="4" t="s">
        <v>3147</v>
      </c>
      <c r="F1927" s="4"/>
      <c r="G1927" s="4"/>
      <c r="H1927" s="4"/>
      <c r="I1927" s="4" t="str">
        <f>IFERROR(__xludf.DUMMYFUNCTION("""COMPUTED_VALUE"""),"0x388693a6c29f10a388a8691df03ec992ba8afa0b")</f>
        <v>0x388693a6c29f10a388a8691df03ec992ba8afa0b</v>
      </c>
      <c r="J1927" s="18">
        <v>8.93208906300047</v>
      </c>
      <c r="K1927" s="4">
        <v>111.65111328750588</v>
      </c>
      <c r="L1927" s="19">
        <v>1.1165111328750589E20</v>
      </c>
      <c r="M1927" s="20">
        <v>1.116511132875059E19</v>
      </c>
    </row>
    <row r="1928">
      <c r="A1928" s="6"/>
      <c r="B1928" s="6"/>
      <c r="C1928" s="4"/>
      <c r="D1928" s="4">
        <v>19.5185927550298</v>
      </c>
      <c r="E1928" s="4" t="s">
        <v>3148</v>
      </c>
      <c r="F1928" s="4"/>
      <c r="G1928" s="4"/>
      <c r="H1928" s="4"/>
      <c r="I1928" s="4" t="str">
        <f>IFERROR(__xludf.DUMMYFUNCTION("""COMPUTED_VALUE"""),"0x141e40a701ef7a31f15ea89a60fbc3f9522cd11b")</f>
        <v>0x141e40a701ef7a31f15ea89a60fbc3f9522cd11b</v>
      </c>
      <c r="J1928" s="18">
        <v>66.9653236203466</v>
      </c>
      <c r="K1928" s="4">
        <v>837.0665452543324</v>
      </c>
      <c r="L1928" s="19">
        <v>8.370665452543324E20</v>
      </c>
      <c r="M1928" s="20">
        <v>8.370665452543323E19</v>
      </c>
    </row>
    <row r="1929">
      <c r="A1929" s="6"/>
      <c r="B1929" s="6"/>
      <c r="C1929" s="4"/>
      <c r="D1929" s="4">
        <v>48.3641275995966</v>
      </c>
      <c r="E1929" s="4" t="s">
        <v>3150</v>
      </c>
      <c r="F1929" s="4"/>
      <c r="G1929" s="4"/>
      <c r="H1929" s="4"/>
      <c r="I1929" s="4" t="str">
        <f>IFERROR(__xludf.DUMMYFUNCTION("""COMPUTED_VALUE"""),"0x1af3af6fc251370e316a642510c07b13e2526e46")</f>
        <v>0x1af3af6fc251370e316a642510c07b13e2526e46</v>
      </c>
      <c r="J1929" s="18">
        <v>48.3641275995966</v>
      </c>
      <c r="K1929" s="4">
        <v>604.5515949949574</v>
      </c>
      <c r="L1929" s="19">
        <v>6.045515949949574E20</v>
      </c>
      <c r="M1929" s="20">
        <v>6.045515949949574E19</v>
      </c>
    </row>
    <row r="1930">
      <c r="A1930" s="6"/>
      <c r="B1930" s="6"/>
      <c r="C1930" s="4"/>
      <c r="D1930" s="4">
        <v>23.7951507790015</v>
      </c>
      <c r="E1930" s="4" t="s">
        <v>3151</v>
      </c>
      <c r="F1930" s="4"/>
      <c r="G1930" s="4"/>
      <c r="H1930" s="4"/>
      <c r="I1930" s="4" t="str">
        <f>IFERROR(__xludf.DUMMYFUNCTION("""COMPUTED_VALUE"""),"0xe83360ae8d28e923fc106b241ef253da7826b4e4")</f>
        <v>0xe83360ae8d28e923fc106b241ef253da7826b4e4</v>
      </c>
      <c r="J1930" s="18">
        <v>22.9142149637343</v>
      </c>
      <c r="K1930" s="4">
        <v>286.4276870466787</v>
      </c>
      <c r="L1930" s="19">
        <v>2.8642768704667874E20</v>
      </c>
      <c r="M1930" s="20">
        <v>2.8642768704667877E19</v>
      </c>
    </row>
    <row r="1931">
      <c r="A1931" s="6"/>
      <c r="B1931" s="6"/>
      <c r="C1931" s="4"/>
      <c r="D1931" s="4">
        <v>13.7230436218293</v>
      </c>
      <c r="E1931" s="4" t="s">
        <v>3153</v>
      </c>
      <c r="F1931" s="4"/>
      <c r="G1931" s="4"/>
      <c r="H1931" s="4"/>
      <c r="I1931" s="4" t="str">
        <f>IFERROR(__xludf.DUMMYFUNCTION("""COMPUTED_VALUE"""),"0x8262cd7f77c1543119956ccbefe6b179f041e779")</f>
        <v>0x8262cd7f77c1543119956ccbefe6b179f041e779</v>
      </c>
      <c r="J1931" s="18">
        <v>3.1806333096347403</v>
      </c>
      <c r="K1931" s="4">
        <v>39.75791637043425</v>
      </c>
      <c r="L1931" s="19">
        <v>3.975791637043425E19</v>
      </c>
      <c r="M1931" s="20">
        <v>3.9757916370434253E18</v>
      </c>
    </row>
    <row r="1932">
      <c r="A1932" s="6"/>
      <c r="B1932" s="6"/>
      <c r="C1932" s="4"/>
      <c r="D1932" s="4">
        <v>32.881492885688</v>
      </c>
      <c r="E1932" s="4" t="s">
        <v>3155</v>
      </c>
      <c r="F1932" s="4"/>
      <c r="G1932" s="4"/>
      <c r="H1932" s="4"/>
      <c r="I1932" s="4" t="str">
        <f>IFERROR(__xludf.DUMMYFUNCTION("""COMPUTED_VALUE"""),"0x0b84abd598e742eff7e455dd58f2fc8b7301f947")</f>
        <v>0x0b84abd598e742eff7e455dd58f2fc8b7301f947</v>
      </c>
      <c r="J1932" s="18">
        <v>48.3641275995966</v>
      </c>
      <c r="K1932" s="4">
        <v>604.5515949949574</v>
      </c>
      <c r="L1932" s="19">
        <v>6.045515949949574E20</v>
      </c>
      <c r="M1932" s="20">
        <v>6.045515949949574E19</v>
      </c>
    </row>
    <row r="1933">
      <c r="A1933" s="6"/>
      <c r="B1933" s="6"/>
      <c r="C1933" s="4"/>
      <c r="D1933" s="4">
        <v>48.3641275995966</v>
      </c>
      <c r="E1933" s="4" t="s">
        <v>3157</v>
      </c>
      <c r="F1933" s="4"/>
      <c r="G1933" s="4"/>
      <c r="H1933" s="4"/>
      <c r="I1933" s="4" t="str">
        <f>IFERROR(__xludf.DUMMYFUNCTION("""COMPUTED_VALUE"""),"0x097863cd1408eef051541d003a62891471783427")</f>
        <v>0x097863cd1408eef051541d003a62891471783427</v>
      </c>
      <c r="J1933" s="18">
        <v>234.37608780709658</v>
      </c>
      <c r="K1933" s="4">
        <v>2929.7010975887074</v>
      </c>
      <c r="L1933" s="19">
        <v>2.9297010975887076E21</v>
      </c>
      <c r="M1933" s="20">
        <v>2.9297010975887078E20</v>
      </c>
    </row>
    <row r="1934">
      <c r="A1934" s="6"/>
      <c r="B1934" s="6"/>
      <c r="C1934" s="4"/>
      <c r="D1934" s="4">
        <v>45.9573832098647</v>
      </c>
      <c r="E1934" s="4" t="s">
        <v>3158</v>
      </c>
      <c r="F1934" s="4"/>
      <c r="G1934" s="4"/>
      <c r="H1934" s="4"/>
      <c r="I1934" s="4" t="str">
        <f>IFERROR(__xludf.DUMMYFUNCTION("""COMPUTED_VALUE"""),"0x525ff9c36415397722d821c832bbb6b6905d0d7b")</f>
        <v>0x525ff9c36415397722d821c832bbb6b6905d0d7b</v>
      </c>
      <c r="J1934" s="18">
        <v>1.0282857228786901</v>
      </c>
      <c r="K1934" s="4">
        <v>12.853571535983626</v>
      </c>
      <c r="L1934" s="19">
        <v>1.2853571535983626E19</v>
      </c>
      <c r="M1934" s="20">
        <v>1.2853571535983626E18</v>
      </c>
    </row>
    <row r="1935">
      <c r="A1935" s="6"/>
      <c r="B1935" s="6"/>
      <c r="C1935" s="4"/>
      <c r="D1935" s="4">
        <v>48.3641275995966</v>
      </c>
      <c r="E1935" s="4" t="s">
        <v>3160</v>
      </c>
      <c r="F1935" s="4"/>
      <c r="G1935" s="4"/>
      <c r="H1935" s="4"/>
      <c r="I1935" s="4" t="str">
        <f>IFERROR(__xludf.DUMMYFUNCTION("""COMPUTED_VALUE"""),"0x22e13fd3116557cb9fb7901f61027dfd50da391a")</f>
        <v>0x22e13fd3116557cb9fb7901f61027dfd50da391a</v>
      </c>
      <c r="J1935" s="18">
        <v>48.3641275995966</v>
      </c>
      <c r="K1935" s="4">
        <v>604.5515949949574</v>
      </c>
      <c r="L1935" s="19">
        <v>6.045515949949574E20</v>
      </c>
      <c r="M1935" s="20">
        <v>6.045515949949574E19</v>
      </c>
    </row>
    <row r="1936">
      <c r="A1936" s="6"/>
      <c r="B1936" s="6"/>
      <c r="C1936" s="4"/>
      <c r="D1936" s="4">
        <v>19.535237508461996</v>
      </c>
      <c r="E1936" s="4" t="s">
        <v>3161</v>
      </c>
      <c r="F1936" s="4"/>
      <c r="G1936" s="4"/>
      <c r="H1936" s="4"/>
      <c r="I1936" s="4" t="str">
        <f>IFERROR(__xludf.DUMMYFUNCTION("""COMPUTED_VALUE"""),"0xd44342e4110d9323a12f62e16c9b7414737ae2ce")</f>
        <v>0xd44342e4110d9323a12f62e16c9b7414737ae2ce</v>
      </c>
      <c r="J1936" s="18">
        <v>115.4410695502445</v>
      </c>
      <c r="K1936" s="4">
        <v>1443.0133693780563</v>
      </c>
      <c r="L1936" s="19">
        <v>1.4430133693780562E21</v>
      </c>
      <c r="M1936" s="20">
        <v>1.4430133693780563E20</v>
      </c>
    </row>
    <row r="1937">
      <c r="A1937" s="6"/>
      <c r="B1937" s="6"/>
      <c r="C1937" s="4"/>
      <c r="D1937" s="4">
        <v>44.789524681864506</v>
      </c>
      <c r="E1937" s="4" t="s">
        <v>3163</v>
      </c>
      <c r="F1937" s="4"/>
      <c r="G1937" s="4"/>
      <c r="H1937" s="4"/>
      <c r="I1937" s="4" t="str">
        <f>IFERROR(__xludf.DUMMYFUNCTION("""COMPUTED_VALUE"""),"0x04218d7d31e90afc4ef9cd6e895c3c2617ab9c66")</f>
        <v>0x04218d7d31e90afc4ef9cd6e895c3c2617ab9c66</v>
      </c>
      <c r="J1937" s="18">
        <v>21.4772070363172</v>
      </c>
      <c r="K1937" s="4">
        <v>268.465087953965</v>
      </c>
      <c r="L1937" s="19">
        <v>2.68465087953965E20</v>
      </c>
      <c r="M1937" s="20">
        <v>2.68465087953965E19</v>
      </c>
    </row>
    <row r="1938">
      <c r="A1938" s="6"/>
      <c r="B1938" s="6"/>
      <c r="C1938" s="4"/>
      <c r="D1938" s="4">
        <v>40.0075382735543</v>
      </c>
      <c r="E1938" s="4" t="s">
        <v>3165</v>
      </c>
      <c r="F1938" s="4"/>
      <c r="G1938" s="4"/>
      <c r="H1938" s="4"/>
      <c r="I1938" s="4" t="str">
        <f>IFERROR(__xludf.DUMMYFUNCTION("""COMPUTED_VALUE"""),"0x49ca01a86bac382c86ce2d393ee555582a49e26b")</f>
        <v>0x49ca01a86bac382c86ce2d393ee555582a49e26b</v>
      </c>
      <c r="J1938" s="18">
        <v>35.8738254926714</v>
      </c>
      <c r="K1938" s="4">
        <v>448.4228186583925</v>
      </c>
      <c r="L1938" s="19">
        <v>4.484228186583925E20</v>
      </c>
      <c r="M1938" s="20">
        <v>4.484228186583925E19</v>
      </c>
    </row>
    <row r="1939">
      <c r="A1939" s="6"/>
      <c r="B1939" s="6"/>
      <c r="C1939" s="4"/>
      <c r="D1939" s="4">
        <v>48.3641275995966</v>
      </c>
      <c r="E1939" s="4" t="s">
        <v>3167</v>
      </c>
      <c r="F1939" s="4"/>
      <c r="G1939" s="4"/>
      <c r="H1939" s="4"/>
      <c r="I1939" s="4" t="str">
        <f>IFERROR(__xludf.DUMMYFUNCTION("""COMPUTED_VALUE"""),"0xde5385a27d01eb5c5283a9b76d0d062bcb960e11")</f>
        <v>0xde5385a27d01eb5c5283a9b76d0d062bcb960e11</v>
      </c>
      <c r="J1939" s="18">
        <v>48.3433709894479</v>
      </c>
      <c r="K1939" s="4">
        <v>604.2921373680987</v>
      </c>
      <c r="L1939" s="19">
        <v>6.042921373680987E20</v>
      </c>
      <c r="M1939" s="20">
        <v>6.042921373680987E19</v>
      </c>
    </row>
    <row r="1940">
      <c r="A1940" s="6"/>
      <c r="B1940" s="6"/>
      <c r="C1940" s="4"/>
      <c r="D1940" s="4">
        <v>5.02930554597589</v>
      </c>
      <c r="E1940" s="4" t="s">
        <v>3168</v>
      </c>
      <c r="F1940" s="4"/>
      <c r="G1940" s="4"/>
      <c r="H1940" s="4"/>
      <c r="I1940" s="4" t="str">
        <f>IFERROR(__xludf.DUMMYFUNCTION("""COMPUTED_VALUE"""),"0xe18ab171121ac4437ecf8501299b51534bc10171")</f>
        <v>0xe18ab171121ac4437ecf8501299b51534bc10171</v>
      </c>
      <c r="J1940" s="18">
        <v>15.863433852667699</v>
      </c>
      <c r="K1940" s="4">
        <v>198.29292315834624</v>
      </c>
      <c r="L1940" s="19">
        <v>1.9829292315834624E20</v>
      </c>
      <c r="M1940" s="20">
        <v>1.9829292315834626E19</v>
      </c>
    </row>
    <row r="1941">
      <c r="A1941" s="6"/>
      <c r="B1941" s="6"/>
      <c r="C1941" s="4"/>
      <c r="D1941" s="4">
        <v>0.532850813388398</v>
      </c>
      <c r="E1941" s="4" t="s">
        <v>3170</v>
      </c>
      <c r="F1941" s="4"/>
      <c r="G1941" s="4"/>
      <c r="H1941" s="4"/>
      <c r="I1941" s="4" t="str">
        <f>IFERROR(__xludf.DUMMYFUNCTION("""COMPUTED_VALUE"""),"0x04d141eaa9b527604642484a5d65b530aa787aed")</f>
        <v>0x04d141eaa9b527604642484a5d65b530aa787aed</v>
      </c>
      <c r="J1941" s="18">
        <v>2.78462224978739</v>
      </c>
      <c r="K1941" s="4">
        <v>34.80777812234238</v>
      </c>
      <c r="L1941" s="19">
        <v>3.4807778122342375E19</v>
      </c>
      <c r="M1941" s="20">
        <v>3.480777812234238E18</v>
      </c>
    </row>
    <row r="1942">
      <c r="A1942" s="6"/>
      <c r="B1942" s="6"/>
      <c r="C1942" s="4"/>
      <c r="D1942" s="4">
        <v>48.3641275995966</v>
      </c>
      <c r="E1942" s="4" t="s">
        <v>3172</v>
      </c>
      <c r="F1942" s="4"/>
      <c r="G1942" s="4"/>
      <c r="H1942" s="4"/>
      <c r="I1942" s="4" t="str">
        <f>IFERROR(__xludf.DUMMYFUNCTION("""COMPUTED_VALUE"""),"0x7961a3636efaf12094972a9ea12639dbcf825560")</f>
        <v>0x7961a3636efaf12094972a9ea12639dbcf825560</v>
      </c>
      <c r="J1942" s="18">
        <v>52.97931904993485</v>
      </c>
      <c r="K1942" s="4">
        <v>662.2414881241856</v>
      </c>
      <c r="L1942" s="19">
        <v>6.622414881241855E20</v>
      </c>
      <c r="M1942" s="20">
        <v>6.6224148812418556E19</v>
      </c>
    </row>
    <row r="1943">
      <c r="A1943" s="6"/>
      <c r="B1943" s="6"/>
      <c r="C1943" s="4"/>
      <c r="D1943" s="4">
        <v>24.00462639227</v>
      </c>
      <c r="E1943" s="4" t="s">
        <v>3173</v>
      </c>
      <c r="F1943" s="4"/>
      <c r="G1943" s="4"/>
      <c r="H1943" s="4"/>
      <c r="I1943" s="4" t="str">
        <f>IFERROR(__xludf.DUMMYFUNCTION("""COMPUTED_VALUE"""),"0x7bdf0f2beffab096ef9aba608aa0aa16220aa474")</f>
        <v>0x7bdf0f2beffab096ef9aba608aa0aa16220aa474</v>
      </c>
      <c r="J1943" s="18">
        <v>24.1820637997983</v>
      </c>
      <c r="K1943" s="4">
        <v>302.2757974974787</v>
      </c>
      <c r="L1943" s="19">
        <v>3.022757974974787E20</v>
      </c>
      <c r="M1943" s="20">
        <v>3.022757974974787E19</v>
      </c>
    </row>
    <row r="1944">
      <c r="A1944" s="6"/>
      <c r="B1944" s="6"/>
      <c r="C1944" s="4"/>
      <c r="D1944" s="4">
        <v>48.3162562711895</v>
      </c>
      <c r="E1944" s="4" t="s">
        <v>3175</v>
      </c>
      <c r="F1944" s="4"/>
      <c r="G1944" s="4"/>
      <c r="H1944" s="4"/>
      <c r="I1944" s="4" t="str">
        <f>IFERROR(__xludf.DUMMYFUNCTION("""COMPUTED_VALUE"""),"0xbbef85a81f03b39e135abacb21221385ac708727")</f>
        <v>0xbbef85a81f03b39e135abacb21221385ac708727</v>
      </c>
      <c r="J1944" s="18">
        <v>12.0602694805667</v>
      </c>
      <c r="K1944" s="4">
        <v>150.75336850708374</v>
      </c>
      <c r="L1944" s="19">
        <v>1.5075336850708372E20</v>
      </c>
      <c r="M1944" s="20">
        <v>1.5075336850708374E19</v>
      </c>
    </row>
    <row r="1945">
      <c r="A1945" s="6"/>
      <c r="B1945" s="6"/>
      <c r="C1945" s="4"/>
      <c r="D1945" s="4">
        <v>12.187760155098301</v>
      </c>
      <c r="E1945" s="4" t="s">
        <v>3177</v>
      </c>
      <c r="F1945" s="4"/>
      <c r="G1945" s="4"/>
      <c r="H1945" s="4"/>
      <c r="I1945" s="4" t="str">
        <f>IFERROR(__xludf.DUMMYFUNCTION("""COMPUTED_VALUE"""),"0x8c57d1fab10d4b78f49ef5c6abaeb76a63710f61")</f>
        <v>0x8c57d1fab10d4b78f49ef5c6abaeb76a63710f61</v>
      </c>
      <c r="J1945" s="18">
        <v>48.3641275995966</v>
      </c>
      <c r="K1945" s="4">
        <v>604.5515949949574</v>
      </c>
      <c r="L1945" s="19">
        <v>6.045515949949574E20</v>
      </c>
      <c r="M1945" s="20">
        <v>6.045515949949574E19</v>
      </c>
    </row>
    <row r="1946">
      <c r="A1946" s="6"/>
      <c r="B1946" s="6"/>
      <c r="C1946" s="4"/>
      <c r="D1946" s="4">
        <v>19.486643630363</v>
      </c>
      <c r="E1946" s="4" t="s">
        <v>3179</v>
      </c>
      <c r="F1946" s="4"/>
      <c r="G1946" s="4"/>
      <c r="H1946" s="4"/>
      <c r="I1946" s="4" t="str">
        <f>IFERROR(__xludf.DUMMYFUNCTION("""COMPUTED_VALUE"""),"0xb3a00c3ca08a1bd29341519a4f1eaedbba82ca39")</f>
        <v>0xb3a00c3ca08a1bd29341519a4f1eaedbba82ca39</v>
      </c>
      <c r="J1946" s="18">
        <v>122.77513259590951</v>
      </c>
      <c r="K1946" s="4">
        <v>1534.6891574488689</v>
      </c>
      <c r="L1946" s="19">
        <v>1.5346891574488688E21</v>
      </c>
      <c r="M1946" s="20">
        <v>1.5346891574488688E20</v>
      </c>
    </row>
    <row r="1947">
      <c r="A1947" s="6"/>
      <c r="B1947" s="6"/>
      <c r="C1947" s="4"/>
      <c r="D1947" s="4">
        <v>48.3641275995966</v>
      </c>
      <c r="E1947" s="4" t="s">
        <v>3181</v>
      </c>
      <c r="F1947" s="4"/>
      <c r="G1947" s="4"/>
      <c r="H1947" s="4"/>
      <c r="I1947" s="4" t="str">
        <f>IFERROR(__xludf.DUMMYFUNCTION("""COMPUTED_VALUE"""),"0xdcb92e1edaf07fa90464514619599de2c9494643")</f>
        <v>0xdcb92e1edaf07fa90464514619599de2c9494643</v>
      </c>
      <c r="J1947" s="18">
        <v>48.589307014303905</v>
      </c>
      <c r="K1947" s="4">
        <v>607.3663376787988</v>
      </c>
      <c r="L1947" s="19">
        <v>6.073663376787987E20</v>
      </c>
      <c r="M1947" s="20">
        <v>6.073663376787988E19</v>
      </c>
    </row>
    <row r="1948">
      <c r="A1948" s="6"/>
      <c r="B1948" s="6"/>
      <c r="C1948" s="4"/>
      <c r="D1948" s="4">
        <v>9.479369009520939</v>
      </c>
      <c r="E1948" s="4" t="s">
        <v>3182</v>
      </c>
      <c r="F1948" s="4"/>
      <c r="G1948" s="4"/>
      <c r="H1948" s="4"/>
      <c r="I1948" s="4" t="str">
        <f>IFERROR(__xludf.DUMMYFUNCTION("""COMPUTED_VALUE"""),"0x7680598270be41895cc6fdb1e7572d73de86c509")</f>
        <v>0x7680598270be41895cc6fdb1e7572d73de86c509</v>
      </c>
      <c r="J1948" s="18">
        <v>113.4683136722219</v>
      </c>
      <c r="K1948" s="4">
        <v>1418.3539209027738</v>
      </c>
      <c r="L1948" s="19">
        <v>1.4183539209027739E21</v>
      </c>
      <c r="M1948" s="20">
        <v>1.418353920902774E20</v>
      </c>
    </row>
    <row r="1949">
      <c r="A1949" s="6"/>
      <c r="B1949" s="6"/>
      <c r="C1949" s="4"/>
      <c r="D1949" s="4">
        <v>48.3641275995966</v>
      </c>
      <c r="E1949" s="4" t="s">
        <v>3183</v>
      </c>
      <c r="F1949" s="4"/>
      <c r="G1949" s="4"/>
      <c r="H1949" s="4"/>
      <c r="I1949" s="4" t="str">
        <f>IFERROR(__xludf.DUMMYFUNCTION("""COMPUTED_VALUE"""),"0xeb6a1f724564d63ac223d752c06bd850dcac95a2")</f>
        <v>0xeb6a1f724564d63ac223d752c06bd850dcac95a2</v>
      </c>
      <c r="J1949" s="18">
        <v>17.9199669238544</v>
      </c>
      <c r="K1949" s="4">
        <v>223.99958654818</v>
      </c>
      <c r="L1949" s="19">
        <v>2.2399958654818E20</v>
      </c>
      <c r="M1949" s="20">
        <v>2.2399958654818E19</v>
      </c>
    </row>
    <row r="1950">
      <c r="A1950" s="6"/>
      <c r="B1950" s="6"/>
      <c r="C1950" s="4"/>
      <c r="D1950" s="4">
        <v>19.3456510398386</v>
      </c>
      <c r="E1950" s="4" t="s">
        <v>3184</v>
      </c>
      <c r="F1950" s="4"/>
      <c r="G1950" s="4"/>
      <c r="H1950" s="4"/>
      <c r="I1950" s="4" t="str">
        <f>IFERROR(__xludf.DUMMYFUNCTION("""COMPUTED_VALUE"""),"0xdd98051c107f8d3e92d2f588d2cb748efb27fa3a")</f>
        <v>0xdd98051c107f8d3e92d2f588d2cb748efb27fa3a</v>
      </c>
      <c r="J1950" s="18">
        <v>38.6913020796773</v>
      </c>
      <c r="K1950" s="4">
        <v>483.6412759959662</v>
      </c>
      <c r="L1950" s="19">
        <v>4.836412759959662E20</v>
      </c>
      <c r="M1950" s="20">
        <v>4.836412759959663E19</v>
      </c>
    </row>
    <row r="1951">
      <c r="A1951" s="6"/>
      <c r="B1951" s="6"/>
      <c r="C1951" s="4"/>
      <c r="D1951" s="4">
        <v>15.796236591882701</v>
      </c>
      <c r="E1951" s="4" t="s">
        <v>3185</v>
      </c>
      <c r="F1951" s="4"/>
      <c r="G1951" s="4"/>
      <c r="H1951" s="4"/>
      <c r="I1951" s="4" t="str">
        <f>IFERROR(__xludf.DUMMYFUNCTION("""COMPUTED_VALUE"""),"0xf275fa20e15fea983ac8506ff0efc4ae952a4016")</f>
        <v>0xf275fa20e15fea983ac8506ff0efc4ae952a4016</v>
      </c>
      <c r="J1951" s="18">
        <v>48.3641275995966</v>
      </c>
      <c r="K1951" s="4">
        <v>604.5515949949574</v>
      </c>
      <c r="L1951" s="19">
        <v>6.045515949949574E20</v>
      </c>
      <c r="M1951" s="20">
        <v>6.045515949949574E19</v>
      </c>
    </row>
    <row r="1952">
      <c r="A1952" s="6"/>
      <c r="B1952" s="6"/>
      <c r="C1952" s="4"/>
      <c r="D1952" s="4">
        <v>48.3641275995966</v>
      </c>
      <c r="E1952" s="4" t="s">
        <v>3187</v>
      </c>
      <c r="F1952" s="4"/>
      <c r="G1952" s="4"/>
      <c r="H1952" s="4"/>
      <c r="I1952" s="4" t="str">
        <f>IFERROR(__xludf.DUMMYFUNCTION("""COMPUTED_VALUE"""),"0x9e7f237617ef3bdc3a1933440e5ee24e4380805f")</f>
        <v>0x9e7f237617ef3bdc3a1933440e5ee24e4380805f</v>
      </c>
      <c r="J1952" s="18">
        <v>46.535075196201596</v>
      </c>
      <c r="K1952" s="4">
        <v>581.68843995252</v>
      </c>
      <c r="L1952" s="19">
        <v>5.8168843995252E20</v>
      </c>
      <c r="M1952" s="20">
        <v>5.8168843995252E19</v>
      </c>
    </row>
    <row r="1953">
      <c r="A1953" s="6"/>
      <c r="B1953" s="6"/>
      <c r="C1953" s="4"/>
      <c r="D1953" s="4">
        <v>48.3641275995966</v>
      </c>
      <c r="E1953" s="4" t="s">
        <v>3188</v>
      </c>
      <c r="F1953" s="4"/>
      <c r="G1953" s="4"/>
      <c r="H1953" s="4"/>
      <c r="I1953" s="4" t="str">
        <f>IFERROR(__xludf.DUMMYFUNCTION("""COMPUTED_VALUE"""),"0xf379335c079060679f6566decb19ab4cd9e852e7")</f>
        <v>0xf379335c079060679f6566decb19ab4cd9e852e7</v>
      </c>
      <c r="J1953" s="18">
        <v>9.83129079351281</v>
      </c>
      <c r="K1953" s="4">
        <v>122.89113491891013</v>
      </c>
      <c r="L1953" s="19">
        <v>1.2289113491891013E20</v>
      </c>
      <c r="M1953" s="20">
        <v>1.2289113491891014E19</v>
      </c>
    </row>
    <row r="1954">
      <c r="A1954" s="6"/>
      <c r="B1954" s="6"/>
      <c r="C1954" s="4"/>
      <c r="D1954" s="4">
        <v>48.3641275995966</v>
      </c>
      <c r="E1954" s="4" t="s">
        <v>3189</v>
      </c>
      <c r="F1954" s="4"/>
      <c r="G1954" s="4"/>
      <c r="H1954" s="4"/>
      <c r="I1954" s="4" t="str">
        <f>IFERROR(__xludf.DUMMYFUNCTION("""COMPUTED_VALUE"""),"0x5ef46e31e4e795d32c6e7764e9d10ca9a5b0325b")</f>
        <v>0x5ef46e31e4e795d32c6e7764e9d10ca9a5b0325b</v>
      </c>
      <c r="J1954" s="18">
        <v>43.7469635993619</v>
      </c>
      <c r="K1954" s="4">
        <v>546.8370449920237</v>
      </c>
      <c r="L1954" s="19">
        <v>5.468370449920237E20</v>
      </c>
      <c r="M1954" s="20">
        <v>5.4683704499202376E19</v>
      </c>
    </row>
    <row r="1955">
      <c r="A1955" s="6"/>
      <c r="B1955" s="6"/>
      <c r="C1955" s="4"/>
      <c r="D1955" s="4">
        <v>48.3641275995966</v>
      </c>
      <c r="E1955" s="4" t="s">
        <v>3190</v>
      </c>
      <c r="F1955" s="4"/>
      <c r="G1955" s="4"/>
      <c r="H1955" s="4"/>
      <c r="I1955" s="4" t="str">
        <f>IFERROR(__xludf.DUMMYFUNCTION("""COMPUTED_VALUE"""),"0x7ab8ce296f460ee6565e37cf46b4598161b4a539")</f>
        <v>0x7ab8ce296f460ee6565e37cf46b4598161b4a539</v>
      </c>
      <c r="J1955" s="18">
        <v>42.605609776109794</v>
      </c>
      <c r="K1955" s="4">
        <v>532.5701222013724</v>
      </c>
      <c r="L1955" s="19">
        <v>5.325701222013724E20</v>
      </c>
      <c r="M1955" s="20">
        <v>5.325701222013724E19</v>
      </c>
    </row>
    <row r="1956">
      <c r="A1956" s="6"/>
      <c r="B1956" s="6"/>
      <c r="C1956" s="4"/>
      <c r="D1956" s="4">
        <v>9.67901730388729</v>
      </c>
      <c r="E1956" s="4" t="s">
        <v>3191</v>
      </c>
      <c r="F1956" s="4"/>
      <c r="G1956" s="4"/>
      <c r="H1956" s="4"/>
      <c r="I1956" s="4" t="str">
        <f>IFERROR(__xludf.DUMMYFUNCTION("""COMPUTED_VALUE"""),"0xab7c9a27827ee6f1c6c901b61674fa19364a8207")</f>
        <v>0xab7c9a27827ee6f1c6c901b61674fa19364a8207</v>
      </c>
      <c r="J1956" s="18">
        <v>111.4061826023662</v>
      </c>
      <c r="K1956" s="4">
        <v>1392.5772825295776</v>
      </c>
      <c r="L1956" s="19">
        <v>1.3925772825295777E21</v>
      </c>
      <c r="M1956" s="20">
        <v>1.3925772825295777E20</v>
      </c>
    </row>
    <row r="1957">
      <c r="A1957" s="6"/>
      <c r="B1957" s="6"/>
      <c r="C1957" s="4"/>
      <c r="D1957" s="4">
        <v>9.517459236080429</v>
      </c>
      <c r="E1957" s="4" t="s">
        <v>3193</v>
      </c>
      <c r="F1957" s="4"/>
      <c r="G1957" s="4"/>
      <c r="H1957" s="4"/>
      <c r="I1957" s="4" t="str">
        <f>IFERROR(__xludf.DUMMYFUNCTION("""COMPUTED_VALUE"""),"0x86ed9af7c9560d508beb79056a542f2a2ebc91e1")</f>
        <v>0x86ed9af7c9560d508beb79056a542f2a2ebc91e1</v>
      </c>
      <c r="J1957" s="18">
        <v>9.94325971394391</v>
      </c>
      <c r="K1957" s="4">
        <v>124.29074642429887</v>
      </c>
      <c r="L1957" s="19">
        <v>1.2429074642429888E20</v>
      </c>
      <c r="M1957" s="20">
        <v>1.2429074642429889E19</v>
      </c>
    </row>
    <row r="1958">
      <c r="A1958" s="6"/>
      <c r="B1958" s="6"/>
      <c r="C1958" s="4"/>
      <c r="D1958" s="4">
        <v>29.018476559758</v>
      </c>
      <c r="E1958" s="4" t="s">
        <v>3195</v>
      </c>
      <c r="F1958" s="4"/>
      <c r="G1958" s="4"/>
      <c r="H1958" s="4"/>
      <c r="I1958" s="4" t="str">
        <f>IFERROR(__xludf.DUMMYFUNCTION("""COMPUTED_VALUE"""),"0x2d521494ea31f6cd4910a2716f9c1bc7f5323e5d")</f>
        <v>0x2d521494ea31f6cd4910a2716f9c1bc7f5323e5d</v>
      </c>
      <c r="J1958" s="18">
        <v>48.3641275995966</v>
      </c>
      <c r="K1958" s="4">
        <v>604.5515949949574</v>
      </c>
      <c r="L1958" s="19">
        <v>6.045515949949574E20</v>
      </c>
      <c r="M1958" s="20">
        <v>6.045515949949574E19</v>
      </c>
    </row>
    <row r="1959">
      <c r="A1959" s="6"/>
      <c r="B1959" s="6"/>
      <c r="C1959" s="4"/>
      <c r="D1959" s="4">
        <v>42.7912367097713</v>
      </c>
      <c r="E1959" s="4" t="s">
        <v>3196</v>
      </c>
      <c r="F1959" s="4"/>
      <c r="G1959" s="4"/>
      <c r="H1959" s="4"/>
      <c r="I1959" s="4" t="str">
        <f>IFERROR(__xludf.DUMMYFUNCTION("""COMPUTED_VALUE"""),"0xc4926a299d83d89c145d06fcdac30be0f5076915")</f>
        <v>0xc4926a299d83d89c145d06fcdac30be0f5076915</v>
      </c>
      <c r="J1959" s="18">
        <v>48.3641275995966</v>
      </c>
      <c r="K1959" s="4">
        <v>604.5515949949574</v>
      </c>
      <c r="L1959" s="19">
        <v>6.045515949949574E20</v>
      </c>
      <c r="M1959" s="20">
        <v>6.045515949949574E19</v>
      </c>
    </row>
    <row r="1960">
      <c r="A1960" s="6"/>
      <c r="B1960" s="6"/>
      <c r="C1960" s="4"/>
      <c r="D1960" s="4">
        <v>9.86628203031772</v>
      </c>
      <c r="E1960" s="4" t="s">
        <v>3198</v>
      </c>
      <c r="F1960" s="4"/>
      <c r="G1960" s="4"/>
      <c r="H1960" s="4"/>
      <c r="I1960" s="4" t="str">
        <f>IFERROR(__xludf.DUMMYFUNCTION("""COMPUTED_VALUE"""),"0xd8df63b2031e7fc472a9f816ba4274b467abb5e8")</f>
        <v>0xd8df63b2031e7fc472a9f816ba4274b467abb5e8</v>
      </c>
      <c r="J1960" s="18">
        <v>48.3641275995966</v>
      </c>
      <c r="K1960" s="4">
        <v>604.5515949949574</v>
      </c>
      <c r="L1960" s="19">
        <v>6.045515949949574E20</v>
      </c>
      <c r="M1960" s="20">
        <v>6.045515949949574E19</v>
      </c>
    </row>
    <row r="1961">
      <c r="A1961" s="6"/>
      <c r="B1961" s="6"/>
      <c r="C1961" s="4"/>
      <c r="D1961" s="4">
        <v>48.3641275995966</v>
      </c>
      <c r="E1961" s="4" t="s">
        <v>1517</v>
      </c>
      <c r="F1961" s="4"/>
      <c r="G1961" s="4"/>
      <c r="H1961" s="4"/>
      <c r="I1961" s="4" t="str">
        <f>IFERROR(__xludf.DUMMYFUNCTION("""COMPUTED_VALUE"""),"0x7f9e9c6abca7f50f5d87477d67741d67e9798e4e")</f>
        <v>0x7f9e9c6abca7f50f5d87477d67741d67e9798e4e</v>
      </c>
      <c r="J1961" s="18">
        <v>0.627044704141208</v>
      </c>
      <c r="K1961" s="4">
        <v>7.838058801765101</v>
      </c>
      <c r="L1961" s="19">
        <v>7.838058801765101E18</v>
      </c>
      <c r="M1961" s="20">
        <v>7.838058801765101E17</v>
      </c>
    </row>
    <row r="1962">
      <c r="A1962" s="6"/>
      <c r="B1962" s="6"/>
      <c r="C1962" s="4"/>
      <c r="D1962" s="4">
        <v>48.3641275995966</v>
      </c>
      <c r="E1962" s="4" t="s">
        <v>3199</v>
      </c>
      <c r="F1962" s="4"/>
      <c r="G1962" s="4"/>
      <c r="H1962" s="4"/>
      <c r="I1962" s="4" t="str">
        <f>IFERROR(__xludf.DUMMYFUNCTION("""COMPUTED_VALUE"""),"0xba60283db86f9fb7f16c03fd7a79355708739530")</f>
        <v>0xba60283db86f9fb7f16c03fd7a79355708739530</v>
      </c>
      <c r="J1962" s="18">
        <v>19.3456510398386</v>
      </c>
      <c r="K1962" s="4">
        <v>241.8206379979825</v>
      </c>
      <c r="L1962" s="19">
        <v>2.4182063799798248E20</v>
      </c>
      <c r="M1962" s="20">
        <v>2.418206379979825E19</v>
      </c>
    </row>
    <row r="1963">
      <c r="A1963" s="6"/>
      <c r="B1963" s="6"/>
      <c r="C1963" s="4"/>
      <c r="D1963" s="4">
        <v>9.672825519919328</v>
      </c>
      <c r="E1963" s="4" t="s">
        <v>3200</v>
      </c>
      <c r="F1963" s="4"/>
      <c r="G1963" s="4"/>
      <c r="H1963" s="4"/>
      <c r="I1963" s="4" t="str">
        <f>IFERROR(__xludf.DUMMYFUNCTION("""COMPUTED_VALUE"""),"0x10690bbe81b57c14f03567d2907216b74e2b01fd")</f>
        <v>0x10690bbe81b57c14f03567d2907216b74e2b01fd</v>
      </c>
      <c r="J1963" s="18">
        <v>36.167416922451196</v>
      </c>
      <c r="K1963" s="4">
        <v>452.0927115306399</v>
      </c>
      <c r="L1963" s="19">
        <v>4.520927115306399E20</v>
      </c>
      <c r="M1963" s="20">
        <v>4.520927115306399E19</v>
      </c>
    </row>
    <row r="1964">
      <c r="A1964" s="6"/>
      <c r="B1964" s="6"/>
      <c r="C1964" s="4"/>
      <c r="D1964" s="4">
        <v>8.50680846420656</v>
      </c>
      <c r="E1964" s="4" t="s">
        <v>3201</v>
      </c>
      <c r="F1964" s="4"/>
      <c r="G1964" s="4"/>
      <c r="H1964" s="4"/>
      <c r="I1964" s="4" t="str">
        <f>IFERROR(__xludf.DUMMYFUNCTION("""COMPUTED_VALUE"""),"0xa16bdf485771e2aba50b0ceea6320bb0348c09ab")</f>
        <v>0xa16bdf485771e2aba50b0ceea6320bb0348c09ab</v>
      </c>
      <c r="J1964" s="18">
        <v>9.879429467282101</v>
      </c>
      <c r="K1964" s="4">
        <v>123.49286834102627</v>
      </c>
      <c r="L1964" s="19">
        <v>1.2349286834102626E20</v>
      </c>
      <c r="M1964" s="20">
        <v>1.2349286834102626E19</v>
      </c>
    </row>
    <row r="1965">
      <c r="A1965" s="6"/>
      <c r="B1965" s="6"/>
      <c r="C1965" s="4"/>
      <c r="D1965" s="4">
        <v>48.3641275995966</v>
      </c>
      <c r="E1965" s="4" t="s">
        <v>3203</v>
      </c>
      <c r="F1965" s="4"/>
      <c r="G1965" s="4"/>
      <c r="H1965" s="4"/>
      <c r="I1965" s="4" t="str">
        <f>IFERROR(__xludf.DUMMYFUNCTION("""COMPUTED_VALUE"""),"0x6fcd1d27742bf5b7ea07224e2afecde1dea21b5f")</f>
        <v>0x6fcd1d27742bf5b7ea07224e2afecde1dea21b5f</v>
      </c>
      <c r="J1965" s="18">
        <v>48.3641275995966</v>
      </c>
      <c r="K1965" s="4">
        <v>604.5515949949574</v>
      </c>
      <c r="L1965" s="19">
        <v>6.045515949949574E20</v>
      </c>
      <c r="M1965" s="20">
        <v>6.045515949949574E19</v>
      </c>
    </row>
    <row r="1966">
      <c r="A1966" s="6"/>
      <c r="B1966" s="6"/>
      <c r="C1966" s="4"/>
      <c r="D1966" s="4">
        <v>17.4110859358548</v>
      </c>
      <c r="E1966" s="4" t="s">
        <v>3204</v>
      </c>
      <c r="F1966" s="4"/>
      <c r="G1966" s="4"/>
      <c r="H1966" s="4"/>
      <c r="I1966" s="4" t="str">
        <f>IFERROR(__xludf.DUMMYFUNCTION("""COMPUTED_VALUE"""),"0x0cd06432a9734ff306cd3baaed24952b93c00190")</f>
        <v>0x0cd06432a9734ff306cd3baaed24952b93c00190</v>
      </c>
      <c r="J1966" s="18">
        <v>48.3641275995966</v>
      </c>
      <c r="K1966" s="4">
        <v>604.5515949949574</v>
      </c>
      <c r="L1966" s="19">
        <v>6.045515949949574E20</v>
      </c>
      <c r="M1966" s="20">
        <v>6.045515949949574E19</v>
      </c>
    </row>
    <row r="1967">
      <c r="A1967" s="6"/>
      <c r="B1967" s="6"/>
      <c r="C1967" s="4"/>
      <c r="D1967" s="4">
        <v>2.16453270614861</v>
      </c>
      <c r="E1967" s="4" t="s">
        <v>3206</v>
      </c>
      <c r="F1967" s="4"/>
      <c r="G1967" s="4"/>
      <c r="H1967" s="4"/>
      <c r="I1967" s="4" t="str">
        <f>IFERROR(__xludf.DUMMYFUNCTION("""COMPUTED_VALUE"""),"0x8fb30b3c0bf0355056238d071b74c20d399526d6")</f>
        <v>0x8fb30b3c0bf0355056238d071b74c20d399526d6</v>
      </c>
      <c r="J1967" s="18">
        <v>0.7339209132363179</v>
      </c>
      <c r="K1967" s="4">
        <v>9.174011415453974</v>
      </c>
      <c r="L1967" s="19">
        <v>9.174011415453974E18</v>
      </c>
      <c r="M1967" s="20">
        <v>9.174011415453974E17</v>
      </c>
    </row>
    <row r="1968">
      <c r="A1968" s="6"/>
      <c r="B1968" s="6"/>
      <c r="C1968" s="4"/>
      <c r="D1968" s="4">
        <v>48.3641275995966</v>
      </c>
      <c r="E1968" s="4" t="s">
        <v>3208</v>
      </c>
      <c r="F1968" s="4"/>
      <c r="G1968" s="4"/>
      <c r="H1968" s="4"/>
      <c r="I1968" s="4" t="str">
        <f>IFERROR(__xludf.DUMMYFUNCTION("""COMPUTED_VALUE"""),"0x08943873222ce63ec48f8907757928dcb06af388")</f>
        <v>0x08943873222ce63ec48f8907757928dcb06af388</v>
      </c>
      <c r="J1968" s="18">
        <v>48.3641275995966</v>
      </c>
      <c r="K1968" s="4">
        <v>604.5515949949574</v>
      </c>
      <c r="L1968" s="19">
        <v>6.045515949949574E20</v>
      </c>
      <c r="M1968" s="20">
        <v>6.045515949949574E19</v>
      </c>
    </row>
    <row r="1969">
      <c r="A1969" s="6"/>
      <c r="B1969" s="6"/>
      <c r="C1969" s="4"/>
      <c r="D1969" s="4">
        <v>48.3641275995966</v>
      </c>
      <c r="E1969" s="4" t="s">
        <v>3209</v>
      </c>
      <c r="F1969" s="4"/>
      <c r="G1969" s="4"/>
      <c r="H1969" s="4"/>
      <c r="I1969" s="4" t="str">
        <f>IFERROR(__xludf.DUMMYFUNCTION("""COMPUTED_VALUE"""),"0x89a14c59ed896734b3da0de4eb9c826f727ba641")</f>
        <v>0x89a14c59ed896734b3da0de4eb9c826f727ba641</v>
      </c>
      <c r="J1969" s="18">
        <v>105.2773553961953</v>
      </c>
      <c r="K1969" s="4">
        <v>1315.9669424524413</v>
      </c>
      <c r="L1969" s="19">
        <v>1.3159669424524414E21</v>
      </c>
      <c r="M1969" s="20">
        <v>1.3159669424524414E20</v>
      </c>
    </row>
    <row r="1970">
      <c r="A1970" s="6"/>
      <c r="B1970" s="6"/>
      <c r="C1970" s="4"/>
      <c r="D1970" s="4">
        <v>33.6427899234685</v>
      </c>
      <c r="E1970" s="4" t="s">
        <v>450</v>
      </c>
      <c r="F1970" s="4"/>
      <c r="G1970" s="4"/>
      <c r="H1970" s="4"/>
      <c r="I1970" s="4" t="str">
        <f>IFERROR(__xludf.DUMMYFUNCTION("""COMPUTED_VALUE"""),"0x942912e4586f263164a0a4ddf618079bb78155f6")</f>
        <v>0x942912e4586f263164a0a4ddf618079bb78155f6</v>
      </c>
      <c r="J1970" s="18">
        <v>9.86628203031772</v>
      </c>
      <c r="K1970" s="4">
        <v>123.32852537897149</v>
      </c>
      <c r="L1970" s="19">
        <v>1.2332852537897148E20</v>
      </c>
      <c r="M1970" s="20">
        <v>1.2332852537897148E19</v>
      </c>
    </row>
    <row r="1971">
      <c r="A1971" s="6"/>
      <c r="B1971" s="6"/>
      <c r="C1971" s="4"/>
      <c r="D1971" s="4">
        <v>48.3641275995966</v>
      </c>
      <c r="E1971" s="4" t="s">
        <v>3211</v>
      </c>
      <c r="F1971" s="4"/>
      <c r="G1971" s="4"/>
      <c r="H1971" s="4"/>
      <c r="I1971" s="4" t="str">
        <f>IFERROR(__xludf.DUMMYFUNCTION("""COMPUTED_VALUE"""),"0xe16d2fea0ee8c58ae79fab529c1e774293f8d6d7")</f>
        <v>0xe16d2fea0ee8c58ae79fab529c1e774293f8d6d7</v>
      </c>
      <c r="J1971" s="18">
        <v>48.3641275995966</v>
      </c>
      <c r="K1971" s="4">
        <v>604.5515949949574</v>
      </c>
      <c r="L1971" s="19">
        <v>6.045515949949574E20</v>
      </c>
      <c r="M1971" s="20">
        <v>6.045515949949574E19</v>
      </c>
    </row>
    <row r="1972">
      <c r="A1972" s="6"/>
      <c r="B1972" s="6"/>
      <c r="C1972" s="4"/>
      <c r="D1972" s="4">
        <v>48.3641275995966</v>
      </c>
      <c r="E1972" s="4" t="s">
        <v>3212</v>
      </c>
      <c r="F1972" s="4"/>
      <c r="G1972" s="4"/>
      <c r="H1972" s="4"/>
      <c r="I1972" s="4" t="str">
        <f>IFERROR(__xludf.DUMMYFUNCTION("""COMPUTED_VALUE"""),"0x859e295beb2de472b5f3818ead44f0a1e4a7e285")</f>
        <v>0x859e295beb2de472b5f3818ead44f0a1e4a7e285</v>
      </c>
      <c r="J1972" s="18">
        <v>94.8671176514718</v>
      </c>
      <c r="K1972" s="4">
        <v>1185.8389706433975</v>
      </c>
      <c r="L1972" s="19">
        <v>1.1858389706433975E21</v>
      </c>
      <c r="M1972" s="20">
        <v>1.1858389706433975E20</v>
      </c>
    </row>
    <row r="1973">
      <c r="A1973" s="6"/>
      <c r="B1973" s="6"/>
      <c r="C1973" s="4"/>
      <c r="D1973" s="4">
        <v>9.672825519919328</v>
      </c>
      <c r="E1973" s="4" t="s">
        <v>3213</v>
      </c>
      <c r="F1973" s="4"/>
      <c r="G1973" s="4"/>
      <c r="H1973" s="4"/>
      <c r="I1973" s="4" t="str">
        <f>IFERROR(__xludf.DUMMYFUNCTION("""COMPUTED_VALUE"""),"0xcfd60e5fdbe487bb74b235fc01ef7ee747ae3427")</f>
        <v>0xcfd60e5fdbe487bb74b235fc01ef7ee747ae3427</v>
      </c>
      <c r="J1973" s="18">
        <v>65.6255875054164</v>
      </c>
      <c r="K1973" s="4">
        <v>820.3198438177051</v>
      </c>
      <c r="L1973" s="19">
        <v>8.20319843817705E20</v>
      </c>
      <c r="M1973" s="20">
        <v>8.203198438177051E19</v>
      </c>
    </row>
    <row r="1974">
      <c r="A1974" s="6"/>
      <c r="B1974" s="6"/>
      <c r="C1974" s="4"/>
      <c r="D1974" s="4">
        <v>1.8528117993447601</v>
      </c>
      <c r="E1974" s="4" t="s">
        <v>3214</v>
      </c>
      <c r="F1974" s="4"/>
      <c r="G1974" s="4"/>
      <c r="H1974" s="4"/>
      <c r="I1974" s="4" t="str">
        <f>IFERROR(__xludf.DUMMYFUNCTION("""COMPUTED_VALUE"""),"0xe14fc63f865fb71f3df37a4815e6c587e83628b2")</f>
        <v>0xe14fc63f865fb71f3df37a4815e6c587e83628b2</v>
      </c>
      <c r="J1974" s="18">
        <v>9.672825519919328</v>
      </c>
      <c r="K1974" s="4">
        <v>120.9103189989916</v>
      </c>
      <c r="L1974" s="19">
        <v>1.209103189989916E20</v>
      </c>
      <c r="M1974" s="20">
        <v>1.209103189989916E19</v>
      </c>
    </row>
    <row r="1975">
      <c r="A1975" s="6"/>
      <c r="B1975" s="6"/>
      <c r="C1975" s="4"/>
      <c r="D1975" s="4">
        <v>18.0422119340447</v>
      </c>
      <c r="E1975" s="4" t="s">
        <v>3216</v>
      </c>
      <c r="F1975" s="4"/>
      <c r="G1975" s="4"/>
      <c r="H1975" s="4"/>
      <c r="I1975" s="4" t="str">
        <f>IFERROR(__xludf.DUMMYFUNCTION("""COMPUTED_VALUE"""),"0xb8703780b5c65762a149782079b07c39a5f829c1")</f>
        <v>0xb8703780b5c65762a149782079b07c39a5f829c1</v>
      </c>
      <c r="J1975" s="18">
        <v>3.08102029224019</v>
      </c>
      <c r="K1975" s="4">
        <v>38.51275365300237</v>
      </c>
      <c r="L1975" s="19">
        <v>3.851275365300237E19</v>
      </c>
      <c r="M1975" s="20">
        <v>3.8512753653002373E18</v>
      </c>
    </row>
    <row r="1976">
      <c r="A1976" s="6"/>
      <c r="B1976" s="6"/>
      <c r="C1976" s="4"/>
      <c r="D1976" s="4">
        <v>16.8670189059985</v>
      </c>
      <c r="E1976" s="4" t="s">
        <v>3218</v>
      </c>
      <c r="F1976" s="4"/>
      <c r="G1976" s="4"/>
      <c r="H1976" s="4"/>
      <c r="I1976" s="4" t="str">
        <f>IFERROR(__xludf.DUMMYFUNCTION("""COMPUTED_VALUE"""),"0xf05c6c6b674acae769231356760fb00384304182")</f>
        <v>0xf05c6c6b674acae769231356760fb00384304182</v>
      </c>
      <c r="J1976" s="18">
        <v>8.62179514828122</v>
      </c>
      <c r="K1976" s="4">
        <v>107.77243935351525</v>
      </c>
      <c r="L1976" s="19">
        <v>1.0777243935351525E20</v>
      </c>
      <c r="M1976" s="20">
        <v>1.0777243935351525E19</v>
      </c>
    </row>
    <row r="1977">
      <c r="A1977" s="6"/>
      <c r="B1977" s="6"/>
      <c r="C1977" s="4"/>
      <c r="D1977" s="4">
        <v>12.6387126976192</v>
      </c>
      <c r="E1977" s="4" t="s">
        <v>3220</v>
      </c>
      <c r="F1977" s="4"/>
      <c r="G1977" s="4"/>
      <c r="H1977" s="4"/>
      <c r="I1977" s="4" t="str">
        <f>IFERROR(__xludf.DUMMYFUNCTION("""COMPUTED_VALUE"""),"0x40bc3cc32a2f9edebbc01a60f1cda1a9396e78b3")</f>
        <v>0x40bc3cc32a2f9edebbc01a60f1cda1a9396e78b3</v>
      </c>
      <c r="J1977" s="18">
        <v>8.99128838224059</v>
      </c>
      <c r="K1977" s="4">
        <v>112.39110477800737</v>
      </c>
      <c r="L1977" s="19">
        <v>1.1239110477800738E20</v>
      </c>
      <c r="M1977" s="20">
        <v>1.1239110477800739E19</v>
      </c>
    </row>
    <row r="1978">
      <c r="A1978" s="6"/>
      <c r="B1978" s="6"/>
      <c r="C1978" s="4"/>
      <c r="D1978" s="4">
        <v>0.802136357896805</v>
      </c>
      <c r="E1978" s="4" t="s">
        <v>3222</v>
      </c>
      <c r="F1978" s="4"/>
      <c r="G1978" s="4"/>
      <c r="H1978" s="4"/>
      <c r="I1978" s="4" t="str">
        <f>IFERROR(__xludf.DUMMYFUNCTION("""COMPUTED_VALUE"""),"0x3f2304faa8a10a0e7576a8d5915a5b3e72ca3042")</f>
        <v>0x3f2304faa8a10a0e7576a8d5915a5b3e72ca3042</v>
      </c>
      <c r="J1978" s="18">
        <v>19.3456510398386</v>
      </c>
      <c r="K1978" s="4">
        <v>241.8206379979825</v>
      </c>
      <c r="L1978" s="19">
        <v>2.4182063799798248E20</v>
      </c>
      <c r="M1978" s="20">
        <v>2.418206379979825E19</v>
      </c>
    </row>
    <row r="1979">
      <c r="A1979" s="6"/>
      <c r="B1979" s="6"/>
      <c r="C1979" s="4"/>
      <c r="D1979" s="4">
        <v>9.609930931742161</v>
      </c>
      <c r="E1979" s="4" t="s">
        <v>3224</v>
      </c>
      <c r="F1979" s="4"/>
      <c r="G1979" s="4"/>
      <c r="H1979" s="4"/>
      <c r="I1979" s="4" t="str">
        <f>IFERROR(__xludf.DUMMYFUNCTION("""COMPUTED_VALUE"""),"0x57740d139ba16613a7ede961038e15697b54100a")</f>
        <v>0x57740d139ba16613a7ede961038e15697b54100a</v>
      </c>
      <c r="J1979" s="18">
        <v>44.12439164931</v>
      </c>
      <c r="K1979" s="4">
        <v>551.554895616375</v>
      </c>
      <c r="L1979" s="19">
        <v>5.51554895616375E20</v>
      </c>
      <c r="M1979" s="20">
        <v>5.51554895616375E19</v>
      </c>
    </row>
    <row r="1980">
      <c r="A1980" s="6"/>
      <c r="B1980" s="6"/>
      <c r="C1980" s="4"/>
      <c r="D1980" s="4">
        <v>9.672825519919328</v>
      </c>
      <c r="E1980" s="4" t="s">
        <v>3226</v>
      </c>
      <c r="F1980" s="4"/>
      <c r="G1980" s="4"/>
      <c r="H1980" s="4"/>
      <c r="I1980" s="4" t="str">
        <f>IFERROR(__xludf.DUMMYFUNCTION("""COMPUTED_VALUE"""),"0x6b0010e8def48b2ee644404efc43b8e28cada493")</f>
        <v>0x6b0010e8def48b2ee644404efc43b8e28cada493</v>
      </c>
      <c r="J1980" s="18">
        <v>48.3641275995966</v>
      </c>
      <c r="K1980" s="4">
        <v>604.5515949949574</v>
      </c>
      <c r="L1980" s="19">
        <v>6.045515949949574E20</v>
      </c>
      <c r="M1980" s="20">
        <v>6.045515949949574E19</v>
      </c>
    </row>
    <row r="1981">
      <c r="A1981" s="6"/>
      <c r="B1981" s="6"/>
      <c r="C1981" s="4"/>
      <c r="D1981" s="4">
        <v>7.04563922450052</v>
      </c>
      <c r="E1981" s="4" t="s">
        <v>1535</v>
      </c>
      <c r="F1981" s="4"/>
      <c r="G1981" s="4"/>
      <c r="H1981" s="4"/>
      <c r="I1981" s="4" t="str">
        <f>IFERROR(__xludf.DUMMYFUNCTION("""COMPUTED_VALUE"""),"0x78a6340a08deb85581648762281d3d80fb71c5f0")</f>
        <v>0x78a6340a08deb85581648762281d3d80fb71c5f0</v>
      </c>
      <c r="J1981" s="18">
        <v>30.304782931489548</v>
      </c>
      <c r="K1981" s="4">
        <v>378.80978664361936</v>
      </c>
      <c r="L1981" s="19">
        <v>3.788097866436194E20</v>
      </c>
      <c r="M1981" s="20">
        <v>3.788097866436194E19</v>
      </c>
    </row>
    <row r="1982">
      <c r="A1982" s="6"/>
      <c r="B1982" s="6"/>
      <c r="C1982" s="4"/>
      <c r="D1982" s="4">
        <v>48.3641275995966</v>
      </c>
      <c r="E1982" s="4" t="s">
        <v>3228</v>
      </c>
      <c r="F1982" s="4"/>
      <c r="G1982" s="4"/>
      <c r="H1982" s="4"/>
      <c r="I1982" s="4" t="str">
        <f>IFERROR(__xludf.DUMMYFUNCTION("""COMPUTED_VALUE"""),"0xd4222030e266f21df6e6b28f214299a038a0b6f2")</f>
        <v>0xd4222030e266f21df6e6b28f214299a038a0b6f2</v>
      </c>
      <c r="J1982" s="18">
        <v>31.4579130889498</v>
      </c>
      <c r="K1982" s="4">
        <v>393.2239136118725</v>
      </c>
      <c r="L1982" s="19">
        <v>3.932239136118725E20</v>
      </c>
      <c r="M1982" s="20">
        <v>3.932239136118725E19</v>
      </c>
    </row>
    <row r="1983">
      <c r="A1983" s="6"/>
      <c r="B1983" s="6"/>
      <c r="C1983" s="4"/>
      <c r="D1983" s="4">
        <v>48.3641275995966</v>
      </c>
      <c r="E1983" s="4" t="s">
        <v>3229</v>
      </c>
      <c r="F1983" s="4"/>
      <c r="G1983" s="4"/>
      <c r="H1983" s="4"/>
      <c r="I1983" s="4" t="str">
        <f>IFERROR(__xludf.DUMMYFUNCTION("""COMPUTED_VALUE"""),"0x159e46306df9113a6f9840080fd19ed34d9275c0")</f>
        <v>0x159e46306df9113a6f9840080fd19ed34d9275c0</v>
      </c>
      <c r="J1983" s="18">
        <v>8.11185556303454</v>
      </c>
      <c r="K1983" s="4">
        <v>101.39819453793174</v>
      </c>
      <c r="L1983" s="19">
        <v>1.0139819453793175E20</v>
      </c>
      <c r="M1983" s="20">
        <v>1.0139819453793176E19</v>
      </c>
    </row>
    <row r="1984">
      <c r="A1984" s="6"/>
      <c r="B1984" s="6"/>
      <c r="C1984" s="4"/>
      <c r="D1984" s="4">
        <v>48.3641275995966</v>
      </c>
      <c r="E1984" s="4" t="s">
        <v>3230</v>
      </c>
      <c r="F1984" s="4"/>
      <c r="G1984" s="4"/>
      <c r="H1984" s="4"/>
      <c r="I1984" s="4" t="str">
        <f>IFERROR(__xludf.DUMMYFUNCTION("""COMPUTED_VALUE"""),"0xeb262219b0cd8cf3bca6bd1bc6e1f35d0a66b978")</f>
        <v>0xeb262219b0cd8cf3bca6bd1bc6e1f35d0a66b978</v>
      </c>
      <c r="J1984" s="18">
        <v>7.03167011118989</v>
      </c>
      <c r="K1984" s="4">
        <v>87.89587638987362</v>
      </c>
      <c r="L1984" s="19">
        <v>8.789587638987361E19</v>
      </c>
      <c r="M1984" s="20">
        <v>8.789587638987362E18</v>
      </c>
    </row>
    <row r="1985">
      <c r="A1985" s="6"/>
      <c r="B1985" s="6"/>
      <c r="C1985" s="4"/>
      <c r="D1985" s="4">
        <v>13.8265588729588</v>
      </c>
      <c r="E1985" s="4" t="s">
        <v>3231</v>
      </c>
      <c r="F1985" s="4"/>
      <c r="G1985" s="4"/>
      <c r="H1985" s="4"/>
      <c r="I1985" s="4" t="str">
        <f>IFERROR(__xludf.DUMMYFUNCTION("""COMPUTED_VALUE"""),"0x5708fac57ce9dc3eb2b092acf115121e4589920e")</f>
        <v>0x5708fac57ce9dc3eb2b092acf115121e4589920e</v>
      </c>
      <c r="J1985" s="18">
        <v>113.9941422311162</v>
      </c>
      <c r="K1985" s="4">
        <v>1424.9267778889525</v>
      </c>
      <c r="L1985" s="19">
        <v>1.4249267778889525E21</v>
      </c>
      <c r="M1985" s="20">
        <v>1.4249267778889526E20</v>
      </c>
    </row>
    <row r="1986">
      <c r="A1986" s="6"/>
      <c r="B1986" s="6"/>
      <c r="C1986" s="4"/>
      <c r="D1986" s="4">
        <v>48.3641275995966</v>
      </c>
      <c r="E1986" s="4" t="s">
        <v>3233</v>
      </c>
      <c r="F1986" s="4"/>
      <c r="G1986" s="4"/>
      <c r="H1986" s="4"/>
      <c r="I1986" s="4" t="str">
        <f>IFERROR(__xludf.DUMMYFUNCTION("""COMPUTED_VALUE"""),"0x96e441f727474d5624cf0f92f4d475cb9060acd9")</f>
        <v>0x96e441f727474d5624cf0f92f4d475cb9060acd9</v>
      </c>
      <c r="J1986" s="18">
        <v>10.9269851775935</v>
      </c>
      <c r="K1986" s="4">
        <v>136.58731471991874</v>
      </c>
      <c r="L1986" s="19">
        <v>1.3658731471991874E20</v>
      </c>
      <c r="M1986" s="20">
        <v>1.3658731471991874E19</v>
      </c>
    </row>
    <row r="1987">
      <c r="A1987" s="6"/>
      <c r="B1987" s="6"/>
      <c r="C1987" s="4"/>
      <c r="D1987" s="4">
        <v>15.2563368360326</v>
      </c>
      <c r="E1987" s="4" t="s">
        <v>3234</v>
      </c>
      <c r="F1987" s="4"/>
      <c r="G1987" s="4"/>
      <c r="H1987" s="4"/>
      <c r="I1987" s="4" t="str">
        <f>IFERROR(__xludf.DUMMYFUNCTION("""COMPUTED_VALUE"""),"0x4d4b3960a8521975b1fa6853741e7f086499cc61")</f>
        <v>0x4d4b3960a8521975b1fa6853741e7f086499cc61</v>
      </c>
      <c r="J1987" s="18">
        <v>47.2429331728129</v>
      </c>
      <c r="K1987" s="4">
        <v>590.5366646601613</v>
      </c>
      <c r="L1987" s="19">
        <v>5.905366646601612E20</v>
      </c>
      <c r="M1987" s="20">
        <v>5.9053666466016125E19</v>
      </c>
    </row>
    <row r="1988">
      <c r="A1988" s="6"/>
      <c r="B1988" s="6"/>
      <c r="C1988" s="4"/>
      <c r="D1988" s="4">
        <v>9.672825519919328</v>
      </c>
      <c r="E1988" s="4" t="s">
        <v>159</v>
      </c>
      <c r="F1988" s="4"/>
      <c r="G1988" s="4"/>
      <c r="H1988" s="4"/>
      <c r="I1988" s="4" t="str">
        <f>IFERROR(__xludf.DUMMYFUNCTION("""COMPUTED_VALUE"""),"0xd204a6b7effa8c5c6c7faed2536c322761333417")</f>
        <v>0xd204a6b7effa8c5c6c7faed2536c322761333417</v>
      </c>
      <c r="J1988" s="18">
        <v>234.37608780709658</v>
      </c>
      <c r="K1988" s="4">
        <v>2929.7010975887074</v>
      </c>
      <c r="L1988" s="19">
        <v>2.9297010975887076E21</v>
      </c>
      <c r="M1988" s="20">
        <v>2.9297010975887078E20</v>
      </c>
    </row>
    <row r="1989">
      <c r="A1989" s="6"/>
      <c r="B1989" s="6"/>
      <c r="C1989" s="4"/>
      <c r="D1989" s="4">
        <v>48.0060336624666</v>
      </c>
      <c r="E1989" s="4" t="s">
        <v>3236</v>
      </c>
      <c r="F1989" s="4"/>
      <c r="G1989" s="4"/>
      <c r="H1989" s="4"/>
      <c r="I1989" s="4" t="str">
        <f>IFERROR(__xludf.DUMMYFUNCTION("""COMPUTED_VALUE"""),"0x2d0c7cb023d2bccb3ca7fca61d7036df840e30ee")</f>
        <v>0x2d0c7cb023d2bccb3ca7fca61d7036df840e30ee</v>
      </c>
      <c r="J1989" s="18">
        <v>12.7278291216418</v>
      </c>
      <c r="K1989" s="4">
        <v>159.0978640205225</v>
      </c>
      <c r="L1989" s="19">
        <v>1.590978640205225E20</v>
      </c>
      <c r="M1989" s="20">
        <v>1.5909786402052252E19</v>
      </c>
    </row>
    <row r="1990">
      <c r="A1990" s="6"/>
      <c r="B1990" s="6"/>
      <c r="C1990" s="4"/>
      <c r="D1990" s="4">
        <v>48.3641275995966</v>
      </c>
      <c r="E1990" s="4" t="s">
        <v>3238</v>
      </c>
      <c r="F1990" s="4"/>
      <c r="G1990" s="4"/>
      <c r="H1990" s="4"/>
      <c r="I1990" s="4" t="str">
        <f>IFERROR(__xludf.DUMMYFUNCTION("""COMPUTED_VALUE"""),"0x21b87c773e4aeca81428ff8036880601ec62d148")</f>
        <v>0x21b87c773e4aeca81428ff8036880601ec62d148</v>
      </c>
      <c r="J1990" s="18">
        <v>57.66472560997164</v>
      </c>
      <c r="K1990" s="4">
        <v>720.8090701246455</v>
      </c>
      <c r="L1990" s="19">
        <v>7.208090701246455E20</v>
      </c>
      <c r="M1990" s="20">
        <v>7.208090701246455E19</v>
      </c>
    </row>
    <row r="1991">
      <c r="A1991" s="6"/>
      <c r="B1991" s="6"/>
      <c r="C1991" s="4"/>
      <c r="D1991" s="4">
        <v>48.3641275995966</v>
      </c>
      <c r="E1991" s="4" t="s">
        <v>3239</v>
      </c>
      <c r="F1991" s="4"/>
      <c r="G1991" s="4"/>
      <c r="H1991" s="4"/>
      <c r="I1991" s="4" t="str">
        <f>IFERROR(__xludf.DUMMYFUNCTION("""COMPUTED_VALUE"""),"0x8cbfc13de2c3c17b0800942827b474174f0bf951")</f>
        <v>0x8cbfc13de2c3c17b0800942827b474174f0bf951</v>
      </c>
      <c r="J1991" s="18">
        <v>9.672825519919328</v>
      </c>
      <c r="K1991" s="4">
        <v>120.9103189989916</v>
      </c>
      <c r="L1991" s="19">
        <v>1.209103189989916E20</v>
      </c>
      <c r="M1991" s="20">
        <v>1.209103189989916E19</v>
      </c>
    </row>
    <row r="1992">
      <c r="A1992" s="6"/>
      <c r="B1992" s="6"/>
      <c r="C1992" s="4"/>
      <c r="D1992" s="4">
        <v>5.83080823279147</v>
      </c>
      <c r="E1992" s="4" t="s">
        <v>3240</v>
      </c>
      <c r="F1992" s="4"/>
      <c r="G1992" s="4"/>
      <c r="H1992" s="4"/>
      <c r="I1992" s="4" t="str">
        <f>IFERROR(__xludf.DUMMYFUNCTION("""COMPUTED_VALUE"""),"0xc382895fdec7930001e85c195e36628ce4bb8200")</f>
        <v>0xc382895fdec7930001e85c195e36628ce4bb8200</v>
      </c>
      <c r="J1992" s="18">
        <v>12.3925907254057</v>
      </c>
      <c r="K1992" s="4">
        <v>154.90738406757126</v>
      </c>
      <c r="L1992" s="19">
        <v>1.5490738406757125E20</v>
      </c>
      <c r="M1992" s="20">
        <v>1.5490738406757126E19</v>
      </c>
    </row>
    <row r="1993">
      <c r="A1993" s="6"/>
      <c r="B1993" s="6"/>
      <c r="C1993" s="4"/>
      <c r="D1993" s="4">
        <v>5.321089834999911</v>
      </c>
      <c r="E1993" s="4" t="s">
        <v>3242</v>
      </c>
      <c r="F1993" s="4"/>
      <c r="G1993" s="4"/>
      <c r="H1993" s="4"/>
      <c r="I1993" s="4" t="str">
        <f>IFERROR(__xludf.DUMMYFUNCTION("""COMPUTED_VALUE"""),"0x4b63681c2ccaac8d7a7f2026efa9ef677e0c0629")</f>
        <v>0x4b63681c2ccaac8d7a7f2026efa9ef677e0c0629</v>
      </c>
      <c r="J1993" s="18">
        <v>48.3641275995966</v>
      </c>
      <c r="K1993" s="4">
        <v>604.5515949949574</v>
      </c>
      <c r="L1993" s="19">
        <v>6.045515949949574E20</v>
      </c>
      <c r="M1993" s="20">
        <v>6.045515949949574E19</v>
      </c>
    </row>
    <row r="1994">
      <c r="A1994" s="6"/>
      <c r="B1994" s="6"/>
      <c r="C1994" s="4"/>
      <c r="D1994" s="4">
        <v>48.3641275995966</v>
      </c>
      <c r="E1994" s="4" t="s">
        <v>3244</v>
      </c>
      <c r="F1994" s="4"/>
      <c r="G1994" s="4"/>
      <c r="H1994" s="4"/>
      <c r="I1994" s="4" t="str">
        <f>IFERROR(__xludf.DUMMYFUNCTION("""COMPUTED_VALUE"""),"0x5029048dc0622030dbb61505bfebe8297a5d26ac")</f>
        <v>0x5029048dc0622030dbb61505bfebe8297a5d26ac</v>
      </c>
      <c r="J1994" s="18">
        <v>39.2251235738688</v>
      </c>
      <c r="K1994" s="4">
        <v>490.31404467336</v>
      </c>
      <c r="L1994" s="19">
        <v>4.9031404467336E20</v>
      </c>
      <c r="M1994" s="20">
        <v>4.9031404467336E19</v>
      </c>
    </row>
    <row r="1995">
      <c r="A1995" s="6"/>
      <c r="B1995" s="6"/>
      <c r="C1995" s="4"/>
      <c r="D1995" s="4">
        <v>9.20310623349544</v>
      </c>
      <c r="E1995" s="4" t="s">
        <v>3245</v>
      </c>
      <c r="F1995" s="4"/>
      <c r="G1995" s="4"/>
      <c r="H1995" s="4"/>
      <c r="I1995" s="4" t="str">
        <f>IFERROR(__xludf.DUMMYFUNCTION("""COMPUTED_VALUE"""),"0x670351fdc1378b1d1b058be71e23a804e6927be7")</f>
        <v>0x670351fdc1378b1d1b058be71e23a804e6927be7</v>
      </c>
      <c r="J1995" s="18">
        <v>4.77613314489394</v>
      </c>
      <c r="K1995" s="4">
        <v>59.70166431117425</v>
      </c>
      <c r="L1995" s="19">
        <v>5.970166431117425E19</v>
      </c>
      <c r="M1995" s="20">
        <v>5.970166431117426E18</v>
      </c>
    </row>
    <row r="1996">
      <c r="A1996" s="6"/>
      <c r="B1996" s="6"/>
      <c r="C1996" s="4"/>
      <c r="D1996" s="4">
        <v>48.3641275995966</v>
      </c>
      <c r="E1996" s="4" t="s">
        <v>3247</v>
      </c>
      <c r="F1996" s="4"/>
      <c r="G1996" s="4"/>
      <c r="H1996" s="4"/>
      <c r="I1996" s="4" t="str">
        <f>IFERROR(__xludf.DUMMYFUNCTION("""COMPUTED_VALUE"""),"0x9bb7ace553bf1f4541aec136f0335300c877a48c")</f>
        <v>0x9bb7ace553bf1f4541aec136f0335300c877a48c</v>
      </c>
      <c r="J1996" s="18">
        <v>19.479082203319898</v>
      </c>
      <c r="K1996" s="4">
        <v>243.4885275414987</v>
      </c>
      <c r="L1996" s="19">
        <v>2.434885275414987E20</v>
      </c>
      <c r="M1996" s="20">
        <v>2.434885275414987E19</v>
      </c>
    </row>
    <row r="1997">
      <c r="A1997" s="6"/>
      <c r="B1997" s="6"/>
      <c r="C1997" s="4"/>
      <c r="D1997" s="4">
        <v>48.3641275995966</v>
      </c>
      <c r="E1997" s="4" t="s">
        <v>3248</v>
      </c>
      <c r="F1997" s="4"/>
      <c r="G1997" s="4"/>
      <c r="H1997" s="4"/>
      <c r="I1997" s="4" t="str">
        <f>IFERROR(__xludf.DUMMYFUNCTION("""COMPUTED_VALUE"""),"0xa36e72b78d1ea07872dbf13112061decd4825999")</f>
        <v>0xa36e72b78d1ea07872dbf13112061decd4825999</v>
      </c>
      <c r="J1997" s="18">
        <v>132.4813550287165</v>
      </c>
      <c r="K1997" s="4">
        <v>1656.0169378589562</v>
      </c>
      <c r="L1997" s="19">
        <v>1.6560169378589563E21</v>
      </c>
      <c r="M1997" s="20">
        <v>1.6560169378589563E20</v>
      </c>
    </row>
    <row r="1998">
      <c r="A1998" s="6"/>
      <c r="B1998" s="6"/>
      <c r="C1998" s="4"/>
      <c r="D1998" s="4">
        <v>48.3641275995966</v>
      </c>
      <c r="E1998" s="4" t="s">
        <v>3249</v>
      </c>
      <c r="F1998" s="4"/>
      <c r="G1998" s="4"/>
      <c r="H1998" s="4"/>
      <c r="I1998" s="4" t="str">
        <f>IFERROR(__xludf.DUMMYFUNCTION("""COMPUTED_VALUE"""),"0xe2b4d22f74ef6b9d34aedee60c190e0831762996")</f>
        <v>0xe2b4d22f74ef6b9d34aedee60c190e0831762996</v>
      </c>
      <c r="J1998" s="18">
        <v>30.449865528694</v>
      </c>
      <c r="K1998" s="4">
        <v>380.623319108675</v>
      </c>
      <c r="L1998" s="19">
        <v>3.80623319108675E20</v>
      </c>
      <c r="M1998" s="20">
        <v>3.80623319108675E19</v>
      </c>
    </row>
    <row r="1999">
      <c r="A1999" s="6"/>
      <c r="B1999" s="6"/>
      <c r="C1999" s="4"/>
      <c r="D1999" s="4">
        <v>43.6408846323026</v>
      </c>
      <c r="E1999" s="4" t="s">
        <v>3250</v>
      </c>
      <c r="F1999" s="4"/>
      <c r="G1999" s="4"/>
      <c r="H1999" s="4"/>
      <c r="I1999" s="4" t="str">
        <f>IFERROR(__xludf.DUMMYFUNCTION("""COMPUTED_VALUE"""),"0x8cfa92c609f96921faf1e5eee64f64946f77113e")</f>
        <v>0x8cfa92c609f96921faf1e5eee64f64946f77113e</v>
      </c>
      <c r="J1999" s="18">
        <v>29.018476559758</v>
      </c>
      <c r="K1999" s="4">
        <v>362.730956996975</v>
      </c>
      <c r="L1999" s="19">
        <v>3.62730956996975E20</v>
      </c>
      <c r="M1999" s="20">
        <v>3.62730956996975E19</v>
      </c>
    </row>
    <row r="2000">
      <c r="A2000" s="6"/>
      <c r="B2000" s="6"/>
      <c r="C2000" s="4"/>
      <c r="D2000" s="4">
        <v>6.4630396381436395</v>
      </c>
      <c r="E2000" s="4" t="s">
        <v>3252</v>
      </c>
      <c r="F2000" s="4"/>
      <c r="G2000" s="4"/>
      <c r="H2000" s="4"/>
      <c r="I2000" s="4" t="str">
        <f>IFERROR(__xludf.DUMMYFUNCTION("""COMPUTED_VALUE"""),"0x98394a263432580442fe7699f7b0a31e819f956d")</f>
        <v>0x98394a263432580442fe7699f7b0a31e819f956d</v>
      </c>
      <c r="J2000" s="18">
        <v>57.68582785621706</v>
      </c>
      <c r="K2000" s="4">
        <v>721.0728482027132</v>
      </c>
      <c r="L2000" s="19">
        <v>7.210728482027133E20</v>
      </c>
      <c r="M2000" s="20">
        <v>7.210728482027133E19</v>
      </c>
    </row>
    <row r="2001">
      <c r="A2001" s="6"/>
      <c r="B2001" s="6"/>
      <c r="C2001" s="2"/>
      <c r="D2001" s="4">
        <v>48.3641275995966</v>
      </c>
      <c r="E2001" s="4" t="s">
        <v>1363</v>
      </c>
      <c r="F2001" s="4"/>
      <c r="G2001" s="4"/>
      <c r="H2001" s="4"/>
      <c r="I2001" s="4" t="str">
        <f>IFERROR(__xludf.DUMMYFUNCTION("""COMPUTED_VALUE"""),"0x4cc5817e9ee60f9f213d1f246d523ac9c0fc2ef6")</f>
        <v>0x4cc5817e9ee60f9f213d1f246d523ac9c0fc2ef6</v>
      </c>
      <c r="J2001" s="18">
        <v>48.3641275995966</v>
      </c>
      <c r="K2001" s="4">
        <v>604.5515949949574</v>
      </c>
      <c r="L2001" s="19">
        <v>6.045515949949574E20</v>
      </c>
      <c r="M2001" s="20">
        <v>6.045515949949574E19</v>
      </c>
    </row>
    <row r="2002">
      <c r="A2002" s="6"/>
      <c r="B2002" s="6"/>
      <c r="C2002" s="4"/>
      <c r="D2002" s="4">
        <v>48.3641275995966</v>
      </c>
      <c r="E2002" s="4" t="s">
        <v>1459</v>
      </c>
      <c r="F2002" s="4"/>
      <c r="G2002" s="4"/>
      <c r="H2002" s="4"/>
      <c r="I2002" s="4" t="str">
        <f>IFERROR(__xludf.DUMMYFUNCTION("""COMPUTED_VALUE"""),"0x50c733d7f0bd9e084a46348001116d9371fb6fa9")</f>
        <v>0x50c733d7f0bd9e084a46348001116d9371fb6fa9</v>
      </c>
      <c r="J2002" s="18">
        <v>9.672825519919328</v>
      </c>
      <c r="K2002" s="4">
        <v>120.9103189989916</v>
      </c>
      <c r="L2002" s="19">
        <v>1.209103189989916E20</v>
      </c>
      <c r="M2002" s="20">
        <v>1.209103189989916E19</v>
      </c>
    </row>
    <row r="2003">
      <c r="A2003" s="6"/>
      <c r="B2003" s="6"/>
      <c r="C2003" s="4"/>
      <c r="D2003" s="4">
        <v>9.672825519919328</v>
      </c>
      <c r="E2003" s="4" t="s">
        <v>3254</v>
      </c>
      <c r="F2003" s="4"/>
      <c r="G2003" s="4"/>
      <c r="H2003" s="4"/>
      <c r="I2003" s="4" t="str">
        <f>IFERROR(__xludf.DUMMYFUNCTION("""COMPUTED_VALUE"""),"0xcd81d8799afdf1af36497c84dbbca4eb7ede5a2c")</f>
        <v>0xcd81d8799afdf1af36497c84dbbca4eb7ede5a2c</v>
      </c>
      <c r="J2003" s="18">
        <v>37.131953498415115</v>
      </c>
      <c r="K2003" s="4">
        <v>464.1494187301889</v>
      </c>
      <c r="L2003" s="19">
        <v>4.641494187301889E20</v>
      </c>
      <c r="M2003" s="20">
        <v>4.64149418730189E19</v>
      </c>
    </row>
    <row r="2004">
      <c r="A2004" s="6"/>
      <c r="B2004" s="6"/>
      <c r="C2004" s="4"/>
      <c r="D2004" s="4">
        <v>21.6861937504259</v>
      </c>
      <c r="E2004" s="4" t="s">
        <v>3255</v>
      </c>
      <c r="F2004" s="4"/>
      <c r="G2004" s="4"/>
      <c r="H2004" s="4"/>
      <c r="I2004" s="4" t="str">
        <f>IFERROR(__xludf.DUMMYFUNCTION("""COMPUTED_VALUE"""),"0xb368e11d1214fc5d5cb1ee103325c6ef5c9f2122")</f>
        <v>0xb368e11d1214fc5d5cb1ee103325c6ef5c9f2122</v>
      </c>
      <c r="J2004" s="18">
        <v>48.001196581191</v>
      </c>
      <c r="K2004" s="4">
        <v>600.0149572648875</v>
      </c>
      <c r="L2004" s="19">
        <v>6.000149572648875E20</v>
      </c>
      <c r="M2004" s="20">
        <v>6.000149572648875E19</v>
      </c>
    </row>
    <row r="2005">
      <c r="A2005" s="6"/>
      <c r="B2005" s="6"/>
      <c r="C2005" s="4"/>
      <c r="D2005" s="4">
        <v>9.672825519919328</v>
      </c>
      <c r="E2005" s="4" t="s">
        <v>3257</v>
      </c>
      <c r="F2005" s="4"/>
      <c r="G2005" s="4"/>
      <c r="H2005" s="4"/>
      <c r="I2005" s="4" t="str">
        <f>IFERROR(__xludf.DUMMYFUNCTION("""COMPUTED_VALUE"""),"0xa0a146c6639382c727ff7a75b49b2d9ce924163a")</f>
        <v>0xa0a146c6639382c727ff7a75b49b2d9ce924163a</v>
      </c>
      <c r="J2005" s="18">
        <v>9.672825519919328</v>
      </c>
      <c r="K2005" s="4">
        <v>120.9103189989916</v>
      </c>
      <c r="L2005" s="19">
        <v>1.209103189989916E20</v>
      </c>
      <c r="M2005" s="20">
        <v>1.209103189989916E19</v>
      </c>
    </row>
    <row r="2006">
      <c r="A2006" s="6"/>
      <c r="B2006" s="6"/>
      <c r="C2006" s="4"/>
      <c r="D2006" s="4">
        <v>48.3641275995966</v>
      </c>
      <c r="E2006" s="4" t="s">
        <v>3258</v>
      </c>
      <c r="F2006" s="4"/>
      <c r="G2006" s="4"/>
      <c r="H2006" s="4"/>
      <c r="I2006" s="4" t="str">
        <f>IFERROR(__xludf.DUMMYFUNCTION("""COMPUTED_VALUE"""),"0x27749cbbab7b4f544ff23ae159a52cc621ec37eb")</f>
        <v>0x27749cbbab7b4f544ff23ae159a52cc621ec37eb</v>
      </c>
      <c r="J2006" s="18">
        <v>32.1185713730789</v>
      </c>
      <c r="K2006" s="4">
        <v>401.48214216348623</v>
      </c>
      <c r="L2006" s="19">
        <v>4.0148214216348624E20</v>
      </c>
      <c r="M2006" s="20">
        <v>4.014821421634862E19</v>
      </c>
    </row>
    <row r="2007">
      <c r="A2007" s="6"/>
      <c r="B2007" s="6"/>
      <c r="C2007" s="4"/>
      <c r="D2007" s="4">
        <v>0.048751040620392705</v>
      </c>
      <c r="E2007" s="4" t="s">
        <v>3259</v>
      </c>
      <c r="F2007" s="4"/>
      <c r="G2007" s="4"/>
      <c r="H2007" s="4"/>
      <c r="I2007" s="4" t="str">
        <f>IFERROR(__xludf.DUMMYFUNCTION("""COMPUTED_VALUE"""),"0xf4e940c119d2379c5cdcf25e893e32cf683f4824")</f>
        <v>0xf4e940c119d2379c5cdcf25e893e32cf683f4824</v>
      </c>
      <c r="J2007" s="18">
        <v>47.805384456280095</v>
      </c>
      <c r="K2007" s="4">
        <v>597.5673057035011</v>
      </c>
      <c r="L2007" s="19">
        <v>5.975673057035011E20</v>
      </c>
      <c r="M2007" s="20">
        <v>5.975673057035011E19</v>
      </c>
    </row>
    <row r="2008">
      <c r="A2008" s="6"/>
      <c r="B2008" s="6"/>
      <c r="C2008" s="4"/>
      <c r="D2008" s="4">
        <v>48.3641275995966</v>
      </c>
      <c r="E2008" s="4" t="s">
        <v>3261</v>
      </c>
      <c r="F2008" s="4"/>
      <c r="G2008" s="4"/>
      <c r="H2008" s="4"/>
      <c r="I2008" s="4" t="str">
        <f>IFERROR(__xludf.DUMMYFUNCTION("""COMPUTED_VALUE"""),"0x1a7bc3953662bff98cd90dc5929f61c5b8892e14")</f>
        <v>0x1a7bc3953662bff98cd90dc5929f61c5b8892e14</v>
      </c>
      <c r="J2008" s="18">
        <v>9.09859218370522</v>
      </c>
      <c r="K2008" s="4">
        <v>113.73240229631524</v>
      </c>
      <c r="L2008" s="19">
        <v>1.1373240229631525E20</v>
      </c>
      <c r="M2008" s="20">
        <v>1.1373240229631525E19</v>
      </c>
    </row>
    <row r="2009">
      <c r="A2009" s="6"/>
      <c r="B2009" s="6"/>
      <c r="C2009" s="4"/>
      <c r="D2009" s="4">
        <v>48.3641275995966</v>
      </c>
      <c r="E2009" s="4" t="s">
        <v>191</v>
      </c>
      <c r="F2009" s="4"/>
      <c r="G2009" s="4"/>
      <c r="H2009" s="4"/>
      <c r="I2009" s="4" t="str">
        <f>IFERROR(__xludf.DUMMYFUNCTION("""COMPUTED_VALUE"""),"0x3731696c9b5098beacf8dd03ac00c30bba979806")</f>
        <v>0x3731696c9b5098beacf8dd03ac00c30bba979806</v>
      </c>
      <c r="J2009" s="18">
        <v>48.3641275995966</v>
      </c>
      <c r="K2009" s="4">
        <v>604.5515949949574</v>
      </c>
      <c r="L2009" s="19">
        <v>6.045515949949574E20</v>
      </c>
      <c r="M2009" s="20">
        <v>6.045515949949574E19</v>
      </c>
    </row>
    <row r="2010">
      <c r="A2010" s="6"/>
      <c r="B2010" s="6"/>
      <c r="C2010" s="4"/>
      <c r="D2010" s="4">
        <v>7.43636087413308</v>
      </c>
      <c r="E2010" s="4" t="s">
        <v>3262</v>
      </c>
      <c r="F2010" s="4"/>
      <c r="G2010" s="4"/>
      <c r="H2010" s="4"/>
      <c r="I2010" s="4" t="str">
        <f>IFERROR(__xludf.DUMMYFUNCTION("""COMPUTED_VALUE"""),"0x6e148350f29951dda162993ab91d8089255b1741")</f>
        <v>0x6e148350f29951dda162993ab91d8089255b1741</v>
      </c>
      <c r="J2010" s="18">
        <v>97.08975013445311</v>
      </c>
      <c r="K2010" s="4">
        <v>1213.621876680664</v>
      </c>
      <c r="L2010" s="19">
        <v>1.213621876680664E21</v>
      </c>
      <c r="M2010" s="20">
        <v>1.213621876680664E20</v>
      </c>
    </row>
    <row r="2011">
      <c r="A2011" s="6"/>
      <c r="B2011" s="6"/>
      <c r="C2011" s="4"/>
      <c r="D2011" s="4">
        <v>48.3641275995966</v>
      </c>
      <c r="E2011" s="4" t="s">
        <v>1465</v>
      </c>
      <c r="F2011" s="4"/>
      <c r="G2011" s="4"/>
      <c r="H2011" s="4"/>
      <c r="I2011" s="4" t="str">
        <f>IFERROR(__xludf.DUMMYFUNCTION("""COMPUTED_VALUE"""),"0xcd43e26106b2950d8db1aa0438c0ac332b5dc960")</f>
        <v>0xcd43e26106b2950d8db1aa0438c0ac332b5dc960</v>
      </c>
      <c r="J2011" s="18">
        <v>12.348021087958701</v>
      </c>
      <c r="K2011" s="4">
        <v>154.35026359948375</v>
      </c>
      <c r="L2011" s="19">
        <v>1.5435026359948375E20</v>
      </c>
      <c r="M2011" s="20">
        <v>1.5435026359948376E19</v>
      </c>
    </row>
    <row r="2012">
      <c r="A2012" s="6"/>
      <c r="B2012" s="6"/>
      <c r="C2012" s="4"/>
      <c r="D2012" s="4">
        <v>15.491514733270801</v>
      </c>
      <c r="E2012" s="4" t="s">
        <v>3264</v>
      </c>
      <c r="F2012" s="4"/>
      <c r="G2012" s="4"/>
      <c r="H2012" s="4"/>
      <c r="I2012" s="4" t="str">
        <f>IFERROR(__xludf.DUMMYFUNCTION("""COMPUTED_VALUE"""),"0xede5946891362b7649644bf555a4cf0dec00d9a4")</f>
        <v>0xede5946891362b7649644bf555a4cf0dec00d9a4</v>
      </c>
      <c r="J2012" s="18">
        <v>9.653657996669828</v>
      </c>
      <c r="K2012" s="4">
        <v>120.67072495837286</v>
      </c>
      <c r="L2012" s="19">
        <v>1.2067072495837286E20</v>
      </c>
      <c r="M2012" s="20">
        <v>1.2067072495837286E19</v>
      </c>
    </row>
    <row r="2013">
      <c r="A2013" s="6"/>
      <c r="B2013" s="6"/>
      <c r="C2013" s="4"/>
      <c r="D2013" s="4">
        <v>48.3641275995966</v>
      </c>
      <c r="E2013" s="4" t="s">
        <v>3266</v>
      </c>
      <c r="F2013" s="4"/>
      <c r="G2013" s="4"/>
      <c r="H2013" s="4"/>
      <c r="I2013" s="4" t="str">
        <f>IFERROR(__xludf.DUMMYFUNCTION("""COMPUTED_VALUE"""),"0xc2bc41d2d77767da12b11b9408d6ee6e58dbc085")</f>
        <v>0xc2bc41d2d77767da12b11b9408d6ee6e58dbc085</v>
      </c>
      <c r="J2013" s="18">
        <v>48.3641275995966</v>
      </c>
      <c r="K2013" s="4">
        <v>604.5515949949574</v>
      </c>
      <c r="L2013" s="19">
        <v>6.045515949949574E20</v>
      </c>
      <c r="M2013" s="20">
        <v>6.045515949949574E19</v>
      </c>
    </row>
    <row r="2014">
      <c r="A2014" s="6"/>
      <c r="B2014" s="6"/>
      <c r="C2014" s="4"/>
      <c r="D2014" s="4">
        <v>6.77336402367219</v>
      </c>
      <c r="E2014" s="4" t="s">
        <v>3267</v>
      </c>
      <c r="F2014" s="4"/>
      <c r="G2014" s="4"/>
      <c r="H2014" s="4"/>
      <c r="I2014" s="4" t="str">
        <f>IFERROR(__xludf.DUMMYFUNCTION("""COMPUTED_VALUE"""),"0x6969c2b2633cf85c110b856b9bcd5642772d9fdf")</f>
        <v>0x6969c2b2633cf85c110b856b9bcd5642772d9fdf</v>
      </c>
      <c r="J2014" s="18">
        <v>45.474032965206</v>
      </c>
      <c r="K2014" s="4">
        <v>568.425412065075</v>
      </c>
      <c r="L2014" s="19">
        <v>5.6842541206507494E20</v>
      </c>
      <c r="M2014" s="20">
        <v>5.6842541206507495E19</v>
      </c>
    </row>
    <row r="2015">
      <c r="A2015" s="6"/>
      <c r="B2015" s="6"/>
      <c r="C2015" s="4"/>
      <c r="D2015" s="4">
        <v>48.3641275995966</v>
      </c>
      <c r="E2015" s="4" t="s">
        <v>398</v>
      </c>
      <c r="F2015" s="4"/>
      <c r="G2015" s="4"/>
      <c r="H2015" s="4"/>
      <c r="I2015" s="4" t="str">
        <f>IFERROR(__xludf.DUMMYFUNCTION("""COMPUTED_VALUE"""),"0x713f2edc95aa1462666fb8ebafbca65c5d913a7d")</f>
        <v>0x713f2edc95aa1462666fb8ebafbca65c5d913a7d</v>
      </c>
      <c r="J2015" s="18">
        <v>9.63951924080517</v>
      </c>
      <c r="K2015" s="4">
        <v>120.49399051006462</v>
      </c>
      <c r="L2015" s="19">
        <v>1.2049399051006462E20</v>
      </c>
      <c r="M2015" s="20">
        <v>1.2049399051006462E19</v>
      </c>
    </row>
    <row r="2016">
      <c r="A2016" s="6"/>
      <c r="B2016" s="6"/>
      <c r="C2016" s="4"/>
      <c r="D2016" s="4">
        <v>10.548495285845298</v>
      </c>
      <c r="E2016" s="4" t="s">
        <v>3269</v>
      </c>
      <c r="F2016" s="4"/>
      <c r="G2016" s="4"/>
      <c r="H2016" s="4"/>
      <c r="I2016" s="4" t="str">
        <f>IFERROR(__xludf.DUMMYFUNCTION("""COMPUTED_VALUE"""),"0xa41c5164662e73283657ffa0a46f93c28f3b2a28")</f>
        <v>0xa41c5164662e73283657ffa0a46f93c28f3b2a28</v>
      </c>
      <c r="J2016" s="18">
        <v>0.703033937428413</v>
      </c>
      <c r="K2016" s="4">
        <v>8.787924217855162</v>
      </c>
      <c r="L2016" s="19">
        <v>8.787924217855161E18</v>
      </c>
      <c r="M2016" s="20">
        <v>8.787924217855162E17</v>
      </c>
    </row>
    <row r="2017">
      <c r="A2017" s="6"/>
      <c r="B2017" s="6"/>
      <c r="C2017" s="4"/>
      <c r="D2017" s="4">
        <v>16.4245737528657</v>
      </c>
      <c r="E2017" s="4" t="s">
        <v>3271</v>
      </c>
      <c r="F2017" s="4"/>
      <c r="G2017" s="4"/>
      <c r="H2017" s="4"/>
      <c r="I2017" s="4" t="str">
        <f>IFERROR(__xludf.DUMMYFUNCTION("""COMPUTED_VALUE"""),"0x60c8d56b0add0c389642e2a63c8ce7ba44bf0466")</f>
        <v>0x60c8d56b0add0c389642e2a63c8ce7ba44bf0466</v>
      </c>
      <c r="J2017" s="18">
        <v>57.66472560997164</v>
      </c>
      <c r="K2017" s="4">
        <v>720.8090701246455</v>
      </c>
      <c r="L2017" s="19">
        <v>7.208090701246455E20</v>
      </c>
      <c r="M2017" s="20">
        <v>7.208090701246455E19</v>
      </c>
    </row>
    <row r="2018">
      <c r="A2018" s="6"/>
      <c r="B2018" s="6"/>
      <c r="C2018" s="4"/>
      <c r="D2018" s="4">
        <v>13.436395711023499</v>
      </c>
      <c r="E2018" s="4" t="s">
        <v>3273</v>
      </c>
      <c r="F2018" s="4"/>
      <c r="G2018" s="4"/>
      <c r="H2018" s="4"/>
      <c r="I2018" s="4" t="str">
        <f>IFERROR(__xludf.DUMMYFUNCTION("""COMPUTED_VALUE"""),"0xff9413e1e252badae3086d415f3674ecb5440e3f")</f>
        <v>0xff9413e1e252badae3086d415f3674ecb5440e3f</v>
      </c>
      <c r="J2018" s="18">
        <v>11.6528742898836</v>
      </c>
      <c r="K2018" s="4">
        <v>145.660928623545</v>
      </c>
      <c r="L2018" s="19">
        <v>1.45660928623545E20</v>
      </c>
      <c r="M2018" s="20">
        <v>1.4566092862354502E19</v>
      </c>
    </row>
    <row r="2019">
      <c r="A2019" s="6"/>
      <c r="B2019" s="6"/>
      <c r="C2019" s="4"/>
      <c r="D2019" s="4">
        <v>47.9625442779572</v>
      </c>
      <c r="E2019" s="4" t="s">
        <v>3275</v>
      </c>
      <c r="F2019" s="4"/>
      <c r="G2019" s="4"/>
      <c r="H2019" s="4"/>
      <c r="I2019" s="4" t="str">
        <f>IFERROR(__xludf.DUMMYFUNCTION("""COMPUTED_VALUE"""),"0x48f202f220e30a6cf9dd655cf10b08564ba4a025")</f>
        <v>0x48f202f220e30a6cf9dd655cf10b08564ba4a025</v>
      </c>
      <c r="J2019" s="18">
        <v>48.3641275995966</v>
      </c>
      <c r="K2019" s="4">
        <v>604.5515949949574</v>
      </c>
      <c r="L2019" s="19">
        <v>6.045515949949574E20</v>
      </c>
      <c r="M2019" s="20">
        <v>6.045515949949574E19</v>
      </c>
    </row>
    <row r="2020">
      <c r="A2020" s="6"/>
      <c r="B2020" s="6"/>
      <c r="C2020" s="4"/>
      <c r="D2020" s="4">
        <v>48.3641275995966</v>
      </c>
      <c r="E2020" s="4" t="s">
        <v>3277</v>
      </c>
      <c r="F2020" s="4"/>
      <c r="G2020" s="4"/>
      <c r="H2020" s="4"/>
      <c r="I2020" s="4" t="str">
        <f>IFERROR(__xludf.DUMMYFUNCTION("""COMPUTED_VALUE"""),"0xd7f4afedd1a47b016ba122920a7e9c3ac2bb810d")</f>
        <v>0xd7f4afedd1a47b016ba122920a7e9c3ac2bb810d</v>
      </c>
      <c r="J2020" s="18">
        <v>9.11358667337492</v>
      </c>
      <c r="K2020" s="4">
        <v>113.9198334171865</v>
      </c>
      <c r="L2020" s="19">
        <v>1.139198334171865E20</v>
      </c>
      <c r="M2020" s="20">
        <v>1.139198334171865E19</v>
      </c>
    </row>
    <row r="2021">
      <c r="A2021" s="6"/>
      <c r="B2021" s="6"/>
      <c r="C2021" s="4"/>
      <c r="D2021" s="4">
        <v>19.3755604723207</v>
      </c>
      <c r="E2021" s="4" t="s">
        <v>3278</v>
      </c>
      <c r="F2021" s="4"/>
      <c r="G2021" s="4"/>
      <c r="H2021" s="4"/>
      <c r="I2021" s="4" t="str">
        <f>IFERROR(__xludf.DUMMYFUNCTION("""COMPUTED_VALUE"""),"0x9165111a736c9b1d291c1ee8d74a36ce896ae6a0")</f>
        <v>0x9165111a736c9b1d291c1ee8d74a36ce896ae6a0</v>
      </c>
      <c r="J2021" s="18">
        <v>91.3457316156393</v>
      </c>
      <c r="K2021" s="4">
        <v>1141.821645195491</v>
      </c>
      <c r="L2021" s="19">
        <v>1.1418216451954911E21</v>
      </c>
      <c r="M2021" s="20">
        <v>1.1418216451954912E20</v>
      </c>
    </row>
    <row r="2022">
      <c r="A2022" s="6"/>
      <c r="B2022" s="6"/>
      <c r="C2022" s="4"/>
      <c r="D2022" s="4">
        <v>47.9442127666688</v>
      </c>
      <c r="E2022" s="4" t="s">
        <v>3280</v>
      </c>
      <c r="F2022" s="4"/>
      <c r="G2022" s="4"/>
      <c r="H2022" s="4"/>
      <c r="I2022" s="4" t="str">
        <f>IFERROR(__xludf.DUMMYFUNCTION("""COMPUTED_VALUE"""),"0xe33f758edcebb71de409e9580469948ff62f6884")</f>
        <v>0xe33f758edcebb71de409e9580469948ff62f6884</v>
      </c>
      <c r="J2022" s="18">
        <v>1.09292963210601</v>
      </c>
      <c r="K2022" s="4">
        <v>13.661620401325125</v>
      </c>
      <c r="L2022" s="19">
        <v>1.3661620401325126E19</v>
      </c>
      <c r="M2022" s="20">
        <v>1.3661620401325125E18</v>
      </c>
    </row>
    <row r="2023">
      <c r="A2023" s="6"/>
      <c r="B2023" s="6"/>
      <c r="C2023" s="4"/>
      <c r="D2023" s="4">
        <v>15.6927893512838</v>
      </c>
      <c r="E2023" s="4" t="s">
        <v>3282</v>
      </c>
      <c r="F2023" s="4"/>
      <c r="G2023" s="4"/>
      <c r="H2023" s="4"/>
      <c r="I2023" s="4" t="str">
        <f>IFERROR(__xludf.DUMMYFUNCTION("""COMPUTED_VALUE"""),"0x435b1176860f5f4f96f64ad8f393b4c69cb907a6")</f>
        <v>0x435b1176860f5f4f96f64ad8f393b4c69cb907a6</v>
      </c>
      <c r="J2023" s="18">
        <v>48.3641275995966</v>
      </c>
      <c r="K2023" s="4">
        <v>604.5515949949574</v>
      </c>
      <c r="L2023" s="19">
        <v>6.045515949949574E20</v>
      </c>
      <c r="M2023" s="20">
        <v>6.045515949949574E19</v>
      </c>
    </row>
    <row r="2024">
      <c r="A2024" s="6"/>
      <c r="B2024" s="6"/>
      <c r="C2024" s="4"/>
      <c r="D2024" s="4">
        <v>9.672825519919328</v>
      </c>
      <c r="E2024" s="4" t="s">
        <v>3284</v>
      </c>
      <c r="F2024" s="4"/>
      <c r="G2024" s="4"/>
      <c r="H2024" s="4"/>
      <c r="I2024" s="4" t="str">
        <f>IFERROR(__xludf.DUMMYFUNCTION("""COMPUTED_VALUE"""),"0xe0a6c2f26944b3762f7feaf520672f79bba488e1")</f>
        <v>0xe0a6c2f26944b3762f7feaf520672f79bba488e1</v>
      </c>
      <c r="J2024" s="18">
        <v>48.3641275995966</v>
      </c>
      <c r="K2024" s="4">
        <v>604.5515949949574</v>
      </c>
      <c r="L2024" s="19">
        <v>6.045515949949574E20</v>
      </c>
      <c r="M2024" s="20">
        <v>6.045515949949574E19</v>
      </c>
    </row>
    <row r="2025">
      <c r="A2025" s="6"/>
      <c r="B2025" s="6"/>
      <c r="C2025" s="4"/>
      <c r="D2025" s="4">
        <v>42.372745853988505</v>
      </c>
      <c r="E2025" s="4" t="s">
        <v>3285</v>
      </c>
      <c r="F2025" s="4"/>
      <c r="G2025" s="4"/>
      <c r="H2025" s="4"/>
      <c r="I2025" s="4" t="str">
        <f>IFERROR(__xludf.DUMMYFUNCTION("""COMPUTED_VALUE"""),"0x4a69a15d865019ad1a3cbbcb0ce28dd500c2e592")</f>
        <v>0x4a69a15d865019ad1a3cbbcb0ce28dd500c2e592</v>
      </c>
      <c r="J2025" s="18">
        <v>21.2248182402642</v>
      </c>
      <c r="K2025" s="4">
        <v>265.3102280033025</v>
      </c>
      <c r="L2025" s="19">
        <v>2.6531022800330247E20</v>
      </c>
      <c r="M2025" s="20">
        <v>2.653102280033025E19</v>
      </c>
    </row>
    <row r="2026">
      <c r="A2026" s="6"/>
      <c r="B2026" s="6"/>
      <c r="C2026" s="4"/>
      <c r="D2026" s="4">
        <v>48.3641275995966</v>
      </c>
      <c r="E2026" s="4" t="s">
        <v>3287</v>
      </c>
      <c r="F2026" s="4"/>
      <c r="G2026" s="4"/>
      <c r="H2026" s="4"/>
      <c r="I2026" s="4" t="str">
        <f>IFERROR(__xludf.DUMMYFUNCTION("""COMPUTED_VALUE"""),"0xffe6a20ea233a168dcc3351a951f9235d41d6729")</f>
        <v>0xffe6a20ea233a168dcc3351a951f9235d41d6729</v>
      </c>
      <c r="J2026" s="18">
        <v>48.3641275995966</v>
      </c>
      <c r="K2026" s="4">
        <v>604.5515949949574</v>
      </c>
      <c r="L2026" s="19">
        <v>6.045515949949574E20</v>
      </c>
      <c r="M2026" s="20">
        <v>6.045515949949574E19</v>
      </c>
    </row>
    <row r="2027">
      <c r="A2027" s="6"/>
      <c r="B2027" s="6"/>
      <c r="C2027" s="4"/>
      <c r="D2027" s="4">
        <v>48.3641275995966</v>
      </c>
      <c r="E2027" s="4" t="s">
        <v>3288</v>
      </c>
      <c r="F2027" s="4"/>
      <c r="G2027" s="4"/>
      <c r="H2027" s="4"/>
      <c r="I2027" s="4" t="str">
        <f>IFERROR(__xludf.DUMMYFUNCTION("""COMPUTED_VALUE"""),"0xbd32be0b544f744d51399eba334bd1d78dbdc965")</f>
        <v>0xbd32be0b544f744d51399eba334bd1d78dbdc965</v>
      </c>
      <c r="J2027" s="18">
        <v>8.90939590887716</v>
      </c>
      <c r="K2027" s="4">
        <v>111.3674488609645</v>
      </c>
      <c r="L2027" s="19">
        <v>1.113674488609645E20</v>
      </c>
      <c r="M2027" s="20">
        <v>1.1136744886096452E19</v>
      </c>
    </row>
    <row r="2028">
      <c r="A2028" s="6"/>
      <c r="B2028" s="6"/>
      <c r="C2028" s="4"/>
      <c r="D2028" s="4">
        <v>48.3641275995966</v>
      </c>
      <c r="E2028" s="4" t="s">
        <v>3289</v>
      </c>
      <c r="F2028" s="4"/>
      <c r="G2028" s="4"/>
      <c r="H2028" s="4"/>
      <c r="I2028" s="4" t="str">
        <f>IFERROR(__xludf.DUMMYFUNCTION("""COMPUTED_VALUE"""),"0xf8061c71466ff8629ae97f32a6389d0acc0f0721")</f>
        <v>0xf8061c71466ff8629ae97f32a6389d0acc0f0721</v>
      </c>
      <c r="J2028" s="18">
        <v>52.128184711590556</v>
      </c>
      <c r="K2028" s="4">
        <v>651.602308894882</v>
      </c>
      <c r="L2028" s="19">
        <v>6.51602308894882E20</v>
      </c>
      <c r="M2028" s="20">
        <v>6.51602308894882E19</v>
      </c>
    </row>
    <row r="2029">
      <c r="A2029" s="6"/>
      <c r="B2029" s="6"/>
      <c r="C2029" s="4"/>
      <c r="D2029" s="4">
        <v>9.54347962950307</v>
      </c>
      <c r="E2029" s="4" t="s">
        <v>3290</v>
      </c>
      <c r="F2029" s="4"/>
      <c r="G2029" s="4"/>
      <c r="H2029" s="4"/>
      <c r="I2029" s="4" t="str">
        <f>IFERROR(__xludf.DUMMYFUNCTION("""COMPUTED_VALUE"""),"0x497e009415666957675490f639d6a00281f01702")</f>
        <v>0x497e009415666957675490f639d6a00281f01702</v>
      </c>
      <c r="J2029" s="18">
        <v>38.2648109973428</v>
      </c>
      <c r="K2029" s="4">
        <v>478.31013746678497</v>
      </c>
      <c r="L2029" s="19">
        <v>4.78310137466785E20</v>
      </c>
      <c r="M2029" s="20">
        <v>4.78310137466785E19</v>
      </c>
    </row>
    <row r="2030">
      <c r="A2030" s="6"/>
      <c r="B2030" s="6"/>
      <c r="C2030" s="4"/>
      <c r="D2030" s="4">
        <v>43.8200550526561</v>
      </c>
      <c r="E2030" s="4" t="s">
        <v>3292</v>
      </c>
      <c r="F2030" s="4"/>
      <c r="G2030" s="4"/>
      <c r="H2030" s="4"/>
      <c r="I2030" s="4" t="str">
        <f>IFERROR(__xludf.DUMMYFUNCTION("""COMPUTED_VALUE"""),"0x70ad4fb3c9b2fa3dfd5eaaf98e058e121e23e7d0")</f>
        <v>0x70ad4fb3c9b2fa3dfd5eaaf98e058e121e23e7d0</v>
      </c>
      <c r="J2030" s="18">
        <v>46.4381624381615</v>
      </c>
      <c r="K2030" s="4">
        <v>580.4770304770187</v>
      </c>
      <c r="L2030" s="19">
        <v>5.8047703047701876E20</v>
      </c>
      <c r="M2030" s="20">
        <v>5.804770304770188E19</v>
      </c>
    </row>
    <row r="2031">
      <c r="A2031" s="6"/>
      <c r="B2031" s="6"/>
      <c r="C2031" s="4"/>
      <c r="D2031" s="4">
        <v>48.3641275995966</v>
      </c>
      <c r="E2031" s="4" t="s">
        <v>3294</v>
      </c>
      <c r="F2031" s="4"/>
      <c r="G2031" s="4"/>
      <c r="H2031" s="4"/>
      <c r="I2031" s="4" t="str">
        <f>IFERROR(__xludf.DUMMYFUNCTION("""COMPUTED_VALUE"""),"0xcfd2fe3eeac24e96409ec53c4c8f8538eb10462d")</f>
        <v>0xcfd2fe3eeac24e96409ec53c4c8f8538eb10462d</v>
      </c>
      <c r="J2031" s="18">
        <v>48.3641275995966</v>
      </c>
      <c r="K2031" s="4">
        <v>604.5515949949574</v>
      </c>
      <c r="L2031" s="19">
        <v>6.045515949949574E20</v>
      </c>
      <c r="M2031" s="20">
        <v>6.045515949949574E19</v>
      </c>
    </row>
    <row r="2032">
      <c r="A2032" s="6"/>
      <c r="B2032" s="6"/>
      <c r="C2032" s="4"/>
      <c r="D2032" s="4">
        <v>48.3641275995966</v>
      </c>
      <c r="E2032" s="4" t="s">
        <v>1428</v>
      </c>
      <c r="F2032" s="4"/>
      <c r="G2032" s="4"/>
      <c r="H2032" s="4"/>
      <c r="I2032" s="4" t="str">
        <f>IFERROR(__xludf.DUMMYFUNCTION("""COMPUTED_VALUE"""),"0xe30d70b7ff15592fac44b8bd7cfd29f99c2c3b28")</f>
        <v>0xe30d70b7ff15592fac44b8bd7cfd29f99c2c3b28</v>
      </c>
      <c r="J2032" s="18">
        <v>3.6628322136238</v>
      </c>
      <c r="K2032" s="4">
        <v>45.7854026702975</v>
      </c>
      <c r="L2032" s="19">
        <v>4.57854026702975E19</v>
      </c>
      <c r="M2032" s="20">
        <v>4.57854026702975E18</v>
      </c>
    </row>
    <row r="2033">
      <c r="A2033" s="6"/>
      <c r="B2033" s="6"/>
      <c r="C2033" s="4"/>
      <c r="D2033" s="4">
        <v>43.63500568887191</v>
      </c>
      <c r="E2033" s="4" t="s">
        <v>3295</v>
      </c>
      <c r="F2033" s="4"/>
      <c r="G2033" s="4"/>
      <c r="H2033" s="4"/>
      <c r="I2033" s="4" t="str">
        <f>IFERROR(__xludf.DUMMYFUNCTION("""COMPUTED_VALUE"""),"0x2add0d1f79d881854ae4de523d32fa1b267b2d21")</f>
        <v>0x2add0d1f79d881854ae4de523d32fa1b267b2d21</v>
      </c>
      <c r="J2033" s="18">
        <v>48.3641275995966</v>
      </c>
      <c r="K2033" s="4">
        <v>604.5515949949574</v>
      </c>
      <c r="L2033" s="19">
        <v>6.045515949949574E20</v>
      </c>
      <c r="M2033" s="20">
        <v>6.045515949949574E19</v>
      </c>
    </row>
    <row r="2034">
      <c r="A2034" s="6"/>
      <c r="B2034" s="6"/>
      <c r="C2034" s="4"/>
      <c r="D2034" s="4">
        <v>48.3641275995966</v>
      </c>
      <c r="E2034" s="4" t="s">
        <v>3297</v>
      </c>
      <c r="F2034" s="4"/>
      <c r="G2034" s="4"/>
      <c r="H2034" s="4"/>
      <c r="I2034" s="4" t="str">
        <f>IFERROR(__xludf.DUMMYFUNCTION("""COMPUTED_VALUE"""),"0x9b5c72f5e23e7b8118c2b47890e6f1d80584e688")</f>
        <v>0x9b5c72f5e23e7b8118c2b47890e6f1d80584e688</v>
      </c>
      <c r="J2034" s="18">
        <v>41.500663480094204</v>
      </c>
      <c r="K2034" s="4">
        <v>518.7582935011775</v>
      </c>
      <c r="L2034" s="19">
        <v>5.187582935011775E20</v>
      </c>
      <c r="M2034" s="20">
        <v>5.187582935011775E19</v>
      </c>
    </row>
    <row r="2035">
      <c r="A2035" s="6"/>
      <c r="B2035" s="6"/>
      <c r="C2035" s="4"/>
      <c r="D2035" s="4">
        <v>3.52186828348802</v>
      </c>
      <c r="E2035" s="4" t="s">
        <v>3298</v>
      </c>
      <c r="F2035" s="4"/>
      <c r="G2035" s="4"/>
      <c r="H2035" s="4"/>
      <c r="I2035" s="4" t="str">
        <f>IFERROR(__xludf.DUMMYFUNCTION("""COMPUTED_VALUE"""),"0x42b8cc92723ab32c19779a744fd8f096b8110831")</f>
        <v>0x42b8cc92723ab32c19779a744fd8f096b8110831</v>
      </c>
      <c r="J2035" s="18">
        <v>19.3456510398386</v>
      </c>
      <c r="K2035" s="4">
        <v>241.8206379979825</v>
      </c>
      <c r="L2035" s="19">
        <v>2.4182063799798248E20</v>
      </c>
      <c r="M2035" s="20">
        <v>2.418206379979825E19</v>
      </c>
    </row>
    <row r="2036">
      <c r="A2036" s="6"/>
      <c r="B2036" s="6"/>
      <c r="C2036" s="4"/>
      <c r="D2036" s="4">
        <v>8.93208906300047</v>
      </c>
      <c r="E2036" s="4" t="s">
        <v>3300</v>
      </c>
      <c r="F2036" s="4"/>
      <c r="G2036" s="4"/>
      <c r="H2036" s="4"/>
      <c r="I2036" s="4" t="str">
        <f>IFERROR(__xludf.DUMMYFUNCTION("""COMPUTED_VALUE"""),"0x4ebbb58e28d20eba8745af89328e41b4b022209b")</f>
        <v>0x4ebbb58e28d20eba8745af89328e41b4b022209b</v>
      </c>
      <c r="J2036" s="18">
        <v>9.672825519919328</v>
      </c>
      <c r="K2036" s="4">
        <v>120.9103189989916</v>
      </c>
      <c r="L2036" s="19">
        <v>1.209103189989916E20</v>
      </c>
      <c r="M2036" s="20">
        <v>1.209103189989916E19</v>
      </c>
    </row>
    <row r="2037">
      <c r="A2037" s="6"/>
      <c r="B2037" s="6"/>
      <c r="C2037" s="4"/>
      <c r="D2037" s="4">
        <v>48.3641275995966</v>
      </c>
      <c r="E2037" s="4" t="s">
        <v>3302</v>
      </c>
      <c r="F2037" s="4"/>
      <c r="G2037" s="4"/>
      <c r="H2037" s="4"/>
      <c r="I2037" s="4" t="str">
        <f>IFERROR(__xludf.DUMMYFUNCTION("""COMPUTED_VALUE"""),"0x9a41ae4e4b270be1d5d521f6e599e18501c322b1")</f>
        <v>0x9a41ae4e4b270be1d5d521f6e599e18501c322b1</v>
      </c>
      <c r="J2037" s="18">
        <v>48.3641275995966</v>
      </c>
      <c r="K2037" s="4">
        <v>604.5515949949574</v>
      </c>
      <c r="L2037" s="19">
        <v>6.045515949949574E20</v>
      </c>
      <c r="M2037" s="20">
        <v>6.045515949949574E19</v>
      </c>
    </row>
    <row r="2038">
      <c r="A2038" s="6"/>
      <c r="B2038" s="6"/>
      <c r="C2038" s="4"/>
      <c r="D2038" s="4">
        <v>48.3641275995966</v>
      </c>
      <c r="E2038" s="4" t="s">
        <v>3303</v>
      </c>
      <c r="F2038" s="4"/>
      <c r="G2038" s="4"/>
      <c r="H2038" s="4"/>
      <c r="I2038" s="4" t="str">
        <f>IFERROR(__xludf.DUMMYFUNCTION("""COMPUTED_VALUE"""),"0xed33129e63d4a00e1391cf66febaf4edbded851d")</f>
        <v>0xed33129e63d4a00e1391cf66febaf4edbded851d</v>
      </c>
      <c r="J2038" s="18">
        <v>8.892397704336119</v>
      </c>
      <c r="K2038" s="4">
        <v>111.15497130420148</v>
      </c>
      <c r="L2038" s="19">
        <v>1.1115497130420149E20</v>
      </c>
      <c r="M2038" s="20">
        <v>1.111549713042015E19</v>
      </c>
    </row>
    <row r="2039">
      <c r="A2039" s="6"/>
      <c r="B2039" s="6"/>
      <c r="C2039" s="4"/>
      <c r="D2039" s="4">
        <v>48.3641275995966</v>
      </c>
      <c r="E2039" s="4" t="s">
        <v>1146</v>
      </c>
      <c r="F2039" s="4"/>
      <c r="G2039" s="4"/>
      <c r="H2039" s="4"/>
      <c r="I2039" s="4" t="str">
        <f>IFERROR(__xludf.DUMMYFUNCTION("""COMPUTED_VALUE"""),"0x961dfd9168aa44cfc0b7e34fff815848eaa7c578")</f>
        <v>0x961dfd9168aa44cfc0b7e34fff815848eaa7c578</v>
      </c>
      <c r="J2039" s="18">
        <v>48.3641275995966</v>
      </c>
      <c r="K2039" s="4">
        <v>604.5515949949574</v>
      </c>
      <c r="L2039" s="19">
        <v>6.045515949949574E20</v>
      </c>
      <c r="M2039" s="20">
        <v>6.045515949949574E19</v>
      </c>
    </row>
    <row r="2040">
      <c r="A2040" s="6"/>
      <c r="B2040" s="6"/>
      <c r="C2040" s="4"/>
      <c r="D2040" s="4">
        <v>48.3641275995966</v>
      </c>
      <c r="E2040" s="4" t="s">
        <v>1256</v>
      </c>
      <c r="F2040" s="4"/>
      <c r="G2040" s="4"/>
      <c r="H2040" s="4"/>
      <c r="I2040" s="4" t="str">
        <f>IFERROR(__xludf.DUMMYFUNCTION("""COMPUTED_VALUE"""),"0x7fa78b1e53c79d3687ba7972428dd104c4ae6795")</f>
        <v>0x7fa78b1e53c79d3687ba7972428dd104c4ae6795</v>
      </c>
      <c r="J2040" s="18">
        <v>12.4544677917483</v>
      </c>
      <c r="K2040" s="4">
        <v>155.68084739685375</v>
      </c>
      <c r="L2040" s="19">
        <v>1.5568084739685374E20</v>
      </c>
      <c r="M2040" s="20">
        <v>1.5568084739685376E19</v>
      </c>
    </row>
    <row r="2041">
      <c r="A2041" s="6"/>
      <c r="B2041" s="6"/>
      <c r="C2041" s="4"/>
      <c r="D2041" s="4">
        <v>22.9142149637343</v>
      </c>
      <c r="E2041" s="4" t="s">
        <v>3304</v>
      </c>
      <c r="F2041" s="4"/>
      <c r="G2041" s="4"/>
      <c r="H2041" s="4"/>
      <c r="I2041" s="4" t="str">
        <f>IFERROR(__xludf.DUMMYFUNCTION("""COMPUTED_VALUE"""),"0xaaae5e021c2a5d3394492d531467c08c349333f0")</f>
        <v>0xaaae5e021c2a5d3394492d531467c08c349333f0</v>
      </c>
      <c r="J2041" s="18">
        <v>8.47544856290057</v>
      </c>
      <c r="K2041" s="4">
        <v>105.94310703625713</v>
      </c>
      <c r="L2041" s="19">
        <v>1.0594310703625712E20</v>
      </c>
      <c r="M2041" s="20">
        <v>1.0594310703625714E19</v>
      </c>
    </row>
    <row r="2042">
      <c r="A2042" s="6"/>
      <c r="B2042" s="6"/>
      <c r="C2042" s="4"/>
      <c r="D2042" s="4">
        <v>3.1806333096347403</v>
      </c>
      <c r="E2042" s="4" t="s">
        <v>3306</v>
      </c>
      <c r="F2042" s="4"/>
      <c r="G2042" s="4"/>
      <c r="H2042" s="4"/>
      <c r="I2042" s="4" t="str">
        <f>IFERROR(__xludf.DUMMYFUNCTION("""COMPUTED_VALUE"""),"0x076739d853a20c9f33ce01a69af034f82b9f9bcc")</f>
        <v>0x076739d853a20c9f33ce01a69af034f82b9f9bcc</v>
      </c>
      <c r="J2042" s="18">
        <v>10.429831937934201</v>
      </c>
      <c r="K2042" s="4">
        <v>130.3728992241775</v>
      </c>
      <c r="L2042" s="19">
        <v>1.3037289922417751E20</v>
      </c>
      <c r="M2042" s="20">
        <v>1.3037289922417752E19</v>
      </c>
    </row>
    <row r="2043">
      <c r="A2043" s="6"/>
      <c r="B2043" s="6"/>
      <c r="C2043" s="4"/>
      <c r="D2043" s="4">
        <v>48.3641275995966</v>
      </c>
      <c r="E2043" s="4" t="s">
        <v>3308</v>
      </c>
      <c r="F2043" s="4"/>
      <c r="G2043" s="4"/>
      <c r="H2043" s="4"/>
      <c r="I2043" s="4" t="str">
        <f>IFERROR(__xludf.DUMMYFUNCTION("""COMPUTED_VALUE"""),"0x7e4a58877c70bdfc29c42990b7255a49ea028f36")</f>
        <v>0x7e4a58877c70bdfc29c42990b7255a49ea028f36</v>
      </c>
      <c r="J2043" s="18">
        <v>11.8255656163329</v>
      </c>
      <c r="K2043" s="4">
        <v>147.81957020416124</v>
      </c>
      <c r="L2043" s="19">
        <v>1.4781957020416125E20</v>
      </c>
      <c r="M2043" s="20">
        <v>1.4781957020416125E19</v>
      </c>
    </row>
    <row r="2044">
      <c r="A2044" s="6"/>
      <c r="B2044" s="6"/>
      <c r="C2044" s="4"/>
      <c r="D2044" s="4">
        <v>48.3641275995966</v>
      </c>
      <c r="E2044" s="4" t="s">
        <v>3309</v>
      </c>
      <c r="F2044" s="4"/>
      <c r="G2044" s="4"/>
      <c r="H2044" s="4"/>
      <c r="I2044" s="4" t="str">
        <f>IFERROR(__xludf.DUMMYFUNCTION("""COMPUTED_VALUE"""),"0xef964526514e0e94909f959ab6ad73e9878b9333")</f>
        <v>0xef964526514e0e94909f959ab6ad73e9878b9333</v>
      </c>
      <c r="J2044" s="18">
        <v>57.106061535825</v>
      </c>
      <c r="K2044" s="4">
        <v>713.8257691978125</v>
      </c>
      <c r="L2044" s="19">
        <v>7.138257691978126E20</v>
      </c>
      <c r="M2044" s="20">
        <v>7.138257691978126E19</v>
      </c>
    </row>
    <row r="2045">
      <c r="A2045" s="6"/>
      <c r="B2045" s="6"/>
      <c r="C2045" s="4"/>
      <c r="D2045" s="4">
        <v>2.9720723238610898</v>
      </c>
      <c r="E2045" s="4" t="s">
        <v>844</v>
      </c>
      <c r="F2045" s="4"/>
      <c r="G2045" s="4"/>
      <c r="H2045" s="4"/>
      <c r="I2045" s="4" t="str">
        <f>IFERROR(__xludf.DUMMYFUNCTION("""COMPUTED_VALUE"""),"0x605981cfc1a070f08fcf206e258458836251c429")</f>
        <v>0x605981cfc1a070f08fcf206e258458836251c429</v>
      </c>
      <c r="J2045" s="18">
        <v>1.26243431772436</v>
      </c>
      <c r="K2045" s="4">
        <v>15.7804289715545</v>
      </c>
      <c r="L2045" s="19">
        <v>1.57804289715545E19</v>
      </c>
      <c r="M2045" s="20">
        <v>1.57804289715545E18</v>
      </c>
    </row>
    <row r="2046">
      <c r="A2046" s="6"/>
      <c r="B2046" s="6"/>
      <c r="C2046" s="4"/>
      <c r="D2046" s="4">
        <v>1.0282857228786901</v>
      </c>
      <c r="E2046" s="4" t="s">
        <v>3311</v>
      </c>
      <c r="F2046" s="4"/>
      <c r="G2046" s="4"/>
      <c r="H2046" s="4"/>
      <c r="I2046" s="4" t="str">
        <f>IFERROR(__xludf.DUMMYFUNCTION("""COMPUTED_VALUE"""),"0xbaa05f5cb4291a072f037b5284eec4deabfc73dd")</f>
        <v>0xbaa05f5cb4291a072f037b5284eec4deabfc73dd</v>
      </c>
      <c r="J2046" s="18">
        <v>32.6261099597914</v>
      </c>
      <c r="K2046" s="4">
        <v>407.82637449739246</v>
      </c>
      <c r="L2046" s="19">
        <v>4.0782637449739246E20</v>
      </c>
      <c r="M2046" s="20">
        <v>4.078263744973925E19</v>
      </c>
    </row>
    <row r="2047">
      <c r="A2047" s="6"/>
      <c r="B2047" s="6"/>
      <c r="C2047" s="4"/>
      <c r="D2047" s="4">
        <v>48.3641275995966</v>
      </c>
      <c r="E2047" s="4" t="s">
        <v>3313</v>
      </c>
      <c r="F2047" s="4"/>
      <c r="G2047" s="4"/>
      <c r="H2047" s="4"/>
      <c r="I2047" s="4" t="str">
        <f>IFERROR(__xludf.DUMMYFUNCTION("""COMPUTED_VALUE"""),"0x4d061713f112100fbda4c7d4d8e82000ad90267c")</f>
        <v>0x4d061713f112100fbda4c7d4d8e82000ad90267c</v>
      </c>
      <c r="J2047" s="18">
        <v>76.26592163072169</v>
      </c>
      <c r="K2047" s="4">
        <v>953.3240203840211</v>
      </c>
      <c r="L2047" s="19">
        <v>9.533240203840211E20</v>
      </c>
      <c r="M2047" s="20">
        <v>9.533240203840212E19</v>
      </c>
    </row>
    <row r="2048">
      <c r="A2048" s="6"/>
      <c r="B2048" s="6"/>
      <c r="C2048" s="4"/>
      <c r="D2048" s="4">
        <v>48.3641275995966</v>
      </c>
      <c r="E2048" s="4" t="s">
        <v>3314</v>
      </c>
      <c r="F2048" s="4"/>
      <c r="G2048" s="4"/>
      <c r="H2048" s="4"/>
      <c r="I2048" s="4" t="str">
        <f>IFERROR(__xludf.DUMMYFUNCTION("""COMPUTED_VALUE"""),"0x5104ddb7afc82108d0d372ded5dfb431a206ee54")</f>
        <v>0x5104ddb7afc82108d0d372ded5dfb431a206ee54</v>
      </c>
      <c r="J2048" s="18">
        <v>2.9018476559758</v>
      </c>
      <c r="K2048" s="4">
        <v>36.2730956996975</v>
      </c>
      <c r="L2048" s="19">
        <v>3.62730956996975E19</v>
      </c>
      <c r="M2048" s="20">
        <v>3.62730956996975E18</v>
      </c>
    </row>
    <row r="2049">
      <c r="A2049" s="6"/>
      <c r="B2049" s="6"/>
      <c r="C2049" s="4"/>
      <c r="D2049" s="4">
        <v>21.4772070363172</v>
      </c>
      <c r="E2049" s="4" t="s">
        <v>3315</v>
      </c>
      <c r="F2049" s="4"/>
      <c r="G2049" s="4"/>
      <c r="H2049" s="4"/>
      <c r="I2049" s="4" t="str">
        <f>IFERROR(__xludf.DUMMYFUNCTION("""COMPUTED_VALUE"""),"0x899a2f83acf2c8e270dac9c5547760442b49cb38")</f>
        <v>0x899a2f83acf2c8e270dac9c5547760442b49cb38</v>
      </c>
      <c r="J2049" s="18">
        <v>63.2349098873082</v>
      </c>
      <c r="K2049" s="4">
        <v>790.4363735913524</v>
      </c>
      <c r="L2049" s="19">
        <v>7.904363735913524E20</v>
      </c>
      <c r="M2049" s="20">
        <v>7.904363735913524E19</v>
      </c>
    </row>
    <row r="2050">
      <c r="A2050" s="6"/>
      <c r="B2050" s="6"/>
      <c r="C2050" s="4"/>
      <c r="D2050" s="4">
        <v>48.3641275995966</v>
      </c>
      <c r="E2050" s="4" t="s">
        <v>710</v>
      </c>
      <c r="F2050" s="4"/>
      <c r="G2050" s="4"/>
      <c r="H2050" s="4"/>
      <c r="I2050" s="4" t="str">
        <f>IFERROR(__xludf.DUMMYFUNCTION("""COMPUTED_VALUE"""),"0x1acef236514278e8c7e0f899365e715822b57872")</f>
        <v>0x1acef236514278e8c7e0f899365e715822b57872</v>
      </c>
      <c r="J2050" s="18">
        <v>3.46808874945997</v>
      </c>
      <c r="K2050" s="4">
        <v>43.351109368249624</v>
      </c>
      <c r="L2050" s="19">
        <v>4.335110936824962E19</v>
      </c>
      <c r="M2050" s="20">
        <v>4.3351109368249626E18</v>
      </c>
    </row>
    <row r="2051">
      <c r="A2051" s="6"/>
      <c r="B2051" s="6"/>
      <c r="C2051" s="4"/>
      <c r="D2051" s="4">
        <v>35.8738254926714</v>
      </c>
      <c r="E2051" s="4" t="s">
        <v>3317</v>
      </c>
      <c r="F2051" s="4"/>
      <c r="G2051" s="4"/>
      <c r="H2051" s="4"/>
      <c r="I2051" s="4" t="str">
        <f>IFERROR(__xludf.DUMMYFUNCTION("""COMPUTED_VALUE"""),"0x930a47e6f466802856a8aafa3bbf8588992a240a")</f>
        <v>0x930a47e6f466802856a8aafa3bbf8588992a240a</v>
      </c>
      <c r="J2051" s="18">
        <v>48.3641275995966</v>
      </c>
      <c r="K2051" s="4">
        <v>604.5515949949574</v>
      </c>
      <c r="L2051" s="19">
        <v>6.045515949949574E20</v>
      </c>
      <c r="M2051" s="20">
        <v>6.045515949949574E19</v>
      </c>
    </row>
    <row r="2052">
      <c r="A2052" s="6"/>
      <c r="B2052" s="6"/>
      <c r="C2052" s="4"/>
      <c r="D2052" s="4">
        <v>48.3433709894479</v>
      </c>
      <c r="E2052" s="4" t="s">
        <v>3319</v>
      </c>
      <c r="F2052" s="4"/>
      <c r="G2052" s="4"/>
      <c r="H2052" s="4"/>
      <c r="I2052" s="4" t="str">
        <f>IFERROR(__xludf.DUMMYFUNCTION("""COMPUTED_VALUE"""),"0xb719a46b5127184a2db02ea4d714754b4cd8fb74")</f>
        <v>0xb719a46b5127184a2db02ea4d714754b4cd8fb74</v>
      </c>
      <c r="J2052" s="18">
        <v>19.3456510398386</v>
      </c>
      <c r="K2052" s="4">
        <v>241.8206379979825</v>
      </c>
      <c r="L2052" s="19">
        <v>2.4182063799798248E20</v>
      </c>
      <c r="M2052" s="20">
        <v>2.418206379979825E19</v>
      </c>
    </row>
    <row r="2053">
      <c r="A2053" s="6"/>
      <c r="B2053" s="6"/>
      <c r="C2053" s="4"/>
      <c r="D2053" s="4">
        <v>15.863433852667699</v>
      </c>
      <c r="E2053" s="4" t="s">
        <v>3321</v>
      </c>
      <c r="F2053" s="4"/>
      <c r="G2053" s="4"/>
      <c r="H2053" s="4"/>
      <c r="I2053" s="4" t="str">
        <f>IFERROR(__xludf.DUMMYFUNCTION("""COMPUTED_VALUE"""),"0x0a0a72be217656ddddde6908ee0a5fe4e8eac8e9")</f>
        <v>0x0a0a72be217656ddddde6908ee0a5fe4e8eac8e9</v>
      </c>
      <c r="J2053" s="18">
        <v>48.3641275995966</v>
      </c>
      <c r="K2053" s="4">
        <v>604.5515949949574</v>
      </c>
      <c r="L2053" s="19">
        <v>6.045515949949574E20</v>
      </c>
      <c r="M2053" s="20">
        <v>6.045515949949574E19</v>
      </c>
    </row>
    <row r="2054">
      <c r="A2054" s="6"/>
      <c r="B2054" s="6"/>
      <c r="C2054" s="4"/>
      <c r="D2054" s="4">
        <v>2.78462224978739</v>
      </c>
      <c r="E2054" s="4" t="s">
        <v>3323</v>
      </c>
      <c r="F2054" s="4"/>
      <c r="G2054" s="4"/>
      <c r="H2054" s="4"/>
      <c r="I2054" s="4" t="str">
        <f>IFERROR(__xludf.DUMMYFUNCTION("""COMPUTED_VALUE"""),"0xaccc07936c70c86ea6338652013a9cb9f41423da")</f>
        <v>0xaccc07936c70c86ea6338652013a9cb9f41423da</v>
      </c>
      <c r="J2054" s="18">
        <v>113.4683136722219</v>
      </c>
      <c r="K2054" s="4">
        <v>1418.3539209027738</v>
      </c>
      <c r="L2054" s="19">
        <v>1.4183539209027739E21</v>
      </c>
      <c r="M2054" s="20">
        <v>1.418353920902774E20</v>
      </c>
    </row>
    <row r="2055">
      <c r="A2055" s="6"/>
      <c r="B2055" s="6"/>
      <c r="C2055" s="4"/>
      <c r="D2055" s="4">
        <v>44.4154974624941</v>
      </c>
      <c r="E2055" s="4" t="s">
        <v>3325</v>
      </c>
      <c r="F2055" s="4"/>
      <c r="G2055" s="4"/>
      <c r="H2055" s="4"/>
      <c r="I2055" s="4" t="str">
        <f>IFERROR(__xludf.DUMMYFUNCTION("""COMPUTED_VALUE"""),"0x562a2145d7cda12187f222127ac0ac390df93afb")</f>
        <v>0x562a2145d7cda12187f222127ac0ac390df93afb</v>
      </c>
      <c r="J2055" s="18">
        <v>19.3685628937274</v>
      </c>
      <c r="K2055" s="4">
        <v>242.1070361715925</v>
      </c>
      <c r="L2055" s="19">
        <v>2.421070361715925E20</v>
      </c>
      <c r="M2055" s="20">
        <v>2.421070361715925E19</v>
      </c>
    </row>
    <row r="2056">
      <c r="A2056" s="6"/>
      <c r="B2056" s="6"/>
      <c r="C2056" s="4"/>
      <c r="D2056" s="4">
        <v>24.1820637997983</v>
      </c>
      <c r="E2056" s="4" t="s">
        <v>3327</v>
      </c>
      <c r="F2056" s="4"/>
      <c r="G2056" s="4"/>
      <c r="H2056" s="4"/>
      <c r="I2056" s="4" t="str">
        <f>IFERROR(__xludf.DUMMYFUNCTION("""COMPUTED_VALUE"""),"0xb9195745bf50378007ff929a7b723ec76e98aeda")</f>
        <v>0xb9195745bf50378007ff929a7b723ec76e98aeda</v>
      </c>
      <c r="J2056" s="18">
        <v>96.2610501990373</v>
      </c>
      <c r="K2056" s="4">
        <v>1203.2631274879661</v>
      </c>
      <c r="L2056" s="19">
        <v>1.203263127487966E21</v>
      </c>
      <c r="M2056" s="20">
        <v>1.2032631274879661E20</v>
      </c>
    </row>
    <row r="2057">
      <c r="A2057" s="6"/>
      <c r="B2057" s="6"/>
      <c r="C2057" s="4"/>
      <c r="D2057" s="4">
        <v>12.0602694805667</v>
      </c>
      <c r="E2057" s="4" t="s">
        <v>3329</v>
      </c>
      <c r="F2057" s="4"/>
      <c r="G2057" s="4"/>
      <c r="H2057" s="4"/>
      <c r="I2057" s="4" t="str">
        <f>IFERROR(__xludf.DUMMYFUNCTION("""COMPUTED_VALUE"""),"0xdf13a4641b84cfd35f8eb36d961cb34f211e1e4c")</f>
        <v>0xdf13a4641b84cfd35f8eb36d961cb34f211e1e4c</v>
      </c>
      <c r="J2057" s="18">
        <v>9.398549108563241</v>
      </c>
      <c r="K2057" s="4">
        <v>117.48186385704051</v>
      </c>
      <c r="L2057" s="19">
        <v>1.174818638570405E20</v>
      </c>
      <c r="M2057" s="20">
        <v>1.174818638570405E19</v>
      </c>
    </row>
    <row r="2058">
      <c r="A2058" s="6"/>
      <c r="B2058" s="6"/>
      <c r="C2058" s="4"/>
      <c r="D2058" s="4">
        <v>48.3641275995966</v>
      </c>
      <c r="E2058" s="4" t="s">
        <v>3331</v>
      </c>
      <c r="F2058" s="4"/>
      <c r="G2058" s="4"/>
      <c r="H2058" s="4"/>
      <c r="I2058" s="4" t="str">
        <f>IFERROR(__xludf.DUMMYFUNCTION("""COMPUTED_VALUE"""),"0x86b948d4ae188424f451cdf285443ca169ff8fb4")</f>
        <v>0x86b948d4ae188424f451cdf285443ca169ff8fb4</v>
      </c>
      <c r="J2058" s="18">
        <v>48.3641275995966</v>
      </c>
      <c r="K2058" s="4">
        <v>604.5515949949574</v>
      </c>
      <c r="L2058" s="19">
        <v>6.045515949949574E20</v>
      </c>
      <c r="M2058" s="20">
        <v>6.045515949949574E19</v>
      </c>
    </row>
    <row r="2059">
      <c r="A2059" s="6"/>
      <c r="B2059" s="6"/>
      <c r="C2059" s="4"/>
      <c r="D2059" s="4">
        <v>48.3641275995966</v>
      </c>
      <c r="E2059" s="4" t="s">
        <v>3332</v>
      </c>
      <c r="F2059" s="4"/>
      <c r="G2059" s="4"/>
      <c r="H2059" s="4"/>
      <c r="I2059" s="4" t="str">
        <f>IFERROR(__xludf.DUMMYFUNCTION("""COMPUTED_VALUE"""),"0x8fe93990498823d700b97471025c663c014556ea")</f>
        <v>0x8fe93990498823d700b97471025c663c014556ea</v>
      </c>
      <c r="J2059" s="18">
        <v>14.5860253868846</v>
      </c>
      <c r="K2059" s="4">
        <v>182.3253173360575</v>
      </c>
      <c r="L2059" s="19">
        <v>1.823253173360575E20</v>
      </c>
      <c r="M2059" s="20">
        <v>1.8232531733605753E19</v>
      </c>
    </row>
    <row r="2060">
      <c r="A2060" s="6"/>
      <c r="B2060" s="6"/>
      <c r="C2060" s="4"/>
      <c r="D2060" s="4">
        <v>48.3641275995966</v>
      </c>
      <c r="E2060" s="4" t="s">
        <v>302</v>
      </c>
      <c r="F2060" s="4"/>
      <c r="G2060" s="4"/>
      <c r="H2060" s="4"/>
      <c r="I2060" s="4" t="str">
        <f>IFERROR(__xludf.DUMMYFUNCTION("""COMPUTED_VALUE"""),"0x555872105025352cadd475e19ceb753bf0b0606d")</f>
        <v>0x555872105025352cadd475e19ceb753bf0b0606d</v>
      </c>
      <c r="J2060" s="18">
        <v>48.3641275995966</v>
      </c>
      <c r="K2060" s="4">
        <v>604.5515949949574</v>
      </c>
      <c r="L2060" s="19">
        <v>6.045515949949574E20</v>
      </c>
      <c r="M2060" s="20">
        <v>6.045515949949574E19</v>
      </c>
    </row>
    <row r="2061">
      <c r="A2061" s="6"/>
      <c r="B2061" s="6"/>
      <c r="C2061" s="4"/>
      <c r="D2061" s="4">
        <v>35.0213213933129</v>
      </c>
      <c r="E2061" s="4" t="s">
        <v>3333</v>
      </c>
      <c r="F2061" s="4"/>
      <c r="G2061" s="4"/>
      <c r="H2061" s="4"/>
      <c r="I2061" s="4" t="str">
        <f>IFERROR(__xludf.DUMMYFUNCTION("""COMPUTED_VALUE"""),"0xf48b5cb6ab6bb287c598df2b937c135b48de69d7")</f>
        <v>0xf48b5cb6ab6bb287c598df2b937c135b48de69d7</v>
      </c>
      <c r="J2061" s="18">
        <v>57.66472560997164</v>
      </c>
      <c r="K2061" s="4">
        <v>720.8090701246455</v>
      </c>
      <c r="L2061" s="19">
        <v>7.208090701246455E20</v>
      </c>
      <c r="M2061" s="20">
        <v>7.208090701246455E19</v>
      </c>
    </row>
    <row r="2062">
      <c r="A2062" s="6"/>
      <c r="B2062" s="6"/>
      <c r="C2062" s="4"/>
      <c r="D2062" s="4">
        <v>48.3641275995966</v>
      </c>
      <c r="E2062" s="4" t="s">
        <v>3335</v>
      </c>
      <c r="F2062" s="4"/>
      <c r="G2062" s="4"/>
      <c r="H2062" s="4"/>
      <c r="I2062" s="4" t="str">
        <f>IFERROR(__xludf.DUMMYFUNCTION("""COMPUTED_VALUE"""),"0x90c4bf2bd887e0abc40fb3f1fad0d294ebb18146")</f>
        <v>0x90c4bf2bd887e0abc40fb3f1fad0d294ebb18146</v>
      </c>
      <c r="J2062" s="18">
        <v>57.83908793538226</v>
      </c>
      <c r="K2062" s="4">
        <v>722.9885991922782</v>
      </c>
      <c r="L2062" s="19">
        <v>7.229885991922783E20</v>
      </c>
      <c r="M2062" s="20">
        <v>7.229885991922783E19</v>
      </c>
    </row>
    <row r="2063">
      <c r="A2063" s="6"/>
      <c r="B2063" s="6"/>
      <c r="C2063" s="4"/>
      <c r="D2063" s="4">
        <v>17.9199669238544</v>
      </c>
      <c r="E2063" s="4" t="s">
        <v>3336</v>
      </c>
      <c r="F2063" s="4"/>
      <c r="G2063" s="4"/>
      <c r="H2063" s="4"/>
      <c r="I2063" s="4" t="str">
        <f>IFERROR(__xludf.DUMMYFUNCTION("""COMPUTED_VALUE"""),"0x4e6dc8ef42c3b10e075c2d2f8be71dd1cc24df3a")</f>
        <v>0x4e6dc8ef42c3b10e075c2d2f8be71dd1cc24df3a</v>
      </c>
      <c r="J2063" s="18">
        <v>94.9986783999502</v>
      </c>
      <c r="K2063" s="4">
        <v>1187.4834799993773</v>
      </c>
      <c r="L2063" s="19">
        <v>1.1874834799993773E21</v>
      </c>
      <c r="M2063" s="20">
        <v>1.1874834799993774E20</v>
      </c>
    </row>
    <row r="2064">
      <c r="A2064" s="6"/>
      <c r="B2064" s="6"/>
      <c r="C2064" s="4"/>
      <c r="D2064" s="4">
        <v>38.6913020796773</v>
      </c>
      <c r="E2064" s="4" t="s">
        <v>3338</v>
      </c>
      <c r="F2064" s="4"/>
      <c r="G2064" s="4"/>
      <c r="H2064" s="4"/>
      <c r="I2064" s="4" t="str">
        <f>IFERROR(__xludf.DUMMYFUNCTION("""COMPUTED_VALUE"""),"0xd29e7276f2a20bd338c7f7457bd7f64c02bdfbe1")</f>
        <v>0xd29e7276f2a20bd338c7f7457bd7f64c02bdfbe1</v>
      </c>
      <c r="J2064" s="18">
        <v>39.366895974044596</v>
      </c>
      <c r="K2064" s="4">
        <v>492.08619967555745</v>
      </c>
      <c r="L2064" s="19">
        <v>4.9208619967555745E20</v>
      </c>
      <c r="M2064" s="20">
        <v>4.920861996755575E19</v>
      </c>
    </row>
    <row r="2065">
      <c r="A2065" s="6"/>
      <c r="B2065" s="6"/>
      <c r="C2065" s="4"/>
      <c r="D2065" s="4">
        <v>48.3641275995966</v>
      </c>
      <c r="E2065" s="4" t="s">
        <v>3339</v>
      </c>
      <c r="F2065" s="4"/>
      <c r="G2065" s="4"/>
      <c r="H2065" s="4"/>
      <c r="I2065" s="4" t="str">
        <f>IFERROR(__xludf.DUMMYFUNCTION("""COMPUTED_VALUE"""),"0xcd027c62680056a228a167aeb74255f3fe6602a2")</f>
        <v>0xcd027c62680056a228a167aeb74255f3fe6602a2</v>
      </c>
      <c r="J2065" s="18">
        <v>94.8671176514718</v>
      </c>
      <c r="K2065" s="4">
        <v>1185.8389706433975</v>
      </c>
      <c r="L2065" s="19">
        <v>1.1858389706433975E21</v>
      </c>
      <c r="M2065" s="20">
        <v>1.1858389706433975E20</v>
      </c>
    </row>
    <row r="2066">
      <c r="A2066" s="6"/>
      <c r="B2066" s="6"/>
      <c r="C2066" s="4"/>
      <c r="D2066" s="4">
        <v>46.535075196201596</v>
      </c>
      <c r="E2066" s="4" t="s">
        <v>3340</v>
      </c>
      <c r="F2066" s="4"/>
      <c r="G2066" s="4"/>
      <c r="H2066" s="4"/>
      <c r="I2066" s="4" t="str">
        <f>IFERROR(__xludf.DUMMYFUNCTION("""COMPUTED_VALUE"""),"0x9aea522a4984c7dd21c0e3c25584f513ba02ba2c")</f>
        <v>0x9aea522a4984c7dd21c0e3c25584f513ba02ba2c</v>
      </c>
      <c r="J2066" s="18">
        <v>25.5042775459914</v>
      </c>
      <c r="K2066" s="4">
        <v>318.8034693248925</v>
      </c>
      <c r="L2066" s="19">
        <v>3.188034693248925E20</v>
      </c>
      <c r="M2066" s="20">
        <v>3.1880346932489253E19</v>
      </c>
    </row>
    <row r="2067">
      <c r="A2067" s="6"/>
      <c r="B2067" s="6"/>
      <c r="C2067" s="4"/>
      <c r="D2067" s="4">
        <v>40.7609009283214</v>
      </c>
      <c r="E2067" s="4" t="s">
        <v>1499</v>
      </c>
      <c r="F2067" s="4"/>
      <c r="G2067" s="4"/>
      <c r="H2067" s="4"/>
      <c r="I2067" s="4" t="str">
        <f>IFERROR(__xludf.DUMMYFUNCTION("""COMPUTED_VALUE"""),"0x2f9fea412205bad39afc7c533295768a6167110f")</f>
        <v>0x2f9fea412205bad39afc7c533295768a6167110f</v>
      </c>
      <c r="J2067" s="18">
        <v>39.10513220202581</v>
      </c>
      <c r="K2067" s="4">
        <v>488.8141525253226</v>
      </c>
      <c r="L2067" s="19">
        <v>4.888141525253226E20</v>
      </c>
      <c r="M2067" s="20">
        <v>4.8881415252532265E19</v>
      </c>
    </row>
    <row r="2068">
      <c r="A2068" s="6"/>
      <c r="B2068" s="6"/>
      <c r="C2068" s="4"/>
      <c r="D2068" s="4">
        <v>9.83129079351281</v>
      </c>
      <c r="E2068" s="4" t="s">
        <v>3343</v>
      </c>
      <c r="F2068" s="4"/>
      <c r="G2068" s="4"/>
      <c r="H2068" s="4"/>
      <c r="I2068" s="4" t="str">
        <f>IFERROR(__xludf.DUMMYFUNCTION("""COMPUTED_VALUE"""),"0x4fca2ceae9b16ec48318b891164676c7201fd571")</f>
        <v>0x4fca2ceae9b16ec48318b891164676c7201fd571</v>
      </c>
      <c r="J2068" s="18">
        <v>19.3456510398386</v>
      </c>
      <c r="K2068" s="4">
        <v>241.8206379979825</v>
      </c>
      <c r="L2068" s="19">
        <v>2.4182063799798248E20</v>
      </c>
      <c r="M2068" s="20">
        <v>2.418206379979825E19</v>
      </c>
    </row>
    <row r="2069">
      <c r="A2069" s="6"/>
      <c r="B2069" s="6"/>
      <c r="C2069" s="4"/>
      <c r="D2069" s="4">
        <v>43.7469635993619</v>
      </c>
      <c r="E2069" s="4" t="s">
        <v>3345</v>
      </c>
      <c r="F2069" s="4"/>
      <c r="G2069" s="4"/>
      <c r="H2069" s="4"/>
      <c r="I2069" s="4" t="str">
        <f>IFERROR(__xludf.DUMMYFUNCTION("""COMPUTED_VALUE"""),"0x389991c9ec843f553034507e692f38d688842dc5")</f>
        <v>0x389991c9ec843f553034507e692f38d688842dc5</v>
      </c>
      <c r="J2069" s="18">
        <v>0.195249055097363</v>
      </c>
      <c r="K2069" s="4">
        <v>2.4406131887170375</v>
      </c>
      <c r="L2069" s="19">
        <v>2.4406131887170376E18</v>
      </c>
      <c r="M2069" s="20">
        <v>2.4406131887170378E17</v>
      </c>
    </row>
    <row r="2070">
      <c r="A2070" s="6"/>
      <c r="B2070" s="6"/>
      <c r="C2070" s="4"/>
      <c r="D2070" s="4">
        <v>42.605609776109794</v>
      </c>
      <c r="E2070" s="4" t="s">
        <v>3347</v>
      </c>
      <c r="F2070" s="4"/>
      <c r="G2070" s="4"/>
      <c r="H2070" s="4"/>
      <c r="I2070" s="4" t="str">
        <f>IFERROR(__xludf.DUMMYFUNCTION("""COMPUTED_VALUE"""),"0x5323562731a2211ea3104a4efe7f6a1f1aee1e0c")</f>
        <v>0x5323562731a2211ea3104a4efe7f6a1f1aee1e0c</v>
      </c>
      <c r="J2070" s="18">
        <v>48.3641275995966</v>
      </c>
      <c r="K2070" s="4">
        <v>604.5515949949574</v>
      </c>
      <c r="L2070" s="19">
        <v>6.045515949949574E20</v>
      </c>
      <c r="M2070" s="20">
        <v>6.045515949949574E19</v>
      </c>
    </row>
    <row r="2071">
      <c r="A2071" s="6"/>
      <c r="B2071" s="6"/>
      <c r="C2071" s="4"/>
      <c r="D2071" s="4">
        <v>22.8769110091375</v>
      </c>
      <c r="E2071" s="4" t="s">
        <v>3349</v>
      </c>
      <c r="F2071" s="4"/>
      <c r="G2071" s="4"/>
      <c r="H2071" s="4"/>
      <c r="I2071" s="4" t="str">
        <f>IFERROR(__xludf.DUMMYFUNCTION("""COMPUTED_VALUE"""),"0x97ce674109bf84cdf4e6b8ca186add9cf854aba5")</f>
        <v>0x97ce674109bf84cdf4e6b8ca186add9cf854aba5</v>
      </c>
      <c r="J2071" s="18">
        <v>9.06642585388536</v>
      </c>
      <c r="K2071" s="4">
        <v>113.330323173567</v>
      </c>
      <c r="L2071" s="19">
        <v>1.1333032317356699E20</v>
      </c>
      <c r="M2071" s="20">
        <v>1.13330323173567E19</v>
      </c>
    </row>
    <row r="2072">
      <c r="A2072" s="6"/>
      <c r="B2072" s="6"/>
      <c r="C2072" s="4"/>
      <c r="D2072" s="4">
        <v>9.94325971394391</v>
      </c>
      <c r="E2072" s="4" t="s">
        <v>3351</v>
      </c>
      <c r="F2072" s="4"/>
      <c r="G2072" s="4"/>
      <c r="H2072" s="4"/>
      <c r="I2072" s="4" t="str">
        <f>IFERROR(__xludf.DUMMYFUNCTION("""COMPUTED_VALUE"""),"0x5e0490023392d1b63cfb8f41e3dbbf9e80c7443f")</f>
        <v>0x5e0490023392d1b63cfb8f41e3dbbf9e80c7443f</v>
      </c>
      <c r="J2072" s="18">
        <v>48.3641275995966</v>
      </c>
      <c r="K2072" s="4">
        <v>604.5515949949574</v>
      </c>
      <c r="L2072" s="19">
        <v>6.045515949949574E20</v>
      </c>
      <c r="M2072" s="20">
        <v>6.045515949949574E19</v>
      </c>
    </row>
    <row r="2073">
      <c r="A2073" s="6"/>
      <c r="B2073" s="6"/>
      <c r="C2073" s="4"/>
      <c r="D2073" s="4">
        <v>48.3641275995966</v>
      </c>
      <c r="E2073" s="4" t="s">
        <v>3353</v>
      </c>
      <c r="F2073" s="4"/>
      <c r="G2073" s="4"/>
      <c r="H2073" s="4"/>
      <c r="I2073" s="4" t="str">
        <f>IFERROR(__xludf.DUMMYFUNCTION("""COMPUTED_VALUE"""),"0x09bf1d41824ab27a9c38b8454339962eb45e1f05")</f>
        <v>0x09bf1d41824ab27a9c38b8454339962eb45e1f05</v>
      </c>
      <c r="J2073" s="18">
        <v>48.3641275995966</v>
      </c>
      <c r="K2073" s="4">
        <v>604.5515949949574</v>
      </c>
      <c r="L2073" s="19">
        <v>6.045515949949574E20</v>
      </c>
      <c r="M2073" s="20">
        <v>6.045515949949574E19</v>
      </c>
    </row>
    <row r="2074">
      <c r="A2074" s="6"/>
      <c r="B2074" s="6"/>
      <c r="C2074" s="4"/>
      <c r="D2074" s="4">
        <v>48.3641275995966</v>
      </c>
      <c r="E2074" s="4" t="s">
        <v>3354</v>
      </c>
      <c r="F2074" s="4"/>
      <c r="G2074" s="4"/>
      <c r="H2074" s="4"/>
      <c r="I2074" s="4" t="str">
        <f>IFERROR(__xludf.DUMMYFUNCTION("""COMPUTED_VALUE"""),"0xa75fdf0385943e17565a0b9d49654f6b4feb9e11")</f>
        <v>0xa75fdf0385943e17565a0b9d49654f6b4feb9e11</v>
      </c>
      <c r="J2074" s="18">
        <v>234.37608780709658</v>
      </c>
      <c r="K2074" s="4">
        <v>2929.7010975887074</v>
      </c>
      <c r="L2074" s="19">
        <v>2.9297010975887076E21</v>
      </c>
      <c r="M2074" s="20">
        <v>2.9297010975887078E20</v>
      </c>
    </row>
    <row r="2075">
      <c r="A2075" s="6"/>
      <c r="B2075" s="6"/>
      <c r="C2075" s="4"/>
      <c r="D2075" s="4">
        <v>48.3641275995966</v>
      </c>
      <c r="E2075" s="4" t="s">
        <v>3355</v>
      </c>
      <c r="F2075" s="4"/>
      <c r="G2075" s="4"/>
      <c r="H2075" s="4"/>
      <c r="I2075" s="4" t="str">
        <f>IFERROR(__xludf.DUMMYFUNCTION("""COMPUTED_VALUE"""),"0x369905fd5b412050943484d268a682b2893025f1")</f>
        <v>0x369905fd5b412050943484d268a682b2893025f1</v>
      </c>
      <c r="J2075" s="18">
        <v>14.044476790559001</v>
      </c>
      <c r="K2075" s="4">
        <v>175.55595988198752</v>
      </c>
      <c r="L2075" s="19">
        <v>1.7555595988198752E20</v>
      </c>
      <c r="M2075" s="20">
        <v>1.7555595988198752E19</v>
      </c>
    </row>
    <row r="2076">
      <c r="A2076" s="6"/>
      <c r="B2076" s="6"/>
      <c r="C2076" s="4"/>
      <c r="D2076" s="4">
        <v>0.627044704141208</v>
      </c>
      <c r="E2076" s="4" t="s">
        <v>3356</v>
      </c>
      <c r="F2076" s="4"/>
      <c r="G2076" s="4"/>
      <c r="H2076" s="4"/>
      <c r="I2076" s="4" t="str">
        <f>IFERROR(__xludf.DUMMYFUNCTION("""COMPUTED_VALUE"""),"0x168b761193ad0989ac5fe22b6765a516796aff58")</f>
        <v>0x168b761193ad0989ac5fe22b6765a516796aff58</v>
      </c>
      <c r="J2076" s="18">
        <v>142.80801430996502</v>
      </c>
      <c r="K2076" s="4">
        <v>1785.1001788745627</v>
      </c>
      <c r="L2076" s="19">
        <v>1.7851001788745628E21</v>
      </c>
      <c r="M2076" s="20">
        <v>1.785100178874563E20</v>
      </c>
    </row>
    <row r="2077">
      <c r="A2077" s="6"/>
      <c r="B2077" s="6"/>
      <c r="C2077" s="4"/>
      <c r="D2077" s="4">
        <v>19.3456510398386</v>
      </c>
      <c r="E2077" s="4" t="s">
        <v>3358</v>
      </c>
      <c r="F2077" s="4"/>
      <c r="G2077" s="4"/>
      <c r="H2077" s="4"/>
      <c r="I2077" s="4" t="str">
        <f>IFERROR(__xludf.DUMMYFUNCTION("""COMPUTED_VALUE"""),"0x06b5d9f25a5188515beeb2c77df860b121f95287")</f>
        <v>0x06b5d9f25a5188515beeb2c77df860b121f95287</v>
      </c>
      <c r="J2077" s="18">
        <v>48.3641275995966</v>
      </c>
      <c r="K2077" s="4">
        <v>604.5515949949574</v>
      </c>
      <c r="L2077" s="19">
        <v>6.045515949949574E20</v>
      </c>
      <c r="M2077" s="20">
        <v>6.045515949949574E19</v>
      </c>
    </row>
    <row r="2078">
      <c r="A2078" s="6"/>
      <c r="B2078" s="6"/>
      <c r="C2078" s="4"/>
      <c r="D2078" s="4">
        <v>36.167416922451196</v>
      </c>
      <c r="E2078" s="4" t="s">
        <v>3359</v>
      </c>
      <c r="F2078" s="4"/>
      <c r="G2078" s="4"/>
      <c r="H2078" s="4"/>
      <c r="I2078" s="4" t="str">
        <f>IFERROR(__xludf.DUMMYFUNCTION("""COMPUTED_VALUE"""),"0x25ee7aa1c12d73631a9155fed9816685a2a72bdf")</f>
        <v>0x25ee7aa1c12d73631a9155fed9816685a2a72bdf</v>
      </c>
      <c r="J2078" s="18">
        <v>48.3641275995966</v>
      </c>
      <c r="K2078" s="4">
        <v>604.5515949949574</v>
      </c>
      <c r="L2078" s="19">
        <v>6.045515949949574E20</v>
      </c>
      <c r="M2078" s="20">
        <v>6.045515949949574E19</v>
      </c>
    </row>
    <row r="2079">
      <c r="A2079" s="6"/>
      <c r="B2079" s="6"/>
      <c r="C2079" s="4"/>
      <c r="D2079" s="4">
        <v>9.879429467282101</v>
      </c>
      <c r="E2079" s="4" t="s">
        <v>3361</v>
      </c>
      <c r="F2079" s="4"/>
      <c r="G2079" s="4"/>
      <c r="H2079" s="4"/>
      <c r="I2079" s="4" t="str">
        <f>IFERROR(__xludf.DUMMYFUNCTION("""COMPUTED_VALUE"""),"0x75ab8b0ebf4c6b8ca754b458fb6c644172e3969d")</f>
        <v>0x75ab8b0ebf4c6b8ca754b458fb6c644172e3969d</v>
      </c>
      <c r="J2079" s="18">
        <v>57.66472560997164</v>
      </c>
      <c r="K2079" s="4">
        <v>720.8090701246455</v>
      </c>
      <c r="L2079" s="19">
        <v>7.208090701246455E20</v>
      </c>
      <c r="M2079" s="20">
        <v>7.208090701246455E19</v>
      </c>
    </row>
    <row r="2080">
      <c r="A2080" s="6"/>
      <c r="B2080" s="6"/>
      <c r="C2080" s="4"/>
      <c r="D2080" s="4">
        <v>48.3641275995966</v>
      </c>
      <c r="E2080" s="4" t="s">
        <v>3363</v>
      </c>
      <c r="F2080" s="4"/>
      <c r="G2080" s="4"/>
      <c r="H2080" s="4"/>
      <c r="I2080" s="4" t="str">
        <f>IFERROR(__xludf.DUMMYFUNCTION("""COMPUTED_VALUE"""),"0x53520968e284e9208699476ab289d7cded678bb1")</f>
        <v>0x53520968e284e9208699476ab289d7cded678bb1</v>
      </c>
      <c r="J2080" s="18">
        <v>48.3641275995966</v>
      </c>
      <c r="K2080" s="4">
        <v>604.5515949949574</v>
      </c>
      <c r="L2080" s="19">
        <v>6.045515949949574E20</v>
      </c>
      <c r="M2080" s="20">
        <v>6.045515949949574E19</v>
      </c>
    </row>
    <row r="2081">
      <c r="A2081" s="6"/>
      <c r="B2081" s="6"/>
      <c r="C2081" s="4"/>
      <c r="D2081" s="4">
        <v>48.3641275995966</v>
      </c>
      <c r="E2081" s="4" t="s">
        <v>3364</v>
      </c>
      <c r="F2081" s="4"/>
      <c r="G2081" s="4"/>
      <c r="H2081" s="4"/>
      <c r="I2081" s="4" t="str">
        <f>IFERROR(__xludf.DUMMYFUNCTION("""COMPUTED_VALUE"""),"0x901cb34bc3639fea9769f3cc25bcb9a6828533e0")</f>
        <v>0x901cb34bc3639fea9769f3cc25bcb9a6828533e0</v>
      </c>
      <c r="J2081" s="18">
        <v>57.66472560997164</v>
      </c>
      <c r="K2081" s="4">
        <v>720.8090701246455</v>
      </c>
      <c r="L2081" s="19">
        <v>7.208090701246455E20</v>
      </c>
      <c r="M2081" s="20">
        <v>7.208090701246455E19</v>
      </c>
    </row>
    <row r="2082">
      <c r="A2082" s="6"/>
      <c r="B2082" s="6"/>
      <c r="C2082" s="4"/>
      <c r="D2082" s="4">
        <v>0.7339209132363179</v>
      </c>
      <c r="E2082" s="4" t="s">
        <v>3365</v>
      </c>
      <c r="F2082" s="4"/>
      <c r="G2082" s="4"/>
      <c r="H2082" s="4"/>
      <c r="I2082" s="4" t="str">
        <f>IFERROR(__xludf.DUMMYFUNCTION("""COMPUTED_VALUE"""),"0x83e5a29af1b3781636255c049b5eb7a44341215b")</f>
        <v>0x83e5a29af1b3781636255c049b5eb7a44341215b</v>
      </c>
      <c r="J2082" s="18">
        <v>21.224215904174898</v>
      </c>
      <c r="K2082" s="4">
        <v>265.3026988021862</v>
      </c>
      <c r="L2082" s="19">
        <v>2.6530269880218622E20</v>
      </c>
      <c r="M2082" s="20">
        <v>2.6530269880218624E19</v>
      </c>
    </row>
    <row r="2083">
      <c r="A2083" s="6"/>
      <c r="B2083" s="6"/>
      <c r="C2083" s="4"/>
      <c r="D2083" s="4">
        <v>48.3641275995966</v>
      </c>
      <c r="E2083" s="4" t="s">
        <v>3367</v>
      </c>
      <c r="F2083" s="4"/>
      <c r="G2083" s="4"/>
      <c r="H2083" s="4"/>
      <c r="I2083" s="4" t="str">
        <f>IFERROR(__xludf.DUMMYFUNCTION("""COMPUTED_VALUE"""),"0x1908ba26169c9cfc5a3ed09a37113da28482d7f2")</f>
        <v>0x1908ba26169c9cfc5a3ed09a37113da28482d7f2</v>
      </c>
      <c r="J2083" s="18">
        <v>6.09486867378529</v>
      </c>
      <c r="K2083" s="4">
        <v>76.18585842231612</v>
      </c>
      <c r="L2083" s="19">
        <v>7.618585842231612E19</v>
      </c>
      <c r="M2083" s="20">
        <v>7.618585842231612E18</v>
      </c>
    </row>
    <row r="2084">
      <c r="A2084" s="6"/>
      <c r="B2084" s="6"/>
      <c r="C2084" s="4"/>
      <c r="D2084" s="4">
        <v>48.3641275995966</v>
      </c>
      <c r="E2084" s="4" t="s">
        <v>1524</v>
      </c>
      <c r="F2084" s="4"/>
      <c r="G2084" s="4"/>
      <c r="H2084" s="4"/>
      <c r="I2084" s="4" t="str">
        <f>IFERROR(__xludf.DUMMYFUNCTION("""COMPUTED_VALUE"""),"0x1d7ad01ba1b4e1daa20bd4c0de4d495cceeb2442")</f>
        <v>0x1d7ad01ba1b4e1daa20bd4c0de4d495cceeb2442</v>
      </c>
      <c r="J2084" s="18">
        <v>46.7021938819164</v>
      </c>
      <c r="K2084" s="4">
        <v>583.777423523955</v>
      </c>
      <c r="L2084" s="19">
        <v>5.83777423523955E20</v>
      </c>
      <c r="M2084" s="20">
        <v>5.83777423523955E19</v>
      </c>
    </row>
    <row r="2085">
      <c r="A2085" s="6"/>
      <c r="B2085" s="6"/>
      <c r="C2085" s="4"/>
      <c r="D2085" s="4">
        <v>48.3641275995966</v>
      </c>
      <c r="E2085" s="4" t="s">
        <v>3368</v>
      </c>
      <c r="F2085" s="4"/>
      <c r="G2085" s="4"/>
      <c r="H2085" s="4"/>
      <c r="I2085" s="4" t="str">
        <f>IFERROR(__xludf.DUMMYFUNCTION("""COMPUTED_VALUE"""),"0x6cab3eea2799bb0c91be9faaec28e4076c763e1d")</f>
        <v>0x6cab3eea2799bb0c91be9faaec28e4076c763e1d</v>
      </c>
      <c r="J2085" s="18">
        <v>234.37608780709658</v>
      </c>
      <c r="K2085" s="4">
        <v>2929.7010975887074</v>
      </c>
      <c r="L2085" s="19">
        <v>2.9297010975887076E21</v>
      </c>
      <c r="M2085" s="20">
        <v>2.9297010975887078E20</v>
      </c>
    </row>
    <row r="2086">
      <c r="A2086" s="6"/>
      <c r="B2086" s="6"/>
      <c r="C2086" s="4"/>
      <c r="D2086" s="4">
        <v>9.86628203031772</v>
      </c>
      <c r="E2086" s="4" t="s">
        <v>3369</v>
      </c>
      <c r="F2086" s="4"/>
      <c r="G2086" s="4"/>
      <c r="H2086" s="4"/>
      <c r="I2086" s="4" t="str">
        <f>IFERROR(__xludf.DUMMYFUNCTION("""COMPUTED_VALUE"""),"0xe63e7c1055aef17d89c11e4317d5bc602d71f33f")</f>
        <v>0xe63e7c1055aef17d89c11e4317d5bc602d71f33f</v>
      </c>
      <c r="J2086" s="18">
        <v>77.3369025662122</v>
      </c>
      <c r="K2086" s="4">
        <v>966.7112820776525</v>
      </c>
      <c r="L2086" s="19">
        <v>9.667112820776525E20</v>
      </c>
      <c r="M2086" s="20">
        <v>9.667112820776526E19</v>
      </c>
    </row>
    <row r="2087">
      <c r="A2087" s="6"/>
      <c r="B2087" s="6"/>
      <c r="C2087" s="4"/>
      <c r="D2087" s="4">
        <v>48.3641275995966</v>
      </c>
      <c r="E2087" s="4" t="s">
        <v>3370</v>
      </c>
      <c r="F2087" s="4"/>
      <c r="G2087" s="4"/>
      <c r="H2087" s="4"/>
      <c r="I2087" s="4" t="str">
        <f>IFERROR(__xludf.DUMMYFUNCTION("""COMPUTED_VALUE"""),"0xea8377bfdab6489b671eeefbc599d3f46d23ca5e")</f>
        <v>0xea8377bfdab6489b671eeefbc599d3f46d23ca5e</v>
      </c>
      <c r="J2087" s="18">
        <v>40.648064409640696</v>
      </c>
      <c r="K2087" s="4">
        <v>508.1008051205087</v>
      </c>
      <c r="L2087" s="19">
        <v>5.081008051205087E20</v>
      </c>
      <c r="M2087" s="20">
        <v>5.081008051205087E19</v>
      </c>
    </row>
    <row r="2088">
      <c r="A2088" s="6"/>
      <c r="B2088" s="6"/>
      <c r="C2088" s="4"/>
      <c r="D2088" s="4">
        <v>48.3641275995966</v>
      </c>
      <c r="E2088" s="4" t="s">
        <v>3371</v>
      </c>
      <c r="F2088" s="4"/>
      <c r="G2088" s="4"/>
      <c r="H2088" s="4"/>
      <c r="I2088" s="4" t="str">
        <f>IFERROR(__xludf.DUMMYFUNCTION("""COMPUTED_VALUE"""),"0xd77128e2835b13649d91e594075ac9846cd54689")</f>
        <v>0xd77128e2835b13649d91e594075ac9846cd54689</v>
      </c>
      <c r="J2088" s="18">
        <v>9.672825519919328</v>
      </c>
      <c r="K2088" s="4">
        <v>120.9103189989916</v>
      </c>
      <c r="L2088" s="19">
        <v>1.209103189989916E20</v>
      </c>
      <c r="M2088" s="20">
        <v>1.209103189989916E19</v>
      </c>
    </row>
    <row r="2089">
      <c r="A2089" s="6"/>
      <c r="B2089" s="6"/>
      <c r="C2089" s="4"/>
      <c r="D2089" s="4">
        <v>48.3641275995966</v>
      </c>
      <c r="E2089" s="4" t="s">
        <v>3372</v>
      </c>
      <c r="F2089" s="4"/>
      <c r="G2089" s="4"/>
      <c r="H2089" s="4"/>
      <c r="I2089" s="4" t="str">
        <f>IFERROR(__xludf.DUMMYFUNCTION("""COMPUTED_VALUE"""),"0x0c7278879e010d3bac78faa21e5d173926d244f5")</f>
        <v>0x0c7278879e010d3bac78faa21e5d173926d244f5</v>
      </c>
      <c r="J2089" s="18">
        <v>9.122827440099309</v>
      </c>
      <c r="K2089" s="4">
        <v>114.03534300124136</v>
      </c>
      <c r="L2089" s="19">
        <v>1.1403534300124135E20</v>
      </c>
      <c r="M2089" s="20">
        <v>1.1403534300124135E19</v>
      </c>
    </row>
    <row r="2090">
      <c r="A2090" s="6"/>
      <c r="B2090" s="6"/>
      <c r="C2090" s="4"/>
      <c r="D2090" s="4">
        <v>9.672825519919328</v>
      </c>
      <c r="E2090" s="4" t="s">
        <v>3373</v>
      </c>
      <c r="F2090" s="4"/>
      <c r="G2090" s="4"/>
      <c r="H2090" s="4"/>
      <c r="I2090" s="4" t="str">
        <f>IFERROR(__xludf.DUMMYFUNCTION("""COMPUTED_VALUE"""),"0xcf224847061cc156b2b32296f490015341c6e3ee")</f>
        <v>0xcf224847061cc156b2b32296f490015341c6e3ee</v>
      </c>
      <c r="J2090" s="18">
        <v>21.899044374963797</v>
      </c>
      <c r="K2090" s="4">
        <v>273.73805468704745</v>
      </c>
      <c r="L2090" s="19">
        <v>2.7373805468704745E20</v>
      </c>
      <c r="M2090" s="20">
        <v>2.7373805468704748E19</v>
      </c>
    </row>
    <row r="2091">
      <c r="A2091" s="6"/>
      <c r="B2091" s="6"/>
      <c r="C2091" s="4"/>
      <c r="D2091" s="4">
        <v>3.08102029224019</v>
      </c>
      <c r="E2091" s="4" t="s">
        <v>3374</v>
      </c>
      <c r="F2091" s="4"/>
      <c r="G2091" s="4"/>
      <c r="H2091" s="4"/>
      <c r="I2091" s="4" t="str">
        <f>IFERROR(__xludf.DUMMYFUNCTION("""COMPUTED_VALUE"""),"0xb6d3f44d325c35e8434bf389efd9ee83b19ded54")</f>
        <v>0xb6d3f44d325c35e8434bf389efd9ee83b19ded54</v>
      </c>
      <c r="J2091" s="18">
        <v>12.499990759826499</v>
      </c>
      <c r="K2091" s="4">
        <v>156.24988449783123</v>
      </c>
      <c r="L2091" s="19">
        <v>1.5624988449783123E20</v>
      </c>
      <c r="M2091" s="20">
        <v>1.5624988449783124E19</v>
      </c>
    </row>
    <row r="2092">
      <c r="A2092" s="6"/>
      <c r="B2092" s="6"/>
      <c r="C2092" s="4"/>
      <c r="D2092" s="4">
        <v>8.62179514828122</v>
      </c>
      <c r="E2092" s="4" t="s">
        <v>3376</v>
      </c>
      <c r="F2092" s="4"/>
      <c r="G2092" s="4"/>
      <c r="H2092" s="4"/>
      <c r="I2092" s="4" t="str">
        <f>IFERROR(__xludf.DUMMYFUNCTION("""COMPUTED_VALUE"""),"0x691c61b6a26cd7fff6e6c1604acd31d47804be86")</f>
        <v>0x691c61b6a26cd7fff6e6c1604acd31d47804be86</v>
      </c>
      <c r="J2092" s="18">
        <v>113.4683136722219</v>
      </c>
      <c r="K2092" s="4">
        <v>1418.3539209027738</v>
      </c>
      <c r="L2092" s="19">
        <v>1.4183539209027739E21</v>
      </c>
      <c r="M2092" s="20">
        <v>1.418353920902774E20</v>
      </c>
    </row>
    <row r="2093">
      <c r="A2093" s="6"/>
      <c r="B2093" s="6"/>
      <c r="C2093" s="4"/>
      <c r="D2093" s="4">
        <v>8.99128838224059</v>
      </c>
      <c r="E2093" s="4" t="s">
        <v>3378</v>
      </c>
      <c r="F2093" s="4"/>
      <c r="G2093" s="4"/>
      <c r="H2093" s="4"/>
      <c r="I2093" s="4" t="str">
        <f>IFERROR(__xludf.DUMMYFUNCTION("""COMPUTED_VALUE"""),"0x31164e7a218259c76e7b87aab237b8a0c35ef581")</f>
        <v>0x31164e7a218259c76e7b87aab237b8a0c35ef581</v>
      </c>
      <c r="J2093" s="18">
        <v>48.0617791614238</v>
      </c>
      <c r="K2093" s="4">
        <v>600.7722395177975</v>
      </c>
      <c r="L2093" s="19">
        <v>6.007722395177976E20</v>
      </c>
      <c r="M2093" s="20">
        <v>6.007722395177976E19</v>
      </c>
    </row>
    <row r="2094">
      <c r="A2094" s="6"/>
      <c r="B2094" s="6"/>
      <c r="C2094" s="4"/>
      <c r="D2094" s="4">
        <v>19.3456510398386</v>
      </c>
      <c r="E2094" s="4" t="s">
        <v>3380</v>
      </c>
      <c r="F2094" s="4"/>
      <c r="G2094" s="4"/>
      <c r="H2094" s="4"/>
      <c r="I2094" s="4" t="str">
        <f>IFERROR(__xludf.DUMMYFUNCTION("""COMPUTED_VALUE"""),"0x568e5b20ab39f5a3651d2cd42c5afaef49cc6d32")</f>
        <v>0x568e5b20ab39f5a3651d2cd42c5afaef49cc6d32</v>
      </c>
      <c r="J2094" s="18">
        <v>48.3641275995966</v>
      </c>
      <c r="K2094" s="4">
        <v>604.5515949949574</v>
      </c>
      <c r="L2094" s="19">
        <v>6.045515949949574E20</v>
      </c>
      <c r="M2094" s="20">
        <v>6.045515949949574E19</v>
      </c>
    </row>
    <row r="2095">
      <c r="A2095" s="6"/>
      <c r="B2095" s="6"/>
      <c r="C2095" s="4"/>
      <c r="D2095" s="4">
        <v>44.12439164931</v>
      </c>
      <c r="E2095" s="4" t="s">
        <v>3381</v>
      </c>
      <c r="F2095" s="4"/>
      <c r="G2095" s="4"/>
      <c r="H2095" s="4"/>
      <c r="I2095" s="4" t="str">
        <f>IFERROR(__xludf.DUMMYFUNCTION("""COMPUTED_VALUE"""),"0x9a096dee9cd3fcaf9f0f0806c1feaf176e2d5943")</f>
        <v>0x9a096dee9cd3fcaf9f0f0806c1feaf176e2d5943</v>
      </c>
      <c r="J2095" s="18">
        <v>57.70751051260572</v>
      </c>
      <c r="K2095" s="4">
        <v>721.3438814075715</v>
      </c>
      <c r="L2095" s="19">
        <v>7.213438814075716E20</v>
      </c>
      <c r="M2095" s="20">
        <v>7.2134388140757156E19</v>
      </c>
    </row>
    <row r="2096">
      <c r="A2096" s="6"/>
      <c r="B2096" s="6"/>
      <c r="C2096" s="4"/>
      <c r="D2096" s="4">
        <v>48.3641275995966</v>
      </c>
      <c r="E2096" s="4" t="s">
        <v>3383</v>
      </c>
      <c r="F2096" s="4"/>
      <c r="G2096" s="4"/>
      <c r="H2096" s="4"/>
      <c r="I2096" s="4" t="str">
        <f>IFERROR(__xludf.DUMMYFUNCTION("""COMPUTED_VALUE"""),"0x792ff39e292d988efc05a850684b26908956a366")</f>
        <v>0x792ff39e292d988efc05a850684b26908956a366</v>
      </c>
      <c r="J2096" s="18">
        <v>10.6019012979122</v>
      </c>
      <c r="K2096" s="4">
        <v>132.5237662239025</v>
      </c>
      <c r="L2096" s="19">
        <v>1.3252376622390249E20</v>
      </c>
      <c r="M2096" s="20">
        <v>1.325237662239025E19</v>
      </c>
    </row>
    <row r="2097">
      <c r="A2097" s="6"/>
      <c r="B2097" s="6"/>
      <c r="C2097" s="4"/>
      <c r="D2097" s="4">
        <v>21.0199877619114</v>
      </c>
      <c r="E2097" s="4" t="s">
        <v>3384</v>
      </c>
      <c r="F2097" s="4"/>
      <c r="G2097" s="4"/>
      <c r="H2097" s="4"/>
      <c r="I2097" s="4" t="str">
        <f>IFERROR(__xludf.DUMMYFUNCTION("""COMPUTED_VALUE"""),"0x159646f1986599bd74ac4619c8f359d1b97a5f00")</f>
        <v>0x159646f1986599bd74ac4619c8f359d1b97a5f00</v>
      </c>
      <c r="J2097" s="18">
        <v>48.3542388934999</v>
      </c>
      <c r="K2097" s="4">
        <v>604.4279861687487</v>
      </c>
      <c r="L2097" s="19">
        <v>6.044279861687487E20</v>
      </c>
      <c r="M2097" s="20">
        <v>6.044279861687488E19</v>
      </c>
    </row>
    <row r="2098">
      <c r="A2098" s="6"/>
      <c r="B2098" s="6"/>
      <c r="C2098" s="4"/>
      <c r="D2098" s="4">
        <v>31.4579130889498</v>
      </c>
      <c r="E2098" s="4" t="s">
        <v>3386</v>
      </c>
      <c r="F2098" s="4"/>
      <c r="G2098" s="4"/>
      <c r="H2098" s="4"/>
      <c r="I2098" s="4" t="str">
        <f>IFERROR(__xludf.DUMMYFUNCTION("""COMPUTED_VALUE"""),"0xed87ed81a8d45a868be703820c2b60052dd31441")</f>
        <v>0xed87ed81a8d45a868be703820c2b60052dd31441</v>
      </c>
      <c r="J2098" s="18">
        <v>15.8361400287374</v>
      </c>
      <c r="K2098" s="4">
        <v>197.9517503592175</v>
      </c>
      <c r="L2098" s="19">
        <v>1.979517503592175E20</v>
      </c>
      <c r="M2098" s="20">
        <v>1.9795175035921752E19</v>
      </c>
    </row>
    <row r="2099">
      <c r="A2099" s="6"/>
      <c r="B2099" s="6"/>
      <c r="C2099" s="4"/>
      <c r="D2099" s="4">
        <v>8.11185556303454</v>
      </c>
      <c r="E2099" s="4" t="s">
        <v>3388</v>
      </c>
      <c r="F2099" s="4"/>
      <c r="G2099" s="4"/>
      <c r="H2099" s="4"/>
      <c r="I2099" s="4" t="str">
        <f>IFERROR(__xludf.DUMMYFUNCTION("""COMPUTED_VALUE"""),"0xb9d766fd1289ca3661b14f4d792fd624c2bd3e65")</f>
        <v>0xb9d766fd1289ca3661b14f4d792fd624c2bd3e65</v>
      </c>
      <c r="J2099" s="18">
        <v>32.5797678943828</v>
      </c>
      <c r="K2099" s="4">
        <v>407.247098679785</v>
      </c>
      <c r="L2099" s="19">
        <v>4.0724709867978496E20</v>
      </c>
      <c r="M2099" s="20">
        <v>4.07247098679785E19</v>
      </c>
    </row>
    <row r="2100">
      <c r="A2100" s="6"/>
      <c r="B2100" s="6"/>
      <c r="C2100" s="4"/>
      <c r="D2100" s="4">
        <v>7.03167011118989</v>
      </c>
      <c r="E2100" s="4" t="s">
        <v>3390</v>
      </c>
      <c r="F2100" s="4"/>
      <c r="G2100" s="4"/>
      <c r="H2100" s="4"/>
      <c r="I2100" s="4" t="str">
        <f>IFERROR(__xludf.DUMMYFUNCTION("""COMPUTED_VALUE"""),"0x33483ee59d3fdffafe1a60369fba9438da7ab459")</f>
        <v>0x33483ee59d3fdffafe1a60369fba9438da7ab459</v>
      </c>
      <c r="J2100" s="18">
        <v>0.206320988879906</v>
      </c>
      <c r="K2100" s="4">
        <v>2.5790123609988247</v>
      </c>
      <c r="L2100" s="19">
        <v>2.5790123609988244E18</v>
      </c>
      <c r="M2100" s="20">
        <v>2.5790123609988246E17</v>
      </c>
    </row>
    <row r="2101">
      <c r="A2101" s="6"/>
      <c r="B2101" s="6"/>
      <c r="C2101" s="4"/>
      <c r="D2101" s="4">
        <v>43.9990869417773</v>
      </c>
      <c r="E2101" s="4" t="s">
        <v>348</v>
      </c>
      <c r="F2101" s="4"/>
      <c r="G2101" s="4"/>
      <c r="H2101" s="4"/>
      <c r="I2101" s="4" t="str">
        <f>IFERROR(__xludf.DUMMYFUNCTION("""COMPUTED_VALUE"""),"0x6e921c95e6d158364370aa3e8b9499dc921a2cd7")</f>
        <v>0x6e921c95e6d158364370aa3e8b9499dc921a2cd7</v>
      </c>
      <c r="J2101" s="18">
        <v>38.4928297389631</v>
      </c>
      <c r="K2101" s="4">
        <v>481.16037173703876</v>
      </c>
      <c r="L2101" s="19">
        <v>4.8116037173703875E20</v>
      </c>
      <c r="M2101" s="20">
        <v>4.811603717370388E19</v>
      </c>
    </row>
    <row r="2102">
      <c r="A2102" s="6"/>
      <c r="B2102" s="6"/>
      <c r="C2102" s="4"/>
      <c r="D2102" s="4">
        <v>48.3641275995966</v>
      </c>
      <c r="E2102" s="4" t="s">
        <v>3393</v>
      </c>
      <c r="F2102" s="4"/>
      <c r="G2102" s="4"/>
      <c r="H2102" s="4"/>
      <c r="I2102" s="4" t="str">
        <f>IFERROR(__xludf.DUMMYFUNCTION("""COMPUTED_VALUE"""),"0x2474b57e180da40b63df1c30f5a147ce21690de8")</f>
        <v>0x2474b57e180da40b63df1c30f5a147ce21690de8</v>
      </c>
      <c r="J2102" s="18">
        <v>44.0629471292165</v>
      </c>
      <c r="K2102" s="4">
        <v>550.7868391152062</v>
      </c>
      <c r="L2102" s="19">
        <v>5.507868391152062E20</v>
      </c>
      <c r="M2102" s="20">
        <v>5.5078683911520625E19</v>
      </c>
    </row>
    <row r="2103">
      <c r="A2103" s="6"/>
      <c r="B2103" s="6"/>
      <c r="C2103" s="4"/>
      <c r="D2103" s="4">
        <v>10.9269851775935</v>
      </c>
      <c r="E2103" s="4" t="s">
        <v>3394</v>
      </c>
      <c r="F2103" s="4"/>
      <c r="G2103" s="4"/>
      <c r="H2103" s="4"/>
      <c r="I2103" s="4" t="str">
        <f>IFERROR(__xludf.DUMMYFUNCTION("""COMPUTED_VALUE"""),"0x89a64d05d02760cb1c8fb5848a250e464449f117")</f>
        <v>0x89a64d05d02760cb1c8fb5848a250e464449f117</v>
      </c>
      <c r="J2103" s="18">
        <v>66.9747073564026</v>
      </c>
      <c r="K2103" s="4">
        <v>837.1838419550326</v>
      </c>
      <c r="L2103" s="19">
        <v>8.371838419550326E20</v>
      </c>
      <c r="M2103" s="20">
        <v>8.371838419550326E19</v>
      </c>
    </row>
    <row r="2104">
      <c r="A2104" s="6"/>
      <c r="B2104" s="6"/>
      <c r="C2104" s="4"/>
      <c r="D2104" s="4">
        <v>47.2429331728129</v>
      </c>
      <c r="E2104" s="4" t="s">
        <v>3396</v>
      </c>
      <c r="F2104" s="4"/>
      <c r="G2104" s="4"/>
      <c r="H2104" s="4"/>
      <c r="I2104" s="4" t="str">
        <f>IFERROR(__xludf.DUMMYFUNCTION("""COMPUTED_VALUE"""),"0x5530de9b8005774ce8f01a3ba3607f38b8b56bdb")</f>
        <v>0x5530de9b8005774ce8f01a3ba3607f38b8b56bdb</v>
      </c>
      <c r="J2104" s="18">
        <v>9.672825519919328</v>
      </c>
      <c r="K2104" s="4">
        <v>120.9103189989916</v>
      </c>
      <c r="L2104" s="19">
        <v>1.209103189989916E20</v>
      </c>
      <c r="M2104" s="20">
        <v>1.209103189989916E19</v>
      </c>
    </row>
    <row r="2105">
      <c r="A2105" s="6"/>
      <c r="B2105" s="6"/>
      <c r="C2105" s="4"/>
      <c r="D2105" s="4">
        <v>48.3641275995966</v>
      </c>
      <c r="E2105" s="4" t="s">
        <v>3398</v>
      </c>
      <c r="F2105" s="4"/>
      <c r="G2105" s="4"/>
      <c r="H2105" s="4"/>
      <c r="I2105" s="4" t="str">
        <f>IFERROR(__xludf.DUMMYFUNCTION("""COMPUTED_VALUE"""),"0x152f6428542d5634cbd00878f61ed6be88803cd9")</f>
        <v>0x152f6428542d5634cbd00878f61ed6be88803cd9</v>
      </c>
      <c r="J2105" s="18">
        <v>18.677914910623997</v>
      </c>
      <c r="K2105" s="4">
        <v>233.47393638279996</v>
      </c>
      <c r="L2105" s="19">
        <v>2.3347393638279997E20</v>
      </c>
      <c r="M2105" s="20">
        <v>2.334739363828E19</v>
      </c>
    </row>
    <row r="2106">
      <c r="A2106" s="6"/>
      <c r="B2106" s="6"/>
      <c r="C2106" s="4"/>
      <c r="D2106" s="4">
        <v>12.7278291216418</v>
      </c>
      <c r="E2106" s="4" t="s">
        <v>3399</v>
      </c>
      <c r="F2106" s="4"/>
      <c r="G2106" s="4"/>
      <c r="H2106" s="4"/>
      <c r="I2106" s="4" t="str">
        <f>IFERROR(__xludf.DUMMYFUNCTION("""COMPUTED_VALUE"""),"0xfee8c611f21cdaf8245c8e8024489357b9016328")</f>
        <v>0xfee8c611f21cdaf8245c8e8024489357b9016328</v>
      </c>
      <c r="J2106" s="18">
        <v>9.81845754578474</v>
      </c>
      <c r="K2106" s="4">
        <v>122.73071932230926</v>
      </c>
      <c r="L2106" s="19">
        <v>1.2273071932230926E20</v>
      </c>
      <c r="M2106" s="20">
        <v>1.2273071932230926E19</v>
      </c>
    </row>
    <row r="2107">
      <c r="A2107" s="6"/>
      <c r="B2107" s="6"/>
      <c r="C2107" s="4"/>
      <c r="D2107" s="4">
        <v>48.3641275995966</v>
      </c>
      <c r="E2107" s="4" t="s">
        <v>3401</v>
      </c>
      <c r="F2107" s="4"/>
      <c r="G2107" s="4"/>
      <c r="H2107" s="4"/>
      <c r="I2107" s="4" t="str">
        <f>IFERROR(__xludf.DUMMYFUNCTION("""COMPUTED_VALUE"""),"0x483248f07a3a34e340e829b6424288192b3a768b")</f>
        <v>0x483248f07a3a34e340e829b6424288192b3a768b</v>
      </c>
      <c r="J2107" s="18">
        <v>57.66472560997164</v>
      </c>
      <c r="K2107" s="4">
        <v>720.8090701246455</v>
      </c>
      <c r="L2107" s="19">
        <v>7.208090701246455E20</v>
      </c>
      <c r="M2107" s="20">
        <v>7.208090701246455E19</v>
      </c>
    </row>
    <row r="2108">
      <c r="A2108" s="6"/>
      <c r="B2108" s="6"/>
      <c r="C2108" s="4"/>
      <c r="D2108" s="4">
        <v>9.672825519919328</v>
      </c>
      <c r="E2108" s="4" t="s">
        <v>3402</v>
      </c>
      <c r="F2108" s="4"/>
      <c r="G2108" s="4"/>
      <c r="H2108" s="4"/>
      <c r="I2108" s="4" t="str">
        <f>IFERROR(__xludf.DUMMYFUNCTION("""COMPUTED_VALUE"""),"0x2094e9d573c7de072f1c33186b4ef018a12ac6e7")</f>
        <v>0x2094e9d573c7de072f1c33186b4ef018a12ac6e7</v>
      </c>
      <c r="J2108" s="18">
        <v>9.92890036364027</v>
      </c>
      <c r="K2108" s="4">
        <v>124.11125454550337</v>
      </c>
      <c r="L2108" s="19">
        <v>1.2411125454550337E20</v>
      </c>
      <c r="M2108" s="20">
        <v>1.2411125454550338E19</v>
      </c>
    </row>
    <row r="2109">
      <c r="A2109" s="6"/>
      <c r="B2109" s="6"/>
      <c r="C2109" s="4"/>
      <c r="D2109" s="4">
        <v>12.3925907254057</v>
      </c>
      <c r="E2109" s="4" t="s">
        <v>3403</v>
      </c>
      <c r="F2109" s="4"/>
      <c r="G2109" s="4"/>
      <c r="H2109" s="4"/>
      <c r="I2109" s="4" t="str">
        <f>IFERROR(__xludf.DUMMYFUNCTION("""COMPUTED_VALUE"""),"0xb28b7980b2b3030e0905c603cffe597b0426fc26")</f>
        <v>0xb28b7980b2b3030e0905c603cffe597b0426fc26</v>
      </c>
      <c r="J2109" s="18">
        <v>66.9653236203466</v>
      </c>
      <c r="K2109" s="4">
        <v>837.0665452543324</v>
      </c>
      <c r="L2109" s="19">
        <v>8.370665452543324E20</v>
      </c>
      <c r="M2109" s="20">
        <v>8.370665452543323E19</v>
      </c>
    </row>
    <row r="2110">
      <c r="A2110" s="6"/>
      <c r="B2110" s="6"/>
      <c r="C2110" s="4"/>
      <c r="D2110" s="4">
        <v>48.3641275995966</v>
      </c>
      <c r="E2110" s="4" t="s">
        <v>3405</v>
      </c>
      <c r="F2110" s="4"/>
      <c r="G2110" s="4"/>
      <c r="H2110" s="4"/>
      <c r="I2110" s="4" t="str">
        <f>IFERROR(__xludf.DUMMYFUNCTION("""COMPUTED_VALUE"""),"0x54874141b1d990bc1f81d3b3a5e2a1c35471ac33")</f>
        <v>0x54874141b1d990bc1f81d3b3a5e2a1c35471ac33</v>
      </c>
      <c r="J2110" s="18">
        <v>43.6829209278981</v>
      </c>
      <c r="K2110" s="4">
        <v>546.0365115987263</v>
      </c>
      <c r="L2110" s="19">
        <v>5.460365115987263E20</v>
      </c>
      <c r="M2110" s="20">
        <v>5.4603651159872635E19</v>
      </c>
    </row>
    <row r="2111">
      <c r="A2111" s="6"/>
      <c r="B2111" s="6"/>
      <c r="C2111" s="4"/>
      <c r="D2111" s="4">
        <v>39.2251235738688</v>
      </c>
      <c r="E2111" s="4" t="s">
        <v>3406</v>
      </c>
      <c r="F2111" s="4"/>
      <c r="G2111" s="4"/>
      <c r="H2111" s="4"/>
      <c r="I2111" s="4" t="str">
        <f>IFERROR(__xludf.DUMMYFUNCTION("""COMPUTED_VALUE"""),"0x41b5bef962950d053d81bdcdfbb7766045a4dfac")</f>
        <v>0x41b5bef962950d053d81bdcdfbb7766045a4dfac</v>
      </c>
      <c r="J2111" s="18">
        <v>9.672825519919328</v>
      </c>
      <c r="K2111" s="4">
        <v>120.9103189989916</v>
      </c>
      <c r="L2111" s="19">
        <v>1.209103189989916E20</v>
      </c>
      <c r="M2111" s="20">
        <v>1.209103189989916E19</v>
      </c>
    </row>
    <row r="2112">
      <c r="A2112" s="6"/>
      <c r="B2112" s="6"/>
      <c r="C2112" s="4"/>
      <c r="D2112" s="4">
        <v>4.77613314489394</v>
      </c>
      <c r="E2112" s="4" t="s">
        <v>3408</v>
      </c>
      <c r="F2112" s="4"/>
      <c r="G2112" s="4"/>
      <c r="H2112" s="4"/>
      <c r="I2112" s="4" t="str">
        <f>IFERROR(__xludf.DUMMYFUNCTION("""COMPUTED_VALUE"""),"0x3d4461895f3fbfd4af55fd5faa1aa9be73a61780")</f>
        <v>0x3d4461895f3fbfd4af55fd5faa1aa9be73a61780</v>
      </c>
      <c r="J2112" s="18">
        <v>111.3088030071597</v>
      </c>
      <c r="K2112" s="4">
        <v>1391.3600375894962</v>
      </c>
      <c r="L2112" s="19">
        <v>1.391360037589496E21</v>
      </c>
      <c r="M2112" s="20">
        <v>1.3913600375894961E20</v>
      </c>
    </row>
    <row r="2113">
      <c r="A2113" s="6"/>
      <c r="B2113" s="6"/>
      <c r="C2113" s="4"/>
      <c r="D2113" s="4">
        <v>19.479082203319898</v>
      </c>
      <c r="E2113" s="4" t="s">
        <v>3410</v>
      </c>
      <c r="F2113" s="4"/>
      <c r="G2113" s="4"/>
      <c r="H2113" s="4"/>
      <c r="I2113" s="4" t="str">
        <f>IFERROR(__xludf.DUMMYFUNCTION("""COMPUTED_VALUE"""),"0xde2d5765c3d9b4c1d791116de9a674c7490291ec")</f>
        <v>0xde2d5765c3d9b4c1d791116de9a674c7490291ec</v>
      </c>
      <c r="J2113" s="18">
        <v>9.860870050971341</v>
      </c>
      <c r="K2113" s="4">
        <v>123.26087563714177</v>
      </c>
      <c r="L2113" s="19">
        <v>1.2326087563714177E20</v>
      </c>
      <c r="M2113" s="20">
        <v>1.2326087563714177E19</v>
      </c>
    </row>
    <row r="2114">
      <c r="A2114" s="6"/>
      <c r="B2114" s="6"/>
      <c r="C2114" s="4"/>
      <c r="D2114" s="4">
        <v>48.3641275995966</v>
      </c>
      <c r="E2114" s="4" t="s">
        <v>3412</v>
      </c>
      <c r="F2114" s="4"/>
      <c r="G2114" s="4"/>
      <c r="H2114" s="4"/>
      <c r="I2114" s="4" t="str">
        <f>IFERROR(__xludf.DUMMYFUNCTION("""COMPUTED_VALUE"""),"0xadafd2049f5e5677948e66614aa2c82408940240")</f>
        <v>0xadafd2049f5e5677948e66614aa2c82408940240</v>
      </c>
      <c r="J2114" s="18">
        <v>48.3641275995966</v>
      </c>
      <c r="K2114" s="4">
        <v>604.5515949949574</v>
      </c>
      <c r="L2114" s="19">
        <v>6.045515949949574E20</v>
      </c>
      <c r="M2114" s="20">
        <v>6.045515949949574E19</v>
      </c>
    </row>
    <row r="2115">
      <c r="A2115" s="6"/>
      <c r="B2115" s="6"/>
      <c r="C2115" s="4"/>
      <c r="D2115" s="4">
        <v>30.449865528694</v>
      </c>
      <c r="E2115" s="4" t="s">
        <v>3413</v>
      </c>
      <c r="F2115" s="4"/>
      <c r="G2115" s="4"/>
      <c r="H2115" s="4"/>
      <c r="I2115" s="4" t="str">
        <f>IFERROR(__xludf.DUMMYFUNCTION("""COMPUTED_VALUE"""),"0x6de82d3d781dea738d26cd5bb69a7cfd1bc8835e")</f>
        <v>0x6de82d3d781dea738d26cd5bb69a7cfd1bc8835e</v>
      </c>
      <c r="J2115" s="18">
        <v>57.0609177415933</v>
      </c>
      <c r="K2115" s="4">
        <v>713.2614717699163</v>
      </c>
      <c r="L2115" s="19">
        <v>7.132614717699163E20</v>
      </c>
      <c r="M2115" s="20">
        <v>7.132614717699164E19</v>
      </c>
    </row>
    <row r="2116">
      <c r="A2116" s="6"/>
      <c r="B2116" s="6"/>
      <c r="C2116" s="4"/>
      <c r="D2116" s="4">
        <v>40.797622310542096</v>
      </c>
      <c r="E2116" s="4" t="s">
        <v>560</v>
      </c>
      <c r="F2116" s="4"/>
      <c r="G2116" s="4"/>
      <c r="H2116" s="4"/>
      <c r="I2116" s="4" t="str">
        <f>IFERROR(__xludf.DUMMYFUNCTION("""COMPUTED_VALUE"""),"0xd644bebb4cfa838931e28e689be1ebf651f7d9bd")</f>
        <v>0xd644bebb4cfa838931e28e689be1ebf651f7d9bd</v>
      </c>
      <c r="J2116" s="18">
        <v>47.2484735011197</v>
      </c>
      <c r="K2116" s="4">
        <v>590.6059187639962</v>
      </c>
      <c r="L2116" s="19">
        <v>5.906059187639962E20</v>
      </c>
      <c r="M2116" s="20">
        <v>5.906059187639962E19</v>
      </c>
    </row>
    <row r="2117">
      <c r="A2117" s="6"/>
      <c r="B2117" s="6"/>
      <c r="C2117" s="4"/>
      <c r="D2117" s="4">
        <v>29.018476559758</v>
      </c>
      <c r="E2117" s="4" t="s">
        <v>3416</v>
      </c>
      <c r="F2117" s="4"/>
      <c r="G2117" s="4"/>
      <c r="H2117" s="4"/>
      <c r="I2117" s="4" t="str">
        <f>IFERROR(__xludf.DUMMYFUNCTION("""COMPUTED_VALUE"""),"0x553b818cb2b8e54676edfd6c3993ca0c2de256fe")</f>
        <v>0x553b818cb2b8e54676edfd6c3993ca0c2de256fe</v>
      </c>
      <c r="J2117" s="18">
        <v>48.3641275995966</v>
      </c>
      <c r="K2117" s="4">
        <v>604.5515949949574</v>
      </c>
      <c r="L2117" s="19">
        <v>6.045515949949574E20</v>
      </c>
      <c r="M2117" s="20">
        <v>6.045515949949574E19</v>
      </c>
    </row>
    <row r="2118">
      <c r="A2118" s="6"/>
      <c r="B2118" s="6"/>
      <c r="C2118" s="4"/>
      <c r="D2118" s="4">
        <v>48.3641275995966</v>
      </c>
      <c r="E2118" s="4" t="s">
        <v>3417</v>
      </c>
      <c r="F2118" s="4"/>
      <c r="G2118" s="4"/>
      <c r="H2118" s="4"/>
      <c r="I2118" s="4" t="str">
        <f>IFERROR(__xludf.DUMMYFUNCTION("""COMPUTED_VALUE"""),"0xdfb7922591d7c636730b550475a41018221347c0")</f>
        <v>0xdfb7922591d7c636730b550475a41018221347c0</v>
      </c>
      <c r="J2118" s="18">
        <v>9.672825519919328</v>
      </c>
      <c r="K2118" s="4">
        <v>120.9103189989916</v>
      </c>
      <c r="L2118" s="19">
        <v>1.209103189989916E20</v>
      </c>
      <c r="M2118" s="20">
        <v>1.209103189989916E19</v>
      </c>
    </row>
    <row r="2119">
      <c r="A2119" s="6"/>
      <c r="B2119" s="6"/>
      <c r="C2119" s="4"/>
      <c r="D2119" s="4">
        <v>48.3641275995966</v>
      </c>
      <c r="E2119" s="4" t="s">
        <v>3418</v>
      </c>
      <c r="F2119" s="4"/>
      <c r="G2119" s="4"/>
      <c r="H2119" s="4"/>
      <c r="I2119" s="4" t="str">
        <f>IFERROR(__xludf.DUMMYFUNCTION("""COMPUTED_VALUE"""),"0x84e5d7fbb447e004469c1ebea188631f3883d3ef")</f>
        <v>0x84e5d7fbb447e004469c1ebea188631f3883d3ef</v>
      </c>
      <c r="J2119" s="18">
        <v>95.23914157188679</v>
      </c>
      <c r="K2119" s="4">
        <v>1190.489269648585</v>
      </c>
      <c r="L2119" s="19">
        <v>1.1904892696485849E21</v>
      </c>
      <c r="M2119" s="20">
        <v>1.1904892696485849E20</v>
      </c>
    </row>
    <row r="2120">
      <c r="A2120" s="6"/>
      <c r="B2120" s="6"/>
      <c r="C2120" s="4"/>
      <c r="D2120" s="4">
        <v>9.672825519919328</v>
      </c>
      <c r="E2120" s="4" t="s">
        <v>3419</v>
      </c>
      <c r="F2120" s="4"/>
      <c r="G2120" s="4"/>
      <c r="H2120" s="4"/>
      <c r="I2120" s="4" t="str">
        <f>IFERROR(__xludf.DUMMYFUNCTION("""COMPUTED_VALUE"""),"0x7ad5bbb1fb6d3e668bc4ece44646413c62bf5b87")</f>
        <v>0x7ad5bbb1fb6d3e668bc4ece44646413c62bf5b87</v>
      </c>
      <c r="J2120" s="18">
        <v>46.511554453206195</v>
      </c>
      <c r="K2120" s="4">
        <v>581.3944306650774</v>
      </c>
      <c r="L2120" s="19">
        <v>5.8139443066507736E20</v>
      </c>
      <c r="M2120" s="20">
        <v>5.813944306650774E19</v>
      </c>
    </row>
    <row r="2121">
      <c r="A2121" s="6"/>
      <c r="B2121" s="6"/>
      <c r="C2121" s="4"/>
      <c r="D2121" s="4">
        <v>34.8366236277601</v>
      </c>
      <c r="E2121" s="4" t="s">
        <v>3420</v>
      </c>
      <c r="F2121" s="4"/>
      <c r="G2121" s="4"/>
      <c r="H2121" s="4"/>
      <c r="I2121" s="4" t="str">
        <f>IFERROR(__xludf.DUMMYFUNCTION("""COMPUTED_VALUE"""),"0xa2e2faf691ac3f117d7ea018a7f63065f2a92206")</f>
        <v>0xa2e2faf691ac3f117d7ea018a7f63065f2a92206</v>
      </c>
      <c r="J2121" s="18">
        <v>48.3641275995966</v>
      </c>
      <c r="K2121" s="4">
        <v>604.5515949949574</v>
      </c>
      <c r="L2121" s="19">
        <v>6.045515949949574E20</v>
      </c>
      <c r="M2121" s="20">
        <v>6.045515949949574E19</v>
      </c>
    </row>
    <row r="2122">
      <c r="A2122" s="6"/>
      <c r="B2122" s="6"/>
      <c r="C2122" s="4"/>
      <c r="D2122" s="4">
        <v>48.001196581191</v>
      </c>
      <c r="E2122" s="4" t="s">
        <v>3422</v>
      </c>
      <c r="F2122" s="4"/>
      <c r="G2122" s="4"/>
      <c r="H2122" s="4"/>
      <c r="I2122" s="4" t="str">
        <f>IFERROR(__xludf.DUMMYFUNCTION("""COMPUTED_VALUE"""),"0x9e801b80594d05e7795b183a1fb48fb6cb78bda8")</f>
        <v>0x9e801b80594d05e7795b183a1fb48fb6cb78bda8</v>
      </c>
      <c r="J2122" s="18">
        <v>48.3641275995966</v>
      </c>
      <c r="K2122" s="4">
        <v>604.5515949949574</v>
      </c>
      <c r="L2122" s="19">
        <v>6.045515949949574E20</v>
      </c>
      <c r="M2122" s="20">
        <v>6.045515949949574E19</v>
      </c>
    </row>
    <row r="2123">
      <c r="A2123" s="6"/>
      <c r="B2123" s="6"/>
      <c r="C2123" s="4"/>
      <c r="D2123" s="4">
        <v>9.672825519919328</v>
      </c>
      <c r="E2123" s="4" t="s">
        <v>3424</v>
      </c>
      <c r="F2123" s="4"/>
      <c r="G2123" s="4"/>
      <c r="H2123" s="4"/>
      <c r="I2123" s="4" t="str">
        <f>IFERROR(__xludf.DUMMYFUNCTION("""COMPUTED_VALUE"""),"0x0aebe928e68758b9f2681647b8c75076e8af64c3")</f>
        <v>0x0aebe928e68758b9f2681647b8c75076e8af64c3</v>
      </c>
      <c r="J2123" s="18">
        <v>24.1820637997983</v>
      </c>
      <c r="K2123" s="4">
        <v>302.2757974974787</v>
      </c>
      <c r="L2123" s="19">
        <v>3.022757974974787E20</v>
      </c>
      <c r="M2123" s="20">
        <v>3.022757974974787E19</v>
      </c>
    </row>
    <row r="2124">
      <c r="A2124" s="6"/>
      <c r="B2124" s="6"/>
      <c r="C2124" s="4"/>
      <c r="D2124" s="4">
        <v>32.1185713730789</v>
      </c>
      <c r="E2124" s="4" t="s">
        <v>3425</v>
      </c>
      <c r="F2124" s="4"/>
      <c r="G2124" s="4"/>
      <c r="H2124" s="4"/>
      <c r="I2124" s="4" t="str">
        <f>IFERROR(__xludf.DUMMYFUNCTION("""COMPUTED_VALUE"""),"0xccf2f714d509dfdf6f1841d9b88b23f9f1917231")</f>
        <v>0xccf2f714d509dfdf6f1841d9b88b23f9f1917231</v>
      </c>
      <c r="J2124" s="18">
        <v>57.66472560997164</v>
      </c>
      <c r="K2124" s="4">
        <v>720.8090701246455</v>
      </c>
      <c r="L2124" s="19">
        <v>7.208090701246455E20</v>
      </c>
      <c r="M2124" s="20">
        <v>7.208090701246455E19</v>
      </c>
    </row>
    <row r="2125">
      <c r="A2125" s="6"/>
      <c r="B2125" s="6"/>
      <c r="C2125" s="4"/>
      <c r="D2125" s="4">
        <v>47.805384456280095</v>
      </c>
      <c r="E2125" s="4" t="s">
        <v>3427</v>
      </c>
      <c r="F2125" s="4"/>
      <c r="G2125" s="4"/>
      <c r="H2125" s="4"/>
      <c r="I2125" s="4" t="str">
        <f>IFERROR(__xludf.DUMMYFUNCTION("""COMPUTED_VALUE"""),"0x18861deec1286e7e093b57d038d8e2d4f958f865")</f>
        <v>0x18861deec1286e7e093b57d038d8e2d4f958f865</v>
      </c>
      <c r="J2125" s="18">
        <v>15.2364551653666</v>
      </c>
      <c r="K2125" s="4">
        <v>190.4556895670825</v>
      </c>
      <c r="L2125" s="19">
        <v>1.9045568956708248E20</v>
      </c>
      <c r="M2125" s="20">
        <v>1.904556895670825E19</v>
      </c>
    </row>
    <row r="2126">
      <c r="A2126" s="6"/>
      <c r="B2126" s="6"/>
      <c r="C2126" s="4"/>
      <c r="D2126" s="4">
        <v>9.09859218370522</v>
      </c>
      <c r="E2126" s="4" t="s">
        <v>3429</v>
      </c>
      <c r="F2126" s="4"/>
      <c r="G2126" s="4"/>
      <c r="H2126" s="4"/>
      <c r="I2126" s="4" t="str">
        <f>IFERROR(__xludf.DUMMYFUNCTION("""COMPUTED_VALUE"""),"0xcd103c73129536b229ceb779c6b1f0b82ae28774")</f>
        <v>0xcd103c73129536b229ceb779c6b1f0b82ae28774</v>
      </c>
      <c r="J2126" s="18">
        <v>6.17565258207851</v>
      </c>
      <c r="K2126" s="4">
        <v>77.19565727598138</v>
      </c>
      <c r="L2126" s="19">
        <v>7.719565727598138E19</v>
      </c>
      <c r="M2126" s="20">
        <v>7.719565727598138E18</v>
      </c>
    </row>
    <row r="2127">
      <c r="A2127" s="6"/>
      <c r="B2127" s="6"/>
      <c r="C2127" s="4"/>
      <c r="D2127" s="4">
        <v>48.3641275995966</v>
      </c>
      <c r="E2127" s="4" t="s">
        <v>3431</v>
      </c>
      <c r="F2127" s="4"/>
      <c r="G2127" s="4"/>
      <c r="H2127" s="4"/>
      <c r="I2127" s="4" t="str">
        <f>IFERROR(__xludf.DUMMYFUNCTION("""COMPUTED_VALUE"""),"0xacb7d58c5c23b9ea51f85f50a43bfeaf37fe43bf")</f>
        <v>0xacb7d58c5c23b9ea51f85f50a43bfeaf37fe43bf</v>
      </c>
      <c r="J2127" s="18">
        <v>57.66472560997164</v>
      </c>
      <c r="K2127" s="4">
        <v>720.8090701246455</v>
      </c>
      <c r="L2127" s="19">
        <v>7.208090701246455E20</v>
      </c>
      <c r="M2127" s="20">
        <v>7.208090701246455E19</v>
      </c>
    </row>
    <row r="2128">
      <c r="A2128" s="6"/>
      <c r="B2128" s="6"/>
      <c r="C2128" s="4"/>
      <c r="D2128" s="4">
        <v>45.026424037532806</v>
      </c>
      <c r="E2128" s="4" t="s">
        <v>3432</v>
      </c>
      <c r="F2128" s="4"/>
      <c r="G2128" s="4"/>
      <c r="H2128" s="4"/>
      <c r="I2128" s="4" t="str">
        <f>IFERROR(__xludf.DUMMYFUNCTION("""COMPUTED_VALUE"""),"0xf5652fc551f7b85d10a6413718fce7b7713ccb0b")</f>
        <v>0xf5652fc551f7b85d10a6413718fce7b7713ccb0b</v>
      </c>
      <c r="J2128" s="18">
        <v>9.672825519919328</v>
      </c>
      <c r="K2128" s="4">
        <v>120.9103189989916</v>
      </c>
      <c r="L2128" s="19">
        <v>1.209103189989916E20</v>
      </c>
      <c r="M2128" s="20">
        <v>1.209103189989916E19</v>
      </c>
    </row>
    <row r="2129">
      <c r="A2129" s="6"/>
      <c r="B2129" s="6"/>
      <c r="C2129" s="4"/>
      <c r="D2129" s="4">
        <v>12.348021087958701</v>
      </c>
      <c r="E2129" s="4" t="s">
        <v>3434</v>
      </c>
      <c r="F2129" s="4"/>
      <c r="G2129" s="4"/>
      <c r="H2129" s="4"/>
      <c r="I2129" s="4" t="str">
        <f>IFERROR(__xludf.DUMMYFUNCTION("""COMPUTED_VALUE"""),"0xffc1a14e91702a99445ba9c5cdfa836af8788839")</f>
        <v>0xffc1a14e91702a99445ba9c5cdfa836af8788839</v>
      </c>
      <c r="J2129" s="18">
        <v>84.2652869224606</v>
      </c>
      <c r="K2129" s="4">
        <v>1053.3160865307575</v>
      </c>
      <c r="L2129" s="19">
        <v>1.0533160865307575E21</v>
      </c>
      <c r="M2129" s="20">
        <v>1.0533160865307576E20</v>
      </c>
    </row>
    <row r="2130">
      <c r="A2130" s="6"/>
      <c r="B2130" s="6"/>
      <c r="C2130" s="4"/>
      <c r="D2130" s="4">
        <v>9.653657996669828</v>
      </c>
      <c r="E2130" s="4" t="s">
        <v>3436</v>
      </c>
      <c r="F2130" s="4"/>
      <c r="G2130" s="4"/>
      <c r="H2130" s="4"/>
      <c r="I2130" s="4" t="str">
        <f>IFERROR(__xludf.DUMMYFUNCTION("""COMPUTED_VALUE"""),"0x47a439c55b282be986ea07e1b5fc81cd3fa41148")</f>
        <v>0x47a439c55b282be986ea07e1b5fc81cd3fa41148</v>
      </c>
      <c r="J2130" s="18">
        <v>169.2719017344716</v>
      </c>
      <c r="K2130" s="4">
        <v>2115.898771680895</v>
      </c>
      <c r="L2130" s="19">
        <v>2.1158987716808952E21</v>
      </c>
      <c r="M2130" s="20">
        <v>2.1158987716808953E20</v>
      </c>
    </row>
    <row r="2131">
      <c r="A2131" s="6"/>
      <c r="B2131" s="6"/>
      <c r="C2131" s="4"/>
      <c r="D2131" s="4">
        <v>48.3641275995966</v>
      </c>
      <c r="E2131" s="4" t="s">
        <v>3438</v>
      </c>
      <c r="F2131" s="4"/>
      <c r="G2131" s="4"/>
      <c r="H2131" s="4"/>
      <c r="I2131" s="4" t="str">
        <f>IFERROR(__xludf.DUMMYFUNCTION("""COMPUTED_VALUE"""),"0x827d952190910fb5d2c15ce2aa03a712da213233")</f>
        <v>0x827d952190910fb5d2c15ce2aa03a712da213233</v>
      </c>
      <c r="J2131" s="18">
        <v>19.3456510398386</v>
      </c>
      <c r="K2131" s="4">
        <v>241.8206379979825</v>
      </c>
      <c r="L2131" s="19">
        <v>2.4182063799798248E20</v>
      </c>
      <c r="M2131" s="20">
        <v>2.418206379979825E19</v>
      </c>
    </row>
    <row r="2132">
      <c r="A2132" s="6"/>
      <c r="B2132" s="6"/>
      <c r="C2132" s="4"/>
      <c r="D2132" s="4">
        <v>45.474032965206</v>
      </c>
      <c r="E2132" s="4" t="s">
        <v>3439</v>
      </c>
      <c r="F2132" s="4"/>
      <c r="G2132" s="4"/>
      <c r="H2132" s="4"/>
      <c r="I2132" s="4" t="str">
        <f>IFERROR(__xludf.DUMMYFUNCTION("""COMPUTED_VALUE"""),"0x3064b9a8a7cba8bbce8d5cf368d3b5dffc925444")</f>
        <v>0x3064b9a8a7cba8bbce8d5cf368d3b5dffc925444</v>
      </c>
      <c r="J2132" s="18">
        <v>48.3641275995966</v>
      </c>
      <c r="K2132" s="4">
        <v>604.5515949949574</v>
      </c>
      <c r="L2132" s="19">
        <v>6.045515949949574E20</v>
      </c>
      <c r="M2132" s="20">
        <v>6.045515949949574E19</v>
      </c>
    </row>
    <row r="2133">
      <c r="A2133" s="6"/>
      <c r="B2133" s="6"/>
      <c r="C2133" s="4"/>
      <c r="D2133" s="4">
        <v>9.63951924080517</v>
      </c>
      <c r="E2133" s="4" t="s">
        <v>3441</v>
      </c>
      <c r="F2133" s="4"/>
      <c r="G2133" s="4"/>
      <c r="H2133" s="4"/>
      <c r="I2133" s="4" t="str">
        <f>IFERROR(__xludf.DUMMYFUNCTION("""COMPUTED_VALUE"""),"0xb4d700dd99fd08b4b8b31edeaf7d7fd82503251f")</f>
        <v>0xb4d700dd99fd08b4b8b31edeaf7d7fd82503251f</v>
      </c>
      <c r="J2133" s="18">
        <v>78.14718664125539</v>
      </c>
      <c r="K2133" s="4">
        <v>976.8398330156923</v>
      </c>
      <c r="L2133" s="19">
        <v>9.768398330156923E20</v>
      </c>
      <c r="M2133" s="20">
        <v>9.768398330156923E19</v>
      </c>
    </row>
    <row r="2134">
      <c r="A2134" s="6"/>
      <c r="B2134" s="6"/>
      <c r="C2134" s="4"/>
      <c r="D2134" s="4">
        <v>0.703033937428413</v>
      </c>
      <c r="E2134" s="4" t="s">
        <v>3443</v>
      </c>
      <c r="F2134" s="4"/>
      <c r="G2134" s="4"/>
      <c r="H2134" s="4"/>
      <c r="I2134" s="4" t="str">
        <f>IFERROR(__xludf.DUMMYFUNCTION("""COMPUTED_VALUE"""),"0xe5f7edca0473beae009901de26373e0c705eee35")</f>
        <v>0xe5f7edca0473beae009901de26373e0c705eee35</v>
      </c>
      <c r="J2134" s="18">
        <v>9.719920524775521</v>
      </c>
      <c r="K2134" s="4">
        <v>121.49900655969401</v>
      </c>
      <c r="L2134" s="19">
        <v>1.2149900655969401E20</v>
      </c>
      <c r="M2134" s="20">
        <v>1.2149900655969403E19</v>
      </c>
    </row>
    <row r="2135">
      <c r="A2135" s="6"/>
      <c r="B2135" s="6"/>
      <c r="C2135" s="4"/>
      <c r="D2135" s="4">
        <v>48.3641275995966</v>
      </c>
      <c r="E2135" s="4" t="s">
        <v>3445</v>
      </c>
      <c r="F2135" s="4"/>
      <c r="G2135" s="4"/>
      <c r="H2135" s="4"/>
      <c r="I2135" s="4" t="str">
        <f>IFERROR(__xludf.DUMMYFUNCTION("""COMPUTED_VALUE"""),"0x8e7716e422a3fa64cf54fd057f02a7967968132c")</f>
        <v>0x8e7716e422a3fa64cf54fd057f02a7967968132c</v>
      </c>
      <c r="J2135" s="18">
        <v>48.3641275995966</v>
      </c>
      <c r="K2135" s="4">
        <v>604.5515949949574</v>
      </c>
      <c r="L2135" s="19">
        <v>6.045515949949574E20</v>
      </c>
      <c r="M2135" s="20">
        <v>6.045515949949574E19</v>
      </c>
    </row>
    <row r="2136">
      <c r="A2136" s="6"/>
      <c r="B2136" s="6"/>
      <c r="C2136" s="4"/>
      <c r="D2136" s="4">
        <v>11.6528742898836</v>
      </c>
      <c r="E2136" s="4" t="s">
        <v>3446</v>
      </c>
      <c r="F2136" s="4"/>
      <c r="G2136" s="4"/>
      <c r="H2136" s="4"/>
      <c r="I2136" s="4" t="str">
        <f>IFERROR(__xludf.DUMMYFUNCTION("""COMPUTED_VALUE"""),"0xbf137fdc3b151a202f2eefb33f56cc5b2b532597")</f>
        <v>0xbf137fdc3b151a202f2eefb33f56cc5b2b532597</v>
      </c>
      <c r="J2136" s="18">
        <v>48.3641275995966</v>
      </c>
      <c r="K2136" s="4">
        <v>604.5515949949574</v>
      </c>
      <c r="L2136" s="19">
        <v>6.045515949949574E20</v>
      </c>
      <c r="M2136" s="20">
        <v>6.045515949949574E19</v>
      </c>
    </row>
    <row r="2137">
      <c r="A2137" s="6"/>
      <c r="B2137" s="6"/>
      <c r="C2137" s="4"/>
      <c r="D2137" s="4">
        <v>48.3641275995966</v>
      </c>
      <c r="E2137" s="4" t="s">
        <v>3448</v>
      </c>
      <c r="F2137" s="4"/>
      <c r="G2137" s="4"/>
      <c r="H2137" s="4"/>
      <c r="I2137" s="4" t="str">
        <f>IFERROR(__xludf.DUMMYFUNCTION("""COMPUTED_VALUE"""),"0xd7c619d5c77ce5880dc81fd765a43f9f6d0d6226")</f>
        <v>0xd7c619d5c77ce5880dc81fd765a43f9f6d0d6226</v>
      </c>
      <c r="J2137" s="18">
        <v>9.17022274295844</v>
      </c>
      <c r="K2137" s="4">
        <v>114.6277842869805</v>
      </c>
      <c r="L2137" s="19">
        <v>1.146277842869805E20</v>
      </c>
      <c r="M2137" s="20">
        <v>1.146277842869805E19</v>
      </c>
    </row>
    <row r="2138">
      <c r="A2138" s="6"/>
      <c r="B2138" s="6"/>
      <c r="C2138" s="4"/>
      <c r="D2138" s="4">
        <v>9.11358667337492</v>
      </c>
      <c r="E2138" s="4" t="s">
        <v>3449</v>
      </c>
      <c r="F2138" s="4"/>
      <c r="G2138" s="4"/>
      <c r="H2138" s="4"/>
      <c r="I2138" s="4" t="str">
        <f>IFERROR(__xludf.DUMMYFUNCTION("""COMPUTED_VALUE"""),"0x71e5d30de03720dd8fbe09cc0464792a8ae8aa2b")</f>
        <v>0x71e5d30de03720dd8fbe09cc0464792a8ae8aa2b</v>
      </c>
      <c r="J2138" s="18">
        <v>83.0380411542611</v>
      </c>
      <c r="K2138" s="4">
        <v>1037.9755144282638</v>
      </c>
      <c r="L2138" s="19">
        <v>1.0379755144282638E21</v>
      </c>
      <c r="M2138" s="20">
        <v>1.0379755144282638E20</v>
      </c>
    </row>
    <row r="2139">
      <c r="A2139" s="6"/>
      <c r="B2139" s="6"/>
      <c r="C2139" s="4"/>
      <c r="D2139" s="4">
        <v>48.3641275995966</v>
      </c>
      <c r="E2139" s="4" t="s">
        <v>3451</v>
      </c>
      <c r="F2139" s="4"/>
      <c r="G2139" s="4"/>
      <c r="H2139" s="4"/>
      <c r="I2139" s="4" t="str">
        <f>IFERROR(__xludf.DUMMYFUNCTION("""COMPUTED_VALUE"""),"0xf6197223f83c9dcf19c6455b875193bfd258918a")</f>
        <v>0xf6197223f83c9dcf19c6455b875193bfd258918a</v>
      </c>
      <c r="J2139" s="18">
        <v>46.043282720710195</v>
      </c>
      <c r="K2139" s="4">
        <v>575.5410340088774</v>
      </c>
      <c r="L2139" s="19">
        <v>5.755410340088774E20</v>
      </c>
      <c r="M2139" s="20">
        <v>5.755410340088775E19</v>
      </c>
    </row>
    <row r="2140">
      <c r="A2140" s="6"/>
      <c r="B2140" s="6"/>
      <c r="C2140" s="4"/>
      <c r="D2140" s="4">
        <v>1.09292963210601</v>
      </c>
      <c r="E2140" s="4" t="s">
        <v>3452</v>
      </c>
      <c r="F2140" s="4"/>
      <c r="G2140" s="4"/>
      <c r="H2140" s="4"/>
      <c r="I2140" s="4" t="str">
        <f>IFERROR(__xludf.DUMMYFUNCTION("""COMPUTED_VALUE"""),"0x1b44127a4943cfbc76346a93e97163a10caeaf25")</f>
        <v>0x1b44127a4943cfbc76346a93e97163a10caeaf25</v>
      </c>
      <c r="J2140" s="18">
        <v>9.710201833722689</v>
      </c>
      <c r="K2140" s="4">
        <v>121.37752292153361</v>
      </c>
      <c r="L2140" s="19">
        <v>1.213775229215336E20</v>
      </c>
      <c r="M2140" s="20">
        <v>1.213775229215336E19</v>
      </c>
    </row>
    <row r="2141">
      <c r="A2141" s="6"/>
      <c r="B2141" s="6"/>
      <c r="C2141" s="4"/>
      <c r="D2141" s="4">
        <v>48.3641275995966</v>
      </c>
      <c r="E2141" s="4" t="s">
        <v>3454</v>
      </c>
      <c r="F2141" s="4"/>
      <c r="G2141" s="4"/>
      <c r="H2141" s="4"/>
      <c r="I2141" s="4" t="str">
        <f>IFERROR(__xludf.DUMMYFUNCTION("""COMPUTED_VALUE"""),"0xd50256884311473bea3e6b870d91bef0aa79fa27")</f>
        <v>0xd50256884311473bea3e6b870d91bef0aa79fa27</v>
      </c>
      <c r="J2141" s="18">
        <v>9.755665604699852</v>
      </c>
      <c r="K2141" s="4">
        <v>121.94582005874814</v>
      </c>
      <c r="L2141" s="19">
        <v>1.2194582005874814E20</v>
      </c>
      <c r="M2141" s="20">
        <v>1.2194582005874815E19</v>
      </c>
    </row>
    <row r="2142">
      <c r="A2142" s="6"/>
      <c r="B2142" s="6"/>
      <c r="C2142" s="4"/>
      <c r="D2142" s="4">
        <v>48.3641275995966</v>
      </c>
      <c r="E2142" s="4" t="s">
        <v>3455</v>
      </c>
      <c r="F2142" s="4"/>
      <c r="G2142" s="4"/>
      <c r="H2142" s="4"/>
      <c r="I2142" s="4" t="str">
        <f>IFERROR(__xludf.DUMMYFUNCTION("""COMPUTED_VALUE"""),"0x045baf52947bf81033238fb3a72efaa5dfb3d9df")</f>
        <v>0x045baf52947bf81033238fb3a72efaa5dfb3d9df</v>
      </c>
      <c r="J2142" s="18">
        <v>20.3597403473859</v>
      </c>
      <c r="K2142" s="4">
        <v>254.49675434232375</v>
      </c>
      <c r="L2142" s="19">
        <v>2.5449675434232375E20</v>
      </c>
      <c r="M2142" s="20">
        <v>2.5449675434232377E19</v>
      </c>
    </row>
    <row r="2143">
      <c r="A2143" s="6"/>
      <c r="B2143" s="6"/>
      <c r="C2143" s="4"/>
      <c r="D2143" s="4">
        <v>21.2248182402642</v>
      </c>
      <c r="E2143" s="4" t="s">
        <v>3456</v>
      </c>
      <c r="F2143" s="4"/>
      <c r="G2143" s="4"/>
      <c r="H2143" s="4"/>
      <c r="I2143" s="4" t="str">
        <f>IFERROR(__xludf.DUMMYFUNCTION("""COMPUTED_VALUE"""),"0x1a38ddd62d0361d5856bae9ff435a8cff34648c6")</f>
        <v>0x1a38ddd62d0361d5856bae9ff435a8cff34648c6</v>
      </c>
      <c r="J2143" s="18">
        <v>113.4683136722219</v>
      </c>
      <c r="K2143" s="4">
        <v>1418.3539209027738</v>
      </c>
      <c r="L2143" s="19">
        <v>1.4183539209027739E21</v>
      </c>
      <c r="M2143" s="20">
        <v>1.418353920902774E20</v>
      </c>
    </row>
    <row r="2144">
      <c r="A2144" s="6"/>
      <c r="B2144" s="6"/>
      <c r="C2144" s="4"/>
      <c r="D2144" s="4">
        <v>48.3641275995966</v>
      </c>
      <c r="E2144" s="4" t="s">
        <v>3458</v>
      </c>
      <c r="F2144" s="4"/>
      <c r="G2144" s="4"/>
      <c r="H2144" s="4"/>
      <c r="I2144" s="4" t="str">
        <f>IFERROR(__xludf.DUMMYFUNCTION("""COMPUTED_VALUE"""),"0xb39ee33b9c93d58285178b5a1e237a1151ea188a")</f>
        <v>0xb39ee33b9c93d58285178b5a1e237a1151ea188a</v>
      </c>
      <c r="J2144" s="18">
        <v>7.3239811877556695</v>
      </c>
      <c r="K2144" s="4">
        <v>91.54976484694586</v>
      </c>
      <c r="L2144" s="19">
        <v>9.154976484694586E19</v>
      </c>
      <c r="M2144" s="20">
        <v>9.154976484694586E18</v>
      </c>
    </row>
    <row r="2145">
      <c r="A2145" s="6"/>
      <c r="B2145" s="6"/>
      <c r="C2145" s="4"/>
      <c r="D2145" s="4">
        <v>8.90939590887716</v>
      </c>
      <c r="E2145" s="4" t="s">
        <v>3459</v>
      </c>
      <c r="F2145" s="4"/>
      <c r="G2145" s="4"/>
      <c r="H2145" s="4"/>
      <c r="I2145" s="4" t="str">
        <f>IFERROR(__xludf.DUMMYFUNCTION("""COMPUTED_VALUE"""),"0x046a020ab8e7e0b33fba87f38bd3b91a5e0f43bc")</f>
        <v>0x046a020ab8e7e0b33fba87f38bd3b91a5e0f43bc</v>
      </c>
      <c r="J2145" s="18">
        <v>8.7055429679274</v>
      </c>
      <c r="K2145" s="4">
        <v>108.81928709909249</v>
      </c>
      <c r="L2145" s="19">
        <v>1.0881928709909248E20</v>
      </c>
      <c r="M2145" s="20">
        <v>1.0881928709909248E19</v>
      </c>
    </row>
    <row r="2146">
      <c r="A2146" s="6"/>
      <c r="B2146" s="6"/>
      <c r="C2146" s="4"/>
      <c r="D2146" s="4">
        <v>46.7306759171468</v>
      </c>
      <c r="E2146" s="4" t="s">
        <v>3461</v>
      </c>
      <c r="F2146" s="4"/>
      <c r="G2146" s="4"/>
      <c r="H2146" s="4"/>
      <c r="I2146" s="4" t="str">
        <f>IFERROR(__xludf.DUMMYFUNCTION("""COMPUTED_VALUE"""),"0xd8a5f4575a6d619a672a2b1aaa4a6aaf3edf821e")</f>
        <v>0xd8a5f4575a6d619a672a2b1aaa4a6aaf3edf821e</v>
      </c>
      <c r="J2146" s="18">
        <v>17.644565050920402</v>
      </c>
      <c r="K2146" s="4">
        <v>220.55706313650504</v>
      </c>
      <c r="L2146" s="19">
        <v>2.2055706313650504E20</v>
      </c>
      <c r="M2146" s="20">
        <v>2.2055706313650504E19</v>
      </c>
    </row>
    <row r="2147">
      <c r="A2147" s="6"/>
      <c r="B2147" s="6"/>
      <c r="C2147" s="4"/>
      <c r="D2147" s="4">
        <v>38.2648109973428</v>
      </c>
      <c r="E2147" s="4" t="s">
        <v>3463</v>
      </c>
      <c r="F2147" s="4"/>
      <c r="G2147" s="4"/>
      <c r="H2147" s="4"/>
      <c r="I2147" s="4" t="str">
        <f>IFERROR(__xludf.DUMMYFUNCTION("""COMPUTED_VALUE"""),"0x4d656779c884fdd1c406461185e302e40c533f20")</f>
        <v>0x4d656779c884fdd1c406461185e302e40c533f20</v>
      </c>
      <c r="J2147" s="18">
        <v>6.819384337694561</v>
      </c>
      <c r="K2147" s="4">
        <v>85.24230422118201</v>
      </c>
      <c r="L2147" s="19">
        <v>8.524230422118202E19</v>
      </c>
      <c r="M2147" s="20">
        <v>8.524230422118202E18</v>
      </c>
    </row>
    <row r="2148">
      <c r="A2148" s="6"/>
      <c r="B2148" s="6"/>
      <c r="C2148" s="4"/>
      <c r="D2148" s="4">
        <v>46.4381624381615</v>
      </c>
      <c r="E2148" s="4" t="s">
        <v>3465</v>
      </c>
      <c r="F2148" s="4"/>
      <c r="G2148" s="4"/>
      <c r="H2148" s="4"/>
      <c r="I2148" s="4" t="str">
        <f>IFERROR(__xludf.DUMMYFUNCTION("""COMPUTED_VALUE"""),"0xe01bff36a98285cc0ff031d019e6acde76d3a8ba")</f>
        <v>0xe01bff36a98285cc0ff031d019e6acde76d3a8ba</v>
      </c>
      <c r="J2148" s="18">
        <v>68.2102319631498</v>
      </c>
      <c r="K2148" s="4">
        <v>852.6278995393724</v>
      </c>
      <c r="L2148" s="19">
        <v>8.526278995393724E20</v>
      </c>
      <c r="M2148" s="20">
        <v>8.526278995393724E19</v>
      </c>
    </row>
    <row r="2149">
      <c r="A2149" s="6"/>
      <c r="B2149" s="6"/>
      <c r="C2149" s="4"/>
      <c r="D2149" s="4">
        <v>48.3641275995966</v>
      </c>
      <c r="E2149" s="4" t="s">
        <v>3467</v>
      </c>
      <c r="F2149" s="4"/>
      <c r="G2149" s="4"/>
      <c r="H2149" s="4"/>
      <c r="I2149" s="4" t="str">
        <f>IFERROR(__xludf.DUMMYFUNCTION("""COMPUTED_VALUE"""),"0x26e3b8edb30fa6317b7d4054aba05563bf7a6966")</f>
        <v>0x26e3b8edb30fa6317b7d4054aba05563bf7a6966</v>
      </c>
      <c r="J2149" s="18">
        <v>1.6534687873370801</v>
      </c>
      <c r="K2149" s="4">
        <v>20.668359841713503</v>
      </c>
      <c r="L2149" s="19">
        <v>2.0668359841713504E19</v>
      </c>
      <c r="M2149" s="20">
        <v>2.0668359841713505E18</v>
      </c>
    </row>
    <row r="2150">
      <c r="A2150" s="6"/>
      <c r="B2150" s="6"/>
      <c r="C2150" s="4"/>
      <c r="D2150" s="4">
        <v>3.6628322136238</v>
      </c>
      <c r="E2150" s="4" t="s">
        <v>3468</v>
      </c>
      <c r="F2150" s="4"/>
      <c r="G2150" s="4"/>
      <c r="H2150" s="4"/>
      <c r="I2150" s="4" t="str">
        <f>IFERROR(__xludf.DUMMYFUNCTION("""COMPUTED_VALUE"""),"0x2dfe1e54a1c9b6ff874da1a4390326115e6f9ef9")</f>
        <v>0x2dfe1e54a1c9b6ff874da1a4390326115e6f9ef9</v>
      </c>
      <c r="J2150" s="18">
        <v>48.3641275995966</v>
      </c>
      <c r="K2150" s="4">
        <v>604.5515949949574</v>
      </c>
      <c r="L2150" s="19">
        <v>6.045515949949574E20</v>
      </c>
      <c r="M2150" s="20">
        <v>6.045515949949574E19</v>
      </c>
    </row>
    <row r="2151">
      <c r="A2151" s="6"/>
      <c r="B2151" s="6"/>
      <c r="C2151" s="4"/>
      <c r="D2151" s="4">
        <v>48.3641275995966</v>
      </c>
      <c r="E2151" s="4" t="s">
        <v>3470</v>
      </c>
      <c r="F2151" s="4"/>
      <c r="G2151" s="4"/>
      <c r="H2151" s="4"/>
      <c r="I2151" s="4" t="str">
        <f>IFERROR(__xludf.DUMMYFUNCTION("""COMPUTED_VALUE"""),"0x5079efddd01d888f2d3131758e32a0e4956cc537")</f>
        <v>0x5079efddd01d888f2d3131758e32a0e4956cc537</v>
      </c>
      <c r="J2151" s="18">
        <v>100.3748011800817</v>
      </c>
      <c r="K2151" s="4">
        <v>1254.6850147510213</v>
      </c>
      <c r="L2151" s="19">
        <v>1.2546850147510214E21</v>
      </c>
      <c r="M2151" s="20">
        <v>1.2546850147510215E20</v>
      </c>
    </row>
    <row r="2152">
      <c r="A2152" s="6"/>
      <c r="B2152" s="6"/>
      <c r="C2152" s="4"/>
      <c r="D2152" s="4">
        <v>41.500663480094204</v>
      </c>
      <c r="E2152" s="4" t="s">
        <v>3471</v>
      </c>
      <c r="F2152" s="4"/>
      <c r="G2152" s="4"/>
      <c r="H2152" s="4"/>
      <c r="I2152" s="4" t="str">
        <f>IFERROR(__xludf.DUMMYFUNCTION("""COMPUTED_VALUE"""),"0x79adb1b5ead31dcd85f68f7eb1eb434154ff2203")</f>
        <v>0x79adb1b5ead31dcd85f68f7eb1eb434154ff2203</v>
      </c>
      <c r="J2152" s="18">
        <v>48.3641275995966</v>
      </c>
      <c r="K2152" s="4">
        <v>604.5515949949574</v>
      </c>
      <c r="L2152" s="19">
        <v>6.045515949949574E20</v>
      </c>
      <c r="M2152" s="20">
        <v>6.045515949949574E19</v>
      </c>
    </row>
    <row r="2153">
      <c r="A2153" s="6"/>
      <c r="B2153" s="6"/>
      <c r="C2153" s="4"/>
      <c r="D2153" s="4">
        <v>19.3456510398386</v>
      </c>
      <c r="E2153" s="4" t="s">
        <v>3473</v>
      </c>
      <c r="F2153" s="4"/>
      <c r="G2153" s="4"/>
      <c r="H2153" s="4"/>
      <c r="I2153" s="4" t="str">
        <f>IFERROR(__xludf.DUMMYFUNCTION("""COMPUTED_VALUE"""),"0xd897b6d2c823576cdaf172cd6697c323ec71a85d")</f>
        <v>0xd897b6d2c823576cdaf172cd6697c323ec71a85d</v>
      </c>
      <c r="J2153" s="18">
        <v>9.672825519919328</v>
      </c>
      <c r="K2153" s="4">
        <v>120.9103189989916</v>
      </c>
      <c r="L2153" s="19">
        <v>1.209103189989916E20</v>
      </c>
      <c r="M2153" s="20">
        <v>1.209103189989916E19</v>
      </c>
    </row>
    <row r="2154">
      <c r="A2154" s="6"/>
      <c r="B2154" s="6"/>
      <c r="C2154" s="4"/>
      <c r="D2154" s="4">
        <v>9.672825519919328</v>
      </c>
      <c r="E2154" s="4" t="s">
        <v>3474</v>
      </c>
      <c r="F2154" s="4"/>
      <c r="G2154" s="4"/>
      <c r="H2154" s="4"/>
      <c r="I2154" s="4" t="str">
        <f>IFERROR(__xludf.DUMMYFUNCTION("""COMPUTED_VALUE"""),"0xfd259b5b63881c62ae364acb18752c1e84b5bd36")</f>
        <v>0xfd259b5b63881c62ae364acb18752c1e84b5bd36</v>
      </c>
      <c r="J2154" s="18">
        <v>58.07531587354154</v>
      </c>
      <c r="K2154" s="4">
        <v>725.9414484192692</v>
      </c>
      <c r="L2154" s="19">
        <v>7.259414484192693E20</v>
      </c>
      <c r="M2154" s="20">
        <v>7.2594144841926935E19</v>
      </c>
    </row>
    <row r="2155">
      <c r="A2155" s="6"/>
      <c r="B2155" s="6"/>
      <c r="C2155" s="4"/>
      <c r="D2155" s="4">
        <v>48.3641275995966</v>
      </c>
      <c r="E2155" s="4" t="s">
        <v>3475</v>
      </c>
      <c r="F2155" s="4"/>
      <c r="G2155" s="4"/>
      <c r="H2155" s="4"/>
      <c r="I2155" s="4" t="str">
        <f>IFERROR(__xludf.DUMMYFUNCTION("""COMPUTED_VALUE"""),"0x27c50db52a0395cd981c200baa7ed57f1d57e90b")</f>
        <v>0x27c50db52a0395cd981c200baa7ed57f1d57e90b</v>
      </c>
      <c r="J2155" s="18">
        <v>19.3456510398386</v>
      </c>
      <c r="K2155" s="4">
        <v>241.8206379979825</v>
      </c>
      <c r="L2155" s="19">
        <v>2.4182063799798248E20</v>
      </c>
      <c r="M2155" s="20">
        <v>2.418206379979825E19</v>
      </c>
    </row>
    <row r="2156">
      <c r="A2156" s="6"/>
      <c r="B2156" s="6"/>
      <c r="C2156" s="4"/>
      <c r="D2156" s="4">
        <v>8.892397704336119</v>
      </c>
      <c r="E2156" s="4" t="s">
        <v>3476</v>
      </c>
      <c r="F2156" s="4"/>
      <c r="G2156" s="4"/>
      <c r="H2156" s="4"/>
      <c r="I2156" s="4" t="str">
        <f>IFERROR(__xludf.DUMMYFUNCTION("""COMPUTED_VALUE"""),"0x9f3ae913ff040081d321973b410d1afc786bd7a1")</f>
        <v>0x9f3ae913ff040081d321973b410d1afc786bd7a1</v>
      </c>
      <c r="J2156" s="18">
        <v>48.3641275995966</v>
      </c>
      <c r="K2156" s="4">
        <v>604.5515949949574</v>
      </c>
      <c r="L2156" s="19">
        <v>6.045515949949574E20</v>
      </c>
      <c r="M2156" s="20">
        <v>6.045515949949574E19</v>
      </c>
    </row>
    <row r="2157">
      <c r="A2157" s="6"/>
      <c r="B2157" s="6"/>
      <c r="C2157" s="4"/>
      <c r="D2157" s="4">
        <v>48.3641275995966</v>
      </c>
      <c r="E2157" s="4" t="s">
        <v>679</v>
      </c>
      <c r="F2157" s="4"/>
      <c r="G2157" s="4"/>
      <c r="H2157" s="4"/>
      <c r="I2157" s="4" t="str">
        <f>IFERROR(__xludf.DUMMYFUNCTION("""COMPUTED_VALUE"""),"0x06260f95e2404b8c9ccf8722a701be72c8c267d9")</f>
        <v>0x06260f95e2404b8c9ccf8722a701be72c8c267d9</v>
      </c>
      <c r="J2157" s="18">
        <v>48.3641275995966</v>
      </c>
      <c r="K2157" s="4">
        <v>604.5515949949574</v>
      </c>
      <c r="L2157" s="19">
        <v>6.045515949949574E20</v>
      </c>
      <c r="M2157" s="20">
        <v>6.045515949949574E19</v>
      </c>
    </row>
    <row r="2158">
      <c r="A2158" s="6"/>
      <c r="B2158" s="6"/>
      <c r="C2158" s="4"/>
      <c r="D2158" s="4">
        <v>48.3641275995966</v>
      </c>
      <c r="E2158" s="4" t="s">
        <v>3478</v>
      </c>
      <c r="F2158" s="4"/>
      <c r="G2158" s="4"/>
      <c r="H2158" s="4"/>
      <c r="I2158" s="4" t="str">
        <f>IFERROR(__xludf.DUMMYFUNCTION("""COMPUTED_VALUE"""),"0xf4c2782dd4440c029705dde5c2566df23922cbe2")</f>
        <v>0xf4c2782dd4440c029705dde5c2566df23922cbe2</v>
      </c>
      <c r="J2158" s="18">
        <v>48.3641275995966</v>
      </c>
      <c r="K2158" s="4">
        <v>604.5515949949574</v>
      </c>
      <c r="L2158" s="19">
        <v>6.045515949949574E20</v>
      </c>
      <c r="M2158" s="20">
        <v>6.045515949949574E19</v>
      </c>
    </row>
    <row r="2159">
      <c r="A2159" s="6"/>
      <c r="B2159" s="6"/>
      <c r="C2159" s="4"/>
      <c r="D2159" s="4">
        <v>12.4544677917483</v>
      </c>
      <c r="E2159" s="4" t="s">
        <v>3479</v>
      </c>
      <c r="F2159" s="4"/>
      <c r="G2159" s="4"/>
      <c r="H2159" s="4"/>
      <c r="I2159" s="4" t="str">
        <f>IFERROR(__xludf.DUMMYFUNCTION("""COMPUTED_VALUE"""),"0x7f41f4e27194d83d04b6e7312f6207c157c54581")</f>
        <v>0x7f41f4e27194d83d04b6e7312f6207c157c54581</v>
      </c>
      <c r="J2159" s="18">
        <v>9.672825519919328</v>
      </c>
      <c r="K2159" s="4">
        <v>120.9103189989916</v>
      </c>
      <c r="L2159" s="19">
        <v>1.209103189989916E20</v>
      </c>
      <c r="M2159" s="20">
        <v>1.209103189989916E19</v>
      </c>
    </row>
    <row r="2160">
      <c r="A2160" s="6"/>
      <c r="B2160" s="6"/>
      <c r="C2160" s="4"/>
      <c r="D2160" s="4">
        <v>8.47544856290057</v>
      </c>
      <c r="E2160" s="4" t="s">
        <v>3481</v>
      </c>
      <c r="F2160" s="4"/>
      <c r="G2160" s="4"/>
      <c r="H2160" s="4"/>
      <c r="I2160" s="4" t="str">
        <f>IFERROR(__xludf.DUMMYFUNCTION("""COMPUTED_VALUE"""),"0xa227bb25323e2370bc26a2faa90b41a3e000aec9")</f>
        <v>0xa227bb25323e2370bc26a2faa90b41a3e000aec9</v>
      </c>
      <c r="J2160" s="18">
        <v>181.82290988822058</v>
      </c>
      <c r="K2160" s="4">
        <v>2272.786373602757</v>
      </c>
      <c r="L2160" s="19">
        <v>2.272786373602757E21</v>
      </c>
      <c r="M2160" s="20">
        <v>2.2727863736027572E20</v>
      </c>
    </row>
    <row r="2161">
      <c r="A2161" s="6"/>
      <c r="B2161" s="6"/>
      <c r="C2161" s="4"/>
      <c r="D2161" s="4">
        <v>10.429831937934201</v>
      </c>
      <c r="E2161" s="4" t="s">
        <v>3483</v>
      </c>
      <c r="F2161" s="4"/>
      <c r="G2161" s="4"/>
      <c r="H2161" s="4"/>
      <c r="I2161" s="4" t="str">
        <f>IFERROR(__xludf.DUMMYFUNCTION("""COMPUTED_VALUE"""),"0x0a5206c6dac9fe2d4510a5e4b9bbe1faf245f6d9")</f>
        <v>0x0a5206c6dac9fe2d4510a5e4b9bbe1faf245f6d9</v>
      </c>
      <c r="J2161" s="18">
        <v>113.4739097951697</v>
      </c>
      <c r="K2161" s="4">
        <v>1418.4238724396212</v>
      </c>
      <c r="L2161" s="19">
        <v>1.4184238724396213E21</v>
      </c>
      <c r="M2161" s="20">
        <v>1.4184238724396214E20</v>
      </c>
    </row>
    <row r="2162">
      <c r="A2162" s="6"/>
      <c r="B2162" s="6"/>
      <c r="C2162" s="4"/>
      <c r="D2162" s="4">
        <v>11.8255656163329</v>
      </c>
      <c r="E2162" s="4" t="s">
        <v>3485</v>
      </c>
      <c r="F2162" s="4"/>
      <c r="G2162" s="4"/>
      <c r="H2162" s="4"/>
      <c r="I2162" s="4" t="str">
        <f>IFERROR(__xludf.DUMMYFUNCTION("""COMPUTED_VALUE"""),"0xffdb6d24cc42455b11cf4ab9b688fb8b357d9fc5")</f>
        <v>0xffdb6d24cc42455b11cf4ab9b688fb8b357d9fc5</v>
      </c>
      <c r="J2162" s="18">
        <v>9.05751180460979</v>
      </c>
      <c r="K2162" s="4">
        <v>113.21889755762237</v>
      </c>
      <c r="L2162" s="19">
        <v>1.1321889755762237E20</v>
      </c>
      <c r="M2162" s="20">
        <v>1.1321889755762237E19</v>
      </c>
    </row>
    <row r="2163">
      <c r="A2163" s="6"/>
      <c r="B2163" s="6"/>
      <c r="C2163" s="4"/>
      <c r="D2163" s="4">
        <v>29.2042675046999</v>
      </c>
      <c r="E2163" s="4" t="s">
        <v>3487</v>
      </c>
      <c r="F2163" s="4"/>
      <c r="G2163" s="4"/>
      <c r="H2163" s="4"/>
      <c r="I2163" s="4" t="str">
        <f>IFERROR(__xludf.DUMMYFUNCTION("""COMPUTED_VALUE"""),"0xbbe8b08a3f307cc86d2403a6742b9b16851eb666")</f>
        <v>0xbbe8b08a3f307cc86d2403a6742b9b16851eb666</v>
      </c>
      <c r="J2163" s="18">
        <v>9.67282738116441</v>
      </c>
      <c r="K2163" s="4">
        <v>120.91034226455513</v>
      </c>
      <c r="L2163" s="19">
        <v>1.2091034226455513E20</v>
      </c>
      <c r="M2163" s="20">
        <v>1.2091034226455513E19</v>
      </c>
    </row>
    <row r="2164">
      <c r="A2164" s="6"/>
      <c r="B2164" s="6"/>
      <c r="C2164" s="4"/>
      <c r="D2164" s="4">
        <v>1.26243431772436</v>
      </c>
      <c r="E2164" s="4" t="s">
        <v>3489</v>
      </c>
      <c r="F2164" s="4"/>
      <c r="G2164" s="4"/>
      <c r="H2164" s="4"/>
      <c r="I2164" s="4" t="str">
        <f>IFERROR(__xludf.DUMMYFUNCTION("""COMPUTED_VALUE"""),"0x87b1e1c121c82f9d1bda4e34ec0225d0bf153ffb")</f>
        <v>0x87b1e1c121c82f9d1bda4e34ec0225d0bf153ffb</v>
      </c>
      <c r="J2164" s="18">
        <v>141.7725770529062</v>
      </c>
      <c r="K2164" s="4">
        <v>1772.1572131613275</v>
      </c>
      <c r="L2164" s="19">
        <v>1.7721572131613274E21</v>
      </c>
      <c r="M2164" s="20">
        <v>1.7721572131613275E20</v>
      </c>
    </row>
    <row r="2165">
      <c r="A2165" s="6"/>
      <c r="B2165" s="6"/>
      <c r="C2165" s="4"/>
      <c r="D2165" s="4">
        <v>32.6261099597914</v>
      </c>
      <c r="E2165" s="4" t="s">
        <v>3491</v>
      </c>
      <c r="F2165" s="4"/>
      <c r="G2165" s="4"/>
      <c r="H2165" s="4"/>
      <c r="I2165" s="4" t="str">
        <f>IFERROR(__xludf.DUMMYFUNCTION("""COMPUTED_VALUE"""),"0x217b03d8e08f5c0fac24aec6a9737675b70e68ee")</f>
        <v>0x217b03d8e08f5c0fac24aec6a9737675b70e68ee</v>
      </c>
      <c r="J2165" s="18">
        <v>48.3641275995966</v>
      </c>
      <c r="K2165" s="4">
        <v>604.5515949949574</v>
      </c>
      <c r="L2165" s="19">
        <v>6.045515949949574E20</v>
      </c>
      <c r="M2165" s="20">
        <v>6.045515949949574E19</v>
      </c>
    </row>
    <row r="2166">
      <c r="A2166" s="6"/>
      <c r="B2166" s="6"/>
      <c r="C2166" s="4"/>
      <c r="D2166" s="4">
        <v>48.3641275995966</v>
      </c>
      <c r="E2166" s="4" t="s">
        <v>3493</v>
      </c>
      <c r="F2166" s="4"/>
      <c r="G2166" s="4"/>
      <c r="H2166" s="4"/>
      <c r="I2166" s="4" t="str">
        <f>IFERROR(__xludf.DUMMYFUNCTION("""COMPUTED_VALUE"""),"0xaadf465695b80d5f8a1079b6646ba0bdbbaa4307")</f>
        <v>0xaadf465695b80d5f8a1079b6646ba0bdbbaa4307</v>
      </c>
      <c r="J2166" s="18">
        <v>234.37608780709658</v>
      </c>
      <c r="K2166" s="4">
        <v>2929.7010975887074</v>
      </c>
      <c r="L2166" s="19">
        <v>2.9297010975887076E21</v>
      </c>
      <c r="M2166" s="20">
        <v>2.9297010975887078E20</v>
      </c>
    </row>
    <row r="2167">
      <c r="A2167" s="6"/>
      <c r="B2167" s="6"/>
      <c r="C2167" s="4"/>
      <c r="D2167" s="4">
        <v>48.3641275995966</v>
      </c>
      <c r="E2167" s="4" t="s">
        <v>683</v>
      </c>
      <c r="F2167" s="4"/>
      <c r="G2167" s="4"/>
      <c r="H2167" s="4"/>
      <c r="I2167" s="4" t="str">
        <f>IFERROR(__xludf.DUMMYFUNCTION("""COMPUTED_VALUE"""),"0x32f15512417160a2bcf2b188bc52759e710bb701")</f>
        <v>0x32f15512417160a2bcf2b188bc52759e710bb701</v>
      </c>
      <c r="J2167" s="18">
        <v>233.8532973953886</v>
      </c>
      <c r="K2167" s="4">
        <v>2923.1662174423577</v>
      </c>
      <c r="L2167" s="19">
        <v>2.9231662174423577E21</v>
      </c>
      <c r="M2167" s="20">
        <v>2.9231662174423577E20</v>
      </c>
    </row>
    <row r="2168">
      <c r="A2168" s="6"/>
      <c r="B2168" s="6"/>
      <c r="C2168" s="4"/>
      <c r="D2168" s="4">
        <v>2.9018476559758</v>
      </c>
      <c r="E2168" s="4" t="s">
        <v>3494</v>
      </c>
      <c r="F2168" s="4"/>
      <c r="G2168" s="4"/>
      <c r="H2168" s="4"/>
      <c r="I2168" s="4" t="str">
        <f>IFERROR(__xludf.DUMMYFUNCTION("""COMPUTED_VALUE"""),"0x1e1482b4b91ba8cf4f1128c27d7ab92273304fd8")</f>
        <v>0x1e1482b4b91ba8cf4f1128c27d7ab92273304fd8</v>
      </c>
      <c r="J2168" s="18">
        <v>48.3641275995966</v>
      </c>
      <c r="K2168" s="4">
        <v>604.5515949949574</v>
      </c>
      <c r="L2168" s="19">
        <v>6.045515949949574E20</v>
      </c>
      <c r="M2168" s="20">
        <v>6.045515949949574E19</v>
      </c>
    </row>
    <row r="2169">
      <c r="A2169" s="6"/>
      <c r="B2169" s="6"/>
      <c r="C2169" s="4"/>
      <c r="D2169" s="4">
        <v>48.3641275995966</v>
      </c>
      <c r="E2169" s="4" t="s">
        <v>3495</v>
      </c>
      <c r="F2169" s="4"/>
      <c r="G2169" s="4"/>
      <c r="H2169" s="4"/>
      <c r="I2169" s="4" t="str">
        <f>IFERROR(__xludf.DUMMYFUNCTION("""COMPUTED_VALUE"""),"0x3ead5c678cfa9adffe5133e72474659ab1ce7090")</f>
        <v>0x3ead5c678cfa9adffe5133e72474659ab1ce7090</v>
      </c>
      <c r="J2169" s="18">
        <v>24.028479613088</v>
      </c>
      <c r="K2169" s="4">
        <v>300.35599516359997</v>
      </c>
      <c r="L2169" s="19">
        <v>3.0035599516359996E20</v>
      </c>
      <c r="M2169" s="20">
        <v>3.003559951636E19</v>
      </c>
    </row>
    <row r="2170">
      <c r="A2170" s="6"/>
      <c r="B2170" s="6"/>
      <c r="C2170" s="4"/>
      <c r="D2170" s="4">
        <v>3.46808874945997</v>
      </c>
      <c r="E2170" s="4" t="s">
        <v>3496</v>
      </c>
      <c r="F2170" s="4"/>
      <c r="G2170" s="4"/>
      <c r="H2170" s="4"/>
      <c r="I2170" s="4" t="str">
        <f>IFERROR(__xludf.DUMMYFUNCTION("""COMPUTED_VALUE"""),"0x81ce01977af7907f993c3a034f7c7aed62b95ef8")</f>
        <v>0x81ce01977af7907f993c3a034f7c7aed62b95ef8</v>
      </c>
      <c r="J2170" s="18">
        <v>48.3641275995966</v>
      </c>
      <c r="K2170" s="4">
        <v>604.5515949949574</v>
      </c>
      <c r="L2170" s="19">
        <v>6.045515949949574E20</v>
      </c>
      <c r="M2170" s="20">
        <v>6.045515949949574E19</v>
      </c>
    </row>
    <row r="2171">
      <c r="A2171" s="6"/>
      <c r="B2171" s="6"/>
      <c r="C2171" s="4"/>
      <c r="D2171" s="4">
        <v>48.3641275995966</v>
      </c>
      <c r="E2171" s="4" t="s">
        <v>3498</v>
      </c>
      <c r="F2171" s="4"/>
      <c r="G2171" s="4"/>
      <c r="H2171" s="4"/>
      <c r="I2171" s="4" t="str">
        <f>IFERROR(__xludf.DUMMYFUNCTION("""COMPUTED_VALUE"""),"0x5b75488b80b6bd40e4afb66c828a600739b683a4")</f>
        <v>0x5b75488b80b6bd40e4afb66c828a600739b683a4</v>
      </c>
      <c r="J2171" s="18">
        <v>18.1994735983012</v>
      </c>
      <c r="K2171" s="4">
        <v>227.493419978765</v>
      </c>
      <c r="L2171" s="19">
        <v>2.2749341997876498E20</v>
      </c>
      <c r="M2171" s="20">
        <v>2.27493419978765E19</v>
      </c>
    </row>
    <row r="2172">
      <c r="A2172" s="6"/>
      <c r="B2172" s="6"/>
      <c r="C2172" s="4"/>
      <c r="D2172" s="4">
        <v>19.3456510398386</v>
      </c>
      <c r="E2172" s="4" t="s">
        <v>3499</v>
      </c>
      <c r="F2172" s="4"/>
      <c r="G2172" s="4"/>
      <c r="H2172" s="4"/>
      <c r="I2172" s="4" t="str">
        <f>IFERROR(__xludf.DUMMYFUNCTION("""COMPUTED_VALUE"""),"0x408c4e054a7ba972227c06477ab10f0d80f4be75")</f>
        <v>0x408c4e054a7ba972227c06477ab10f0d80f4be75</v>
      </c>
      <c r="J2172" s="18">
        <v>9.672825519919328</v>
      </c>
      <c r="K2172" s="4">
        <v>120.9103189989916</v>
      </c>
      <c r="L2172" s="19">
        <v>1.209103189989916E20</v>
      </c>
      <c r="M2172" s="20">
        <v>1.209103189989916E19</v>
      </c>
    </row>
    <row r="2173">
      <c r="A2173" s="6"/>
      <c r="B2173" s="6"/>
      <c r="C2173" s="4"/>
      <c r="D2173" s="4">
        <v>48.3641275995966</v>
      </c>
      <c r="E2173" s="4" t="s">
        <v>3500</v>
      </c>
      <c r="F2173" s="4"/>
      <c r="G2173" s="4"/>
      <c r="H2173" s="4"/>
      <c r="I2173" s="4" t="str">
        <f>IFERROR(__xludf.DUMMYFUNCTION("""COMPUTED_VALUE"""),"0xde53d733e67c5666c1646d606f99d7a2a994c7bd")</f>
        <v>0xde53d733e67c5666c1646d606f99d7a2a994c7bd</v>
      </c>
      <c r="J2173" s="18">
        <v>59.7603183211118</v>
      </c>
      <c r="K2173" s="4">
        <v>747.0039790138975</v>
      </c>
      <c r="L2173" s="19">
        <v>7.470039790138975E20</v>
      </c>
      <c r="M2173" s="20">
        <v>7.470039790138974E19</v>
      </c>
    </row>
    <row r="2174">
      <c r="A2174" s="6"/>
      <c r="B2174" s="6"/>
      <c r="C2174" s="4"/>
      <c r="D2174" s="4">
        <v>48.3641275995966</v>
      </c>
      <c r="E2174" s="4" t="s">
        <v>3501</v>
      </c>
      <c r="F2174" s="4"/>
      <c r="G2174" s="4"/>
      <c r="H2174" s="4"/>
      <c r="I2174" s="4" t="str">
        <f>IFERROR(__xludf.DUMMYFUNCTION("""COMPUTED_VALUE"""),"0xf1483705a246ba98f807389f082c8796c3079705")</f>
        <v>0xf1483705a246ba98f807389f082c8796c3079705</v>
      </c>
      <c r="J2174" s="18">
        <v>57.66472560997164</v>
      </c>
      <c r="K2174" s="4">
        <v>720.8090701246455</v>
      </c>
      <c r="L2174" s="19">
        <v>7.208090701246455E20</v>
      </c>
      <c r="M2174" s="20">
        <v>7.208090701246455E19</v>
      </c>
    </row>
    <row r="2175">
      <c r="A2175" s="6"/>
      <c r="B2175" s="6"/>
      <c r="C2175" s="4"/>
      <c r="D2175" s="4">
        <v>19.3685628937274</v>
      </c>
      <c r="E2175" s="4" t="s">
        <v>3502</v>
      </c>
      <c r="F2175" s="4"/>
      <c r="G2175" s="4"/>
      <c r="H2175" s="4"/>
      <c r="I2175" s="4" t="str">
        <f>IFERROR(__xludf.DUMMYFUNCTION("""COMPUTED_VALUE"""),"0xced39f22ac3ed6e984590f96395ad16c2c88f3f4")</f>
        <v>0xced39f22ac3ed6e984590f96395ad16c2c88f3f4</v>
      </c>
      <c r="J2175" s="18">
        <v>9.672825519919328</v>
      </c>
      <c r="K2175" s="4">
        <v>120.9103189989916</v>
      </c>
      <c r="L2175" s="19">
        <v>1.209103189989916E20</v>
      </c>
      <c r="M2175" s="20">
        <v>1.209103189989916E19</v>
      </c>
    </row>
    <row r="2176">
      <c r="A2176" s="6"/>
      <c r="B2176" s="6"/>
      <c r="C2176" s="4"/>
      <c r="D2176" s="4">
        <v>48.3641275995966</v>
      </c>
      <c r="E2176" s="4" t="s">
        <v>3504</v>
      </c>
      <c r="F2176" s="4"/>
      <c r="G2176" s="4"/>
      <c r="H2176" s="4"/>
      <c r="I2176" s="4" t="str">
        <f>IFERROR(__xludf.DUMMYFUNCTION("""COMPUTED_VALUE"""),"0x0308b731f7d0120fa982b6e9c5e35a11333f7b27")</f>
        <v>0x0308b731f7d0120fa982b6e9c5e35a11333f7b27</v>
      </c>
      <c r="J2176" s="18">
        <v>48.458907250057905</v>
      </c>
      <c r="K2176" s="4">
        <v>605.7363406257238</v>
      </c>
      <c r="L2176" s="19">
        <v>6.057363406257238E20</v>
      </c>
      <c r="M2176" s="20">
        <v>6.057363406257238E19</v>
      </c>
    </row>
    <row r="2177">
      <c r="A2177" s="6"/>
      <c r="B2177" s="6"/>
      <c r="C2177" s="4"/>
      <c r="D2177" s="4">
        <v>9.398549108563241</v>
      </c>
      <c r="E2177" s="4" t="s">
        <v>3505</v>
      </c>
      <c r="F2177" s="4"/>
      <c r="G2177" s="4"/>
      <c r="H2177" s="4"/>
      <c r="I2177" s="4" t="str">
        <f>IFERROR(__xludf.DUMMYFUNCTION("""COMPUTED_VALUE"""),"0x5368d69c1661b4847abb2fa0273dbb5558ec9214")</f>
        <v>0x5368d69c1661b4847abb2fa0273dbb5558ec9214</v>
      </c>
      <c r="J2177" s="18">
        <v>24.1976624328945</v>
      </c>
      <c r="K2177" s="4">
        <v>302.47078041118124</v>
      </c>
      <c r="L2177" s="19">
        <v>3.024707804111813E20</v>
      </c>
      <c r="M2177" s="20">
        <v>3.024707804111813E19</v>
      </c>
    </row>
    <row r="2178">
      <c r="A2178" s="6"/>
      <c r="B2178" s="6"/>
      <c r="C2178" s="4"/>
      <c r="D2178" s="4">
        <v>48.3641275995966</v>
      </c>
      <c r="E2178" s="4" t="s">
        <v>3507</v>
      </c>
      <c r="F2178" s="4"/>
      <c r="G2178" s="4"/>
      <c r="H2178" s="4"/>
      <c r="I2178" s="4" t="str">
        <f>IFERROR(__xludf.DUMMYFUNCTION("""COMPUTED_VALUE"""),"0xec4671ac2e9e9db3f4f0436cc3a2a4e10be8a96f")</f>
        <v>0xec4671ac2e9e9db3f4f0436cc3a2a4e10be8a96f</v>
      </c>
      <c r="J2178" s="18">
        <v>0.562005305417838</v>
      </c>
      <c r="K2178" s="4">
        <v>7.025066317722975</v>
      </c>
      <c r="L2178" s="19">
        <v>7.025066317722975E18</v>
      </c>
      <c r="M2178" s="20">
        <v>7.025066317722976E17</v>
      </c>
    </row>
    <row r="2179">
      <c r="A2179" s="6"/>
      <c r="B2179" s="6"/>
      <c r="C2179" s="4"/>
      <c r="D2179" s="4">
        <v>14.5860253868846</v>
      </c>
      <c r="E2179" s="4" t="s">
        <v>3508</v>
      </c>
      <c r="F2179" s="4"/>
      <c r="G2179" s="4"/>
      <c r="H2179" s="4"/>
      <c r="I2179" s="4" t="str">
        <f>IFERROR(__xludf.DUMMYFUNCTION("""COMPUTED_VALUE"""),"0xfc29c96abfd861ebfc9bf9bfd4921fbbc4f1b1bf")</f>
        <v>0xfc29c96abfd861ebfc9bf9bfd4921fbbc4f1b1bf</v>
      </c>
      <c r="J2179" s="18">
        <v>9.524672648343321</v>
      </c>
      <c r="K2179" s="4">
        <v>119.05840810429152</v>
      </c>
      <c r="L2179" s="19">
        <v>1.1905840810429152E20</v>
      </c>
      <c r="M2179" s="20">
        <v>1.1905840810429153E19</v>
      </c>
    </row>
    <row r="2180">
      <c r="A2180" s="6"/>
      <c r="B2180" s="6"/>
      <c r="C2180" s="4"/>
      <c r="D2180" s="4">
        <v>48.3641275995966</v>
      </c>
      <c r="E2180" s="4" t="s">
        <v>3510</v>
      </c>
      <c r="F2180" s="4"/>
      <c r="G2180" s="4"/>
      <c r="H2180" s="4"/>
      <c r="I2180" s="4" t="str">
        <f>IFERROR(__xludf.DUMMYFUNCTION("""COMPUTED_VALUE"""),"0xf41741c2f690293bf5b47cdc31ca980be5a44a39")</f>
        <v>0xf41741c2f690293bf5b47cdc31ca980be5a44a39</v>
      </c>
      <c r="J2180" s="18">
        <v>132.5481154502159</v>
      </c>
      <c r="K2180" s="4">
        <v>1656.8514431276988</v>
      </c>
      <c r="L2180" s="19">
        <v>1.6568514431276988E21</v>
      </c>
      <c r="M2180" s="20">
        <v>1.656851443127699E20</v>
      </c>
    </row>
    <row r="2181">
      <c r="A2181" s="6"/>
      <c r="B2181" s="6"/>
      <c r="C2181" s="4"/>
      <c r="D2181" s="4">
        <v>48.3641275995966</v>
      </c>
      <c r="E2181" s="4" t="s">
        <v>3511</v>
      </c>
      <c r="F2181" s="4"/>
      <c r="G2181" s="4"/>
      <c r="H2181" s="4"/>
      <c r="I2181" s="4" t="str">
        <f>IFERROR(__xludf.DUMMYFUNCTION("""COMPUTED_VALUE"""),"0xd9bdbcf4c7e8bfc96686a4728c7873c4e20ab994")</f>
        <v>0xd9bdbcf4c7e8bfc96686a4728c7873c4e20ab994</v>
      </c>
      <c r="J2181" s="18">
        <v>186.5601467189876</v>
      </c>
      <c r="K2181" s="4">
        <v>2332.001833987345</v>
      </c>
      <c r="L2181" s="19">
        <v>2.332001833987345E21</v>
      </c>
      <c r="M2181" s="20">
        <v>2.332001833987345E20</v>
      </c>
    </row>
    <row r="2182">
      <c r="A2182" s="6"/>
      <c r="B2182" s="6"/>
      <c r="C2182" s="4"/>
      <c r="D2182" s="4">
        <v>48.3641275995966</v>
      </c>
      <c r="E2182" s="4" t="s">
        <v>3512</v>
      </c>
      <c r="F2182" s="4"/>
      <c r="G2182" s="4"/>
      <c r="H2182" s="4"/>
      <c r="I2182" s="4" t="str">
        <f>IFERROR(__xludf.DUMMYFUNCTION("""COMPUTED_VALUE"""),"0x20aea88cbe386117df11eaf1e5d4d85689ab4b2f")</f>
        <v>0x20aea88cbe386117df11eaf1e5d4d85689ab4b2f</v>
      </c>
      <c r="J2182" s="18">
        <v>145.6837856253091</v>
      </c>
      <c r="K2182" s="4">
        <v>1821.0473203163638</v>
      </c>
      <c r="L2182" s="19">
        <v>1.8210473203163637E21</v>
      </c>
      <c r="M2182" s="20">
        <v>1.8210473203163637E20</v>
      </c>
    </row>
    <row r="2183">
      <c r="A2183" s="6"/>
      <c r="B2183" s="6"/>
      <c r="C2183" s="4"/>
      <c r="D2183" s="4">
        <v>48.3641275995966</v>
      </c>
      <c r="E2183" s="4" t="s">
        <v>3513</v>
      </c>
      <c r="F2183" s="4"/>
      <c r="G2183" s="4"/>
      <c r="H2183" s="4"/>
      <c r="I2183" s="4" t="str">
        <f>IFERROR(__xludf.DUMMYFUNCTION("""COMPUTED_VALUE"""),"0x4b0e6f61a91421dde6d77b9b99d0a70a1dcfc967")</f>
        <v>0x4b0e6f61a91421dde6d77b9b99d0a70a1dcfc967</v>
      </c>
      <c r="J2183" s="18">
        <v>9.672825519919328</v>
      </c>
      <c r="K2183" s="4">
        <v>120.9103189989916</v>
      </c>
      <c r="L2183" s="19">
        <v>1.209103189989916E20</v>
      </c>
      <c r="M2183" s="20">
        <v>1.209103189989916E19</v>
      </c>
    </row>
    <row r="2184">
      <c r="A2184" s="6"/>
      <c r="B2184" s="6"/>
      <c r="C2184" s="4"/>
      <c r="D2184" s="4">
        <v>14.903101184799</v>
      </c>
      <c r="E2184" s="4" t="s">
        <v>312</v>
      </c>
      <c r="F2184" s="4"/>
      <c r="G2184" s="4"/>
      <c r="H2184" s="4"/>
      <c r="I2184" s="4" t="str">
        <f>IFERROR(__xludf.DUMMYFUNCTION("""COMPUTED_VALUE"""),"0xa26e6c2472413fe5536e3b4a84b785d8970a31b5")</f>
        <v>0xa26e6c2472413fe5536e3b4a84b785d8970a31b5</v>
      </c>
      <c r="J2184" s="18">
        <v>80.0981380572913</v>
      </c>
      <c r="K2184" s="4">
        <v>1001.2267257161411</v>
      </c>
      <c r="L2184" s="19">
        <v>1.0012267257161411E21</v>
      </c>
      <c r="M2184" s="20">
        <v>1.0012267257161412E20</v>
      </c>
    </row>
    <row r="2185">
      <c r="A2185" s="6"/>
      <c r="B2185" s="6"/>
      <c r="C2185" s="4"/>
      <c r="D2185" s="4">
        <v>39.366895974044596</v>
      </c>
      <c r="E2185" s="4" t="s">
        <v>3515</v>
      </c>
      <c r="F2185" s="4"/>
      <c r="G2185" s="4"/>
      <c r="H2185" s="4"/>
      <c r="I2185" s="4" t="str">
        <f>IFERROR(__xludf.DUMMYFUNCTION("""COMPUTED_VALUE"""),"0x2957ffaef9604e515e2680f1980ada0cddf47882")</f>
        <v>0x2957ffaef9604e515e2680f1980ada0cddf47882</v>
      </c>
      <c r="J2185" s="18">
        <v>8.02227257774542</v>
      </c>
      <c r="K2185" s="4">
        <v>100.27840722181776</v>
      </c>
      <c r="L2185" s="19">
        <v>1.0027840722181775E20</v>
      </c>
      <c r="M2185" s="20">
        <v>1.0027840722181775E19</v>
      </c>
    </row>
    <row r="2186">
      <c r="A2186" s="6"/>
      <c r="B2186" s="6"/>
      <c r="C2186" s="4"/>
      <c r="D2186" s="4">
        <v>48.3641275995966</v>
      </c>
      <c r="E2186" s="4" t="s">
        <v>3517</v>
      </c>
      <c r="F2186" s="4"/>
      <c r="G2186" s="4"/>
      <c r="H2186" s="4"/>
      <c r="I2186" s="4" t="str">
        <f>IFERROR(__xludf.DUMMYFUNCTION("""COMPUTED_VALUE"""),"0x31110fadb4401fad566606905c03d9daf3c87ce2")</f>
        <v>0x31110fadb4401fad566606905c03d9daf3c87ce2</v>
      </c>
      <c r="J2186" s="18">
        <v>48.3641275995966</v>
      </c>
      <c r="K2186" s="4">
        <v>604.5515949949574</v>
      </c>
      <c r="L2186" s="19">
        <v>6.045515949949574E20</v>
      </c>
      <c r="M2186" s="20">
        <v>6.045515949949574E19</v>
      </c>
    </row>
    <row r="2187">
      <c r="A2187" s="6"/>
      <c r="B2187" s="6"/>
      <c r="C2187" s="4"/>
      <c r="D2187" s="4">
        <v>25.5042775459914</v>
      </c>
      <c r="E2187" s="4" t="s">
        <v>3518</v>
      </c>
      <c r="F2187" s="4"/>
      <c r="G2187" s="4"/>
      <c r="H2187" s="4"/>
      <c r="I2187" s="4" t="str">
        <f>IFERROR(__xludf.DUMMYFUNCTION("""COMPUTED_VALUE"""),"0x5f6922ca4c01e51c4a601022fd21ab6ccef87487")</f>
        <v>0x5f6922ca4c01e51c4a601022fd21ab6ccef87487</v>
      </c>
      <c r="J2187" s="18">
        <v>74.4058020286467</v>
      </c>
      <c r="K2187" s="4">
        <v>930.0725253580838</v>
      </c>
      <c r="L2187" s="19">
        <v>9.300725253580837E20</v>
      </c>
      <c r="M2187" s="20">
        <v>9.300725253580838E19</v>
      </c>
    </row>
    <row r="2188">
      <c r="A2188" s="6"/>
      <c r="B2188" s="6"/>
      <c r="C2188" s="4"/>
      <c r="D2188" s="4">
        <v>39.10513220202581</v>
      </c>
      <c r="E2188" s="4" t="s">
        <v>3520</v>
      </c>
      <c r="F2188" s="4"/>
      <c r="G2188" s="4"/>
      <c r="H2188" s="4"/>
      <c r="I2188" s="4" t="str">
        <f>IFERROR(__xludf.DUMMYFUNCTION("""COMPUTED_VALUE"""),"0x436b694d3ee8e0d45923354d3a120cc4f752fcac")</f>
        <v>0x436b694d3ee8e0d45923354d3a120cc4f752fcac</v>
      </c>
      <c r="J2188" s="18">
        <v>0.348423315855191</v>
      </c>
      <c r="K2188" s="4">
        <v>4.355291448189887</v>
      </c>
      <c r="L2188" s="19">
        <v>4.355291448189887E18</v>
      </c>
      <c r="M2188" s="20">
        <v>4.3552914481898874E17</v>
      </c>
    </row>
    <row r="2189">
      <c r="A2189" s="6"/>
      <c r="B2189" s="6"/>
      <c r="C2189" s="4"/>
      <c r="D2189" s="4">
        <v>48.3641275995966</v>
      </c>
      <c r="E2189" s="4" t="s">
        <v>1485</v>
      </c>
      <c r="F2189" s="4"/>
      <c r="G2189" s="4"/>
      <c r="H2189" s="4"/>
      <c r="I2189" s="4" t="str">
        <f>IFERROR(__xludf.DUMMYFUNCTION("""COMPUTED_VALUE"""),"0xf717c04637471d28c689e5f05fd1f76b819a2da9")</f>
        <v>0xf717c04637471d28c689e5f05fd1f76b819a2da9</v>
      </c>
      <c r="J2189" s="18">
        <v>63.1300047269918</v>
      </c>
      <c r="K2189" s="4">
        <v>789.1250590873975</v>
      </c>
      <c r="L2189" s="19">
        <v>7.891250590873976E20</v>
      </c>
      <c r="M2189" s="20">
        <v>7.891250590873975E19</v>
      </c>
    </row>
    <row r="2190">
      <c r="A2190" s="6"/>
      <c r="B2190" s="6"/>
      <c r="C2190" s="4"/>
      <c r="D2190" s="4">
        <v>19.3456510398386</v>
      </c>
      <c r="E2190" s="4" t="s">
        <v>3522</v>
      </c>
      <c r="F2190" s="4"/>
      <c r="G2190" s="4"/>
      <c r="H2190" s="4"/>
      <c r="I2190" s="4" t="str">
        <f>IFERROR(__xludf.DUMMYFUNCTION("""COMPUTED_VALUE"""),"0x43404e8855dc6671bfaa07efa1f4992ea7167993")</f>
        <v>0x43404e8855dc6671bfaa07efa1f4992ea7167993</v>
      </c>
      <c r="J2190" s="18">
        <v>63.796339228719205</v>
      </c>
      <c r="K2190" s="4">
        <v>797.4542403589901</v>
      </c>
      <c r="L2190" s="19">
        <v>7.974542403589901E20</v>
      </c>
      <c r="M2190" s="20">
        <v>7.974542403589902E19</v>
      </c>
    </row>
    <row r="2191">
      <c r="A2191" s="6"/>
      <c r="B2191" s="6"/>
      <c r="C2191" s="4"/>
      <c r="D2191" s="4">
        <v>0.195249055097363</v>
      </c>
      <c r="E2191" s="4" t="s">
        <v>3523</v>
      </c>
      <c r="F2191" s="4"/>
      <c r="G2191" s="4"/>
      <c r="H2191" s="4"/>
      <c r="I2191" s="4" t="str">
        <f>IFERROR(__xludf.DUMMYFUNCTION("""COMPUTED_VALUE"""),"0xa761039db0d24890caae54127599701d29ded9b6")</f>
        <v>0xa761039db0d24890caae54127599701d29ded9b6</v>
      </c>
      <c r="J2191" s="18">
        <v>57.66472560997164</v>
      </c>
      <c r="K2191" s="4">
        <v>720.8090701246455</v>
      </c>
      <c r="L2191" s="19">
        <v>7.208090701246455E20</v>
      </c>
      <c r="M2191" s="20">
        <v>7.208090701246455E19</v>
      </c>
    </row>
    <row r="2192">
      <c r="A2192" s="6"/>
      <c r="B2192" s="6"/>
      <c r="C2192" s="4"/>
      <c r="D2192" s="4">
        <v>4.4704118671520305</v>
      </c>
      <c r="E2192" s="4" t="s">
        <v>483</v>
      </c>
      <c r="F2192" s="4"/>
      <c r="G2192" s="4"/>
      <c r="H2192" s="4"/>
      <c r="I2192" s="4" t="str">
        <f>IFERROR(__xludf.DUMMYFUNCTION("""COMPUTED_VALUE"""),"0x91a0cacb38470b50e3117f114762f605c06a1c08")</f>
        <v>0x91a0cacb38470b50e3117f114762f605c06a1c08</v>
      </c>
      <c r="J2192" s="18">
        <v>6.278312859318721</v>
      </c>
      <c r="K2192" s="4">
        <v>78.47891074148401</v>
      </c>
      <c r="L2192" s="19">
        <v>7.847891074148401E19</v>
      </c>
      <c r="M2192" s="20">
        <v>7.847891074148401E18</v>
      </c>
    </row>
    <row r="2193">
      <c r="A2193" s="6"/>
      <c r="B2193" s="6"/>
      <c r="C2193" s="4"/>
      <c r="D2193" s="4">
        <v>48.3641275995966</v>
      </c>
      <c r="E2193" s="4" t="s">
        <v>3526</v>
      </c>
      <c r="F2193" s="4"/>
      <c r="G2193" s="4"/>
      <c r="H2193" s="4"/>
      <c r="I2193" s="4" t="str">
        <f>IFERROR(__xludf.DUMMYFUNCTION("""COMPUTED_VALUE"""),"0xefb2821a3983a243aa83df503f9c5f08c6027473")</f>
        <v>0xefb2821a3983a243aa83df503f9c5f08c6027473</v>
      </c>
      <c r="J2193" s="18">
        <v>17.7946757017424</v>
      </c>
      <c r="K2193" s="4">
        <v>222.43344627177999</v>
      </c>
      <c r="L2193" s="19">
        <v>2.2243344627178E20</v>
      </c>
      <c r="M2193" s="20">
        <v>2.2243344627178E19</v>
      </c>
    </row>
    <row r="2194">
      <c r="A2194" s="6"/>
      <c r="B2194" s="6"/>
      <c r="C2194" s="4"/>
      <c r="D2194" s="4">
        <v>9.06642585388536</v>
      </c>
      <c r="E2194" s="4" t="s">
        <v>3527</v>
      </c>
      <c r="F2194" s="4"/>
      <c r="G2194" s="4"/>
      <c r="H2194" s="4"/>
      <c r="I2194" s="4" t="str">
        <f>IFERROR(__xludf.DUMMYFUNCTION("""COMPUTED_VALUE"""),"0x544035d1624a71589635b9997d621462615b8967")</f>
        <v>0x544035d1624a71589635b9997d621462615b8967</v>
      </c>
      <c r="J2194" s="18">
        <v>57.53587025662371</v>
      </c>
      <c r="K2194" s="4">
        <v>719.1983782077964</v>
      </c>
      <c r="L2194" s="19">
        <v>7.191983782077964E20</v>
      </c>
      <c r="M2194" s="20">
        <v>7.191983782077964E19</v>
      </c>
    </row>
    <row r="2195">
      <c r="A2195" s="6"/>
      <c r="B2195" s="6"/>
      <c r="C2195" s="4"/>
      <c r="D2195" s="4">
        <v>48.3641275995966</v>
      </c>
      <c r="E2195" s="4" t="s">
        <v>3529</v>
      </c>
      <c r="F2195" s="4"/>
      <c r="G2195" s="4"/>
      <c r="H2195" s="4"/>
      <c r="I2195" s="4" t="str">
        <f>IFERROR(__xludf.DUMMYFUNCTION("""COMPUTED_VALUE"""),"0xe0d68e3b6c640cb955295a0baec0b4b7cf0dbd9a")</f>
        <v>0xe0d68e3b6c640cb955295a0baec0b4b7cf0dbd9a</v>
      </c>
      <c r="J2195" s="18">
        <v>48.3641275995966</v>
      </c>
      <c r="K2195" s="4">
        <v>604.5515949949574</v>
      </c>
      <c r="L2195" s="19">
        <v>6.045515949949574E20</v>
      </c>
      <c r="M2195" s="20">
        <v>6.045515949949574E19</v>
      </c>
    </row>
    <row r="2196">
      <c r="A2196" s="6"/>
      <c r="B2196" s="6"/>
      <c r="C2196" s="4"/>
      <c r="D2196" s="4">
        <v>48.3641275995966</v>
      </c>
      <c r="E2196" s="4" t="s">
        <v>3530</v>
      </c>
      <c r="F2196" s="4"/>
      <c r="G2196" s="4"/>
      <c r="H2196" s="4"/>
      <c r="I2196" s="4" t="str">
        <f>IFERROR(__xludf.DUMMYFUNCTION("""COMPUTED_VALUE"""),"0x6fc74f5b61ca113e77714d4e5ad017f281126171")</f>
        <v>0x6fc74f5b61ca113e77714d4e5ad017f281126171</v>
      </c>
      <c r="J2196" s="18">
        <v>17.863939599105098</v>
      </c>
      <c r="K2196" s="4">
        <v>223.2992449888137</v>
      </c>
      <c r="L2196" s="19">
        <v>2.232992449888137E20</v>
      </c>
      <c r="M2196" s="20">
        <v>2.2329924498881372E19</v>
      </c>
    </row>
    <row r="2197">
      <c r="A2197" s="6"/>
      <c r="B2197" s="6"/>
      <c r="C2197" s="4"/>
      <c r="D2197" s="4">
        <v>48.3641275995966</v>
      </c>
      <c r="E2197" s="4" t="s">
        <v>3531</v>
      </c>
      <c r="F2197" s="4"/>
      <c r="G2197" s="4"/>
      <c r="H2197" s="4"/>
      <c r="I2197" s="4" t="str">
        <f>IFERROR(__xludf.DUMMYFUNCTION("""COMPUTED_VALUE"""),"0x3521e71512e643254024f069887d5468784c27ba")</f>
        <v>0x3521e71512e643254024f069887d5468784c27ba</v>
      </c>
      <c r="J2197" s="18">
        <v>16.754944585841</v>
      </c>
      <c r="K2197" s="4">
        <v>209.4368073230125</v>
      </c>
      <c r="L2197" s="19">
        <v>2.094368073230125E20</v>
      </c>
      <c r="M2197" s="20">
        <v>2.094368073230125E19</v>
      </c>
    </row>
    <row r="2198">
      <c r="A2198" s="6"/>
      <c r="B2198" s="6"/>
      <c r="C2198" s="4"/>
      <c r="D2198" s="4">
        <v>14.044476790559001</v>
      </c>
      <c r="E2198" s="4" t="s">
        <v>3532</v>
      </c>
      <c r="F2198" s="4"/>
      <c r="G2198" s="4"/>
      <c r="H2198" s="4"/>
      <c r="I2198" s="4" t="str">
        <f>IFERROR(__xludf.DUMMYFUNCTION("""COMPUTED_VALUE"""),"0x8d43c8b212dc2527e7356227890a1fc24dd047ea")</f>
        <v>0x8d43c8b212dc2527e7356227890a1fc24dd047ea</v>
      </c>
      <c r="J2198" s="18">
        <v>1.3793794357960598</v>
      </c>
      <c r="K2198" s="4">
        <v>17.242242947450748</v>
      </c>
      <c r="L2198" s="19">
        <v>1.7242242947450749E19</v>
      </c>
      <c r="M2198" s="20">
        <v>1.724224294745075E18</v>
      </c>
    </row>
    <row r="2199">
      <c r="A2199" s="6"/>
      <c r="B2199" s="6"/>
      <c r="C2199" s="4"/>
      <c r="D2199" s="4">
        <v>48.3641275995966</v>
      </c>
      <c r="E2199" s="4" t="s">
        <v>3534</v>
      </c>
      <c r="F2199" s="4"/>
      <c r="G2199" s="4"/>
      <c r="H2199" s="4"/>
      <c r="I2199" s="4" t="str">
        <f>IFERROR(__xludf.DUMMYFUNCTION("""COMPUTED_VALUE"""),"0xba9f401b62fa8a8c56e3388c50e6360e382dd0d7")</f>
        <v>0xba9f401b62fa8a8c56e3388c50e6360e382dd0d7</v>
      </c>
      <c r="J2199" s="18">
        <v>41.9672452930744</v>
      </c>
      <c r="K2199" s="4">
        <v>524.59056616343</v>
      </c>
      <c r="L2199" s="19">
        <v>5.2459056616343005E20</v>
      </c>
      <c r="M2199" s="20">
        <v>5.245905661634301E19</v>
      </c>
    </row>
    <row r="2200">
      <c r="A2200" s="6"/>
      <c r="B2200" s="6"/>
      <c r="C2200" s="4"/>
      <c r="D2200" s="4">
        <v>48.3641275995966</v>
      </c>
      <c r="E2200" s="4" t="s">
        <v>3535</v>
      </c>
      <c r="F2200" s="4"/>
      <c r="G2200" s="4"/>
      <c r="H2200" s="4"/>
      <c r="I2200" s="4" t="str">
        <f>IFERROR(__xludf.DUMMYFUNCTION("""COMPUTED_VALUE"""),"0x1b57cabdcd3717d5cdcd8e21b5a901f8794303ae")</f>
        <v>0x1b57cabdcd3717d5cdcd8e21b5a901f8794303ae</v>
      </c>
      <c r="J2200" s="18">
        <v>48.3641275995966</v>
      </c>
      <c r="K2200" s="4">
        <v>604.5515949949574</v>
      </c>
      <c r="L2200" s="19">
        <v>6.045515949949574E20</v>
      </c>
      <c r="M2200" s="20">
        <v>6.045515949949574E19</v>
      </c>
    </row>
    <row r="2201">
      <c r="A2201" s="6"/>
      <c r="B2201" s="6"/>
      <c r="C2201" s="4"/>
      <c r="D2201" s="4">
        <v>48.3641275995966</v>
      </c>
      <c r="E2201" s="4" t="s">
        <v>3536</v>
      </c>
      <c r="F2201" s="4"/>
      <c r="G2201" s="4"/>
      <c r="H2201" s="4"/>
      <c r="I2201" s="4" t="str">
        <f>IFERROR(__xludf.DUMMYFUNCTION("""COMPUTED_VALUE"""),"0x928814b397c674a48bf20d49d0babe00983dd07f")</f>
        <v>0x928814b397c674a48bf20d49d0babe00983dd07f</v>
      </c>
      <c r="J2201" s="18">
        <v>19.3456510398386</v>
      </c>
      <c r="K2201" s="4">
        <v>241.8206379979825</v>
      </c>
      <c r="L2201" s="19">
        <v>2.4182063799798248E20</v>
      </c>
      <c r="M2201" s="20">
        <v>2.418206379979825E19</v>
      </c>
    </row>
    <row r="2202">
      <c r="A2202" s="6"/>
      <c r="B2202" s="6"/>
      <c r="C2202" s="4"/>
      <c r="D2202" s="4">
        <v>48.3641275995966</v>
      </c>
      <c r="E2202" s="4" t="s">
        <v>3537</v>
      </c>
      <c r="F2202" s="4"/>
      <c r="G2202" s="4"/>
      <c r="H2202" s="4"/>
      <c r="I2202" s="4" t="str">
        <f>IFERROR(__xludf.DUMMYFUNCTION("""COMPUTED_VALUE"""),"0x9edb3b23db4161ec25a06a2036b1620efcdceaa5")</f>
        <v>0x9edb3b23db4161ec25a06a2036b1620efcdceaa5</v>
      </c>
      <c r="J2202" s="18">
        <v>15.930903436034589</v>
      </c>
      <c r="K2202" s="4">
        <v>199.13629295043236</v>
      </c>
      <c r="L2202" s="19">
        <v>1.9913629295043235E20</v>
      </c>
      <c r="M2202" s="20">
        <v>1.9913629295043236E19</v>
      </c>
    </row>
    <row r="2203">
      <c r="A2203" s="6"/>
      <c r="B2203" s="6"/>
      <c r="C2203" s="4"/>
      <c r="D2203" s="4">
        <v>48.3641275995966</v>
      </c>
      <c r="E2203" s="4" t="s">
        <v>3538</v>
      </c>
      <c r="F2203" s="4"/>
      <c r="G2203" s="4"/>
      <c r="H2203" s="4"/>
      <c r="I2203" s="4" t="str">
        <f>IFERROR(__xludf.DUMMYFUNCTION("""COMPUTED_VALUE"""),"0x11178a0e6f92b6c0a7009ec46a1b65641dcc9725")</f>
        <v>0x11178a0e6f92b6c0a7009ec46a1b65641dcc9725</v>
      </c>
      <c r="J2203" s="18">
        <v>18.7471109894547</v>
      </c>
      <c r="K2203" s="4">
        <v>234.33888736818375</v>
      </c>
      <c r="L2203" s="19">
        <v>2.3433888736818374E20</v>
      </c>
      <c r="M2203" s="20">
        <v>2.3433888736818377E19</v>
      </c>
    </row>
    <row r="2204">
      <c r="A2204" s="6"/>
      <c r="B2204" s="6"/>
      <c r="C2204" s="4"/>
      <c r="D2204" s="4">
        <v>48.3641275995966</v>
      </c>
      <c r="E2204" s="4" t="s">
        <v>3539</v>
      </c>
      <c r="F2204" s="4"/>
      <c r="G2204" s="4"/>
      <c r="H2204" s="4"/>
      <c r="I2204" s="4" t="str">
        <f>IFERROR(__xludf.DUMMYFUNCTION("""COMPUTED_VALUE"""),"0xf8335b5557677182cf6b7734a9e854ab3578acc1")</f>
        <v>0xf8335b5557677182cf6b7734a9e854ab3578acc1</v>
      </c>
      <c r="J2204" s="18">
        <v>24.8302197316096</v>
      </c>
      <c r="K2204" s="4">
        <v>310.37774664512</v>
      </c>
      <c r="L2204" s="19">
        <v>3.1037774664512E20</v>
      </c>
      <c r="M2204" s="20">
        <v>3.1037774664512E19</v>
      </c>
    </row>
    <row r="2205">
      <c r="A2205" s="6"/>
      <c r="B2205" s="6"/>
      <c r="C2205" s="4"/>
      <c r="D2205" s="4">
        <v>21.224215904174898</v>
      </c>
      <c r="E2205" s="4" t="s">
        <v>3540</v>
      </c>
      <c r="F2205" s="4"/>
      <c r="G2205" s="4"/>
      <c r="H2205" s="4"/>
      <c r="I2205" s="4" t="str">
        <f>IFERROR(__xludf.DUMMYFUNCTION("""COMPUTED_VALUE"""),"0x9e62062440916ffa85be6086174d616115ec4cfe")</f>
        <v>0x9e62062440916ffa85be6086174d616115ec4cfe</v>
      </c>
      <c r="J2205" s="18">
        <v>10.0790439301673</v>
      </c>
      <c r="K2205" s="4">
        <v>125.98804912709124</v>
      </c>
      <c r="L2205" s="19">
        <v>1.2598804912709124E20</v>
      </c>
      <c r="M2205" s="20">
        <v>1.2598804912709124E19</v>
      </c>
    </row>
    <row r="2206">
      <c r="A2206" s="6"/>
      <c r="B2206" s="6"/>
      <c r="C2206" s="4"/>
      <c r="D2206" s="4">
        <v>6.09486867378529</v>
      </c>
      <c r="E2206" s="4" t="s">
        <v>3542</v>
      </c>
      <c r="F2206" s="4"/>
      <c r="G2206" s="4"/>
      <c r="H2206" s="4"/>
      <c r="I2206" s="4" t="str">
        <f>IFERROR(__xludf.DUMMYFUNCTION("""COMPUTED_VALUE"""),"0x63c97758e958a339509a450bc3d80bd9166d8d07")</f>
        <v>0x63c97758e958a339509a450bc3d80bd9166d8d07</v>
      </c>
      <c r="J2206" s="18">
        <v>143.8849435089473</v>
      </c>
      <c r="K2206" s="4">
        <v>1798.5617938618411</v>
      </c>
      <c r="L2206" s="19">
        <v>1.798561793861841E21</v>
      </c>
      <c r="M2206" s="20">
        <v>1.798561793861841E20</v>
      </c>
    </row>
    <row r="2207">
      <c r="A2207" s="6"/>
      <c r="B2207" s="6"/>
      <c r="C2207" s="4"/>
      <c r="D2207" s="4">
        <v>46.7021938819164</v>
      </c>
      <c r="E2207" s="4" t="s">
        <v>3544</v>
      </c>
      <c r="F2207" s="4"/>
      <c r="G2207" s="4"/>
      <c r="H2207" s="4"/>
      <c r="I2207" s="4" t="str">
        <f>IFERROR(__xludf.DUMMYFUNCTION("""COMPUTED_VALUE"""),"0xca2df8acb56c73fd6a2a17d7fb31b852c90b058a")</f>
        <v>0xca2df8acb56c73fd6a2a17d7fb31b852c90b058a</v>
      </c>
      <c r="J2207" s="18">
        <v>48.3641275995966</v>
      </c>
      <c r="K2207" s="4">
        <v>604.5515949949574</v>
      </c>
      <c r="L2207" s="19">
        <v>6.045515949949574E20</v>
      </c>
      <c r="M2207" s="20">
        <v>6.045515949949574E19</v>
      </c>
    </row>
    <row r="2208">
      <c r="A2208" s="6"/>
      <c r="B2208" s="6"/>
      <c r="C2208" s="4"/>
      <c r="D2208" s="4">
        <v>48.3641275995966</v>
      </c>
      <c r="E2208" s="4" t="s">
        <v>3546</v>
      </c>
      <c r="F2208" s="4"/>
      <c r="G2208" s="4"/>
      <c r="H2208" s="4"/>
      <c r="I2208" s="4" t="str">
        <f>IFERROR(__xludf.DUMMYFUNCTION("""COMPUTED_VALUE"""),"0x2b3d1bc00e68386ac4275fb748ce6a28ecb3c35e")</f>
        <v>0x2b3d1bc00e68386ac4275fb748ce6a28ecb3c35e</v>
      </c>
      <c r="J2208" s="18">
        <v>10.001204943721598</v>
      </c>
      <c r="K2208" s="4">
        <v>125.01506179651997</v>
      </c>
      <c r="L2208" s="19">
        <v>1.2501506179651997E20</v>
      </c>
      <c r="M2208" s="20">
        <v>1.2501506179651998E19</v>
      </c>
    </row>
    <row r="2209">
      <c r="A2209" s="6"/>
      <c r="B2209" s="6"/>
      <c r="C2209" s="4"/>
      <c r="D2209" s="4">
        <v>48.3641275995966</v>
      </c>
      <c r="E2209" s="4" t="s">
        <v>3547</v>
      </c>
      <c r="F2209" s="4"/>
      <c r="G2209" s="4"/>
      <c r="H2209" s="4"/>
      <c r="I2209" s="4" t="str">
        <f>IFERROR(__xludf.DUMMYFUNCTION("""COMPUTED_VALUE"""),"0x83faad862fb2cd3aa828f7a795f3f559df0badd4")</f>
        <v>0x83faad862fb2cd3aa828f7a795f3f559df0badd4</v>
      </c>
      <c r="J2209" s="18">
        <v>115.751488319856</v>
      </c>
      <c r="K2209" s="4">
        <v>1446.8936039982</v>
      </c>
      <c r="L2209" s="19">
        <v>1.4468936039982E21</v>
      </c>
      <c r="M2209" s="20">
        <v>1.4468936039982E20</v>
      </c>
    </row>
    <row r="2210">
      <c r="A2210" s="6"/>
      <c r="B2210" s="6"/>
      <c r="C2210" s="4"/>
      <c r="D2210" s="4">
        <v>40.648064409640696</v>
      </c>
      <c r="E2210" s="4" t="s">
        <v>3548</v>
      </c>
      <c r="F2210" s="4"/>
      <c r="G2210" s="4"/>
      <c r="H2210" s="4"/>
      <c r="I2210" s="4" t="str">
        <f>IFERROR(__xludf.DUMMYFUNCTION("""COMPUTED_VALUE"""),"0x34f2ac0dd90b768b382e981e50312333a7a1a69d")</f>
        <v>0x34f2ac0dd90b768b382e981e50312333a7a1a69d</v>
      </c>
      <c r="J2210" s="18">
        <v>113.4683136722219</v>
      </c>
      <c r="K2210" s="4">
        <v>1418.3539209027738</v>
      </c>
      <c r="L2210" s="19">
        <v>1.4183539209027739E21</v>
      </c>
      <c r="M2210" s="20">
        <v>1.418353920902774E20</v>
      </c>
    </row>
    <row r="2211">
      <c r="A2211" s="6"/>
      <c r="B2211" s="6"/>
      <c r="C2211" s="4"/>
      <c r="D2211" s="4">
        <v>9.672825519919328</v>
      </c>
      <c r="E2211" s="4" t="s">
        <v>3550</v>
      </c>
      <c r="F2211" s="4"/>
      <c r="G2211" s="4"/>
      <c r="H2211" s="4"/>
      <c r="I2211" s="4" t="str">
        <f>IFERROR(__xludf.DUMMYFUNCTION("""COMPUTED_VALUE"""),"0xf1e1ecd1527ca4891e2154f7d1d225e0cb705003")</f>
        <v>0xf1e1ecd1527ca4891e2154f7d1d225e0cb705003</v>
      </c>
      <c r="J2211" s="18">
        <v>48.3641275995966</v>
      </c>
      <c r="K2211" s="4">
        <v>604.5515949949574</v>
      </c>
      <c r="L2211" s="19">
        <v>6.045515949949574E20</v>
      </c>
      <c r="M2211" s="20">
        <v>6.045515949949574E19</v>
      </c>
    </row>
    <row r="2212">
      <c r="A2212" s="6"/>
      <c r="B2212" s="6"/>
      <c r="C2212" s="4"/>
      <c r="D2212" s="4">
        <v>9.122827440099309</v>
      </c>
      <c r="E2212" s="4" t="s">
        <v>3551</v>
      </c>
      <c r="F2212" s="4"/>
      <c r="G2212" s="4"/>
      <c r="H2212" s="4"/>
      <c r="I2212" s="4" t="str">
        <f>IFERROR(__xludf.DUMMYFUNCTION("""COMPUTED_VALUE"""),"0x3eeab3f77b370ab634b3084ddd42af7d1ba886c9")</f>
        <v>0x3eeab3f77b370ab634b3084ddd42af7d1ba886c9</v>
      </c>
      <c r="J2212" s="18">
        <v>9.786723521155809</v>
      </c>
      <c r="K2212" s="4">
        <v>122.3340440144476</v>
      </c>
      <c r="L2212" s="19">
        <v>1.2233404401444759E20</v>
      </c>
      <c r="M2212" s="20">
        <v>1.223340440144476E19</v>
      </c>
    </row>
    <row r="2213">
      <c r="A2213" s="6"/>
      <c r="B2213" s="6"/>
      <c r="C2213" s="4"/>
      <c r="D2213" s="4">
        <v>21.899044374963797</v>
      </c>
      <c r="E2213" s="4" t="s">
        <v>3553</v>
      </c>
      <c r="F2213" s="4"/>
      <c r="G2213" s="4"/>
      <c r="H2213" s="4"/>
      <c r="I2213" s="4" t="str">
        <f>IFERROR(__xludf.DUMMYFUNCTION("""COMPUTED_VALUE"""),"0xf87acaec6a9fe096e33592dbaaefb5c096ef5668")</f>
        <v>0xf87acaec6a9fe096e33592dbaaefb5c096ef5668</v>
      </c>
      <c r="J2213" s="18">
        <v>38.6913020796773</v>
      </c>
      <c r="K2213" s="4">
        <v>483.6412759959662</v>
      </c>
      <c r="L2213" s="19">
        <v>4.836412759959662E20</v>
      </c>
      <c r="M2213" s="20">
        <v>4.836412759959663E19</v>
      </c>
    </row>
    <row r="2214">
      <c r="A2214" s="6"/>
      <c r="B2214" s="6"/>
      <c r="C2214" s="4"/>
      <c r="D2214" s="4">
        <v>12.499990759826499</v>
      </c>
      <c r="E2214" s="4" t="s">
        <v>3555</v>
      </c>
      <c r="F2214" s="4"/>
      <c r="G2214" s="4"/>
      <c r="H2214" s="4"/>
      <c r="I2214" s="4" t="str">
        <f>IFERROR(__xludf.DUMMYFUNCTION("""COMPUTED_VALUE"""),"0x7feecab005755a4c808a3150af3b0dbfb99bd88a")</f>
        <v>0x7feecab005755a4c808a3150af3b0dbfb99bd88a</v>
      </c>
      <c r="J2214" s="18">
        <v>9.672825519919328</v>
      </c>
      <c r="K2214" s="4">
        <v>120.9103189989916</v>
      </c>
      <c r="L2214" s="19">
        <v>1.209103189989916E20</v>
      </c>
      <c r="M2214" s="20">
        <v>1.209103189989916E19</v>
      </c>
    </row>
    <row r="2215">
      <c r="A2215" s="6"/>
      <c r="B2215" s="6"/>
      <c r="C2215" s="4"/>
      <c r="D2215" s="4">
        <v>48.3641275995966</v>
      </c>
      <c r="E2215" s="4" t="s">
        <v>3557</v>
      </c>
      <c r="F2215" s="4"/>
      <c r="G2215" s="4"/>
      <c r="H2215" s="4"/>
      <c r="I2215" s="4" t="str">
        <f>IFERROR(__xludf.DUMMYFUNCTION("""COMPUTED_VALUE"""),"0x71c0bb2717f678d567805d3ee1e1fd48788b9248")</f>
        <v>0x71c0bb2717f678d567805d3ee1e1fd48788b9248</v>
      </c>
      <c r="J2215" s="18">
        <v>10.744566110008101</v>
      </c>
      <c r="K2215" s="4">
        <v>134.30707637510127</v>
      </c>
      <c r="L2215" s="19">
        <v>1.3430707637510128E20</v>
      </c>
      <c r="M2215" s="20">
        <v>1.3430707637510128E19</v>
      </c>
    </row>
    <row r="2216">
      <c r="A2216" s="6"/>
      <c r="B2216" s="6"/>
      <c r="C2216" s="4"/>
      <c r="D2216" s="4">
        <v>48.0617791614238</v>
      </c>
      <c r="E2216" s="4" t="s">
        <v>3558</v>
      </c>
      <c r="F2216" s="4"/>
      <c r="G2216" s="4"/>
      <c r="H2216" s="4"/>
      <c r="I2216" s="4" t="str">
        <f>IFERROR(__xludf.DUMMYFUNCTION("""COMPUTED_VALUE"""),"0x5ab8434e3528cc79a35032806157aadaf4699407")</f>
        <v>0x5ab8434e3528cc79a35032806157aadaf4699407</v>
      </c>
      <c r="J2216" s="18">
        <v>9.672825519919328</v>
      </c>
      <c r="K2216" s="4">
        <v>120.9103189989916</v>
      </c>
      <c r="L2216" s="19">
        <v>1.209103189989916E20</v>
      </c>
      <c r="M2216" s="20">
        <v>1.209103189989916E19</v>
      </c>
    </row>
    <row r="2217">
      <c r="A2217" s="6"/>
      <c r="B2217" s="6"/>
      <c r="C2217" s="4"/>
      <c r="D2217" s="4">
        <v>48.3641275995966</v>
      </c>
      <c r="E2217" s="4" t="s">
        <v>3560</v>
      </c>
      <c r="F2217" s="4"/>
      <c r="G2217" s="4"/>
      <c r="H2217" s="4"/>
      <c r="I2217" s="4" t="str">
        <f>IFERROR(__xludf.DUMMYFUNCTION("""COMPUTED_VALUE"""),"0x62153f630ec928652ebc74caa961dd771b0a857c")</f>
        <v>0x62153f630ec928652ebc74caa961dd771b0a857c</v>
      </c>
      <c r="J2217" s="18">
        <v>7.99635993878278</v>
      </c>
      <c r="K2217" s="4">
        <v>99.95449923478475</v>
      </c>
      <c r="L2217" s="19">
        <v>9.995449923478476E19</v>
      </c>
      <c r="M2217" s="20">
        <v>9.995449923478477E18</v>
      </c>
    </row>
    <row r="2218">
      <c r="A2218" s="6"/>
      <c r="B2218" s="6"/>
      <c r="C2218" s="4"/>
      <c r="D2218" s="4">
        <v>48.3641275995966</v>
      </c>
      <c r="E2218" s="4" t="s">
        <v>3561</v>
      </c>
      <c r="F2218" s="4"/>
      <c r="G2218" s="4"/>
      <c r="H2218" s="4"/>
      <c r="I2218" s="4" t="str">
        <f>IFERROR(__xludf.DUMMYFUNCTION("""COMPUTED_VALUE"""),"0x8d4bb67724bde900fadf3a07271dfbee053ee85f")</f>
        <v>0x8d4bb67724bde900fadf3a07271dfbee053ee85f</v>
      </c>
      <c r="J2218" s="18">
        <v>19.3456510398386</v>
      </c>
      <c r="K2218" s="4">
        <v>241.8206379979825</v>
      </c>
      <c r="L2218" s="19">
        <v>2.4182063799798248E20</v>
      </c>
      <c r="M2218" s="20">
        <v>2.418206379979825E19</v>
      </c>
    </row>
    <row r="2219">
      <c r="A2219" s="6"/>
      <c r="B2219" s="6"/>
      <c r="C2219" s="4"/>
      <c r="D2219" s="4">
        <v>10.6019012979122</v>
      </c>
      <c r="E2219" s="4" t="s">
        <v>3562</v>
      </c>
      <c r="F2219" s="4"/>
      <c r="G2219" s="4"/>
      <c r="H2219" s="4"/>
      <c r="I2219" s="4" t="str">
        <f>IFERROR(__xludf.DUMMYFUNCTION("""COMPUTED_VALUE"""),"0x7921780c2056488ba01ba469c1bb40151622bdac")</f>
        <v>0x7921780c2056488ba01ba469c1bb40151622bdac</v>
      </c>
      <c r="J2219" s="18">
        <v>86.2005484383029</v>
      </c>
      <c r="K2219" s="4">
        <v>1077.5068554787863</v>
      </c>
      <c r="L2219" s="19">
        <v>1.0775068554787863E21</v>
      </c>
      <c r="M2219" s="20">
        <v>1.0775068554787863E20</v>
      </c>
    </row>
    <row r="2220">
      <c r="A2220" s="6"/>
      <c r="B2220" s="6"/>
      <c r="C2220" s="4"/>
      <c r="D2220" s="4">
        <v>48.3542388934999</v>
      </c>
      <c r="E2220" s="4" t="s">
        <v>3564</v>
      </c>
      <c r="F2220" s="4"/>
      <c r="G2220" s="4"/>
      <c r="H2220" s="4"/>
      <c r="I2220" s="4" t="str">
        <f>IFERROR(__xludf.DUMMYFUNCTION("""COMPUTED_VALUE"""),"0xdbec99e46622eb143582a3b41e3606654482e545")</f>
        <v>0xdbec99e46622eb143582a3b41e3606654482e545</v>
      </c>
      <c r="J2220" s="18">
        <v>17.419395608378498</v>
      </c>
      <c r="K2220" s="4">
        <v>217.74244510473122</v>
      </c>
      <c r="L2220" s="19">
        <v>2.1774244510473123E20</v>
      </c>
      <c r="M2220" s="20">
        <v>2.177424451047312E19</v>
      </c>
    </row>
    <row r="2221">
      <c r="A2221" s="6"/>
      <c r="B2221" s="6"/>
      <c r="C2221" s="4"/>
      <c r="D2221" s="4">
        <v>15.8361400287374</v>
      </c>
      <c r="E2221" s="4" t="s">
        <v>3566</v>
      </c>
      <c r="F2221" s="4"/>
      <c r="G2221" s="4"/>
      <c r="H2221" s="4"/>
      <c r="I2221" s="4" t="str">
        <f>IFERROR(__xludf.DUMMYFUNCTION("""COMPUTED_VALUE"""),"0xddec6b23032ee382805432dbe8c9159ab633b416")</f>
        <v>0xddec6b23032ee382805432dbe8c9159ab633b416</v>
      </c>
      <c r="J2221" s="18">
        <v>33.991516796813</v>
      </c>
      <c r="K2221" s="4">
        <v>424.89395996016253</v>
      </c>
      <c r="L2221" s="19">
        <v>4.2489395996016253E20</v>
      </c>
      <c r="M2221" s="20">
        <v>4.2489395996016255E19</v>
      </c>
    </row>
    <row r="2222">
      <c r="A2222" s="6"/>
      <c r="B2222" s="6"/>
      <c r="C2222" s="4"/>
      <c r="D2222" s="4">
        <v>32.5797678943828</v>
      </c>
      <c r="E2222" s="4" t="s">
        <v>3568</v>
      </c>
      <c r="F2222" s="4"/>
      <c r="G2222" s="4"/>
      <c r="H2222" s="4"/>
      <c r="I2222" s="4" t="str">
        <f>IFERROR(__xludf.DUMMYFUNCTION("""COMPUTED_VALUE"""),"0x4bc2ab01d4756ae7a0d59df0109ee7656990a5c0")</f>
        <v>0x4bc2ab01d4756ae7a0d59df0109ee7656990a5c0</v>
      </c>
      <c r="J2222" s="18">
        <v>67.4082113146746</v>
      </c>
      <c r="K2222" s="4">
        <v>842.6026414334325</v>
      </c>
      <c r="L2222" s="19">
        <v>8.426026414334326E20</v>
      </c>
      <c r="M2222" s="20">
        <v>8.426026414334326E19</v>
      </c>
    </row>
    <row r="2223">
      <c r="A2223" s="6"/>
      <c r="B2223" s="6"/>
      <c r="C2223" s="4"/>
      <c r="D2223" s="4">
        <v>0.206320988879906</v>
      </c>
      <c r="E2223" s="4" t="s">
        <v>3570</v>
      </c>
      <c r="F2223" s="4"/>
      <c r="G2223" s="4"/>
      <c r="H2223" s="4"/>
      <c r="I2223" s="4" t="str">
        <f>IFERROR(__xludf.DUMMYFUNCTION("""COMPUTED_VALUE"""),"0x5c541e78e4b4b0860a4187816b17b7bdc505cf6f")</f>
        <v>0x5c541e78e4b4b0860a4187816b17b7bdc505cf6f</v>
      </c>
      <c r="J2223" s="18">
        <v>44.4605576813055</v>
      </c>
      <c r="K2223" s="4">
        <v>555.7569710163187</v>
      </c>
      <c r="L2223" s="19">
        <v>5.5575697101631875E20</v>
      </c>
      <c r="M2223" s="20">
        <v>5.557569710163188E19</v>
      </c>
    </row>
    <row r="2224">
      <c r="A2224" s="6"/>
      <c r="B2224" s="6"/>
      <c r="C2224" s="4"/>
      <c r="D2224" s="4">
        <v>38.4928297389631</v>
      </c>
      <c r="E2224" s="4" t="s">
        <v>3572</v>
      </c>
      <c r="F2224" s="4"/>
      <c r="G2224" s="4"/>
      <c r="H2224" s="4"/>
      <c r="I2224" s="4" t="str">
        <f>IFERROR(__xludf.DUMMYFUNCTION("""COMPUTED_VALUE"""),"0xd282f9b70165c95fddeba9acb7914d66542f7c41")</f>
        <v>0xd282f9b70165c95fddeba9acb7914d66542f7c41</v>
      </c>
      <c r="J2224" s="18">
        <v>4.8436902698776905</v>
      </c>
      <c r="K2224" s="4">
        <v>60.54612837347113</v>
      </c>
      <c r="L2224" s="19">
        <v>6.0546128373471126E19</v>
      </c>
      <c r="M2224" s="20">
        <v>6.054612837347113E18</v>
      </c>
    </row>
    <row r="2225">
      <c r="A2225" s="6"/>
      <c r="B2225" s="6"/>
      <c r="C2225" s="4"/>
      <c r="D2225" s="4">
        <v>44.0629471292165</v>
      </c>
      <c r="E2225" s="4" t="s">
        <v>3574</v>
      </c>
      <c r="F2225" s="4"/>
      <c r="G2225" s="4"/>
      <c r="H2225" s="4"/>
      <c r="I2225" s="4" t="str">
        <f>IFERROR(__xludf.DUMMYFUNCTION("""COMPUTED_VALUE"""),"0x8591ae886dff75308b5cffdb6847e9ccacaf8f35")</f>
        <v>0x8591ae886dff75308b5cffdb6847e9ccacaf8f35</v>
      </c>
      <c r="J2225" s="18">
        <v>2.39591033132423</v>
      </c>
      <c r="K2225" s="4">
        <v>29.948879141552876</v>
      </c>
      <c r="L2225" s="19">
        <v>2.9948879141552878E19</v>
      </c>
      <c r="M2225" s="20">
        <v>2.994887914155288E18</v>
      </c>
    </row>
    <row r="2226">
      <c r="A2226" s="6"/>
      <c r="B2226" s="6"/>
      <c r="C2226" s="4"/>
      <c r="D2226" s="4">
        <v>48.3641275995966</v>
      </c>
      <c r="E2226" s="4" t="s">
        <v>3576</v>
      </c>
      <c r="F2226" s="4"/>
      <c r="G2226" s="4"/>
      <c r="H2226" s="4"/>
      <c r="I2226" s="4" t="str">
        <f>IFERROR(__xludf.DUMMYFUNCTION("""COMPUTED_VALUE"""),"0x67975a056d3d96f80dcbbd7de6f03d591bc0e2d7")</f>
        <v>0x67975a056d3d96f80dcbbd7de6f03d591bc0e2d7</v>
      </c>
      <c r="J2226" s="18">
        <v>25.9249051450619</v>
      </c>
      <c r="K2226" s="4">
        <v>324.0613143132737</v>
      </c>
      <c r="L2226" s="19">
        <v>3.2406131431327374E20</v>
      </c>
      <c r="M2226" s="20">
        <v>3.2406131431327375E19</v>
      </c>
    </row>
    <row r="2227">
      <c r="A2227" s="6"/>
      <c r="B2227" s="6"/>
      <c r="C2227" s="4"/>
      <c r="D2227" s="4">
        <v>9.672825519919328</v>
      </c>
      <c r="E2227" s="4" t="s">
        <v>3577</v>
      </c>
      <c r="F2227" s="4"/>
      <c r="G2227" s="4"/>
      <c r="H2227" s="4"/>
      <c r="I2227" s="4" t="str">
        <f>IFERROR(__xludf.DUMMYFUNCTION("""COMPUTED_VALUE"""),"0x0237ef81fc1fecb70268542300e2286fb74d5d72")</f>
        <v>0x0237ef81fc1fecb70268542300e2286fb74d5d72</v>
      </c>
      <c r="J2227" s="18">
        <v>9.36418174228821</v>
      </c>
      <c r="K2227" s="4">
        <v>117.05227177860262</v>
      </c>
      <c r="L2227" s="19">
        <v>1.1705227177860261E20</v>
      </c>
      <c r="M2227" s="20">
        <v>1.1705227177860262E19</v>
      </c>
    </row>
    <row r="2228">
      <c r="A2228" s="6"/>
      <c r="B2228" s="6"/>
      <c r="C2228" s="4"/>
      <c r="D2228" s="4">
        <v>18.677914910623997</v>
      </c>
      <c r="E2228" s="4" t="s">
        <v>3578</v>
      </c>
      <c r="F2228" s="4"/>
      <c r="G2228" s="4"/>
      <c r="H2228" s="4"/>
      <c r="I2228" s="4" t="str">
        <f>IFERROR(__xludf.DUMMYFUNCTION("""COMPUTED_VALUE"""),"0x9e3369bb0bc3f5cd4f2327c4f8235d8eaee570be")</f>
        <v>0x9e3369bb0bc3f5cd4f2327c4f8235d8eaee570be</v>
      </c>
      <c r="J2228" s="18">
        <v>9.69736339357185</v>
      </c>
      <c r="K2228" s="4">
        <v>121.21704241964812</v>
      </c>
      <c r="L2228" s="19">
        <v>1.2121704241964812E20</v>
      </c>
      <c r="M2228" s="20">
        <v>1.2121704241964812E19</v>
      </c>
    </row>
    <row r="2229">
      <c r="A2229" s="6"/>
      <c r="B2229" s="6"/>
      <c r="C2229" s="4"/>
      <c r="D2229" s="4">
        <v>9.81845754578474</v>
      </c>
      <c r="E2229" s="4" t="s">
        <v>3580</v>
      </c>
      <c r="F2229" s="4"/>
      <c r="G2229" s="4"/>
      <c r="H2229" s="4"/>
      <c r="I2229" s="4" t="str">
        <f>IFERROR(__xludf.DUMMYFUNCTION("""COMPUTED_VALUE"""),"0x43f9f8d868bfc3a343bcab8d6081879be74bbce8")</f>
        <v>0x43f9f8d868bfc3a343bcab8d6081879be74bbce8</v>
      </c>
      <c r="J2229" s="18">
        <v>52.56826047421111</v>
      </c>
      <c r="K2229" s="4">
        <v>657.1032559276389</v>
      </c>
      <c r="L2229" s="19">
        <v>6.571032559276389E20</v>
      </c>
      <c r="M2229" s="20">
        <v>6.571032559276389E19</v>
      </c>
    </row>
    <row r="2230">
      <c r="A2230" s="6"/>
      <c r="B2230" s="6"/>
      <c r="C2230" s="4"/>
      <c r="D2230" s="4">
        <v>48.3641275995966</v>
      </c>
      <c r="E2230" s="4" t="s">
        <v>3582</v>
      </c>
      <c r="F2230" s="4"/>
      <c r="G2230" s="4"/>
      <c r="H2230" s="4"/>
      <c r="I2230" s="4" t="str">
        <f>IFERROR(__xludf.DUMMYFUNCTION("""COMPUTED_VALUE"""),"0xc29b25a76f876be69eb85061de48140d25d4924d")</f>
        <v>0xc29b25a76f876be69eb85061de48140d25d4924d</v>
      </c>
      <c r="J2230" s="18">
        <v>57.66472560997164</v>
      </c>
      <c r="K2230" s="4">
        <v>720.8090701246455</v>
      </c>
      <c r="L2230" s="19">
        <v>7.208090701246455E20</v>
      </c>
      <c r="M2230" s="20">
        <v>7.208090701246455E19</v>
      </c>
    </row>
    <row r="2231">
      <c r="A2231" s="6"/>
      <c r="B2231" s="6"/>
      <c r="C2231" s="4"/>
      <c r="D2231" s="4">
        <v>9.92890036364027</v>
      </c>
      <c r="E2231" s="4" t="s">
        <v>3583</v>
      </c>
      <c r="F2231" s="4"/>
      <c r="G2231" s="4"/>
      <c r="H2231" s="4"/>
      <c r="I2231" s="4" t="str">
        <f>IFERROR(__xludf.DUMMYFUNCTION("""COMPUTED_VALUE"""),"0x920961a4a7a15385c4f3328e50f76f781c71d859")</f>
        <v>0x920961a4a7a15385c4f3328e50f76f781c71d859</v>
      </c>
      <c r="J2231" s="18">
        <v>234.37608780709658</v>
      </c>
      <c r="K2231" s="4">
        <v>2929.7010975887074</v>
      </c>
      <c r="L2231" s="19">
        <v>2.9297010975887076E21</v>
      </c>
      <c r="M2231" s="20">
        <v>2.9297010975887078E20</v>
      </c>
    </row>
    <row r="2232">
      <c r="A2232" s="6"/>
      <c r="B2232" s="6"/>
      <c r="C2232" s="4"/>
      <c r="D2232" s="4">
        <v>48.3641275995966</v>
      </c>
      <c r="E2232" s="4" t="s">
        <v>3585</v>
      </c>
      <c r="F2232" s="4"/>
      <c r="G2232" s="4"/>
      <c r="H2232" s="4"/>
      <c r="I2232" s="4" t="str">
        <f>IFERROR(__xludf.DUMMYFUNCTION("""COMPUTED_VALUE"""),"0x00cfd18861cdfb1fa3cb3a4ea868bd8ea5a11ddd")</f>
        <v>0x00cfd18861cdfb1fa3cb3a4ea868bd8ea5a11ddd</v>
      </c>
      <c r="J2232" s="18">
        <v>76.3698266330474</v>
      </c>
      <c r="K2232" s="4">
        <v>954.6228329130925</v>
      </c>
      <c r="L2232" s="19">
        <v>9.546228329130924E20</v>
      </c>
      <c r="M2232" s="20">
        <v>9.546228329130924E19</v>
      </c>
    </row>
    <row r="2233">
      <c r="A2233" s="6"/>
      <c r="B2233" s="6"/>
      <c r="C2233" s="4"/>
      <c r="D2233" s="4">
        <v>43.6829209278981</v>
      </c>
      <c r="E2233" s="4" t="s">
        <v>3586</v>
      </c>
      <c r="F2233" s="4"/>
      <c r="G2233" s="4"/>
      <c r="H2233" s="4"/>
      <c r="I2233" s="4" t="str">
        <f>IFERROR(__xludf.DUMMYFUNCTION("""COMPUTED_VALUE"""),"0x27ae4fa8f8a51cb76930623879bd531f18e4817e")</f>
        <v>0x27ae4fa8f8a51cb76930623879bd531f18e4817e</v>
      </c>
      <c r="J2233" s="18">
        <v>48.3641275995966</v>
      </c>
      <c r="K2233" s="4">
        <v>604.5515949949574</v>
      </c>
      <c r="L2233" s="19">
        <v>6.045515949949574E20</v>
      </c>
      <c r="M2233" s="20">
        <v>6.045515949949574E19</v>
      </c>
    </row>
    <row r="2234">
      <c r="A2234" s="6"/>
      <c r="B2234" s="6"/>
      <c r="C2234" s="4"/>
      <c r="D2234" s="4">
        <v>9.672825519919328</v>
      </c>
      <c r="E2234" s="4" t="s">
        <v>3588</v>
      </c>
      <c r="F2234" s="4"/>
      <c r="G2234" s="4"/>
      <c r="H2234" s="4"/>
      <c r="I2234" s="4" t="str">
        <f>IFERROR(__xludf.DUMMYFUNCTION("""COMPUTED_VALUE"""),"0xb41b61b3b48bea12368bc7bbe09159f8a0ab12d1")</f>
        <v>0xb41b61b3b48bea12368bc7bbe09159f8a0ab12d1</v>
      </c>
      <c r="J2234" s="18">
        <v>48.3641275995966</v>
      </c>
      <c r="K2234" s="4">
        <v>604.5515949949574</v>
      </c>
      <c r="L2234" s="19">
        <v>6.045515949949574E20</v>
      </c>
      <c r="M2234" s="20">
        <v>6.045515949949574E19</v>
      </c>
    </row>
    <row r="2235">
      <c r="A2235" s="6"/>
      <c r="B2235" s="6"/>
      <c r="C2235" s="4"/>
      <c r="D2235" s="4">
        <v>22.8563991047525</v>
      </c>
      <c r="E2235" s="4" t="s">
        <v>3589</v>
      </c>
      <c r="F2235" s="4"/>
      <c r="G2235" s="4"/>
      <c r="H2235" s="4"/>
      <c r="I2235" s="4" t="str">
        <f>IFERROR(__xludf.DUMMYFUNCTION("""COMPUTED_VALUE"""),"0x61168d47ec95bff7bd2ff9efa5fe5c1e435841a9")</f>
        <v>0x61168d47ec95bff7bd2ff9efa5fe5c1e435841a9</v>
      </c>
      <c r="J2235" s="18">
        <v>48.3641275995966</v>
      </c>
      <c r="K2235" s="4">
        <v>604.5515949949574</v>
      </c>
      <c r="L2235" s="19">
        <v>6.045515949949574E20</v>
      </c>
      <c r="M2235" s="20">
        <v>6.045515949949574E19</v>
      </c>
    </row>
    <row r="2236">
      <c r="A2236" s="6"/>
      <c r="B2236" s="6"/>
      <c r="C2236" s="4"/>
      <c r="D2236" s="4">
        <v>9.860870050971341</v>
      </c>
      <c r="E2236" s="4" t="s">
        <v>3591</v>
      </c>
      <c r="F2236" s="4"/>
      <c r="G2236" s="4"/>
      <c r="H2236" s="4"/>
      <c r="I2236" s="4" t="str">
        <f>IFERROR(__xludf.DUMMYFUNCTION("""COMPUTED_VALUE"""),"0x202249d563a8a25e03eaa0781825eddceed76417")</f>
        <v>0x202249d563a8a25e03eaa0781825eddceed76417</v>
      </c>
      <c r="J2236" s="18">
        <v>9.87019200383798</v>
      </c>
      <c r="K2236" s="4">
        <v>123.37740004797475</v>
      </c>
      <c r="L2236" s="19">
        <v>1.2337740004797474E20</v>
      </c>
      <c r="M2236" s="20">
        <v>1.2337740004797475E19</v>
      </c>
    </row>
    <row r="2237">
      <c r="A2237" s="6"/>
      <c r="B2237" s="6"/>
      <c r="C2237" s="4"/>
      <c r="D2237" s="4">
        <v>9.68050718598734</v>
      </c>
      <c r="E2237" s="4" t="s">
        <v>363</v>
      </c>
      <c r="F2237" s="4"/>
      <c r="G2237" s="4"/>
      <c r="H2237" s="4"/>
      <c r="I2237" s="4" t="str">
        <f>IFERROR(__xludf.DUMMYFUNCTION("""COMPUTED_VALUE"""),"0x53dd9eb89a46156da0e9a8682aad6ad72f1212ba")</f>
        <v>0x53dd9eb89a46156da0e9a8682aad6ad72f1212ba</v>
      </c>
      <c r="J2237" s="18">
        <v>48.3641275995966</v>
      </c>
      <c r="K2237" s="4">
        <v>604.5515949949574</v>
      </c>
      <c r="L2237" s="19">
        <v>6.045515949949574E20</v>
      </c>
      <c r="M2237" s="20">
        <v>6.045515949949574E19</v>
      </c>
    </row>
    <row r="2238">
      <c r="A2238" s="6"/>
      <c r="B2238" s="6"/>
      <c r="C2238" s="4"/>
      <c r="D2238" s="4">
        <v>48.3641275995966</v>
      </c>
      <c r="E2238" s="4" t="s">
        <v>3594</v>
      </c>
      <c r="F2238" s="4"/>
      <c r="G2238" s="4"/>
      <c r="H2238" s="4"/>
      <c r="I2238" s="4" t="str">
        <f>IFERROR(__xludf.DUMMYFUNCTION("""COMPUTED_VALUE"""),"0xd7cac6e1fe3ba94bbf0e48dacafce40be01e68b3")</f>
        <v>0xd7cac6e1fe3ba94bbf0e48dacafce40be01e68b3</v>
      </c>
      <c r="J2238" s="18">
        <v>10.3918100144571</v>
      </c>
      <c r="K2238" s="4">
        <v>129.89762518071376</v>
      </c>
      <c r="L2238" s="19">
        <v>1.2989762518071376E20</v>
      </c>
      <c r="M2238" s="20">
        <v>1.2989762518071378E19</v>
      </c>
    </row>
    <row r="2239">
      <c r="A2239" s="6"/>
      <c r="B2239" s="6"/>
      <c r="C2239" s="4"/>
      <c r="D2239" s="4">
        <v>29.159123710468197</v>
      </c>
      <c r="E2239" s="4" t="s">
        <v>3595</v>
      </c>
      <c r="F2239" s="4"/>
      <c r="G2239" s="4"/>
      <c r="H2239" s="4"/>
      <c r="I2239" s="4" t="str">
        <f>IFERROR(__xludf.DUMMYFUNCTION("""COMPUTED_VALUE"""),"0xe673dfe7b5621e7864cef6957721594db5656ba0")</f>
        <v>0xe673dfe7b5621e7864cef6957721594db5656ba0</v>
      </c>
      <c r="J2239" s="18">
        <v>17.8096701790991</v>
      </c>
      <c r="K2239" s="4">
        <v>222.62087723873876</v>
      </c>
      <c r="L2239" s="19">
        <v>2.2262087723873875E20</v>
      </c>
      <c r="M2239" s="20">
        <v>2.226208772387388E19</v>
      </c>
    </row>
    <row r="2240">
      <c r="A2240" s="6"/>
      <c r="B2240" s="6"/>
      <c r="C2240" s="4"/>
      <c r="D2240" s="4">
        <v>47.2484735011197</v>
      </c>
      <c r="E2240" s="4" t="s">
        <v>3597</v>
      </c>
      <c r="F2240" s="4"/>
      <c r="G2240" s="4"/>
      <c r="H2240" s="4"/>
      <c r="I2240" s="4" t="str">
        <f>IFERROR(__xludf.DUMMYFUNCTION("""COMPUTED_VALUE"""),"0x922175bc910a4d2a1a9a55938ec33bafccb00d40")</f>
        <v>0x922175bc910a4d2a1a9a55938ec33bafccb00d40</v>
      </c>
      <c r="J2240" s="18">
        <v>48.3641275995966</v>
      </c>
      <c r="K2240" s="4">
        <v>604.5515949949574</v>
      </c>
      <c r="L2240" s="19">
        <v>6.045515949949574E20</v>
      </c>
      <c r="M2240" s="20">
        <v>6.045515949949574E19</v>
      </c>
    </row>
    <row r="2241">
      <c r="A2241" s="6"/>
      <c r="B2241" s="6"/>
      <c r="C2241" s="4"/>
      <c r="D2241" s="4">
        <v>48.3641275995966</v>
      </c>
      <c r="E2241" s="4" t="s">
        <v>3599</v>
      </c>
      <c r="F2241" s="4"/>
      <c r="G2241" s="4"/>
      <c r="H2241" s="4"/>
      <c r="I2241" s="4" t="str">
        <f>IFERROR(__xludf.DUMMYFUNCTION("""COMPUTED_VALUE"""),"0x125428bc224445d9101330e5842550bf04f9089f")</f>
        <v>0x125428bc224445d9101330e5842550bf04f9089f</v>
      </c>
      <c r="J2241" s="18">
        <v>48.3641275995966</v>
      </c>
      <c r="K2241" s="4">
        <v>604.5515949949574</v>
      </c>
      <c r="L2241" s="19">
        <v>6.045515949949574E20</v>
      </c>
      <c r="M2241" s="20">
        <v>6.045515949949574E19</v>
      </c>
    </row>
    <row r="2242">
      <c r="A2242" s="6"/>
      <c r="B2242" s="6"/>
      <c r="C2242" s="4"/>
      <c r="D2242" s="4">
        <v>9.672825519919328</v>
      </c>
      <c r="E2242" s="4" t="s">
        <v>3600</v>
      </c>
      <c r="F2242" s="4"/>
      <c r="G2242" s="4"/>
      <c r="H2242" s="4"/>
      <c r="I2242" s="4" t="str">
        <f>IFERROR(__xludf.DUMMYFUNCTION("""COMPUTED_VALUE"""),"0x24b4d305bebeafa4f68371194063f1a4edd8dd3d")</f>
        <v>0x24b4d305bebeafa4f68371194063f1a4edd8dd3d</v>
      </c>
      <c r="J2242" s="18">
        <v>48.3641275995966</v>
      </c>
      <c r="K2242" s="4">
        <v>604.5515949949574</v>
      </c>
      <c r="L2242" s="19">
        <v>6.045515949949574E20</v>
      </c>
      <c r="M2242" s="20">
        <v>6.045515949949574E19</v>
      </c>
    </row>
    <row r="2243">
      <c r="A2243" s="6"/>
      <c r="B2243" s="6"/>
      <c r="C2243" s="4"/>
      <c r="D2243" s="4">
        <v>48.3641275995966</v>
      </c>
      <c r="E2243" s="4" t="s">
        <v>3601</v>
      </c>
      <c r="F2243" s="4"/>
      <c r="G2243" s="4"/>
      <c r="H2243" s="4"/>
      <c r="I2243" s="4" t="str">
        <f>IFERROR(__xludf.DUMMYFUNCTION("""COMPUTED_VALUE"""),"0xd85e6bc3e37c852e8f935ea798906f2dba20cb15")</f>
        <v>0xd85e6bc3e37c852e8f935ea798906f2dba20cb15</v>
      </c>
      <c r="J2243" s="18">
        <v>113.6953565375168</v>
      </c>
      <c r="K2243" s="4">
        <v>1421.19195671896</v>
      </c>
      <c r="L2243" s="19">
        <v>1.42119195671896E21</v>
      </c>
      <c r="M2243" s="20">
        <v>1.42119195671896E20</v>
      </c>
    </row>
    <row r="2244">
      <c r="A2244" s="6"/>
      <c r="B2244" s="6"/>
      <c r="C2244" s="4"/>
      <c r="D2244" s="4">
        <v>46.511554453206195</v>
      </c>
      <c r="E2244" s="4" t="s">
        <v>3602</v>
      </c>
      <c r="F2244" s="4"/>
      <c r="G2244" s="4"/>
      <c r="H2244" s="4"/>
      <c r="I2244" s="4" t="str">
        <f>IFERROR(__xludf.DUMMYFUNCTION("""COMPUTED_VALUE"""),"0xae1ff4f54d1c97f432ce20c87a1d5d7ede320c9b")</f>
        <v>0xae1ff4f54d1c97f432ce20c87a1d5d7ede320c9b</v>
      </c>
      <c r="J2244" s="18">
        <v>234.37608780709658</v>
      </c>
      <c r="K2244" s="4">
        <v>2929.7010975887074</v>
      </c>
      <c r="L2244" s="19">
        <v>2.9297010975887076E21</v>
      </c>
      <c r="M2244" s="20">
        <v>2.9297010975887078E20</v>
      </c>
    </row>
    <row r="2245">
      <c r="A2245" s="6"/>
      <c r="B2245" s="6"/>
      <c r="C2245" s="4"/>
      <c r="D2245" s="4">
        <v>48.3641275995966</v>
      </c>
      <c r="E2245" s="4" t="s">
        <v>3604</v>
      </c>
      <c r="F2245" s="4"/>
      <c r="G2245" s="4"/>
      <c r="H2245" s="4"/>
      <c r="I2245" s="4" t="str">
        <f>IFERROR(__xludf.DUMMYFUNCTION("""COMPUTED_VALUE"""),"0xdee8ecfd1b19abef66cd2c57e9b26a18e2ddf8f8")</f>
        <v>0xdee8ecfd1b19abef66cd2c57e9b26a18e2ddf8f8</v>
      </c>
      <c r="J2245" s="18">
        <v>113.4683136722219</v>
      </c>
      <c r="K2245" s="4">
        <v>1418.3539209027738</v>
      </c>
      <c r="L2245" s="19">
        <v>1.4183539209027739E21</v>
      </c>
      <c r="M2245" s="20">
        <v>1.418353920902774E20</v>
      </c>
    </row>
    <row r="2246">
      <c r="A2246" s="6"/>
      <c r="B2246" s="6"/>
      <c r="C2246" s="4"/>
      <c r="D2246" s="4">
        <v>48.3641275995966</v>
      </c>
      <c r="E2246" s="4" t="s">
        <v>3605</v>
      </c>
      <c r="F2246" s="4"/>
      <c r="G2246" s="4"/>
      <c r="H2246" s="4"/>
      <c r="I2246" s="4" t="str">
        <f>IFERROR(__xludf.DUMMYFUNCTION("""COMPUTED_VALUE"""),"0x418664714a32aaeae9113183909eb8cfbd7cf868")</f>
        <v>0x418664714a32aaeae9113183909eb8cfbd7cf868</v>
      </c>
      <c r="J2246" s="18">
        <v>57.77280804304401</v>
      </c>
      <c r="K2246" s="4">
        <v>722.1601005380501</v>
      </c>
      <c r="L2246" s="19">
        <v>7.2216010053805E20</v>
      </c>
      <c r="M2246" s="20">
        <v>7.221601005380501E19</v>
      </c>
    </row>
    <row r="2247">
      <c r="A2247" s="6"/>
      <c r="B2247" s="6"/>
      <c r="C2247" s="4"/>
      <c r="D2247" s="4">
        <v>24.1820637997983</v>
      </c>
      <c r="E2247" s="4" t="s">
        <v>3606</v>
      </c>
      <c r="F2247" s="4"/>
      <c r="G2247" s="4"/>
      <c r="H2247" s="4"/>
      <c r="I2247" s="4" t="str">
        <f>IFERROR(__xludf.DUMMYFUNCTION("""COMPUTED_VALUE"""),"0xff8f2d5ee48fcc90618b482e3730271e64af0754")</f>
        <v>0xff8f2d5ee48fcc90618b482e3730271e64af0754</v>
      </c>
      <c r="J2247" s="18">
        <v>9.672825519919328</v>
      </c>
      <c r="K2247" s="4">
        <v>120.9103189989916</v>
      </c>
      <c r="L2247" s="19">
        <v>1.209103189989916E20</v>
      </c>
      <c r="M2247" s="20">
        <v>1.209103189989916E19</v>
      </c>
    </row>
    <row r="2248">
      <c r="A2248" s="6"/>
      <c r="B2248" s="6"/>
      <c r="C2248" s="4"/>
      <c r="D2248" s="4">
        <v>48.3641275995966</v>
      </c>
      <c r="E2248" s="4" t="s">
        <v>3607</v>
      </c>
      <c r="F2248" s="4"/>
      <c r="G2248" s="4"/>
      <c r="H2248" s="4"/>
      <c r="I2248" s="4" t="str">
        <f>IFERROR(__xludf.DUMMYFUNCTION("""COMPUTED_VALUE"""),"0x135c717655f544f1b4c3e26ed960d611b0e2dc15")</f>
        <v>0x135c717655f544f1b4c3e26ed960d611b0e2dc15</v>
      </c>
      <c r="J2248" s="18">
        <v>8.8737585577258</v>
      </c>
      <c r="K2248" s="4">
        <v>110.9219819715725</v>
      </c>
      <c r="L2248" s="19">
        <v>1.109219819715725E20</v>
      </c>
      <c r="M2248" s="20">
        <v>1.1092198197157251E19</v>
      </c>
    </row>
    <row r="2249">
      <c r="A2249" s="6"/>
      <c r="B2249" s="6"/>
      <c r="C2249" s="4"/>
      <c r="D2249" s="4">
        <v>15.2364551653666</v>
      </c>
      <c r="E2249" s="4" t="s">
        <v>3608</v>
      </c>
      <c r="F2249" s="4"/>
      <c r="G2249" s="4"/>
      <c r="H2249" s="4"/>
      <c r="I2249" s="4" t="str">
        <f>IFERROR(__xludf.DUMMYFUNCTION("""COMPUTED_VALUE"""),"0x3ba26f7cce4bdd436d2a3d1d5e3126567d3863d7")</f>
        <v>0x3ba26f7cce4bdd436d2a3d1d5e3126567d3863d7</v>
      </c>
      <c r="J2249" s="18">
        <v>234.37608780709658</v>
      </c>
      <c r="K2249" s="4">
        <v>2929.7010975887074</v>
      </c>
      <c r="L2249" s="19">
        <v>2.9297010975887076E21</v>
      </c>
      <c r="M2249" s="20">
        <v>2.9297010975887078E20</v>
      </c>
    </row>
    <row r="2250">
      <c r="A2250" s="6"/>
      <c r="B2250" s="6"/>
      <c r="C2250" s="4"/>
      <c r="D2250" s="4">
        <v>6.17565258207851</v>
      </c>
      <c r="E2250" s="4" t="s">
        <v>3610</v>
      </c>
      <c r="F2250" s="4"/>
      <c r="G2250" s="4"/>
      <c r="H2250" s="4"/>
      <c r="I2250" s="4" t="str">
        <f>IFERROR(__xludf.DUMMYFUNCTION("""COMPUTED_VALUE"""),"0x983a48be321fd188e574b80fdeccefa29e487897")</f>
        <v>0x983a48be321fd188e574b80fdeccefa29e487897</v>
      </c>
      <c r="J2250" s="18">
        <v>48.3641275995966</v>
      </c>
      <c r="K2250" s="4">
        <v>604.5515949949574</v>
      </c>
      <c r="L2250" s="19">
        <v>6.045515949949574E20</v>
      </c>
      <c r="M2250" s="20">
        <v>6.045515949949574E19</v>
      </c>
    </row>
    <row r="2251">
      <c r="A2251" s="6"/>
      <c r="B2251" s="6"/>
      <c r="C2251" s="4"/>
      <c r="D2251" s="4">
        <v>48.3641275995966</v>
      </c>
      <c r="E2251" s="4" t="s">
        <v>3612</v>
      </c>
      <c r="F2251" s="4"/>
      <c r="G2251" s="4"/>
      <c r="H2251" s="4"/>
      <c r="I2251" s="4" t="str">
        <f>IFERROR(__xludf.DUMMYFUNCTION("""COMPUTED_VALUE"""),"0xab24d606ec1dea513a93f0cece717ce4e98c3549")</f>
        <v>0xab24d606ec1dea513a93f0cece717ce4e98c3549</v>
      </c>
      <c r="J2251" s="18">
        <v>57.58849440697802</v>
      </c>
      <c r="K2251" s="4">
        <v>719.8561800872253</v>
      </c>
      <c r="L2251" s="19">
        <v>7.198561800872253E20</v>
      </c>
      <c r="M2251" s="20">
        <v>7.198561800872254E19</v>
      </c>
    </row>
    <row r="2252">
      <c r="A2252" s="6"/>
      <c r="B2252" s="6"/>
      <c r="C2252" s="4"/>
      <c r="D2252" s="4">
        <v>9.672825519919328</v>
      </c>
      <c r="E2252" s="4" t="s">
        <v>3613</v>
      </c>
      <c r="F2252" s="4"/>
      <c r="G2252" s="4"/>
      <c r="H2252" s="4"/>
      <c r="I2252" s="4" t="str">
        <f>IFERROR(__xludf.DUMMYFUNCTION("""COMPUTED_VALUE"""),"0xe0de3c5477ccf6e3489acb70b75f2c3751212fa7")</f>
        <v>0xe0de3c5477ccf6e3489acb70b75f2c3751212fa7</v>
      </c>
      <c r="J2252" s="18">
        <v>9.70038089475722</v>
      </c>
      <c r="K2252" s="4">
        <v>121.25476118446525</v>
      </c>
      <c r="L2252" s="19">
        <v>1.2125476118446526E20</v>
      </c>
      <c r="M2252" s="20">
        <v>1.2125476118446526E19</v>
      </c>
    </row>
    <row r="2253">
      <c r="A2253" s="6"/>
      <c r="B2253" s="6"/>
      <c r="C2253" s="4"/>
      <c r="D2253" s="4">
        <v>48.3641275995966</v>
      </c>
      <c r="E2253" s="4" t="s">
        <v>3614</v>
      </c>
      <c r="F2253" s="4"/>
      <c r="G2253" s="4"/>
      <c r="H2253" s="4"/>
      <c r="I2253" s="4" t="str">
        <f>IFERROR(__xludf.DUMMYFUNCTION("""COMPUTED_VALUE"""),"0x4afc7288331f37b1c8e7d6ba88e8a1daa284d631")</f>
        <v>0x4afc7288331f37b1c8e7d6ba88e8a1daa284d631</v>
      </c>
      <c r="J2253" s="18">
        <v>101.35124112601869</v>
      </c>
      <c r="K2253" s="4">
        <v>1266.8905140752336</v>
      </c>
      <c r="L2253" s="19">
        <v>1.2668905140752336E21</v>
      </c>
      <c r="M2253" s="20">
        <v>1.2668905140752336E20</v>
      </c>
    </row>
    <row r="2254">
      <c r="A2254" s="6"/>
      <c r="B2254" s="6"/>
      <c r="C2254" s="4"/>
      <c r="D2254" s="4">
        <v>48.3641275995966</v>
      </c>
      <c r="E2254" s="4" t="s">
        <v>3615</v>
      </c>
      <c r="F2254" s="4"/>
      <c r="G2254" s="4"/>
      <c r="H2254" s="4"/>
      <c r="I2254" s="4" t="str">
        <f>IFERROR(__xludf.DUMMYFUNCTION("""COMPUTED_VALUE"""),"0xc4abbc0b2844ab76e3db900eb96eee88a78f9500")</f>
        <v>0xc4abbc0b2844ab76e3db900eb96eee88a78f9500</v>
      </c>
      <c r="J2254" s="18">
        <v>48.3641275995966</v>
      </c>
      <c r="K2254" s="4">
        <v>604.5515949949574</v>
      </c>
      <c r="L2254" s="19">
        <v>6.045515949949574E20</v>
      </c>
      <c r="M2254" s="20">
        <v>6.045515949949574E19</v>
      </c>
    </row>
    <row r="2255">
      <c r="A2255" s="6"/>
      <c r="B2255" s="6"/>
      <c r="C2255" s="4"/>
      <c r="D2255" s="4">
        <v>19.3456510398386</v>
      </c>
      <c r="E2255" s="4" t="s">
        <v>3616</v>
      </c>
      <c r="F2255" s="4"/>
      <c r="G2255" s="4"/>
      <c r="H2255" s="4"/>
      <c r="I2255" s="4" t="str">
        <f>IFERROR(__xludf.DUMMYFUNCTION("""COMPUTED_VALUE"""),"0x99d3c91d7ab1e622de429d01572bd072bf75ec87")</f>
        <v>0x99d3c91d7ab1e622de429d01572bd072bf75ec87</v>
      </c>
      <c r="J2255" s="18">
        <v>48.3641275995966</v>
      </c>
      <c r="K2255" s="4">
        <v>604.5515949949574</v>
      </c>
      <c r="L2255" s="19">
        <v>6.045515949949574E20</v>
      </c>
      <c r="M2255" s="20">
        <v>6.045515949949574E19</v>
      </c>
    </row>
    <row r="2256">
      <c r="A2256" s="6"/>
      <c r="B2256" s="6"/>
      <c r="C2256" s="4"/>
      <c r="D2256" s="4">
        <v>48.3641275995966</v>
      </c>
      <c r="E2256" s="4" t="s">
        <v>3617</v>
      </c>
      <c r="F2256" s="4"/>
      <c r="G2256" s="4"/>
      <c r="H2256" s="4"/>
      <c r="I2256" s="4" t="str">
        <f>IFERROR(__xludf.DUMMYFUNCTION("""COMPUTED_VALUE"""),"0x5c9d5e03682109e2cd74ac6cc21186ba3991af2c")</f>
        <v>0x5c9d5e03682109e2cd74ac6cc21186ba3991af2c</v>
      </c>
      <c r="J2256" s="18">
        <v>9.692171170959169</v>
      </c>
      <c r="K2256" s="4">
        <v>121.1521396369896</v>
      </c>
      <c r="L2256" s="19">
        <v>1.211521396369896E20</v>
      </c>
      <c r="M2256" s="20">
        <v>1.2115213963698962E19</v>
      </c>
    </row>
    <row r="2257">
      <c r="A2257" s="6"/>
      <c r="B2257" s="6"/>
      <c r="C2257" s="4"/>
      <c r="D2257" s="4">
        <v>47.688960895119095</v>
      </c>
      <c r="E2257" s="4" t="s">
        <v>3618</v>
      </c>
      <c r="F2257" s="4"/>
      <c r="G2257" s="4"/>
      <c r="H2257" s="4"/>
      <c r="I2257" s="4" t="str">
        <f>IFERROR(__xludf.DUMMYFUNCTION("""COMPUTED_VALUE"""),"0x1b4dab1356d77aa8b10e2f1d6781f81b6d254126")</f>
        <v>0x1b4dab1356d77aa8b10e2f1d6781f81b6d254126</v>
      </c>
      <c r="J2257" s="18">
        <v>39.085477723296705</v>
      </c>
      <c r="K2257" s="4">
        <v>488.5684715412088</v>
      </c>
      <c r="L2257" s="19">
        <v>4.885684715412088E20</v>
      </c>
      <c r="M2257" s="20">
        <v>4.8856847154120884E19</v>
      </c>
    </row>
    <row r="2258">
      <c r="A2258" s="6"/>
      <c r="B2258" s="6"/>
      <c r="C2258" s="4"/>
      <c r="D2258" s="4">
        <v>9.719920524775521</v>
      </c>
      <c r="E2258" s="4" t="s">
        <v>3620</v>
      </c>
      <c r="F2258" s="4"/>
      <c r="G2258" s="4"/>
      <c r="H2258" s="4"/>
      <c r="I2258" s="4" t="str">
        <f>IFERROR(__xludf.DUMMYFUNCTION("""COMPUTED_VALUE"""),"0xdcfbb6bdf6a0b435e01b89c707560280c0d9be36")</f>
        <v>0xdcfbb6bdf6a0b435e01b89c707560280c0d9be36</v>
      </c>
      <c r="J2258" s="18">
        <v>234.37608780709658</v>
      </c>
      <c r="K2258" s="4">
        <v>2929.7010975887074</v>
      </c>
      <c r="L2258" s="19">
        <v>2.9297010975887076E21</v>
      </c>
      <c r="M2258" s="20">
        <v>2.9297010975887078E20</v>
      </c>
    </row>
    <row r="2259">
      <c r="A2259" s="6"/>
      <c r="B2259" s="6"/>
      <c r="C2259" s="4"/>
      <c r="D2259" s="4">
        <v>48.3641275995966</v>
      </c>
      <c r="E2259" s="4" t="s">
        <v>3622</v>
      </c>
      <c r="F2259" s="4"/>
      <c r="G2259" s="4"/>
      <c r="H2259" s="4"/>
      <c r="I2259" s="4" t="str">
        <f>IFERROR(__xludf.DUMMYFUNCTION("""COMPUTED_VALUE"""),"0x3433196b4ca55476d5c7e278d1deec3a13571b9a")</f>
        <v>0x3433196b4ca55476d5c7e278d1deec3a13571b9a</v>
      </c>
      <c r="J2259" s="18">
        <v>3.26602452207648</v>
      </c>
      <c r="K2259" s="4">
        <v>40.825306525956</v>
      </c>
      <c r="L2259" s="19">
        <v>4.0825306525956E19</v>
      </c>
      <c r="M2259" s="20">
        <v>4.0825306525956E18</v>
      </c>
    </row>
    <row r="2260">
      <c r="A2260" s="6"/>
      <c r="B2260" s="6"/>
      <c r="C2260" s="4"/>
      <c r="D2260" s="4">
        <v>48.3641275995966</v>
      </c>
      <c r="E2260" s="4" t="s">
        <v>3623</v>
      </c>
      <c r="F2260" s="4"/>
      <c r="G2260" s="4"/>
      <c r="H2260" s="4"/>
      <c r="I2260" s="4" t="str">
        <f>IFERROR(__xludf.DUMMYFUNCTION("""COMPUTED_VALUE"""),"0xd5b6683f36f4e49c5b81afbd1039d3e539cd886c")</f>
        <v>0xd5b6683f36f4e49c5b81afbd1039d3e539cd886c</v>
      </c>
      <c r="J2260" s="18">
        <v>48.3641275995966</v>
      </c>
      <c r="K2260" s="4">
        <v>604.5515949949574</v>
      </c>
      <c r="L2260" s="19">
        <v>6.045515949949574E20</v>
      </c>
      <c r="M2260" s="20">
        <v>6.045515949949574E19</v>
      </c>
    </row>
    <row r="2261">
      <c r="A2261" s="6"/>
      <c r="B2261" s="6"/>
      <c r="C2261" s="4"/>
      <c r="D2261" s="4">
        <v>9.17022274295844</v>
      </c>
      <c r="E2261" s="4" t="s">
        <v>3624</v>
      </c>
      <c r="F2261" s="4"/>
      <c r="G2261" s="4"/>
      <c r="H2261" s="4"/>
      <c r="I2261" s="4" t="str">
        <f>IFERROR(__xludf.DUMMYFUNCTION("""COMPUTED_VALUE"""),"0x722f0176b0437fc4f13f94a828500a3f11288d9c")</f>
        <v>0x722f0176b0437fc4f13f94a828500a3f11288d9c</v>
      </c>
      <c r="J2261" s="18">
        <v>13.443448576969</v>
      </c>
      <c r="K2261" s="4">
        <v>168.04310721211252</v>
      </c>
      <c r="L2261" s="19">
        <v>1.6804310721211253E20</v>
      </c>
      <c r="M2261" s="20">
        <v>1.6804310721211253E19</v>
      </c>
    </row>
    <row r="2262">
      <c r="A2262" s="6"/>
      <c r="B2262" s="6"/>
      <c r="C2262" s="4"/>
      <c r="D2262" s="4">
        <v>20.557644356750203</v>
      </c>
      <c r="E2262" s="4" t="s">
        <v>3626</v>
      </c>
      <c r="F2262" s="4"/>
      <c r="G2262" s="4"/>
      <c r="H2262" s="4"/>
      <c r="I2262" s="4" t="str">
        <f>IFERROR(__xludf.DUMMYFUNCTION("""COMPUTED_VALUE"""),"0xf74cc6d74194718b54a8d349a11001eea14c669c")</f>
        <v>0xf74cc6d74194718b54a8d349a11001eea14c669c</v>
      </c>
      <c r="J2262" s="18">
        <v>43.84534180732288</v>
      </c>
      <c r="K2262" s="4">
        <v>548.066772591536</v>
      </c>
      <c r="L2262" s="19">
        <v>5.4806677259153605E20</v>
      </c>
      <c r="M2262" s="20">
        <v>5.4806677259153605E19</v>
      </c>
    </row>
    <row r="2263">
      <c r="A2263" s="6"/>
      <c r="B2263" s="6"/>
      <c r="C2263" s="4"/>
      <c r="D2263" s="4">
        <v>46.043282720710195</v>
      </c>
      <c r="E2263" s="4" t="s">
        <v>3628</v>
      </c>
      <c r="F2263" s="4"/>
      <c r="G2263" s="4"/>
      <c r="H2263" s="4"/>
      <c r="I2263" s="4" t="str">
        <f>IFERROR(__xludf.DUMMYFUNCTION("""COMPUTED_VALUE"""),"0x2b407a49c00079bfb92401282dac2fa5bc534069")</f>
        <v>0x2b407a49c00079bfb92401282dac2fa5bc534069</v>
      </c>
      <c r="J2263" s="18">
        <v>90.81092816117129</v>
      </c>
      <c r="K2263" s="4">
        <v>1135.136602014641</v>
      </c>
      <c r="L2263" s="19">
        <v>1.135136602014641E21</v>
      </c>
      <c r="M2263" s="20">
        <v>1.135136602014641E20</v>
      </c>
    </row>
    <row r="2264">
      <c r="A2264" s="6"/>
      <c r="B2264" s="6"/>
      <c r="C2264" s="4"/>
      <c r="D2264" s="4">
        <v>9.710201833722689</v>
      </c>
      <c r="E2264" s="4" t="s">
        <v>3630</v>
      </c>
      <c r="F2264" s="4"/>
      <c r="G2264" s="4"/>
      <c r="H2264" s="4"/>
      <c r="I2264" s="4" t="str">
        <f>IFERROR(__xludf.DUMMYFUNCTION("""COMPUTED_VALUE"""),"0xb3a99217bafb0233bc185fe6e7e7bb53293aa53a")</f>
        <v>0xb3a99217bafb0233bc185fe6e7e7bb53293aa53a</v>
      </c>
      <c r="J2264" s="18">
        <v>0.17152731332857798</v>
      </c>
      <c r="K2264" s="4">
        <v>2.1440914166072247</v>
      </c>
      <c r="L2264" s="19">
        <v>2.1440914166072246E18</v>
      </c>
      <c r="M2264" s="20">
        <v>2.1440914166072246E17</v>
      </c>
    </row>
    <row r="2265">
      <c r="A2265" s="6"/>
      <c r="B2265" s="6"/>
      <c r="C2265" s="4"/>
      <c r="D2265" s="4">
        <v>9.755665604699852</v>
      </c>
      <c r="E2265" s="4" t="s">
        <v>3632</v>
      </c>
      <c r="F2265" s="4"/>
      <c r="G2265" s="4"/>
      <c r="H2265" s="4"/>
      <c r="I2265" s="4" t="str">
        <f>IFERROR(__xludf.DUMMYFUNCTION("""COMPUTED_VALUE"""),"0x2599169e2ddcaa397612bd1e9ac0605ec2ebbb0e")</f>
        <v>0x2599169e2ddcaa397612bd1e9ac0605ec2ebbb0e</v>
      </c>
      <c r="J2265" s="18">
        <v>9.672825519919328</v>
      </c>
      <c r="K2265" s="4">
        <v>120.9103189989916</v>
      </c>
      <c r="L2265" s="19">
        <v>1.209103189989916E20</v>
      </c>
      <c r="M2265" s="20">
        <v>1.209103189989916E19</v>
      </c>
    </row>
    <row r="2266">
      <c r="A2266" s="6"/>
      <c r="B2266" s="6"/>
      <c r="C2266" s="4"/>
      <c r="D2266" s="4">
        <v>20.3597403473859</v>
      </c>
      <c r="E2266" s="4" t="s">
        <v>3634</v>
      </c>
      <c r="F2266" s="4"/>
      <c r="G2266" s="4"/>
      <c r="H2266" s="4"/>
      <c r="I2266" s="4" t="str">
        <f>IFERROR(__xludf.DUMMYFUNCTION("""COMPUTED_VALUE"""),"0xd51b5adfdbc8169b439c63069315eef37f19e8fc")</f>
        <v>0xd51b5adfdbc8169b439c63069315eef37f19e8fc</v>
      </c>
      <c r="J2266" s="18">
        <v>48.3641275995966</v>
      </c>
      <c r="K2266" s="4">
        <v>604.5515949949574</v>
      </c>
      <c r="L2266" s="19">
        <v>6.045515949949574E20</v>
      </c>
      <c r="M2266" s="20">
        <v>6.045515949949574E19</v>
      </c>
    </row>
    <row r="2267">
      <c r="A2267" s="6"/>
      <c r="B2267" s="6"/>
      <c r="C2267" s="4"/>
      <c r="D2267" s="4">
        <v>48.3641275995966</v>
      </c>
      <c r="E2267" s="4" t="s">
        <v>3636</v>
      </c>
      <c r="F2267" s="4"/>
      <c r="G2267" s="4"/>
      <c r="H2267" s="4"/>
      <c r="I2267" s="4" t="str">
        <f>IFERROR(__xludf.DUMMYFUNCTION("""COMPUTED_VALUE"""),"0x5bb8a50aeb36efd77d1f66ca72bfe7169a2b3980")</f>
        <v>0x5bb8a50aeb36efd77d1f66ca72bfe7169a2b3980</v>
      </c>
      <c r="J2267" s="18">
        <v>48.3641275995966</v>
      </c>
      <c r="K2267" s="4">
        <v>604.5515949949574</v>
      </c>
      <c r="L2267" s="19">
        <v>6.045515949949574E20</v>
      </c>
      <c r="M2267" s="20">
        <v>6.045515949949574E19</v>
      </c>
    </row>
    <row r="2268">
      <c r="A2268" s="6"/>
      <c r="B2268" s="6"/>
      <c r="C2268" s="4"/>
      <c r="D2268" s="4">
        <v>7.3239811877556695</v>
      </c>
      <c r="E2268" s="4" t="s">
        <v>3637</v>
      </c>
      <c r="F2268" s="4"/>
      <c r="G2268" s="4"/>
      <c r="H2268" s="4"/>
      <c r="I2268" s="4" t="str">
        <f>IFERROR(__xludf.DUMMYFUNCTION("""COMPUTED_VALUE"""),"0x9e85f4d94d48a3aacb57536a86f8dd31c43ea3a2")</f>
        <v>0x9e85f4d94d48a3aacb57536a86f8dd31c43ea3a2</v>
      </c>
      <c r="J2268" s="18">
        <v>9.46320086614162</v>
      </c>
      <c r="K2268" s="4">
        <v>118.29001082677024</v>
      </c>
      <c r="L2268" s="19">
        <v>1.1829001082677024E20</v>
      </c>
      <c r="M2268" s="20">
        <v>1.1829001082677025E19</v>
      </c>
    </row>
    <row r="2269">
      <c r="A2269" s="6"/>
      <c r="B2269" s="6"/>
      <c r="C2269" s="4"/>
      <c r="D2269" s="4">
        <v>8.7055429679274</v>
      </c>
      <c r="E2269" s="4" t="s">
        <v>3639</v>
      </c>
      <c r="F2269" s="4"/>
      <c r="G2269" s="4"/>
      <c r="H2269" s="4"/>
      <c r="I2269" s="4" t="str">
        <f>IFERROR(__xludf.DUMMYFUNCTION("""COMPUTED_VALUE"""),"0x24f50041e74272b00a7b9c0947f6e8919db69aae")</f>
        <v>0x24f50041e74272b00a7b9c0947f6e8919db69aae</v>
      </c>
      <c r="J2269" s="18">
        <v>57.28657386778961</v>
      </c>
      <c r="K2269" s="4">
        <v>716.0821733473701</v>
      </c>
      <c r="L2269" s="19">
        <v>7.160821733473701E20</v>
      </c>
      <c r="M2269" s="20">
        <v>7.160821733473701E19</v>
      </c>
    </row>
    <row r="2270">
      <c r="A2270" s="6"/>
      <c r="B2270" s="6"/>
      <c r="C2270" s="4"/>
      <c r="D2270" s="4">
        <v>17.644565050920402</v>
      </c>
      <c r="E2270" s="4" t="s">
        <v>3641</v>
      </c>
      <c r="F2270" s="4"/>
      <c r="G2270" s="4"/>
      <c r="H2270" s="4"/>
      <c r="I2270" s="4" t="str">
        <f>IFERROR(__xludf.DUMMYFUNCTION("""COMPUTED_VALUE"""),"0xa61c114e38ceac5bde6325956f4e808582690329")</f>
        <v>0xa61c114e38ceac5bde6325956f4e808582690329</v>
      </c>
      <c r="J2270" s="18">
        <v>8.88215620374109</v>
      </c>
      <c r="K2270" s="4">
        <v>111.02695254676362</v>
      </c>
      <c r="L2270" s="19">
        <v>1.1102695254676362E20</v>
      </c>
      <c r="M2270" s="20">
        <v>1.1102695254676363E19</v>
      </c>
    </row>
    <row r="2271">
      <c r="A2271" s="6"/>
      <c r="B2271" s="6"/>
      <c r="C2271" s="4"/>
      <c r="D2271" s="4">
        <v>6.819384337694561</v>
      </c>
      <c r="E2271" s="4" t="s">
        <v>3643</v>
      </c>
      <c r="F2271" s="4"/>
      <c r="G2271" s="4"/>
      <c r="H2271" s="4"/>
      <c r="I2271" s="4" t="str">
        <f>IFERROR(__xludf.DUMMYFUNCTION("""COMPUTED_VALUE"""),"0x3fd3ad13b9c8fa92ef79072e74bdce92ff8b92a3")</f>
        <v>0x3fd3ad13b9c8fa92ef79072e74bdce92ff8b92a3</v>
      </c>
      <c r="J2271" s="18">
        <v>19.345718825645697</v>
      </c>
      <c r="K2271" s="4">
        <v>241.8214853205712</v>
      </c>
      <c r="L2271" s="19">
        <v>2.4182148532057122E20</v>
      </c>
      <c r="M2271" s="20">
        <v>2.4182148532057125E19</v>
      </c>
    </row>
    <row r="2272">
      <c r="A2272" s="6"/>
      <c r="B2272" s="6"/>
      <c r="C2272" s="4"/>
      <c r="D2272" s="4">
        <v>48.3641275995966</v>
      </c>
      <c r="E2272" s="4" t="s">
        <v>822</v>
      </c>
      <c r="F2272" s="4"/>
      <c r="G2272" s="4"/>
      <c r="H2272" s="4"/>
      <c r="I2272" s="4" t="str">
        <f>IFERROR(__xludf.DUMMYFUNCTION("""COMPUTED_VALUE"""),"0x673378222175e4878f7b3bb3f99631e201b4d957")</f>
        <v>0x673378222175e4878f7b3bb3f99631e201b4d957</v>
      </c>
      <c r="J2272" s="18">
        <v>9.672825519919328</v>
      </c>
      <c r="K2272" s="4">
        <v>120.9103189989916</v>
      </c>
      <c r="L2272" s="19">
        <v>1.209103189989916E20</v>
      </c>
      <c r="M2272" s="20">
        <v>1.209103189989916E19</v>
      </c>
    </row>
    <row r="2273">
      <c r="A2273" s="6"/>
      <c r="B2273" s="6"/>
      <c r="C2273" s="4"/>
      <c r="D2273" s="4">
        <v>34.6622782896906</v>
      </c>
      <c r="E2273" s="4" t="s">
        <v>3645</v>
      </c>
      <c r="F2273" s="4"/>
      <c r="G2273" s="4"/>
      <c r="H2273" s="4"/>
      <c r="I2273" s="4" t="str">
        <f>IFERROR(__xludf.DUMMYFUNCTION("""COMPUTED_VALUE"""),"0x82c43c713c0cc77fc50a3c1e31854f4bcf5286fc")</f>
        <v>0x82c43c713c0cc77fc50a3c1e31854f4bcf5286fc</v>
      </c>
      <c r="J2273" s="18">
        <v>35.9470019890257</v>
      </c>
      <c r="K2273" s="4">
        <v>449.3375248628212</v>
      </c>
      <c r="L2273" s="19">
        <v>4.493375248628212E20</v>
      </c>
      <c r="M2273" s="20">
        <v>4.4933752486282125E19</v>
      </c>
    </row>
    <row r="2274">
      <c r="A2274" s="6"/>
      <c r="B2274" s="6"/>
      <c r="C2274" s="4"/>
      <c r="D2274" s="4">
        <v>1.6534687873370801</v>
      </c>
      <c r="E2274" s="4" t="s">
        <v>3647</v>
      </c>
      <c r="F2274" s="4"/>
      <c r="G2274" s="4"/>
      <c r="H2274" s="4"/>
      <c r="I2274" s="4" t="str">
        <f>IFERROR(__xludf.DUMMYFUNCTION("""COMPUTED_VALUE"""),"0x4dac7a86340dde95d1c38fd0f23b503f50492ec3")</f>
        <v>0x4dac7a86340dde95d1c38fd0f23b503f50492ec3</v>
      </c>
      <c r="J2274" s="18">
        <v>66.9653236203466</v>
      </c>
      <c r="K2274" s="4">
        <v>837.0665452543324</v>
      </c>
      <c r="L2274" s="19">
        <v>8.370665452543324E20</v>
      </c>
      <c r="M2274" s="20">
        <v>8.370665452543323E19</v>
      </c>
    </row>
    <row r="2275">
      <c r="A2275" s="6"/>
      <c r="B2275" s="6"/>
      <c r="C2275" s="4"/>
      <c r="D2275" s="4">
        <v>48.3641275995966</v>
      </c>
      <c r="E2275" s="4" t="s">
        <v>3649</v>
      </c>
      <c r="F2275" s="4"/>
      <c r="G2275" s="4"/>
      <c r="H2275" s="4"/>
      <c r="I2275" s="4" t="str">
        <f>IFERROR(__xludf.DUMMYFUNCTION("""COMPUTED_VALUE"""),"0x6efccf2928c267f0ddd243d9bf5c7a77c4ad0f2d")</f>
        <v>0x6efccf2928c267f0ddd243d9bf5c7a77c4ad0f2d</v>
      </c>
      <c r="J2275" s="18">
        <v>48.3641275995966</v>
      </c>
      <c r="K2275" s="4">
        <v>604.5515949949574</v>
      </c>
      <c r="L2275" s="19">
        <v>6.045515949949574E20</v>
      </c>
      <c r="M2275" s="20">
        <v>6.045515949949574E19</v>
      </c>
    </row>
    <row r="2276">
      <c r="A2276" s="6"/>
      <c r="B2276" s="6"/>
      <c r="C2276" s="4"/>
      <c r="D2276" s="4">
        <v>48.3641275995966</v>
      </c>
      <c r="E2276" s="4" t="s">
        <v>3650</v>
      </c>
      <c r="F2276" s="4"/>
      <c r="G2276" s="4"/>
      <c r="H2276" s="4"/>
      <c r="I2276" s="4" t="str">
        <f>IFERROR(__xludf.DUMMYFUNCTION("""COMPUTED_VALUE"""),"0x7b687aae77f59da3427666fae4d5cb43e623ba3f")</f>
        <v>0x7b687aae77f59da3427666fae4d5cb43e623ba3f</v>
      </c>
      <c r="J2276" s="18">
        <v>48.3641275995966</v>
      </c>
      <c r="K2276" s="4">
        <v>604.5515949949574</v>
      </c>
      <c r="L2276" s="19">
        <v>6.045515949949574E20</v>
      </c>
      <c r="M2276" s="20">
        <v>6.045515949949574E19</v>
      </c>
    </row>
    <row r="2277">
      <c r="A2277" s="6"/>
      <c r="B2277" s="6"/>
      <c r="C2277" s="4"/>
      <c r="D2277" s="4">
        <v>48.3641275995966</v>
      </c>
      <c r="E2277" s="4" t="s">
        <v>3651</v>
      </c>
      <c r="F2277" s="4"/>
      <c r="G2277" s="4"/>
      <c r="H2277" s="4"/>
      <c r="I2277" s="4" t="str">
        <f>IFERROR(__xludf.DUMMYFUNCTION("""COMPUTED_VALUE"""),"0x6e312cf46084f5fc30b8e9c88c3d07408dd63020")</f>
        <v>0x6e312cf46084f5fc30b8e9c88c3d07408dd63020</v>
      </c>
      <c r="J2277" s="18">
        <v>48.3641275995966</v>
      </c>
      <c r="K2277" s="4">
        <v>604.5515949949574</v>
      </c>
      <c r="L2277" s="19">
        <v>6.045515949949574E20</v>
      </c>
      <c r="M2277" s="20">
        <v>6.045515949949574E19</v>
      </c>
    </row>
    <row r="2278">
      <c r="A2278" s="6"/>
      <c r="B2278" s="6"/>
      <c r="C2278" s="4"/>
      <c r="D2278" s="4">
        <v>9.672825519919328</v>
      </c>
      <c r="E2278" s="4" t="s">
        <v>3652</v>
      </c>
      <c r="F2278" s="4"/>
      <c r="G2278" s="4"/>
      <c r="H2278" s="4"/>
      <c r="I2278" s="4" t="str">
        <f>IFERROR(__xludf.DUMMYFUNCTION("""COMPUTED_VALUE"""),"0xc043c68a85570a695b745fe05a64ea12789cab4c")</f>
        <v>0xc043c68a85570a695b745fe05a64ea12789cab4c</v>
      </c>
      <c r="J2278" s="18">
        <v>42.261696947804104</v>
      </c>
      <c r="K2278" s="4">
        <v>528.2712118475513</v>
      </c>
      <c r="L2278" s="19">
        <v>5.282712118475513E20</v>
      </c>
      <c r="M2278" s="20">
        <v>5.282712118475513E19</v>
      </c>
    </row>
    <row r="2279">
      <c r="A2279" s="6"/>
      <c r="B2279" s="6"/>
      <c r="C2279" s="4"/>
      <c r="D2279" s="4">
        <v>48.3641275995966</v>
      </c>
      <c r="E2279" s="4" t="s">
        <v>3653</v>
      </c>
      <c r="F2279" s="4"/>
      <c r="G2279" s="4"/>
      <c r="H2279" s="4"/>
      <c r="I2279" s="4" t="str">
        <f>IFERROR(__xludf.DUMMYFUNCTION("""COMPUTED_VALUE"""),"0x2e5c19ea911986ffb2904370290effcabb2fadcb")</f>
        <v>0x2e5c19ea911986ffb2904370290effcabb2fadcb</v>
      </c>
      <c r="J2279" s="18">
        <v>29.018476559758</v>
      </c>
      <c r="K2279" s="4">
        <v>362.730956996975</v>
      </c>
      <c r="L2279" s="19">
        <v>3.62730956996975E20</v>
      </c>
      <c r="M2279" s="20">
        <v>3.62730956996975E19</v>
      </c>
    </row>
    <row r="2280">
      <c r="A2280" s="6"/>
      <c r="B2280" s="6"/>
      <c r="C2280" s="4"/>
      <c r="D2280" s="4">
        <v>19.3456510398386</v>
      </c>
      <c r="E2280" s="4" t="s">
        <v>3654</v>
      </c>
      <c r="F2280" s="4"/>
      <c r="G2280" s="4"/>
      <c r="H2280" s="4"/>
      <c r="I2280" s="4" t="str">
        <f>IFERROR(__xludf.DUMMYFUNCTION("""COMPUTED_VALUE"""),"0xea5967dd8ac1325fba6a0b68213f6452fdb456d4")</f>
        <v>0xea5967dd8ac1325fba6a0b68213f6452fdb456d4</v>
      </c>
      <c r="J2280" s="18">
        <v>0.967282551991933</v>
      </c>
      <c r="K2280" s="4">
        <v>12.091031899899162</v>
      </c>
      <c r="L2280" s="19">
        <v>1.2091031899899163E19</v>
      </c>
      <c r="M2280" s="20">
        <v>1.2091031899899164E18</v>
      </c>
    </row>
    <row r="2281">
      <c r="A2281" s="6"/>
      <c r="B2281" s="6"/>
      <c r="C2281" s="4"/>
      <c r="D2281" s="4">
        <v>48.3641275995966</v>
      </c>
      <c r="E2281" s="4" t="s">
        <v>3655</v>
      </c>
      <c r="F2281" s="4"/>
      <c r="G2281" s="4"/>
      <c r="H2281" s="4"/>
      <c r="I2281" s="4" t="str">
        <f>IFERROR(__xludf.DUMMYFUNCTION("""COMPUTED_VALUE"""),"0x4ec87da8a9eb1179b90d17bee3ace9fdf05030da")</f>
        <v>0x4ec87da8a9eb1179b90d17bee3ace9fdf05030da</v>
      </c>
      <c r="J2281" s="18">
        <v>188.5444909053106</v>
      </c>
      <c r="K2281" s="4">
        <v>2356.8061363163824</v>
      </c>
      <c r="L2281" s="19">
        <v>2.3568061363163824E21</v>
      </c>
      <c r="M2281" s="20">
        <v>2.3568061363163824E20</v>
      </c>
    </row>
    <row r="2282">
      <c r="A2282" s="6"/>
      <c r="B2282" s="6"/>
      <c r="C2282" s="4"/>
      <c r="D2282" s="4">
        <v>48.3641275995966</v>
      </c>
      <c r="E2282" s="4" t="s">
        <v>1154</v>
      </c>
      <c r="F2282" s="4"/>
      <c r="G2282" s="4"/>
      <c r="H2282" s="4"/>
      <c r="I2282" s="4" t="str">
        <f>IFERROR(__xludf.DUMMYFUNCTION("""COMPUTED_VALUE"""),"0x6f7d9147a5b87e2b8036fcddfce4a9c8a2650ba9")</f>
        <v>0x6f7d9147a5b87e2b8036fcddfce4a9c8a2650ba9</v>
      </c>
      <c r="J2282" s="18">
        <v>48.2838008142607</v>
      </c>
      <c r="K2282" s="4">
        <v>603.5475101782588</v>
      </c>
      <c r="L2282" s="19">
        <v>6.035475101782587E20</v>
      </c>
      <c r="M2282" s="20">
        <v>6.035475101782588E19</v>
      </c>
    </row>
    <row r="2283">
      <c r="A2283" s="6"/>
      <c r="B2283" s="6"/>
      <c r="C2283" s="4"/>
      <c r="D2283" s="4">
        <v>48.3641275995966</v>
      </c>
      <c r="E2283" s="4" t="s">
        <v>3656</v>
      </c>
      <c r="F2283" s="4"/>
      <c r="G2283" s="4"/>
      <c r="H2283" s="4"/>
      <c r="I2283" s="4" t="str">
        <f>IFERROR(__xludf.DUMMYFUNCTION("""COMPUTED_VALUE"""),"0xc857e7167fc7a3ac3f45ba8b80c0cbbe6d3c2b21")</f>
        <v>0xc857e7167fc7a3ac3f45ba8b80c0cbbe6d3c2b21</v>
      </c>
      <c r="J2283" s="18">
        <v>48.3641275995966</v>
      </c>
      <c r="K2283" s="4">
        <v>604.5515949949574</v>
      </c>
      <c r="L2283" s="19">
        <v>6.045515949949574E20</v>
      </c>
      <c r="M2283" s="20">
        <v>6.045515949949574E19</v>
      </c>
    </row>
    <row r="2284">
      <c r="A2284" s="6"/>
      <c r="B2284" s="6"/>
      <c r="C2284" s="4"/>
      <c r="D2284" s="4">
        <v>48.3641275995966</v>
      </c>
      <c r="E2284" s="4" t="s">
        <v>3657</v>
      </c>
      <c r="F2284" s="4"/>
      <c r="G2284" s="4"/>
      <c r="H2284" s="4"/>
      <c r="I2284" s="4" t="str">
        <f>IFERROR(__xludf.DUMMYFUNCTION("""COMPUTED_VALUE"""),"0x4d456805cd8587336178fb35feaf4edf9e9944a5")</f>
        <v>0x4d456805cd8587336178fb35feaf4edf9e9944a5</v>
      </c>
      <c r="J2284" s="18">
        <v>48.3641275995966</v>
      </c>
      <c r="K2284" s="4">
        <v>604.5515949949574</v>
      </c>
      <c r="L2284" s="19">
        <v>6.045515949949574E20</v>
      </c>
      <c r="M2284" s="20">
        <v>6.045515949949574E19</v>
      </c>
    </row>
    <row r="2285">
      <c r="A2285" s="6"/>
      <c r="B2285" s="6"/>
      <c r="C2285" s="4"/>
      <c r="D2285" s="4">
        <v>9.672825519919328</v>
      </c>
      <c r="E2285" s="4" t="s">
        <v>3658</v>
      </c>
      <c r="F2285" s="4"/>
      <c r="G2285" s="4"/>
      <c r="H2285" s="4"/>
      <c r="I2285" s="4" t="str">
        <f>IFERROR(__xludf.DUMMYFUNCTION("""COMPUTED_VALUE"""),"0xfc648fc6760f8ee6452df30ad99e5a2a741ba7ea")</f>
        <v>0xfc648fc6760f8ee6452df30ad99e5a2a741ba7ea</v>
      </c>
      <c r="J2285" s="18">
        <v>48.3641275995966</v>
      </c>
      <c r="K2285" s="4">
        <v>604.5515949949574</v>
      </c>
      <c r="L2285" s="19">
        <v>6.045515949949574E20</v>
      </c>
      <c r="M2285" s="20">
        <v>6.045515949949574E19</v>
      </c>
    </row>
    <row r="2286">
      <c r="A2286" s="6"/>
      <c r="B2286" s="6"/>
      <c r="C2286" s="4"/>
      <c r="D2286" s="4">
        <v>48.3641275995966</v>
      </c>
      <c r="E2286" s="4" t="s">
        <v>3659</v>
      </c>
      <c r="F2286" s="4"/>
      <c r="G2286" s="4"/>
      <c r="H2286" s="4"/>
      <c r="I2286" s="4" t="str">
        <f>IFERROR(__xludf.DUMMYFUNCTION("""COMPUTED_VALUE"""),"0x6fb59ab9d10fa2922cef198bce982c6f1f4a4756")</f>
        <v>0x6fb59ab9d10fa2922cef198bce982c6f1f4a4756</v>
      </c>
      <c r="J2286" s="18">
        <v>75.1738486610697</v>
      </c>
      <c r="K2286" s="4">
        <v>939.6731082633712</v>
      </c>
      <c r="L2286" s="19">
        <v>9.396731082633711E20</v>
      </c>
      <c r="M2286" s="20">
        <v>9.396731082633712E19</v>
      </c>
    </row>
    <row r="2287">
      <c r="A2287" s="6"/>
      <c r="B2287" s="6"/>
      <c r="C2287" s="4"/>
      <c r="D2287" s="4">
        <v>48.3641275995966</v>
      </c>
      <c r="E2287" s="4" t="s">
        <v>3660</v>
      </c>
      <c r="F2287" s="4"/>
      <c r="G2287" s="4"/>
      <c r="H2287" s="4"/>
      <c r="I2287" s="4" t="str">
        <f>IFERROR(__xludf.DUMMYFUNCTION("""COMPUTED_VALUE"""),"0x79c3da78acb0206d1bbca5edab70f7fa04ba66c2")</f>
        <v>0x79c3da78acb0206d1bbca5edab70f7fa04ba66c2</v>
      </c>
      <c r="J2287" s="18">
        <v>48.3641275995966</v>
      </c>
      <c r="K2287" s="4">
        <v>604.5515949949574</v>
      </c>
      <c r="L2287" s="19">
        <v>6.045515949949574E20</v>
      </c>
      <c r="M2287" s="20">
        <v>6.045515949949574E19</v>
      </c>
    </row>
    <row r="2288">
      <c r="A2288" s="6"/>
      <c r="B2288" s="6"/>
      <c r="C2288" s="4"/>
      <c r="D2288" s="4">
        <v>9.05751180460979</v>
      </c>
      <c r="E2288" s="4" t="s">
        <v>3661</v>
      </c>
      <c r="F2288" s="4"/>
      <c r="G2288" s="4"/>
      <c r="H2288" s="4"/>
      <c r="I2288" s="4" t="str">
        <f>IFERROR(__xludf.DUMMYFUNCTION("""COMPUTED_VALUE"""),"0xa88d9e439cf55e77870562489b41a0e3ad772b52")</f>
        <v>0xa88d9e439cf55e77870562489b41a0e3ad772b52</v>
      </c>
      <c r="J2288" s="18">
        <v>34.7060415803613</v>
      </c>
      <c r="K2288" s="4">
        <v>433.8255197545163</v>
      </c>
      <c r="L2288" s="19">
        <v>4.338255197545163E20</v>
      </c>
      <c r="M2288" s="20">
        <v>4.338255197545163E19</v>
      </c>
    </row>
    <row r="2289">
      <c r="A2289" s="6"/>
      <c r="B2289" s="6"/>
      <c r="C2289" s="4"/>
      <c r="D2289" s="4">
        <v>9.67282738116441</v>
      </c>
      <c r="E2289" s="4" t="s">
        <v>3663</v>
      </c>
      <c r="F2289" s="4"/>
      <c r="G2289" s="4"/>
      <c r="H2289" s="4"/>
      <c r="I2289" s="4" t="str">
        <f>IFERROR(__xludf.DUMMYFUNCTION("""COMPUTED_VALUE"""),"0x56629e895d881bebb90b592a5b0f52d7e09ccbad")</f>
        <v>0x56629e895d881bebb90b592a5b0f52d7e09ccbad</v>
      </c>
      <c r="J2289" s="18">
        <v>234.37608780709658</v>
      </c>
      <c r="K2289" s="4">
        <v>2929.7010975887074</v>
      </c>
      <c r="L2289" s="19">
        <v>2.9297010975887076E21</v>
      </c>
      <c r="M2289" s="20">
        <v>2.9297010975887078E20</v>
      </c>
    </row>
    <row r="2290">
      <c r="A2290" s="6"/>
      <c r="B2290" s="6"/>
      <c r="C2290" s="4"/>
      <c r="D2290" s="4">
        <v>41.965211091397</v>
      </c>
      <c r="E2290" s="4" t="s">
        <v>3665</v>
      </c>
      <c r="F2290" s="4"/>
      <c r="G2290" s="4"/>
      <c r="H2290" s="4"/>
      <c r="I2290" s="4" t="str">
        <f>IFERROR(__xludf.DUMMYFUNCTION("""COMPUTED_VALUE"""),"0xfb9f226be23f2d5974000fd10e6fd902420a9e04")</f>
        <v>0xfb9f226be23f2d5974000fd10e6fd902420a9e04</v>
      </c>
      <c r="J2290" s="18">
        <v>48.3641275995966</v>
      </c>
      <c r="K2290" s="4">
        <v>604.5515949949574</v>
      </c>
      <c r="L2290" s="19">
        <v>6.045515949949574E20</v>
      </c>
      <c r="M2290" s="20">
        <v>6.045515949949574E19</v>
      </c>
    </row>
    <row r="2291">
      <c r="A2291" s="6"/>
      <c r="B2291" s="6"/>
      <c r="C2291" s="4"/>
      <c r="D2291" s="4">
        <v>48.3641275995966</v>
      </c>
      <c r="E2291" s="4" t="s">
        <v>3667</v>
      </c>
      <c r="F2291" s="4"/>
      <c r="G2291" s="4"/>
      <c r="H2291" s="4"/>
      <c r="I2291" s="4" t="str">
        <f>IFERROR(__xludf.DUMMYFUNCTION("""COMPUTED_VALUE"""),"0x6cf328695118ff4591595aec3b148a69c7e44fdc")</f>
        <v>0x6cf328695118ff4591595aec3b148a69c7e44fdc</v>
      </c>
      <c r="J2291" s="18">
        <v>55.24323897915169</v>
      </c>
      <c r="K2291" s="4">
        <v>690.5404872393962</v>
      </c>
      <c r="L2291" s="19">
        <v>6.905404872393961E20</v>
      </c>
      <c r="M2291" s="20">
        <v>6.9054048723939615E19</v>
      </c>
    </row>
    <row r="2292">
      <c r="A2292" s="6"/>
      <c r="B2292" s="6"/>
      <c r="C2292" s="4"/>
      <c r="D2292" s="4">
        <v>48.3641275995966</v>
      </c>
      <c r="E2292" s="4" t="s">
        <v>3668</v>
      </c>
      <c r="F2292" s="4"/>
      <c r="G2292" s="4"/>
      <c r="H2292" s="4"/>
      <c r="I2292" s="4" t="str">
        <f>IFERROR(__xludf.DUMMYFUNCTION("""COMPUTED_VALUE"""),"0x19a23443e17d1bbfe9726202478ad891cc4f0776")</f>
        <v>0x19a23443e17d1bbfe9726202478ad891cc4f0776</v>
      </c>
      <c r="J2292" s="18">
        <v>113.5192890585101</v>
      </c>
      <c r="K2292" s="4">
        <v>1418.9911132313762</v>
      </c>
      <c r="L2292" s="19">
        <v>1.418991113231376E21</v>
      </c>
      <c r="M2292" s="20">
        <v>1.418991113231376E20</v>
      </c>
    </row>
    <row r="2293">
      <c r="A2293" s="6"/>
      <c r="B2293" s="6"/>
      <c r="C2293" s="4"/>
      <c r="D2293" s="4">
        <v>48.3641275995966</v>
      </c>
      <c r="E2293" s="4" t="s">
        <v>3669</v>
      </c>
      <c r="F2293" s="4"/>
      <c r="G2293" s="4"/>
      <c r="H2293" s="4"/>
      <c r="I2293" s="4" t="str">
        <f>IFERROR(__xludf.DUMMYFUNCTION("""COMPUTED_VALUE"""),"0x06c1d9063cd87004f6d4c04ac018c97871e5d2cc")</f>
        <v>0x06c1d9063cd87004f6d4c04ac018c97871e5d2cc</v>
      </c>
      <c r="J2293" s="18">
        <v>48.3641275995966</v>
      </c>
      <c r="K2293" s="4">
        <v>604.5515949949574</v>
      </c>
      <c r="L2293" s="19">
        <v>6.045515949949574E20</v>
      </c>
      <c r="M2293" s="20">
        <v>6.045515949949574E19</v>
      </c>
    </row>
    <row r="2294">
      <c r="A2294" s="6"/>
      <c r="B2294" s="6"/>
      <c r="C2294" s="4"/>
      <c r="D2294" s="4">
        <v>48.3641275995966</v>
      </c>
      <c r="E2294" s="4" t="s">
        <v>3670</v>
      </c>
      <c r="F2294" s="4"/>
      <c r="G2294" s="4"/>
      <c r="H2294" s="4"/>
      <c r="I2294" s="4" t="str">
        <f>IFERROR(__xludf.DUMMYFUNCTION("""COMPUTED_VALUE"""),"0x11c8ef848f9850bc97ee7bbb4a5c88079ca72122")</f>
        <v>0x11c8ef848f9850bc97ee7bbb4a5c88079ca72122</v>
      </c>
      <c r="J2294" s="18">
        <v>3.92074624993676</v>
      </c>
      <c r="K2294" s="4">
        <v>49.009328124209496</v>
      </c>
      <c r="L2294" s="19">
        <v>4.90093281242095E19</v>
      </c>
      <c r="M2294" s="20">
        <v>4.90093281242095E18</v>
      </c>
    </row>
    <row r="2295">
      <c r="A2295" s="6"/>
      <c r="B2295" s="6"/>
      <c r="C2295" s="4"/>
      <c r="D2295" s="4">
        <v>24.028479613088</v>
      </c>
      <c r="E2295" s="4" t="s">
        <v>3671</v>
      </c>
      <c r="F2295" s="4"/>
      <c r="G2295" s="4"/>
      <c r="H2295" s="4"/>
      <c r="I2295" s="4" t="str">
        <f>IFERROR(__xludf.DUMMYFUNCTION("""COMPUTED_VALUE"""),"0x597752c31cac2c3475af350caef60b579a4f01b3")</f>
        <v>0x597752c31cac2c3475af350caef60b579a4f01b3</v>
      </c>
      <c r="J2295" s="18">
        <v>16.550448084960898</v>
      </c>
      <c r="K2295" s="4">
        <v>206.8806010620112</v>
      </c>
      <c r="L2295" s="19">
        <v>2.068806010620112E20</v>
      </c>
      <c r="M2295" s="20">
        <v>2.068806010620112E19</v>
      </c>
    </row>
    <row r="2296">
      <c r="A2296" s="6"/>
      <c r="B2296" s="6"/>
      <c r="C2296" s="4"/>
      <c r="D2296" s="4">
        <v>48.3641275995966</v>
      </c>
      <c r="E2296" s="4" t="s">
        <v>3673</v>
      </c>
      <c r="F2296" s="4"/>
      <c r="G2296" s="4"/>
      <c r="H2296" s="4"/>
      <c r="I2296" s="4" t="str">
        <f>IFERROR(__xludf.DUMMYFUNCTION("""COMPUTED_VALUE"""),"0x2da313d5a4a2acd328538ad97f37a7d9d5d8d283")</f>
        <v>0x2da313d5a4a2acd328538ad97f37a7d9d5d8d283</v>
      </c>
      <c r="J2296" s="18">
        <v>47.870588991496895</v>
      </c>
      <c r="K2296" s="4">
        <v>598.3823623937112</v>
      </c>
      <c r="L2296" s="19">
        <v>5.983823623937112E20</v>
      </c>
      <c r="M2296" s="20">
        <v>5.9838236239371125E19</v>
      </c>
    </row>
    <row r="2297">
      <c r="A2297" s="6"/>
      <c r="B2297" s="6"/>
      <c r="C2297" s="4"/>
      <c r="D2297" s="4">
        <v>18.1994735983012</v>
      </c>
      <c r="E2297" s="4" t="s">
        <v>3674</v>
      </c>
      <c r="F2297" s="4"/>
      <c r="G2297" s="4"/>
      <c r="H2297" s="4"/>
      <c r="I2297" s="4" t="str">
        <f>IFERROR(__xludf.DUMMYFUNCTION("""COMPUTED_VALUE"""),"0xeaf218a1cc215cbcd79029348b5f96d7172872ad")</f>
        <v>0xeaf218a1cc215cbcd79029348b5f96d7172872ad</v>
      </c>
      <c r="J2297" s="18">
        <v>48.3641275995966</v>
      </c>
      <c r="K2297" s="4">
        <v>604.5515949949574</v>
      </c>
      <c r="L2297" s="19">
        <v>6.045515949949574E20</v>
      </c>
      <c r="M2297" s="20">
        <v>6.045515949949574E19</v>
      </c>
    </row>
    <row r="2298">
      <c r="A2298" s="6"/>
      <c r="B2298" s="6"/>
      <c r="C2298" s="4"/>
      <c r="D2298" s="4">
        <v>9.672825519919328</v>
      </c>
      <c r="E2298" s="4" t="s">
        <v>3676</v>
      </c>
      <c r="F2298" s="4"/>
      <c r="G2298" s="4"/>
      <c r="H2298" s="4"/>
      <c r="I2298" s="4" t="str">
        <f>IFERROR(__xludf.DUMMYFUNCTION("""COMPUTED_VALUE"""),"0xf22b240dd536a32459dd719a47cf6a45aee92946")</f>
        <v>0xf22b240dd536a32459dd719a47cf6a45aee92946</v>
      </c>
      <c r="J2298" s="18">
        <v>28.6651579334884</v>
      </c>
      <c r="K2298" s="4">
        <v>358.314474168605</v>
      </c>
      <c r="L2298" s="19">
        <v>3.58314474168605E20</v>
      </c>
      <c r="M2298" s="20">
        <v>3.5831447416860504E19</v>
      </c>
    </row>
    <row r="2299">
      <c r="A2299" s="6"/>
      <c r="B2299" s="6"/>
      <c r="C2299" s="4"/>
      <c r="D2299" s="4">
        <v>48.3641275995966</v>
      </c>
      <c r="E2299" s="4" t="s">
        <v>3677</v>
      </c>
      <c r="F2299" s="4"/>
      <c r="G2299" s="4"/>
      <c r="H2299" s="4"/>
      <c r="I2299" s="4" t="str">
        <f>IFERROR(__xludf.DUMMYFUNCTION("""COMPUTED_VALUE"""),"0x3f6a7448771dd57addde86252ad06441b88750f4")</f>
        <v>0x3f6a7448771dd57addde86252ad06441b88750f4</v>
      </c>
      <c r="J2299" s="18">
        <v>19.3456510398386</v>
      </c>
      <c r="K2299" s="4">
        <v>241.8206379979825</v>
      </c>
      <c r="L2299" s="19">
        <v>2.4182063799798248E20</v>
      </c>
      <c r="M2299" s="20">
        <v>2.418206379979825E19</v>
      </c>
    </row>
    <row r="2300">
      <c r="A2300" s="6"/>
      <c r="B2300" s="6"/>
      <c r="C2300" s="4"/>
      <c r="D2300" s="4">
        <v>48.3641275995966</v>
      </c>
      <c r="E2300" s="4" t="s">
        <v>3678</v>
      </c>
      <c r="F2300" s="4"/>
      <c r="G2300" s="4"/>
      <c r="H2300" s="4"/>
      <c r="I2300" s="4" t="str">
        <f>IFERROR(__xludf.DUMMYFUNCTION("""COMPUTED_VALUE"""),"0x4ebe879492b7ff5692f05893f8470dd96cfb3bdb")</f>
        <v>0x4ebe879492b7ff5692f05893f8470dd96cfb3bdb</v>
      </c>
      <c r="J2300" s="18">
        <v>9.672825519919328</v>
      </c>
      <c r="K2300" s="4">
        <v>120.9103189989916</v>
      </c>
      <c r="L2300" s="19">
        <v>1.209103189989916E20</v>
      </c>
      <c r="M2300" s="20">
        <v>1.209103189989916E19</v>
      </c>
    </row>
    <row r="2301">
      <c r="A2301" s="6"/>
      <c r="B2301" s="6"/>
      <c r="C2301" s="4"/>
      <c r="D2301" s="4">
        <v>9.672825519919328</v>
      </c>
      <c r="E2301" s="4" t="s">
        <v>3679</v>
      </c>
      <c r="F2301" s="4"/>
      <c r="G2301" s="4"/>
      <c r="H2301" s="4"/>
      <c r="I2301" s="4" t="str">
        <f>IFERROR(__xludf.DUMMYFUNCTION("""COMPUTED_VALUE"""),"0x1cfd60cf55fe81a963960fb828b76987d7ec1edc")</f>
        <v>0x1cfd60cf55fe81a963960fb828b76987d7ec1edc</v>
      </c>
      <c r="J2301" s="18">
        <v>195.918336596781</v>
      </c>
      <c r="K2301" s="4">
        <v>2448.979207459762</v>
      </c>
      <c r="L2301" s="19">
        <v>2.448979207459762E21</v>
      </c>
      <c r="M2301" s="20">
        <v>2.4489792074597623E20</v>
      </c>
    </row>
    <row r="2302">
      <c r="A2302" s="6"/>
      <c r="B2302" s="6"/>
      <c r="C2302" s="4"/>
      <c r="D2302" s="4">
        <v>48.3641275995966</v>
      </c>
      <c r="E2302" s="4" t="s">
        <v>3680</v>
      </c>
      <c r="F2302" s="4"/>
      <c r="G2302" s="4"/>
      <c r="H2302" s="4"/>
      <c r="I2302" s="4" t="str">
        <f>IFERROR(__xludf.DUMMYFUNCTION("""COMPUTED_VALUE"""),"0x80dbb3a47d4b3d022efdddde9a924d347995d719")</f>
        <v>0x80dbb3a47d4b3d022efdddde9a924d347995d719</v>
      </c>
      <c r="J2302" s="18">
        <v>9.672825519919328</v>
      </c>
      <c r="K2302" s="4">
        <v>120.9103189989916</v>
      </c>
      <c r="L2302" s="19">
        <v>1.209103189989916E20</v>
      </c>
      <c r="M2302" s="20">
        <v>1.209103189989916E19</v>
      </c>
    </row>
    <row r="2303">
      <c r="A2303" s="6"/>
      <c r="B2303" s="6"/>
      <c r="C2303" s="4"/>
      <c r="D2303" s="4">
        <v>24.1976624328945</v>
      </c>
      <c r="E2303" s="4" t="s">
        <v>3681</v>
      </c>
      <c r="F2303" s="4"/>
      <c r="G2303" s="4"/>
      <c r="H2303" s="4"/>
      <c r="I2303" s="4" t="str">
        <f>IFERROR(__xludf.DUMMYFUNCTION("""COMPUTED_VALUE"""),"0x879efb8b8dd32b20cf6d99a9d30f615f5683b7e1")</f>
        <v>0x879efb8b8dd32b20cf6d99a9d30f615f5683b7e1</v>
      </c>
      <c r="J2303" s="18">
        <v>44.076158892968195</v>
      </c>
      <c r="K2303" s="4">
        <v>550.9519861621025</v>
      </c>
      <c r="L2303" s="19">
        <v>5.5095198616210244E20</v>
      </c>
      <c r="M2303" s="20">
        <v>5.509519861621024E19</v>
      </c>
    </row>
    <row r="2304">
      <c r="A2304" s="6"/>
      <c r="B2304" s="6"/>
      <c r="C2304" s="4"/>
      <c r="D2304" s="4">
        <v>1.04867911609523</v>
      </c>
      <c r="E2304" s="4" t="s">
        <v>1087</v>
      </c>
      <c r="F2304" s="4"/>
      <c r="G2304" s="4"/>
      <c r="H2304" s="4"/>
      <c r="I2304" s="4" t="str">
        <f>IFERROR(__xludf.DUMMYFUNCTION("""COMPUTED_VALUE"""),"0x6d5229ac3d700bd02a463b5c79f798e11c3a8503")</f>
        <v>0x6d5229ac3d700bd02a463b5c79f798e11c3a8503</v>
      </c>
      <c r="J2304" s="18">
        <v>16.9860182419615</v>
      </c>
      <c r="K2304" s="4">
        <v>212.32522802451874</v>
      </c>
      <c r="L2304" s="19">
        <v>2.1232522802451874E20</v>
      </c>
      <c r="M2304" s="20">
        <v>2.1232522802451874E19</v>
      </c>
    </row>
    <row r="2305">
      <c r="A2305" s="6"/>
      <c r="B2305" s="6"/>
      <c r="C2305" s="4"/>
      <c r="D2305" s="4">
        <v>48.3641275995966</v>
      </c>
      <c r="E2305" s="4" t="s">
        <v>385</v>
      </c>
      <c r="F2305" s="4"/>
      <c r="G2305" s="4"/>
      <c r="H2305" s="4"/>
      <c r="I2305" s="4" t="str">
        <f>IFERROR(__xludf.DUMMYFUNCTION("""COMPUTED_VALUE"""),"0x2b7ead7e6cf29240d7df10e7b16458e8f9e53811")</f>
        <v>0x2b7ead7e6cf29240d7df10e7b16458e8f9e53811</v>
      </c>
      <c r="J2305" s="18">
        <v>9.57609726472013</v>
      </c>
      <c r="K2305" s="4">
        <v>119.70121580900161</v>
      </c>
      <c r="L2305" s="19">
        <v>1.197012158090016E20</v>
      </c>
      <c r="M2305" s="20">
        <v>1.1970121580900162E19</v>
      </c>
    </row>
    <row r="2306">
      <c r="A2306" s="6"/>
      <c r="B2306" s="6"/>
      <c r="C2306" s="4"/>
      <c r="D2306" s="4">
        <v>0.562005305417838</v>
      </c>
      <c r="E2306" s="4" t="s">
        <v>3684</v>
      </c>
      <c r="F2306" s="4"/>
      <c r="G2306" s="4"/>
      <c r="H2306" s="4"/>
      <c r="I2306" s="4" t="str">
        <f>IFERROR(__xludf.DUMMYFUNCTION("""COMPUTED_VALUE"""),"0x7977a061378927bac23a93092adf5fdde8103924")</f>
        <v>0x7977a061378927bac23a93092adf5fdde8103924</v>
      </c>
      <c r="J2306" s="18">
        <v>94.8671176514718</v>
      </c>
      <c r="K2306" s="4">
        <v>1185.8389706433975</v>
      </c>
      <c r="L2306" s="19">
        <v>1.1858389706433975E21</v>
      </c>
      <c r="M2306" s="20">
        <v>1.1858389706433975E20</v>
      </c>
    </row>
    <row r="2307">
      <c r="A2307" s="6"/>
      <c r="B2307" s="6"/>
      <c r="C2307" s="4"/>
      <c r="D2307" s="4">
        <v>9.524672648343321</v>
      </c>
      <c r="E2307" s="4" t="s">
        <v>3686</v>
      </c>
      <c r="F2307" s="4"/>
      <c r="G2307" s="4"/>
      <c r="H2307" s="4"/>
      <c r="I2307" s="4" t="str">
        <f>IFERROR(__xludf.DUMMYFUNCTION("""COMPUTED_VALUE"""),"0x0038bfd5f6c78e409e71de123dc1eb721f965724")</f>
        <v>0x0038bfd5f6c78e409e71de123dc1eb721f965724</v>
      </c>
      <c r="J2307" s="18">
        <v>19.476733964356</v>
      </c>
      <c r="K2307" s="4">
        <v>243.45917455445002</v>
      </c>
      <c r="L2307" s="19">
        <v>2.4345917455445E20</v>
      </c>
      <c r="M2307" s="20">
        <v>2.4345917455445E19</v>
      </c>
    </row>
    <row r="2308">
      <c r="A2308" s="6"/>
      <c r="B2308" s="6"/>
      <c r="C2308" s="4"/>
      <c r="D2308" s="4">
        <v>48.3641275995966</v>
      </c>
      <c r="E2308" s="4" t="s">
        <v>3688</v>
      </c>
      <c r="F2308" s="4"/>
      <c r="G2308" s="4"/>
      <c r="H2308" s="4"/>
      <c r="I2308" s="4" t="str">
        <f>IFERROR(__xludf.DUMMYFUNCTION("""COMPUTED_VALUE"""),"0x618966bde6fa80ea5bbd428b1b11ef2bd7e50c41")</f>
        <v>0x618966bde6fa80ea5bbd428b1b11ef2bd7e50c41</v>
      </c>
      <c r="J2308" s="18">
        <v>85.2605617907137</v>
      </c>
      <c r="K2308" s="4">
        <v>1065.7570223839211</v>
      </c>
      <c r="L2308" s="19">
        <v>1.0657570223839212E21</v>
      </c>
      <c r="M2308" s="20">
        <v>1.0657570223839212E20</v>
      </c>
    </row>
    <row r="2309">
      <c r="A2309" s="6"/>
      <c r="B2309" s="6"/>
      <c r="C2309" s="4"/>
      <c r="D2309" s="4">
        <v>48.3641275995966</v>
      </c>
      <c r="E2309" s="4" t="s">
        <v>1451</v>
      </c>
      <c r="F2309" s="4"/>
      <c r="G2309" s="4"/>
      <c r="H2309" s="4"/>
      <c r="I2309" s="4" t="str">
        <f>IFERROR(__xludf.DUMMYFUNCTION("""COMPUTED_VALUE"""),"0xf971188144f503545710b48d338b67ce3dc9e6f2")</f>
        <v>0xf971188144f503545710b48d338b67ce3dc9e6f2</v>
      </c>
      <c r="J2309" s="18">
        <v>9.71127488113585</v>
      </c>
      <c r="K2309" s="4">
        <v>121.39093601419812</v>
      </c>
      <c r="L2309" s="19">
        <v>1.2139093601419811E20</v>
      </c>
      <c r="M2309" s="20">
        <v>1.2139093601419813E19</v>
      </c>
    </row>
    <row r="2310">
      <c r="A2310" s="6"/>
      <c r="B2310" s="6"/>
      <c r="C2310" s="4"/>
      <c r="D2310" s="4">
        <v>42.780105000179596</v>
      </c>
      <c r="E2310" s="4" t="s">
        <v>3689</v>
      </c>
      <c r="F2310" s="4"/>
      <c r="G2310" s="4"/>
      <c r="H2310" s="4"/>
      <c r="I2310" s="4" t="str">
        <f>IFERROR(__xludf.DUMMYFUNCTION("""COMPUTED_VALUE"""),"0xc6d1849af21de257fdfa67271d64529d5cd01881")</f>
        <v>0xc6d1849af21de257fdfa67271d64529d5cd01881</v>
      </c>
      <c r="J2310" s="18">
        <v>2.20528091123073</v>
      </c>
      <c r="K2310" s="4">
        <v>27.566011390384126</v>
      </c>
      <c r="L2310" s="19">
        <v>2.756601139038413E19</v>
      </c>
      <c r="M2310" s="20">
        <v>2.756601139038413E18</v>
      </c>
    </row>
    <row r="2311">
      <c r="A2311" s="6"/>
      <c r="B2311" s="6"/>
      <c r="C2311" s="4"/>
      <c r="D2311" s="4">
        <v>48.3641275995966</v>
      </c>
      <c r="E2311" s="4" t="s">
        <v>3691</v>
      </c>
      <c r="F2311" s="4"/>
      <c r="G2311" s="4"/>
      <c r="H2311" s="4"/>
      <c r="I2311" s="4" t="str">
        <f>IFERROR(__xludf.DUMMYFUNCTION("""COMPUTED_VALUE"""),"0x70d72ccde6840c1b264ccfa3a6abe1b4dc117686")</f>
        <v>0x70d72ccde6840c1b264ccfa3a6abe1b4dc117686</v>
      </c>
      <c r="J2311" s="18">
        <v>18.999076479108503</v>
      </c>
      <c r="K2311" s="4">
        <v>237.4884559888563</v>
      </c>
      <c r="L2311" s="19">
        <v>2.374884559888563E20</v>
      </c>
      <c r="M2311" s="20">
        <v>2.374884559888563E19</v>
      </c>
    </row>
    <row r="2312">
      <c r="A2312" s="6"/>
      <c r="B2312" s="6"/>
      <c r="C2312" s="4"/>
      <c r="D2312" s="4">
        <v>9.672825519919328</v>
      </c>
      <c r="E2312" s="4" t="s">
        <v>3692</v>
      </c>
      <c r="F2312" s="4"/>
      <c r="G2312" s="4"/>
      <c r="H2312" s="4"/>
      <c r="I2312" s="4" t="str">
        <f>IFERROR(__xludf.DUMMYFUNCTION("""COMPUTED_VALUE"""),"0xdfacbc551306592680a1b58c354881b4514ef915")</f>
        <v>0xdfacbc551306592680a1b58c354881b4514ef915</v>
      </c>
      <c r="J2312" s="18">
        <v>68.0791779856554</v>
      </c>
      <c r="K2312" s="4">
        <v>850.9897248206926</v>
      </c>
      <c r="L2312" s="19">
        <v>8.509897248206925E20</v>
      </c>
      <c r="M2312" s="20">
        <v>8.509897248206925E19</v>
      </c>
    </row>
    <row r="2313">
      <c r="A2313" s="6"/>
      <c r="B2313" s="6"/>
      <c r="C2313" s="4"/>
      <c r="D2313" s="4">
        <v>46.0858516018934</v>
      </c>
      <c r="E2313" s="4" t="s">
        <v>3693</v>
      </c>
      <c r="F2313" s="4"/>
      <c r="G2313" s="4"/>
      <c r="H2313" s="4"/>
      <c r="I2313" s="4" t="str">
        <f>IFERROR(__xludf.DUMMYFUNCTION("""COMPUTED_VALUE"""),"0x272dc42ac199962abb014e78ccbef5321dd0e645")</f>
        <v>0x272dc42ac199962abb014e78ccbef5321dd0e645</v>
      </c>
      <c r="J2313" s="18">
        <v>0.149805554101109</v>
      </c>
      <c r="K2313" s="4">
        <v>1.8725694262638624</v>
      </c>
      <c r="L2313" s="19">
        <v>1.8725694262638623E18</v>
      </c>
      <c r="M2313" s="20">
        <v>1.8725694262638624E17</v>
      </c>
    </row>
    <row r="2314">
      <c r="A2314" s="6"/>
      <c r="B2314" s="6"/>
      <c r="C2314" s="4"/>
      <c r="D2314" s="4">
        <v>8.02227257774542</v>
      </c>
      <c r="E2314" s="4" t="s">
        <v>3695</v>
      </c>
      <c r="F2314" s="4"/>
      <c r="G2314" s="4"/>
      <c r="H2314" s="4"/>
      <c r="I2314" s="4" t="str">
        <f>IFERROR(__xludf.DUMMYFUNCTION("""COMPUTED_VALUE"""),"0x1c860f481e677d42c579494e2739a7b15ef1b49a")</f>
        <v>0x1c860f481e677d42c579494e2739a7b15ef1b49a</v>
      </c>
      <c r="J2314" s="18">
        <v>9.672825519919328</v>
      </c>
      <c r="K2314" s="4">
        <v>120.9103189989916</v>
      </c>
      <c r="L2314" s="19">
        <v>1.209103189989916E20</v>
      </c>
      <c r="M2314" s="20">
        <v>1.209103189989916E19</v>
      </c>
    </row>
    <row r="2315">
      <c r="A2315" s="6"/>
      <c r="B2315" s="6"/>
      <c r="C2315" s="4"/>
      <c r="D2315" s="4">
        <v>48.3641275995966</v>
      </c>
      <c r="E2315" s="4" t="s">
        <v>3697</v>
      </c>
      <c r="F2315" s="4"/>
      <c r="G2315" s="4"/>
      <c r="H2315" s="4"/>
      <c r="I2315" s="4" t="str">
        <f>IFERROR(__xludf.DUMMYFUNCTION("""COMPUTED_VALUE"""),"0xad568f85fb863b3af02ae0a183a6c83b1b863ddf")</f>
        <v>0xad568f85fb863b3af02ae0a183a6c83b1b863ddf</v>
      </c>
      <c r="J2315" s="18">
        <v>48.3641275995966</v>
      </c>
      <c r="K2315" s="4">
        <v>604.5515949949574</v>
      </c>
      <c r="L2315" s="19">
        <v>6.045515949949574E20</v>
      </c>
      <c r="M2315" s="20">
        <v>6.045515949949574E19</v>
      </c>
    </row>
    <row r="2316">
      <c r="A2316" s="6"/>
      <c r="B2316" s="6"/>
      <c r="C2316" s="4"/>
      <c r="D2316" s="4">
        <v>48.3641275995966</v>
      </c>
      <c r="E2316" s="4" t="s">
        <v>3698</v>
      </c>
      <c r="F2316" s="4"/>
      <c r="G2316" s="4"/>
      <c r="H2316" s="4"/>
      <c r="I2316" s="4" t="str">
        <f>IFERROR(__xludf.DUMMYFUNCTION("""COMPUTED_VALUE"""),"0xabacd24570b9cc2cf8b7937bc56ccb10afb44e85")</f>
        <v>0xabacd24570b9cc2cf8b7937bc56ccb10afb44e85</v>
      </c>
      <c r="J2316" s="18">
        <v>6.19060833274837</v>
      </c>
      <c r="K2316" s="4">
        <v>77.38260415935463</v>
      </c>
      <c r="L2316" s="19">
        <v>7.738260415935463E19</v>
      </c>
      <c r="M2316" s="20">
        <v>7.738260415935463E18</v>
      </c>
    </row>
    <row r="2317">
      <c r="A2317" s="6"/>
      <c r="B2317" s="6"/>
      <c r="C2317" s="4"/>
      <c r="D2317" s="4">
        <v>0.348423315855191</v>
      </c>
      <c r="E2317" s="4" t="s">
        <v>3699</v>
      </c>
      <c r="F2317" s="4"/>
      <c r="G2317" s="4"/>
      <c r="H2317" s="4"/>
      <c r="I2317" s="4" t="str">
        <f>IFERROR(__xludf.DUMMYFUNCTION("""COMPUTED_VALUE"""),"0x06c9b63785d21a32590c33f1957eb52fa8967c7f")</f>
        <v>0x06c9b63785d21a32590c33f1957eb52fa8967c7f</v>
      </c>
      <c r="J2317" s="18">
        <v>11.6073906239032</v>
      </c>
      <c r="K2317" s="4">
        <v>145.09238279879</v>
      </c>
      <c r="L2317" s="19">
        <v>1.4509238279879E20</v>
      </c>
      <c r="M2317" s="20">
        <v>1.4509238279879E19</v>
      </c>
    </row>
    <row r="2318">
      <c r="A2318" s="6"/>
      <c r="B2318" s="6"/>
      <c r="C2318" s="4"/>
      <c r="D2318" s="4">
        <v>31.9889035095323</v>
      </c>
      <c r="E2318" s="4" t="s">
        <v>3701</v>
      </c>
      <c r="F2318" s="4"/>
      <c r="G2318" s="4"/>
      <c r="H2318" s="4"/>
      <c r="I2318" s="4" t="str">
        <f>IFERROR(__xludf.DUMMYFUNCTION("""COMPUTED_VALUE"""),"0x3be7bed2324d73951e41c4ab32cc5b7ba0ef6d82")</f>
        <v>0x3be7bed2324d73951e41c4ab32cc5b7ba0ef6d82</v>
      </c>
      <c r="J2318" s="18">
        <v>40.6751517750795</v>
      </c>
      <c r="K2318" s="4">
        <v>508.43939718849373</v>
      </c>
      <c r="L2318" s="19">
        <v>5.084393971884937E20</v>
      </c>
      <c r="M2318" s="20">
        <v>5.084393971884937E19</v>
      </c>
    </row>
    <row r="2319">
      <c r="A2319" s="6"/>
      <c r="B2319" s="6"/>
      <c r="C2319" s="4"/>
      <c r="D2319" s="4">
        <v>46.067026701149004</v>
      </c>
      <c r="E2319" s="4" t="s">
        <v>3703</v>
      </c>
      <c r="F2319" s="4"/>
      <c r="G2319" s="4"/>
      <c r="H2319" s="4"/>
      <c r="I2319" s="4" t="str">
        <f>IFERROR(__xludf.DUMMYFUNCTION("""COMPUTED_VALUE"""),"0x6c11bd979a15c93869216a4eaaff2c6cfb3a5d3a")</f>
        <v>0x6c11bd979a15c93869216a4eaaff2c6cfb3a5d3a</v>
      </c>
      <c r="J2319" s="18">
        <v>48.3641275995966</v>
      </c>
      <c r="K2319" s="4">
        <v>604.5515949949574</v>
      </c>
      <c r="L2319" s="19">
        <v>6.045515949949574E20</v>
      </c>
      <c r="M2319" s="20">
        <v>6.045515949949574E19</v>
      </c>
    </row>
    <row r="2320">
      <c r="A2320" s="6"/>
      <c r="B2320" s="6"/>
      <c r="C2320" s="4"/>
      <c r="D2320" s="4">
        <v>48.3641275995966</v>
      </c>
      <c r="E2320" s="4" t="s">
        <v>3705</v>
      </c>
      <c r="F2320" s="4"/>
      <c r="G2320" s="4"/>
      <c r="H2320" s="4"/>
      <c r="I2320" s="4" t="str">
        <f>IFERROR(__xludf.DUMMYFUNCTION("""COMPUTED_VALUE"""),"0x0fcfd2c03dfb5d0a255f5a027c68824738f94a76")</f>
        <v>0x0fcfd2c03dfb5d0a255f5a027c68824738f94a76</v>
      </c>
      <c r="J2320" s="18">
        <v>32.811630047591656</v>
      </c>
      <c r="K2320" s="4">
        <v>410.1453755948957</v>
      </c>
      <c r="L2320" s="19">
        <v>4.101453755948957E20</v>
      </c>
      <c r="M2320" s="20">
        <v>4.101453755948957E19</v>
      </c>
    </row>
    <row r="2321">
      <c r="A2321" s="6"/>
      <c r="B2321" s="6"/>
      <c r="C2321" s="4"/>
      <c r="D2321" s="4">
        <v>6.278312859318721</v>
      </c>
      <c r="E2321" s="4" t="s">
        <v>3706</v>
      </c>
      <c r="F2321" s="4"/>
      <c r="G2321" s="4"/>
      <c r="H2321" s="4"/>
      <c r="I2321" s="4" t="str">
        <f>IFERROR(__xludf.DUMMYFUNCTION("""COMPUTED_VALUE"""),"0x891716a78fc5b733869c9be479cc280ce86786a8")</f>
        <v>0x891716a78fc5b733869c9be479cc280ce86786a8</v>
      </c>
      <c r="J2321" s="18">
        <v>9.672825519919328</v>
      </c>
      <c r="K2321" s="4">
        <v>120.9103189989916</v>
      </c>
      <c r="L2321" s="19">
        <v>1.209103189989916E20</v>
      </c>
      <c r="M2321" s="20">
        <v>1.209103189989916E19</v>
      </c>
    </row>
    <row r="2322">
      <c r="A2322" s="6"/>
      <c r="B2322" s="6"/>
      <c r="C2322" s="4"/>
      <c r="D2322" s="4">
        <v>17.7946757017424</v>
      </c>
      <c r="E2322" s="4" t="s">
        <v>3708</v>
      </c>
      <c r="F2322" s="4"/>
      <c r="G2322" s="4"/>
      <c r="H2322" s="4"/>
      <c r="I2322" s="4" t="str">
        <f>IFERROR(__xludf.DUMMYFUNCTION("""COMPUTED_VALUE"""),"0x4eefb5a30ed2b43d4d84099f92a9b6fac943b58f")</f>
        <v>0x4eefb5a30ed2b43d4d84099f92a9b6fac943b58f</v>
      </c>
      <c r="J2322" s="18">
        <v>48.3641275995966</v>
      </c>
      <c r="K2322" s="4">
        <v>604.5515949949574</v>
      </c>
      <c r="L2322" s="19">
        <v>6.045515949949574E20</v>
      </c>
      <c r="M2322" s="20">
        <v>6.045515949949574E19</v>
      </c>
    </row>
    <row r="2323">
      <c r="A2323" s="6"/>
      <c r="B2323" s="6"/>
      <c r="C2323" s="4"/>
      <c r="D2323" s="4">
        <v>48.3641275995966</v>
      </c>
      <c r="E2323" s="4" t="s">
        <v>1633</v>
      </c>
      <c r="F2323" s="4"/>
      <c r="G2323" s="4"/>
      <c r="H2323" s="4"/>
      <c r="I2323" s="4" t="str">
        <f>IFERROR(__xludf.DUMMYFUNCTION("""COMPUTED_VALUE"""),"0x2e62efbd97ad176e7cd22924b70b58fa3bbb8439")</f>
        <v>0x2e62efbd97ad176e7cd22924b70b58fa3bbb8439</v>
      </c>
      <c r="J2323" s="18">
        <v>10.511575867735699</v>
      </c>
      <c r="K2323" s="4">
        <v>131.39469834669623</v>
      </c>
      <c r="L2323" s="19">
        <v>1.3139469834669623E20</v>
      </c>
      <c r="M2323" s="20">
        <v>1.3139469834669623E19</v>
      </c>
    </row>
    <row r="2324">
      <c r="A2324" s="6"/>
      <c r="B2324" s="6"/>
      <c r="C2324" s="4"/>
      <c r="D2324" s="4">
        <v>48.256311911101</v>
      </c>
      <c r="E2324" s="4" t="s">
        <v>3710</v>
      </c>
      <c r="F2324" s="4"/>
      <c r="G2324" s="4"/>
      <c r="H2324" s="4"/>
      <c r="I2324" s="4" t="str">
        <f>IFERROR(__xludf.DUMMYFUNCTION("""COMPUTED_VALUE"""),"0x4caa6a78550844b900977d22393f94d12f26ab63")</f>
        <v>0x4caa6a78550844b900977d22393f94d12f26ab63</v>
      </c>
      <c r="J2324" s="18">
        <v>48.3641275995966</v>
      </c>
      <c r="K2324" s="4">
        <v>604.5515949949574</v>
      </c>
      <c r="L2324" s="19">
        <v>6.045515949949574E20</v>
      </c>
      <c r="M2324" s="20">
        <v>6.045515949949574E19</v>
      </c>
    </row>
    <row r="2325">
      <c r="A2325" s="6"/>
      <c r="B2325" s="6"/>
      <c r="C2325" s="4"/>
      <c r="D2325" s="4">
        <v>47.803469540843395</v>
      </c>
      <c r="E2325" s="4" t="s">
        <v>129</v>
      </c>
      <c r="F2325" s="4"/>
      <c r="G2325" s="4"/>
      <c r="H2325" s="4"/>
      <c r="I2325" s="4" t="str">
        <f>IFERROR(__xludf.DUMMYFUNCTION("""COMPUTED_VALUE"""),"0x03cd2b9153a69934abe2e858598328809b8a7538")</f>
        <v>0x03cd2b9153a69934abe2e858598328809b8a7538</v>
      </c>
      <c r="J2325" s="18">
        <v>3.8691302079677303</v>
      </c>
      <c r="K2325" s="4">
        <v>48.36412759959663</v>
      </c>
      <c r="L2325" s="19">
        <v>4.836412759959663E19</v>
      </c>
      <c r="M2325" s="20">
        <v>4.836412759959663E18</v>
      </c>
    </row>
    <row r="2326">
      <c r="A2326" s="6"/>
      <c r="B2326" s="6"/>
      <c r="C2326" s="4"/>
      <c r="D2326" s="4">
        <v>48.3641275995966</v>
      </c>
      <c r="E2326" s="4" t="s">
        <v>3713</v>
      </c>
      <c r="F2326" s="4"/>
      <c r="G2326" s="4"/>
      <c r="H2326" s="4"/>
      <c r="I2326" s="4" t="str">
        <f>IFERROR(__xludf.DUMMYFUNCTION("""COMPUTED_VALUE"""),"0x5a1870d746c45a8c66db40a6faf3dbfdd0378ebb")</f>
        <v>0x5a1870d746c45a8c66db40a6faf3dbfdd0378ebb</v>
      </c>
      <c r="J2326" s="18">
        <v>5.54024728088656</v>
      </c>
      <c r="K2326" s="4">
        <v>69.253091011082</v>
      </c>
      <c r="L2326" s="19">
        <v>6.9253091011082E19</v>
      </c>
      <c r="M2326" s="20">
        <v>6.9253091011082E18</v>
      </c>
    </row>
    <row r="2327">
      <c r="A2327" s="6"/>
      <c r="B2327" s="6"/>
      <c r="C2327" s="4"/>
      <c r="D2327" s="4">
        <v>17.863939599105098</v>
      </c>
      <c r="E2327" s="4" t="s">
        <v>3714</v>
      </c>
      <c r="F2327" s="4"/>
      <c r="G2327" s="4"/>
      <c r="H2327" s="4"/>
      <c r="I2327" s="4" t="str">
        <f>IFERROR(__xludf.DUMMYFUNCTION("""COMPUTED_VALUE"""),"0xb521ba53dd76e6a503425d973464f6329213d2c6")</f>
        <v>0xb521ba53dd76e6a503425d973464f6329213d2c6</v>
      </c>
      <c r="J2327" s="18">
        <v>234.37608780709658</v>
      </c>
      <c r="K2327" s="4">
        <v>2929.7010975887074</v>
      </c>
      <c r="L2327" s="19">
        <v>2.9297010975887076E21</v>
      </c>
      <c r="M2327" s="20">
        <v>2.9297010975887078E20</v>
      </c>
    </row>
    <row r="2328">
      <c r="A2328" s="6"/>
      <c r="B2328" s="6"/>
      <c r="C2328" s="4"/>
      <c r="D2328" s="4">
        <v>16.754944585841</v>
      </c>
      <c r="E2328" s="4" t="s">
        <v>3716</v>
      </c>
      <c r="F2328" s="4"/>
      <c r="G2328" s="4"/>
      <c r="H2328" s="4"/>
      <c r="I2328" s="4" t="str">
        <f>IFERROR(__xludf.DUMMYFUNCTION("""COMPUTED_VALUE"""),"0x05e71fb639090bc55a7f8f6c7b38d492516b0c4a")</f>
        <v>0x05e71fb639090bc55a7f8f6c7b38d492516b0c4a</v>
      </c>
      <c r="J2328" s="18">
        <v>9.02200779766481</v>
      </c>
      <c r="K2328" s="4">
        <v>112.77509747081011</v>
      </c>
      <c r="L2328" s="19">
        <v>1.1277509747081011E20</v>
      </c>
      <c r="M2328" s="20">
        <v>1.1277509747081011E19</v>
      </c>
    </row>
    <row r="2329">
      <c r="A2329" s="6"/>
      <c r="B2329" s="6"/>
      <c r="C2329" s="4"/>
      <c r="D2329" s="4">
        <v>1.3793794357960598</v>
      </c>
      <c r="E2329" s="4" t="s">
        <v>3718</v>
      </c>
      <c r="F2329" s="4"/>
      <c r="G2329" s="4"/>
      <c r="H2329" s="4"/>
      <c r="I2329" s="4" t="str">
        <f>IFERROR(__xludf.DUMMYFUNCTION("""COMPUTED_VALUE"""),"0x9b04d3d20b9e9d8b929f01711aeed34e3b0226bc")</f>
        <v>0x9b04d3d20b9e9d8b929f01711aeed34e3b0226bc</v>
      </c>
      <c r="J2329" s="18">
        <v>48.3641275995966</v>
      </c>
      <c r="K2329" s="4">
        <v>604.5515949949574</v>
      </c>
      <c r="L2329" s="19">
        <v>6.045515949949574E20</v>
      </c>
      <c r="M2329" s="20">
        <v>6.045515949949574E19</v>
      </c>
    </row>
    <row r="2330">
      <c r="A2330" s="6"/>
      <c r="B2330" s="6"/>
      <c r="C2330" s="4"/>
      <c r="D2330" s="4">
        <v>41.9672452930744</v>
      </c>
      <c r="E2330" s="4" t="s">
        <v>3720</v>
      </c>
      <c r="F2330" s="4"/>
      <c r="G2330" s="4"/>
      <c r="H2330" s="4"/>
      <c r="I2330" s="4" t="str">
        <f>IFERROR(__xludf.DUMMYFUNCTION("""COMPUTED_VALUE"""),"0xbc6a3ff2b46c78deb4465d767ba6601749d3abaa")</f>
        <v>0xbc6a3ff2b46c78deb4465d767ba6601749d3abaa</v>
      </c>
      <c r="J2330" s="18">
        <v>39.1640897035342</v>
      </c>
      <c r="K2330" s="4">
        <v>489.5511212941775</v>
      </c>
      <c r="L2330" s="19">
        <v>4.8955112129417753E20</v>
      </c>
      <c r="M2330" s="20">
        <v>4.895511212941776E19</v>
      </c>
    </row>
    <row r="2331">
      <c r="A2331" s="6"/>
      <c r="B2331" s="6"/>
      <c r="C2331" s="4"/>
      <c r="D2331" s="4">
        <v>48.3641275995966</v>
      </c>
      <c r="E2331" s="4" t="s">
        <v>3722</v>
      </c>
      <c r="F2331" s="4"/>
      <c r="G2331" s="4"/>
      <c r="H2331" s="4"/>
      <c r="I2331" s="4" t="str">
        <f>IFERROR(__xludf.DUMMYFUNCTION("""COMPUTED_VALUE"""),"0x2adc6eddffd3116ab705d207a786fe67fb1e441b")</f>
        <v>0x2adc6eddffd3116ab705d207a786fe67fb1e441b</v>
      </c>
      <c r="J2331" s="18">
        <v>53.635650397635835</v>
      </c>
      <c r="K2331" s="4">
        <v>670.445629970448</v>
      </c>
      <c r="L2331" s="19">
        <v>6.70445629970448E20</v>
      </c>
      <c r="M2331" s="20">
        <v>6.7044562997044806E19</v>
      </c>
    </row>
    <row r="2332">
      <c r="A2332" s="6"/>
      <c r="B2332" s="6"/>
      <c r="C2332" s="4"/>
      <c r="D2332" s="4">
        <v>19.3456510398386</v>
      </c>
      <c r="E2332" s="4" t="s">
        <v>3723</v>
      </c>
      <c r="F2332" s="4"/>
      <c r="G2332" s="4"/>
      <c r="H2332" s="4"/>
      <c r="I2332" s="4" t="str">
        <f>IFERROR(__xludf.DUMMYFUNCTION("""COMPUTED_VALUE"""),"0xb810ded7d71b7efe88da11087bb64cd44664e2f5")</f>
        <v>0xb810ded7d71b7efe88da11087bb64cd44664e2f5</v>
      </c>
      <c r="J2332" s="18">
        <v>55.29672685135593</v>
      </c>
      <c r="K2332" s="4">
        <v>691.2090856419491</v>
      </c>
      <c r="L2332" s="19">
        <v>6.91209085641949E20</v>
      </c>
      <c r="M2332" s="20">
        <v>6.912090856419491E19</v>
      </c>
    </row>
    <row r="2333">
      <c r="A2333" s="6"/>
      <c r="B2333" s="6"/>
      <c r="C2333" s="4"/>
      <c r="D2333" s="4">
        <v>15.8637729839959</v>
      </c>
      <c r="E2333" s="4" t="s">
        <v>3724</v>
      </c>
      <c r="F2333" s="4"/>
      <c r="G2333" s="4"/>
      <c r="H2333" s="4"/>
      <c r="I2333" s="4" t="str">
        <f>IFERROR(__xludf.DUMMYFUNCTION("""COMPUTED_VALUE"""),"0xe9d85f671bd562811933238ba0383b5ff9c9d803")</f>
        <v>0xe9d85f671bd562811933238ba0383b5ff9c9d803</v>
      </c>
      <c r="J2333" s="18">
        <v>9.55462719585775</v>
      </c>
      <c r="K2333" s="4">
        <v>119.43283994822187</v>
      </c>
      <c r="L2333" s="19">
        <v>1.1943283994822187E20</v>
      </c>
      <c r="M2333" s="20">
        <v>1.194328399482219E19</v>
      </c>
    </row>
    <row r="2334">
      <c r="A2334" s="6"/>
      <c r="B2334" s="6"/>
      <c r="C2334" s="4"/>
      <c r="D2334" s="4">
        <v>18.7471109894547</v>
      </c>
      <c r="E2334" s="4" t="s">
        <v>3726</v>
      </c>
      <c r="F2334" s="4"/>
      <c r="G2334" s="4"/>
      <c r="H2334" s="4"/>
      <c r="I2334" s="4" t="str">
        <f>IFERROR(__xludf.DUMMYFUNCTION("""COMPUTED_VALUE"""),"0x2524d532d7c5f9650e6f35db67bb879660845b95")</f>
        <v>0x2524d532d7c5f9650e6f35db67bb879660845b95</v>
      </c>
      <c r="J2334" s="18">
        <v>29.319247009855</v>
      </c>
      <c r="K2334" s="4">
        <v>366.4905876231875</v>
      </c>
      <c r="L2334" s="19">
        <v>3.664905876231875E20</v>
      </c>
      <c r="M2334" s="20">
        <v>3.664905876231875E19</v>
      </c>
    </row>
    <row r="2335">
      <c r="A2335" s="6"/>
      <c r="B2335" s="6"/>
      <c r="C2335" s="4"/>
      <c r="D2335" s="4">
        <v>24.8302197316096</v>
      </c>
      <c r="E2335" s="4" t="s">
        <v>3728</v>
      </c>
      <c r="F2335" s="4"/>
      <c r="G2335" s="4"/>
      <c r="H2335" s="4"/>
      <c r="I2335" s="4" t="str">
        <f>IFERROR(__xludf.DUMMYFUNCTION("""COMPUTED_VALUE"""),"0x8102f92cf7934ee7e9e671e8219e59d2992ef37e")</f>
        <v>0x8102f92cf7934ee7e9e671e8219e59d2992ef37e</v>
      </c>
      <c r="J2335" s="18">
        <v>9.484427007890218</v>
      </c>
      <c r="K2335" s="4">
        <v>118.55533759862773</v>
      </c>
      <c r="L2335" s="19">
        <v>1.1855533759862773E20</v>
      </c>
      <c r="M2335" s="20">
        <v>1.1855533759862774E19</v>
      </c>
    </row>
    <row r="2336">
      <c r="A2336" s="6"/>
      <c r="B2336" s="6"/>
      <c r="C2336" s="4"/>
      <c r="D2336" s="4">
        <v>10.0790439301673</v>
      </c>
      <c r="E2336" s="4" t="s">
        <v>3730</v>
      </c>
      <c r="F2336" s="4"/>
      <c r="G2336" s="4"/>
      <c r="H2336" s="4"/>
      <c r="I2336" s="4" t="str">
        <f>IFERROR(__xludf.DUMMYFUNCTION("""COMPUTED_VALUE"""),"0x2e40ad33912f5bc89f0f35c8fff72c1e4f7efeb4")</f>
        <v>0x2e40ad33912f5bc89f0f35c8fff72c1e4f7efeb4</v>
      </c>
      <c r="J2336" s="18">
        <v>28.2453165784415</v>
      </c>
      <c r="K2336" s="4">
        <v>353.0664572305187</v>
      </c>
      <c r="L2336" s="19">
        <v>3.530664572305187E20</v>
      </c>
      <c r="M2336" s="20">
        <v>3.5306645723051872E19</v>
      </c>
    </row>
    <row r="2337">
      <c r="A2337" s="6"/>
      <c r="B2337" s="6"/>
      <c r="C2337" s="4"/>
      <c r="D2337" s="4">
        <v>48.3641275995966</v>
      </c>
      <c r="E2337" s="4" t="s">
        <v>878</v>
      </c>
      <c r="F2337" s="4"/>
      <c r="G2337" s="4"/>
      <c r="H2337" s="4"/>
      <c r="I2337" s="4" t="str">
        <f>IFERROR(__xludf.DUMMYFUNCTION("""COMPUTED_VALUE"""),"0x95bbd5217278d63ed61159f24be25eae11a14cce")</f>
        <v>0x95bbd5217278d63ed61159f24be25eae11a14cce</v>
      </c>
      <c r="J2337" s="18">
        <v>9.695262548925658</v>
      </c>
      <c r="K2337" s="4">
        <v>121.19078186157073</v>
      </c>
      <c r="L2337" s="19">
        <v>1.2119078186157072E20</v>
      </c>
      <c r="M2337" s="20">
        <v>1.2119078186157072E19</v>
      </c>
    </row>
    <row r="2338">
      <c r="A2338" s="6"/>
      <c r="B2338" s="6"/>
      <c r="C2338" s="4"/>
      <c r="D2338" s="4">
        <v>48.3641275995966</v>
      </c>
      <c r="E2338" s="4" t="s">
        <v>3732</v>
      </c>
      <c r="F2338" s="4"/>
      <c r="G2338" s="4"/>
      <c r="H2338" s="4"/>
      <c r="I2338" s="4" t="str">
        <f>IFERROR(__xludf.DUMMYFUNCTION("""COMPUTED_VALUE"""),"0xa35c102e2b662123bb54995175880d1399a00284")</f>
        <v>0xa35c102e2b662123bb54995175880d1399a00284</v>
      </c>
      <c r="J2338" s="18">
        <v>44.4503472788727</v>
      </c>
      <c r="K2338" s="4">
        <v>555.6293409859087</v>
      </c>
      <c r="L2338" s="19">
        <v>5.556293409859087E20</v>
      </c>
      <c r="M2338" s="20">
        <v>5.5562934098590876E19</v>
      </c>
    </row>
    <row r="2339">
      <c r="A2339" s="6"/>
      <c r="B2339" s="6"/>
      <c r="C2339" s="4"/>
      <c r="D2339" s="4">
        <v>48.3641275995966</v>
      </c>
      <c r="E2339" s="4" t="s">
        <v>3733</v>
      </c>
      <c r="F2339" s="4"/>
      <c r="G2339" s="4"/>
      <c r="H2339" s="4"/>
      <c r="I2339" s="4" t="str">
        <f>IFERROR(__xludf.DUMMYFUNCTION("""COMPUTED_VALUE"""),"0x40546d42008b63193e6db3cb0f4d68eb8f5bb2dd")</f>
        <v>0x40546d42008b63193e6db3cb0f4d68eb8f5bb2dd</v>
      </c>
      <c r="J2339" s="18">
        <v>48.3641275995966</v>
      </c>
      <c r="K2339" s="4">
        <v>604.5515949949574</v>
      </c>
      <c r="L2339" s="19">
        <v>6.045515949949574E20</v>
      </c>
      <c r="M2339" s="20">
        <v>6.045515949949574E19</v>
      </c>
    </row>
    <row r="2340">
      <c r="A2340" s="6"/>
      <c r="B2340" s="6"/>
      <c r="C2340" s="4"/>
      <c r="D2340" s="4">
        <v>10.001204943721598</v>
      </c>
      <c r="E2340" s="4" t="s">
        <v>3734</v>
      </c>
      <c r="F2340" s="4"/>
      <c r="G2340" s="4"/>
      <c r="H2340" s="4"/>
      <c r="I2340" s="4" t="str">
        <f>IFERROR(__xludf.DUMMYFUNCTION("""COMPUTED_VALUE"""),"0xa19236b5578a68950681baa1dee996fb203bceab")</f>
        <v>0xa19236b5578a68950681baa1dee996fb203bceab</v>
      </c>
      <c r="J2340" s="18">
        <v>67.6339549515317</v>
      </c>
      <c r="K2340" s="4">
        <v>845.4244368941463</v>
      </c>
      <c r="L2340" s="19">
        <v>8.454244368941464E20</v>
      </c>
      <c r="M2340" s="20">
        <v>8.454244368941464E19</v>
      </c>
    </row>
    <row r="2341">
      <c r="A2341" s="6"/>
      <c r="B2341" s="6"/>
      <c r="C2341" s="4"/>
      <c r="D2341" s="4">
        <v>35.205457656243105</v>
      </c>
      <c r="E2341" s="4" t="s">
        <v>1637</v>
      </c>
      <c r="F2341" s="4"/>
      <c r="G2341" s="4"/>
      <c r="H2341" s="4"/>
      <c r="I2341" s="4" t="str">
        <f>IFERROR(__xludf.DUMMYFUNCTION("""COMPUTED_VALUE"""),"0x511f0cfb3bfd9fa1d58ea3f647a59081f239e299")</f>
        <v>0x511f0cfb3bfd9fa1d58ea3f647a59081f239e299</v>
      </c>
      <c r="J2341" s="18">
        <v>9.7815454810292</v>
      </c>
      <c r="K2341" s="4">
        <v>122.269318512865</v>
      </c>
      <c r="L2341" s="19">
        <v>1.22269318512865E20</v>
      </c>
      <c r="M2341" s="20">
        <v>1.2226931851286501E19</v>
      </c>
    </row>
    <row r="2342">
      <c r="A2342" s="6"/>
      <c r="B2342" s="6"/>
      <c r="C2342" s="4"/>
      <c r="D2342" s="4">
        <v>48.3641275995966</v>
      </c>
      <c r="E2342" s="4" t="s">
        <v>3737</v>
      </c>
      <c r="F2342" s="4"/>
      <c r="G2342" s="4"/>
      <c r="H2342" s="4"/>
      <c r="I2342" s="4" t="str">
        <f>IFERROR(__xludf.DUMMYFUNCTION("""COMPUTED_VALUE"""),"0x4c5b1c7ab76288c5e491d887d3eaad9734d2ad7e")</f>
        <v>0x4c5b1c7ab76288c5e491d887d3eaad9734d2ad7e</v>
      </c>
      <c r="J2342" s="18">
        <v>137.8358804594045</v>
      </c>
      <c r="K2342" s="4">
        <v>1722.9485057425563</v>
      </c>
      <c r="L2342" s="19">
        <v>1.7229485057425563E21</v>
      </c>
      <c r="M2342" s="20">
        <v>1.7229485057425562E20</v>
      </c>
    </row>
    <row r="2343">
      <c r="A2343" s="6"/>
      <c r="B2343" s="6"/>
      <c r="C2343" s="4"/>
      <c r="D2343" s="4">
        <v>48.3641275995966</v>
      </c>
      <c r="E2343" s="4" t="s">
        <v>3738</v>
      </c>
      <c r="F2343" s="4"/>
      <c r="G2343" s="4"/>
      <c r="H2343" s="4"/>
      <c r="I2343" s="4" t="str">
        <f>IFERROR(__xludf.DUMMYFUNCTION("""COMPUTED_VALUE"""),"0xa9102bb4837d7cd82d300e53803c35b450fe0326")</f>
        <v>0xa9102bb4837d7cd82d300e53803c35b450fe0326</v>
      </c>
      <c r="J2343" s="18">
        <v>43.666093399783996</v>
      </c>
      <c r="K2343" s="4">
        <v>545.8261674972999</v>
      </c>
      <c r="L2343" s="19">
        <v>5.458261674972999E20</v>
      </c>
      <c r="M2343" s="20">
        <v>5.458261674973E19</v>
      </c>
    </row>
    <row r="2344">
      <c r="A2344" s="6"/>
      <c r="B2344" s="6"/>
      <c r="C2344" s="4"/>
      <c r="D2344" s="4">
        <v>48.3641275995966</v>
      </c>
      <c r="E2344" s="4" t="s">
        <v>3739</v>
      </c>
      <c r="F2344" s="4"/>
      <c r="G2344" s="4"/>
      <c r="H2344" s="4"/>
      <c r="I2344" s="4" t="str">
        <f>IFERROR(__xludf.DUMMYFUNCTION("""COMPUTED_VALUE"""),"0xfc78d986d5ca65c41ed20a2a7a937463e33994ea")</f>
        <v>0xfc78d986d5ca65c41ed20a2a7a937463e33994ea</v>
      </c>
      <c r="J2344" s="18">
        <v>9.672825519919328</v>
      </c>
      <c r="K2344" s="4">
        <v>120.9103189989916</v>
      </c>
      <c r="L2344" s="19">
        <v>1.209103189989916E20</v>
      </c>
      <c r="M2344" s="20">
        <v>1.209103189989916E19</v>
      </c>
    </row>
    <row r="2345">
      <c r="A2345" s="6"/>
      <c r="B2345" s="6"/>
      <c r="C2345" s="4"/>
      <c r="D2345" s="4">
        <v>9.786723521155809</v>
      </c>
      <c r="E2345" s="4" t="s">
        <v>3740</v>
      </c>
      <c r="F2345" s="4"/>
      <c r="G2345" s="4"/>
      <c r="H2345" s="4"/>
      <c r="I2345" s="4" t="str">
        <f>IFERROR(__xludf.DUMMYFUNCTION("""COMPUTED_VALUE"""),"0x0d0406b93bb07e3fd1275e213f652d2ec94b6342")</f>
        <v>0x0d0406b93bb07e3fd1275e213f652d2ec94b6342</v>
      </c>
      <c r="J2345" s="18">
        <v>19.4697827429886</v>
      </c>
      <c r="K2345" s="4">
        <v>243.37228428735747</v>
      </c>
      <c r="L2345" s="19">
        <v>2.433722842873575E20</v>
      </c>
      <c r="M2345" s="20">
        <v>2.433722842873575E19</v>
      </c>
    </row>
    <row r="2346">
      <c r="A2346" s="6"/>
      <c r="B2346" s="6"/>
      <c r="C2346" s="4"/>
      <c r="D2346" s="4">
        <v>38.6913020796773</v>
      </c>
      <c r="E2346" s="4" t="s">
        <v>3742</v>
      </c>
      <c r="F2346" s="4"/>
      <c r="G2346" s="4"/>
      <c r="H2346" s="4"/>
      <c r="I2346" s="4" t="str">
        <f>IFERROR(__xludf.DUMMYFUNCTION("""COMPUTED_VALUE"""),"0xc5eea1f4cb678b679e1c7f753333a3fbb23553a0")</f>
        <v>0xc5eea1f4cb678b679e1c7f753333a3fbb23553a0</v>
      </c>
      <c r="J2346" s="18">
        <v>11.567923886190298</v>
      </c>
      <c r="K2346" s="4">
        <v>144.59904857737874</v>
      </c>
      <c r="L2346" s="19">
        <v>1.4459904857737875E20</v>
      </c>
      <c r="M2346" s="20">
        <v>1.4459904857737875E19</v>
      </c>
    </row>
    <row r="2347">
      <c r="A2347" s="6"/>
      <c r="B2347" s="6"/>
      <c r="C2347" s="4"/>
      <c r="D2347" s="4">
        <v>9.672825519919328</v>
      </c>
      <c r="E2347" s="4" t="s">
        <v>3743</v>
      </c>
      <c r="F2347" s="4"/>
      <c r="G2347" s="4"/>
      <c r="H2347" s="4"/>
      <c r="I2347" s="4" t="str">
        <f>IFERROR(__xludf.DUMMYFUNCTION("""COMPUTED_VALUE"""),"0x7f37712d5ec67a363100bd8f19cbb36871de0d39")</f>
        <v>0x7f37712d5ec67a363100bd8f19cbb36871de0d39</v>
      </c>
      <c r="J2347" s="18">
        <v>39.6596391988969</v>
      </c>
      <c r="K2347" s="4">
        <v>495.7454899862112</v>
      </c>
      <c r="L2347" s="19">
        <v>4.957454899862112E20</v>
      </c>
      <c r="M2347" s="20">
        <v>4.957454899862113E19</v>
      </c>
    </row>
    <row r="2348">
      <c r="A2348" s="6"/>
      <c r="B2348" s="6"/>
      <c r="C2348" s="4"/>
      <c r="D2348" s="4">
        <v>10.744566110008101</v>
      </c>
      <c r="E2348" s="4" t="s">
        <v>3744</v>
      </c>
      <c r="F2348" s="4"/>
      <c r="G2348" s="4"/>
      <c r="H2348" s="4"/>
      <c r="I2348" s="4" t="str">
        <f>IFERROR(__xludf.DUMMYFUNCTION("""COMPUTED_VALUE"""),"0x4dbbbccb4f8311cb8ae43b53b3437e731694422c")</f>
        <v>0x4dbbbccb4f8311cb8ae43b53b3437e731694422c</v>
      </c>
      <c r="J2348" s="18">
        <v>47.8789335468545</v>
      </c>
      <c r="K2348" s="4">
        <v>598.4866693356812</v>
      </c>
      <c r="L2348" s="19">
        <v>5.984866693356812E20</v>
      </c>
      <c r="M2348" s="20">
        <v>5.984866693356812E19</v>
      </c>
    </row>
    <row r="2349">
      <c r="A2349" s="6"/>
      <c r="B2349" s="6"/>
      <c r="C2349" s="4"/>
      <c r="D2349" s="4">
        <v>9.672825519919328</v>
      </c>
      <c r="E2349" s="4" t="s">
        <v>3746</v>
      </c>
      <c r="F2349" s="4"/>
      <c r="G2349" s="4"/>
      <c r="H2349" s="4"/>
      <c r="I2349" s="4" t="str">
        <f>IFERROR(__xludf.DUMMYFUNCTION("""COMPUTED_VALUE"""),"0x9a5a2e1b494d0fa2a36e70a7ed9faf8c7113805b")</f>
        <v>0x9a5a2e1b494d0fa2a36e70a7ed9faf8c7113805b</v>
      </c>
      <c r="J2349" s="18">
        <v>0.5846893276837181</v>
      </c>
      <c r="K2349" s="4">
        <v>7.308616596046476</v>
      </c>
      <c r="L2349" s="19">
        <v>7.308616596046476E18</v>
      </c>
      <c r="M2349" s="20">
        <v>7.308616596046477E17</v>
      </c>
    </row>
    <row r="2350">
      <c r="A2350" s="6"/>
      <c r="B2350" s="6"/>
      <c r="C2350" s="4"/>
      <c r="D2350" s="4">
        <v>7.99635993878278</v>
      </c>
      <c r="E2350" s="4" t="s">
        <v>3747</v>
      </c>
      <c r="F2350" s="4"/>
      <c r="G2350" s="4"/>
      <c r="H2350" s="4"/>
      <c r="I2350" s="4" t="str">
        <f>IFERROR(__xludf.DUMMYFUNCTION("""COMPUTED_VALUE"""),"0x59bae654c73f39f601ff2db5041bfe4e5aef73c7")</f>
        <v>0x59bae654c73f39f601ff2db5041bfe4e5aef73c7</v>
      </c>
      <c r="J2350" s="18">
        <v>234.37608780709658</v>
      </c>
      <c r="K2350" s="4">
        <v>2929.7010975887074</v>
      </c>
      <c r="L2350" s="19">
        <v>2.9297010975887076E21</v>
      </c>
      <c r="M2350" s="20">
        <v>2.9297010975887078E20</v>
      </c>
    </row>
    <row r="2351">
      <c r="A2351" s="6"/>
      <c r="B2351" s="6"/>
      <c r="C2351" s="4"/>
      <c r="D2351" s="4">
        <v>19.3456510398386</v>
      </c>
      <c r="E2351" s="4" t="s">
        <v>3749</v>
      </c>
      <c r="F2351" s="4"/>
      <c r="G2351" s="4"/>
      <c r="H2351" s="4"/>
      <c r="I2351" s="4" t="str">
        <f>IFERROR(__xludf.DUMMYFUNCTION("""COMPUTED_VALUE"""),"0x9ebbf453e088de4b9cc206fece5e9858c41c814f")</f>
        <v>0x9ebbf453e088de4b9cc206fece5e9858c41c814f</v>
      </c>
      <c r="J2351" s="18">
        <v>57.66472560997164</v>
      </c>
      <c r="K2351" s="4">
        <v>720.8090701246455</v>
      </c>
      <c r="L2351" s="19">
        <v>7.208090701246455E20</v>
      </c>
      <c r="M2351" s="20">
        <v>7.208090701246455E19</v>
      </c>
    </row>
    <row r="2352">
      <c r="A2352" s="6"/>
      <c r="B2352" s="6"/>
      <c r="C2352" s="4"/>
      <c r="D2352" s="4">
        <v>47.0733845501151</v>
      </c>
      <c r="E2352" s="4" t="s">
        <v>3750</v>
      </c>
      <c r="F2352" s="4"/>
      <c r="G2352" s="4"/>
      <c r="H2352" s="4"/>
      <c r="I2352" s="4" t="str">
        <f>IFERROR(__xludf.DUMMYFUNCTION("""COMPUTED_VALUE"""),"0xf48b698069664457ec9eac4b7e3d737eb9f46148")</f>
        <v>0xf48b698069664457ec9eac4b7e3d737eb9f46148</v>
      </c>
      <c r="J2352" s="18">
        <v>48.3641275995966</v>
      </c>
      <c r="K2352" s="4">
        <v>604.5515949949574</v>
      </c>
      <c r="L2352" s="19">
        <v>6.045515949949574E20</v>
      </c>
      <c r="M2352" s="20">
        <v>6.045515949949574E19</v>
      </c>
    </row>
    <row r="2353">
      <c r="A2353" s="6"/>
      <c r="B2353" s="6"/>
      <c r="C2353" s="4"/>
      <c r="D2353" s="4">
        <v>17.419395608378498</v>
      </c>
      <c r="E2353" s="4" t="s">
        <v>3752</v>
      </c>
      <c r="F2353" s="4"/>
      <c r="G2353" s="4"/>
      <c r="H2353" s="4"/>
      <c r="I2353" s="4" t="str">
        <f>IFERROR(__xludf.DUMMYFUNCTION("""COMPUTED_VALUE"""),"0x0a0a7bbbf1b785601c0702b54a0cd8ec1697eab6")</f>
        <v>0x0a0a7bbbf1b785601c0702b54a0cd8ec1697eab6</v>
      </c>
      <c r="J2353" s="18">
        <v>35.68027280552</v>
      </c>
      <c r="K2353" s="4">
        <v>446.003410069</v>
      </c>
      <c r="L2353" s="19">
        <v>4.4600341006899996E20</v>
      </c>
      <c r="M2353" s="20">
        <v>4.46003410069E19</v>
      </c>
    </row>
    <row r="2354">
      <c r="A2354" s="6"/>
      <c r="B2354" s="6"/>
      <c r="C2354" s="4"/>
      <c r="D2354" s="4">
        <v>33.991516796813</v>
      </c>
      <c r="E2354" s="4" t="s">
        <v>3754</v>
      </c>
      <c r="F2354" s="4"/>
      <c r="G2354" s="4"/>
      <c r="H2354" s="4"/>
      <c r="I2354" s="4" t="str">
        <f>IFERROR(__xludf.DUMMYFUNCTION("""COMPUTED_VALUE"""),"0xf71f93567d84fab70cd2dc5c4053cc82491e84eb")</f>
        <v>0xf71f93567d84fab70cd2dc5c4053cc82491e84eb</v>
      </c>
      <c r="J2354" s="18">
        <v>44.769182026779696</v>
      </c>
      <c r="K2354" s="4">
        <v>559.6147753347461</v>
      </c>
      <c r="L2354" s="19">
        <v>5.596147753347461E20</v>
      </c>
      <c r="M2354" s="20">
        <v>5.596147753347462E19</v>
      </c>
    </row>
    <row r="2355">
      <c r="A2355" s="6"/>
      <c r="B2355" s="6"/>
      <c r="C2355" s="4"/>
      <c r="D2355" s="4">
        <v>48.3641275995966</v>
      </c>
      <c r="E2355" s="4" t="s">
        <v>3756</v>
      </c>
      <c r="F2355" s="4"/>
      <c r="G2355" s="4"/>
      <c r="H2355" s="4"/>
      <c r="I2355" s="4" t="str">
        <f>IFERROR(__xludf.DUMMYFUNCTION("""COMPUTED_VALUE"""),"0xddb9432709394941b5f0e6bb8f1cb3492b43d8d3")</f>
        <v>0xddb9432709394941b5f0e6bb8f1cb3492b43d8d3</v>
      </c>
      <c r="J2355" s="18">
        <v>9.672825519919328</v>
      </c>
      <c r="K2355" s="4">
        <v>120.9103189989916</v>
      </c>
      <c r="L2355" s="19">
        <v>1.209103189989916E20</v>
      </c>
      <c r="M2355" s="20">
        <v>1.209103189989916E19</v>
      </c>
    </row>
    <row r="2356">
      <c r="A2356" s="6"/>
      <c r="B2356" s="6"/>
      <c r="C2356" s="4"/>
      <c r="D2356" s="4">
        <v>48.3641275995966</v>
      </c>
      <c r="E2356" s="4" t="s">
        <v>636</v>
      </c>
      <c r="F2356" s="4"/>
      <c r="G2356" s="4"/>
      <c r="H2356" s="4"/>
      <c r="I2356" s="4" t="str">
        <f>IFERROR(__xludf.DUMMYFUNCTION("""COMPUTED_VALUE"""),"0xba980c9b9eac87a5b1363dcc326d9753d5ef2666")</f>
        <v>0xba980c9b9eac87a5b1363dcc326d9753d5ef2666</v>
      </c>
      <c r="J2356" s="18">
        <v>92.1239021477755</v>
      </c>
      <c r="K2356" s="4">
        <v>1151.5487768471937</v>
      </c>
      <c r="L2356" s="19">
        <v>1.1515487768471937E21</v>
      </c>
      <c r="M2356" s="20">
        <v>1.1515487768471937E20</v>
      </c>
    </row>
    <row r="2357">
      <c r="A2357" s="6"/>
      <c r="B2357" s="6"/>
      <c r="C2357" s="4"/>
      <c r="D2357" s="4">
        <v>44.4605576813055</v>
      </c>
      <c r="E2357" s="4" t="s">
        <v>3757</v>
      </c>
      <c r="F2357" s="4"/>
      <c r="G2357" s="4"/>
      <c r="H2357" s="4"/>
      <c r="I2357" s="4" t="str">
        <f>IFERROR(__xludf.DUMMYFUNCTION("""COMPUTED_VALUE"""),"0xd5fd752342c46bd15a05bbf330a571499dfb8c9c")</f>
        <v>0xd5fd752342c46bd15a05bbf330a571499dfb8c9c</v>
      </c>
      <c r="J2357" s="18">
        <v>56.54733052238389</v>
      </c>
      <c r="K2357" s="4">
        <v>706.8416315297986</v>
      </c>
      <c r="L2357" s="19">
        <v>7.068416315297986E20</v>
      </c>
      <c r="M2357" s="20">
        <v>7.068416315297986E19</v>
      </c>
    </row>
    <row r="2358">
      <c r="A2358" s="6"/>
      <c r="B2358" s="6"/>
      <c r="C2358" s="4"/>
      <c r="D2358" s="4">
        <v>4.8436902698776905</v>
      </c>
      <c r="E2358" s="4" t="s">
        <v>3759</v>
      </c>
      <c r="F2358" s="4"/>
      <c r="G2358" s="4"/>
      <c r="H2358" s="4"/>
      <c r="I2358" s="4" t="str">
        <f>IFERROR(__xludf.DUMMYFUNCTION("""COMPUTED_VALUE"""),"0x4f6753192404963ddc2c1f95080853351cbdb856")</f>
        <v>0x4f6753192404963ddc2c1f95080853351cbdb856</v>
      </c>
      <c r="J2358" s="18">
        <v>19.539107550237</v>
      </c>
      <c r="K2358" s="4">
        <v>244.23884437796247</v>
      </c>
      <c r="L2358" s="19">
        <v>2.4423884437796248E20</v>
      </c>
      <c r="M2358" s="20">
        <v>2.442388443779625E19</v>
      </c>
    </row>
    <row r="2359">
      <c r="A2359" s="6"/>
      <c r="B2359" s="6"/>
      <c r="C2359" s="4"/>
      <c r="D2359" s="4">
        <v>2.39591033132423</v>
      </c>
      <c r="E2359" s="4" t="s">
        <v>3761</v>
      </c>
      <c r="F2359" s="4"/>
      <c r="G2359" s="4"/>
      <c r="H2359" s="4"/>
      <c r="I2359" s="4" t="str">
        <f>IFERROR(__xludf.DUMMYFUNCTION("""COMPUTED_VALUE"""),"0x74c96a0bf84cfa9f9b7d16a3f128c85755c02344")</f>
        <v>0x74c96a0bf84cfa9f9b7d16a3f128c85755c02344</v>
      </c>
      <c r="J2359" s="18">
        <v>81.89822359343549</v>
      </c>
      <c r="K2359" s="4">
        <v>1023.7277949179436</v>
      </c>
      <c r="L2359" s="19">
        <v>1.0237277949179435E21</v>
      </c>
      <c r="M2359" s="20">
        <v>1.0237277949179435E20</v>
      </c>
    </row>
    <row r="2360">
      <c r="A2360" s="6"/>
      <c r="B2360" s="6"/>
      <c r="C2360" s="4"/>
      <c r="D2360" s="4">
        <v>25.9249051450619</v>
      </c>
      <c r="E2360" s="4" t="s">
        <v>3763</v>
      </c>
      <c r="F2360" s="4"/>
      <c r="G2360" s="4"/>
      <c r="H2360" s="4"/>
      <c r="I2360" s="4" t="str">
        <f>IFERROR(__xludf.DUMMYFUNCTION("""COMPUTED_VALUE"""),"0xcb734039776257c70cb41687ee631b6be15bdbf8")</f>
        <v>0xcb734039776257c70cb41687ee631b6be15bdbf8</v>
      </c>
      <c r="J2360" s="18">
        <v>34.2418023405144</v>
      </c>
      <c r="K2360" s="4">
        <v>428.02252925642995</v>
      </c>
      <c r="L2360" s="19">
        <v>4.2802252925643E20</v>
      </c>
      <c r="M2360" s="20">
        <v>4.2802252925643E19</v>
      </c>
    </row>
    <row r="2361">
      <c r="A2361" s="6"/>
      <c r="B2361" s="6"/>
      <c r="C2361" s="4"/>
      <c r="D2361" s="4">
        <v>44.6533647289794</v>
      </c>
      <c r="E2361" s="4" t="s">
        <v>1029</v>
      </c>
      <c r="F2361" s="4"/>
      <c r="G2361" s="4"/>
      <c r="H2361" s="4"/>
      <c r="I2361" s="4" t="str">
        <f>IFERROR(__xludf.DUMMYFUNCTION("""COMPUTED_VALUE"""),"0x1f45fe00eeed49270edd25252b46a93f9dce8201")</f>
        <v>0x1f45fe00eeed49270edd25252b46a93f9dce8201</v>
      </c>
      <c r="J2361" s="18">
        <v>123.8836878035748</v>
      </c>
      <c r="K2361" s="4">
        <v>1548.546097544685</v>
      </c>
      <c r="L2361" s="19">
        <v>1.548546097544685E21</v>
      </c>
      <c r="M2361" s="20">
        <v>1.5485460975446848E20</v>
      </c>
    </row>
    <row r="2362">
      <c r="A2362" s="6"/>
      <c r="B2362" s="6"/>
      <c r="C2362" s="4"/>
      <c r="D2362" s="4">
        <v>9.36418174228821</v>
      </c>
      <c r="E2362" s="4" t="s">
        <v>3766</v>
      </c>
      <c r="F2362" s="4"/>
      <c r="G2362" s="4"/>
      <c r="H2362" s="4"/>
      <c r="I2362" s="4" t="str">
        <f>IFERROR(__xludf.DUMMYFUNCTION("""COMPUTED_VALUE"""),"0x8ab1882333e36f4787876699288eb55fb3c2bb82")</f>
        <v>0x8ab1882333e36f4787876699288eb55fb3c2bb82</v>
      </c>
      <c r="J2362" s="18">
        <v>64.6261609285001</v>
      </c>
      <c r="K2362" s="4">
        <v>807.8270116062512</v>
      </c>
      <c r="L2362" s="19">
        <v>8.078270116062512E20</v>
      </c>
      <c r="M2362" s="20">
        <v>8.078270116062513E19</v>
      </c>
    </row>
    <row r="2363">
      <c r="A2363" s="6"/>
      <c r="B2363" s="6"/>
      <c r="C2363" s="4"/>
      <c r="D2363" s="4">
        <v>9.69736339357185</v>
      </c>
      <c r="E2363" s="4" t="s">
        <v>3768</v>
      </c>
      <c r="F2363" s="4"/>
      <c r="G2363" s="4"/>
      <c r="H2363" s="4"/>
      <c r="I2363" s="4" t="str">
        <f>IFERROR(__xludf.DUMMYFUNCTION("""COMPUTED_VALUE"""),"0x6e8161d9cc7e2ebbb874d888041947006efec173")</f>
        <v>0x6e8161d9cc7e2ebbb874d888041947006efec173</v>
      </c>
      <c r="J2363" s="18">
        <v>70.475749112435</v>
      </c>
      <c r="K2363" s="4">
        <v>880.9468639054375</v>
      </c>
      <c r="L2363" s="19">
        <v>8.809468639054375E20</v>
      </c>
      <c r="M2363" s="20">
        <v>8.809468639054376E19</v>
      </c>
    </row>
    <row r="2364">
      <c r="A2364" s="6"/>
      <c r="B2364" s="6"/>
      <c r="C2364" s="4"/>
      <c r="D2364" s="4">
        <v>48.3641275995966</v>
      </c>
      <c r="E2364" s="4" t="s">
        <v>3770</v>
      </c>
      <c r="F2364" s="4"/>
      <c r="G2364" s="4"/>
      <c r="H2364" s="4"/>
      <c r="I2364" s="4" t="str">
        <f>IFERROR(__xludf.DUMMYFUNCTION("""COMPUTED_VALUE"""),"0x43fe61217322bfd03118e3201ed41e0a8671129f")</f>
        <v>0x43fe61217322bfd03118e3201ed41e0a8671129f</v>
      </c>
      <c r="J2364" s="18">
        <v>11.6073906239032</v>
      </c>
      <c r="K2364" s="4">
        <v>145.09238279879</v>
      </c>
      <c r="L2364" s="19">
        <v>1.4509238279879E20</v>
      </c>
      <c r="M2364" s="20">
        <v>1.4509238279879E19</v>
      </c>
    </row>
    <row r="2365">
      <c r="A2365" s="6"/>
      <c r="B2365" s="6"/>
      <c r="C2365" s="4"/>
      <c r="D2365" s="4">
        <v>48.3641275995966</v>
      </c>
      <c r="E2365" s="4" t="s">
        <v>3771</v>
      </c>
      <c r="F2365" s="4"/>
      <c r="G2365" s="4"/>
      <c r="H2365" s="4"/>
      <c r="I2365" s="4" t="str">
        <f>IFERROR(__xludf.DUMMYFUNCTION("""COMPUTED_VALUE"""),"0xd64f2707bc683e2c976c9eaf6e5a33eb8472940d")</f>
        <v>0xd64f2707bc683e2c976c9eaf6e5a33eb8472940d</v>
      </c>
      <c r="J2365" s="18">
        <v>9.87936859715838</v>
      </c>
      <c r="K2365" s="4">
        <v>123.49210746447973</v>
      </c>
      <c r="L2365" s="19">
        <v>1.2349210746447974E20</v>
      </c>
      <c r="M2365" s="20">
        <v>1.2349210746447974E19</v>
      </c>
    </row>
    <row r="2366">
      <c r="A2366" s="6"/>
      <c r="B2366" s="6"/>
      <c r="C2366" s="4"/>
      <c r="D2366" s="4">
        <v>48.3641275995966</v>
      </c>
      <c r="E2366" s="4" t="s">
        <v>3772</v>
      </c>
      <c r="F2366" s="4"/>
      <c r="G2366" s="4"/>
      <c r="H2366" s="4"/>
      <c r="I2366" s="4" t="str">
        <f>IFERROR(__xludf.DUMMYFUNCTION("""COMPUTED_VALUE"""),"0x76810463708ee7d9aef56166a53c3b70c58d18d1")</f>
        <v>0x76810463708ee7d9aef56166a53c3b70c58d18d1</v>
      </c>
      <c r="J2366" s="18">
        <v>48.3641275995966</v>
      </c>
      <c r="K2366" s="4">
        <v>604.5515949949574</v>
      </c>
      <c r="L2366" s="19">
        <v>6.045515949949574E20</v>
      </c>
      <c r="M2366" s="20">
        <v>6.045515949949574E19</v>
      </c>
    </row>
    <row r="2367">
      <c r="A2367" s="6"/>
      <c r="B2367" s="6"/>
      <c r="C2367" s="4"/>
      <c r="D2367" s="4">
        <v>48.3641275995966</v>
      </c>
      <c r="E2367" s="4" t="s">
        <v>3773</v>
      </c>
      <c r="F2367" s="4"/>
      <c r="G2367" s="4"/>
      <c r="H2367" s="4"/>
      <c r="I2367" s="4" t="str">
        <f>IFERROR(__xludf.DUMMYFUNCTION("""COMPUTED_VALUE"""),"0x0a23f39a4c8fedca82e83da7627619805c3e8e3a")</f>
        <v>0x0a23f39a4c8fedca82e83da7627619805c3e8e3a</v>
      </c>
      <c r="J2367" s="18">
        <v>10.059738540716099</v>
      </c>
      <c r="K2367" s="4">
        <v>125.74673175895123</v>
      </c>
      <c r="L2367" s="19">
        <v>1.2574673175895124E20</v>
      </c>
      <c r="M2367" s="20">
        <v>1.2574673175895124E19</v>
      </c>
    </row>
    <row r="2368">
      <c r="A2368" s="6"/>
      <c r="B2368" s="6"/>
      <c r="C2368" s="4"/>
      <c r="D2368" s="4">
        <v>48.3641275995966</v>
      </c>
      <c r="E2368" s="4" t="s">
        <v>3774</v>
      </c>
      <c r="F2368" s="4"/>
      <c r="G2368" s="4"/>
      <c r="H2368" s="4"/>
      <c r="I2368" s="4" t="str">
        <f>IFERROR(__xludf.DUMMYFUNCTION("""COMPUTED_VALUE"""),"0x4c082ae1aa95d55bc0c6476565ec4384332456cc")</f>
        <v>0x4c082ae1aa95d55bc0c6476565ec4384332456cc</v>
      </c>
      <c r="J2368" s="18">
        <v>9.672825519919328</v>
      </c>
      <c r="K2368" s="4">
        <v>120.9103189989916</v>
      </c>
      <c r="L2368" s="19">
        <v>1.209103189989916E20</v>
      </c>
      <c r="M2368" s="20">
        <v>1.209103189989916E19</v>
      </c>
    </row>
    <row r="2369">
      <c r="A2369" s="6"/>
      <c r="B2369" s="6"/>
      <c r="C2369" s="4"/>
      <c r="D2369" s="4">
        <v>0.10509575998588301</v>
      </c>
      <c r="E2369" s="4" t="s">
        <v>1422</v>
      </c>
      <c r="F2369" s="4"/>
      <c r="G2369" s="4"/>
      <c r="H2369" s="4"/>
      <c r="I2369" s="4" t="str">
        <f>IFERROR(__xludf.DUMMYFUNCTION("""COMPUTED_VALUE"""),"0x8cd791f202aaa6b4015923ab5649198981349b6f")</f>
        <v>0x8cd791f202aaa6b4015923ab5649198981349b6f</v>
      </c>
      <c r="J2369" s="18">
        <v>34.6168506145008</v>
      </c>
      <c r="K2369" s="4">
        <v>432.71063268126</v>
      </c>
      <c r="L2369" s="19">
        <v>4.3271063268126E20</v>
      </c>
      <c r="M2369" s="20">
        <v>4.3271063268126E19</v>
      </c>
    </row>
    <row r="2370">
      <c r="A2370" s="6"/>
      <c r="B2370" s="6"/>
      <c r="C2370" s="4"/>
      <c r="D2370" s="4">
        <v>48.3641275995966</v>
      </c>
      <c r="E2370" s="4" t="s">
        <v>3776</v>
      </c>
      <c r="F2370" s="4"/>
      <c r="G2370" s="4"/>
      <c r="H2370" s="4"/>
      <c r="I2370" s="4" t="str">
        <f>IFERROR(__xludf.DUMMYFUNCTION("""COMPUTED_VALUE"""),"0x844afc92715fc04d0dc920b0ca2f31b9963af6aa")</f>
        <v>0x844afc92715fc04d0dc920b0ca2f31b9963af6aa</v>
      </c>
      <c r="J2370" s="18">
        <v>48.3641275995966</v>
      </c>
      <c r="K2370" s="4">
        <v>604.5515949949574</v>
      </c>
      <c r="L2370" s="19">
        <v>6.045515949949574E20</v>
      </c>
      <c r="M2370" s="20">
        <v>6.045515949949574E19</v>
      </c>
    </row>
    <row r="2371">
      <c r="A2371" s="6"/>
      <c r="B2371" s="6"/>
      <c r="C2371" s="4"/>
      <c r="D2371" s="4">
        <v>48.3641275995966</v>
      </c>
      <c r="E2371" s="4" t="s">
        <v>3777</v>
      </c>
      <c r="F2371" s="4"/>
      <c r="G2371" s="4"/>
      <c r="H2371" s="4"/>
      <c r="I2371" s="4" t="str">
        <f>IFERROR(__xludf.DUMMYFUNCTION("""COMPUTED_VALUE"""),"0x74cf028426285bdd1501492da9501761607ee83a")</f>
        <v>0x74cf028426285bdd1501492da9501761607ee83a</v>
      </c>
      <c r="J2371" s="18">
        <v>43.2141157119588</v>
      </c>
      <c r="K2371" s="4">
        <v>540.1764463994849</v>
      </c>
      <c r="L2371" s="19">
        <v>5.401764463994849E20</v>
      </c>
      <c r="M2371" s="20">
        <v>5.40176446399485E19</v>
      </c>
    </row>
    <row r="2372">
      <c r="A2372" s="6"/>
      <c r="B2372" s="6"/>
      <c r="C2372" s="4"/>
      <c r="D2372" s="4">
        <v>9.87019200383798</v>
      </c>
      <c r="E2372" s="4" t="s">
        <v>3778</v>
      </c>
      <c r="F2372" s="4"/>
      <c r="G2372" s="4"/>
      <c r="H2372" s="4"/>
      <c r="I2372" s="4" t="str">
        <f>IFERROR(__xludf.DUMMYFUNCTION("""COMPUTED_VALUE"""),"0xb7896da289abb5acb048d1b66a496d7f05713e8c")</f>
        <v>0xb7896da289abb5acb048d1b66a496d7f05713e8c</v>
      </c>
      <c r="J2372" s="18">
        <v>24.173900968440403</v>
      </c>
      <c r="K2372" s="4">
        <v>302.17376210550503</v>
      </c>
      <c r="L2372" s="19">
        <v>3.02173762105505E20</v>
      </c>
      <c r="M2372" s="20">
        <v>3.0217376210550505E19</v>
      </c>
    </row>
    <row r="2373">
      <c r="A2373" s="6"/>
      <c r="B2373" s="6"/>
      <c r="C2373" s="4"/>
      <c r="D2373" s="4">
        <v>48.3641275995966</v>
      </c>
      <c r="E2373" s="4" t="s">
        <v>3780</v>
      </c>
      <c r="F2373" s="4"/>
      <c r="G2373" s="4"/>
      <c r="H2373" s="4"/>
      <c r="I2373" s="4" t="str">
        <f>IFERROR(__xludf.DUMMYFUNCTION("""COMPUTED_VALUE"""),"0xd827804a094670e0727954da19b49145ac3d9d5e")</f>
        <v>0xd827804a094670e0727954da19b49145ac3d9d5e</v>
      </c>
      <c r="J2373" s="18">
        <v>234.37608780709658</v>
      </c>
      <c r="K2373" s="4">
        <v>2929.7010975887074</v>
      </c>
      <c r="L2373" s="19">
        <v>2.9297010975887076E21</v>
      </c>
      <c r="M2373" s="20">
        <v>2.9297010975887078E20</v>
      </c>
    </row>
    <row r="2374">
      <c r="A2374" s="6"/>
      <c r="B2374" s="6"/>
      <c r="C2374" s="4"/>
      <c r="D2374" s="4">
        <v>10.3918100144571</v>
      </c>
      <c r="E2374" s="4" t="s">
        <v>3781</v>
      </c>
      <c r="F2374" s="4"/>
      <c r="G2374" s="4"/>
      <c r="H2374" s="4"/>
      <c r="I2374" s="4" t="str">
        <f>IFERROR(__xludf.DUMMYFUNCTION("""COMPUTED_VALUE"""),"0x55ea48c89518888bcd7a42d2b0c135094e9284ab")</f>
        <v>0x55ea48c89518888bcd7a42d2b0c135094e9284ab</v>
      </c>
      <c r="J2374" s="18">
        <v>229.44038508984278</v>
      </c>
      <c r="K2374" s="4">
        <v>2868.004813623035</v>
      </c>
      <c r="L2374" s="19">
        <v>2.8680048136230346E21</v>
      </c>
      <c r="M2374" s="20">
        <v>2.868004813623035E20</v>
      </c>
    </row>
    <row r="2375">
      <c r="A2375" s="6"/>
      <c r="B2375" s="6"/>
      <c r="C2375" s="4"/>
      <c r="D2375" s="4">
        <v>17.8096701790991</v>
      </c>
      <c r="E2375" s="4" t="s">
        <v>3783</v>
      </c>
      <c r="F2375" s="4"/>
      <c r="G2375" s="4"/>
      <c r="H2375" s="4"/>
      <c r="I2375" s="4" t="str">
        <f>IFERROR(__xludf.DUMMYFUNCTION("""COMPUTED_VALUE"""),"0xe5c73cd01d2a9f285227e78e0986f2f30e80a01e")</f>
        <v>0xe5c73cd01d2a9f285227e78e0986f2f30e80a01e</v>
      </c>
      <c r="J2375" s="18">
        <v>234.37608780709658</v>
      </c>
      <c r="K2375" s="4">
        <v>2929.7010975887074</v>
      </c>
      <c r="L2375" s="19">
        <v>2.9297010975887076E21</v>
      </c>
      <c r="M2375" s="20">
        <v>2.9297010975887078E20</v>
      </c>
    </row>
    <row r="2376">
      <c r="A2376" s="6"/>
      <c r="B2376" s="6"/>
      <c r="C2376" s="4"/>
      <c r="D2376" s="4">
        <v>48.3641275995966</v>
      </c>
      <c r="E2376" s="4" t="s">
        <v>3785</v>
      </c>
      <c r="F2376" s="4"/>
      <c r="G2376" s="4"/>
      <c r="H2376" s="4"/>
      <c r="I2376" s="4" t="str">
        <f>IFERROR(__xludf.DUMMYFUNCTION("""COMPUTED_VALUE"""),"0x7fea730fd1a87c4d2a0cd72d1d8ac765500e06a9")</f>
        <v>0x7fea730fd1a87c4d2a0cd72d1d8ac765500e06a9</v>
      </c>
      <c r="J2376" s="18">
        <v>41.3048269842145</v>
      </c>
      <c r="K2376" s="4">
        <v>516.3103373026812</v>
      </c>
      <c r="L2376" s="19">
        <v>5.163103373026812E20</v>
      </c>
      <c r="M2376" s="20">
        <v>5.163103373026813E19</v>
      </c>
    </row>
    <row r="2377">
      <c r="A2377" s="6"/>
      <c r="B2377" s="6"/>
      <c r="C2377" s="4"/>
      <c r="D2377" s="4">
        <v>48.3641275995966</v>
      </c>
      <c r="E2377" s="4" t="s">
        <v>3786</v>
      </c>
      <c r="F2377" s="4"/>
      <c r="G2377" s="4"/>
      <c r="H2377" s="4"/>
      <c r="I2377" s="4" t="str">
        <f>IFERROR(__xludf.DUMMYFUNCTION("""COMPUTED_VALUE"""),"0x53fd0556e10370cae35c104c497c1a79b0d24774")</f>
        <v>0x53fd0556e10370cae35c104c497c1a79b0d24774</v>
      </c>
      <c r="J2377" s="18">
        <v>40.62586718366121</v>
      </c>
      <c r="K2377" s="4">
        <v>507.8233397957651</v>
      </c>
      <c r="L2377" s="19">
        <v>5.078233397957651E20</v>
      </c>
      <c r="M2377" s="20">
        <v>5.078233397957651E19</v>
      </c>
    </row>
    <row r="2378">
      <c r="A2378" s="6"/>
      <c r="B2378" s="6"/>
      <c r="C2378" s="4"/>
      <c r="D2378" s="4">
        <v>48.3641275995966</v>
      </c>
      <c r="E2378" s="4" t="s">
        <v>3787</v>
      </c>
      <c r="F2378" s="4"/>
      <c r="G2378" s="4"/>
      <c r="H2378" s="4"/>
      <c r="I2378" s="4" t="str">
        <f>IFERROR(__xludf.DUMMYFUNCTION("""COMPUTED_VALUE"""),"0xc02cac457d65b1d0783a5221741a104c81798cf0")</f>
        <v>0xc02cac457d65b1d0783a5221741a104c81798cf0</v>
      </c>
      <c r="J2378" s="18">
        <v>48.3641275995966</v>
      </c>
      <c r="K2378" s="4">
        <v>604.5515949949574</v>
      </c>
      <c r="L2378" s="19">
        <v>6.045515949949574E20</v>
      </c>
      <c r="M2378" s="20">
        <v>6.045515949949574E19</v>
      </c>
    </row>
    <row r="2379">
      <c r="A2379" s="6"/>
      <c r="B2379" s="6"/>
      <c r="C2379" s="4"/>
      <c r="D2379" s="4">
        <v>48.3641275995966</v>
      </c>
      <c r="E2379" s="4" t="s">
        <v>3788</v>
      </c>
      <c r="F2379" s="4"/>
      <c r="G2379" s="4"/>
      <c r="H2379" s="4"/>
      <c r="I2379" s="4" t="str">
        <f>IFERROR(__xludf.DUMMYFUNCTION("""COMPUTED_VALUE"""),"0x555e460566076a16eb6a157bb141f7970a563a56")</f>
        <v>0x555e460566076a16eb6a157bb141f7970a563a56</v>
      </c>
      <c r="J2379" s="18">
        <v>9.0198280639188</v>
      </c>
      <c r="K2379" s="4">
        <v>112.747850798985</v>
      </c>
      <c r="L2379" s="19">
        <v>1.12747850798985E20</v>
      </c>
      <c r="M2379" s="20">
        <v>1.1274785079898501E19</v>
      </c>
    </row>
    <row r="2380">
      <c r="A2380" s="6"/>
      <c r="B2380" s="6"/>
      <c r="C2380" s="4"/>
      <c r="D2380" s="4">
        <v>48.3641275995966</v>
      </c>
      <c r="E2380" s="4" t="s">
        <v>3789</v>
      </c>
      <c r="F2380" s="4"/>
      <c r="G2380" s="4"/>
      <c r="H2380" s="4"/>
      <c r="I2380" s="4" t="str">
        <f>IFERROR(__xludf.DUMMYFUNCTION("""COMPUTED_VALUE"""),"0xd80d5fade0d7b704c81e88fe4bb6a506376bb91a")</f>
        <v>0xd80d5fade0d7b704c81e88fe4bb6a506376bb91a</v>
      </c>
      <c r="J2380" s="18">
        <v>29.018476559758</v>
      </c>
      <c r="K2380" s="4">
        <v>362.730956996975</v>
      </c>
      <c r="L2380" s="19">
        <v>3.62730956996975E20</v>
      </c>
      <c r="M2380" s="20">
        <v>3.62730956996975E19</v>
      </c>
    </row>
    <row r="2381">
      <c r="A2381" s="6"/>
      <c r="B2381" s="6"/>
      <c r="C2381" s="4"/>
      <c r="D2381" s="4">
        <v>48.3641275995966</v>
      </c>
      <c r="E2381" s="4" t="s">
        <v>3790</v>
      </c>
      <c r="F2381" s="4"/>
      <c r="G2381" s="4"/>
      <c r="H2381" s="4"/>
      <c r="I2381" s="4" t="str">
        <f>IFERROR(__xludf.DUMMYFUNCTION("""COMPUTED_VALUE"""),"0x81b351514ccfb32a7f9abd51429398480bdc9cad")</f>
        <v>0x81b351514ccfb32a7f9abd51429398480bdc9cad</v>
      </c>
      <c r="J2381" s="18">
        <v>48.3641275995966</v>
      </c>
      <c r="K2381" s="4">
        <v>604.5515949949574</v>
      </c>
      <c r="L2381" s="19">
        <v>6.045515949949574E20</v>
      </c>
      <c r="M2381" s="20">
        <v>6.045515949949574E19</v>
      </c>
    </row>
    <row r="2382">
      <c r="A2382" s="6"/>
      <c r="B2382" s="6"/>
      <c r="C2382" s="4"/>
      <c r="D2382" s="4">
        <v>48.3641275995966</v>
      </c>
      <c r="E2382" s="4" t="s">
        <v>3791</v>
      </c>
      <c r="F2382" s="4"/>
      <c r="G2382" s="4"/>
      <c r="H2382" s="4"/>
      <c r="I2382" s="4" t="str">
        <f>IFERROR(__xludf.DUMMYFUNCTION("""COMPUTED_VALUE"""),"0x98fb983492bc168e9d3663a5354f0029eeb7dadb")</f>
        <v>0x98fb983492bc168e9d3663a5354f0029eeb7dadb</v>
      </c>
      <c r="J2382" s="18">
        <v>113.6613928298484</v>
      </c>
      <c r="K2382" s="4">
        <v>1420.767410373105</v>
      </c>
      <c r="L2382" s="19">
        <v>1.420767410373105E21</v>
      </c>
      <c r="M2382" s="20">
        <v>1.4207674103731051E20</v>
      </c>
    </row>
    <row r="2383">
      <c r="A2383" s="6"/>
      <c r="B2383" s="6"/>
      <c r="C2383" s="4"/>
      <c r="D2383" s="4">
        <v>9.672825519919328</v>
      </c>
      <c r="E2383" s="4" t="s">
        <v>3792</v>
      </c>
      <c r="F2383" s="4"/>
      <c r="G2383" s="4"/>
      <c r="H2383" s="4"/>
      <c r="I2383" s="4" t="str">
        <f>IFERROR(__xludf.DUMMYFUNCTION("""COMPUTED_VALUE"""),"0x907783d7cf0e5982bebb3b765d54f0ec3725c9b4")</f>
        <v>0x907783d7cf0e5982bebb3b765d54f0ec3725c9b4</v>
      </c>
      <c r="J2383" s="18">
        <v>15.8120192857175</v>
      </c>
      <c r="K2383" s="4">
        <v>197.65024107146874</v>
      </c>
      <c r="L2383" s="19">
        <v>1.9765024107146874E20</v>
      </c>
      <c r="M2383" s="20">
        <v>1.9765024107146875E19</v>
      </c>
    </row>
    <row r="2384">
      <c r="A2384" s="6"/>
      <c r="B2384" s="6"/>
      <c r="C2384" s="4"/>
      <c r="D2384" s="4">
        <v>8.8737585577258</v>
      </c>
      <c r="E2384" s="4" t="s">
        <v>3793</v>
      </c>
      <c r="F2384" s="4"/>
      <c r="G2384" s="4"/>
      <c r="H2384" s="4"/>
      <c r="I2384" s="4" t="str">
        <f>IFERROR(__xludf.DUMMYFUNCTION("""COMPUTED_VALUE"""),"0x85684fe4b513a069d89e2c1cae3668fab14744dd")</f>
        <v>0x85684fe4b513a069d89e2c1cae3668fab14744dd</v>
      </c>
      <c r="J2384" s="18">
        <v>95.1833379838245</v>
      </c>
      <c r="K2384" s="4">
        <v>1189.7917247978062</v>
      </c>
      <c r="L2384" s="19">
        <v>1.1897917247978062E21</v>
      </c>
      <c r="M2384" s="20">
        <v>1.1897917247978063E20</v>
      </c>
    </row>
    <row r="2385">
      <c r="A2385" s="6"/>
      <c r="B2385" s="6"/>
      <c r="C2385" s="4"/>
      <c r="D2385" s="4">
        <v>48.3641275995966</v>
      </c>
      <c r="E2385" s="4" t="s">
        <v>3795</v>
      </c>
      <c r="F2385" s="4"/>
      <c r="G2385" s="4"/>
      <c r="H2385" s="4"/>
      <c r="I2385" s="4" t="str">
        <f>IFERROR(__xludf.DUMMYFUNCTION("""COMPUTED_VALUE"""),"0x2dfd904cf2d0823fd0f503c3271c444cac2132ab")</f>
        <v>0x2dfd904cf2d0823fd0f503c3271c444cac2132ab</v>
      </c>
      <c r="J2385" s="18">
        <v>51.95577855312789</v>
      </c>
      <c r="K2385" s="4">
        <v>649.4472319140987</v>
      </c>
      <c r="L2385" s="19">
        <v>6.494472319140987E20</v>
      </c>
      <c r="M2385" s="20">
        <v>6.494472319140987E19</v>
      </c>
    </row>
    <row r="2386">
      <c r="A2386" s="6"/>
      <c r="B2386" s="6"/>
      <c r="C2386" s="4"/>
      <c r="D2386" s="4">
        <v>48.3641275995966</v>
      </c>
      <c r="E2386" s="4" t="s">
        <v>3796</v>
      </c>
      <c r="F2386" s="4"/>
      <c r="G2386" s="4"/>
      <c r="H2386" s="4"/>
      <c r="I2386" s="4" t="str">
        <f>IFERROR(__xludf.DUMMYFUNCTION("""COMPUTED_VALUE"""),"0x67b4e5b368ac53580a3b4155512febbe6ba3e7d8")</f>
        <v>0x67b4e5b368ac53580a3b4155512febbe6ba3e7d8</v>
      </c>
      <c r="J2386" s="18">
        <v>57.66472560997164</v>
      </c>
      <c r="K2386" s="4">
        <v>720.8090701246455</v>
      </c>
      <c r="L2386" s="19">
        <v>7.208090701246455E20</v>
      </c>
      <c r="M2386" s="20">
        <v>7.208090701246455E19</v>
      </c>
    </row>
    <row r="2387">
      <c r="A2387" s="6"/>
      <c r="B2387" s="6"/>
      <c r="C2387" s="4"/>
      <c r="D2387" s="4">
        <v>48.3300541788995</v>
      </c>
      <c r="E2387" s="4" t="s">
        <v>3797</v>
      </c>
      <c r="F2387" s="4"/>
      <c r="G2387" s="4"/>
      <c r="H2387" s="4"/>
      <c r="I2387" s="4" t="str">
        <f>IFERROR(__xludf.DUMMYFUNCTION("""COMPUTED_VALUE"""),"0xfd5be9a052b60d642a9968302be63c489f24b0c1")</f>
        <v>0xfd5be9a052b60d642a9968302be63c489f24b0c1</v>
      </c>
      <c r="J2387" s="18">
        <v>33.3449808791773</v>
      </c>
      <c r="K2387" s="4">
        <v>416.8122609897162</v>
      </c>
      <c r="L2387" s="19">
        <v>4.168122609897162E20</v>
      </c>
      <c r="M2387" s="20">
        <v>4.168122609897162E19</v>
      </c>
    </row>
    <row r="2388">
      <c r="A2388" s="6"/>
      <c r="B2388" s="6"/>
      <c r="C2388" s="4"/>
      <c r="D2388" s="4">
        <v>9.70038089475722</v>
      </c>
      <c r="E2388" s="4" t="s">
        <v>3799</v>
      </c>
      <c r="F2388" s="4"/>
      <c r="G2388" s="4"/>
      <c r="H2388" s="4"/>
      <c r="I2388" s="4" t="str">
        <f>IFERROR(__xludf.DUMMYFUNCTION("""COMPUTED_VALUE"""),"0x6937dea4fd5896865ad1d1d07c391597542de9d7")</f>
        <v>0x6937dea4fd5896865ad1d1d07c391597542de9d7</v>
      </c>
      <c r="J2388" s="18">
        <v>113.4683136722219</v>
      </c>
      <c r="K2388" s="4">
        <v>1418.3539209027738</v>
      </c>
      <c r="L2388" s="19">
        <v>1.4183539209027739E21</v>
      </c>
      <c r="M2388" s="20">
        <v>1.418353920902774E20</v>
      </c>
    </row>
    <row r="2389">
      <c r="A2389" s="6"/>
      <c r="B2389" s="6"/>
      <c r="C2389" s="4"/>
      <c r="D2389" s="4">
        <v>48.3641275995966</v>
      </c>
      <c r="E2389" s="4" t="s">
        <v>3801</v>
      </c>
      <c r="F2389" s="4"/>
      <c r="G2389" s="4"/>
      <c r="H2389" s="4"/>
      <c r="I2389" s="4" t="str">
        <f>IFERROR(__xludf.DUMMYFUNCTION("""COMPUTED_VALUE"""),"0xc384a7347b52891061eaa8c8f69dfae85300dc08")</f>
        <v>0xc384a7347b52891061eaa8c8f69dfae85300dc08</v>
      </c>
      <c r="J2389" s="18">
        <v>29.3000559468173</v>
      </c>
      <c r="K2389" s="4">
        <v>366.2506993352162</v>
      </c>
      <c r="L2389" s="19">
        <v>3.662506993352162E20</v>
      </c>
      <c r="M2389" s="20">
        <v>3.662506993352162E19</v>
      </c>
    </row>
    <row r="2390">
      <c r="A2390" s="6"/>
      <c r="B2390" s="6"/>
      <c r="C2390" s="4"/>
      <c r="D2390" s="4">
        <v>48.3641275995966</v>
      </c>
      <c r="E2390" s="4" t="s">
        <v>3802</v>
      </c>
      <c r="F2390" s="4"/>
      <c r="G2390" s="4"/>
      <c r="H2390" s="4"/>
      <c r="I2390" s="4" t="str">
        <f>IFERROR(__xludf.DUMMYFUNCTION("""COMPUTED_VALUE"""),"0x383bc09c214967c225db54389133c6f884b6cd04")</f>
        <v>0x383bc09c214967c225db54389133c6f884b6cd04</v>
      </c>
      <c r="J2390" s="18">
        <v>48.3641275995966</v>
      </c>
      <c r="K2390" s="4">
        <v>604.5515949949574</v>
      </c>
      <c r="L2390" s="19">
        <v>6.045515949949574E20</v>
      </c>
      <c r="M2390" s="20">
        <v>6.045515949949574E19</v>
      </c>
    </row>
    <row r="2391">
      <c r="A2391" s="6"/>
      <c r="B2391" s="6"/>
      <c r="C2391" s="4"/>
      <c r="D2391" s="4">
        <v>48.3641275995966</v>
      </c>
      <c r="E2391" s="4" t="s">
        <v>3803</v>
      </c>
      <c r="F2391" s="4"/>
      <c r="G2391" s="4"/>
      <c r="H2391" s="4"/>
      <c r="I2391" s="4" t="str">
        <f>IFERROR(__xludf.DUMMYFUNCTION("""COMPUTED_VALUE"""),"0x2c6072c1a6674b1c3b3eca47ed073ac5794f2994")</f>
        <v>0x2c6072c1a6674b1c3b3eca47ed073ac5794f2994</v>
      </c>
      <c r="J2391" s="18">
        <v>38.6913020796773</v>
      </c>
      <c r="K2391" s="4">
        <v>483.6412759959662</v>
      </c>
      <c r="L2391" s="19">
        <v>4.836412759959662E20</v>
      </c>
      <c r="M2391" s="20">
        <v>4.836412759959663E19</v>
      </c>
    </row>
    <row r="2392">
      <c r="A2392" s="6"/>
      <c r="B2392" s="6"/>
      <c r="C2392" s="4"/>
      <c r="D2392" s="4">
        <v>9.692171170959169</v>
      </c>
      <c r="E2392" s="4" t="s">
        <v>3804</v>
      </c>
      <c r="F2392" s="4"/>
      <c r="G2392" s="4"/>
      <c r="H2392" s="4"/>
      <c r="I2392" s="4" t="str">
        <f>IFERROR(__xludf.DUMMYFUNCTION("""COMPUTED_VALUE"""),"0x9d1602df53d89dee39ac8e466db798157660edc6")</f>
        <v>0x9d1602df53d89dee39ac8e466db798157660edc6</v>
      </c>
      <c r="J2392" s="18">
        <v>10.311537851263799</v>
      </c>
      <c r="K2392" s="4">
        <v>128.89422314079746</v>
      </c>
      <c r="L2392" s="19">
        <v>1.2889422314079746E20</v>
      </c>
      <c r="M2392" s="20">
        <v>1.2889422314079748E19</v>
      </c>
    </row>
    <row r="2393">
      <c r="A2393" s="6"/>
      <c r="B2393" s="6"/>
      <c r="C2393" s="4"/>
      <c r="D2393" s="4">
        <v>39.085477723296705</v>
      </c>
      <c r="E2393" s="4" t="s">
        <v>3806</v>
      </c>
      <c r="F2393" s="4"/>
      <c r="G2393" s="4"/>
      <c r="H2393" s="4"/>
      <c r="I2393" s="4" t="str">
        <f>IFERROR(__xludf.DUMMYFUNCTION("""COMPUTED_VALUE"""),"0x2a25d7f0f6de2f70a25b6ebc405bcceff84a3da9")</f>
        <v>0x2a25d7f0f6de2f70a25b6ebc405bcceff84a3da9</v>
      </c>
      <c r="J2393" s="18">
        <v>11.6011095810567</v>
      </c>
      <c r="K2393" s="4">
        <v>145.01386976320876</v>
      </c>
      <c r="L2393" s="19">
        <v>1.4501386976320876E20</v>
      </c>
      <c r="M2393" s="20">
        <v>1.4501386976320877E19</v>
      </c>
    </row>
    <row r="2394">
      <c r="A2394" s="6"/>
      <c r="B2394" s="6"/>
      <c r="C2394" s="4"/>
      <c r="D2394" s="4">
        <v>48.3641275995966</v>
      </c>
      <c r="E2394" s="4" t="s">
        <v>3808</v>
      </c>
      <c r="F2394" s="4"/>
      <c r="G2394" s="4"/>
      <c r="H2394" s="4"/>
      <c r="I2394" s="4" t="str">
        <f>IFERROR(__xludf.DUMMYFUNCTION("""COMPUTED_VALUE"""),"0x039519e6b47a81276d7a4e318de4f0d60eac4ecc")</f>
        <v>0x039519e6b47a81276d7a4e318de4f0d60eac4ecc</v>
      </c>
      <c r="J2394" s="18">
        <v>48.3641275995966</v>
      </c>
      <c r="K2394" s="4">
        <v>604.5515949949574</v>
      </c>
      <c r="L2394" s="19">
        <v>6.045515949949574E20</v>
      </c>
      <c r="M2394" s="20">
        <v>6.045515949949574E19</v>
      </c>
    </row>
    <row r="2395">
      <c r="A2395" s="6"/>
      <c r="B2395" s="6"/>
      <c r="C2395" s="4"/>
      <c r="D2395" s="4">
        <v>3.26602452207648</v>
      </c>
      <c r="E2395" s="4" t="s">
        <v>3809</v>
      </c>
      <c r="F2395" s="4"/>
      <c r="G2395" s="4"/>
      <c r="H2395" s="4"/>
      <c r="I2395" s="4" t="str">
        <f>IFERROR(__xludf.DUMMYFUNCTION("""COMPUTED_VALUE"""),"0x872f25da394885e5e6aecd47add1a518ff4a3685")</f>
        <v>0x872f25da394885e5e6aecd47add1a518ff4a3685</v>
      </c>
      <c r="J2395" s="18">
        <v>48.3641275995966</v>
      </c>
      <c r="K2395" s="4">
        <v>604.5515949949574</v>
      </c>
      <c r="L2395" s="19">
        <v>6.045515949949574E20</v>
      </c>
      <c r="M2395" s="20">
        <v>6.045515949949574E19</v>
      </c>
    </row>
    <row r="2396">
      <c r="A2396" s="6"/>
      <c r="B2396" s="6"/>
      <c r="C2396" s="4"/>
      <c r="D2396" s="4">
        <v>47.661837689860995</v>
      </c>
      <c r="E2396" s="4" t="s">
        <v>1611</v>
      </c>
      <c r="F2396" s="4"/>
      <c r="G2396" s="4"/>
      <c r="H2396" s="4"/>
      <c r="I2396" s="4" t="str">
        <f>IFERROR(__xludf.DUMMYFUNCTION("""COMPUTED_VALUE"""),"0x914dc72cb1f1968ed26dbd200b57b13935e17305")</f>
        <v>0x914dc72cb1f1968ed26dbd200b57b13935e17305</v>
      </c>
      <c r="J2396" s="18">
        <v>10.3759613746566</v>
      </c>
      <c r="K2396" s="4">
        <v>129.6995171832075</v>
      </c>
      <c r="L2396" s="19">
        <v>1.2969951718320749E20</v>
      </c>
      <c r="M2396" s="20">
        <v>1.296995171832075E19</v>
      </c>
    </row>
    <row r="2397">
      <c r="A2397" s="6"/>
      <c r="B2397" s="6"/>
      <c r="C2397" s="4"/>
      <c r="D2397" s="4">
        <v>26.3404426555274</v>
      </c>
      <c r="E2397" s="4" t="s">
        <v>1520</v>
      </c>
      <c r="F2397" s="4"/>
      <c r="G2397" s="4"/>
      <c r="H2397" s="4"/>
      <c r="I2397" s="4" t="str">
        <f>IFERROR(__xludf.DUMMYFUNCTION("""COMPUTED_VALUE"""),"0xf9d345fcd2e33745eba6d852a87c0fe5b5b3f629")</f>
        <v>0xf9d345fcd2e33745eba6d852a87c0fe5b5b3f629</v>
      </c>
      <c r="J2397" s="18">
        <v>48.3641275995966</v>
      </c>
      <c r="K2397" s="4">
        <v>604.5515949949574</v>
      </c>
      <c r="L2397" s="19">
        <v>6.045515949949574E20</v>
      </c>
      <c r="M2397" s="20">
        <v>6.045515949949574E19</v>
      </c>
    </row>
    <row r="2398">
      <c r="A2398" s="6"/>
      <c r="B2398" s="6"/>
      <c r="C2398" s="4"/>
      <c r="D2398" s="4">
        <v>48.3641275995966</v>
      </c>
      <c r="E2398" s="4" t="s">
        <v>3813</v>
      </c>
      <c r="F2398" s="4"/>
      <c r="G2398" s="4"/>
      <c r="H2398" s="4"/>
      <c r="I2398" s="4" t="str">
        <f>IFERROR(__xludf.DUMMYFUNCTION("""COMPUTED_VALUE"""),"0xa9abfac5193fd77f0763bd23c1226adb9809a87b")</f>
        <v>0xa9abfac5193fd77f0763bd23c1226adb9809a87b</v>
      </c>
      <c r="J2398" s="18">
        <v>5.05349166247353</v>
      </c>
      <c r="K2398" s="4">
        <v>63.16864578091913</v>
      </c>
      <c r="L2398" s="19">
        <v>6.316864578091913E19</v>
      </c>
      <c r="M2398" s="20">
        <v>6.316864578091913E18</v>
      </c>
    </row>
    <row r="2399">
      <c r="A2399" s="6"/>
      <c r="B2399" s="6"/>
      <c r="C2399" s="4"/>
      <c r="D2399" s="4">
        <v>13.443448576969</v>
      </c>
      <c r="E2399" s="4" t="s">
        <v>3814</v>
      </c>
      <c r="F2399" s="4"/>
      <c r="G2399" s="4"/>
      <c r="H2399" s="4"/>
      <c r="I2399" s="4" t="str">
        <f>IFERROR(__xludf.DUMMYFUNCTION("""COMPUTED_VALUE"""),"0xf687f52152cf58cf76ddabaaaf47b974d932ef57")</f>
        <v>0xf687f52152cf58cf76ddabaaaf47b974d932ef57</v>
      </c>
      <c r="J2399" s="18">
        <v>7.54200243136747</v>
      </c>
      <c r="K2399" s="4">
        <v>94.27503039209337</v>
      </c>
      <c r="L2399" s="19">
        <v>9.427503039209338E19</v>
      </c>
      <c r="M2399" s="20">
        <v>9.427503039209339E18</v>
      </c>
    </row>
    <row r="2400">
      <c r="A2400" s="6"/>
      <c r="B2400" s="6"/>
      <c r="C2400" s="4"/>
      <c r="D2400" s="4">
        <v>36.736253220038</v>
      </c>
      <c r="E2400" s="4" t="s">
        <v>3816</v>
      </c>
      <c r="F2400" s="4"/>
      <c r="G2400" s="4"/>
      <c r="H2400" s="4"/>
      <c r="I2400" s="4" t="str">
        <f>IFERROR(__xludf.DUMMYFUNCTION("""COMPUTED_VALUE"""),"0xb8f1db13b36dd64a7fccd21156bd9a6744be2e67")</f>
        <v>0xb8f1db13b36dd64a7fccd21156bd9a6744be2e67</v>
      </c>
      <c r="J2400" s="18">
        <v>234.2000080068616</v>
      </c>
      <c r="K2400" s="4">
        <v>2927.5001000857696</v>
      </c>
      <c r="L2400" s="19">
        <v>2.92750010008577E21</v>
      </c>
      <c r="M2400" s="20">
        <v>2.9275001000857698E20</v>
      </c>
    </row>
    <row r="2401">
      <c r="A2401" s="6"/>
      <c r="B2401" s="6"/>
      <c r="C2401" s="4"/>
      <c r="D2401" s="4">
        <v>48.3641275995966</v>
      </c>
      <c r="E2401" s="4" t="s">
        <v>3818</v>
      </c>
      <c r="F2401" s="4"/>
      <c r="G2401" s="4"/>
      <c r="H2401" s="4"/>
      <c r="I2401" s="4" t="str">
        <f>IFERROR(__xludf.DUMMYFUNCTION("""COMPUTED_VALUE"""),"0xefd37684ee7cebe19389138baf8564c583bcd544")</f>
        <v>0xefd37684ee7cebe19389138baf8564c583bcd544</v>
      </c>
      <c r="J2401" s="18">
        <v>48.3641275995966</v>
      </c>
      <c r="K2401" s="4">
        <v>604.5515949949574</v>
      </c>
      <c r="L2401" s="19">
        <v>6.045515949949574E20</v>
      </c>
      <c r="M2401" s="20">
        <v>6.045515949949574E19</v>
      </c>
    </row>
    <row r="2402">
      <c r="A2402" s="6"/>
      <c r="B2402" s="6"/>
      <c r="C2402" s="4"/>
      <c r="D2402" s="4">
        <v>0.17152731332857798</v>
      </c>
      <c r="E2402" s="4" t="s">
        <v>3819</v>
      </c>
      <c r="F2402" s="4"/>
      <c r="G2402" s="4"/>
      <c r="H2402" s="4"/>
      <c r="I2402" s="4" t="str">
        <f>IFERROR(__xludf.DUMMYFUNCTION("""COMPUTED_VALUE"""),"0xd080292fb0b07670fd7aaa4a4597eb7e624082b5")</f>
        <v>0xd080292fb0b07670fd7aaa4a4597eb7e624082b5</v>
      </c>
      <c r="J2402" s="18">
        <v>234.37608780709658</v>
      </c>
      <c r="K2402" s="4">
        <v>2929.7010975887074</v>
      </c>
      <c r="L2402" s="19">
        <v>2.9297010975887076E21</v>
      </c>
      <c r="M2402" s="20">
        <v>2.9297010975887078E20</v>
      </c>
    </row>
    <row r="2403">
      <c r="A2403" s="6"/>
      <c r="B2403" s="6"/>
      <c r="C2403" s="4"/>
      <c r="D2403" s="4">
        <v>9.672825519919328</v>
      </c>
      <c r="E2403" s="4" t="s">
        <v>3821</v>
      </c>
      <c r="F2403" s="4"/>
      <c r="G2403" s="4"/>
      <c r="H2403" s="4"/>
      <c r="I2403" s="4" t="str">
        <f>IFERROR(__xludf.DUMMYFUNCTION("""COMPUTED_VALUE"""),"0x11d82fbece5543085d9f8f8a82fc36de1a016995")</f>
        <v>0x11d82fbece5543085d9f8f8a82fc36de1a016995</v>
      </c>
      <c r="J2403" s="18">
        <v>48.3641275995966</v>
      </c>
      <c r="K2403" s="4">
        <v>604.5515949949574</v>
      </c>
      <c r="L2403" s="19">
        <v>6.045515949949574E20</v>
      </c>
      <c r="M2403" s="20">
        <v>6.045515949949574E19</v>
      </c>
    </row>
    <row r="2404">
      <c r="A2404" s="6"/>
      <c r="B2404" s="6"/>
      <c r="C2404" s="4"/>
      <c r="D2404" s="4">
        <v>48.3641275995966</v>
      </c>
      <c r="E2404" s="4" t="s">
        <v>3822</v>
      </c>
      <c r="F2404" s="4"/>
      <c r="G2404" s="4"/>
      <c r="H2404" s="4"/>
      <c r="I2404" s="4" t="str">
        <f>IFERROR(__xludf.DUMMYFUNCTION("""COMPUTED_VALUE"""),"0x77d639d3708ad7278c671873374e902300eee18a")</f>
        <v>0x77d639d3708ad7278c671873374e902300eee18a</v>
      </c>
      <c r="J2404" s="18">
        <v>2.8087162614853898</v>
      </c>
      <c r="K2404" s="4">
        <v>35.10895326856737</v>
      </c>
      <c r="L2404" s="19">
        <v>3.5108953268567368E19</v>
      </c>
      <c r="M2404" s="20">
        <v>3.510895326856737E18</v>
      </c>
    </row>
    <row r="2405">
      <c r="A2405" s="6"/>
      <c r="B2405" s="6"/>
      <c r="C2405" s="4"/>
      <c r="D2405" s="4">
        <v>48.3641275995966</v>
      </c>
      <c r="E2405" s="4" t="s">
        <v>655</v>
      </c>
      <c r="F2405" s="4"/>
      <c r="G2405" s="4"/>
      <c r="H2405" s="4"/>
      <c r="I2405" s="4" t="str">
        <f>IFERROR(__xludf.DUMMYFUNCTION("""COMPUTED_VALUE"""),"0x9aa29eec9adbf33418cbe9245b098a40c35b5365")</f>
        <v>0x9aa29eec9adbf33418cbe9245b098a40c35b5365</v>
      </c>
      <c r="J2405" s="18">
        <v>31.19981619124919</v>
      </c>
      <c r="K2405" s="4">
        <v>389.9977023906149</v>
      </c>
      <c r="L2405" s="19">
        <v>3.899977023906149E20</v>
      </c>
      <c r="M2405" s="20">
        <v>3.899977023906149E19</v>
      </c>
    </row>
    <row r="2406">
      <c r="A2406" s="6"/>
      <c r="B2406" s="6"/>
      <c r="C2406" s="4"/>
      <c r="D2406" s="4">
        <v>48.3641275995966</v>
      </c>
      <c r="E2406" s="4" t="s">
        <v>3823</v>
      </c>
      <c r="F2406" s="4"/>
      <c r="G2406" s="4"/>
      <c r="H2406" s="4"/>
      <c r="I2406" s="4" t="str">
        <f>IFERROR(__xludf.DUMMYFUNCTION("""COMPUTED_VALUE"""),"0xe2701cfc0896709c88e1b2430860abf339c062a5")</f>
        <v>0xe2701cfc0896709c88e1b2430860abf339c062a5</v>
      </c>
      <c r="J2406" s="18">
        <v>9.75692747033457</v>
      </c>
      <c r="K2406" s="4">
        <v>121.96159337918213</v>
      </c>
      <c r="L2406" s="19">
        <v>1.2196159337918213E20</v>
      </c>
      <c r="M2406" s="20">
        <v>1.2196159337918214E19</v>
      </c>
    </row>
    <row r="2407">
      <c r="A2407" s="6"/>
      <c r="B2407" s="6"/>
      <c r="C2407" s="4"/>
      <c r="D2407" s="4">
        <v>9.46320086614162</v>
      </c>
      <c r="E2407" s="4" t="s">
        <v>3824</v>
      </c>
      <c r="F2407" s="4"/>
      <c r="G2407" s="4"/>
      <c r="H2407" s="4"/>
      <c r="I2407" s="4" t="str">
        <f>IFERROR(__xludf.DUMMYFUNCTION("""COMPUTED_VALUE"""),"0x94b071242a754c62abe546c94c783c1bd736720b")</f>
        <v>0x94b071242a754c62abe546c94c783c1bd736720b</v>
      </c>
      <c r="J2407" s="18">
        <v>0.44411125496264103</v>
      </c>
      <c r="K2407" s="4">
        <v>5.551390687033013</v>
      </c>
      <c r="L2407" s="19">
        <v>5.551390687033013E18</v>
      </c>
      <c r="M2407" s="20">
        <v>5.551390687033014E17</v>
      </c>
    </row>
    <row r="2408">
      <c r="A2408" s="6"/>
      <c r="B2408" s="6"/>
      <c r="C2408" s="4"/>
      <c r="D2408" s="4">
        <v>48.3641275995966</v>
      </c>
      <c r="E2408" s="4" t="s">
        <v>3826</v>
      </c>
      <c r="F2408" s="4"/>
      <c r="G2408" s="4"/>
      <c r="H2408" s="4"/>
      <c r="I2408" s="4" t="str">
        <f>IFERROR(__xludf.DUMMYFUNCTION("""COMPUTED_VALUE"""),"0x24896cb55f9d6e06be432c6595d91523c101ca6a")</f>
        <v>0x24896cb55f9d6e06be432c6595d91523c101ca6a</v>
      </c>
      <c r="J2408" s="18">
        <v>40.0026052143712</v>
      </c>
      <c r="K2408" s="4">
        <v>500.03256517964</v>
      </c>
      <c r="L2408" s="19">
        <v>5.0003256517964E20</v>
      </c>
      <c r="M2408" s="20">
        <v>5.0003256517964005E19</v>
      </c>
    </row>
    <row r="2409">
      <c r="A2409" s="6"/>
      <c r="B2409" s="6"/>
      <c r="C2409" s="4"/>
      <c r="D2409" s="4">
        <v>8.88215620374109</v>
      </c>
      <c r="E2409" s="4" t="s">
        <v>3827</v>
      </c>
      <c r="F2409" s="4"/>
      <c r="G2409" s="4"/>
      <c r="H2409" s="4"/>
      <c r="I2409" s="4" t="str">
        <f>IFERROR(__xludf.DUMMYFUNCTION("""COMPUTED_VALUE"""),"0xa13b501776ea14eb50fbaa23dfeecc87b72c61ae")</f>
        <v>0xa13b501776ea14eb50fbaa23dfeecc87b72c61ae</v>
      </c>
      <c r="J2409" s="18">
        <v>18.600672185988003</v>
      </c>
      <c r="K2409" s="4">
        <v>232.50840232485004</v>
      </c>
      <c r="L2409" s="19">
        <v>2.3250840232485005E20</v>
      </c>
      <c r="M2409" s="20">
        <v>2.3250840232485007E19</v>
      </c>
    </row>
    <row r="2410">
      <c r="A2410" s="6"/>
      <c r="B2410" s="6"/>
      <c r="C2410" s="4"/>
      <c r="D2410" s="4">
        <v>19.345718825645697</v>
      </c>
      <c r="E2410" s="4" t="s">
        <v>3829</v>
      </c>
      <c r="F2410" s="4"/>
      <c r="G2410" s="4"/>
      <c r="H2410" s="4"/>
      <c r="I2410" s="4" t="str">
        <f>IFERROR(__xludf.DUMMYFUNCTION("""COMPUTED_VALUE"""),"0xa9fd869451a2ab398c41389e45e09f65e0603f5b")</f>
        <v>0xa9fd869451a2ab398c41389e45e09f65e0603f5b</v>
      </c>
      <c r="J2410" s="18">
        <v>10.2086580024112</v>
      </c>
      <c r="K2410" s="4">
        <v>127.60822503013999</v>
      </c>
      <c r="L2410" s="19">
        <v>1.2760822503013999E20</v>
      </c>
      <c r="M2410" s="20">
        <v>1.2760822503013999E19</v>
      </c>
    </row>
    <row r="2411">
      <c r="A2411" s="6"/>
      <c r="B2411" s="6"/>
      <c r="C2411" s="4"/>
      <c r="D2411" s="4">
        <v>9.672825519919328</v>
      </c>
      <c r="E2411" s="4" t="s">
        <v>3831</v>
      </c>
      <c r="F2411" s="4"/>
      <c r="G2411" s="4"/>
      <c r="H2411" s="4"/>
      <c r="I2411" s="4" t="str">
        <f>IFERROR(__xludf.DUMMYFUNCTION("""COMPUTED_VALUE"""),"0xe8a81a1f9767657b11116474130acbfccb2d7f51")</f>
        <v>0xe8a81a1f9767657b11116474130acbfccb2d7f51</v>
      </c>
      <c r="J2411" s="18">
        <v>61.8243421528645</v>
      </c>
      <c r="K2411" s="4">
        <v>772.8042769108063</v>
      </c>
      <c r="L2411" s="19">
        <v>7.728042769108063E20</v>
      </c>
      <c r="M2411" s="20">
        <v>7.728042769108063E19</v>
      </c>
    </row>
    <row r="2412">
      <c r="A2412" s="6"/>
      <c r="B2412" s="6"/>
      <c r="C2412" s="4"/>
      <c r="D2412" s="4">
        <v>30.115540666085803</v>
      </c>
      <c r="E2412" s="4" t="s">
        <v>3832</v>
      </c>
      <c r="F2412" s="4"/>
      <c r="G2412" s="4"/>
      <c r="H2412" s="4"/>
      <c r="I2412" s="4" t="str">
        <f>IFERROR(__xludf.DUMMYFUNCTION("""COMPUTED_VALUE"""),"0xac996af9b27de7786782d6adee104540a30e2324")</f>
        <v>0xac996af9b27de7786782d6adee104540a30e2324</v>
      </c>
      <c r="J2412" s="18">
        <v>54.0432661112121</v>
      </c>
      <c r="K2412" s="4">
        <v>675.5408263901512</v>
      </c>
      <c r="L2412" s="19">
        <v>6.755408263901512E20</v>
      </c>
      <c r="M2412" s="20">
        <v>6.755408263901512E19</v>
      </c>
    </row>
    <row r="2413">
      <c r="A2413" s="6"/>
      <c r="B2413" s="6"/>
      <c r="C2413" s="4"/>
      <c r="D2413" s="4">
        <v>48.3641275995966</v>
      </c>
      <c r="E2413" s="4" t="s">
        <v>3834</v>
      </c>
      <c r="F2413" s="4"/>
      <c r="G2413" s="4"/>
      <c r="H2413" s="4"/>
      <c r="I2413" s="4" t="str">
        <f>IFERROR(__xludf.DUMMYFUNCTION("""COMPUTED_VALUE"""),"0x57611bc2751635488c584382cb2eb4332b8a787b")</f>
        <v>0x57611bc2751635488c584382cb2eb4332b8a787b</v>
      </c>
      <c r="J2413" s="18">
        <v>5.129492383730369</v>
      </c>
      <c r="K2413" s="4">
        <v>64.11865479662961</v>
      </c>
      <c r="L2413" s="19">
        <v>6.4118654796629615E19</v>
      </c>
      <c r="M2413" s="20">
        <v>6.411865479662962E18</v>
      </c>
    </row>
    <row r="2414">
      <c r="A2414" s="6"/>
      <c r="B2414" s="6"/>
      <c r="C2414" s="4"/>
      <c r="D2414" s="4">
        <v>48.3641275995966</v>
      </c>
      <c r="E2414" s="4" t="s">
        <v>3835</v>
      </c>
      <c r="F2414" s="4"/>
      <c r="G2414" s="4"/>
      <c r="H2414" s="4"/>
      <c r="I2414" s="4" t="str">
        <f>IFERROR(__xludf.DUMMYFUNCTION("""COMPUTED_VALUE"""),"0x465d8c8fbcf2404dcc4fa922f13a3da943f31490")</f>
        <v>0x465d8c8fbcf2404dcc4fa922f13a3da943f31490</v>
      </c>
      <c r="J2414" s="18">
        <v>35.1622960226536</v>
      </c>
      <c r="K2414" s="4">
        <v>439.52870028317</v>
      </c>
      <c r="L2414" s="19">
        <v>4.3952870028317E20</v>
      </c>
      <c r="M2414" s="20">
        <v>4.3952870028317E19</v>
      </c>
    </row>
    <row r="2415">
      <c r="A2415" s="6"/>
      <c r="B2415" s="6"/>
      <c r="C2415" s="4"/>
      <c r="D2415" s="4">
        <v>48.3641275995966</v>
      </c>
      <c r="E2415" s="4" t="s">
        <v>3836</v>
      </c>
      <c r="F2415" s="4"/>
      <c r="G2415" s="4"/>
      <c r="H2415" s="4"/>
      <c r="I2415" s="4" t="str">
        <f>IFERROR(__xludf.DUMMYFUNCTION("""COMPUTED_VALUE"""),"0x4f4da17c7dee123fde36b8a6f762824273a7d494")</f>
        <v>0x4f4da17c7dee123fde36b8a6f762824273a7d494</v>
      </c>
      <c r="J2415" s="18">
        <v>57.69980277463115</v>
      </c>
      <c r="K2415" s="4">
        <v>721.2475346828894</v>
      </c>
      <c r="L2415" s="19">
        <v>7.212475346828894E20</v>
      </c>
      <c r="M2415" s="20">
        <v>7.212475346828894E19</v>
      </c>
    </row>
    <row r="2416">
      <c r="A2416" s="6"/>
      <c r="B2416" s="6"/>
      <c r="C2416" s="4"/>
      <c r="D2416" s="4">
        <v>48.3641275995966</v>
      </c>
      <c r="E2416" s="4" t="s">
        <v>3837</v>
      </c>
      <c r="F2416" s="4"/>
      <c r="G2416" s="4"/>
      <c r="H2416" s="4"/>
      <c r="I2416" s="4" t="str">
        <f>IFERROR(__xludf.DUMMYFUNCTION("""COMPUTED_VALUE"""),"0xacd67c3083b9e0e2d378b1ec77d6532571dc634e")</f>
        <v>0xacd67c3083b9e0e2d378b1ec77d6532571dc634e</v>
      </c>
      <c r="J2416" s="18">
        <v>9.672825519919328</v>
      </c>
      <c r="K2416" s="4">
        <v>120.9103189989916</v>
      </c>
      <c r="L2416" s="19">
        <v>1.209103189989916E20</v>
      </c>
      <c r="M2416" s="20">
        <v>1.209103189989916E19</v>
      </c>
    </row>
    <row r="2417">
      <c r="A2417" s="6"/>
      <c r="B2417" s="6"/>
      <c r="C2417" s="4"/>
      <c r="D2417" s="4">
        <v>42.261696947804104</v>
      </c>
      <c r="E2417" s="4" t="s">
        <v>3838</v>
      </c>
      <c r="F2417" s="4"/>
      <c r="G2417" s="4"/>
      <c r="H2417" s="4"/>
      <c r="I2417" s="4" t="str">
        <f>IFERROR(__xludf.DUMMYFUNCTION("""COMPUTED_VALUE"""),"0xf0696fb2aa16b59a7d2870bf78df01355d8a2ca0")</f>
        <v>0xf0696fb2aa16b59a7d2870bf78df01355d8a2ca0</v>
      </c>
      <c r="J2417" s="18">
        <v>40.687904272962506</v>
      </c>
      <c r="K2417" s="4">
        <v>508.5988034120313</v>
      </c>
      <c r="L2417" s="19">
        <v>5.085988034120313E20</v>
      </c>
      <c r="M2417" s="20">
        <v>5.085988034120313E19</v>
      </c>
    </row>
    <row r="2418">
      <c r="A2418" s="6"/>
      <c r="B2418" s="6"/>
      <c r="C2418" s="4"/>
      <c r="D2418" s="4">
        <v>29.018476559758</v>
      </c>
      <c r="E2418" s="4" t="s">
        <v>3840</v>
      </c>
      <c r="F2418" s="4"/>
      <c r="G2418" s="4"/>
      <c r="H2418" s="4"/>
      <c r="I2418" s="4" t="str">
        <f>IFERROR(__xludf.DUMMYFUNCTION("""COMPUTED_VALUE"""),"0x810542f15cbfd78eb2b652873b4fbd60479fdcfc")</f>
        <v>0x810542f15cbfd78eb2b652873b4fbd60479fdcfc</v>
      </c>
      <c r="J2418" s="18">
        <v>48.3641275995966</v>
      </c>
      <c r="K2418" s="4">
        <v>604.5515949949574</v>
      </c>
      <c r="L2418" s="19">
        <v>6.045515949949574E20</v>
      </c>
      <c r="M2418" s="20">
        <v>6.045515949949574E19</v>
      </c>
    </row>
    <row r="2419">
      <c r="A2419" s="6"/>
      <c r="B2419" s="6"/>
      <c r="C2419" s="4"/>
      <c r="D2419" s="4">
        <v>0.967282551991933</v>
      </c>
      <c r="E2419" s="4" t="s">
        <v>3841</v>
      </c>
      <c r="F2419" s="4"/>
      <c r="G2419" s="4"/>
      <c r="H2419" s="4"/>
      <c r="I2419" s="4" t="str">
        <f>IFERROR(__xludf.DUMMYFUNCTION("""COMPUTED_VALUE"""),"0x68bd2edba0fa2e9a6640351bc6e48c17a080f2c8")</f>
        <v>0x68bd2edba0fa2e9a6640351bc6e48c17a080f2c8</v>
      </c>
      <c r="J2419" s="18">
        <v>48.3641275995966</v>
      </c>
      <c r="K2419" s="4">
        <v>604.5515949949574</v>
      </c>
      <c r="L2419" s="19">
        <v>6.045515949949574E20</v>
      </c>
      <c r="M2419" s="20">
        <v>6.045515949949574E19</v>
      </c>
    </row>
    <row r="2420">
      <c r="A2420" s="6"/>
      <c r="B2420" s="6"/>
      <c r="C2420" s="4"/>
      <c r="D2420" s="4">
        <v>48.3641275995966</v>
      </c>
      <c r="E2420" s="4" t="s">
        <v>3843</v>
      </c>
      <c r="F2420" s="4"/>
      <c r="G2420" s="4"/>
      <c r="H2420" s="4"/>
      <c r="I2420" s="4" t="str">
        <f>IFERROR(__xludf.DUMMYFUNCTION("""COMPUTED_VALUE"""),"0xc089f0d12e51d5ee66e40e3b5bc9f8ae3dac006e")</f>
        <v>0xc089f0d12e51d5ee66e40e3b5bc9f8ae3dac006e</v>
      </c>
      <c r="J2420" s="18">
        <v>58.03674953038664</v>
      </c>
      <c r="K2420" s="4">
        <v>725.459369129833</v>
      </c>
      <c r="L2420" s="19">
        <v>7.25459369129833E20</v>
      </c>
      <c r="M2420" s="20">
        <v>7.25459369129833E19</v>
      </c>
    </row>
    <row r="2421">
      <c r="A2421" s="6"/>
      <c r="B2421" s="6"/>
      <c r="C2421" s="4"/>
      <c r="D2421" s="4">
        <v>48.2838008142607</v>
      </c>
      <c r="E2421" s="4" t="s">
        <v>3844</v>
      </c>
      <c r="F2421" s="4"/>
      <c r="G2421" s="4"/>
      <c r="H2421" s="4"/>
      <c r="I2421" s="4" t="str">
        <f>IFERROR(__xludf.DUMMYFUNCTION("""COMPUTED_VALUE"""),"0x0f3a73b5c80a0e4947e3a262b2d0a410f41c5de6")</f>
        <v>0x0f3a73b5c80a0e4947e3a262b2d0a410f41c5de6</v>
      </c>
      <c r="J2421" s="18">
        <v>19.3446727633466</v>
      </c>
      <c r="K2421" s="4">
        <v>241.8084095418325</v>
      </c>
      <c r="L2421" s="19">
        <v>2.418084095418325E20</v>
      </c>
      <c r="M2421" s="20">
        <v>2.4180840954183254E19</v>
      </c>
    </row>
    <row r="2422">
      <c r="A2422" s="6"/>
      <c r="B2422" s="6"/>
      <c r="C2422" s="4"/>
      <c r="D2422" s="4">
        <v>48.3641275995966</v>
      </c>
      <c r="E2422" s="4" t="s">
        <v>812</v>
      </c>
      <c r="F2422" s="4"/>
      <c r="G2422" s="4"/>
      <c r="H2422" s="4"/>
      <c r="I2422" s="4" t="str">
        <f>IFERROR(__xludf.DUMMYFUNCTION("""COMPUTED_VALUE"""),"0x072e7fb44b55a681fbcd60caa0247dfb01b4ff78")</f>
        <v>0x072e7fb44b55a681fbcd60caa0247dfb01b4ff78</v>
      </c>
      <c r="J2422" s="18">
        <v>55.158346093758325</v>
      </c>
      <c r="K2422" s="4">
        <v>689.4793261719791</v>
      </c>
      <c r="L2422" s="19">
        <v>6.89479326171979E20</v>
      </c>
      <c r="M2422" s="20">
        <v>6.894793261719791E19</v>
      </c>
    </row>
    <row r="2423">
      <c r="A2423" s="6"/>
      <c r="B2423" s="6"/>
      <c r="C2423" s="4"/>
      <c r="D2423" s="4">
        <v>48.3641275995966</v>
      </c>
      <c r="E2423" s="4" t="s">
        <v>3846</v>
      </c>
      <c r="F2423" s="4"/>
      <c r="G2423" s="4"/>
      <c r="H2423" s="4"/>
      <c r="I2423" s="4" t="str">
        <f>IFERROR(__xludf.DUMMYFUNCTION("""COMPUTED_VALUE"""),"0xf80049cb5e7cb89a23d17adebb2eef9705bd2a57")</f>
        <v>0xf80049cb5e7cb89a23d17adebb2eef9705bd2a57</v>
      </c>
      <c r="J2423" s="18">
        <v>19.4322161034957</v>
      </c>
      <c r="K2423" s="4">
        <v>242.90270129369625</v>
      </c>
      <c r="L2423" s="19">
        <v>2.4290270129369625E20</v>
      </c>
      <c r="M2423" s="20">
        <v>2.429027012936963E19</v>
      </c>
    </row>
    <row r="2424">
      <c r="A2424" s="6"/>
      <c r="B2424" s="6"/>
      <c r="C2424" s="4"/>
      <c r="D2424" s="4">
        <v>48.3641275995966</v>
      </c>
      <c r="E2424" s="4" t="s">
        <v>3847</v>
      </c>
      <c r="F2424" s="4"/>
      <c r="G2424" s="4"/>
      <c r="H2424" s="4"/>
      <c r="I2424" s="4" t="str">
        <f>IFERROR(__xludf.DUMMYFUNCTION("""COMPUTED_VALUE"""),"0xf5eba07635a1fb53fffc397dcae489797f438912")</f>
        <v>0xf5eba07635a1fb53fffc397dcae489797f438912</v>
      </c>
      <c r="J2424" s="18">
        <v>67.0047941477368</v>
      </c>
      <c r="K2424" s="4">
        <v>837.55992684671</v>
      </c>
      <c r="L2424" s="19">
        <v>8.375599268467101E20</v>
      </c>
      <c r="M2424" s="20">
        <v>8.375599268467101E19</v>
      </c>
    </row>
    <row r="2425">
      <c r="A2425" s="6"/>
      <c r="B2425" s="6"/>
      <c r="C2425" s="4"/>
      <c r="D2425" s="4">
        <v>48.3641275995966</v>
      </c>
      <c r="E2425" s="4" t="s">
        <v>3848</v>
      </c>
      <c r="F2425" s="4"/>
      <c r="G2425" s="4"/>
      <c r="H2425" s="4"/>
      <c r="I2425" s="4" t="str">
        <f>IFERROR(__xludf.DUMMYFUNCTION("""COMPUTED_VALUE"""),"0x55d77ad87e798c9fdce3763c7ce81135500fa82c")</f>
        <v>0x55d77ad87e798c9fdce3763c7ce81135500fa82c</v>
      </c>
      <c r="J2425" s="18">
        <v>39.88160366716</v>
      </c>
      <c r="K2425" s="4">
        <v>498.52004583949997</v>
      </c>
      <c r="L2425" s="19">
        <v>4.985200458395E20</v>
      </c>
      <c r="M2425" s="20">
        <v>4.985200458395E19</v>
      </c>
    </row>
    <row r="2426">
      <c r="A2426" s="6"/>
      <c r="B2426" s="6"/>
      <c r="C2426" s="4"/>
      <c r="D2426" s="4">
        <v>31.8713970120906</v>
      </c>
      <c r="E2426" s="4" t="s">
        <v>3849</v>
      </c>
      <c r="F2426" s="4"/>
      <c r="G2426" s="4"/>
      <c r="H2426" s="4"/>
      <c r="I2426" s="4" t="str">
        <f>IFERROR(__xludf.DUMMYFUNCTION("""COMPUTED_VALUE"""),"0x0c6896e7632949969dc980272726eee779a62572")</f>
        <v>0x0c6896e7632949969dc980272726eee779a62572</v>
      </c>
      <c r="J2426" s="18">
        <v>234.37608780709658</v>
      </c>
      <c r="K2426" s="4">
        <v>2929.7010975887074</v>
      </c>
      <c r="L2426" s="19">
        <v>2.9297010975887076E21</v>
      </c>
      <c r="M2426" s="20">
        <v>2.9297010975887078E20</v>
      </c>
    </row>
    <row r="2427">
      <c r="A2427" s="6"/>
      <c r="B2427" s="6"/>
      <c r="C2427" s="4"/>
      <c r="D2427" s="4">
        <v>48.3641275995966</v>
      </c>
      <c r="E2427" s="4" t="s">
        <v>3851</v>
      </c>
      <c r="F2427" s="4"/>
      <c r="G2427" s="4"/>
      <c r="H2427" s="4"/>
      <c r="I2427" s="4" t="str">
        <f>IFERROR(__xludf.DUMMYFUNCTION("""COMPUTED_VALUE"""),"0x85efa245e2252dbf74f14a5cb394c8b636f1ea0d")</f>
        <v>0x85efa245e2252dbf74f14a5cb394c8b636f1ea0d</v>
      </c>
      <c r="J2427" s="18">
        <v>8.87872802716068</v>
      </c>
      <c r="K2427" s="4">
        <v>110.98410033950849</v>
      </c>
      <c r="L2427" s="19">
        <v>1.109841003395085E20</v>
      </c>
      <c r="M2427" s="20">
        <v>1.1098410033950851E19</v>
      </c>
    </row>
    <row r="2428">
      <c r="A2428" s="6"/>
      <c r="B2428" s="6"/>
      <c r="C2428" s="4"/>
      <c r="D2428" s="4">
        <v>34.7060415803613</v>
      </c>
      <c r="E2428" s="4" t="s">
        <v>3852</v>
      </c>
      <c r="F2428" s="4"/>
      <c r="G2428" s="4"/>
      <c r="H2428" s="4"/>
      <c r="I2428" s="4" t="str">
        <f>IFERROR(__xludf.DUMMYFUNCTION("""COMPUTED_VALUE"""),"0xcda9387c6e089b89c311ef4e3af3890302bbb0e8")</f>
        <v>0xcda9387c6e089b89c311ef4e3af3890302bbb0e8</v>
      </c>
      <c r="J2428" s="18">
        <v>69.8417676484031</v>
      </c>
      <c r="K2428" s="4">
        <v>873.0220956050388</v>
      </c>
      <c r="L2428" s="19">
        <v>8.730220956050387E20</v>
      </c>
      <c r="M2428" s="20">
        <v>8.730220956050388E19</v>
      </c>
    </row>
    <row r="2429">
      <c r="A2429" s="6"/>
      <c r="B2429" s="6"/>
      <c r="C2429" s="4"/>
      <c r="D2429" s="4">
        <v>48.3641275995966</v>
      </c>
      <c r="E2429" s="4" t="s">
        <v>3854</v>
      </c>
      <c r="F2429" s="4"/>
      <c r="G2429" s="4"/>
      <c r="H2429" s="4"/>
      <c r="I2429" s="4" t="str">
        <f>IFERROR(__xludf.DUMMYFUNCTION("""COMPUTED_VALUE"""),"0x836ae19b15792589182b03a7d365f4022b720689")</f>
        <v>0x836ae19b15792589182b03a7d365f4022b720689</v>
      </c>
      <c r="J2429" s="18">
        <v>48.3641275995966</v>
      </c>
      <c r="K2429" s="4">
        <v>604.5515949949574</v>
      </c>
      <c r="L2429" s="19">
        <v>6.045515949949574E20</v>
      </c>
      <c r="M2429" s="20">
        <v>6.045515949949574E19</v>
      </c>
    </row>
    <row r="2430">
      <c r="A2430" s="6"/>
      <c r="B2430" s="6"/>
      <c r="C2430" s="4"/>
      <c r="D2430" s="4">
        <v>48.3641275995966</v>
      </c>
      <c r="E2430" s="4" t="s">
        <v>3855</v>
      </c>
      <c r="F2430" s="4"/>
      <c r="G2430" s="4"/>
      <c r="H2430" s="4"/>
      <c r="I2430" s="4" t="str">
        <f>IFERROR(__xludf.DUMMYFUNCTION("""COMPUTED_VALUE"""),"0xf5d26c96794f338ab93dbd9311b94126c613a00f")</f>
        <v>0xf5d26c96794f338ab93dbd9311b94126c613a00f</v>
      </c>
      <c r="J2430" s="18">
        <v>19.539107550237</v>
      </c>
      <c r="K2430" s="4">
        <v>244.23884437796247</v>
      </c>
      <c r="L2430" s="19">
        <v>2.4423884437796248E20</v>
      </c>
      <c r="M2430" s="20">
        <v>2.442388443779625E19</v>
      </c>
    </row>
    <row r="2431">
      <c r="A2431" s="6"/>
      <c r="B2431" s="6"/>
      <c r="C2431" s="4"/>
      <c r="D2431" s="4">
        <v>46.323114682383704</v>
      </c>
      <c r="E2431" s="4" t="s">
        <v>3856</v>
      </c>
      <c r="F2431" s="4"/>
      <c r="G2431" s="4"/>
      <c r="H2431" s="4"/>
      <c r="I2431" s="4" t="str">
        <f>IFERROR(__xludf.DUMMYFUNCTION("""COMPUTED_VALUE"""),"0x2e30937e01e823e225041464055fbdcdc25690c3")</f>
        <v>0x2e30937e01e823e225041464055fbdcdc25690c3</v>
      </c>
      <c r="J2431" s="18">
        <v>113.4683136722219</v>
      </c>
      <c r="K2431" s="4">
        <v>1418.3539209027738</v>
      </c>
      <c r="L2431" s="19">
        <v>1.4183539209027739E21</v>
      </c>
      <c r="M2431" s="20">
        <v>1.418353920902774E20</v>
      </c>
    </row>
    <row r="2432">
      <c r="A2432" s="6"/>
      <c r="B2432" s="6"/>
      <c r="C2432" s="4"/>
      <c r="D2432" s="4">
        <v>48.3641275995966</v>
      </c>
      <c r="E2432" s="4" t="s">
        <v>3858</v>
      </c>
      <c r="F2432" s="4"/>
      <c r="G2432" s="4"/>
      <c r="H2432" s="4"/>
      <c r="I2432" s="4" t="str">
        <f>IFERROR(__xludf.DUMMYFUNCTION("""COMPUTED_VALUE"""),"0x4f55ccb5813177c13deaa10cdbfbc7e9fab1fea1")</f>
        <v>0x4f55ccb5813177c13deaa10cdbfbc7e9fab1fea1</v>
      </c>
      <c r="J2432" s="18">
        <v>12.845850768540899</v>
      </c>
      <c r="K2432" s="4">
        <v>160.57313460676124</v>
      </c>
      <c r="L2432" s="19">
        <v>1.6057313460676123E20</v>
      </c>
      <c r="M2432" s="20">
        <v>1.6057313460676125E19</v>
      </c>
    </row>
    <row r="2433">
      <c r="A2433" s="6"/>
      <c r="B2433" s="6"/>
      <c r="C2433" s="4"/>
      <c r="D2433" s="4">
        <v>48.3641275995966</v>
      </c>
      <c r="E2433" s="4" t="s">
        <v>3859</v>
      </c>
      <c r="F2433" s="4"/>
      <c r="G2433" s="4"/>
      <c r="H2433" s="4"/>
      <c r="I2433" s="4" t="str">
        <f>IFERROR(__xludf.DUMMYFUNCTION("""COMPUTED_VALUE"""),"0x65c2837e800e5072216892fb802a4000ae09ed63")</f>
        <v>0x65c2837e800e5072216892fb802a4000ae09ed63</v>
      </c>
      <c r="J2433" s="18">
        <v>5.43762346544543</v>
      </c>
      <c r="K2433" s="4">
        <v>67.97029331806787</v>
      </c>
      <c r="L2433" s="19">
        <v>6.797029331806787E19</v>
      </c>
      <c r="M2433" s="20">
        <v>6.797029331806788E18</v>
      </c>
    </row>
    <row r="2434">
      <c r="A2434" s="6"/>
      <c r="B2434" s="6"/>
      <c r="C2434" s="4"/>
      <c r="D2434" s="4">
        <v>3.92074624993676</v>
      </c>
      <c r="E2434" s="4" t="s">
        <v>3860</v>
      </c>
      <c r="F2434" s="4"/>
      <c r="G2434" s="4"/>
      <c r="H2434" s="4"/>
      <c r="I2434" s="4" t="str">
        <f>IFERROR(__xludf.DUMMYFUNCTION("""COMPUTED_VALUE"""),"0x0a87d402874bf13bf971dbe0678d83ff28cbd5cf")</f>
        <v>0x0a87d402874bf13bf971dbe0678d83ff28cbd5cf</v>
      </c>
      <c r="J2434" s="18">
        <v>38.6913020796773</v>
      </c>
      <c r="K2434" s="4">
        <v>483.6412759959662</v>
      </c>
      <c r="L2434" s="19">
        <v>4.836412759959662E20</v>
      </c>
      <c r="M2434" s="20">
        <v>4.836412759959663E19</v>
      </c>
    </row>
    <row r="2435">
      <c r="A2435" s="6"/>
      <c r="B2435" s="6"/>
      <c r="C2435" s="4"/>
      <c r="D2435" s="4">
        <v>16.550448084960898</v>
      </c>
      <c r="E2435" s="4" t="s">
        <v>3862</v>
      </c>
      <c r="F2435" s="4"/>
      <c r="G2435" s="4"/>
      <c r="H2435" s="4"/>
      <c r="I2435" s="4" t="str">
        <f>IFERROR(__xludf.DUMMYFUNCTION("""COMPUTED_VALUE"""),"0xc29222b8581256d7c6cf1de41788d09281d1309e")</f>
        <v>0xc29222b8581256d7c6cf1de41788d09281d1309e</v>
      </c>
      <c r="J2435" s="18">
        <v>43.3838516477784</v>
      </c>
      <c r="K2435" s="4">
        <v>542.29814559723</v>
      </c>
      <c r="L2435" s="19">
        <v>5.4229814559723E20</v>
      </c>
      <c r="M2435" s="20">
        <v>5.4229814559723E19</v>
      </c>
    </row>
    <row r="2436">
      <c r="A2436" s="6"/>
      <c r="B2436" s="6"/>
      <c r="C2436" s="4"/>
      <c r="D2436" s="4">
        <v>47.870588991496895</v>
      </c>
      <c r="E2436" s="4" t="s">
        <v>3864</v>
      </c>
      <c r="F2436" s="4"/>
      <c r="G2436" s="4"/>
      <c r="H2436" s="4"/>
      <c r="I2436" s="4" t="str">
        <f>IFERROR(__xludf.DUMMYFUNCTION("""COMPUTED_VALUE"""),"0xbb1ce0950298e6b16fc10170e216fd7f6d416e26")</f>
        <v>0xbb1ce0950298e6b16fc10170e216fd7f6d416e26</v>
      </c>
      <c r="J2436" s="18">
        <v>35.6433547554213</v>
      </c>
      <c r="K2436" s="4">
        <v>445.5419344427662</v>
      </c>
      <c r="L2436" s="19">
        <v>4.455419344427662E20</v>
      </c>
      <c r="M2436" s="20">
        <v>4.4554193444276625E19</v>
      </c>
    </row>
    <row r="2437">
      <c r="A2437" s="6"/>
      <c r="B2437" s="6"/>
      <c r="C2437" s="4"/>
      <c r="D2437" s="4">
        <v>48.3641275995966</v>
      </c>
      <c r="E2437" s="4" t="s">
        <v>3866</v>
      </c>
      <c r="F2437" s="4"/>
      <c r="G2437" s="4"/>
      <c r="H2437" s="4"/>
      <c r="I2437" s="4" t="str">
        <f>IFERROR(__xludf.DUMMYFUNCTION("""COMPUTED_VALUE"""),"0x8f21db31e1afed17958e1a63f9e6d15cf510bd2f")</f>
        <v>0x8f21db31e1afed17958e1a63f9e6d15cf510bd2f</v>
      </c>
      <c r="J2437" s="18">
        <v>0.561768347065878</v>
      </c>
      <c r="K2437" s="4">
        <v>7.022104338323475</v>
      </c>
      <c r="L2437" s="19">
        <v>7.022104338323474E18</v>
      </c>
      <c r="M2437" s="20">
        <v>7.022104338323475E17</v>
      </c>
    </row>
    <row r="2438">
      <c r="A2438" s="6"/>
      <c r="B2438" s="6"/>
      <c r="C2438" s="4"/>
      <c r="D2438" s="4">
        <v>28.6651579334884</v>
      </c>
      <c r="E2438" s="4" t="s">
        <v>3867</v>
      </c>
      <c r="F2438" s="4"/>
      <c r="G2438" s="4"/>
      <c r="H2438" s="4"/>
      <c r="I2438" s="4" t="str">
        <f>IFERROR(__xludf.DUMMYFUNCTION("""COMPUTED_VALUE"""),"0xbede9d90a31b45f8372090ede30603860f082bc1")</f>
        <v>0xbede9d90a31b45f8372090ede30603860f082bc1</v>
      </c>
      <c r="J2438" s="18">
        <v>96.5089733722674</v>
      </c>
      <c r="K2438" s="4">
        <v>1206.3621671533426</v>
      </c>
      <c r="L2438" s="19">
        <v>1.2063621671533425E21</v>
      </c>
      <c r="M2438" s="20">
        <v>1.2063621671533425E20</v>
      </c>
    </row>
    <row r="2439">
      <c r="A2439" s="6"/>
      <c r="B2439" s="6"/>
      <c r="C2439" s="4"/>
      <c r="D2439" s="4">
        <v>19.3456510398386</v>
      </c>
      <c r="E2439" s="4" t="s">
        <v>3869</v>
      </c>
      <c r="F2439" s="4"/>
      <c r="G2439" s="4"/>
      <c r="H2439" s="4"/>
      <c r="I2439" s="4" t="str">
        <f>IFERROR(__xludf.DUMMYFUNCTION("""COMPUTED_VALUE"""),"0xf8452144dfa75a4497b3bd29fc97d46c2544d2ae")</f>
        <v>0xf8452144dfa75a4497b3bd29fc97d46c2544d2ae</v>
      </c>
      <c r="J2439" s="18">
        <v>4.57136073703675</v>
      </c>
      <c r="K2439" s="4">
        <v>57.14200921295937</v>
      </c>
      <c r="L2439" s="19">
        <v>5.7142009212959375E19</v>
      </c>
      <c r="M2439" s="20">
        <v>5.714200921295938E18</v>
      </c>
    </row>
    <row r="2440">
      <c r="A2440" s="6"/>
      <c r="B2440" s="6"/>
      <c r="C2440" s="4"/>
      <c r="D2440" s="4">
        <v>9.672825519919328</v>
      </c>
      <c r="E2440" s="4" t="s">
        <v>3870</v>
      </c>
      <c r="F2440" s="4"/>
      <c r="G2440" s="4"/>
      <c r="H2440" s="4"/>
      <c r="I2440" s="4" t="str">
        <f>IFERROR(__xludf.DUMMYFUNCTION("""COMPUTED_VALUE"""),"0x95355e3cbb24d8ca3cbed3b549c1ba8335a45dd6")</f>
        <v>0x95355e3cbb24d8ca3cbed3b549c1ba8335a45dd6</v>
      </c>
      <c r="J2440" s="18">
        <v>16.2364797163754</v>
      </c>
      <c r="K2440" s="4">
        <v>202.9559964546925</v>
      </c>
      <c r="L2440" s="19">
        <v>2.029559964546925E20</v>
      </c>
      <c r="M2440" s="20">
        <v>2.029559964546925E19</v>
      </c>
    </row>
    <row r="2441">
      <c r="A2441" s="6"/>
      <c r="B2441" s="6"/>
      <c r="C2441" s="4"/>
      <c r="D2441" s="4">
        <v>9.906376389281009</v>
      </c>
      <c r="E2441" s="4" t="s">
        <v>3871</v>
      </c>
      <c r="F2441" s="4"/>
      <c r="G2441" s="4"/>
      <c r="H2441" s="4"/>
      <c r="I2441" s="4" t="str">
        <f>IFERROR(__xludf.DUMMYFUNCTION("""COMPUTED_VALUE"""),"0x342de89d3de21d1f62aa877722f46612f2e93380")</f>
        <v>0x342de89d3de21d1f62aa877722f46612f2e93380</v>
      </c>
      <c r="J2441" s="18">
        <v>40.7102464032589</v>
      </c>
      <c r="K2441" s="4">
        <v>508.8780800407362</v>
      </c>
      <c r="L2441" s="19">
        <v>5.088780800407362E20</v>
      </c>
      <c r="M2441" s="20">
        <v>5.088780800407362E19</v>
      </c>
    </row>
    <row r="2442">
      <c r="A2442" s="6"/>
      <c r="B2442" s="6"/>
      <c r="C2442" s="4"/>
      <c r="D2442" s="4">
        <v>9.672825519919328</v>
      </c>
      <c r="E2442" s="4" t="s">
        <v>3873</v>
      </c>
      <c r="F2442" s="4"/>
      <c r="G2442" s="4"/>
      <c r="H2442" s="4"/>
      <c r="I2442" s="4" t="str">
        <f>IFERROR(__xludf.DUMMYFUNCTION("""COMPUTED_VALUE"""),"0xc5063a157362676a666a06006ae836057724651b")</f>
        <v>0xc5063a157362676a666a06006ae836057724651b</v>
      </c>
      <c r="J2442" s="18">
        <v>48.3641275995966</v>
      </c>
      <c r="K2442" s="4">
        <v>604.5515949949574</v>
      </c>
      <c r="L2442" s="19">
        <v>6.045515949949574E20</v>
      </c>
      <c r="M2442" s="20">
        <v>6.045515949949574E19</v>
      </c>
    </row>
    <row r="2443">
      <c r="A2443" s="6"/>
      <c r="B2443" s="6"/>
      <c r="C2443" s="4"/>
      <c r="D2443" s="4">
        <v>44.076158892968195</v>
      </c>
      <c r="E2443" s="4" t="s">
        <v>3874</v>
      </c>
      <c r="F2443" s="4"/>
      <c r="G2443" s="4"/>
      <c r="H2443" s="4"/>
      <c r="I2443" s="4" t="str">
        <f>IFERROR(__xludf.DUMMYFUNCTION("""COMPUTED_VALUE"""),"0x0735a9bcafd97e03e772c4f1bc4934eb60fe4436")</f>
        <v>0x0735a9bcafd97e03e772c4f1bc4934eb60fe4436</v>
      </c>
      <c r="J2443" s="18">
        <v>12.767438168114</v>
      </c>
      <c r="K2443" s="4">
        <v>159.592977101425</v>
      </c>
      <c r="L2443" s="19">
        <v>1.59592977101425E20</v>
      </c>
      <c r="M2443" s="20">
        <v>1.5959297710142499E19</v>
      </c>
    </row>
    <row r="2444">
      <c r="A2444" s="6"/>
      <c r="B2444" s="6"/>
      <c r="C2444" s="4"/>
      <c r="D2444" s="4">
        <v>48.3641275995966</v>
      </c>
      <c r="E2444" s="4" t="s">
        <v>773</v>
      </c>
      <c r="F2444" s="4"/>
      <c r="G2444" s="4"/>
      <c r="H2444" s="4"/>
      <c r="I2444" s="4" t="str">
        <f>IFERROR(__xludf.DUMMYFUNCTION("""COMPUTED_VALUE"""),"0xef9d58ec12ff9b8ddf50cdece030b07257b0fb5a")</f>
        <v>0xef9d58ec12ff9b8ddf50cdece030b07257b0fb5a</v>
      </c>
      <c r="J2444" s="18">
        <v>2.60658948869141</v>
      </c>
      <c r="K2444" s="4">
        <v>32.582368608642625</v>
      </c>
      <c r="L2444" s="19">
        <v>3.2582368608642626E19</v>
      </c>
      <c r="M2444" s="20">
        <v>3.2582368608642627E18</v>
      </c>
    </row>
    <row r="2445">
      <c r="A2445" s="6"/>
      <c r="B2445" s="6"/>
      <c r="C2445" s="4"/>
      <c r="D2445" s="4">
        <v>16.9860182419615</v>
      </c>
      <c r="E2445" s="4" t="s">
        <v>3876</v>
      </c>
      <c r="F2445" s="4"/>
      <c r="G2445" s="4"/>
      <c r="H2445" s="4"/>
      <c r="I2445" s="4" t="str">
        <f>IFERROR(__xludf.DUMMYFUNCTION("""COMPUTED_VALUE"""),"0x294b5883de9e327584017a42174268ddb60c7949")</f>
        <v>0x294b5883de9e327584017a42174268ddb60c7949</v>
      </c>
      <c r="J2445" s="18">
        <v>10.199723749796801</v>
      </c>
      <c r="K2445" s="4">
        <v>127.49654687246002</v>
      </c>
      <c r="L2445" s="19">
        <v>1.2749654687246002E20</v>
      </c>
      <c r="M2445" s="20">
        <v>1.2749654687246002E19</v>
      </c>
    </row>
    <row r="2446">
      <c r="A2446" s="6"/>
      <c r="B2446" s="6"/>
      <c r="C2446" s="4"/>
      <c r="D2446" s="4">
        <v>9.57609726472013</v>
      </c>
      <c r="E2446" s="4" t="s">
        <v>3878</v>
      </c>
      <c r="F2446" s="4"/>
      <c r="G2446" s="4"/>
      <c r="H2446" s="4"/>
      <c r="I2446" s="4" t="str">
        <f>IFERROR(__xludf.DUMMYFUNCTION("""COMPUTED_VALUE"""),"0xb4ec56717bb2097bad4e5ee636655de30c890480")</f>
        <v>0xb4ec56717bb2097bad4e5ee636655de30c890480</v>
      </c>
      <c r="J2446" s="18">
        <v>123.4778482365474</v>
      </c>
      <c r="K2446" s="4">
        <v>1543.4731029568425</v>
      </c>
      <c r="L2446" s="19">
        <v>1.5434731029568425E21</v>
      </c>
      <c r="M2446" s="20">
        <v>1.5434731029568425E20</v>
      </c>
    </row>
    <row r="2447">
      <c r="A2447" s="6"/>
      <c r="B2447" s="6"/>
      <c r="C2447" s="4"/>
      <c r="D2447" s="4">
        <v>48.3641275995966</v>
      </c>
      <c r="E2447" s="4" t="s">
        <v>3880</v>
      </c>
      <c r="F2447" s="4"/>
      <c r="G2447" s="4"/>
      <c r="H2447" s="4"/>
      <c r="I2447" s="4" t="str">
        <f>IFERROR(__xludf.DUMMYFUNCTION("""COMPUTED_VALUE"""),"0x1fe4ae325f03d8649459aebf08f844ad6bad3564")</f>
        <v>0x1fe4ae325f03d8649459aebf08f844ad6bad3564</v>
      </c>
      <c r="J2447" s="18">
        <v>58.04846920408088</v>
      </c>
      <c r="K2447" s="4">
        <v>725.605865051011</v>
      </c>
      <c r="L2447" s="19">
        <v>7.25605865051011E20</v>
      </c>
      <c r="M2447" s="20">
        <v>7.256058650510111E19</v>
      </c>
    </row>
    <row r="2448">
      <c r="A2448" s="6"/>
      <c r="B2448" s="6"/>
      <c r="C2448" s="4"/>
      <c r="D2448" s="4">
        <v>19.476733964356</v>
      </c>
      <c r="E2448" s="4" t="s">
        <v>3881</v>
      </c>
      <c r="F2448" s="4"/>
      <c r="G2448" s="4"/>
      <c r="H2448" s="4"/>
      <c r="I2448" s="4" t="str">
        <f>IFERROR(__xludf.DUMMYFUNCTION("""COMPUTED_VALUE"""),"0x87f7f02b0ffdf7e87b5cce22371600234cac2b15")</f>
        <v>0x87f7f02b0ffdf7e87b5cce22371600234cac2b15</v>
      </c>
      <c r="J2448" s="18">
        <v>18.3889444279226</v>
      </c>
      <c r="K2448" s="4">
        <v>229.8618053490325</v>
      </c>
      <c r="L2448" s="19">
        <v>2.298618053490325E20</v>
      </c>
      <c r="M2448" s="20">
        <v>2.298618053490325E19</v>
      </c>
    </row>
    <row r="2449">
      <c r="A2449" s="6"/>
      <c r="B2449" s="6"/>
      <c r="C2449" s="4"/>
      <c r="D2449" s="4">
        <v>48.1902736719465</v>
      </c>
      <c r="E2449" s="4" t="s">
        <v>3883</v>
      </c>
      <c r="F2449" s="4"/>
      <c r="G2449" s="4"/>
      <c r="H2449" s="4"/>
      <c r="I2449" s="4" t="str">
        <f>IFERROR(__xludf.DUMMYFUNCTION("""COMPUTED_VALUE"""),"0x804a6535a745c860e75051ca7fe8c4fe20305861")</f>
        <v>0x804a6535a745c860e75051ca7fe8c4fe20305861</v>
      </c>
      <c r="J2449" s="18">
        <v>8.71842016684991</v>
      </c>
      <c r="K2449" s="4">
        <v>108.98025208562387</v>
      </c>
      <c r="L2449" s="19">
        <v>1.0898025208562388E20</v>
      </c>
      <c r="M2449" s="20">
        <v>1.089802520856239E19</v>
      </c>
    </row>
    <row r="2450">
      <c r="A2450" s="6"/>
      <c r="B2450" s="6"/>
      <c r="C2450" s="4"/>
      <c r="D2450" s="4">
        <v>9.71127488113585</v>
      </c>
      <c r="E2450" s="4" t="s">
        <v>3885</v>
      </c>
      <c r="F2450" s="4"/>
      <c r="G2450" s="4"/>
      <c r="H2450" s="4"/>
      <c r="I2450" s="4" t="str">
        <f>IFERROR(__xludf.DUMMYFUNCTION("""COMPUTED_VALUE"""),"0x31dd3bceb6f8fd6d944c851c963ddc7145046f16")</f>
        <v>0x31dd3bceb6f8fd6d944c851c963ddc7145046f16</v>
      </c>
      <c r="J2450" s="18">
        <v>25.1571799259073</v>
      </c>
      <c r="K2450" s="4">
        <v>314.46474907384123</v>
      </c>
      <c r="L2450" s="19">
        <v>3.1446474907384126E20</v>
      </c>
      <c r="M2450" s="20">
        <v>3.1446474907384127E19</v>
      </c>
    </row>
    <row r="2451">
      <c r="A2451" s="6"/>
      <c r="B2451" s="6"/>
      <c r="C2451" s="4"/>
      <c r="D2451" s="4">
        <v>2.20528091123073</v>
      </c>
      <c r="E2451" s="4" t="s">
        <v>3887</v>
      </c>
      <c r="F2451" s="4"/>
      <c r="G2451" s="4"/>
      <c r="H2451" s="4"/>
      <c r="I2451" s="4" t="str">
        <f>IFERROR(__xludf.DUMMYFUNCTION("""COMPUTED_VALUE"""),"0xaf33ff98776b190e13bdb6d9e806838a5da122fc")</f>
        <v>0xaf33ff98776b190e13bdb6d9e806838a5da122fc</v>
      </c>
      <c r="J2451" s="18">
        <v>96.18542676224729</v>
      </c>
      <c r="K2451" s="4">
        <v>1202.317834528091</v>
      </c>
      <c r="L2451" s="19">
        <v>1.202317834528091E21</v>
      </c>
      <c r="M2451" s="20">
        <v>1.202317834528091E20</v>
      </c>
    </row>
    <row r="2452">
      <c r="A2452" s="6"/>
      <c r="B2452" s="6"/>
      <c r="C2452" s="4"/>
      <c r="D2452" s="4">
        <v>18.999076479108503</v>
      </c>
      <c r="E2452" s="4" t="s">
        <v>3889</v>
      </c>
      <c r="F2452" s="4"/>
      <c r="G2452" s="4"/>
      <c r="H2452" s="4"/>
      <c r="I2452" s="4" t="str">
        <f>IFERROR(__xludf.DUMMYFUNCTION("""COMPUTED_VALUE"""),"0xcd8806f3c3b0ccaad6729d38e006488ba2830697")</f>
        <v>0xcd8806f3c3b0ccaad6729d38e006488ba2830697</v>
      </c>
      <c r="J2452" s="18">
        <v>57.711418837059384</v>
      </c>
      <c r="K2452" s="4">
        <v>721.3927354632423</v>
      </c>
      <c r="L2452" s="19">
        <v>7.213927354632423E20</v>
      </c>
      <c r="M2452" s="20">
        <v>7.213927354632424E19</v>
      </c>
    </row>
    <row r="2453">
      <c r="A2453" s="6"/>
      <c r="B2453" s="6"/>
      <c r="C2453" s="4"/>
      <c r="D2453" s="4">
        <v>48.3641275995966</v>
      </c>
      <c r="E2453" s="4" t="s">
        <v>3891</v>
      </c>
      <c r="F2453" s="4"/>
      <c r="G2453" s="4"/>
      <c r="H2453" s="4"/>
      <c r="I2453" s="4" t="str">
        <f>IFERROR(__xludf.DUMMYFUNCTION("""COMPUTED_VALUE"""),"0x5b3dcb8b6f75a2d163bc547d96c2c8c24973f6e6")</f>
        <v>0x5b3dcb8b6f75a2d163bc547d96c2c8c24973f6e6</v>
      </c>
      <c r="J2453" s="18">
        <v>48.3641275995966</v>
      </c>
      <c r="K2453" s="4">
        <v>604.5515949949574</v>
      </c>
      <c r="L2453" s="19">
        <v>6.045515949949574E20</v>
      </c>
      <c r="M2453" s="20">
        <v>6.045515949949574E19</v>
      </c>
    </row>
    <row r="2454">
      <c r="A2454" s="6"/>
      <c r="B2454" s="6"/>
      <c r="C2454" s="4"/>
      <c r="D2454" s="4">
        <v>0.149805554101109</v>
      </c>
      <c r="E2454" s="4" t="s">
        <v>3892</v>
      </c>
      <c r="F2454" s="4"/>
      <c r="G2454" s="4"/>
      <c r="H2454" s="4"/>
      <c r="I2454" s="4" t="str">
        <f>IFERROR(__xludf.DUMMYFUNCTION("""COMPUTED_VALUE"""),"0x0c077f1885b5e833563303a5fa4c12aa076e5859")</f>
        <v>0x0c077f1885b5e833563303a5fa4c12aa076e5859</v>
      </c>
      <c r="J2454" s="18">
        <v>9.672825519919328</v>
      </c>
      <c r="K2454" s="4">
        <v>120.9103189989916</v>
      </c>
      <c r="L2454" s="19">
        <v>1.209103189989916E20</v>
      </c>
      <c r="M2454" s="20">
        <v>1.209103189989916E19</v>
      </c>
    </row>
    <row r="2455">
      <c r="A2455" s="6"/>
      <c r="B2455" s="6"/>
      <c r="C2455" s="4"/>
      <c r="D2455" s="4">
        <v>9.672825519919328</v>
      </c>
      <c r="E2455" s="4" t="s">
        <v>3894</v>
      </c>
      <c r="F2455" s="4"/>
      <c r="G2455" s="4"/>
      <c r="H2455" s="4"/>
      <c r="I2455" s="4" t="str">
        <f>IFERROR(__xludf.DUMMYFUNCTION("""COMPUTED_VALUE"""),"0x1e29e82b0a95aeabd70ef28f2d24923362a3b4c6")</f>
        <v>0x1e29e82b0a95aeabd70ef28f2d24923362a3b4c6</v>
      </c>
      <c r="J2455" s="18">
        <v>179.6399478375436</v>
      </c>
      <c r="K2455" s="4">
        <v>2245.499347969295</v>
      </c>
      <c r="L2455" s="19">
        <v>2.2454993479692947E21</v>
      </c>
      <c r="M2455" s="20">
        <v>2.245499347969295E20</v>
      </c>
    </row>
    <row r="2456">
      <c r="A2456" s="6"/>
      <c r="B2456" s="6"/>
      <c r="C2456" s="4"/>
      <c r="D2456" s="4">
        <v>48.3641275995966</v>
      </c>
      <c r="E2456" s="4" t="s">
        <v>3895</v>
      </c>
      <c r="F2456" s="4"/>
      <c r="G2456" s="4"/>
      <c r="H2456" s="4"/>
      <c r="I2456" s="4" t="str">
        <f>IFERROR(__xludf.DUMMYFUNCTION("""COMPUTED_VALUE"""),"0x754439a54000b26135756cc8cc5fa5d215d4fb46")</f>
        <v>0x754439a54000b26135756cc8cc5fa5d215d4fb46</v>
      </c>
      <c r="J2456" s="18">
        <v>9.71790656293472</v>
      </c>
      <c r="K2456" s="4">
        <v>121.473832036684</v>
      </c>
      <c r="L2456" s="19">
        <v>1.21473832036684E20</v>
      </c>
      <c r="M2456" s="20">
        <v>1.2147383203668402E19</v>
      </c>
    </row>
    <row r="2457">
      <c r="A2457" s="6"/>
      <c r="B2457" s="6"/>
      <c r="C2457" s="4"/>
      <c r="D2457" s="4">
        <v>6.19060833274837</v>
      </c>
      <c r="E2457" s="4" t="s">
        <v>3896</v>
      </c>
      <c r="F2457" s="4"/>
      <c r="G2457" s="4"/>
      <c r="H2457" s="4"/>
      <c r="I2457" s="4" t="str">
        <f>IFERROR(__xludf.DUMMYFUNCTION("""COMPUTED_VALUE"""),"0x976e44f95fa02f2837e81d2ad8422909b76252eb")</f>
        <v>0x976e44f95fa02f2837e81d2ad8422909b76252eb</v>
      </c>
      <c r="J2457" s="18">
        <v>15.58202350776627</v>
      </c>
      <c r="K2457" s="4">
        <v>194.77529384707836</v>
      </c>
      <c r="L2457" s="19">
        <v>1.9477529384707837E20</v>
      </c>
      <c r="M2457" s="20">
        <v>1.9477529384707838E19</v>
      </c>
    </row>
    <row r="2458">
      <c r="A2458" s="6"/>
      <c r="B2458" s="6"/>
      <c r="C2458" s="4"/>
      <c r="D2458" s="4">
        <v>11.6073906239032</v>
      </c>
      <c r="E2458" s="4" t="s">
        <v>3897</v>
      </c>
      <c r="F2458" s="4"/>
      <c r="G2458" s="4"/>
      <c r="H2458" s="4"/>
      <c r="I2458" s="4" t="str">
        <f>IFERROR(__xludf.DUMMYFUNCTION("""COMPUTED_VALUE"""),"0xe0a107df7837480cd8396917085701074f3c7dd9")</f>
        <v>0xe0a107df7837480cd8396917085701074f3c7dd9</v>
      </c>
      <c r="J2458" s="18">
        <v>39.4086267419707</v>
      </c>
      <c r="K2458" s="4">
        <v>492.6078342746337</v>
      </c>
      <c r="L2458" s="19">
        <v>4.9260783427463374E20</v>
      </c>
      <c r="M2458" s="20">
        <v>4.926078342746338E19</v>
      </c>
    </row>
    <row r="2459">
      <c r="A2459" s="6"/>
      <c r="B2459" s="6"/>
      <c r="C2459" s="4"/>
      <c r="D2459" s="4">
        <v>40.6751517750795</v>
      </c>
      <c r="E2459" s="4" t="s">
        <v>3898</v>
      </c>
      <c r="F2459" s="4"/>
      <c r="G2459" s="4"/>
      <c r="H2459" s="4"/>
      <c r="I2459" s="4" t="str">
        <f>IFERROR(__xludf.DUMMYFUNCTION("""COMPUTED_VALUE"""),"0xccaf1142744337ffcb7cfc077b282cdcf9abaea2")</f>
        <v>0xccaf1142744337ffcb7cfc077b282cdcf9abaea2</v>
      </c>
      <c r="J2459" s="18">
        <v>55.40206267448122</v>
      </c>
      <c r="K2459" s="4">
        <v>692.5257834310153</v>
      </c>
      <c r="L2459" s="19">
        <v>6.925257834310153E20</v>
      </c>
      <c r="M2459" s="20">
        <v>6.925257834310153E19</v>
      </c>
    </row>
    <row r="2460">
      <c r="A2460" s="6"/>
      <c r="B2460" s="6"/>
      <c r="C2460" s="4"/>
      <c r="D2460" s="4">
        <v>48.3641275995966</v>
      </c>
      <c r="E2460" s="4" t="s">
        <v>3900</v>
      </c>
      <c r="F2460" s="4"/>
      <c r="G2460" s="4"/>
      <c r="H2460" s="4"/>
      <c r="I2460" s="4" t="str">
        <f>IFERROR(__xludf.DUMMYFUNCTION("""COMPUTED_VALUE"""),"0xbffd20eafde6c5715bb169fbbbe9d04d80bad69c")</f>
        <v>0xbffd20eafde6c5715bb169fbbbe9d04d80bad69c</v>
      </c>
      <c r="J2460" s="18">
        <v>33.9131934622829</v>
      </c>
      <c r="K2460" s="4">
        <v>423.9149182785362</v>
      </c>
      <c r="L2460" s="19">
        <v>4.2391491827853623E20</v>
      </c>
      <c r="M2460" s="20">
        <v>4.239149182785362E19</v>
      </c>
    </row>
    <row r="2461">
      <c r="A2461" s="6"/>
      <c r="B2461" s="6"/>
      <c r="C2461" s="4"/>
      <c r="D2461" s="4">
        <v>27.4903489563349</v>
      </c>
      <c r="E2461" s="4" t="s">
        <v>3901</v>
      </c>
      <c r="F2461" s="4"/>
      <c r="G2461" s="4"/>
      <c r="H2461" s="4"/>
      <c r="I2461" s="4" t="str">
        <f>IFERROR(__xludf.DUMMYFUNCTION("""COMPUTED_VALUE"""),"0xc0a6ef70d7134979f0073b45014d19fb478f514c")</f>
        <v>0xc0a6ef70d7134979f0073b45014d19fb478f514c</v>
      </c>
      <c r="J2461" s="18">
        <v>5.66645542215591</v>
      </c>
      <c r="K2461" s="4">
        <v>70.83069277694888</v>
      </c>
      <c r="L2461" s="19">
        <v>7.083069277694888E19</v>
      </c>
      <c r="M2461" s="20">
        <v>7.083069277694889E18</v>
      </c>
    </row>
    <row r="2462">
      <c r="A2462" s="6"/>
      <c r="B2462" s="6"/>
      <c r="C2462" s="4"/>
      <c r="D2462" s="4">
        <v>9.672825519919328</v>
      </c>
      <c r="E2462" s="4" t="s">
        <v>3903</v>
      </c>
      <c r="F2462" s="4"/>
      <c r="G2462" s="4"/>
      <c r="H2462" s="4"/>
      <c r="I2462" s="4" t="str">
        <f>IFERROR(__xludf.DUMMYFUNCTION("""COMPUTED_VALUE"""),"0x805532216ca79a8f9dc36e8a1dd1291633fbc600")</f>
        <v>0x805532216ca79a8f9dc36e8a1dd1291633fbc600</v>
      </c>
      <c r="J2462" s="18">
        <v>25.6920850796563</v>
      </c>
      <c r="K2462" s="4">
        <v>321.15106349570374</v>
      </c>
      <c r="L2462" s="19">
        <v>3.211510634957037E20</v>
      </c>
      <c r="M2462" s="20">
        <v>3.2115106349570376E19</v>
      </c>
    </row>
    <row r="2463">
      <c r="A2463" s="6"/>
      <c r="B2463" s="6"/>
      <c r="C2463" s="4"/>
      <c r="D2463" s="4">
        <v>48.3641275995966</v>
      </c>
      <c r="E2463" s="4" t="s">
        <v>258</v>
      </c>
      <c r="F2463" s="4"/>
      <c r="G2463" s="4"/>
      <c r="H2463" s="4"/>
      <c r="I2463" s="4" t="str">
        <f>IFERROR(__xludf.DUMMYFUNCTION("""COMPUTED_VALUE"""),"0x7df67073c591dfe102295a8492dde45f9b0a112f")</f>
        <v>0x7df67073c591dfe102295a8492dde45f9b0a112f</v>
      </c>
      <c r="J2463" s="18">
        <v>115.1424213140894</v>
      </c>
      <c r="K2463" s="4">
        <v>1439.2802664261176</v>
      </c>
      <c r="L2463" s="19">
        <v>1.4392802664261175E21</v>
      </c>
      <c r="M2463" s="20">
        <v>1.4392802664261177E20</v>
      </c>
    </row>
    <row r="2464">
      <c r="A2464" s="6"/>
      <c r="B2464" s="6"/>
      <c r="C2464" s="4"/>
      <c r="D2464" s="4">
        <v>48.3641275995966</v>
      </c>
      <c r="E2464" s="4" t="s">
        <v>3904</v>
      </c>
      <c r="F2464" s="4"/>
      <c r="G2464" s="4"/>
      <c r="H2464" s="4"/>
      <c r="I2464" s="4" t="str">
        <f>IFERROR(__xludf.DUMMYFUNCTION("""COMPUTED_VALUE"""),"0x856305cabaa31b5e88b2ed50c954f9ae2554ce70")</f>
        <v>0x856305cabaa31b5e88b2ed50c954f9ae2554ce70</v>
      </c>
      <c r="J2464" s="18">
        <v>48.3641275995966</v>
      </c>
      <c r="K2464" s="4">
        <v>604.5515949949574</v>
      </c>
      <c r="L2464" s="19">
        <v>6.045515949949574E20</v>
      </c>
      <c r="M2464" s="20">
        <v>6.045515949949574E19</v>
      </c>
    </row>
    <row r="2465">
      <c r="A2465" s="6"/>
      <c r="B2465" s="6"/>
      <c r="C2465" s="4"/>
      <c r="D2465" s="4">
        <v>10.511575867735699</v>
      </c>
      <c r="E2465" s="4" t="s">
        <v>3905</v>
      </c>
      <c r="F2465" s="4"/>
      <c r="G2465" s="4"/>
      <c r="H2465" s="4"/>
      <c r="I2465" s="4" t="str">
        <f>IFERROR(__xludf.DUMMYFUNCTION("""COMPUTED_VALUE"""),"0xb794e565a440085eeabe7806bf82366e5e7f8046")</f>
        <v>0xb794e565a440085eeabe7806bf82366e5e7f8046</v>
      </c>
      <c r="J2465" s="18">
        <v>3.87468250693133</v>
      </c>
      <c r="K2465" s="4">
        <v>48.43353133664163</v>
      </c>
      <c r="L2465" s="19">
        <v>4.843353133664163E19</v>
      </c>
      <c r="M2465" s="20">
        <v>4.843353133664163E18</v>
      </c>
    </row>
    <row r="2466">
      <c r="A2466" s="6"/>
      <c r="B2466" s="6"/>
      <c r="C2466" s="4"/>
      <c r="D2466" s="4">
        <v>48.3641275995966</v>
      </c>
      <c r="E2466" s="4" t="s">
        <v>3907</v>
      </c>
      <c r="F2466" s="4"/>
      <c r="G2466" s="4"/>
      <c r="H2466" s="4"/>
      <c r="I2466" s="4" t="str">
        <f>IFERROR(__xludf.DUMMYFUNCTION("""COMPUTED_VALUE"""),"0x5ace64072c3b943d5901137543798cf2c6871b09")</f>
        <v>0x5ace64072c3b943d5901137543798cf2c6871b09</v>
      </c>
      <c r="J2466" s="18">
        <v>48.010244578845096</v>
      </c>
      <c r="K2466" s="4">
        <v>600.1280572355637</v>
      </c>
      <c r="L2466" s="19">
        <v>6.001280572355637E20</v>
      </c>
      <c r="M2466" s="20">
        <v>6.001280572355638E19</v>
      </c>
    </row>
    <row r="2467">
      <c r="A2467" s="6"/>
      <c r="B2467" s="6"/>
      <c r="C2467" s="4"/>
      <c r="D2467" s="4">
        <v>3.8691302079677303</v>
      </c>
      <c r="E2467" s="4" t="s">
        <v>3908</v>
      </c>
      <c r="F2467" s="4"/>
      <c r="G2467" s="4"/>
      <c r="H2467" s="4"/>
      <c r="I2467" s="4" t="str">
        <f>IFERROR(__xludf.DUMMYFUNCTION("""COMPUTED_VALUE"""),"0x01c702f18ddcbfd980a52476ac8ff3e536db38da")</f>
        <v>0x01c702f18ddcbfd980a52476ac8ff3e536db38da</v>
      </c>
      <c r="J2467" s="18">
        <v>40.7170122706189</v>
      </c>
      <c r="K2467" s="4">
        <v>508.9626533827363</v>
      </c>
      <c r="L2467" s="19">
        <v>5.089626533827363E20</v>
      </c>
      <c r="M2467" s="20">
        <v>5.089626533827363E19</v>
      </c>
    </row>
    <row r="2468">
      <c r="A2468" s="6"/>
      <c r="B2468" s="6"/>
      <c r="C2468" s="4"/>
      <c r="D2468" s="4">
        <v>5.54024728088656</v>
      </c>
      <c r="E2468" s="4" t="s">
        <v>3910</v>
      </c>
      <c r="F2468" s="4"/>
      <c r="G2468" s="4"/>
      <c r="H2468" s="4"/>
      <c r="I2468" s="4" t="str">
        <f>IFERROR(__xludf.DUMMYFUNCTION("""COMPUTED_VALUE"""),"0xed105bfa7943213c3a359b52d01f84430a87e5c5")</f>
        <v>0xed105bfa7943213c3a359b52d01f84430a87e5c5</v>
      </c>
      <c r="J2468" s="18">
        <v>33.8548893197176</v>
      </c>
      <c r="K2468" s="4">
        <v>423.18611649647</v>
      </c>
      <c r="L2468" s="19">
        <v>4.2318611649647E20</v>
      </c>
      <c r="M2468" s="20">
        <v>4.2318611649647E19</v>
      </c>
    </row>
    <row r="2469">
      <c r="A2469" s="6"/>
      <c r="B2469" s="6"/>
      <c r="C2469" s="4"/>
      <c r="D2469" s="4">
        <v>48.3641275995966</v>
      </c>
      <c r="E2469" s="4" t="s">
        <v>3912</v>
      </c>
      <c r="F2469" s="4"/>
      <c r="G2469" s="4"/>
      <c r="H2469" s="4"/>
      <c r="I2469" s="4" t="str">
        <f>IFERROR(__xludf.DUMMYFUNCTION("""COMPUTED_VALUE"""),"0x0ef11cf06b88b664b27535fe858dd37ab4fa2e52")</f>
        <v>0x0ef11cf06b88b664b27535fe858dd37ab4fa2e52</v>
      </c>
      <c r="J2469" s="18">
        <v>48.3641275995966</v>
      </c>
      <c r="K2469" s="4">
        <v>604.5515949949574</v>
      </c>
      <c r="L2469" s="19">
        <v>6.045515949949574E20</v>
      </c>
      <c r="M2469" s="20">
        <v>6.045515949949574E19</v>
      </c>
    </row>
    <row r="2470">
      <c r="A2470" s="6"/>
      <c r="B2470" s="6"/>
      <c r="C2470" s="4"/>
      <c r="D2470" s="4">
        <v>9.02200779766481</v>
      </c>
      <c r="E2470" s="4" t="s">
        <v>3913</v>
      </c>
      <c r="F2470" s="4"/>
      <c r="G2470" s="4"/>
      <c r="H2470" s="4"/>
      <c r="I2470" s="4" t="str">
        <f>IFERROR(__xludf.DUMMYFUNCTION("""COMPUTED_VALUE"""),"0x3d5dc98ccaef7a6017707674d252364dffc5b026")</f>
        <v>0x3d5dc98ccaef7a6017707674d252364dffc5b026</v>
      </c>
      <c r="J2470" s="18">
        <v>48.3641275995966</v>
      </c>
      <c r="K2470" s="4">
        <v>604.5515949949574</v>
      </c>
      <c r="L2470" s="19">
        <v>6.045515949949574E20</v>
      </c>
      <c r="M2470" s="20">
        <v>6.045515949949574E19</v>
      </c>
    </row>
    <row r="2471">
      <c r="A2471" s="6"/>
      <c r="B2471" s="6"/>
      <c r="C2471" s="4"/>
      <c r="D2471" s="4">
        <v>48.3641275995966</v>
      </c>
      <c r="E2471" s="4" t="s">
        <v>3915</v>
      </c>
      <c r="F2471" s="4"/>
      <c r="G2471" s="4"/>
      <c r="H2471" s="4"/>
      <c r="I2471" s="4" t="str">
        <f>IFERROR(__xludf.DUMMYFUNCTION("""COMPUTED_VALUE"""),"0xc7246dee8eb74a00078a0af0e9e449bea1ec12dd")</f>
        <v>0xc7246dee8eb74a00078a0af0e9e449bea1ec12dd</v>
      </c>
      <c r="J2471" s="18">
        <v>187.8730977552216</v>
      </c>
      <c r="K2471" s="4">
        <v>2348.41372194027</v>
      </c>
      <c r="L2471" s="19">
        <v>2.34841372194027E21</v>
      </c>
      <c r="M2471" s="20">
        <v>2.34841372194027E20</v>
      </c>
    </row>
    <row r="2472">
      <c r="A2472" s="6"/>
      <c r="B2472" s="6"/>
      <c r="C2472" s="4"/>
      <c r="D2472" s="4">
        <v>48.3641275995966</v>
      </c>
      <c r="E2472" s="4" t="s">
        <v>1741</v>
      </c>
      <c r="F2472" s="4"/>
      <c r="G2472" s="4"/>
      <c r="H2472" s="4"/>
      <c r="I2472" s="4" t="str">
        <f>IFERROR(__xludf.DUMMYFUNCTION("""COMPUTED_VALUE"""),"0xa230da72f6f5542a5875be432615d956ff9b3f26")</f>
        <v>0xa230da72f6f5542a5875be432615d956ff9b3f26</v>
      </c>
      <c r="J2472" s="18">
        <v>12.1556419788061</v>
      </c>
      <c r="K2472" s="4">
        <v>151.94552473507625</v>
      </c>
      <c r="L2472" s="19">
        <v>1.5194552473507624E20</v>
      </c>
      <c r="M2472" s="20">
        <v>1.5194552473507625E19</v>
      </c>
    </row>
    <row r="2473">
      <c r="A2473" s="6"/>
      <c r="B2473" s="6"/>
      <c r="C2473" s="4"/>
      <c r="D2473" s="4">
        <v>39.1640897035342</v>
      </c>
      <c r="E2473" s="4" t="s">
        <v>3916</v>
      </c>
      <c r="F2473" s="4"/>
      <c r="G2473" s="4"/>
      <c r="H2473" s="4"/>
      <c r="I2473" s="4" t="str">
        <f>IFERROR(__xludf.DUMMYFUNCTION("""COMPUTED_VALUE"""),"0xfff8fe1cfaf251aa33e3105b265d2350dab9edb4")</f>
        <v>0xfff8fe1cfaf251aa33e3105b265d2350dab9edb4</v>
      </c>
      <c r="J2473" s="18">
        <v>23.4132397062055</v>
      </c>
      <c r="K2473" s="4">
        <v>292.66549632756875</v>
      </c>
      <c r="L2473" s="19">
        <v>2.9266549632756875E20</v>
      </c>
      <c r="M2473" s="20">
        <v>2.9266549632756875E19</v>
      </c>
    </row>
    <row r="2474">
      <c r="A2474" s="6"/>
      <c r="B2474" s="6"/>
      <c r="C2474" s="4"/>
      <c r="D2474" s="4">
        <v>44.968170311644606</v>
      </c>
      <c r="E2474" s="4" t="s">
        <v>3918</v>
      </c>
      <c r="F2474" s="4"/>
      <c r="G2474" s="4"/>
      <c r="H2474" s="4"/>
      <c r="I2474" s="4" t="str">
        <f>IFERROR(__xludf.DUMMYFUNCTION("""COMPUTED_VALUE"""),"0x0097400f2f9c5e1bb864292a3e001b5847aa2066")</f>
        <v>0x0097400f2f9c5e1bb864292a3e001b5847aa2066</v>
      </c>
      <c r="J2474" s="18">
        <v>16.8165599188499</v>
      </c>
      <c r="K2474" s="4">
        <v>210.20699898562376</v>
      </c>
      <c r="L2474" s="19">
        <v>2.1020699898562376E20</v>
      </c>
      <c r="M2474" s="20">
        <v>2.1020699898562376E19</v>
      </c>
    </row>
    <row r="2475">
      <c r="A2475" s="6"/>
      <c r="B2475" s="6"/>
      <c r="C2475" s="4"/>
      <c r="D2475" s="4">
        <v>46.367911286334106</v>
      </c>
      <c r="E2475" s="4" t="s">
        <v>3920</v>
      </c>
      <c r="F2475" s="4"/>
      <c r="G2475" s="4"/>
      <c r="H2475" s="4"/>
      <c r="I2475" s="4" t="str">
        <f>IFERROR(__xludf.DUMMYFUNCTION("""COMPUTED_VALUE"""),"0xfac1d0d030d764207f50857e102861d34e41d788")</f>
        <v>0xfac1d0d030d764207f50857e102861d34e41d788</v>
      </c>
      <c r="J2475" s="18">
        <v>36.612045262221</v>
      </c>
      <c r="K2475" s="4">
        <v>457.6505657777625</v>
      </c>
      <c r="L2475" s="19">
        <v>4.576505657777625E20</v>
      </c>
      <c r="M2475" s="20">
        <v>4.5765056577776255E19</v>
      </c>
    </row>
    <row r="2476">
      <c r="A2476" s="6"/>
      <c r="B2476" s="6"/>
      <c r="C2476" s="4"/>
      <c r="D2476" s="4">
        <v>9.55462719585775</v>
      </c>
      <c r="E2476" s="4" t="s">
        <v>3922</v>
      </c>
      <c r="F2476" s="4"/>
      <c r="G2476" s="4"/>
      <c r="H2476" s="4"/>
      <c r="I2476" s="4" t="str">
        <f>IFERROR(__xludf.DUMMYFUNCTION("""COMPUTED_VALUE"""),"0xec745a8f066a8c5d900ae9cf2c9357b8c04335e8")</f>
        <v>0xec745a8f066a8c5d900ae9cf2c9357b8c04335e8</v>
      </c>
      <c r="J2476" s="18">
        <v>13.98287579804024</v>
      </c>
      <c r="K2476" s="4">
        <v>174.785947475503</v>
      </c>
      <c r="L2476" s="19">
        <v>1.7478594747550302E20</v>
      </c>
      <c r="M2476" s="20">
        <v>1.7478594747550302E19</v>
      </c>
    </row>
    <row r="2477">
      <c r="A2477" s="6"/>
      <c r="B2477" s="6"/>
      <c r="C2477" s="4"/>
      <c r="D2477" s="4">
        <v>29.319247009855</v>
      </c>
      <c r="E2477" s="4" t="s">
        <v>3924</v>
      </c>
      <c r="F2477" s="4"/>
      <c r="G2477" s="4"/>
      <c r="H2477" s="4"/>
      <c r="I2477" s="4" t="str">
        <f>IFERROR(__xludf.DUMMYFUNCTION("""COMPUTED_VALUE"""),"0x5f40465f8315652d6bf03cb81964549474f28fb6")</f>
        <v>0x5f40465f8315652d6bf03cb81964549474f28fb6</v>
      </c>
      <c r="J2477" s="18">
        <v>19.5648443181902</v>
      </c>
      <c r="K2477" s="4">
        <v>244.5605539773775</v>
      </c>
      <c r="L2477" s="19">
        <v>2.4456055397737752E20</v>
      </c>
      <c r="M2477" s="20">
        <v>2.4456055397737755E19</v>
      </c>
    </row>
    <row r="2478">
      <c r="A2478" s="6"/>
      <c r="B2478" s="6"/>
      <c r="C2478" s="4"/>
      <c r="D2478" s="4">
        <v>9.484427007890218</v>
      </c>
      <c r="E2478" s="4" t="s">
        <v>3926</v>
      </c>
      <c r="F2478" s="4"/>
      <c r="G2478" s="4"/>
      <c r="H2478" s="4"/>
      <c r="I2478" s="4" t="str">
        <f>IFERROR(__xludf.DUMMYFUNCTION("""COMPUTED_VALUE"""),"0x717a9221e3ab144a21c5338907ee76058e508f2b")</f>
        <v>0x717a9221e3ab144a21c5338907ee76058e508f2b</v>
      </c>
      <c r="J2478" s="18">
        <v>234.37608780709658</v>
      </c>
      <c r="K2478" s="4">
        <v>2929.7010975887074</v>
      </c>
      <c r="L2478" s="19">
        <v>2.9297010975887076E21</v>
      </c>
      <c r="M2478" s="20">
        <v>2.9297010975887078E20</v>
      </c>
    </row>
    <row r="2479">
      <c r="A2479" s="6"/>
      <c r="B2479" s="6"/>
      <c r="C2479" s="4"/>
      <c r="D2479" s="4">
        <v>28.2453165784415</v>
      </c>
      <c r="E2479" s="4" t="s">
        <v>3928</v>
      </c>
      <c r="F2479" s="4"/>
      <c r="G2479" s="4"/>
      <c r="H2479" s="4"/>
      <c r="I2479" s="4" t="str">
        <f>IFERROR(__xludf.DUMMYFUNCTION("""COMPUTED_VALUE"""),"0xc42356fe98c7c27e2c760937f7bb3afdc9c0d6bb")</f>
        <v>0xc42356fe98c7c27e2c760937f7bb3afdc9c0d6bb</v>
      </c>
      <c r="J2479" s="18">
        <v>50.0058864620117</v>
      </c>
      <c r="K2479" s="4">
        <v>625.0735807751463</v>
      </c>
      <c r="L2479" s="19">
        <v>6.250735807751463E20</v>
      </c>
      <c r="M2479" s="20">
        <v>6.250735807751463E19</v>
      </c>
    </row>
    <row r="2480">
      <c r="A2480" s="6"/>
      <c r="B2480" s="6"/>
      <c r="C2480" s="4"/>
      <c r="D2480" s="4">
        <v>9.695262548925658</v>
      </c>
      <c r="E2480" s="4" t="s">
        <v>3930</v>
      </c>
      <c r="F2480" s="4"/>
      <c r="G2480" s="4"/>
      <c r="H2480" s="4"/>
      <c r="I2480" s="4" t="str">
        <f>IFERROR(__xludf.DUMMYFUNCTION("""COMPUTED_VALUE"""),"0x19f3d7883c9eaf7f99b3579fc2f52dbdc4aa8ebe")</f>
        <v>0x19f3d7883c9eaf7f99b3579fc2f52dbdc4aa8ebe</v>
      </c>
      <c r="J2480" s="18">
        <v>48.318225887072195</v>
      </c>
      <c r="K2480" s="4">
        <v>603.9778235884024</v>
      </c>
      <c r="L2480" s="19">
        <v>6.039778235884025E20</v>
      </c>
      <c r="M2480" s="20">
        <v>6.039778235884025E19</v>
      </c>
    </row>
    <row r="2481">
      <c r="A2481" s="6"/>
      <c r="B2481" s="6"/>
      <c r="C2481" s="4"/>
      <c r="D2481" s="4">
        <v>44.4503472788727</v>
      </c>
      <c r="E2481" s="4" t="s">
        <v>3932</v>
      </c>
      <c r="F2481" s="4"/>
      <c r="G2481" s="4"/>
      <c r="H2481" s="4"/>
      <c r="I2481" s="4" t="str">
        <f>IFERROR(__xludf.DUMMYFUNCTION("""COMPUTED_VALUE"""),"0xcedf32e2b4597a4819b14bb1e2e7125b5f5aa8f0")</f>
        <v>0xcedf32e2b4597a4819b14bb1e2e7125b5f5aa8f0</v>
      </c>
      <c r="J2481" s="18">
        <v>48.3641275995966</v>
      </c>
      <c r="K2481" s="4">
        <v>604.5515949949574</v>
      </c>
      <c r="L2481" s="19">
        <v>6.045515949949574E20</v>
      </c>
      <c r="M2481" s="20">
        <v>6.045515949949574E19</v>
      </c>
    </row>
    <row r="2482">
      <c r="A2482" s="6"/>
      <c r="B2482" s="6"/>
      <c r="C2482" s="4"/>
      <c r="D2482" s="4">
        <v>48.3641275995966</v>
      </c>
      <c r="E2482" s="4" t="s">
        <v>3934</v>
      </c>
      <c r="F2482" s="4"/>
      <c r="G2482" s="4"/>
      <c r="H2482" s="4"/>
      <c r="I2482" s="4" t="str">
        <f>IFERROR(__xludf.DUMMYFUNCTION("""COMPUTED_VALUE"""),"0xf5096e4398736823ee809225b84b14bab21a5fbd")</f>
        <v>0xf5096e4398736823ee809225b84b14bab21a5fbd</v>
      </c>
      <c r="J2482" s="18">
        <v>13.541955727887</v>
      </c>
      <c r="K2482" s="4">
        <v>169.2744465985875</v>
      </c>
      <c r="L2482" s="19">
        <v>1.692744465985875E20</v>
      </c>
      <c r="M2482" s="20">
        <v>1.6927444659858751E19</v>
      </c>
    </row>
    <row r="2483">
      <c r="A2483" s="6"/>
      <c r="B2483" s="6"/>
      <c r="C2483" s="4"/>
      <c r="D2483" s="4">
        <v>48.3641275995966</v>
      </c>
      <c r="E2483" s="4" t="s">
        <v>3935</v>
      </c>
      <c r="F2483" s="4"/>
      <c r="G2483" s="4"/>
      <c r="H2483" s="4"/>
      <c r="I2483" s="4" t="str">
        <f>IFERROR(__xludf.DUMMYFUNCTION("""COMPUTED_VALUE"""),"0x9d09cb2afe09749ff13ed37e87d3617e76ce4ebf")</f>
        <v>0x9d09cb2afe09749ff13ed37e87d3617e76ce4ebf</v>
      </c>
      <c r="J2483" s="18">
        <v>9.672825519919328</v>
      </c>
      <c r="K2483" s="4">
        <v>120.9103189989916</v>
      </c>
      <c r="L2483" s="19">
        <v>1.209103189989916E20</v>
      </c>
      <c r="M2483" s="20">
        <v>1.209103189989916E19</v>
      </c>
    </row>
    <row r="2484">
      <c r="A2484" s="6"/>
      <c r="B2484" s="6"/>
      <c r="C2484" s="4"/>
      <c r="D2484" s="4">
        <v>9.7815454810292</v>
      </c>
      <c r="E2484" s="4" t="s">
        <v>3936</v>
      </c>
      <c r="F2484" s="4"/>
      <c r="G2484" s="4"/>
      <c r="H2484" s="4"/>
      <c r="I2484" s="4" t="str">
        <f>IFERROR(__xludf.DUMMYFUNCTION("""COMPUTED_VALUE"""),"0x20d6c52862d556bf23e97bb36bebff6530e676d2")</f>
        <v>0x20d6c52862d556bf23e97bb36bebff6530e676d2</v>
      </c>
      <c r="J2484" s="18">
        <v>2.8141727606771</v>
      </c>
      <c r="K2484" s="4">
        <v>35.17715950846375</v>
      </c>
      <c r="L2484" s="19">
        <v>3.517715950846375E19</v>
      </c>
      <c r="M2484" s="20">
        <v>3.5177159508463754E18</v>
      </c>
    </row>
    <row r="2485">
      <c r="A2485" s="6"/>
      <c r="B2485" s="6"/>
      <c r="C2485" s="4"/>
      <c r="D2485" s="4">
        <v>48.3641275995966</v>
      </c>
      <c r="E2485" s="4" t="s">
        <v>3938</v>
      </c>
      <c r="F2485" s="4"/>
      <c r="G2485" s="4"/>
      <c r="H2485" s="4"/>
      <c r="I2485" s="4" t="str">
        <f>IFERROR(__xludf.DUMMYFUNCTION("""COMPUTED_VALUE"""),"0x47650eed555b9bb628da4d82fd71bef4fc7f9ecc")</f>
        <v>0x47650eed555b9bb628da4d82fd71bef4fc7f9ecc</v>
      </c>
      <c r="J2485" s="18">
        <v>11.861824006351</v>
      </c>
      <c r="K2485" s="4">
        <v>148.2728000793875</v>
      </c>
      <c r="L2485" s="19">
        <v>1.482728000793875E20</v>
      </c>
      <c r="M2485" s="20">
        <v>1.482728000793875E19</v>
      </c>
    </row>
    <row r="2486">
      <c r="A2486" s="6"/>
      <c r="B2486" s="6"/>
      <c r="C2486" s="4"/>
      <c r="D2486" s="4">
        <v>43.666093399783996</v>
      </c>
      <c r="E2486" s="4" t="s">
        <v>3939</v>
      </c>
      <c r="F2486" s="4"/>
      <c r="G2486" s="4"/>
      <c r="H2486" s="4"/>
      <c r="I2486" s="4" t="str">
        <f>IFERROR(__xludf.DUMMYFUNCTION("""COMPUTED_VALUE"""),"0xf4aa528f8983959a3dd4557932261b61c2eebb89")</f>
        <v>0xf4aa528f8983959a3dd4557932261b61c2eebb89</v>
      </c>
      <c r="J2486" s="18">
        <v>9.672825519919328</v>
      </c>
      <c r="K2486" s="4">
        <v>120.9103189989916</v>
      </c>
      <c r="L2486" s="19">
        <v>1.209103189989916E20</v>
      </c>
      <c r="M2486" s="20">
        <v>1.209103189989916E19</v>
      </c>
    </row>
    <row r="2487">
      <c r="A2487" s="6"/>
      <c r="B2487" s="6"/>
      <c r="C2487" s="4"/>
      <c r="D2487" s="4">
        <v>9.672825519919328</v>
      </c>
      <c r="E2487" s="4" t="s">
        <v>3941</v>
      </c>
      <c r="F2487" s="4"/>
      <c r="G2487" s="4"/>
      <c r="H2487" s="4"/>
      <c r="I2487" s="4" t="str">
        <f>IFERROR(__xludf.DUMMYFUNCTION("""COMPUTED_VALUE"""),"0xe6f53d31f97b3fa54df91e3199421d42588e57c2")</f>
        <v>0xe6f53d31f97b3fa54df91e3199421d42588e57c2</v>
      </c>
      <c r="J2487" s="18">
        <v>9.672825519919328</v>
      </c>
      <c r="K2487" s="4">
        <v>120.9103189989916</v>
      </c>
      <c r="L2487" s="19">
        <v>1.209103189989916E20</v>
      </c>
      <c r="M2487" s="20">
        <v>1.209103189989916E19</v>
      </c>
    </row>
    <row r="2488">
      <c r="A2488" s="6"/>
      <c r="B2488" s="6"/>
      <c r="C2488" s="4"/>
      <c r="D2488" s="4">
        <v>19.4697827429886</v>
      </c>
      <c r="E2488" s="4" t="s">
        <v>3942</v>
      </c>
      <c r="F2488" s="4"/>
      <c r="G2488" s="4"/>
      <c r="H2488" s="4"/>
      <c r="I2488" s="4" t="str">
        <f>IFERROR(__xludf.DUMMYFUNCTION("""COMPUTED_VALUE"""),"0x6ed7e999c79263cbe017bd5edbe55cf50db43029")</f>
        <v>0x6ed7e999c79263cbe017bd5edbe55cf50db43029</v>
      </c>
      <c r="J2488" s="18">
        <v>48.3641275995966</v>
      </c>
      <c r="K2488" s="4">
        <v>604.5515949949574</v>
      </c>
      <c r="L2488" s="19">
        <v>6.045515949949574E20</v>
      </c>
      <c r="M2488" s="20">
        <v>6.045515949949574E19</v>
      </c>
    </row>
    <row r="2489">
      <c r="A2489" s="6"/>
      <c r="B2489" s="6"/>
      <c r="C2489" s="4"/>
      <c r="D2489" s="4">
        <v>11.567923886190298</v>
      </c>
      <c r="E2489" s="4" t="s">
        <v>3944</v>
      </c>
      <c r="F2489" s="4"/>
      <c r="G2489" s="4"/>
      <c r="H2489" s="4"/>
      <c r="I2489" s="4" t="str">
        <f>IFERROR(__xludf.DUMMYFUNCTION("""COMPUTED_VALUE"""),"0xe3609ea9ee8367b8111625023e8e0d016b55512c")</f>
        <v>0xe3609ea9ee8367b8111625023e8e0d016b55512c</v>
      </c>
      <c r="J2489" s="18">
        <v>7.93173825878325</v>
      </c>
      <c r="K2489" s="4">
        <v>99.14672823479063</v>
      </c>
      <c r="L2489" s="19">
        <v>9.914672823479063E19</v>
      </c>
      <c r="M2489" s="20">
        <v>9.914672823479065E18</v>
      </c>
    </row>
    <row r="2490">
      <c r="A2490" s="6"/>
      <c r="B2490" s="6"/>
      <c r="C2490" s="4"/>
      <c r="D2490" s="4">
        <v>39.6596391988969</v>
      </c>
      <c r="E2490" s="4" t="s">
        <v>3946</v>
      </c>
      <c r="F2490" s="4"/>
      <c r="G2490" s="4"/>
      <c r="H2490" s="4"/>
      <c r="I2490" s="4" t="str">
        <f>IFERROR(__xludf.DUMMYFUNCTION("""COMPUTED_VALUE"""),"0x1a6bde6c59f2e0168b3ac92fbc6b6da760d1522b")</f>
        <v>0x1a6bde6c59f2e0168b3ac92fbc6b6da760d1522b</v>
      </c>
      <c r="J2490" s="18">
        <v>48.3641275995966</v>
      </c>
      <c r="K2490" s="4">
        <v>604.5515949949574</v>
      </c>
      <c r="L2490" s="19">
        <v>6.045515949949574E20</v>
      </c>
      <c r="M2490" s="20">
        <v>6.045515949949574E19</v>
      </c>
    </row>
    <row r="2491">
      <c r="A2491" s="6"/>
      <c r="B2491" s="6"/>
      <c r="C2491" s="4"/>
      <c r="D2491" s="4">
        <v>47.8789335468545</v>
      </c>
      <c r="E2491" s="4" t="s">
        <v>3948</v>
      </c>
      <c r="F2491" s="4"/>
      <c r="G2491" s="4"/>
      <c r="H2491" s="4"/>
      <c r="I2491" s="4" t="str">
        <f>IFERROR(__xludf.DUMMYFUNCTION("""COMPUTED_VALUE"""),"0x6eaa0dc601a4c273856fdfcc51e4e4a6e6c44559")</f>
        <v>0x6eaa0dc601a4c273856fdfcc51e4e4a6e6c44559</v>
      </c>
      <c r="J2491" s="18">
        <v>48.3641275995966</v>
      </c>
      <c r="K2491" s="4">
        <v>604.5515949949574</v>
      </c>
      <c r="L2491" s="19">
        <v>6.045515949949574E20</v>
      </c>
      <c r="M2491" s="20">
        <v>6.045515949949574E19</v>
      </c>
    </row>
    <row r="2492">
      <c r="A2492" s="6"/>
      <c r="B2492" s="6"/>
      <c r="C2492" s="4"/>
      <c r="D2492" s="4">
        <v>0.5846893276837181</v>
      </c>
      <c r="E2492" s="4" t="s">
        <v>3950</v>
      </c>
      <c r="F2492" s="4"/>
      <c r="G2492" s="4"/>
      <c r="H2492" s="4"/>
      <c r="I2492" s="4" t="str">
        <f>IFERROR(__xludf.DUMMYFUNCTION("""COMPUTED_VALUE"""),"0x2d3bb29cc0beec8ba6d55eb604b1dfd6bd43d35e")</f>
        <v>0x2d3bb29cc0beec8ba6d55eb604b1dfd6bd43d35e</v>
      </c>
      <c r="J2492" s="18">
        <v>3.8691302079677303</v>
      </c>
      <c r="K2492" s="4">
        <v>48.36412759959663</v>
      </c>
      <c r="L2492" s="19">
        <v>4.836412759959663E19</v>
      </c>
      <c r="M2492" s="20">
        <v>4.836412759959663E18</v>
      </c>
    </row>
    <row r="2493">
      <c r="A2493" s="6"/>
      <c r="B2493" s="6"/>
      <c r="C2493" s="4"/>
      <c r="D2493" s="4">
        <v>48.3641275995966</v>
      </c>
      <c r="E2493" s="4" t="s">
        <v>1002</v>
      </c>
      <c r="F2493" s="4"/>
      <c r="G2493" s="4"/>
      <c r="H2493" s="4"/>
      <c r="I2493" s="4" t="str">
        <f>IFERROR(__xludf.DUMMYFUNCTION("""COMPUTED_VALUE"""),"0x3b14f5d31bdf93a53fc8b79ca27ceb59293abae5")</f>
        <v>0x3b14f5d31bdf93a53fc8b79ca27ceb59293abae5</v>
      </c>
      <c r="J2493" s="18">
        <v>29.018476559758</v>
      </c>
      <c r="K2493" s="4">
        <v>362.730956996975</v>
      </c>
      <c r="L2493" s="19">
        <v>3.62730956996975E20</v>
      </c>
      <c r="M2493" s="20">
        <v>3.62730956996975E19</v>
      </c>
    </row>
    <row r="2494">
      <c r="A2494" s="6"/>
      <c r="B2494" s="6"/>
      <c r="C2494" s="4"/>
      <c r="D2494" s="4">
        <v>48.3641275995966</v>
      </c>
      <c r="E2494" s="4" t="s">
        <v>3952</v>
      </c>
      <c r="F2494" s="4"/>
      <c r="G2494" s="4"/>
      <c r="H2494" s="4"/>
      <c r="I2494" s="4" t="str">
        <f>IFERROR(__xludf.DUMMYFUNCTION("""COMPUTED_VALUE"""),"0x95e63abe1bae1c595113579feb3af4c75ea6d2de")</f>
        <v>0x95e63abe1bae1c595113579feb3af4c75ea6d2de</v>
      </c>
      <c r="J2494" s="18">
        <v>231.0625504216261</v>
      </c>
      <c r="K2494" s="4">
        <v>2888.2818802703264</v>
      </c>
      <c r="L2494" s="19">
        <v>2.8882818802703265E21</v>
      </c>
      <c r="M2494" s="20">
        <v>2.8882818802703267E20</v>
      </c>
    </row>
    <row r="2495">
      <c r="A2495" s="6"/>
      <c r="B2495" s="6"/>
      <c r="C2495" s="4"/>
      <c r="D2495" s="4">
        <v>48.3641275995966</v>
      </c>
      <c r="E2495" s="4" t="s">
        <v>3953</v>
      </c>
      <c r="F2495" s="4"/>
      <c r="G2495" s="4"/>
      <c r="H2495" s="4"/>
      <c r="I2495" s="4" t="str">
        <f>IFERROR(__xludf.DUMMYFUNCTION("""COMPUTED_VALUE"""),"0x5819b7f44b3e3bee82096e0f22c41b429f5d3ed1")</f>
        <v>0x5819b7f44b3e3bee82096e0f22c41b429f5d3ed1</v>
      </c>
      <c r="J2495" s="18">
        <v>234.37608780709658</v>
      </c>
      <c r="K2495" s="4">
        <v>2929.7010975887074</v>
      </c>
      <c r="L2495" s="19">
        <v>2.9297010975887076E21</v>
      </c>
      <c r="M2495" s="20">
        <v>2.9297010975887078E20</v>
      </c>
    </row>
    <row r="2496">
      <c r="A2496" s="6"/>
      <c r="B2496" s="6"/>
      <c r="C2496" s="4"/>
      <c r="D2496" s="4">
        <v>48.3641275995966</v>
      </c>
      <c r="E2496" s="4" t="s">
        <v>3954</v>
      </c>
      <c r="F2496" s="4"/>
      <c r="G2496" s="4"/>
      <c r="H2496" s="4"/>
      <c r="I2496" s="4" t="str">
        <f>IFERROR(__xludf.DUMMYFUNCTION("""COMPUTED_VALUE"""),"0x9d38cc8e8a3e73e461b5f136bad0d003a9932162")</f>
        <v>0x9d38cc8e8a3e73e461b5f136bad0d003a9932162</v>
      </c>
      <c r="J2496" s="18">
        <v>49.0780005490828</v>
      </c>
      <c r="K2496" s="4">
        <v>613.475006863535</v>
      </c>
      <c r="L2496" s="19">
        <v>6.13475006863535E20</v>
      </c>
      <c r="M2496" s="20">
        <v>6.13475006863535E19</v>
      </c>
    </row>
    <row r="2497">
      <c r="A2497" s="6"/>
      <c r="B2497" s="6"/>
      <c r="C2497" s="4"/>
      <c r="D2497" s="4">
        <v>6.38406484314676</v>
      </c>
      <c r="E2497" s="4" t="s">
        <v>396</v>
      </c>
      <c r="F2497" s="4"/>
      <c r="G2497" s="4"/>
      <c r="H2497" s="4"/>
      <c r="I2497" s="4" t="str">
        <f>IFERROR(__xludf.DUMMYFUNCTION("""COMPUTED_VALUE"""),"0x79882ab62bcef53e64315e83e61b928a6ad500b6")</f>
        <v>0x79882ab62bcef53e64315e83e61b928a6ad500b6</v>
      </c>
      <c r="J2497" s="18">
        <v>31.1464981741402</v>
      </c>
      <c r="K2497" s="4">
        <v>389.33122717675246</v>
      </c>
      <c r="L2497" s="19">
        <v>3.8933122717675245E20</v>
      </c>
      <c r="M2497" s="20">
        <v>3.893312271767525E19</v>
      </c>
    </row>
    <row r="2498">
      <c r="A2498" s="6"/>
      <c r="B2498" s="6"/>
      <c r="C2498" s="4"/>
      <c r="D2498" s="4">
        <v>35.68027280552</v>
      </c>
      <c r="E2498" s="4" t="s">
        <v>3955</v>
      </c>
      <c r="F2498" s="4"/>
      <c r="G2498" s="4"/>
      <c r="H2498" s="4"/>
      <c r="I2498" s="4" t="str">
        <f>IFERROR(__xludf.DUMMYFUNCTION("""COMPUTED_VALUE"""),"0x3b4eaa66d0b49298052a9c875adc671be39d38c4")</f>
        <v>0x3b4eaa66d0b49298052a9c875adc671be39d38c4</v>
      </c>
      <c r="J2498" s="18">
        <v>113.4683136722219</v>
      </c>
      <c r="K2498" s="4">
        <v>1418.3539209027738</v>
      </c>
      <c r="L2498" s="19">
        <v>1.4183539209027739E21</v>
      </c>
      <c r="M2498" s="20">
        <v>1.418353920902774E20</v>
      </c>
    </row>
    <row r="2499">
      <c r="A2499" s="6"/>
      <c r="B2499" s="6"/>
      <c r="C2499" s="4"/>
      <c r="D2499" s="4">
        <v>44.769182026779696</v>
      </c>
      <c r="E2499" s="4" t="s">
        <v>3957</v>
      </c>
      <c r="F2499" s="4"/>
      <c r="G2499" s="4"/>
      <c r="H2499" s="4"/>
      <c r="I2499" s="4" t="str">
        <f>IFERROR(__xludf.DUMMYFUNCTION("""COMPUTED_VALUE"""),"0xcd58b0e15564e15a430e767e0f9577456d8128fa")</f>
        <v>0xcd58b0e15564e15a430e767e0f9577456d8128fa</v>
      </c>
      <c r="J2499" s="18">
        <v>9.672825519919328</v>
      </c>
      <c r="K2499" s="4">
        <v>120.9103189989916</v>
      </c>
      <c r="L2499" s="19">
        <v>1.209103189989916E20</v>
      </c>
      <c r="M2499" s="20">
        <v>1.209103189989916E19</v>
      </c>
    </row>
    <row r="2500">
      <c r="A2500" s="6"/>
      <c r="B2500" s="6"/>
      <c r="C2500" s="4"/>
      <c r="D2500" s="4">
        <v>9.672825519919328</v>
      </c>
      <c r="E2500" s="4" t="s">
        <v>3959</v>
      </c>
      <c r="F2500" s="4"/>
      <c r="G2500" s="4"/>
      <c r="H2500" s="4"/>
      <c r="I2500" s="4" t="str">
        <f>IFERROR(__xludf.DUMMYFUNCTION("""COMPUTED_VALUE"""),"0xef4ee8640376d8cf687cf8892139fbe0852c19b4")</f>
        <v>0xef4ee8640376d8cf687cf8892139fbe0852c19b4</v>
      </c>
      <c r="J2500" s="18">
        <v>66.9644760216937</v>
      </c>
      <c r="K2500" s="4">
        <v>837.0559502711712</v>
      </c>
      <c r="L2500" s="19">
        <v>8.370559502711713E20</v>
      </c>
      <c r="M2500" s="20">
        <v>8.370559502711713E19</v>
      </c>
    </row>
    <row r="2501">
      <c r="A2501" s="6"/>
      <c r="B2501" s="6"/>
      <c r="C2501" s="4"/>
      <c r="D2501" s="4">
        <v>46.942304266499</v>
      </c>
      <c r="E2501" s="4" t="s">
        <v>3960</v>
      </c>
      <c r="F2501" s="4"/>
      <c r="G2501" s="4"/>
      <c r="H2501" s="4"/>
      <c r="I2501" s="4" t="str">
        <f>IFERROR(__xludf.DUMMYFUNCTION("""COMPUTED_VALUE"""),"0x7d18e9305a23b662db47853f2b7b25fe70829e64")</f>
        <v>0x7d18e9305a23b662db47853f2b7b25fe70829e64</v>
      </c>
      <c r="J2501" s="18">
        <v>234.37608780709658</v>
      </c>
      <c r="K2501" s="4">
        <v>2929.7010975887074</v>
      </c>
      <c r="L2501" s="19">
        <v>2.9297010975887076E21</v>
      </c>
      <c r="M2501" s="20">
        <v>2.9297010975887078E20</v>
      </c>
    </row>
    <row r="2502">
      <c r="A2502" s="6"/>
      <c r="B2502" s="6"/>
      <c r="C2502" s="4"/>
      <c r="D2502" s="4">
        <v>47.4225978259854</v>
      </c>
      <c r="E2502" s="4" t="s">
        <v>3962</v>
      </c>
      <c r="F2502" s="4"/>
      <c r="G2502" s="4"/>
      <c r="H2502" s="4"/>
      <c r="I2502" s="4" t="str">
        <f>IFERROR(__xludf.DUMMYFUNCTION("""COMPUTED_VALUE"""),"0xb5b724443aea2d40887d701636fe4786f194b59c")</f>
        <v>0xb5b724443aea2d40887d701636fe4786f194b59c</v>
      </c>
      <c r="J2502" s="18">
        <v>27.5953472829395</v>
      </c>
      <c r="K2502" s="4">
        <v>344.9418410367437</v>
      </c>
      <c r="L2502" s="19">
        <v>3.4494184103674374E20</v>
      </c>
      <c r="M2502" s="20">
        <v>3.4494184103674376E19</v>
      </c>
    </row>
    <row r="2503">
      <c r="A2503" s="6"/>
      <c r="B2503" s="6"/>
      <c r="C2503" s="4"/>
      <c r="D2503" s="4">
        <v>19.539107550237</v>
      </c>
      <c r="E2503" s="4" t="s">
        <v>3964</v>
      </c>
      <c r="F2503" s="4"/>
      <c r="G2503" s="4"/>
      <c r="H2503" s="4"/>
      <c r="I2503" s="4" t="str">
        <f>IFERROR(__xludf.DUMMYFUNCTION("""COMPUTED_VALUE"""),"0xa195af4a3e88d5607e486198f52169bdb08d8fbf")</f>
        <v>0xa195af4a3e88d5607e486198f52169bdb08d8fbf</v>
      </c>
      <c r="J2503" s="18">
        <v>13.834084800865</v>
      </c>
      <c r="K2503" s="4">
        <v>172.9260600108125</v>
      </c>
      <c r="L2503" s="19">
        <v>1.729260600108125E20</v>
      </c>
      <c r="M2503" s="20">
        <v>1.7292606001081252E19</v>
      </c>
    </row>
    <row r="2504">
      <c r="A2504" s="6"/>
      <c r="B2504" s="6"/>
      <c r="C2504" s="4"/>
      <c r="D2504" s="4">
        <v>20.9919131754367</v>
      </c>
      <c r="E2504" s="4" t="s">
        <v>3965</v>
      </c>
      <c r="F2504" s="4"/>
      <c r="G2504" s="4"/>
      <c r="H2504" s="4"/>
      <c r="I2504" s="4" t="str">
        <f>IFERROR(__xludf.DUMMYFUNCTION("""COMPUTED_VALUE"""),"0x4a50cd412570fd0b1740f95b04af7a3e911e6f65")</f>
        <v>0x4a50cd412570fd0b1740f95b04af7a3e911e6f65</v>
      </c>
      <c r="J2504" s="18">
        <v>132.3951484183851</v>
      </c>
      <c r="K2504" s="4">
        <v>1654.9393552298138</v>
      </c>
      <c r="L2504" s="19">
        <v>1.6549393552298137E21</v>
      </c>
      <c r="M2504" s="20">
        <v>1.6549393552298138E20</v>
      </c>
    </row>
    <row r="2505">
      <c r="A2505" s="6"/>
      <c r="B2505" s="6"/>
      <c r="C2505" s="4"/>
      <c r="D2505" s="4">
        <v>34.2418023405144</v>
      </c>
      <c r="E2505" s="4" t="s">
        <v>3967</v>
      </c>
      <c r="F2505" s="4"/>
      <c r="G2505" s="4"/>
      <c r="H2505" s="4"/>
      <c r="I2505" s="4" t="str">
        <f>IFERROR(__xludf.DUMMYFUNCTION("""COMPUTED_VALUE"""),"0xf86676993aeab605efcad6b2c15fc39591c2f4af")</f>
        <v>0xf86676993aeab605efcad6b2c15fc39591c2f4af</v>
      </c>
      <c r="J2505" s="18">
        <v>48.3641275995966</v>
      </c>
      <c r="K2505" s="4">
        <v>604.5515949949574</v>
      </c>
      <c r="L2505" s="19">
        <v>6.045515949949574E20</v>
      </c>
      <c r="M2505" s="20">
        <v>6.045515949949574E19</v>
      </c>
    </row>
    <row r="2506">
      <c r="A2506" s="6"/>
      <c r="B2506" s="6"/>
      <c r="C2506" s="4"/>
      <c r="D2506" s="4">
        <v>48.3641275995966</v>
      </c>
      <c r="E2506" s="4" t="s">
        <v>3969</v>
      </c>
      <c r="F2506" s="4"/>
      <c r="G2506" s="4"/>
      <c r="H2506" s="4"/>
      <c r="I2506" s="4" t="str">
        <f>IFERROR(__xludf.DUMMYFUNCTION("""COMPUTED_VALUE"""),"0xeedc3c0bda52c2589a228e5cc7bda2651ccc894b")</f>
        <v>0xeedc3c0bda52c2589a228e5cc7bda2651ccc894b</v>
      </c>
      <c r="J2506" s="18">
        <v>81.52865020510501</v>
      </c>
      <c r="K2506" s="4">
        <v>1019.1081275638126</v>
      </c>
      <c r="L2506" s="19">
        <v>1.0191081275638126E21</v>
      </c>
      <c r="M2506" s="20">
        <v>1.0191081275638127E20</v>
      </c>
    </row>
    <row r="2507">
      <c r="A2507" s="6"/>
      <c r="B2507" s="6"/>
      <c r="C2507" s="4"/>
      <c r="D2507" s="4">
        <v>46.268892832983205</v>
      </c>
      <c r="E2507" s="4" t="s">
        <v>3970</v>
      </c>
      <c r="F2507" s="4"/>
      <c r="G2507" s="4"/>
      <c r="H2507" s="4"/>
      <c r="I2507" s="4" t="str">
        <f>IFERROR(__xludf.DUMMYFUNCTION("""COMPUTED_VALUE"""),"0xf6f51ebbb2bb2cd06cb970433b7148d761f1fb15")</f>
        <v>0xf6f51ebbb2bb2cd06cb970433b7148d761f1fb15</v>
      </c>
      <c r="J2507" s="18">
        <v>9.672825519919328</v>
      </c>
      <c r="K2507" s="4">
        <v>120.9103189989916</v>
      </c>
      <c r="L2507" s="19">
        <v>1.209103189989916E20</v>
      </c>
      <c r="M2507" s="20">
        <v>1.209103189989916E19</v>
      </c>
    </row>
    <row r="2508">
      <c r="A2508" s="6"/>
      <c r="B2508" s="6"/>
      <c r="C2508" s="4"/>
      <c r="D2508" s="4">
        <v>14.4540735089757</v>
      </c>
      <c r="E2508" s="4" t="s">
        <v>3972</v>
      </c>
      <c r="F2508" s="4"/>
      <c r="G2508" s="4"/>
      <c r="H2508" s="4"/>
      <c r="I2508" s="4" t="str">
        <f>IFERROR(__xludf.DUMMYFUNCTION("""COMPUTED_VALUE"""),"0x7e07bf3da50d059f879ed1d518a0d7ae0c173d28")</f>
        <v>0x7e07bf3da50d059f879ed1d518a0d7ae0c173d28</v>
      </c>
      <c r="J2508" s="18">
        <v>43.9676186043325</v>
      </c>
      <c r="K2508" s="4">
        <v>549.5952325541563</v>
      </c>
      <c r="L2508" s="19">
        <v>5.495952325541563E20</v>
      </c>
      <c r="M2508" s="20">
        <v>5.495952325541564E19</v>
      </c>
    </row>
    <row r="2509">
      <c r="A2509" s="6"/>
      <c r="B2509" s="6"/>
      <c r="C2509" s="4"/>
      <c r="D2509" s="4">
        <v>11.6073906239032</v>
      </c>
      <c r="E2509" s="4" t="s">
        <v>3974</v>
      </c>
      <c r="F2509" s="4"/>
      <c r="G2509" s="4"/>
      <c r="H2509" s="4"/>
      <c r="I2509" s="4" t="str">
        <f>IFERROR(__xludf.DUMMYFUNCTION("""COMPUTED_VALUE"""),"0xb3cdcf03246913e8c8d9764f3ebe73be73f454ac")</f>
        <v>0xb3cdcf03246913e8c8d9764f3ebe73be73f454ac</v>
      </c>
      <c r="J2509" s="18">
        <v>52.51290277547551</v>
      </c>
      <c r="K2509" s="4">
        <v>656.4112846934439</v>
      </c>
      <c r="L2509" s="19">
        <v>6.56411284693444E20</v>
      </c>
      <c r="M2509" s="20">
        <v>6.5641128469344395E19</v>
      </c>
    </row>
    <row r="2510">
      <c r="A2510" s="6"/>
      <c r="B2510" s="6"/>
      <c r="C2510" s="4"/>
      <c r="D2510" s="4">
        <v>9.87936859715838</v>
      </c>
      <c r="E2510" s="4" t="s">
        <v>3975</v>
      </c>
      <c r="F2510" s="4"/>
      <c r="G2510" s="4"/>
      <c r="H2510" s="4"/>
      <c r="I2510" s="4" t="str">
        <f>IFERROR(__xludf.DUMMYFUNCTION("""COMPUTED_VALUE"""),"0x7801ec36c09518b45a4a38d209d03efcc89aa7eb")</f>
        <v>0x7801ec36c09518b45a4a38d209d03efcc89aa7eb</v>
      </c>
      <c r="J2510" s="18">
        <v>48.3641275995966</v>
      </c>
      <c r="K2510" s="4">
        <v>604.5515949949574</v>
      </c>
      <c r="L2510" s="19">
        <v>6.045515949949574E20</v>
      </c>
      <c r="M2510" s="20">
        <v>6.045515949949574E19</v>
      </c>
    </row>
    <row r="2511">
      <c r="A2511" s="6"/>
      <c r="B2511" s="6"/>
      <c r="C2511" s="4"/>
      <c r="D2511" s="4">
        <v>48.3641275995966</v>
      </c>
      <c r="E2511" s="4" t="s">
        <v>3977</v>
      </c>
      <c r="F2511" s="4"/>
      <c r="G2511" s="4"/>
      <c r="H2511" s="4"/>
      <c r="I2511" s="4" t="str">
        <f>IFERROR(__xludf.DUMMYFUNCTION("""COMPUTED_VALUE"""),"0x5b9df991ef0446589d16ddfceb96c32d534e0b16")</f>
        <v>0x5b9df991ef0446589d16ddfceb96c32d534e0b16</v>
      </c>
      <c r="J2511" s="18">
        <v>43.8005792403423</v>
      </c>
      <c r="K2511" s="4">
        <v>547.5072405042788</v>
      </c>
      <c r="L2511" s="19">
        <v>5.475072405042788E20</v>
      </c>
      <c r="M2511" s="20">
        <v>5.475072405042788E19</v>
      </c>
    </row>
    <row r="2512">
      <c r="A2512" s="6"/>
      <c r="B2512" s="6"/>
      <c r="C2512" s="4"/>
      <c r="D2512" s="4">
        <v>10.059738540716099</v>
      </c>
      <c r="E2512" s="4" t="s">
        <v>3978</v>
      </c>
      <c r="F2512" s="4"/>
      <c r="G2512" s="4"/>
      <c r="H2512" s="4"/>
      <c r="I2512" s="4" t="str">
        <f>IFERROR(__xludf.DUMMYFUNCTION("""COMPUTED_VALUE"""),"0x78f64a5c3ea827c8a41fd76a2c59cac11ca17152")</f>
        <v>0x78f64a5c3ea827c8a41fd76a2c59cac11ca17152</v>
      </c>
      <c r="J2512" s="18">
        <v>141.370107703347</v>
      </c>
      <c r="K2512" s="4">
        <v>1767.1263462918375</v>
      </c>
      <c r="L2512" s="19">
        <v>1.7671263462918377E21</v>
      </c>
      <c r="M2512" s="20">
        <v>1.7671263462918377E20</v>
      </c>
    </row>
    <row r="2513">
      <c r="A2513" s="6"/>
      <c r="B2513" s="6"/>
      <c r="C2513" s="4"/>
      <c r="D2513" s="4">
        <v>9.672825519919328</v>
      </c>
      <c r="E2513" s="4" t="s">
        <v>3979</v>
      </c>
      <c r="F2513" s="4"/>
      <c r="G2513" s="4"/>
      <c r="H2513" s="4"/>
      <c r="I2513" s="4" t="str">
        <f>IFERROR(__xludf.DUMMYFUNCTION("""COMPUTED_VALUE"""),"0x6d81990bb581c2d1baf7a4a8d217c43fa7781119")</f>
        <v>0x6d81990bb581c2d1baf7a4a8d217c43fa7781119</v>
      </c>
      <c r="J2513" s="18">
        <v>57.66472560997164</v>
      </c>
      <c r="K2513" s="4">
        <v>720.8090701246455</v>
      </c>
      <c r="L2513" s="19">
        <v>7.208090701246455E20</v>
      </c>
      <c r="M2513" s="20">
        <v>7.208090701246455E19</v>
      </c>
    </row>
    <row r="2514">
      <c r="A2514" s="6"/>
      <c r="B2514" s="6"/>
      <c r="C2514" s="4"/>
      <c r="D2514" s="4">
        <v>34.6168506145008</v>
      </c>
      <c r="E2514" s="4" t="s">
        <v>3980</v>
      </c>
      <c r="F2514" s="4"/>
      <c r="G2514" s="4"/>
      <c r="H2514" s="4"/>
      <c r="I2514" s="4" t="str">
        <f>IFERROR(__xludf.DUMMYFUNCTION("""COMPUTED_VALUE"""),"0xb30a40526900cb1bcb425605f73c942fb1dea247")</f>
        <v>0xb30a40526900cb1bcb425605f73c942fb1dea247</v>
      </c>
      <c r="J2514" s="18">
        <v>89.43463070570645</v>
      </c>
      <c r="K2514" s="4">
        <v>1117.9328838213307</v>
      </c>
      <c r="L2514" s="19">
        <v>1.1179328838213307E21</v>
      </c>
      <c r="M2514" s="20">
        <v>1.1179328838213308E20</v>
      </c>
    </row>
    <row r="2515">
      <c r="A2515" s="6"/>
      <c r="B2515" s="6"/>
      <c r="C2515" s="4"/>
      <c r="D2515" s="4">
        <v>48.3641275995966</v>
      </c>
      <c r="E2515" s="4" t="s">
        <v>17</v>
      </c>
      <c r="F2515" s="4"/>
      <c r="G2515" s="4"/>
      <c r="H2515" s="4"/>
      <c r="I2515" s="4" t="str">
        <f>IFERROR(__xludf.DUMMYFUNCTION("""COMPUTED_VALUE"""),"0x95e6e5453673ec7db93e2466ef7160b514c6dce4")</f>
        <v>0x95e6e5453673ec7db93e2466ef7160b514c6dce4</v>
      </c>
      <c r="J2515" s="18">
        <v>48.3641275995966</v>
      </c>
      <c r="K2515" s="4">
        <v>604.5515949949574</v>
      </c>
      <c r="L2515" s="19">
        <v>6.045515949949574E20</v>
      </c>
      <c r="M2515" s="20">
        <v>6.045515949949574E19</v>
      </c>
    </row>
    <row r="2516">
      <c r="A2516" s="6"/>
      <c r="B2516" s="6"/>
      <c r="C2516" s="4"/>
      <c r="D2516" s="4">
        <v>48.3641275995966</v>
      </c>
      <c r="E2516" s="4" t="s">
        <v>3982</v>
      </c>
      <c r="F2516" s="4"/>
      <c r="G2516" s="4"/>
      <c r="H2516" s="4"/>
      <c r="I2516" s="4" t="str">
        <f>IFERROR(__xludf.DUMMYFUNCTION("""COMPUTED_VALUE"""),"0x2f595c056e785e13579128df27cad2968d034ba4")</f>
        <v>0x2f595c056e785e13579128df27cad2968d034ba4</v>
      </c>
      <c r="J2516" s="18">
        <v>59.3267812899134</v>
      </c>
      <c r="K2516" s="4">
        <v>741.5847661239175</v>
      </c>
      <c r="L2516" s="19">
        <v>7.415847661239174E20</v>
      </c>
      <c r="M2516" s="20">
        <v>7.415847661239175E19</v>
      </c>
    </row>
    <row r="2517">
      <c r="A2517" s="6"/>
      <c r="B2517" s="6"/>
      <c r="C2517" s="4"/>
      <c r="D2517" s="4">
        <v>24.0327543499354</v>
      </c>
      <c r="E2517" s="4" t="s">
        <v>3983</v>
      </c>
      <c r="F2517" s="4"/>
      <c r="G2517" s="4"/>
      <c r="H2517" s="4"/>
      <c r="I2517" s="4" t="str">
        <f>IFERROR(__xludf.DUMMYFUNCTION("""COMPUTED_VALUE"""),"0xf1441875c91d234332ac605933ded799916393c1")</f>
        <v>0xf1441875c91d234332ac605933ded799916393c1</v>
      </c>
      <c r="J2517" s="18">
        <v>8.7055429679274</v>
      </c>
      <c r="K2517" s="4">
        <v>108.81928709909249</v>
      </c>
      <c r="L2517" s="19">
        <v>1.0881928709909248E20</v>
      </c>
      <c r="M2517" s="20">
        <v>1.0881928709909248E19</v>
      </c>
    </row>
    <row r="2518">
      <c r="A2518" s="6"/>
      <c r="B2518" s="6"/>
      <c r="C2518" s="4"/>
      <c r="D2518" s="4">
        <v>24.173900968440403</v>
      </c>
      <c r="E2518" s="4" t="s">
        <v>3985</v>
      </c>
      <c r="F2518" s="4"/>
      <c r="G2518" s="4"/>
      <c r="H2518" s="4"/>
      <c r="I2518" s="4" t="str">
        <f>IFERROR(__xludf.DUMMYFUNCTION("""COMPUTED_VALUE"""),"0xf18eeae10ea42eaaea93fce5cf61d79ef7a79c99")</f>
        <v>0xf18eeae10ea42eaaea93fce5cf61d79ef7a79c99</v>
      </c>
      <c r="J2518" s="18">
        <v>234.37608780709658</v>
      </c>
      <c r="K2518" s="4">
        <v>2929.7010975887074</v>
      </c>
      <c r="L2518" s="19">
        <v>2.9297010975887076E21</v>
      </c>
      <c r="M2518" s="20">
        <v>2.9297010975887078E20</v>
      </c>
    </row>
    <row r="2519">
      <c r="A2519" s="6"/>
      <c r="B2519" s="6"/>
      <c r="C2519" s="4"/>
      <c r="D2519" s="4">
        <v>48.3641275995966</v>
      </c>
      <c r="E2519" s="4" t="s">
        <v>3987</v>
      </c>
      <c r="F2519" s="4"/>
      <c r="G2519" s="4"/>
      <c r="H2519" s="4"/>
      <c r="I2519" s="4" t="str">
        <f>IFERROR(__xludf.DUMMYFUNCTION("""COMPUTED_VALUE"""),"0x915d4683bfead0c0d6ecac0f60f7ff13f1e66c2a")</f>
        <v>0x915d4683bfead0c0d6ecac0f60f7ff13f1e66c2a</v>
      </c>
      <c r="J2519" s="18">
        <v>9.672825519919328</v>
      </c>
      <c r="K2519" s="4">
        <v>120.9103189989916</v>
      </c>
      <c r="L2519" s="19">
        <v>1.209103189989916E20</v>
      </c>
      <c r="M2519" s="20">
        <v>1.209103189989916E19</v>
      </c>
    </row>
    <row r="2520">
      <c r="A2520" s="6"/>
      <c r="B2520" s="6"/>
      <c r="C2520" s="4"/>
      <c r="D2520" s="4">
        <v>47.3245618390358</v>
      </c>
      <c r="E2520" s="4" t="s">
        <v>3988</v>
      </c>
      <c r="F2520" s="4"/>
      <c r="G2520" s="4"/>
      <c r="H2520" s="4"/>
      <c r="I2520" s="4" t="str">
        <f>IFERROR(__xludf.DUMMYFUNCTION("""COMPUTED_VALUE"""),"0x46b7e0a30abf5143ee629e02bb3abb9169ba7ecc")</f>
        <v>0x46b7e0a30abf5143ee629e02bb3abb9169ba7ecc</v>
      </c>
      <c r="J2520" s="18">
        <v>57.66472560997164</v>
      </c>
      <c r="K2520" s="4">
        <v>720.8090701246455</v>
      </c>
      <c r="L2520" s="19">
        <v>7.208090701246455E20</v>
      </c>
      <c r="M2520" s="20">
        <v>7.208090701246455E19</v>
      </c>
    </row>
    <row r="2521">
      <c r="A2521" s="6"/>
      <c r="B2521" s="6"/>
      <c r="C2521" s="4"/>
      <c r="D2521" s="4">
        <v>48.3641275995966</v>
      </c>
      <c r="E2521" s="4" t="s">
        <v>1652</v>
      </c>
      <c r="F2521" s="4"/>
      <c r="G2521" s="4"/>
      <c r="H2521" s="4"/>
      <c r="I2521" s="4" t="str">
        <f>IFERROR(__xludf.DUMMYFUNCTION("""COMPUTED_VALUE"""),"0xb91234ac62e578292bf73526df379c0ed0aa34db")</f>
        <v>0xb91234ac62e578292bf73526df379c0ed0aa34db</v>
      </c>
      <c r="J2521" s="18">
        <v>1.28779930431555</v>
      </c>
      <c r="K2521" s="4">
        <v>16.097491303944373</v>
      </c>
      <c r="L2521" s="19">
        <v>1.6097491303944374E19</v>
      </c>
      <c r="M2521" s="20">
        <v>1.6097491303944376E18</v>
      </c>
    </row>
    <row r="2522">
      <c r="A2522" s="6"/>
      <c r="B2522" s="6"/>
      <c r="C2522" s="4"/>
      <c r="D2522" s="4">
        <v>48.3641275995966</v>
      </c>
      <c r="E2522" s="4" t="s">
        <v>3989</v>
      </c>
      <c r="F2522" s="4"/>
      <c r="G2522" s="4"/>
      <c r="H2522" s="4"/>
      <c r="I2522" s="4" t="str">
        <f>IFERROR(__xludf.DUMMYFUNCTION("""COMPUTED_VALUE"""),"0xd4cdc965cdf5ea70d60f1153dd71f1c13bcfbed0")</f>
        <v>0xd4cdc965cdf5ea70d60f1153dd71f1c13bcfbed0</v>
      </c>
      <c r="J2522" s="18">
        <v>59.986184277588904</v>
      </c>
      <c r="K2522" s="4">
        <v>749.8273034698612</v>
      </c>
      <c r="L2522" s="19">
        <v>7.498273034698613E20</v>
      </c>
      <c r="M2522" s="20">
        <v>7.498273034698613E19</v>
      </c>
    </row>
    <row r="2523">
      <c r="A2523" s="6"/>
      <c r="B2523" s="6"/>
      <c r="C2523" s="4"/>
      <c r="D2523" s="4">
        <v>41.3048269842145</v>
      </c>
      <c r="E2523" s="4" t="s">
        <v>3990</v>
      </c>
      <c r="F2523" s="4"/>
      <c r="G2523" s="4"/>
      <c r="H2523" s="4"/>
      <c r="I2523" s="4" t="str">
        <f>IFERROR(__xludf.DUMMYFUNCTION("""COMPUTED_VALUE"""),"0x56943e2eb6e87a06299f663e605bb81aa1bc6fbe")</f>
        <v>0x56943e2eb6e87a06299f663e605bb81aa1bc6fbe</v>
      </c>
      <c r="J2523" s="18">
        <v>48.3641275995966</v>
      </c>
      <c r="K2523" s="4">
        <v>604.5515949949574</v>
      </c>
      <c r="L2523" s="19">
        <v>6.045515949949574E20</v>
      </c>
      <c r="M2523" s="20">
        <v>6.045515949949574E19</v>
      </c>
    </row>
    <row r="2524">
      <c r="A2524" s="6"/>
      <c r="B2524" s="6"/>
      <c r="C2524" s="4"/>
      <c r="D2524" s="4">
        <v>40.62586718366121</v>
      </c>
      <c r="E2524" s="4" t="s">
        <v>3992</v>
      </c>
      <c r="F2524" s="4"/>
      <c r="G2524" s="4"/>
      <c r="H2524" s="4"/>
      <c r="I2524" s="4" t="str">
        <f>IFERROR(__xludf.DUMMYFUNCTION("""COMPUTED_VALUE"""),"0x0b9ffbbd8ef8299ec9e7cfb8be39913c6fe18d56")</f>
        <v>0x0b9ffbbd8ef8299ec9e7cfb8be39913c6fe18d56</v>
      </c>
      <c r="J2524" s="18">
        <v>43.1768949032837</v>
      </c>
      <c r="K2524" s="4">
        <v>539.7111862910463</v>
      </c>
      <c r="L2524" s="19">
        <v>5.397111862910463E20</v>
      </c>
      <c r="M2524" s="20">
        <v>5.397111862910463E19</v>
      </c>
    </row>
    <row r="2525">
      <c r="A2525" s="6"/>
      <c r="B2525" s="6"/>
      <c r="C2525" s="4"/>
      <c r="D2525" s="4">
        <v>48.3641275995966</v>
      </c>
      <c r="E2525" s="4" t="s">
        <v>3994</v>
      </c>
      <c r="F2525" s="4"/>
      <c r="G2525" s="4"/>
      <c r="H2525" s="4"/>
      <c r="I2525" s="4" t="str">
        <f>IFERROR(__xludf.DUMMYFUNCTION("""COMPUTED_VALUE"""),"0x05b482c540184478a4fabd32270cc294b9295dc3")</f>
        <v>0x05b482c540184478a4fabd32270cc294b9295dc3</v>
      </c>
      <c r="J2525" s="18">
        <v>11.752855187124899</v>
      </c>
      <c r="K2525" s="4">
        <v>146.91068983906123</v>
      </c>
      <c r="L2525" s="19">
        <v>1.4691068983906124E20</v>
      </c>
      <c r="M2525" s="20">
        <v>1.4691068983906124E19</v>
      </c>
    </row>
    <row r="2526">
      <c r="A2526" s="6"/>
      <c r="B2526" s="6"/>
      <c r="C2526" s="4"/>
      <c r="D2526" s="4">
        <v>9.0198280639188</v>
      </c>
      <c r="E2526" s="4" t="s">
        <v>3995</v>
      </c>
      <c r="F2526" s="4"/>
      <c r="G2526" s="4"/>
      <c r="H2526" s="4"/>
      <c r="I2526" s="4" t="str">
        <f>IFERROR(__xludf.DUMMYFUNCTION("""COMPUTED_VALUE"""),"0xacb89aed19e456ee94a2b15ca024ddfc4cd21c50")</f>
        <v>0xacb89aed19e456ee94a2b15ca024ddfc4cd21c50</v>
      </c>
      <c r="J2526" s="18">
        <v>6.78897056114846</v>
      </c>
      <c r="K2526" s="4">
        <v>84.86213201435575</v>
      </c>
      <c r="L2526" s="19">
        <v>8.486213201435576E19</v>
      </c>
      <c r="M2526" s="20">
        <v>8.486213201435576E18</v>
      </c>
    </row>
    <row r="2527">
      <c r="A2527" s="6"/>
      <c r="B2527" s="6"/>
      <c r="C2527" s="4"/>
      <c r="D2527" s="4">
        <v>29.018476559758</v>
      </c>
      <c r="E2527" s="4" t="s">
        <v>3997</v>
      </c>
      <c r="F2527" s="4"/>
      <c r="G2527" s="4"/>
      <c r="H2527" s="4"/>
      <c r="I2527" s="4" t="str">
        <f>IFERROR(__xludf.DUMMYFUNCTION("""COMPUTED_VALUE"""),"0x16976ae2da4df2cc55b4534e19b40487b6459b67")</f>
        <v>0x16976ae2da4df2cc55b4534e19b40487b6459b67</v>
      </c>
      <c r="J2527" s="18">
        <v>59.4318034462179</v>
      </c>
      <c r="K2527" s="4">
        <v>742.8975430777238</v>
      </c>
      <c r="L2527" s="19">
        <v>7.428975430777238E20</v>
      </c>
      <c r="M2527" s="20">
        <v>7.428975430777238E19</v>
      </c>
    </row>
    <row r="2528">
      <c r="A2528" s="6"/>
      <c r="B2528" s="6"/>
      <c r="C2528" s="4"/>
      <c r="D2528" s="4">
        <v>48.3641275995966</v>
      </c>
      <c r="E2528" s="4" t="s">
        <v>3998</v>
      </c>
      <c r="F2528" s="4"/>
      <c r="G2528" s="4"/>
      <c r="H2528" s="4"/>
      <c r="I2528" s="4" t="str">
        <f>IFERROR(__xludf.DUMMYFUNCTION("""COMPUTED_VALUE"""),"0xb8309ec42cf0a56db898af310ab442de270cf670")</f>
        <v>0xb8309ec42cf0a56db898af310ab442de270cf670</v>
      </c>
      <c r="J2528" s="18">
        <v>8.96734850997032</v>
      </c>
      <c r="K2528" s="4">
        <v>112.09185637462899</v>
      </c>
      <c r="L2528" s="19">
        <v>1.1209185637462899E20</v>
      </c>
      <c r="M2528" s="20">
        <v>1.12091856374629E19</v>
      </c>
    </row>
    <row r="2529">
      <c r="A2529" s="6"/>
      <c r="B2529" s="6"/>
      <c r="C2529" s="4"/>
      <c r="D2529" s="4">
        <v>48.3641275995966</v>
      </c>
      <c r="E2529" s="4" t="s">
        <v>448</v>
      </c>
      <c r="F2529" s="4"/>
      <c r="G2529" s="4"/>
      <c r="H2529" s="4"/>
      <c r="I2529" s="4" t="str">
        <f>IFERROR(__xludf.DUMMYFUNCTION("""COMPUTED_VALUE"""),"0xdc99161c045494798476390359d3798575dddde0")</f>
        <v>0xdc99161c045494798476390359d3798575dddde0</v>
      </c>
      <c r="J2529" s="18">
        <v>200.52732805140158</v>
      </c>
      <c r="K2529" s="4">
        <v>2506.5916006425196</v>
      </c>
      <c r="L2529" s="19">
        <v>2.5065916006425197E21</v>
      </c>
      <c r="M2529" s="20">
        <v>2.50659160064252E20</v>
      </c>
    </row>
    <row r="2530">
      <c r="A2530" s="6"/>
      <c r="B2530" s="6"/>
      <c r="C2530" s="4"/>
      <c r="D2530" s="4">
        <v>48.3641275995966</v>
      </c>
      <c r="E2530" s="4" t="s">
        <v>3999</v>
      </c>
      <c r="F2530" s="4"/>
      <c r="G2530" s="4"/>
      <c r="H2530" s="4"/>
      <c r="I2530" s="4" t="str">
        <f>IFERROR(__xludf.DUMMYFUNCTION("""COMPUTED_VALUE"""),"0xda620adccb2dbdd0041175ed5e8b3e32f518a55c")</f>
        <v>0xda620adccb2dbdd0041175ed5e8b3e32f518a55c</v>
      </c>
      <c r="J2530" s="18">
        <v>115.406558297584</v>
      </c>
      <c r="K2530" s="4">
        <v>1442.5819787198</v>
      </c>
      <c r="L2530" s="19">
        <v>1.4425819787198E21</v>
      </c>
      <c r="M2530" s="20">
        <v>1.4425819787198E20</v>
      </c>
    </row>
    <row r="2531">
      <c r="A2531" s="6"/>
      <c r="B2531" s="6"/>
      <c r="C2531" s="4"/>
      <c r="D2531" s="4">
        <v>15.8120192857175</v>
      </c>
      <c r="E2531" s="4" t="s">
        <v>4000</v>
      </c>
      <c r="F2531" s="4"/>
      <c r="G2531" s="4"/>
      <c r="H2531" s="4"/>
      <c r="I2531" s="4" t="str">
        <f>IFERROR(__xludf.DUMMYFUNCTION("""COMPUTED_VALUE"""),"0x26d81be9cb73b4b63f4092c1c8a6e2df78a91df5")</f>
        <v>0x26d81be9cb73b4b63f4092c1c8a6e2df78a91df5</v>
      </c>
      <c r="J2531" s="18">
        <v>48.3641275995966</v>
      </c>
      <c r="K2531" s="4">
        <v>604.5515949949574</v>
      </c>
      <c r="L2531" s="19">
        <v>6.045515949949574E20</v>
      </c>
      <c r="M2531" s="20">
        <v>6.045515949949574E19</v>
      </c>
    </row>
    <row r="2532">
      <c r="A2532" s="6"/>
      <c r="B2532" s="6"/>
      <c r="C2532" s="4"/>
      <c r="D2532" s="4">
        <v>48.3641275995966</v>
      </c>
      <c r="E2532" s="4" t="s">
        <v>4002</v>
      </c>
      <c r="F2532" s="4"/>
      <c r="G2532" s="4"/>
      <c r="H2532" s="4"/>
      <c r="I2532" s="4" t="str">
        <f>IFERROR(__xludf.DUMMYFUNCTION("""COMPUTED_VALUE"""),"0x8d9f695709719f13bd5449664c1c21cda22e82dd")</f>
        <v>0x8d9f695709719f13bd5449664c1c21cda22e82dd</v>
      </c>
      <c r="J2532" s="18">
        <v>47.2700856951963</v>
      </c>
      <c r="K2532" s="4">
        <v>590.8760711899538</v>
      </c>
      <c r="L2532" s="19">
        <v>5.908760711899538E20</v>
      </c>
      <c r="M2532" s="20">
        <v>5.908760711899538E19</v>
      </c>
    </row>
    <row r="2533">
      <c r="A2533" s="6"/>
      <c r="B2533" s="6"/>
      <c r="C2533" s="4"/>
      <c r="D2533" s="4">
        <v>45.8850522214708</v>
      </c>
      <c r="E2533" s="4" t="s">
        <v>4003</v>
      </c>
      <c r="F2533" s="4"/>
      <c r="G2533" s="4"/>
      <c r="H2533" s="4"/>
      <c r="I2533" s="4" t="str">
        <f>IFERROR(__xludf.DUMMYFUNCTION("""COMPUTED_VALUE"""),"0x0a330bcf24d250242b80ec9d7fdba310ff03f3a6")</f>
        <v>0x0a330bcf24d250242b80ec9d7fdba310ff03f3a6</v>
      </c>
      <c r="J2533" s="18">
        <v>3.5399479773713103</v>
      </c>
      <c r="K2533" s="4">
        <v>44.24934971714138</v>
      </c>
      <c r="L2533" s="19">
        <v>4.424934971714138E19</v>
      </c>
      <c r="M2533" s="20">
        <v>4.424934971714138E18</v>
      </c>
    </row>
    <row r="2534">
      <c r="A2534" s="6"/>
      <c r="B2534" s="6"/>
      <c r="C2534" s="4"/>
      <c r="D2534" s="4">
        <v>48.3641275995966</v>
      </c>
      <c r="E2534" s="4" t="s">
        <v>4005</v>
      </c>
      <c r="F2534" s="4"/>
      <c r="G2534" s="4"/>
      <c r="H2534" s="4"/>
      <c r="I2534" s="4" t="str">
        <f>IFERROR(__xludf.DUMMYFUNCTION("""COMPUTED_VALUE"""),"0xf9133d34b4b25ee9f785868a985a7694fcaf81f0")</f>
        <v>0xf9133d34b4b25ee9f785868a985a7694fcaf81f0</v>
      </c>
      <c r="J2534" s="18">
        <v>20.180306354289403</v>
      </c>
      <c r="K2534" s="4">
        <v>252.25382942861754</v>
      </c>
      <c r="L2534" s="19">
        <v>2.5225382942861754E20</v>
      </c>
      <c r="M2534" s="20">
        <v>2.5225382942861754E19</v>
      </c>
    </row>
    <row r="2535">
      <c r="A2535" s="6"/>
      <c r="B2535" s="6"/>
      <c r="C2535" s="4"/>
      <c r="D2535" s="4">
        <v>33.3449808791773</v>
      </c>
      <c r="E2535" s="4" t="s">
        <v>4006</v>
      </c>
      <c r="F2535" s="4"/>
      <c r="G2535" s="4"/>
      <c r="H2535" s="4"/>
      <c r="I2535" s="4" t="str">
        <f>IFERROR(__xludf.DUMMYFUNCTION("""COMPUTED_VALUE"""),"0x315215c997233037df46958fc52989cd3585314e")</f>
        <v>0x315215c997233037df46958fc52989cd3585314e</v>
      </c>
      <c r="J2535" s="18">
        <v>18.8729266625252</v>
      </c>
      <c r="K2535" s="4">
        <v>235.911583281565</v>
      </c>
      <c r="L2535" s="19">
        <v>2.3591158328156498E20</v>
      </c>
      <c r="M2535" s="20">
        <v>2.35911583281565E19</v>
      </c>
    </row>
    <row r="2536">
      <c r="A2536" s="6"/>
      <c r="B2536" s="6"/>
      <c r="C2536" s="4"/>
      <c r="D2536" s="4">
        <v>48.3641275995966</v>
      </c>
      <c r="E2536" s="4" t="s">
        <v>4008</v>
      </c>
      <c r="F2536" s="4"/>
      <c r="G2536" s="4"/>
      <c r="H2536" s="4"/>
      <c r="I2536" s="4" t="str">
        <f>IFERROR(__xludf.DUMMYFUNCTION("""COMPUTED_VALUE"""),"0x3e643341c24f7e2212016cd8932b08c961b3694e")</f>
        <v>0x3e643341c24f7e2212016cd8932b08c961b3694e</v>
      </c>
      <c r="J2536" s="18">
        <v>234.37608780709658</v>
      </c>
      <c r="K2536" s="4">
        <v>2929.7010975887074</v>
      </c>
      <c r="L2536" s="19">
        <v>2.9297010975887076E21</v>
      </c>
      <c r="M2536" s="20">
        <v>2.9297010975887078E20</v>
      </c>
    </row>
    <row r="2537">
      <c r="A2537" s="6"/>
      <c r="B2537" s="6"/>
      <c r="C2537" s="4"/>
      <c r="D2537" s="4">
        <v>29.3000559468173</v>
      </c>
      <c r="E2537" s="4" t="s">
        <v>4009</v>
      </c>
      <c r="F2537" s="4"/>
      <c r="G2537" s="4"/>
      <c r="H2537" s="4"/>
      <c r="I2537" s="4" t="str">
        <f>IFERROR(__xludf.DUMMYFUNCTION("""COMPUTED_VALUE"""),"0x39f58878f8d09d417547fec123f76bf7c800d055")</f>
        <v>0x39f58878f8d09d417547fec123f76bf7c800d055</v>
      </c>
      <c r="J2537" s="18">
        <v>9.72487161899973</v>
      </c>
      <c r="K2537" s="4">
        <v>121.56089523749662</v>
      </c>
      <c r="L2537" s="19">
        <v>1.2156089523749662E20</v>
      </c>
      <c r="M2537" s="20">
        <v>1.2156089523749663E19</v>
      </c>
    </row>
    <row r="2538">
      <c r="A2538" s="6"/>
      <c r="B2538" s="6"/>
      <c r="C2538" s="4"/>
      <c r="D2538" s="4">
        <v>48.3641275995966</v>
      </c>
      <c r="E2538" s="4" t="s">
        <v>4011</v>
      </c>
      <c r="F2538" s="4"/>
      <c r="G2538" s="4"/>
      <c r="H2538" s="4"/>
      <c r="I2538" s="4" t="str">
        <f>IFERROR(__xludf.DUMMYFUNCTION("""COMPUTED_VALUE"""),"0xc26cdf1c5457ce8e6a1375d7d3929d3a2cb0463e")</f>
        <v>0xc26cdf1c5457ce8e6a1375d7d3929d3a2cb0463e</v>
      </c>
      <c r="J2538" s="18">
        <v>19.6425683044133</v>
      </c>
      <c r="K2538" s="4">
        <v>245.53210380516623</v>
      </c>
      <c r="L2538" s="19">
        <v>2.4553210380516622E20</v>
      </c>
      <c r="M2538" s="20">
        <v>2.4553210380516622E19</v>
      </c>
    </row>
    <row r="2539">
      <c r="A2539" s="6"/>
      <c r="B2539" s="6"/>
      <c r="C2539" s="4"/>
      <c r="D2539" s="4">
        <v>38.6913020796773</v>
      </c>
      <c r="E2539" s="4" t="s">
        <v>4012</v>
      </c>
      <c r="F2539" s="4"/>
      <c r="G2539" s="4"/>
      <c r="H2539" s="4"/>
      <c r="I2539" s="4" t="str">
        <f>IFERROR(__xludf.DUMMYFUNCTION("""COMPUTED_VALUE"""),"0x5c57f751ca087e096abdee3b52d544cc8f4b39ae")</f>
        <v>0x5c57f751ca087e096abdee3b52d544cc8f4b39ae</v>
      </c>
      <c r="J2539" s="18">
        <v>17.480218087629602</v>
      </c>
      <c r="K2539" s="4">
        <v>218.50272609537</v>
      </c>
      <c r="L2539" s="19">
        <v>2.1850272609537E20</v>
      </c>
      <c r="M2539" s="20">
        <v>2.1850272609537E19</v>
      </c>
    </row>
    <row r="2540">
      <c r="A2540" s="6"/>
      <c r="B2540" s="6"/>
      <c r="C2540" s="4"/>
      <c r="D2540" s="4">
        <v>10.311537851263799</v>
      </c>
      <c r="E2540" s="4" t="s">
        <v>4013</v>
      </c>
      <c r="F2540" s="4"/>
      <c r="G2540" s="4"/>
      <c r="H2540" s="4"/>
      <c r="I2540" s="4" t="str">
        <f>IFERROR(__xludf.DUMMYFUNCTION("""COMPUTED_VALUE"""),"0xa0157d435b6337c92ba7dd47bd5068cfe7f17139")</f>
        <v>0xa0157d435b6337c92ba7dd47bd5068cfe7f17139</v>
      </c>
      <c r="J2540" s="18">
        <v>65.20374570890971</v>
      </c>
      <c r="K2540" s="4">
        <v>815.0468213613714</v>
      </c>
      <c r="L2540" s="19">
        <v>8.150468213613713E20</v>
      </c>
      <c r="M2540" s="20">
        <v>8.150468213613714E19</v>
      </c>
    </row>
    <row r="2541">
      <c r="A2541" s="6"/>
      <c r="B2541" s="6"/>
      <c r="C2541" s="4"/>
      <c r="D2541" s="4">
        <v>48.3641275995966</v>
      </c>
      <c r="E2541" s="4" t="s">
        <v>153</v>
      </c>
      <c r="F2541" s="4"/>
      <c r="G2541" s="4"/>
      <c r="H2541" s="4"/>
      <c r="I2541" s="4" t="str">
        <f>IFERROR(__xludf.DUMMYFUNCTION("""COMPUTED_VALUE"""),"0x7c5f4b48ef1b3e326505b736fd3729ef199acbf0")</f>
        <v>0x7c5f4b48ef1b3e326505b736fd3729ef199acbf0</v>
      </c>
      <c r="J2541" s="18">
        <v>9.91783367416969</v>
      </c>
      <c r="K2541" s="4">
        <v>123.97292092712114</v>
      </c>
      <c r="L2541" s="19">
        <v>1.2397292092712113E20</v>
      </c>
      <c r="M2541" s="20">
        <v>1.2397292092712114E19</v>
      </c>
    </row>
    <row r="2542">
      <c r="A2542" s="6"/>
      <c r="B2542" s="6"/>
      <c r="C2542" s="4"/>
      <c r="D2542" s="4">
        <v>48.3641275995966</v>
      </c>
      <c r="E2542" s="4" t="s">
        <v>84</v>
      </c>
      <c r="F2542" s="4"/>
      <c r="G2542" s="4"/>
      <c r="H2542" s="4"/>
      <c r="I2542" s="4" t="str">
        <f>IFERROR(__xludf.DUMMYFUNCTION("""COMPUTED_VALUE"""),"0x86c9e84cfb42063f3c101be3087358edb77ee51d")</f>
        <v>0x86c9e84cfb42063f3c101be3087358edb77ee51d</v>
      </c>
      <c r="J2542" s="18">
        <v>41.5282915595082</v>
      </c>
      <c r="K2542" s="4">
        <v>519.1036444938525</v>
      </c>
      <c r="L2542" s="19">
        <v>5.1910364449385244E20</v>
      </c>
      <c r="M2542" s="20">
        <v>5.191036444938525E19</v>
      </c>
    </row>
    <row r="2543">
      <c r="A2543" s="6"/>
      <c r="B2543" s="6"/>
      <c r="C2543" s="4"/>
      <c r="D2543" s="4">
        <v>11.6011095810567</v>
      </c>
      <c r="E2543" s="4" t="s">
        <v>4015</v>
      </c>
      <c r="F2543" s="4"/>
      <c r="G2543" s="4"/>
      <c r="H2543" s="4"/>
      <c r="I2543" s="4" t="str">
        <f>IFERROR(__xludf.DUMMYFUNCTION("""COMPUTED_VALUE"""),"0xd70d6d3fb31374305c9c9623f51b721e3a5fdc7d")</f>
        <v>0xd70d6d3fb31374305c9c9623f51b721e3a5fdc7d</v>
      </c>
      <c r="J2543" s="18">
        <v>10.6219180280562</v>
      </c>
      <c r="K2543" s="4">
        <v>132.7739753507025</v>
      </c>
      <c r="L2543" s="19">
        <v>1.327739753507025E20</v>
      </c>
      <c r="M2543" s="20">
        <v>1.327739753507025E19</v>
      </c>
    </row>
    <row r="2544">
      <c r="A2544" s="6"/>
      <c r="B2544" s="6"/>
      <c r="C2544" s="4"/>
      <c r="D2544" s="4">
        <v>48.3641275995966</v>
      </c>
      <c r="E2544" s="4" t="s">
        <v>4017</v>
      </c>
      <c r="F2544" s="4"/>
      <c r="G2544" s="4"/>
      <c r="H2544" s="4"/>
      <c r="I2544" s="4" t="str">
        <f>IFERROR(__xludf.DUMMYFUNCTION("""COMPUTED_VALUE"""),"0xb422e3271e70009d68bd45d61321fb5e49daf427")</f>
        <v>0xb422e3271e70009d68bd45d61321fb5e49daf427</v>
      </c>
      <c r="J2544" s="18">
        <v>48.3641275995966</v>
      </c>
      <c r="K2544" s="4">
        <v>604.5515949949574</v>
      </c>
      <c r="L2544" s="19">
        <v>6.045515949949574E20</v>
      </c>
      <c r="M2544" s="20">
        <v>6.045515949949574E19</v>
      </c>
    </row>
    <row r="2545">
      <c r="A2545" s="6"/>
      <c r="B2545" s="6"/>
      <c r="C2545" s="4"/>
      <c r="D2545" s="4">
        <v>48.3641275995966</v>
      </c>
      <c r="E2545" s="4" t="s">
        <v>4018</v>
      </c>
      <c r="F2545" s="4"/>
      <c r="G2545" s="4"/>
      <c r="H2545" s="4"/>
      <c r="I2545" s="4" t="str">
        <f>IFERROR(__xludf.DUMMYFUNCTION("""COMPUTED_VALUE"""),"0x5f227ead31615e119bee7381e184befd22d31f3c")</f>
        <v>0x5f227ead31615e119bee7381e184befd22d31f3c</v>
      </c>
      <c r="J2545" s="18">
        <v>0.00866847003712383</v>
      </c>
      <c r="K2545" s="4">
        <v>0.10835587546404786</v>
      </c>
      <c r="L2545" s="19">
        <v>1.0835587546404786E17</v>
      </c>
      <c r="M2545" s="20">
        <v>1.0835587546404786E16</v>
      </c>
    </row>
    <row r="2546">
      <c r="A2546" s="6"/>
      <c r="B2546" s="6"/>
      <c r="C2546" s="4"/>
      <c r="D2546" s="4">
        <v>10.3759613746566</v>
      </c>
      <c r="E2546" s="4" t="s">
        <v>4019</v>
      </c>
      <c r="F2546" s="4"/>
      <c r="G2546" s="4"/>
      <c r="H2546" s="4"/>
      <c r="I2546" s="4" t="str">
        <f>IFERROR(__xludf.DUMMYFUNCTION("""COMPUTED_VALUE"""),"0x907b9c10ce7604ac5a40f7c8e71d6538b1fd76d4")</f>
        <v>0x907b9c10ce7604ac5a40f7c8e71d6538b1fd76d4</v>
      </c>
      <c r="J2546" s="18">
        <v>48.3641275995966</v>
      </c>
      <c r="K2546" s="4">
        <v>604.5515949949574</v>
      </c>
      <c r="L2546" s="19">
        <v>6.045515949949574E20</v>
      </c>
      <c r="M2546" s="20">
        <v>6.045515949949574E19</v>
      </c>
    </row>
    <row r="2547">
      <c r="A2547" s="6"/>
      <c r="B2547" s="6"/>
      <c r="C2547" s="4"/>
      <c r="D2547" s="4">
        <v>48.3641275995966</v>
      </c>
      <c r="E2547" s="4" t="s">
        <v>4021</v>
      </c>
      <c r="F2547" s="4"/>
      <c r="G2547" s="4"/>
      <c r="H2547" s="4"/>
      <c r="I2547" s="4" t="str">
        <f>IFERROR(__xludf.DUMMYFUNCTION("""COMPUTED_VALUE"""),"0x7b2f6c8caf4ecd9110c52b9c6fa073d4cb042c42")</f>
        <v>0x7b2f6c8caf4ecd9110c52b9c6fa073d4cb042c42</v>
      </c>
      <c r="J2547" s="18">
        <v>9.672825519919328</v>
      </c>
      <c r="K2547" s="4">
        <v>120.9103189989916</v>
      </c>
      <c r="L2547" s="19">
        <v>1.209103189989916E20</v>
      </c>
      <c r="M2547" s="20">
        <v>1.209103189989916E19</v>
      </c>
    </row>
    <row r="2548">
      <c r="A2548" s="6"/>
      <c r="B2548" s="6"/>
      <c r="C2548" s="4"/>
      <c r="D2548" s="4">
        <v>5.05349166247353</v>
      </c>
      <c r="E2548" s="4" t="s">
        <v>4022</v>
      </c>
      <c r="F2548" s="4"/>
      <c r="G2548" s="4"/>
      <c r="H2548" s="4"/>
      <c r="I2548" s="4" t="str">
        <f>IFERROR(__xludf.DUMMYFUNCTION("""COMPUTED_VALUE"""),"0x237910d85ffd234ec667e42650753d8be40c0a24")</f>
        <v>0x237910d85ffd234ec667e42650753d8be40c0a24</v>
      </c>
      <c r="J2548" s="18">
        <v>1.93456510398386</v>
      </c>
      <c r="K2548" s="4">
        <v>24.18206379979825</v>
      </c>
      <c r="L2548" s="19">
        <v>2.418206379979825E19</v>
      </c>
      <c r="M2548" s="20">
        <v>2.418206379979825E18</v>
      </c>
    </row>
    <row r="2549">
      <c r="A2549" s="6"/>
      <c r="B2549" s="6"/>
      <c r="C2549" s="4"/>
      <c r="D2549" s="4">
        <v>7.54200243136747</v>
      </c>
      <c r="E2549" s="4" t="s">
        <v>4024</v>
      </c>
      <c r="F2549" s="4"/>
      <c r="G2549" s="4"/>
      <c r="H2549" s="4"/>
      <c r="I2549" s="4" t="str">
        <f>IFERROR(__xludf.DUMMYFUNCTION("""COMPUTED_VALUE"""),"0x1e6180a951e82a09fcfffa7c3647d85fd6bf4572")</f>
        <v>0x1e6180a951e82a09fcfffa7c3647d85fd6bf4572</v>
      </c>
      <c r="J2549" s="18">
        <v>2.92936617092773</v>
      </c>
      <c r="K2549" s="4">
        <v>36.61707713659663</v>
      </c>
      <c r="L2549" s="19">
        <v>3.6617077136596627E19</v>
      </c>
      <c r="M2549" s="20">
        <v>3.661707713659663E18</v>
      </c>
    </row>
    <row r="2550">
      <c r="A2550" s="6"/>
      <c r="B2550" s="6"/>
      <c r="C2550" s="4"/>
      <c r="D2550" s="4">
        <v>48.3641275995966</v>
      </c>
      <c r="E2550" s="4" t="s">
        <v>4026</v>
      </c>
      <c r="F2550" s="4"/>
      <c r="G2550" s="4"/>
      <c r="H2550" s="4"/>
      <c r="I2550" s="4" t="str">
        <f>IFERROR(__xludf.DUMMYFUNCTION("""COMPUTED_VALUE"""),"0x75175e8304db8d0bf57b571a99c9ca4e1cd8d4fa")</f>
        <v>0x75175e8304db8d0bf57b571a99c9ca4e1cd8d4fa</v>
      </c>
      <c r="J2550" s="18">
        <v>48.3641275995966</v>
      </c>
      <c r="K2550" s="4">
        <v>604.5515949949574</v>
      </c>
      <c r="L2550" s="19">
        <v>6.045515949949574E20</v>
      </c>
      <c r="M2550" s="20">
        <v>6.045515949949574E19</v>
      </c>
    </row>
    <row r="2551">
      <c r="A2551" s="6"/>
      <c r="B2551" s="6"/>
      <c r="C2551" s="4"/>
      <c r="D2551" s="4">
        <v>48.3641275995966</v>
      </c>
      <c r="E2551" s="4" t="s">
        <v>4027</v>
      </c>
      <c r="F2551" s="4"/>
      <c r="G2551" s="4"/>
      <c r="H2551" s="4"/>
      <c r="I2551" s="4" t="str">
        <f>IFERROR(__xludf.DUMMYFUNCTION("""COMPUTED_VALUE"""),"0xbd58d504978152c9721e83a9475abf05c8fdf9f4")</f>
        <v>0xbd58d504978152c9721e83a9475abf05c8fdf9f4</v>
      </c>
      <c r="J2551" s="18">
        <v>48.339163676473596</v>
      </c>
      <c r="K2551" s="4">
        <v>604.23954595592</v>
      </c>
      <c r="L2551" s="19">
        <v>6.0423954595592E20</v>
      </c>
      <c r="M2551" s="20">
        <v>6.0423954595592E19</v>
      </c>
    </row>
    <row r="2552">
      <c r="A2552" s="6"/>
      <c r="B2552" s="6"/>
      <c r="C2552" s="4"/>
      <c r="D2552" s="4">
        <v>48.3641275995966</v>
      </c>
      <c r="E2552" s="4" t="s">
        <v>4028</v>
      </c>
      <c r="F2552" s="4"/>
      <c r="G2552" s="4"/>
      <c r="H2552" s="4"/>
      <c r="I2552" s="4" t="str">
        <f>IFERROR(__xludf.DUMMYFUNCTION("""COMPUTED_VALUE"""),"0x08fd006ebc24e1d4a326296c4bb1da322f0a8066")</f>
        <v>0x08fd006ebc24e1d4a326296c4bb1da322f0a8066</v>
      </c>
      <c r="J2552" s="18">
        <v>44.5342803007415</v>
      </c>
      <c r="K2552" s="4">
        <v>556.6785037592688</v>
      </c>
      <c r="L2552" s="19">
        <v>5.566785037592688E20</v>
      </c>
      <c r="M2552" s="20">
        <v>5.566785037592688E19</v>
      </c>
    </row>
    <row r="2553">
      <c r="A2553" s="6"/>
      <c r="B2553" s="6"/>
      <c r="C2553" s="4"/>
      <c r="D2553" s="4">
        <v>48.3641275995966</v>
      </c>
      <c r="E2553" s="4" t="s">
        <v>4029</v>
      </c>
      <c r="F2553" s="4"/>
      <c r="G2553" s="4"/>
      <c r="H2553" s="4"/>
      <c r="I2553" s="4" t="str">
        <f>IFERROR(__xludf.DUMMYFUNCTION("""COMPUTED_VALUE"""),"0xaec5b152d40a5373b0430cbe85d98de013d17dcd")</f>
        <v>0xaec5b152d40a5373b0430cbe85d98de013d17dcd</v>
      </c>
      <c r="J2553" s="18">
        <v>9.86628203031772</v>
      </c>
      <c r="K2553" s="4">
        <v>123.32852537897149</v>
      </c>
      <c r="L2553" s="19">
        <v>1.2332852537897148E20</v>
      </c>
      <c r="M2553" s="20">
        <v>1.2332852537897148E19</v>
      </c>
    </row>
    <row r="2554">
      <c r="A2554" s="6"/>
      <c r="B2554" s="6"/>
      <c r="C2554" s="4"/>
      <c r="D2554" s="4">
        <v>2.8087162614853898</v>
      </c>
      <c r="E2554" s="4" t="s">
        <v>4030</v>
      </c>
      <c r="F2554" s="4"/>
      <c r="G2554" s="4"/>
      <c r="H2554" s="4"/>
      <c r="I2554" s="4" t="str">
        <f>IFERROR(__xludf.DUMMYFUNCTION("""COMPUTED_VALUE"""),"0x880fb66b565e9a7ae539efd781b4c0ce995f0339")</f>
        <v>0x880fb66b565e9a7ae539efd781b4c0ce995f0339</v>
      </c>
      <c r="J2554" s="18">
        <v>48.3641275995966</v>
      </c>
      <c r="K2554" s="4">
        <v>604.5515949949574</v>
      </c>
      <c r="L2554" s="19">
        <v>6.045515949949574E20</v>
      </c>
      <c r="M2554" s="20">
        <v>6.045515949949574E19</v>
      </c>
    </row>
    <row r="2555">
      <c r="A2555" s="6"/>
      <c r="B2555" s="6"/>
      <c r="C2555" s="4"/>
      <c r="D2555" s="4">
        <v>26.052708137965602</v>
      </c>
      <c r="E2555" s="4" t="s">
        <v>4032</v>
      </c>
      <c r="F2555" s="4"/>
      <c r="G2555" s="4"/>
      <c r="H2555" s="4"/>
      <c r="I2555" s="4" t="str">
        <f>IFERROR(__xludf.DUMMYFUNCTION("""COMPUTED_VALUE"""),"0xc91e1fe38681e86dfbafd1f8b78ec421f7c3f880")</f>
        <v>0xc91e1fe38681e86dfbafd1f8b78ec421f7c3f880</v>
      </c>
      <c r="J2555" s="18">
        <v>9.672825519919328</v>
      </c>
      <c r="K2555" s="4">
        <v>120.9103189989916</v>
      </c>
      <c r="L2555" s="19">
        <v>1.209103189989916E20</v>
      </c>
      <c r="M2555" s="20">
        <v>1.209103189989916E19</v>
      </c>
    </row>
    <row r="2556">
      <c r="A2556" s="6"/>
      <c r="B2556" s="6"/>
      <c r="C2556" s="4"/>
      <c r="D2556" s="4">
        <v>9.75692747033457</v>
      </c>
      <c r="E2556" s="4" t="s">
        <v>4034</v>
      </c>
      <c r="F2556" s="4"/>
      <c r="G2556" s="4"/>
      <c r="H2556" s="4"/>
      <c r="I2556" s="4" t="str">
        <f>IFERROR(__xludf.DUMMYFUNCTION("""COMPUTED_VALUE"""),"0xf062921a1ff8becc04705789afcb94763fd60cd8")</f>
        <v>0xf062921a1ff8becc04705789afcb94763fd60cd8</v>
      </c>
      <c r="J2556" s="18">
        <v>125.4332016851212</v>
      </c>
      <c r="K2556" s="4">
        <v>1567.915021064015</v>
      </c>
      <c r="L2556" s="19">
        <v>1.567915021064015E21</v>
      </c>
      <c r="M2556" s="20">
        <v>1.567915021064015E20</v>
      </c>
    </row>
    <row r="2557">
      <c r="A2557" s="6"/>
      <c r="B2557" s="6"/>
      <c r="C2557" s="4"/>
      <c r="D2557" s="4">
        <v>0.44411125496264103</v>
      </c>
      <c r="E2557" s="4" t="s">
        <v>4036</v>
      </c>
      <c r="F2557" s="4"/>
      <c r="G2557" s="4"/>
      <c r="H2557" s="4"/>
      <c r="I2557" s="4" t="str">
        <f>IFERROR(__xludf.DUMMYFUNCTION("""COMPUTED_VALUE"""),"0xf6792aa197c4bc6a1d80c3ca3009592db47f6923")</f>
        <v>0xf6792aa197c4bc6a1d80c3ca3009592db47f6923</v>
      </c>
      <c r="J2557" s="18">
        <v>48.3641275995966</v>
      </c>
      <c r="K2557" s="4">
        <v>604.5515949949574</v>
      </c>
      <c r="L2557" s="19">
        <v>6.045515949949574E20</v>
      </c>
      <c r="M2557" s="20">
        <v>6.045515949949574E19</v>
      </c>
    </row>
    <row r="2558">
      <c r="A2558" s="6"/>
      <c r="B2558" s="6"/>
      <c r="C2558" s="4"/>
      <c r="D2558" s="4">
        <v>40.0026052143712</v>
      </c>
      <c r="E2558" s="4" t="s">
        <v>4038</v>
      </c>
      <c r="F2558" s="4"/>
      <c r="G2558" s="4"/>
      <c r="H2558" s="4"/>
      <c r="I2558" s="4" t="str">
        <f>IFERROR(__xludf.DUMMYFUNCTION("""COMPUTED_VALUE"""),"0x5095cda21175ebd99efedd31226347de850a53da")</f>
        <v>0x5095cda21175ebd99efedd31226347de850a53da</v>
      </c>
      <c r="J2558" s="18">
        <v>10.190458464404601</v>
      </c>
      <c r="K2558" s="4">
        <v>127.38073080505751</v>
      </c>
      <c r="L2558" s="19">
        <v>1.273807308050575E20</v>
      </c>
      <c r="M2558" s="20">
        <v>1.2738073080505752E19</v>
      </c>
    </row>
    <row r="2559">
      <c r="A2559" s="6"/>
      <c r="B2559" s="6"/>
      <c r="C2559" s="4"/>
      <c r="D2559" s="4">
        <v>18.600672185988003</v>
      </c>
      <c r="E2559" s="4" t="s">
        <v>4040</v>
      </c>
      <c r="F2559" s="4"/>
      <c r="G2559" s="4"/>
      <c r="H2559" s="4"/>
      <c r="I2559" s="4" t="str">
        <f>IFERROR(__xludf.DUMMYFUNCTION("""COMPUTED_VALUE"""),"0x357a403636a6a95bb31b4be3a798a49a87502a8f")</f>
        <v>0x357a403636a6a95bb31b4be3a798a49a87502a8f</v>
      </c>
      <c r="J2559" s="18">
        <v>197.1888980937886</v>
      </c>
      <c r="K2559" s="4">
        <v>2464.8612261723574</v>
      </c>
      <c r="L2559" s="19">
        <v>2.4648612261723573E21</v>
      </c>
      <c r="M2559" s="20">
        <v>2.4648612261723573E20</v>
      </c>
    </row>
    <row r="2560">
      <c r="A2560" s="6"/>
      <c r="B2560" s="6"/>
      <c r="C2560" s="4"/>
      <c r="D2560" s="4">
        <v>10.2086580024112</v>
      </c>
      <c r="E2560" s="4" t="s">
        <v>4042</v>
      </c>
      <c r="F2560" s="4"/>
      <c r="G2560" s="4"/>
      <c r="H2560" s="4"/>
      <c r="I2560" s="4" t="str">
        <f>IFERROR(__xludf.DUMMYFUNCTION("""COMPUTED_VALUE"""),"0x85d2762ee705c69cce22d940cd111e04de3f61b0")</f>
        <v>0x85d2762ee705c69cce22d940cd111e04de3f61b0</v>
      </c>
      <c r="J2560" s="18">
        <v>48.3641275995966</v>
      </c>
      <c r="K2560" s="4">
        <v>604.5515949949574</v>
      </c>
      <c r="L2560" s="19">
        <v>6.045515949949574E20</v>
      </c>
      <c r="M2560" s="20">
        <v>6.045515949949574E19</v>
      </c>
    </row>
    <row r="2561">
      <c r="A2561" s="6"/>
      <c r="B2561" s="6"/>
      <c r="C2561" s="4"/>
      <c r="D2561" s="4">
        <v>48.3641275995966</v>
      </c>
      <c r="E2561" s="4" t="s">
        <v>4044</v>
      </c>
      <c r="F2561" s="4"/>
      <c r="G2561" s="4"/>
      <c r="H2561" s="4"/>
      <c r="I2561" s="4" t="str">
        <f>IFERROR(__xludf.DUMMYFUNCTION("""COMPUTED_VALUE"""),"0xd7e51bfe897160b62556874296ea925801a0e909")</f>
        <v>0xd7e51bfe897160b62556874296ea925801a0e909</v>
      </c>
      <c r="J2561" s="18">
        <v>197.05866427369858</v>
      </c>
      <c r="K2561" s="4">
        <v>2463.2333034212324</v>
      </c>
      <c r="L2561" s="19">
        <v>2.4632333034212326E21</v>
      </c>
      <c r="M2561" s="20">
        <v>2.4632333034212327E20</v>
      </c>
    </row>
    <row r="2562">
      <c r="A2562" s="6"/>
      <c r="B2562" s="6"/>
      <c r="C2562" s="4"/>
      <c r="D2562" s="4">
        <v>42.7233825595644</v>
      </c>
      <c r="E2562" s="4" t="s">
        <v>4045</v>
      </c>
      <c r="F2562" s="4"/>
      <c r="G2562" s="4"/>
      <c r="H2562" s="4"/>
      <c r="I2562" s="4" t="str">
        <f>IFERROR(__xludf.DUMMYFUNCTION("""COMPUTED_VALUE"""),"0x3721df05b632f15c463118c3f2a176d573a3e55e")</f>
        <v>0x3721df05b632f15c463118c3f2a176d573a3e55e</v>
      </c>
      <c r="J2562" s="18">
        <v>48.3641275995966</v>
      </c>
      <c r="K2562" s="4">
        <v>604.5515949949574</v>
      </c>
      <c r="L2562" s="19">
        <v>6.045515949949574E20</v>
      </c>
      <c r="M2562" s="20">
        <v>6.045515949949574E19</v>
      </c>
    </row>
    <row r="2563">
      <c r="A2563" s="6"/>
      <c r="B2563" s="6"/>
      <c r="C2563" s="4"/>
      <c r="D2563" s="4">
        <v>19.3456510398386</v>
      </c>
      <c r="E2563" s="4" t="s">
        <v>1313</v>
      </c>
      <c r="F2563" s="4"/>
      <c r="G2563" s="4"/>
      <c r="H2563" s="4"/>
      <c r="I2563" s="4" t="str">
        <f>IFERROR(__xludf.DUMMYFUNCTION("""COMPUTED_VALUE"""),"0xad78f00a90778feab93bee2b7744094ce544bbdc")</f>
        <v>0xad78f00a90778feab93bee2b7744094ce544bbdc</v>
      </c>
      <c r="J2563" s="18">
        <v>42.9923796962475</v>
      </c>
      <c r="K2563" s="4">
        <v>537.4047462030937</v>
      </c>
      <c r="L2563" s="19">
        <v>5.374047462030937E20</v>
      </c>
      <c r="M2563" s="20">
        <v>5.374047462030937E19</v>
      </c>
    </row>
    <row r="2564">
      <c r="A2564" s="6"/>
      <c r="B2564" s="6"/>
      <c r="C2564" s="4"/>
      <c r="D2564" s="4">
        <v>5.129492383730369</v>
      </c>
      <c r="E2564" s="4" t="s">
        <v>4047</v>
      </c>
      <c r="F2564" s="4"/>
      <c r="G2564" s="4"/>
      <c r="H2564" s="4"/>
      <c r="I2564" s="4" t="str">
        <f>IFERROR(__xludf.DUMMYFUNCTION("""COMPUTED_VALUE"""),"0xe4bab81653e0c351d98c52d46305830ed23abba9")</f>
        <v>0xe4bab81653e0c351d98c52d46305830ed23abba9</v>
      </c>
      <c r="J2564" s="18">
        <v>4.78829340076268</v>
      </c>
      <c r="K2564" s="4">
        <v>59.8536675095335</v>
      </c>
      <c r="L2564" s="19">
        <v>5.98536675095335E19</v>
      </c>
      <c r="M2564" s="20">
        <v>5.98536675095335E18</v>
      </c>
    </row>
    <row r="2565">
      <c r="A2565" s="6"/>
      <c r="B2565" s="6"/>
      <c r="C2565" s="4"/>
      <c r="D2565" s="4">
        <v>35.1622960226536</v>
      </c>
      <c r="E2565" s="4" t="s">
        <v>4049</v>
      </c>
      <c r="F2565" s="4"/>
      <c r="G2565" s="4"/>
      <c r="H2565" s="4"/>
      <c r="I2565" s="4" t="str">
        <f>IFERROR(__xludf.DUMMYFUNCTION("""COMPUTED_VALUE"""),"0xc2cf21e9ee90587fbb26a56bc489cedf2482cf7a")</f>
        <v>0xc2cf21e9ee90587fbb26a56bc489cedf2482cf7a</v>
      </c>
      <c r="J2565" s="18">
        <v>5.8036953119516</v>
      </c>
      <c r="K2565" s="4">
        <v>72.546191399395</v>
      </c>
      <c r="L2565" s="19">
        <v>7.2546191399395E19</v>
      </c>
      <c r="M2565" s="20">
        <v>7.2546191399395E18</v>
      </c>
    </row>
    <row r="2566">
      <c r="A2566" s="6"/>
      <c r="B2566" s="6"/>
      <c r="C2566" s="4"/>
      <c r="D2566" s="4">
        <v>48.3641275995966</v>
      </c>
      <c r="E2566" s="4" t="s">
        <v>4051</v>
      </c>
      <c r="F2566" s="4"/>
      <c r="G2566" s="4"/>
      <c r="H2566" s="4"/>
      <c r="I2566" s="4" t="str">
        <f>IFERROR(__xludf.DUMMYFUNCTION("""COMPUTED_VALUE"""),"0xa178d98a12e21d0fe7f3309640ac9c1622a1f67c")</f>
        <v>0xa178d98a12e21d0fe7f3309640ac9c1622a1f67c</v>
      </c>
      <c r="J2566" s="18">
        <v>28.64624905021364</v>
      </c>
      <c r="K2566" s="4">
        <v>358.0781131276705</v>
      </c>
      <c r="L2566" s="19">
        <v>3.5807811312767055E20</v>
      </c>
      <c r="M2566" s="20">
        <v>3.5807811312767058E19</v>
      </c>
    </row>
    <row r="2567">
      <c r="A2567" s="6"/>
      <c r="B2567" s="6"/>
      <c r="C2567" s="4"/>
      <c r="D2567" s="4">
        <v>9.672825519919328</v>
      </c>
      <c r="E2567" s="4" t="s">
        <v>4052</v>
      </c>
      <c r="F2567" s="4"/>
      <c r="G2567" s="4"/>
      <c r="H2567" s="4"/>
      <c r="I2567" s="4" t="str">
        <f>IFERROR(__xludf.DUMMYFUNCTION("""COMPUTED_VALUE"""),"0xfdb2420e4b9011029ac1fb6a09a96f5b807f9638")</f>
        <v>0xfdb2420e4b9011029ac1fb6a09a96f5b807f9638</v>
      </c>
      <c r="J2567" s="18">
        <v>28.8794370043529</v>
      </c>
      <c r="K2567" s="4">
        <v>360.99296255441124</v>
      </c>
      <c r="L2567" s="19">
        <v>3.609929625544112E20</v>
      </c>
      <c r="M2567" s="20">
        <v>3.6099296255441125E19</v>
      </c>
    </row>
    <row r="2568">
      <c r="A2568" s="6"/>
      <c r="B2568" s="6"/>
      <c r="C2568" s="4"/>
      <c r="D2568" s="4">
        <v>40.687904272962506</v>
      </c>
      <c r="E2568" s="4" t="s">
        <v>4053</v>
      </c>
      <c r="F2568" s="4"/>
      <c r="G2568" s="4"/>
      <c r="H2568" s="4"/>
      <c r="I2568" s="4" t="str">
        <f>IFERROR(__xludf.DUMMYFUNCTION("""COMPUTED_VALUE"""),"0x96db40d544bfd57cd9612dabacebb666d1d81bda")</f>
        <v>0x96db40d544bfd57cd9612dabacebb666d1d81bda</v>
      </c>
      <c r="J2568" s="18">
        <v>2.72924273475089</v>
      </c>
      <c r="K2568" s="4">
        <v>34.11553418438613</v>
      </c>
      <c r="L2568" s="19">
        <v>3.411553418438613E19</v>
      </c>
      <c r="M2568" s="20">
        <v>3.411553418438613E18</v>
      </c>
    </row>
    <row r="2569">
      <c r="A2569" s="6"/>
      <c r="B2569" s="6"/>
      <c r="C2569" s="4"/>
      <c r="D2569" s="4">
        <v>48.3641275995966</v>
      </c>
      <c r="E2569" s="4" t="s">
        <v>4055</v>
      </c>
      <c r="F2569" s="4"/>
      <c r="G2569" s="4"/>
      <c r="H2569" s="4"/>
      <c r="I2569" s="4" t="str">
        <f>IFERROR(__xludf.DUMMYFUNCTION("""COMPUTED_VALUE"""),"0xbca7f311127e2d550849fbd01b3992467729b14b")</f>
        <v>0xbca7f311127e2d550849fbd01b3992467729b14b</v>
      </c>
      <c r="J2569" s="18">
        <v>58.7807973712166</v>
      </c>
      <c r="K2569" s="4">
        <v>734.7599671402074</v>
      </c>
      <c r="L2569" s="19">
        <v>7.347599671402074E20</v>
      </c>
      <c r="M2569" s="20">
        <v>7.347599671402074E19</v>
      </c>
    </row>
    <row r="2570">
      <c r="A2570" s="6"/>
      <c r="B2570" s="6"/>
      <c r="C2570" s="4"/>
      <c r="D2570" s="4">
        <v>4.73907946902976</v>
      </c>
      <c r="E2570" s="4" t="s">
        <v>274</v>
      </c>
      <c r="F2570" s="4"/>
      <c r="G2570" s="4"/>
      <c r="H2570" s="4"/>
      <c r="I2570" s="4" t="str">
        <f>IFERROR(__xludf.DUMMYFUNCTION("""COMPUTED_VALUE"""),"0x0c56a4db80cf27c278ddfe6419e99c8c304c10f4")</f>
        <v>0x0c56a4db80cf27c278ddfe6419e99c8c304c10f4</v>
      </c>
      <c r="J2570" s="18">
        <v>9.672825519919328</v>
      </c>
      <c r="K2570" s="4">
        <v>120.9103189989916</v>
      </c>
      <c r="L2570" s="19">
        <v>1.209103189989916E20</v>
      </c>
      <c r="M2570" s="20">
        <v>1.209103189989916E19</v>
      </c>
    </row>
    <row r="2571">
      <c r="A2571" s="6"/>
      <c r="B2571" s="6"/>
      <c r="C2571" s="4"/>
      <c r="D2571" s="4">
        <v>48.3641275995966</v>
      </c>
      <c r="E2571" s="4" t="s">
        <v>4057</v>
      </c>
      <c r="F2571" s="4"/>
      <c r="G2571" s="4"/>
      <c r="H2571" s="4"/>
      <c r="I2571" s="4" t="str">
        <f>IFERROR(__xludf.DUMMYFUNCTION("""COMPUTED_VALUE"""),"0xc17df4c5d48acfd2512cb5bdcd39fb9bc4e6036c")</f>
        <v>0xc17df4c5d48acfd2512cb5bdcd39fb9bc4e6036c</v>
      </c>
      <c r="J2571" s="18">
        <v>9.672825519919328</v>
      </c>
      <c r="K2571" s="4">
        <v>120.9103189989916</v>
      </c>
      <c r="L2571" s="19">
        <v>1.209103189989916E20</v>
      </c>
      <c r="M2571" s="20">
        <v>1.209103189989916E19</v>
      </c>
    </row>
    <row r="2572">
      <c r="A2572" s="6"/>
      <c r="B2572" s="6"/>
      <c r="C2572" s="4"/>
      <c r="D2572" s="4">
        <v>48.3641275995966</v>
      </c>
      <c r="E2572" s="4" t="s">
        <v>4058</v>
      </c>
      <c r="F2572" s="4"/>
      <c r="G2572" s="4"/>
      <c r="H2572" s="4"/>
      <c r="I2572" s="4" t="str">
        <f>IFERROR(__xludf.DUMMYFUNCTION("""COMPUTED_VALUE"""),"0x2e6ab1b26c6a8763719d7aefead6611b11ccb1dd")</f>
        <v>0x2e6ab1b26c6a8763719d7aefead6611b11ccb1dd</v>
      </c>
      <c r="J2572" s="18">
        <v>9.82201688305559</v>
      </c>
      <c r="K2572" s="4">
        <v>122.77521103819487</v>
      </c>
      <c r="L2572" s="19">
        <v>1.2277521103819488E20</v>
      </c>
      <c r="M2572" s="20">
        <v>1.227752110381949E19</v>
      </c>
    </row>
    <row r="2573">
      <c r="A2573" s="6"/>
      <c r="B2573" s="6"/>
      <c r="C2573" s="4"/>
      <c r="D2573" s="4">
        <v>19.3446727633466</v>
      </c>
      <c r="E2573" s="4" t="s">
        <v>4059</v>
      </c>
      <c r="F2573" s="4"/>
      <c r="G2573" s="4"/>
      <c r="H2573" s="4"/>
      <c r="I2573" s="4" t="str">
        <f>IFERROR(__xludf.DUMMYFUNCTION("""COMPUTED_VALUE"""),"0x65c17e13b5e26c2f95fb9082e347d3c448f0416d")</f>
        <v>0x65c17e13b5e26c2f95fb9082e347d3c448f0416d</v>
      </c>
      <c r="J2573" s="18">
        <v>17.04218912794165</v>
      </c>
      <c r="K2573" s="4">
        <v>213.02736409927064</v>
      </c>
      <c r="L2573" s="19">
        <v>2.1302736409927064E20</v>
      </c>
      <c r="M2573" s="20">
        <v>2.1302736409927066E19</v>
      </c>
    </row>
    <row r="2574">
      <c r="A2574" s="6"/>
      <c r="B2574" s="6"/>
      <c r="C2574" s="4"/>
      <c r="D2574" s="4">
        <v>46.253996429678104</v>
      </c>
      <c r="E2574" s="4" t="s">
        <v>4061</v>
      </c>
      <c r="F2574" s="4"/>
      <c r="G2574" s="4"/>
      <c r="H2574" s="4"/>
      <c r="I2574" s="4" t="str">
        <f>IFERROR(__xludf.DUMMYFUNCTION("""COMPUTED_VALUE"""),"0x4efa29c10092d73e616c48a968f1b18944d78153")</f>
        <v>0x4efa29c10092d73e616c48a968f1b18944d78153</v>
      </c>
      <c r="J2574" s="18">
        <v>52.10017951958351</v>
      </c>
      <c r="K2574" s="4">
        <v>651.2522439947938</v>
      </c>
      <c r="L2574" s="19">
        <v>6.512522439947939E20</v>
      </c>
      <c r="M2574" s="20">
        <v>6.512522439947939E19</v>
      </c>
    </row>
    <row r="2575">
      <c r="A2575" s="6"/>
      <c r="B2575" s="6"/>
      <c r="C2575" s="4"/>
      <c r="D2575" s="4">
        <v>19.4322161034957</v>
      </c>
      <c r="E2575" s="4" t="s">
        <v>4063</v>
      </c>
      <c r="F2575" s="4"/>
      <c r="G2575" s="4"/>
      <c r="H2575" s="4"/>
      <c r="I2575" s="4" t="str">
        <f>IFERROR(__xludf.DUMMYFUNCTION("""COMPUTED_VALUE"""),"0x0fc0ca2d4943aae688642e35c7f63eeca9c3f33b")</f>
        <v>0x0fc0ca2d4943aae688642e35c7f63eeca9c3f33b</v>
      </c>
      <c r="J2575" s="18">
        <v>10.795807391954801</v>
      </c>
      <c r="K2575" s="4">
        <v>134.947592399435</v>
      </c>
      <c r="L2575" s="19">
        <v>1.3494759239943499E20</v>
      </c>
      <c r="M2575" s="20">
        <v>1.34947592399435E19</v>
      </c>
    </row>
    <row r="2576">
      <c r="A2576" s="6"/>
      <c r="B2576" s="6"/>
      <c r="C2576" s="4"/>
      <c r="D2576" s="4">
        <v>48.3641275995966</v>
      </c>
      <c r="E2576" s="4" t="s">
        <v>792</v>
      </c>
      <c r="F2576" s="4"/>
      <c r="G2576" s="4"/>
      <c r="H2576" s="4"/>
      <c r="I2576" s="4" t="str">
        <f>IFERROR(__xludf.DUMMYFUNCTION("""COMPUTED_VALUE"""),"0xc3acc284b19a17e4e8fdc3e8d9c1858299b44e88")</f>
        <v>0xc3acc284b19a17e4e8fdc3e8d9c1858299b44e88</v>
      </c>
      <c r="J2576" s="18">
        <v>48.3641275995966</v>
      </c>
      <c r="K2576" s="4">
        <v>604.5515949949574</v>
      </c>
      <c r="L2576" s="19">
        <v>6.045515949949574E20</v>
      </c>
      <c r="M2576" s="20">
        <v>6.045515949949574E19</v>
      </c>
    </row>
    <row r="2577">
      <c r="A2577" s="6"/>
      <c r="B2577" s="6"/>
      <c r="C2577" s="4"/>
      <c r="D2577" s="4">
        <v>48.3641275995966</v>
      </c>
      <c r="E2577" s="4" t="s">
        <v>4065</v>
      </c>
      <c r="F2577" s="4"/>
      <c r="G2577" s="4"/>
      <c r="H2577" s="4"/>
      <c r="I2577" s="4" t="str">
        <f>IFERROR(__xludf.DUMMYFUNCTION("""COMPUTED_VALUE"""),"0x3185c0d210449200d83f6fdb77eeda547562743e")</f>
        <v>0x3185c0d210449200d83f6fdb77eeda547562743e</v>
      </c>
      <c r="J2577" s="18">
        <v>9.672825519919328</v>
      </c>
      <c r="K2577" s="4">
        <v>120.9103189989916</v>
      </c>
      <c r="L2577" s="19">
        <v>1.209103189989916E20</v>
      </c>
      <c r="M2577" s="20">
        <v>1.209103189989916E19</v>
      </c>
    </row>
    <row r="2578">
      <c r="A2578" s="6"/>
      <c r="B2578" s="6"/>
      <c r="C2578" s="4"/>
      <c r="D2578" s="4">
        <v>39.88160366716</v>
      </c>
      <c r="E2578" s="4" t="s">
        <v>4066</v>
      </c>
      <c r="F2578" s="4"/>
      <c r="G2578" s="4"/>
      <c r="H2578" s="4"/>
      <c r="I2578" s="4" t="str">
        <f>IFERROR(__xludf.DUMMYFUNCTION("""COMPUTED_VALUE"""),"0xb8e78e05420e7e678cf830bb6f9774be72208d5e")</f>
        <v>0xb8e78e05420e7e678cf830bb6f9774be72208d5e</v>
      </c>
      <c r="J2578" s="18">
        <v>48.3641275995966</v>
      </c>
      <c r="K2578" s="4">
        <v>604.5515949949574</v>
      </c>
      <c r="L2578" s="19">
        <v>6.045515949949574E20</v>
      </c>
      <c r="M2578" s="20">
        <v>6.045515949949574E19</v>
      </c>
    </row>
    <row r="2579">
      <c r="A2579" s="6"/>
      <c r="B2579" s="6"/>
      <c r="C2579" s="4"/>
      <c r="D2579" s="4">
        <v>48.3641275995966</v>
      </c>
      <c r="E2579" s="4" t="s">
        <v>4068</v>
      </c>
      <c r="F2579" s="4"/>
      <c r="G2579" s="4"/>
      <c r="H2579" s="4"/>
      <c r="I2579" s="4" t="str">
        <f>IFERROR(__xludf.DUMMYFUNCTION("""COMPUTED_VALUE"""),"0xfa0ff66fca619f01fe7b5917e49605d5d31ab9e3")</f>
        <v>0xfa0ff66fca619f01fe7b5917e49605d5d31ab9e3</v>
      </c>
      <c r="J2579" s="18">
        <v>5.00137030995992</v>
      </c>
      <c r="K2579" s="4">
        <v>62.517128874498994</v>
      </c>
      <c r="L2579" s="19">
        <v>6.251712887449899E19</v>
      </c>
      <c r="M2579" s="20">
        <v>6.251712887449899E18</v>
      </c>
    </row>
    <row r="2580">
      <c r="A2580" s="6"/>
      <c r="B2580" s="6"/>
      <c r="C2580" s="4"/>
      <c r="D2580" s="4">
        <v>6.369442736402441</v>
      </c>
      <c r="E2580" s="4" t="s">
        <v>1407</v>
      </c>
      <c r="F2580" s="4"/>
      <c r="G2580" s="4"/>
      <c r="H2580" s="4"/>
      <c r="I2580" s="4" t="str">
        <f>IFERROR(__xludf.DUMMYFUNCTION("""COMPUTED_VALUE"""),"0x41d43ea3416d23fca245407b5b474423ea2fdd69")</f>
        <v>0x41d43ea3416d23fca245407b5b474423ea2fdd69</v>
      </c>
      <c r="J2580" s="18">
        <v>139.9544714201455</v>
      </c>
      <c r="K2580" s="4">
        <v>1749.4308927518186</v>
      </c>
      <c r="L2580" s="19">
        <v>1.7494308927518186E21</v>
      </c>
      <c r="M2580" s="20">
        <v>1.7494308927518186E20</v>
      </c>
    </row>
    <row r="2581">
      <c r="A2581" s="6"/>
      <c r="B2581" s="6"/>
      <c r="C2581" s="4"/>
      <c r="D2581" s="4">
        <v>8.87872802716068</v>
      </c>
      <c r="E2581" s="4" t="s">
        <v>4070</v>
      </c>
      <c r="F2581" s="4"/>
      <c r="G2581" s="4"/>
      <c r="H2581" s="4"/>
      <c r="I2581" s="4" t="str">
        <f>IFERROR(__xludf.DUMMYFUNCTION("""COMPUTED_VALUE"""),"0x6c5b9d3e3f6e8d28b0a27bd8aabe8e160370d521")</f>
        <v>0x6c5b9d3e3f6e8d28b0a27bd8aabe8e160370d521</v>
      </c>
      <c r="J2581" s="18">
        <v>88.4151181442789</v>
      </c>
      <c r="K2581" s="4">
        <v>1105.1889768034864</v>
      </c>
      <c r="L2581" s="19">
        <v>1.1051889768034864E21</v>
      </c>
      <c r="M2581" s="20">
        <v>1.1051889768034864E20</v>
      </c>
    </row>
    <row r="2582">
      <c r="A2582" s="6"/>
      <c r="B2582" s="6"/>
      <c r="C2582" s="4"/>
      <c r="D2582" s="4">
        <v>32.9314828330175</v>
      </c>
      <c r="E2582" s="4" t="s">
        <v>4072</v>
      </c>
      <c r="F2582" s="4"/>
      <c r="G2582" s="4"/>
      <c r="H2582" s="4"/>
      <c r="I2582" s="4" t="str">
        <f>IFERROR(__xludf.DUMMYFUNCTION("""COMPUTED_VALUE"""),"0x3d19fecb5810974cccb29d110e29e8b34509d357")</f>
        <v>0x3d19fecb5810974cccb29d110e29e8b34509d357</v>
      </c>
      <c r="J2582" s="18">
        <v>48.3641275995966</v>
      </c>
      <c r="K2582" s="4">
        <v>604.5515949949574</v>
      </c>
      <c r="L2582" s="19">
        <v>6.045515949949574E20</v>
      </c>
      <c r="M2582" s="20">
        <v>6.045515949949574E19</v>
      </c>
    </row>
    <row r="2583">
      <c r="A2583" s="6"/>
      <c r="B2583" s="6"/>
      <c r="C2583" s="4"/>
      <c r="D2583" s="4">
        <v>48.3641275995966</v>
      </c>
      <c r="E2583" s="4" t="s">
        <v>4074</v>
      </c>
      <c r="F2583" s="4"/>
      <c r="G2583" s="4"/>
      <c r="H2583" s="4"/>
      <c r="I2583" s="4" t="str">
        <f>IFERROR(__xludf.DUMMYFUNCTION("""COMPUTED_VALUE"""),"0x665e617106637aec39d92f89168dbc3941f8f0a2")</f>
        <v>0x665e617106637aec39d92f89168dbc3941f8f0a2</v>
      </c>
      <c r="J2583" s="18">
        <v>57.66472560997164</v>
      </c>
      <c r="K2583" s="4">
        <v>720.8090701246455</v>
      </c>
      <c r="L2583" s="19">
        <v>7.208090701246455E20</v>
      </c>
      <c r="M2583" s="20">
        <v>7.208090701246455E19</v>
      </c>
    </row>
    <row r="2584">
      <c r="A2584" s="6"/>
      <c r="B2584" s="6"/>
      <c r="C2584" s="4"/>
      <c r="D2584" s="4">
        <v>19.539107550237</v>
      </c>
      <c r="E2584" s="4" t="s">
        <v>4075</v>
      </c>
      <c r="F2584" s="4"/>
      <c r="G2584" s="4"/>
      <c r="H2584" s="4"/>
      <c r="I2584" s="4" t="str">
        <f>IFERROR(__xludf.DUMMYFUNCTION("""COMPUTED_VALUE"""),"0x040ad321a438ab2fcb8bae04757a13c4b058515b")</f>
        <v>0x040ad321a438ab2fcb8bae04757a13c4b058515b</v>
      </c>
      <c r="J2584" s="18">
        <v>199.5794285735968</v>
      </c>
      <c r="K2584" s="4">
        <v>2494.7428571699597</v>
      </c>
      <c r="L2584" s="19">
        <v>2.49474285716996E21</v>
      </c>
      <c r="M2584" s="20">
        <v>2.49474285716996E20</v>
      </c>
    </row>
    <row r="2585">
      <c r="A2585" s="6"/>
      <c r="B2585" s="6"/>
      <c r="C2585" s="4"/>
      <c r="D2585" s="4">
        <v>48.3641275995966</v>
      </c>
      <c r="E2585" s="4" t="s">
        <v>4076</v>
      </c>
      <c r="F2585" s="4"/>
      <c r="G2585" s="4"/>
      <c r="H2585" s="4"/>
      <c r="I2585" s="4" t="str">
        <f>IFERROR(__xludf.DUMMYFUNCTION("""COMPUTED_VALUE"""),"0x88d2736f4288d61b9cd28297b8f4725633c95691")</f>
        <v>0x88d2736f4288d61b9cd28297b8f4725633c95691</v>
      </c>
      <c r="J2585" s="18">
        <v>48.3641275995966</v>
      </c>
      <c r="K2585" s="4">
        <v>604.5515949949574</v>
      </c>
      <c r="L2585" s="19">
        <v>6.045515949949574E20</v>
      </c>
      <c r="M2585" s="20">
        <v>6.045515949949574E19</v>
      </c>
    </row>
    <row r="2586">
      <c r="A2586" s="6"/>
      <c r="B2586" s="6"/>
      <c r="C2586" s="4"/>
      <c r="D2586" s="4">
        <v>12.845850768540899</v>
      </c>
      <c r="E2586" s="4" t="s">
        <v>4077</v>
      </c>
      <c r="F2586" s="4"/>
      <c r="G2586" s="4"/>
      <c r="H2586" s="4"/>
      <c r="I2586" s="4" t="str">
        <f>IFERROR(__xludf.DUMMYFUNCTION("""COMPUTED_VALUE"""),"0xa0505b378a28e286a5771ecec63cba0f84cd7a46")</f>
        <v>0xa0505b378a28e286a5771ecec63cba0f84cd7a46</v>
      </c>
      <c r="J2586" s="18">
        <v>46.6822210824991</v>
      </c>
      <c r="K2586" s="4">
        <v>583.5277635312387</v>
      </c>
      <c r="L2586" s="19">
        <v>5.8352776353123874E20</v>
      </c>
      <c r="M2586" s="20">
        <v>5.835277635312388E19</v>
      </c>
    </row>
    <row r="2587">
      <c r="A2587" s="6"/>
      <c r="B2587" s="6"/>
      <c r="C2587" s="4"/>
      <c r="D2587" s="4">
        <v>5.43762346544543</v>
      </c>
      <c r="E2587" s="4" t="s">
        <v>4079</v>
      </c>
      <c r="F2587" s="4"/>
      <c r="G2587" s="4"/>
      <c r="H2587" s="4"/>
      <c r="I2587" s="4" t="str">
        <f>IFERROR(__xludf.DUMMYFUNCTION("""COMPUTED_VALUE"""),"0x02f9fcd9a7ae99f02a7c0db1cbb74096e70c21ff")</f>
        <v>0x02f9fcd9a7ae99f02a7c0db1cbb74096e70c21ff</v>
      </c>
      <c r="J2587" s="18">
        <v>48.3641275995966</v>
      </c>
      <c r="K2587" s="4">
        <v>604.5515949949574</v>
      </c>
      <c r="L2587" s="19">
        <v>6.045515949949574E20</v>
      </c>
      <c r="M2587" s="20">
        <v>6.045515949949574E19</v>
      </c>
    </row>
    <row r="2588">
      <c r="A2588" s="6"/>
      <c r="B2588" s="6"/>
      <c r="C2588" s="4"/>
      <c r="D2588" s="4">
        <v>38.6913020796773</v>
      </c>
      <c r="E2588" s="4" t="s">
        <v>4081</v>
      </c>
      <c r="F2588" s="4"/>
      <c r="G2588" s="4"/>
      <c r="H2588" s="4"/>
      <c r="I2588" s="4" t="str">
        <f>IFERROR(__xludf.DUMMYFUNCTION("""COMPUTED_VALUE"""),"0x43bff9ac858e1f79df9e60ead026db3796148896")</f>
        <v>0x43bff9ac858e1f79df9e60ead026db3796148896</v>
      </c>
      <c r="J2588" s="18">
        <v>48.3641275995966</v>
      </c>
      <c r="K2588" s="4">
        <v>604.5515949949574</v>
      </c>
      <c r="L2588" s="19">
        <v>6.045515949949574E20</v>
      </c>
      <c r="M2588" s="20">
        <v>6.045515949949574E19</v>
      </c>
    </row>
    <row r="2589">
      <c r="A2589" s="6"/>
      <c r="B2589" s="6"/>
      <c r="C2589" s="4"/>
      <c r="D2589" s="4">
        <v>43.3838516477784</v>
      </c>
      <c r="E2589" s="4" t="s">
        <v>4082</v>
      </c>
      <c r="F2589" s="4"/>
      <c r="G2589" s="4"/>
      <c r="H2589" s="4"/>
      <c r="I2589" s="4" t="str">
        <f>IFERROR(__xludf.DUMMYFUNCTION("""COMPUTED_VALUE"""),"0x34fb48e584eaf21816d5a43acdb41bce7cb27886")</f>
        <v>0x34fb48e584eaf21816d5a43acdb41bce7cb27886</v>
      </c>
      <c r="J2589" s="18">
        <v>48.1715574881636</v>
      </c>
      <c r="K2589" s="4">
        <v>602.144468602045</v>
      </c>
      <c r="L2589" s="19">
        <v>6.02144468602045E20</v>
      </c>
      <c r="M2589" s="20">
        <v>6.02144468602045E19</v>
      </c>
    </row>
    <row r="2590">
      <c r="A2590" s="6"/>
      <c r="B2590" s="6"/>
      <c r="C2590" s="4"/>
      <c r="D2590" s="4">
        <v>35.6433547554213</v>
      </c>
      <c r="E2590" s="4" t="s">
        <v>4084</v>
      </c>
      <c r="F2590" s="4"/>
      <c r="G2590" s="4"/>
      <c r="H2590" s="4"/>
      <c r="I2590" s="4" t="str">
        <f>IFERROR(__xludf.DUMMYFUNCTION("""COMPUTED_VALUE"""),"0x30be61a4932e6656f69814209c67e3c2c9cc2988")</f>
        <v>0x30be61a4932e6656f69814209c67e3c2c9cc2988</v>
      </c>
      <c r="J2590" s="18">
        <v>9.672825519919328</v>
      </c>
      <c r="K2590" s="4">
        <v>120.9103189989916</v>
      </c>
      <c r="L2590" s="19">
        <v>1.209103189989916E20</v>
      </c>
      <c r="M2590" s="20">
        <v>1.209103189989916E19</v>
      </c>
    </row>
    <row r="2591">
      <c r="A2591" s="6"/>
      <c r="B2591" s="6"/>
      <c r="C2591" s="4"/>
      <c r="D2591" s="4">
        <v>48.3641275995966</v>
      </c>
      <c r="E2591" s="4" t="s">
        <v>1774</v>
      </c>
      <c r="F2591" s="4"/>
      <c r="G2591" s="4"/>
      <c r="H2591" s="4"/>
      <c r="I2591" s="4" t="str">
        <f>IFERROR(__xludf.DUMMYFUNCTION("""COMPUTED_VALUE"""),"0xa3e7457240f0b624a5565d49f049de7eacc40483")</f>
        <v>0xa3e7457240f0b624a5565d49f049de7eacc40483</v>
      </c>
      <c r="J2591" s="18">
        <v>9.46460202527029</v>
      </c>
      <c r="K2591" s="4">
        <v>118.30752531587862</v>
      </c>
      <c r="L2591" s="19">
        <v>1.1830752531587862E20</v>
      </c>
      <c r="M2591" s="20">
        <v>1.1830752531587863E19</v>
      </c>
    </row>
    <row r="2592">
      <c r="A2592" s="6"/>
      <c r="B2592" s="6"/>
      <c r="C2592" s="4"/>
      <c r="D2592" s="4">
        <v>0.561768347065878</v>
      </c>
      <c r="E2592" s="4" t="s">
        <v>4086</v>
      </c>
      <c r="F2592" s="4"/>
      <c r="G2592" s="4"/>
      <c r="H2592" s="4"/>
      <c r="I2592" s="4" t="str">
        <f>IFERROR(__xludf.DUMMYFUNCTION("""COMPUTED_VALUE"""),"0x8923d3ef9aa2785601bbb0046242be864897d15a")</f>
        <v>0x8923d3ef9aa2785601bbb0046242be864897d15a</v>
      </c>
      <c r="J2592" s="18">
        <v>48.3641275995966</v>
      </c>
      <c r="K2592" s="4">
        <v>604.5515949949574</v>
      </c>
      <c r="L2592" s="19">
        <v>6.045515949949574E20</v>
      </c>
      <c r="M2592" s="20">
        <v>6.045515949949574E19</v>
      </c>
    </row>
    <row r="2593">
      <c r="A2593" s="6"/>
      <c r="B2593" s="6"/>
      <c r="C2593" s="4"/>
      <c r="D2593" s="4">
        <v>48.3641275995966</v>
      </c>
      <c r="E2593" s="4" t="s">
        <v>4088</v>
      </c>
      <c r="F2593" s="4"/>
      <c r="G2593" s="4"/>
      <c r="H2593" s="4"/>
      <c r="I2593" s="4" t="str">
        <f>IFERROR(__xludf.DUMMYFUNCTION("""COMPUTED_VALUE"""),"0x347545b9406a0732f570a82e0de918ea36a1508c")</f>
        <v>0x347545b9406a0732f570a82e0de918ea36a1508c</v>
      </c>
      <c r="J2593" s="18">
        <v>9.672825519919328</v>
      </c>
      <c r="K2593" s="4">
        <v>120.9103189989916</v>
      </c>
      <c r="L2593" s="19">
        <v>1.209103189989916E20</v>
      </c>
      <c r="M2593" s="20">
        <v>1.209103189989916E19</v>
      </c>
    </row>
    <row r="2594">
      <c r="A2594" s="6"/>
      <c r="B2594" s="6"/>
      <c r="C2594" s="4"/>
      <c r="D2594" s="4">
        <v>4.57136073703675</v>
      </c>
      <c r="E2594" s="4" t="s">
        <v>4089</v>
      </c>
      <c r="F2594" s="4"/>
      <c r="G2594" s="4"/>
      <c r="H2594" s="4"/>
      <c r="I2594" s="4" t="str">
        <f>IFERROR(__xludf.DUMMYFUNCTION("""COMPUTED_VALUE"""),"0x51781a76f22eba134ac6e101ab2b9c8bf7cb2f48")</f>
        <v>0x51781a76f22eba134ac6e101ab2b9c8bf7cb2f48</v>
      </c>
      <c r="J2594" s="18">
        <v>48.3641275995966</v>
      </c>
      <c r="K2594" s="4">
        <v>604.5515949949574</v>
      </c>
      <c r="L2594" s="19">
        <v>6.045515949949574E20</v>
      </c>
      <c r="M2594" s="20">
        <v>6.045515949949574E19</v>
      </c>
    </row>
    <row r="2595">
      <c r="A2595" s="6"/>
      <c r="B2595" s="6"/>
      <c r="C2595" s="4"/>
      <c r="D2595" s="4">
        <v>16.2364797163754</v>
      </c>
      <c r="E2595" s="4" t="s">
        <v>4091</v>
      </c>
      <c r="F2595" s="4"/>
      <c r="G2595" s="4"/>
      <c r="H2595" s="4"/>
      <c r="I2595" s="4" t="str">
        <f>IFERROR(__xludf.DUMMYFUNCTION("""COMPUTED_VALUE"""),"0xeda3190792aec036a8aa27c06aff2d6bf117505b")</f>
        <v>0xeda3190792aec036a8aa27c06aff2d6bf117505b</v>
      </c>
      <c r="J2595" s="18">
        <v>19.539107550237</v>
      </c>
      <c r="K2595" s="4">
        <v>244.23884437796247</v>
      </c>
      <c r="L2595" s="19">
        <v>2.4423884437796248E20</v>
      </c>
      <c r="M2595" s="20">
        <v>2.442388443779625E19</v>
      </c>
    </row>
    <row r="2596">
      <c r="A2596" s="6"/>
      <c r="B2596" s="6"/>
      <c r="C2596" s="4"/>
      <c r="D2596" s="4">
        <v>40.7102464032589</v>
      </c>
      <c r="E2596" s="4" t="s">
        <v>4093</v>
      </c>
      <c r="F2596" s="4"/>
      <c r="G2596" s="4"/>
      <c r="H2596" s="4"/>
      <c r="I2596" s="4" t="str">
        <f>IFERROR(__xludf.DUMMYFUNCTION("""COMPUTED_VALUE"""),"0x4a3fee8bb8ab242e3123cb7499fe6a929758dc1c")</f>
        <v>0x4a3fee8bb8ab242e3123cb7499fe6a929758dc1c</v>
      </c>
      <c r="J2596" s="18">
        <v>32.1327592932137</v>
      </c>
      <c r="K2596" s="4">
        <v>401.6594911651713</v>
      </c>
      <c r="L2596" s="19">
        <v>4.016594911651713E20</v>
      </c>
      <c r="M2596" s="20">
        <v>4.016594911651713E19</v>
      </c>
    </row>
    <row r="2597">
      <c r="A2597" s="6"/>
      <c r="B2597" s="6"/>
      <c r="C2597" s="4"/>
      <c r="D2597" s="4">
        <v>48.3641275995966</v>
      </c>
      <c r="E2597" s="4" t="s">
        <v>4095</v>
      </c>
      <c r="F2597" s="4"/>
      <c r="G2597" s="4"/>
      <c r="H2597" s="4"/>
      <c r="I2597" s="4" t="str">
        <f>IFERROR(__xludf.DUMMYFUNCTION("""COMPUTED_VALUE"""),"0x52faac29743102ad97b50cf658ba507aba8571c1")</f>
        <v>0x52faac29743102ad97b50cf658ba507aba8571c1</v>
      </c>
      <c r="J2597" s="18">
        <v>42.0112225231391</v>
      </c>
      <c r="K2597" s="4">
        <v>525.1402815392387</v>
      </c>
      <c r="L2597" s="19">
        <v>5.251402815392387E20</v>
      </c>
      <c r="M2597" s="20">
        <v>5.251402815392387E19</v>
      </c>
    </row>
    <row r="2598">
      <c r="A2598" s="6"/>
      <c r="B2598" s="6"/>
      <c r="C2598" s="4"/>
      <c r="D2598" s="4">
        <v>12.767438168114</v>
      </c>
      <c r="E2598" s="4" t="s">
        <v>4096</v>
      </c>
      <c r="F2598" s="4"/>
      <c r="G2598" s="4"/>
      <c r="H2598" s="4"/>
      <c r="I2598" s="4" t="str">
        <f>IFERROR(__xludf.DUMMYFUNCTION("""COMPUTED_VALUE"""),"0x8902e4226188cc23e59d57a250ab37824fd8155a")</f>
        <v>0x8902e4226188cc23e59d57a250ab37824fd8155a</v>
      </c>
      <c r="J2598" s="18">
        <v>2.29496217366104</v>
      </c>
      <c r="K2598" s="4">
        <v>28.687027170763002</v>
      </c>
      <c r="L2598" s="19">
        <v>2.8687027170763E19</v>
      </c>
      <c r="M2598" s="20">
        <v>2.8687027170763003E18</v>
      </c>
    </row>
    <row r="2599">
      <c r="A2599" s="6"/>
      <c r="B2599" s="6"/>
      <c r="C2599" s="4"/>
      <c r="D2599" s="4">
        <v>2.60658948869141</v>
      </c>
      <c r="E2599" s="4" t="s">
        <v>4098</v>
      </c>
      <c r="F2599" s="4"/>
      <c r="G2599" s="4"/>
      <c r="H2599" s="4"/>
      <c r="I2599" s="4" t="str">
        <f>IFERROR(__xludf.DUMMYFUNCTION("""COMPUTED_VALUE"""),"0x047efa55dd79ed8c19693a407d3653e3edb1dcf9")</f>
        <v>0x047efa55dd79ed8c19693a407d3653e3edb1dcf9</v>
      </c>
      <c r="J2599" s="18">
        <v>48.3641275995966</v>
      </c>
      <c r="K2599" s="4">
        <v>604.5515949949574</v>
      </c>
      <c r="L2599" s="19">
        <v>6.045515949949574E20</v>
      </c>
      <c r="M2599" s="20">
        <v>6.045515949949574E19</v>
      </c>
    </row>
    <row r="2600">
      <c r="A2600" s="6"/>
      <c r="B2600" s="6"/>
      <c r="C2600" s="4"/>
      <c r="D2600" s="4">
        <v>10.199723749796801</v>
      </c>
      <c r="E2600" s="4" t="s">
        <v>4100</v>
      </c>
      <c r="F2600" s="4"/>
      <c r="G2600" s="4"/>
      <c r="H2600" s="4"/>
      <c r="I2600" s="4" t="str">
        <f>IFERROR(__xludf.DUMMYFUNCTION("""COMPUTED_VALUE"""),"0xec1dfb14452a1513dcd56ae1b2d25a4021ab8ec8")</f>
        <v>0xec1dfb14452a1513dcd56ae1b2d25a4021ab8ec8</v>
      </c>
      <c r="J2600" s="18">
        <v>59.61718086759549</v>
      </c>
      <c r="K2600" s="4">
        <v>745.2147608449436</v>
      </c>
      <c r="L2600" s="19">
        <v>7.452147608449436E20</v>
      </c>
      <c r="M2600" s="20">
        <v>7.452147608449435E19</v>
      </c>
    </row>
    <row r="2601">
      <c r="A2601" s="6"/>
      <c r="B2601" s="6"/>
      <c r="C2601" s="4"/>
      <c r="D2601" s="4">
        <v>48.3641275995966</v>
      </c>
      <c r="E2601" s="4" t="s">
        <v>4102</v>
      </c>
      <c r="F2601" s="4"/>
      <c r="G2601" s="4"/>
      <c r="H2601" s="4"/>
      <c r="I2601" s="4" t="str">
        <f>IFERROR(__xludf.DUMMYFUNCTION("""COMPUTED_VALUE"""),"0x0849241c529fcd76b4266ea2b86e11dce39ddb0a")</f>
        <v>0x0849241c529fcd76b4266ea2b86e11dce39ddb0a</v>
      </c>
      <c r="J2601" s="18">
        <v>234.37608780709658</v>
      </c>
      <c r="K2601" s="4">
        <v>2929.7010975887074</v>
      </c>
      <c r="L2601" s="19">
        <v>2.9297010975887076E21</v>
      </c>
      <c r="M2601" s="20">
        <v>2.9297010975887078E20</v>
      </c>
    </row>
    <row r="2602">
      <c r="A2602" s="6"/>
      <c r="B2602" s="6"/>
      <c r="C2602" s="4"/>
      <c r="D2602" s="4">
        <v>48.3641275995966</v>
      </c>
      <c r="E2602" s="4" t="s">
        <v>1694</v>
      </c>
      <c r="F2602" s="4"/>
      <c r="G2602" s="4"/>
      <c r="H2602" s="4"/>
      <c r="I2602" s="4" t="str">
        <f>IFERROR(__xludf.DUMMYFUNCTION("""COMPUTED_VALUE"""),"0xfad957bd7335727eaab80ae296ee8b03c502880b")</f>
        <v>0xfad957bd7335727eaab80ae296ee8b03c502880b</v>
      </c>
      <c r="J2602" s="18">
        <v>9.73332192531412</v>
      </c>
      <c r="K2602" s="4">
        <v>121.6665240664265</v>
      </c>
      <c r="L2602" s="19">
        <v>1.216665240664265E20</v>
      </c>
      <c r="M2602" s="20">
        <v>1.2166652406642651E19</v>
      </c>
    </row>
    <row r="2603">
      <c r="A2603" s="6"/>
      <c r="B2603" s="6"/>
      <c r="C2603" s="4"/>
      <c r="D2603" s="4">
        <v>48.3641275995966</v>
      </c>
      <c r="E2603" s="4" t="s">
        <v>4103</v>
      </c>
      <c r="F2603" s="4"/>
      <c r="G2603" s="4"/>
      <c r="H2603" s="4"/>
      <c r="I2603" s="4" t="str">
        <f>IFERROR(__xludf.DUMMYFUNCTION("""COMPUTED_VALUE"""),"0xfe395fd2a8167896bf8ffe6284a16732c87ee0b4")</f>
        <v>0xfe395fd2a8167896bf8ffe6284a16732c87ee0b4</v>
      </c>
      <c r="J2603" s="18">
        <v>9.85876731799697</v>
      </c>
      <c r="K2603" s="4">
        <v>123.23459147496212</v>
      </c>
      <c r="L2603" s="19">
        <v>1.2323459147496212E20</v>
      </c>
      <c r="M2603" s="20">
        <v>1.2323459147496212E19</v>
      </c>
    </row>
    <row r="2604">
      <c r="A2604" s="6"/>
      <c r="B2604" s="6"/>
      <c r="C2604" s="4"/>
      <c r="D2604" s="4">
        <v>18.3889444279226</v>
      </c>
      <c r="E2604" s="4" t="s">
        <v>4104</v>
      </c>
      <c r="F2604" s="4"/>
      <c r="G2604" s="4"/>
      <c r="H2604" s="4"/>
      <c r="I2604" s="4" t="str">
        <f>IFERROR(__xludf.DUMMYFUNCTION("""COMPUTED_VALUE"""),"0x80f63c7c2ee4e50ee385887459c5764cfeb9a5e9")</f>
        <v>0x80f63c7c2ee4e50ee385887459c5764cfeb9a5e9</v>
      </c>
      <c r="J2604" s="18">
        <v>48.3641275995966</v>
      </c>
      <c r="K2604" s="4">
        <v>604.5515949949574</v>
      </c>
      <c r="L2604" s="19">
        <v>6.045515949949574E20</v>
      </c>
      <c r="M2604" s="20">
        <v>6.045515949949574E19</v>
      </c>
    </row>
    <row r="2605">
      <c r="A2605" s="6"/>
      <c r="B2605" s="6"/>
      <c r="C2605" s="4"/>
      <c r="D2605" s="4">
        <v>8.71842016684991</v>
      </c>
      <c r="E2605" s="4" t="s">
        <v>4106</v>
      </c>
      <c r="F2605" s="4"/>
      <c r="G2605" s="4"/>
      <c r="H2605" s="4"/>
      <c r="I2605" s="4" t="str">
        <f>IFERROR(__xludf.DUMMYFUNCTION("""COMPUTED_VALUE"""),"0xdc7e31b985cb5d6cc97045c0b2334717c0c5d3d1")</f>
        <v>0xdc7e31b985cb5d6cc97045c0b2334717c0c5d3d1</v>
      </c>
      <c r="J2605" s="18">
        <v>9.672825519919328</v>
      </c>
      <c r="K2605" s="4">
        <v>120.9103189989916</v>
      </c>
      <c r="L2605" s="19">
        <v>1.209103189989916E20</v>
      </c>
      <c r="M2605" s="20">
        <v>1.209103189989916E19</v>
      </c>
    </row>
    <row r="2606">
      <c r="A2606" s="6"/>
      <c r="B2606" s="6"/>
      <c r="C2606" s="4"/>
      <c r="D2606" s="4">
        <v>25.1571799259073</v>
      </c>
      <c r="E2606" s="4" t="s">
        <v>4108</v>
      </c>
      <c r="F2606" s="4"/>
      <c r="G2606" s="4"/>
      <c r="H2606" s="4"/>
      <c r="I2606" s="4" t="str">
        <f>IFERROR(__xludf.DUMMYFUNCTION("""COMPUTED_VALUE"""),"0xce52f81f72e8b3f3647fe7b787b4d342bd9ec53d")</f>
        <v>0xce52f81f72e8b3f3647fe7b787b4d342bd9ec53d</v>
      </c>
      <c r="J2606" s="18">
        <v>37.4401955228615</v>
      </c>
      <c r="K2606" s="4">
        <v>468.00244403576875</v>
      </c>
      <c r="L2606" s="19">
        <v>4.680024440357688E20</v>
      </c>
      <c r="M2606" s="20">
        <v>4.680024440357688E19</v>
      </c>
    </row>
    <row r="2607">
      <c r="A2607" s="6"/>
      <c r="B2607" s="6"/>
      <c r="C2607" s="4"/>
      <c r="D2607" s="4">
        <v>48.3641275995966</v>
      </c>
      <c r="E2607" s="4" t="s">
        <v>4110</v>
      </c>
      <c r="F2607" s="4"/>
      <c r="G2607" s="4"/>
      <c r="H2607" s="4"/>
      <c r="I2607" s="4" t="str">
        <f>IFERROR(__xludf.DUMMYFUNCTION("""COMPUTED_VALUE"""),"0x8e11972e2d76b8fae1e6c4198dc36c668db75bb1")</f>
        <v>0x8e11972e2d76b8fae1e6c4198dc36c668db75bb1</v>
      </c>
      <c r="J2607" s="18">
        <v>23.7986641852327</v>
      </c>
      <c r="K2607" s="4">
        <v>297.4833023154087</v>
      </c>
      <c r="L2607" s="19">
        <v>2.974833023154087E20</v>
      </c>
      <c r="M2607" s="20">
        <v>2.974833023154087E19</v>
      </c>
    </row>
    <row r="2608">
      <c r="A2608" s="6"/>
      <c r="B2608" s="6"/>
      <c r="C2608" s="4"/>
      <c r="D2608" s="4">
        <v>48.3641275995966</v>
      </c>
      <c r="E2608" s="4" t="s">
        <v>4111</v>
      </c>
      <c r="F2608" s="4"/>
      <c r="G2608" s="4"/>
      <c r="H2608" s="4"/>
      <c r="I2608" s="4" t="str">
        <f>IFERROR(__xludf.DUMMYFUNCTION("""COMPUTED_VALUE"""),"0xa7fd215d03eabe863a94980d975397b82a0d4378")</f>
        <v>0xa7fd215d03eabe863a94980d975397b82a0d4378</v>
      </c>
      <c r="J2608" s="18">
        <v>28.3119983708234</v>
      </c>
      <c r="K2608" s="4">
        <v>353.8999796352925</v>
      </c>
      <c r="L2608" s="19">
        <v>3.538999796352925E20</v>
      </c>
      <c r="M2608" s="20">
        <v>3.5389997963529253E19</v>
      </c>
    </row>
    <row r="2609">
      <c r="A2609" s="6"/>
      <c r="B2609" s="6"/>
      <c r="C2609" s="4"/>
      <c r="D2609" s="4">
        <v>48.3641275995966</v>
      </c>
      <c r="E2609" s="4" t="s">
        <v>4112</v>
      </c>
      <c r="F2609" s="4"/>
      <c r="G2609" s="4"/>
      <c r="H2609" s="4"/>
      <c r="I2609" s="4" t="str">
        <f>IFERROR(__xludf.DUMMYFUNCTION("""COMPUTED_VALUE"""),"0x3d3823a1dac2a83db009c4ea03b3018ad25217eb")</f>
        <v>0x3d3823a1dac2a83db009c4ea03b3018ad25217eb</v>
      </c>
      <c r="J2609" s="18">
        <v>9.672825519919328</v>
      </c>
      <c r="K2609" s="4">
        <v>120.9103189989916</v>
      </c>
      <c r="L2609" s="19">
        <v>1.209103189989916E20</v>
      </c>
      <c r="M2609" s="20">
        <v>1.209103189989916E19</v>
      </c>
    </row>
    <row r="2610">
      <c r="A2610" s="6"/>
      <c r="B2610" s="6"/>
      <c r="C2610" s="4"/>
      <c r="D2610" s="4">
        <v>9.672825519919328</v>
      </c>
      <c r="E2610" s="4" t="s">
        <v>4113</v>
      </c>
      <c r="F2610" s="4"/>
      <c r="G2610" s="4"/>
      <c r="H2610" s="4"/>
      <c r="I2610" s="4" t="str">
        <f>IFERROR(__xludf.DUMMYFUNCTION("""COMPUTED_VALUE"""),"0xb018f978d7d6de47215c55f3be381105ceae9533")</f>
        <v>0xb018f978d7d6de47215c55f3be381105ceae9533</v>
      </c>
      <c r="J2610" s="18">
        <v>234.37608780709658</v>
      </c>
      <c r="K2610" s="4">
        <v>2929.7010975887074</v>
      </c>
      <c r="L2610" s="19">
        <v>2.9297010975887076E21</v>
      </c>
      <c r="M2610" s="20">
        <v>2.9297010975887078E20</v>
      </c>
    </row>
    <row r="2611">
      <c r="A2611" s="6"/>
      <c r="B2611" s="6"/>
      <c r="C2611" s="4"/>
      <c r="D2611" s="4">
        <v>48.3641275995966</v>
      </c>
      <c r="E2611" s="4" t="s">
        <v>4114</v>
      </c>
      <c r="F2611" s="4"/>
      <c r="G2611" s="4"/>
      <c r="H2611" s="4"/>
      <c r="I2611" s="4" t="str">
        <f>IFERROR(__xludf.DUMMYFUNCTION("""COMPUTED_VALUE"""),"0xa7baf02462f0772d14b4970ec932149d5d775a3c")</f>
        <v>0xa7baf02462f0772d14b4970ec932149d5d775a3c</v>
      </c>
      <c r="J2611" s="18">
        <v>3.92388010235767</v>
      </c>
      <c r="K2611" s="4">
        <v>49.04850127947088</v>
      </c>
      <c r="L2611" s="19">
        <v>4.904850127947088E19</v>
      </c>
      <c r="M2611" s="20">
        <v>4.904850127947088E18</v>
      </c>
    </row>
    <row r="2612">
      <c r="A2612" s="6"/>
      <c r="B2612" s="6"/>
      <c r="C2612" s="4"/>
      <c r="D2612" s="4">
        <v>48.3641275995966</v>
      </c>
      <c r="E2612" s="4" t="s">
        <v>1254</v>
      </c>
      <c r="F2612" s="4"/>
      <c r="G2612" s="4"/>
      <c r="H2612" s="4"/>
      <c r="I2612" s="4" t="str">
        <f>IFERROR(__xludf.DUMMYFUNCTION("""COMPUTED_VALUE"""),"0xca0bee533c17edd271524f08a667ef98e649ab7d")</f>
        <v>0xca0bee533c17edd271524f08a667ef98e649ab7d</v>
      </c>
      <c r="J2612" s="18">
        <v>11.9297587789746</v>
      </c>
      <c r="K2612" s="4">
        <v>149.1219847371825</v>
      </c>
      <c r="L2612" s="19">
        <v>1.4912198473718248E20</v>
      </c>
      <c r="M2612" s="20">
        <v>1.491219847371825E19</v>
      </c>
    </row>
    <row r="2613">
      <c r="A2613" s="6"/>
      <c r="B2613" s="6"/>
      <c r="C2613" s="4"/>
      <c r="D2613" s="4">
        <v>9.71790656293472</v>
      </c>
      <c r="E2613" s="4" t="s">
        <v>4115</v>
      </c>
      <c r="F2613" s="4"/>
      <c r="G2613" s="4"/>
      <c r="H2613" s="4"/>
      <c r="I2613" s="4" t="str">
        <f>IFERROR(__xludf.DUMMYFUNCTION("""COMPUTED_VALUE"""),"0x2f35ebc7a51413677cb52194138c222eea6404f0")</f>
        <v>0x2f35ebc7a51413677cb52194138c222eea6404f0</v>
      </c>
      <c r="J2613" s="18">
        <v>113.4683136722219</v>
      </c>
      <c r="K2613" s="4">
        <v>1418.3539209027738</v>
      </c>
      <c r="L2613" s="19">
        <v>1.4183539209027739E21</v>
      </c>
      <c r="M2613" s="20">
        <v>1.418353920902774E20</v>
      </c>
    </row>
    <row r="2614">
      <c r="A2614" s="6"/>
      <c r="B2614" s="6"/>
      <c r="C2614" s="4"/>
      <c r="D2614" s="4">
        <v>11.589157514498199</v>
      </c>
      <c r="E2614" s="4" t="s">
        <v>4117</v>
      </c>
      <c r="F2614" s="4"/>
      <c r="G2614" s="4"/>
      <c r="H2614" s="4"/>
      <c r="I2614" s="4" t="str">
        <f>IFERROR(__xludf.DUMMYFUNCTION("""COMPUTED_VALUE"""),"0xdb39103e6a1eb17d8ff5ce79c36861163aaccf79")</f>
        <v>0xdb39103e6a1eb17d8ff5ce79c36861163aaccf79</v>
      </c>
      <c r="J2614" s="18">
        <v>9.672825519919328</v>
      </c>
      <c r="K2614" s="4">
        <v>120.9103189989916</v>
      </c>
      <c r="L2614" s="19">
        <v>1.209103189989916E20</v>
      </c>
      <c r="M2614" s="20">
        <v>1.209103189989916E19</v>
      </c>
    </row>
    <row r="2615">
      <c r="A2615" s="6"/>
      <c r="B2615" s="6"/>
      <c r="C2615" s="4"/>
      <c r="D2615" s="4">
        <v>39.4086267419707</v>
      </c>
      <c r="E2615" s="4" t="s">
        <v>4119</v>
      </c>
      <c r="F2615" s="4"/>
      <c r="G2615" s="4"/>
      <c r="H2615" s="4"/>
      <c r="I2615" s="4" t="str">
        <f>IFERROR(__xludf.DUMMYFUNCTION("""COMPUTED_VALUE"""),"0x4221e2a5009f4451a308a472a814da88ea46052b")</f>
        <v>0x4221e2a5009f4451a308a472a814da88ea46052b</v>
      </c>
      <c r="J2615" s="18">
        <v>46.1539768917175</v>
      </c>
      <c r="K2615" s="4">
        <v>576.9247111464687</v>
      </c>
      <c r="L2615" s="19">
        <v>5.769247111464687E20</v>
      </c>
      <c r="M2615" s="20">
        <v>5.769247111464687E19</v>
      </c>
    </row>
    <row r="2616">
      <c r="A2616" s="6"/>
      <c r="B2616" s="6"/>
      <c r="C2616" s="4"/>
      <c r="D2616" s="4">
        <v>46.4581952433857</v>
      </c>
      <c r="E2616" s="4" t="s">
        <v>4121</v>
      </c>
      <c r="F2616" s="4"/>
      <c r="G2616" s="4"/>
      <c r="H2616" s="4"/>
      <c r="I2616" s="4" t="str">
        <f>IFERROR(__xludf.DUMMYFUNCTION("""COMPUTED_VALUE"""),"0xfc6ecec7999c081a969b2b07bdea19cfb52160e0")</f>
        <v>0xfc6ecec7999c081a969b2b07bdea19cfb52160e0</v>
      </c>
      <c r="J2616" s="18">
        <v>94.8671176514718</v>
      </c>
      <c r="K2616" s="4">
        <v>1185.8389706433975</v>
      </c>
      <c r="L2616" s="19">
        <v>1.1858389706433975E21</v>
      </c>
      <c r="M2616" s="20">
        <v>1.1858389706433975E20</v>
      </c>
    </row>
    <row r="2617">
      <c r="A2617" s="6"/>
      <c r="B2617" s="6"/>
      <c r="C2617" s="4"/>
      <c r="D2617" s="4">
        <v>33.9131934622829</v>
      </c>
      <c r="E2617" s="4" t="s">
        <v>4123</v>
      </c>
      <c r="F2617" s="4"/>
      <c r="G2617" s="4"/>
      <c r="H2617" s="4"/>
      <c r="I2617" s="4" t="str">
        <f>IFERROR(__xludf.DUMMYFUNCTION("""COMPUTED_VALUE"""),"0x13b10ea9c71cca4376a9bbc155988d17e82b4784")</f>
        <v>0x13b10ea9c71cca4376a9bbc155988d17e82b4784</v>
      </c>
      <c r="J2617" s="18">
        <v>48.3641275995966</v>
      </c>
      <c r="K2617" s="4">
        <v>604.5515949949574</v>
      </c>
      <c r="L2617" s="19">
        <v>6.045515949949574E20</v>
      </c>
      <c r="M2617" s="20">
        <v>6.045515949949574E19</v>
      </c>
    </row>
    <row r="2618">
      <c r="A2618" s="6"/>
      <c r="B2618" s="6"/>
      <c r="C2618" s="4"/>
      <c r="D2618" s="4">
        <v>5.66645542215591</v>
      </c>
      <c r="E2618" s="4" t="s">
        <v>4125</v>
      </c>
      <c r="F2618" s="4"/>
      <c r="G2618" s="4"/>
      <c r="H2618" s="4"/>
      <c r="I2618" s="4" t="str">
        <f>IFERROR(__xludf.DUMMYFUNCTION("""COMPUTED_VALUE"""),"0x1dbe50359de6a94df76b42b8721c442c670d954e")</f>
        <v>0x1dbe50359de6a94df76b42b8721c442c670d954e</v>
      </c>
      <c r="J2618" s="18">
        <v>48.3641275995966</v>
      </c>
      <c r="K2618" s="4">
        <v>604.5515949949574</v>
      </c>
      <c r="L2618" s="19">
        <v>6.045515949949574E20</v>
      </c>
      <c r="M2618" s="20">
        <v>6.045515949949574E19</v>
      </c>
    </row>
    <row r="2619">
      <c r="A2619" s="6"/>
      <c r="B2619" s="6"/>
      <c r="C2619" s="4"/>
      <c r="D2619" s="4">
        <v>25.6920850796563</v>
      </c>
      <c r="E2619" s="4" t="s">
        <v>4127</v>
      </c>
      <c r="F2619" s="4"/>
      <c r="G2619" s="4"/>
      <c r="H2619" s="4"/>
      <c r="I2619" s="4" t="str">
        <f>IFERROR(__xludf.DUMMYFUNCTION("""COMPUTED_VALUE"""),"0xcf43e9a2f9ed4810de89ae08d88445d8ccf63ab1")</f>
        <v>0xcf43e9a2f9ed4810de89ae08d88445d8ccf63ab1</v>
      </c>
      <c r="J2619" s="18">
        <v>66.9653236203466</v>
      </c>
      <c r="K2619" s="4">
        <v>837.0665452543324</v>
      </c>
      <c r="L2619" s="19">
        <v>8.370665452543324E20</v>
      </c>
      <c r="M2619" s="20">
        <v>8.370665452543323E19</v>
      </c>
    </row>
    <row r="2620">
      <c r="A2620" s="6"/>
      <c r="B2620" s="6"/>
      <c r="C2620" s="4"/>
      <c r="D2620" s="4">
        <v>48.3641275995966</v>
      </c>
      <c r="E2620" s="4" t="s">
        <v>1669</v>
      </c>
      <c r="F2620" s="4"/>
      <c r="G2620" s="4"/>
      <c r="H2620" s="4"/>
      <c r="I2620" s="4" t="str">
        <f>IFERROR(__xludf.DUMMYFUNCTION("""COMPUTED_VALUE"""),"0x24433358bb53446743534775f158062b06be4754")</f>
        <v>0x24433358bb53446743534775f158062b06be4754</v>
      </c>
      <c r="J2620" s="18">
        <v>9.819477232416641</v>
      </c>
      <c r="K2620" s="4">
        <v>122.74346540520801</v>
      </c>
      <c r="L2620" s="19">
        <v>1.2274346540520802E20</v>
      </c>
      <c r="M2620" s="20">
        <v>1.2274346540520802E19</v>
      </c>
    </row>
    <row r="2621">
      <c r="A2621" s="6"/>
      <c r="B2621" s="6"/>
      <c r="C2621" s="4"/>
      <c r="D2621" s="4">
        <v>48.3641275995966</v>
      </c>
      <c r="E2621" s="4" t="s">
        <v>4129</v>
      </c>
      <c r="F2621" s="4"/>
      <c r="G2621" s="4"/>
      <c r="H2621" s="4"/>
      <c r="I2621" s="4" t="str">
        <f>IFERROR(__xludf.DUMMYFUNCTION("""COMPUTED_VALUE"""),"0x1d41cb6b809d25bc3ddd7f51635facfa4a8a3a98")</f>
        <v>0x1d41cb6b809d25bc3ddd7f51635facfa4a8a3a98</v>
      </c>
      <c r="J2621" s="18">
        <v>88.3947467354896</v>
      </c>
      <c r="K2621" s="4">
        <v>1104.93433419362</v>
      </c>
      <c r="L2621" s="19">
        <v>1.1049343341936201E21</v>
      </c>
      <c r="M2621" s="20">
        <v>1.1049343341936201E20</v>
      </c>
    </row>
    <row r="2622">
      <c r="A2622" s="6"/>
      <c r="B2622" s="6"/>
      <c r="C2622" s="4"/>
      <c r="D2622" s="4">
        <v>48.3641275995966</v>
      </c>
      <c r="E2622" s="4" t="s">
        <v>4130</v>
      </c>
      <c r="F2622" s="4"/>
      <c r="G2622" s="4"/>
      <c r="H2622" s="4"/>
      <c r="I2622" s="4" t="str">
        <f>IFERROR(__xludf.DUMMYFUNCTION("""COMPUTED_VALUE"""),"0x3c42e7a6c3e3424242a0576efb0ecc265c0364dc")</f>
        <v>0x3c42e7a6c3e3424242a0576efb0ecc265c0364dc</v>
      </c>
      <c r="J2622" s="18">
        <v>48.3641275995966</v>
      </c>
      <c r="K2622" s="4">
        <v>604.5515949949574</v>
      </c>
      <c r="L2622" s="19">
        <v>6.045515949949574E20</v>
      </c>
      <c r="M2622" s="20">
        <v>6.045515949949574E19</v>
      </c>
    </row>
    <row r="2623">
      <c r="A2623" s="6"/>
      <c r="B2623" s="6"/>
      <c r="C2623" s="4"/>
      <c r="D2623" s="4">
        <v>3.87468250693133</v>
      </c>
      <c r="E2623" s="4" t="s">
        <v>4131</v>
      </c>
      <c r="F2623" s="4"/>
      <c r="G2623" s="4"/>
      <c r="H2623" s="4"/>
      <c r="I2623" s="4" t="str">
        <f>IFERROR(__xludf.DUMMYFUNCTION("""COMPUTED_VALUE"""),"0xe0d30e989810470a74ab2d7ebad424d76ffa8cdd")</f>
        <v>0xe0d30e989810470a74ab2d7ebad424d76ffa8cdd</v>
      </c>
      <c r="J2623" s="18">
        <v>234.37608780709658</v>
      </c>
      <c r="K2623" s="4">
        <v>2929.7010975887074</v>
      </c>
      <c r="L2623" s="19">
        <v>2.9297010975887076E21</v>
      </c>
      <c r="M2623" s="20">
        <v>2.9297010975887078E20</v>
      </c>
    </row>
    <row r="2624">
      <c r="A2624" s="6"/>
      <c r="B2624" s="6"/>
      <c r="C2624" s="4"/>
      <c r="D2624" s="4">
        <v>48.010244578845096</v>
      </c>
      <c r="E2624" s="4" t="s">
        <v>4133</v>
      </c>
      <c r="F2624" s="4"/>
      <c r="G2624" s="4"/>
      <c r="H2624" s="4"/>
      <c r="I2624" s="4" t="str">
        <f>IFERROR(__xludf.DUMMYFUNCTION("""COMPUTED_VALUE"""),"0xc485a40c286182e4767d1cf382c382011dd82bf6")</f>
        <v>0xc485a40c286182e4767d1cf382c382011dd82bf6</v>
      </c>
      <c r="J2624" s="18">
        <v>23.565344677519104</v>
      </c>
      <c r="K2624" s="4">
        <v>294.56680846898877</v>
      </c>
      <c r="L2624" s="19">
        <v>2.9456680846898876E20</v>
      </c>
      <c r="M2624" s="20">
        <v>2.9456680846898876E19</v>
      </c>
    </row>
    <row r="2625">
      <c r="A2625" s="6"/>
      <c r="B2625" s="6"/>
      <c r="C2625" s="4"/>
      <c r="D2625" s="4">
        <v>40.7170122706189</v>
      </c>
      <c r="E2625" s="4" t="s">
        <v>4135</v>
      </c>
      <c r="F2625" s="4"/>
      <c r="G2625" s="4"/>
      <c r="H2625" s="4"/>
      <c r="I2625" s="4" t="str">
        <f>IFERROR(__xludf.DUMMYFUNCTION("""COMPUTED_VALUE"""),"0x7564e32f519ff91a789c5fd3700f627b0ed89764")</f>
        <v>0x7564e32f519ff91a789c5fd3700f627b0ed89764</v>
      </c>
      <c r="J2625" s="18">
        <v>7.738260415935461</v>
      </c>
      <c r="K2625" s="4">
        <v>96.72825519919326</v>
      </c>
      <c r="L2625" s="19">
        <v>9.672825519919325E19</v>
      </c>
      <c r="M2625" s="20">
        <v>9.672825519919325E18</v>
      </c>
    </row>
    <row r="2626">
      <c r="A2626" s="6"/>
      <c r="B2626" s="6"/>
      <c r="C2626" s="4"/>
      <c r="D2626" s="4">
        <v>48.3641275995966</v>
      </c>
      <c r="E2626" s="4" t="s">
        <v>1418</v>
      </c>
      <c r="F2626" s="4"/>
      <c r="G2626" s="4"/>
      <c r="H2626" s="4"/>
      <c r="I2626" s="4" t="str">
        <f>IFERROR(__xludf.DUMMYFUNCTION("""COMPUTED_VALUE"""),"0xca9d8a8839301ecefcd23ec33337488d9943e99f")</f>
        <v>0xca9d8a8839301ecefcd23ec33337488d9943e99f</v>
      </c>
      <c r="J2626" s="18">
        <v>9.65776299132145</v>
      </c>
      <c r="K2626" s="4">
        <v>120.72203739151811</v>
      </c>
      <c r="L2626" s="19">
        <v>1.2072203739151812E20</v>
      </c>
      <c r="M2626" s="20">
        <v>1.2072203739151813E19</v>
      </c>
    </row>
    <row r="2627">
      <c r="A2627" s="6"/>
      <c r="B2627" s="6"/>
      <c r="C2627" s="4"/>
      <c r="D2627" s="4">
        <v>33.8548893197176</v>
      </c>
      <c r="E2627" s="4" t="s">
        <v>4137</v>
      </c>
      <c r="F2627" s="4"/>
      <c r="G2627" s="4"/>
      <c r="H2627" s="4"/>
      <c r="I2627" s="4" t="str">
        <f>IFERROR(__xludf.DUMMYFUNCTION("""COMPUTED_VALUE"""),"0xda7c6a6c88a02f71dd95a8bd39051aaeda8f2d15")</f>
        <v>0xda7c6a6c88a02f71dd95a8bd39051aaeda8f2d15</v>
      </c>
      <c r="J2627" s="18">
        <v>9.86628203031772</v>
      </c>
      <c r="K2627" s="4">
        <v>123.32852537897149</v>
      </c>
      <c r="L2627" s="19">
        <v>1.2332852537897148E20</v>
      </c>
      <c r="M2627" s="20">
        <v>1.2332852537897148E19</v>
      </c>
    </row>
    <row r="2628">
      <c r="A2628" s="6"/>
      <c r="B2628" s="6"/>
      <c r="C2628" s="4"/>
      <c r="D2628" s="4">
        <v>48.3641275995966</v>
      </c>
      <c r="E2628" s="4" t="s">
        <v>4139</v>
      </c>
      <c r="F2628" s="4"/>
      <c r="G2628" s="4"/>
      <c r="H2628" s="4"/>
      <c r="I2628" s="4" t="str">
        <f>IFERROR(__xludf.DUMMYFUNCTION("""COMPUTED_VALUE"""),"0xf8f92e8afc166c8b71a1f66f086b9767ac5ffa39")</f>
        <v>0xf8f92e8afc166c8b71a1f66f086b9767ac5ffa39</v>
      </c>
      <c r="J2628" s="18">
        <v>0.193456510398386</v>
      </c>
      <c r="K2628" s="4">
        <v>2.418206379979825</v>
      </c>
      <c r="L2628" s="19">
        <v>2.418206379979825E18</v>
      </c>
      <c r="M2628" s="20">
        <v>2.4182063799798253E17</v>
      </c>
    </row>
    <row r="2629">
      <c r="A2629" s="6"/>
      <c r="B2629" s="6"/>
      <c r="C2629" s="4"/>
      <c r="D2629" s="4">
        <v>48.3641275995966</v>
      </c>
      <c r="E2629" s="4" t="s">
        <v>4140</v>
      </c>
      <c r="F2629" s="4"/>
      <c r="G2629" s="4"/>
      <c r="H2629" s="4"/>
      <c r="I2629" s="4" t="str">
        <f>IFERROR(__xludf.DUMMYFUNCTION("""COMPUTED_VALUE"""),"0xa680855050ce0bb3868a413c01e0d75965a650d0")</f>
        <v>0xa680855050ce0bb3868a413c01e0d75965a650d0</v>
      </c>
      <c r="J2629" s="18">
        <v>103.71857883807779</v>
      </c>
      <c r="K2629" s="4">
        <v>1296.4822354759724</v>
      </c>
      <c r="L2629" s="19">
        <v>1.2964822354759723E21</v>
      </c>
      <c r="M2629" s="20">
        <v>1.2964822354759724E20</v>
      </c>
    </row>
    <row r="2630">
      <c r="A2630" s="6"/>
      <c r="B2630" s="6"/>
      <c r="C2630" s="4"/>
      <c r="D2630" s="4">
        <v>48.3641275995966</v>
      </c>
      <c r="E2630" s="4" t="s">
        <v>4141</v>
      </c>
      <c r="F2630" s="4"/>
      <c r="G2630" s="4"/>
      <c r="H2630" s="4"/>
      <c r="I2630" s="4" t="str">
        <f>IFERROR(__xludf.DUMMYFUNCTION("""COMPUTED_VALUE"""),"0x95b03c40bb42674bf1042a30aa2130de0dce11bc")</f>
        <v>0x95b03c40bb42674bf1042a30aa2130de0dce11bc</v>
      </c>
      <c r="J2630" s="18">
        <v>48.3641275995966</v>
      </c>
      <c r="K2630" s="4">
        <v>604.5515949949574</v>
      </c>
      <c r="L2630" s="19">
        <v>6.045515949949574E20</v>
      </c>
      <c r="M2630" s="20">
        <v>6.045515949949574E19</v>
      </c>
    </row>
    <row r="2631">
      <c r="A2631" s="6"/>
      <c r="B2631" s="6"/>
      <c r="C2631" s="4"/>
      <c r="D2631" s="4">
        <v>12.1556419788061</v>
      </c>
      <c r="E2631" s="4" t="s">
        <v>4142</v>
      </c>
      <c r="F2631" s="4"/>
      <c r="G2631" s="4"/>
      <c r="H2631" s="4"/>
      <c r="I2631" s="4" t="str">
        <f>IFERROR(__xludf.DUMMYFUNCTION("""COMPUTED_VALUE"""),"0x2abe38fc046a662817c76e148d4c5281831fd02f")</f>
        <v>0x2abe38fc046a662817c76e148d4c5281831fd02f</v>
      </c>
      <c r="J2631" s="18">
        <v>23.4677609359508</v>
      </c>
      <c r="K2631" s="4">
        <v>293.347011699385</v>
      </c>
      <c r="L2631" s="19">
        <v>2.93347011699385E20</v>
      </c>
      <c r="M2631" s="20">
        <v>2.93347011699385E19</v>
      </c>
    </row>
    <row r="2632">
      <c r="A2632" s="6"/>
      <c r="B2632" s="6"/>
      <c r="C2632" s="4"/>
      <c r="D2632" s="4">
        <v>23.4132397062055</v>
      </c>
      <c r="E2632" s="4" t="s">
        <v>4144</v>
      </c>
      <c r="F2632" s="4"/>
      <c r="G2632" s="4"/>
      <c r="H2632" s="4"/>
      <c r="I2632" s="4" t="str">
        <f>IFERROR(__xludf.DUMMYFUNCTION("""COMPUTED_VALUE"""),"0xba461a93e4a5fd822ecb23f2e62a20b1f37924b7")</f>
        <v>0xba461a93e4a5fd822ecb23f2e62a20b1f37924b7</v>
      </c>
      <c r="J2632" s="18">
        <v>76.26592163072169</v>
      </c>
      <c r="K2632" s="4">
        <v>953.3240203840211</v>
      </c>
      <c r="L2632" s="19">
        <v>9.533240203840211E20</v>
      </c>
      <c r="M2632" s="20">
        <v>9.533240203840212E19</v>
      </c>
    </row>
    <row r="2633">
      <c r="A2633" s="6"/>
      <c r="B2633" s="6"/>
      <c r="C2633" s="4"/>
      <c r="D2633" s="4">
        <v>16.8165599188499</v>
      </c>
      <c r="E2633" s="4" t="s">
        <v>4146</v>
      </c>
      <c r="F2633" s="4"/>
      <c r="G2633" s="4"/>
      <c r="H2633" s="4"/>
      <c r="I2633" s="4" t="str">
        <f>IFERROR(__xludf.DUMMYFUNCTION("""COMPUTED_VALUE"""),"0x4bf5ea109f600fffbff71923d18787bbd7895402")</f>
        <v>0x4bf5ea109f600fffbff71923d18787bbd7895402</v>
      </c>
      <c r="J2633" s="18">
        <v>0.967282551991933</v>
      </c>
      <c r="K2633" s="4">
        <v>12.091031899899162</v>
      </c>
      <c r="L2633" s="19">
        <v>1.2091031899899163E19</v>
      </c>
      <c r="M2633" s="20">
        <v>1.2091031899899164E18</v>
      </c>
    </row>
    <row r="2634">
      <c r="A2634" s="6"/>
      <c r="B2634" s="6"/>
      <c r="C2634" s="4"/>
      <c r="D2634" s="4">
        <v>36.612045262221</v>
      </c>
      <c r="E2634" s="4" t="s">
        <v>4148</v>
      </c>
      <c r="F2634" s="4"/>
      <c r="G2634" s="4"/>
      <c r="H2634" s="4"/>
      <c r="I2634" s="4" t="str">
        <f>IFERROR(__xludf.DUMMYFUNCTION("""COMPUTED_VALUE"""),"0xbf526733de167849119f04db123a809d81880145")</f>
        <v>0xbf526733de167849119f04db123a809d81880145</v>
      </c>
      <c r="J2634" s="18">
        <v>58.802555599527295</v>
      </c>
      <c r="K2634" s="4">
        <v>735.0319449940912</v>
      </c>
      <c r="L2634" s="19">
        <v>7.350319449940912E20</v>
      </c>
      <c r="M2634" s="20">
        <v>7.350319449940912E19</v>
      </c>
    </row>
    <row r="2635">
      <c r="A2635" s="6"/>
      <c r="B2635" s="6"/>
      <c r="C2635" s="4"/>
      <c r="D2635" s="4">
        <v>7.10451440343793</v>
      </c>
      <c r="E2635" s="4" t="s">
        <v>4150</v>
      </c>
      <c r="F2635" s="4"/>
      <c r="G2635" s="4"/>
      <c r="H2635" s="4"/>
      <c r="I2635" s="4" t="str">
        <f>IFERROR(__xludf.DUMMYFUNCTION("""COMPUTED_VALUE"""),"0x2066c6436ae796ad892547bb8a3a813bea5d526b")</f>
        <v>0x2066c6436ae796ad892547bb8a3a813bea5d526b</v>
      </c>
      <c r="J2635" s="18">
        <v>26.87895122159147</v>
      </c>
      <c r="K2635" s="4">
        <v>335.98689026989337</v>
      </c>
      <c r="L2635" s="19">
        <v>3.359868902698934E20</v>
      </c>
      <c r="M2635" s="20">
        <v>3.3598689026989343E19</v>
      </c>
    </row>
    <row r="2636">
      <c r="A2636" s="6"/>
      <c r="B2636" s="6"/>
      <c r="C2636" s="4"/>
      <c r="D2636" s="4">
        <v>19.5648443181902</v>
      </c>
      <c r="E2636" s="4" t="s">
        <v>4152</v>
      </c>
      <c r="F2636" s="4"/>
      <c r="G2636" s="4"/>
      <c r="H2636" s="4"/>
      <c r="I2636" s="4" t="str">
        <f>IFERROR(__xludf.DUMMYFUNCTION("""COMPUTED_VALUE"""),"0x29f2a6eb0999f0f696d42aa6f2acc5bbd07da85c")</f>
        <v>0x29f2a6eb0999f0f696d42aa6f2acc5bbd07da85c</v>
      </c>
      <c r="J2636" s="18">
        <v>21.7219895887285</v>
      </c>
      <c r="K2636" s="4">
        <v>271.5248698591063</v>
      </c>
      <c r="L2636" s="19">
        <v>2.7152486985910626E20</v>
      </c>
      <c r="M2636" s="20">
        <v>2.715248698591063E19</v>
      </c>
    </row>
    <row r="2637">
      <c r="A2637" s="6"/>
      <c r="B2637" s="6"/>
      <c r="C2637" s="4"/>
      <c r="D2637" s="4">
        <v>48.3641275995966</v>
      </c>
      <c r="E2637" s="4" t="s">
        <v>4154</v>
      </c>
      <c r="F2637" s="4"/>
      <c r="G2637" s="4"/>
      <c r="H2637" s="4"/>
      <c r="I2637" s="4" t="str">
        <f>IFERROR(__xludf.DUMMYFUNCTION("""COMPUTED_VALUE"""),"0x3748a8a791118083b59938899313009e97b381c0")</f>
        <v>0x3748a8a791118083b59938899313009e97b381c0</v>
      </c>
      <c r="J2637" s="18">
        <v>48.2962120652557</v>
      </c>
      <c r="K2637" s="4">
        <v>603.7026508156963</v>
      </c>
      <c r="L2637" s="19">
        <v>6.037026508156963E20</v>
      </c>
      <c r="M2637" s="20">
        <v>6.037026508156964E19</v>
      </c>
    </row>
    <row r="2638">
      <c r="A2638" s="6"/>
      <c r="B2638" s="6"/>
      <c r="C2638" s="4"/>
      <c r="D2638" s="4">
        <v>19.3456510398386</v>
      </c>
      <c r="E2638" s="4" t="s">
        <v>4155</v>
      </c>
      <c r="F2638" s="4"/>
      <c r="G2638" s="4"/>
      <c r="H2638" s="4"/>
      <c r="I2638" s="4" t="str">
        <f>IFERROR(__xludf.DUMMYFUNCTION("""COMPUTED_VALUE"""),"0xbab0e06613931b999f247fa655b07988c687a5df")</f>
        <v>0xbab0e06613931b999f247fa655b07988c687a5df</v>
      </c>
      <c r="J2638" s="18">
        <v>4.63969522478311</v>
      </c>
      <c r="K2638" s="4">
        <v>57.99619030978887</v>
      </c>
      <c r="L2638" s="19">
        <v>5.799619030978887E19</v>
      </c>
      <c r="M2638" s="20">
        <v>5.799619030978888E18</v>
      </c>
    </row>
    <row r="2639">
      <c r="A2639" s="6"/>
      <c r="B2639" s="6"/>
      <c r="C2639" s="4"/>
      <c r="D2639" s="4">
        <v>48.3641275995966</v>
      </c>
      <c r="E2639" s="4" t="s">
        <v>127</v>
      </c>
      <c r="F2639" s="4"/>
      <c r="G2639" s="4"/>
      <c r="H2639" s="4"/>
      <c r="I2639" s="4" t="str">
        <f>IFERROR(__xludf.DUMMYFUNCTION("""COMPUTED_VALUE"""),"0x875b025f857fee359388788b1513ff34d8dc8645")</f>
        <v>0x875b025f857fee359388788b1513ff34d8dc8645</v>
      </c>
      <c r="J2639" s="18">
        <v>72.9621136786743</v>
      </c>
      <c r="K2639" s="4">
        <v>912.0264209834287</v>
      </c>
      <c r="L2639" s="19">
        <v>9.120264209834287E20</v>
      </c>
      <c r="M2639" s="20">
        <v>9.120264209834287E19</v>
      </c>
    </row>
    <row r="2640">
      <c r="A2640" s="6"/>
      <c r="B2640" s="6"/>
      <c r="C2640" s="4"/>
      <c r="D2640" s="4">
        <v>48.318225887072195</v>
      </c>
      <c r="E2640" s="4" t="s">
        <v>4156</v>
      </c>
      <c r="F2640" s="4"/>
      <c r="G2640" s="4"/>
      <c r="H2640" s="4"/>
      <c r="I2640" s="4" t="str">
        <f>IFERROR(__xludf.DUMMYFUNCTION("""COMPUTED_VALUE"""),"0x10ca9447713b15608b98542df6ef27848ed065d3")</f>
        <v>0x10ca9447713b15608b98542df6ef27848ed065d3</v>
      </c>
      <c r="J2640" s="18">
        <v>3.01323092410995</v>
      </c>
      <c r="K2640" s="4">
        <v>37.665386551374375</v>
      </c>
      <c r="L2640" s="19">
        <v>3.766538655137437E19</v>
      </c>
      <c r="M2640" s="20">
        <v>3.7665386551374377E18</v>
      </c>
    </row>
    <row r="2641">
      <c r="A2641" s="6"/>
      <c r="B2641" s="6"/>
      <c r="C2641" s="4"/>
      <c r="D2641" s="4">
        <v>48.3641275995966</v>
      </c>
      <c r="E2641" s="4" t="s">
        <v>4158</v>
      </c>
      <c r="F2641" s="4"/>
      <c r="G2641" s="4"/>
      <c r="H2641" s="4"/>
      <c r="I2641" s="4" t="str">
        <f>IFERROR(__xludf.DUMMYFUNCTION("""COMPUTED_VALUE"""),"0x099d2f8a1462eed24eb838bbf344f79a00a4d8ff")</f>
        <v>0x099d2f8a1462eed24eb838bbf344f79a00a4d8ff</v>
      </c>
      <c r="J2641" s="18">
        <v>48.3641275995966</v>
      </c>
      <c r="K2641" s="4">
        <v>604.5515949949574</v>
      </c>
      <c r="L2641" s="19">
        <v>6.045515949949574E20</v>
      </c>
      <c r="M2641" s="20">
        <v>6.045515949949574E19</v>
      </c>
    </row>
    <row r="2642">
      <c r="A2642" s="6"/>
      <c r="B2642" s="6"/>
      <c r="C2642" s="4"/>
      <c r="D2642" s="4">
        <v>13.541955727887</v>
      </c>
      <c r="E2642" s="4" t="s">
        <v>4159</v>
      </c>
      <c r="F2642" s="4"/>
      <c r="G2642" s="4"/>
      <c r="H2642" s="4"/>
      <c r="I2642" s="4" t="str">
        <f>IFERROR(__xludf.DUMMYFUNCTION("""COMPUTED_VALUE"""),"0xd779d7078892d2adffc85293b4632cfa36332d38")</f>
        <v>0xd779d7078892d2adffc85293b4632cfa36332d38</v>
      </c>
      <c r="J2642" s="18">
        <v>104.4824024180356</v>
      </c>
      <c r="K2642" s="4">
        <v>1306.030030225445</v>
      </c>
      <c r="L2642" s="19">
        <v>1.306030030225445E21</v>
      </c>
      <c r="M2642" s="20">
        <v>1.306030030225445E20</v>
      </c>
    </row>
    <row r="2643">
      <c r="A2643" s="6"/>
      <c r="B2643" s="6"/>
      <c r="C2643" s="4"/>
      <c r="D2643" s="4">
        <v>9.672825519919328</v>
      </c>
      <c r="E2643" s="4" t="s">
        <v>4161</v>
      </c>
      <c r="F2643" s="4"/>
      <c r="G2643" s="4"/>
      <c r="H2643" s="4"/>
      <c r="I2643" s="4" t="str">
        <f>IFERROR(__xludf.DUMMYFUNCTION("""COMPUTED_VALUE"""),"0x62e219d5a8965e1ada920b578d743ce3507fe7f4")</f>
        <v>0x62e219d5a8965e1ada920b578d743ce3507fe7f4</v>
      </c>
      <c r="J2643" s="18">
        <v>47.8999043138443</v>
      </c>
      <c r="K2643" s="4">
        <v>598.7488039230537</v>
      </c>
      <c r="L2643" s="19">
        <v>5.987488039230538E20</v>
      </c>
      <c r="M2643" s="20">
        <v>5.987488039230538E19</v>
      </c>
    </row>
    <row r="2644">
      <c r="A2644" s="6"/>
      <c r="B2644" s="6"/>
      <c r="C2644" s="4"/>
      <c r="D2644" s="4">
        <v>2.8141727606771</v>
      </c>
      <c r="E2644" s="4" t="s">
        <v>4162</v>
      </c>
      <c r="F2644" s="4"/>
      <c r="G2644" s="4"/>
      <c r="H2644" s="4"/>
      <c r="I2644" s="4" t="str">
        <f>IFERROR(__xludf.DUMMYFUNCTION("""COMPUTED_VALUE"""),"0x98bc0197208c6dd4c4c5b9a2a5fb8c73775decdc")</f>
        <v>0x98bc0197208c6dd4c4c5b9a2a5fb8c73775decdc</v>
      </c>
      <c r="J2644" s="18">
        <v>78.576183211467</v>
      </c>
      <c r="K2644" s="4">
        <v>982.2022901433374</v>
      </c>
      <c r="L2644" s="19">
        <v>9.822022901433375E20</v>
      </c>
      <c r="M2644" s="20">
        <v>9.822022901433375E19</v>
      </c>
    </row>
    <row r="2645">
      <c r="A2645" s="6"/>
      <c r="B2645" s="6"/>
      <c r="C2645" s="4"/>
      <c r="D2645" s="4">
        <v>11.861824006351</v>
      </c>
      <c r="E2645" s="4" t="s">
        <v>4164</v>
      </c>
      <c r="F2645" s="4"/>
      <c r="G2645" s="4"/>
      <c r="H2645" s="4"/>
      <c r="I2645" s="4" t="str">
        <f>IFERROR(__xludf.DUMMYFUNCTION("""COMPUTED_VALUE"""),"0x3e4206607125cec13be9f48e95b8b95138393e7a")</f>
        <v>0x3e4206607125cec13be9f48e95b8b95138393e7a</v>
      </c>
      <c r="J2645" s="18">
        <v>4.187599311359159</v>
      </c>
      <c r="K2645" s="4">
        <v>52.34499139198949</v>
      </c>
      <c r="L2645" s="19">
        <v>5.234499139198949E19</v>
      </c>
      <c r="M2645" s="20">
        <v>5.234499139198949E18</v>
      </c>
    </row>
    <row r="2646">
      <c r="A2646" s="6"/>
      <c r="B2646" s="6"/>
      <c r="C2646" s="4"/>
      <c r="D2646" s="4">
        <v>9.672825519919328</v>
      </c>
      <c r="E2646" s="4" t="s">
        <v>4166</v>
      </c>
      <c r="F2646" s="4"/>
      <c r="G2646" s="4"/>
      <c r="H2646" s="4"/>
      <c r="I2646" s="4" t="str">
        <f>IFERROR(__xludf.DUMMYFUNCTION("""COMPUTED_VALUE"""),"0xf6193ab4d4bd0a2ac34b31dbe11a5b0017535a20")</f>
        <v>0xf6193ab4d4bd0a2ac34b31dbe11a5b0017535a20</v>
      </c>
      <c r="J2646" s="18">
        <v>48.3641275995966</v>
      </c>
      <c r="K2646" s="4">
        <v>604.5515949949574</v>
      </c>
      <c r="L2646" s="19">
        <v>6.045515949949574E20</v>
      </c>
      <c r="M2646" s="20">
        <v>6.045515949949574E19</v>
      </c>
    </row>
    <row r="2647">
      <c r="A2647" s="6"/>
      <c r="B2647" s="6"/>
      <c r="C2647" s="4"/>
      <c r="D2647" s="4">
        <v>9.672825519919328</v>
      </c>
      <c r="E2647" s="4" t="s">
        <v>4167</v>
      </c>
      <c r="F2647" s="4"/>
      <c r="G2647" s="4"/>
      <c r="H2647" s="4"/>
      <c r="I2647" s="4" t="str">
        <f>IFERROR(__xludf.DUMMYFUNCTION("""COMPUTED_VALUE"""),"0xe1442612771a25b1bfc13bce6f827ad4c75e6d88")</f>
        <v>0xe1442612771a25b1bfc13bce6f827ad4c75e6d88</v>
      </c>
      <c r="J2647" s="18">
        <v>48.3641275995966</v>
      </c>
      <c r="K2647" s="4">
        <v>604.5515949949574</v>
      </c>
      <c r="L2647" s="19">
        <v>6.045515949949574E20</v>
      </c>
      <c r="M2647" s="20">
        <v>6.045515949949574E19</v>
      </c>
    </row>
    <row r="2648">
      <c r="A2648" s="6"/>
      <c r="B2648" s="6"/>
      <c r="C2648" s="4"/>
      <c r="D2648" s="4">
        <v>48.3641275995966</v>
      </c>
      <c r="E2648" s="4" t="s">
        <v>4168</v>
      </c>
      <c r="F2648" s="4"/>
      <c r="G2648" s="4"/>
      <c r="H2648" s="4"/>
      <c r="I2648" s="4" t="str">
        <f>IFERROR(__xludf.DUMMYFUNCTION("""COMPUTED_VALUE"""),"0xf3db189c6aa382f5d9dbc3f7251e9a463be06619")</f>
        <v>0xf3db189c6aa382f5d9dbc3f7251e9a463be06619</v>
      </c>
      <c r="J2648" s="18">
        <v>57.86997354243077</v>
      </c>
      <c r="K2648" s="4">
        <v>723.3746692803846</v>
      </c>
      <c r="L2648" s="19">
        <v>7.233746692803846E20</v>
      </c>
      <c r="M2648" s="20">
        <v>7.233746692803847E19</v>
      </c>
    </row>
    <row r="2649">
      <c r="A2649" s="6"/>
      <c r="B2649" s="6"/>
      <c r="C2649" s="4"/>
      <c r="D2649" s="4">
        <v>7.93173825878325</v>
      </c>
      <c r="E2649" s="4" t="s">
        <v>4169</v>
      </c>
      <c r="F2649" s="4"/>
      <c r="G2649" s="4"/>
      <c r="H2649" s="4"/>
      <c r="I2649" s="4" t="str">
        <f>IFERROR(__xludf.DUMMYFUNCTION("""COMPUTED_VALUE"""),"0x7722c40e82598a88106b82d18d6378c7b934df2e")</f>
        <v>0x7722c40e82598a88106b82d18d6378c7b934df2e</v>
      </c>
      <c r="J2649" s="18">
        <v>4.11738846360787</v>
      </c>
      <c r="K2649" s="4">
        <v>51.46735579509838</v>
      </c>
      <c r="L2649" s="19">
        <v>5.146735579509838E19</v>
      </c>
      <c r="M2649" s="20">
        <v>5.146735579509838E18</v>
      </c>
    </row>
    <row r="2650">
      <c r="A2650" s="6"/>
      <c r="B2650" s="6"/>
      <c r="C2650" s="4"/>
      <c r="D2650" s="4">
        <v>48.3641275995966</v>
      </c>
      <c r="E2650" s="4" t="s">
        <v>4171</v>
      </c>
      <c r="F2650" s="4"/>
      <c r="G2650" s="4"/>
      <c r="H2650" s="4"/>
      <c r="I2650" s="4" t="str">
        <f>IFERROR(__xludf.DUMMYFUNCTION("""COMPUTED_VALUE"""),"0xdf39aadc0240a8f3d82ab6ac7e40801eff215137")</f>
        <v>0xdf39aadc0240a8f3d82ab6ac7e40801eff215137</v>
      </c>
      <c r="J2650" s="18">
        <v>53.01580114478685</v>
      </c>
      <c r="K2650" s="4">
        <v>662.6975143098356</v>
      </c>
      <c r="L2650" s="19">
        <v>6.626975143098356E20</v>
      </c>
      <c r="M2650" s="20">
        <v>6.626975143098356E19</v>
      </c>
    </row>
    <row r="2651">
      <c r="A2651" s="6"/>
      <c r="B2651" s="6"/>
      <c r="C2651" s="4"/>
      <c r="D2651" s="4">
        <v>48.3641275995966</v>
      </c>
      <c r="E2651" s="4" t="s">
        <v>4172</v>
      </c>
      <c r="F2651" s="4"/>
      <c r="G2651" s="4"/>
      <c r="H2651" s="4"/>
      <c r="I2651" s="4" t="str">
        <f>IFERROR(__xludf.DUMMYFUNCTION("""COMPUTED_VALUE"""),"0x2ecc2f4bb86cae1634d88288c6cf17fd091b27ec")</f>
        <v>0x2ecc2f4bb86cae1634d88288c6cf17fd091b27ec</v>
      </c>
      <c r="J2651" s="18">
        <v>104.1677156618468</v>
      </c>
      <c r="K2651" s="4">
        <v>1302.096445773085</v>
      </c>
      <c r="L2651" s="19">
        <v>1.302096445773085E21</v>
      </c>
      <c r="M2651" s="20">
        <v>1.3020964457730849E20</v>
      </c>
    </row>
    <row r="2652">
      <c r="A2652" s="6"/>
      <c r="B2652" s="6"/>
      <c r="C2652" s="4"/>
      <c r="D2652" s="4">
        <v>3.8691302079677303</v>
      </c>
      <c r="E2652" s="4" t="s">
        <v>4173</v>
      </c>
      <c r="F2652" s="4"/>
      <c r="G2652" s="4"/>
      <c r="H2652" s="4"/>
      <c r="I2652" s="4" t="str">
        <f>IFERROR(__xludf.DUMMYFUNCTION("""COMPUTED_VALUE"""),"0xf64213489394ba1e9418400e6ba5160f6064a4c0")</f>
        <v>0xf64213489394ba1e9418400e6ba5160f6064a4c0</v>
      </c>
      <c r="J2652" s="18">
        <v>9.72332003510643</v>
      </c>
      <c r="K2652" s="4">
        <v>121.54150043883038</v>
      </c>
      <c r="L2652" s="19">
        <v>1.2154150043883038E20</v>
      </c>
      <c r="M2652" s="20">
        <v>1.2154150043883039E19</v>
      </c>
    </row>
    <row r="2653">
      <c r="A2653" s="6"/>
      <c r="B2653" s="6"/>
      <c r="C2653" s="4"/>
      <c r="D2653" s="4">
        <v>29.018476559758</v>
      </c>
      <c r="E2653" s="4" t="s">
        <v>4174</v>
      </c>
      <c r="F2653" s="4"/>
      <c r="G2653" s="4"/>
      <c r="H2653" s="4"/>
      <c r="I2653" s="4" t="str">
        <f>IFERROR(__xludf.DUMMYFUNCTION("""COMPUTED_VALUE"""),"0x8092087dae9df2e69883008a1a50a9cd663414e5")</f>
        <v>0x8092087dae9df2e69883008a1a50a9cd663414e5</v>
      </c>
      <c r="J2653" s="18">
        <v>46.914105379168</v>
      </c>
      <c r="K2653" s="4">
        <v>586.4263172395999</v>
      </c>
      <c r="L2653" s="19">
        <v>5.8642631723959996E20</v>
      </c>
      <c r="M2653" s="20">
        <v>5.864263172396E19</v>
      </c>
    </row>
    <row r="2654">
      <c r="A2654" s="6"/>
      <c r="B2654" s="6"/>
      <c r="C2654" s="4"/>
      <c r="D2654" s="4">
        <v>47.333031229872105</v>
      </c>
      <c r="E2654" s="4" t="s">
        <v>4175</v>
      </c>
      <c r="F2654" s="4"/>
      <c r="G2654" s="4"/>
      <c r="H2654" s="4"/>
      <c r="I2654" s="4" t="str">
        <f>IFERROR(__xludf.DUMMYFUNCTION("""COMPUTED_VALUE"""),"0x5ef8a08b60b6955bc0b44c3743ede83b65e0e529")</f>
        <v>0x5ef8a08b60b6955bc0b44c3743ede83b65e0e529</v>
      </c>
      <c r="J2654" s="18">
        <v>13.961227117794602</v>
      </c>
      <c r="K2654" s="4">
        <v>174.51533897243252</v>
      </c>
      <c r="L2654" s="19">
        <v>1.7451533897243253E20</v>
      </c>
      <c r="M2654" s="20">
        <v>1.7451533897243255E19</v>
      </c>
    </row>
    <row r="2655">
      <c r="A2655" s="6"/>
      <c r="B2655" s="6"/>
      <c r="C2655" s="4"/>
      <c r="D2655" s="4">
        <v>48.3641275995966</v>
      </c>
      <c r="E2655" s="4" t="s">
        <v>4177</v>
      </c>
      <c r="F2655" s="4"/>
      <c r="G2655" s="4"/>
      <c r="H2655" s="4"/>
      <c r="I2655" s="4" t="str">
        <f>IFERROR(__xludf.DUMMYFUNCTION("""COMPUTED_VALUE"""),"0x81542664617a5338259b4774936bfb0cb7fc4d6b")</f>
        <v>0x81542664617a5338259b4774936bfb0cb7fc4d6b</v>
      </c>
      <c r="J2655" s="18">
        <v>2.73304298954415</v>
      </c>
      <c r="K2655" s="4">
        <v>34.163037369301875</v>
      </c>
      <c r="L2655" s="19">
        <v>3.4163037369301877E19</v>
      </c>
      <c r="M2655" s="20">
        <v>3.416303736930188E18</v>
      </c>
    </row>
    <row r="2656">
      <c r="A2656" s="6"/>
      <c r="B2656" s="6"/>
      <c r="C2656" s="4"/>
      <c r="D2656" s="4">
        <v>24.970752540476</v>
      </c>
      <c r="E2656" s="4" t="s">
        <v>4178</v>
      </c>
      <c r="F2656" s="4"/>
      <c r="G2656" s="4"/>
      <c r="H2656" s="4"/>
      <c r="I2656" s="4" t="str">
        <f>IFERROR(__xludf.DUMMYFUNCTION("""COMPUTED_VALUE"""),"0xe0fdba300e085bfc2f156734a57dbb49852f2ad9")</f>
        <v>0xe0fdba300e085bfc2f156734a57dbb49852f2ad9</v>
      </c>
      <c r="J2656" s="18">
        <v>9.672825519919328</v>
      </c>
      <c r="K2656" s="4">
        <v>120.9103189989916</v>
      </c>
      <c r="L2656" s="19">
        <v>1.209103189989916E20</v>
      </c>
      <c r="M2656" s="20">
        <v>1.209103189989916E19</v>
      </c>
    </row>
    <row r="2657">
      <c r="A2657" s="6"/>
      <c r="B2657" s="6"/>
      <c r="C2657" s="4"/>
      <c r="D2657" s="4">
        <v>31.1464981741402</v>
      </c>
      <c r="E2657" s="4" t="s">
        <v>4180</v>
      </c>
      <c r="F2657" s="4"/>
      <c r="G2657" s="4"/>
      <c r="H2657" s="4"/>
      <c r="I2657" s="4" t="str">
        <f>IFERROR(__xludf.DUMMYFUNCTION("""COMPUTED_VALUE"""),"0xe30743221308ec8757670923e580483cb21cabd5")</f>
        <v>0xe30743221308ec8757670923e580483cb21cabd5</v>
      </c>
      <c r="J2657" s="18">
        <v>48.3641275995966</v>
      </c>
      <c r="K2657" s="4">
        <v>604.5515949949574</v>
      </c>
      <c r="L2657" s="19">
        <v>6.045515949949574E20</v>
      </c>
      <c r="M2657" s="20">
        <v>6.045515949949574E19</v>
      </c>
    </row>
    <row r="2658">
      <c r="A2658" s="6"/>
      <c r="B2658" s="6"/>
      <c r="C2658" s="4"/>
      <c r="D2658" s="4">
        <v>48.3641275995966</v>
      </c>
      <c r="E2658" s="4" t="s">
        <v>4182</v>
      </c>
      <c r="F2658" s="4"/>
      <c r="G2658" s="4"/>
      <c r="H2658" s="4"/>
      <c r="I2658" s="4" t="str">
        <f>IFERROR(__xludf.DUMMYFUNCTION("""COMPUTED_VALUE"""),"0xba6e61797d6d9ff765aacf7a97cf2a1b475e7ce7")</f>
        <v>0xba6e61797d6d9ff765aacf7a97cf2a1b475e7ce7</v>
      </c>
      <c r="J2658" s="18">
        <v>48.3641275995966</v>
      </c>
      <c r="K2658" s="4">
        <v>604.5515949949574</v>
      </c>
      <c r="L2658" s="19">
        <v>6.045515949949574E20</v>
      </c>
      <c r="M2658" s="20">
        <v>6.045515949949574E19</v>
      </c>
    </row>
    <row r="2659">
      <c r="A2659" s="6"/>
      <c r="B2659" s="6"/>
      <c r="C2659" s="4"/>
      <c r="D2659" s="4">
        <v>9.672825519919328</v>
      </c>
      <c r="E2659" s="4" t="s">
        <v>4183</v>
      </c>
      <c r="F2659" s="4"/>
      <c r="G2659" s="4"/>
      <c r="H2659" s="4"/>
      <c r="I2659" s="4" t="str">
        <f>IFERROR(__xludf.DUMMYFUNCTION("""COMPUTED_VALUE"""),"0xe908ad1840e1d870d7eeeeb728c2c0d036dcbc3c")</f>
        <v>0xe908ad1840e1d870d7eeeeb728c2c0d036dcbc3c</v>
      </c>
      <c r="J2659" s="18">
        <v>21.8605856750176</v>
      </c>
      <c r="K2659" s="4">
        <v>273.25732093772</v>
      </c>
      <c r="L2659" s="19">
        <v>2.7325732093772002E20</v>
      </c>
      <c r="M2659" s="20">
        <v>2.7325732093772005E19</v>
      </c>
    </row>
    <row r="2660">
      <c r="A2660" s="6"/>
      <c r="B2660" s="6"/>
      <c r="C2660" s="4"/>
      <c r="D2660" s="4">
        <v>48.3641275995966</v>
      </c>
      <c r="E2660" s="4" t="s">
        <v>4184</v>
      </c>
      <c r="F2660" s="4"/>
      <c r="G2660" s="4"/>
      <c r="H2660" s="4"/>
      <c r="I2660" s="4" t="str">
        <f>IFERROR(__xludf.DUMMYFUNCTION("""COMPUTED_VALUE"""),"0xa7a3c323931cd92ee1caca89ca7d51b9d538ed06")</f>
        <v>0xa7a3c323931cd92ee1caca89ca7d51b9d538ed06</v>
      </c>
      <c r="J2660" s="18">
        <v>46.260765541683796</v>
      </c>
      <c r="K2660" s="4">
        <v>578.2595692710474</v>
      </c>
      <c r="L2660" s="19">
        <v>5.7825956927104745E20</v>
      </c>
      <c r="M2660" s="20">
        <v>5.7825956927104745E19</v>
      </c>
    </row>
    <row r="2661">
      <c r="A2661" s="6"/>
      <c r="B2661" s="6"/>
      <c r="C2661" s="4"/>
      <c r="D2661" s="4">
        <v>48.3641275995966</v>
      </c>
      <c r="E2661" s="4" t="s">
        <v>4185</v>
      </c>
      <c r="F2661" s="4"/>
      <c r="G2661" s="4"/>
      <c r="H2661" s="4"/>
      <c r="I2661" s="4" t="str">
        <f>IFERROR(__xludf.DUMMYFUNCTION("""COMPUTED_VALUE"""),"0x82e597040c4c50997dff5c6576bc4f32e38d110a")</f>
        <v>0x82e597040c4c50997dff5c6576bc4f32e38d110a</v>
      </c>
      <c r="J2661" s="18">
        <v>57.66472560997164</v>
      </c>
      <c r="K2661" s="4">
        <v>720.8090701246455</v>
      </c>
      <c r="L2661" s="19">
        <v>7.208090701246455E20</v>
      </c>
      <c r="M2661" s="20">
        <v>7.208090701246455E19</v>
      </c>
    </row>
    <row r="2662">
      <c r="A2662" s="6"/>
      <c r="B2662" s="6"/>
      <c r="C2662" s="4"/>
      <c r="D2662" s="4">
        <v>48.3641275995966</v>
      </c>
      <c r="E2662" s="4" t="s">
        <v>1238</v>
      </c>
      <c r="F2662" s="4"/>
      <c r="G2662" s="4"/>
      <c r="H2662" s="4"/>
      <c r="I2662" s="4" t="str">
        <f>IFERROR(__xludf.DUMMYFUNCTION("""COMPUTED_VALUE"""),"0x6dee014f4164718f529fea368c0cc1d3798ceae8")</f>
        <v>0x6dee014f4164718f529fea368c0cc1d3798ceae8</v>
      </c>
      <c r="J2662" s="18">
        <v>160.33353764849159</v>
      </c>
      <c r="K2662" s="4">
        <v>2004.1692206061448</v>
      </c>
      <c r="L2662" s="19">
        <v>2.0041692206061448E21</v>
      </c>
      <c r="M2662" s="20">
        <v>2.004169220606145E20</v>
      </c>
    </row>
    <row r="2663">
      <c r="A2663" s="6"/>
      <c r="B2663" s="6"/>
      <c r="C2663" s="4"/>
      <c r="D2663" s="4">
        <v>27.5953472829395</v>
      </c>
      <c r="E2663" s="4" t="s">
        <v>4186</v>
      </c>
      <c r="F2663" s="4"/>
      <c r="G2663" s="4"/>
      <c r="H2663" s="4"/>
      <c r="I2663" s="4" t="str">
        <f>IFERROR(__xludf.DUMMYFUNCTION("""COMPUTED_VALUE"""),"0x792612a99a3895fa18c2a1436687dd6fe81257ff")</f>
        <v>0x792612a99a3895fa18c2a1436687dd6fe81257ff</v>
      </c>
      <c r="J2663" s="18">
        <v>19.3456510398386</v>
      </c>
      <c r="K2663" s="4">
        <v>241.8206379979825</v>
      </c>
      <c r="L2663" s="19">
        <v>2.4182063799798248E20</v>
      </c>
      <c r="M2663" s="20">
        <v>2.418206379979825E19</v>
      </c>
    </row>
    <row r="2664">
      <c r="A2664" s="6"/>
      <c r="B2664" s="6"/>
      <c r="C2664" s="4"/>
      <c r="D2664" s="4">
        <v>48.3641275995966</v>
      </c>
      <c r="E2664" s="4" t="s">
        <v>1091</v>
      </c>
      <c r="F2664" s="4"/>
      <c r="G2664" s="4"/>
      <c r="H2664" s="4"/>
      <c r="I2664" s="4" t="str">
        <f>IFERROR(__xludf.DUMMYFUNCTION("""COMPUTED_VALUE"""),"0x32e425d7a925da2e8d75bd630cbc9c327e1fc098")</f>
        <v>0x32e425d7a925da2e8d75bd630cbc9c327e1fc098</v>
      </c>
      <c r="J2664" s="18">
        <v>2.111047575883</v>
      </c>
      <c r="K2664" s="4">
        <v>26.3880946985375</v>
      </c>
      <c r="L2664" s="19">
        <v>2.63880946985375E19</v>
      </c>
      <c r="M2664" s="20">
        <v>2.6388094698537503E18</v>
      </c>
    </row>
    <row r="2665">
      <c r="A2665" s="6"/>
      <c r="B2665" s="6"/>
      <c r="C2665" s="4"/>
      <c r="D2665" s="4">
        <v>13.834084800865</v>
      </c>
      <c r="E2665" s="4" t="s">
        <v>4188</v>
      </c>
      <c r="F2665" s="4"/>
      <c r="G2665" s="4"/>
      <c r="H2665" s="4"/>
      <c r="I2665" s="4" t="str">
        <f>IFERROR(__xludf.DUMMYFUNCTION("""COMPUTED_VALUE"""),"0x33521eea4e596e166718dc1072303a59fe29869a")</f>
        <v>0x33521eea4e596e166718dc1072303a59fe29869a</v>
      </c>
      <c r="J2665" s="18">
        <v>66.9653236203466</v>
      </c>
      <c r="K2665" s="4">
        <v>837.0665452543324</v>
      </c>
      <c r="L2665" s="19">
        <v>8.370665452543324E20</v>
      </c>
      <c r="M2665" s="20">
        <v>8.370665452543323E19</v>
      </c>
    </row>
    <row r="2666">
      <c r="A2666" s="6"/>
      <c r="B2666" s="6"/>
      <c r="C2666" s="4"/>
      <c r="D2666" s="4">
        <v>48.3641275995966</v>
      </c>
      <c r="E2666" s="4" t="s">
        <v>4190</v>
      </c>
      <c r="F2666" s="4"/>
      <c r="G2666" s="4"/>
      <c r="H2666" s="4"/>
      <c r="I2666" s="4" t="str">
        <f>IFERROR(__xludf.DUMMYFUNCTION("""COMPUTED_VALUE"""),"0xcfc26bdd19492b36ebfa626710d8f896d831abf0")</f>
        <v>0xcfc26bdd19492b36ebfa626710d8f896d831abf0</v>
      </c>
      <c r="J2666" s="18">
        <v>10.9160315264186</v>
      </c>
      <c r="K2666" s="4">
        <v>136.45039408023248</v>
      </c>
      <c r="L2666" s="19">
        <v>1.3645039408023249E20</v>
      </c>
      <c r="M2666" s="20">
        <v>1.3645039408023249E19</v>
      </c>
    </row>
    <row r="2667">
      <c r="A2667" s="6"/>
      <c r="B2667" s="6"/>
      <c r="C2667" s="4"/>
      <c r="D2667" s="4">
        <v>48.3641275995966</v>
      </c>
      <c r="E2667" s="4" t="s">
        <v>4191</v>
      </c>
      <c r="F2667" s="4"/>
      <c r="G2667" s="4"/>
      <c r="H2667" s="4"/>
      <c r="I2667" s="4" t="str">
        <f>IFERROR(__xludf.DUMMYFUNCTION("""COMPUTED_VALUE"""),"0x9c11b38c7e6fdaf94d3a319712d40f54c369c4ac")</f>
        <v>0x9c11b38c7e6fdaf94d3a319712d40f54c369c4ac</v>
      </c>
      <c r="J2667" s="18">
        <v>9.746669419527121</v>
      </c>
      <c r="K2667" s="4">
        <v>121.83336774408902</v>
      </c>
      <c r="L2667" s="19">
        <v>1.2183336774408901E20</v>
      </c>
      <c r="M2667" s="20">
        <v>1.2183336774408903E19</v>
      </c>
    </row>
    <row r="2668">
      <c r="A2668" s="6"/>
      <c r="B2668" s="6"/>
      <c r="C2668" s="4"/>
      <c r="D2668" s="4">
        <v>19.229248171767203</v>
      </c>
      <c r="E2668" s="4" t="s">
        <v>4192</v>
      </c>
      <c r="F2668" s="4"/>
      <c r="G2668" s="4"/>
      <c r="H2668" s="4"/>
      <c r="I2668" s="4" t="str">
        <f>IFERROR(__xludf.DUMMYFUNCTION("""COMPUTED_VALUE"""),"0xb99e5a2f97ace18edef5ddae1a21cf9fac51faa0")</f>
        <v>0xb99e5a2f97ace18edef5ddae1a21cf9fac51faa0</v>
      </c>
      <c r="J2668" s="18">
        <v>26.027108453067502</v>
      </c>
      <c r="K2668" s="4">
        <v>325.3388556633438</v>
      </c>
      <c r="L2668" s="19">
        <v>3.2533885566334376E20</v>
      </c>
      <c r="M2668" s="20">
        <v>3.253388556633438E19</v>
      </c>
    </row>
    <row r="2669">
      <c r="A2669" s="6"/>
      <c r="B2669" s="6"/>
      <c r="C2669" s="4"/>
      <c r="D2669" s="4">
        <v>9.672825519919328</v>
      </c>
      <c r="E2669" s="4" t="s">
        <v>4194</v>
      </c>
      <c r="F2669" s="4"/>
      <c r="G2669" s="4"/>
      <c r="H2669" s="4"/>
      <c r="I2669" s="4" t="str">
        <f>IFERROR(__xludf.DUMMYFUNCTION("""COMPUTED_VALUE"""),"0x17296f6bad3642acdb3a613537a79ddbf01e4a0c")</f>
        <v>0x17296f6bad3642acdb3a613537a79ddbf01e4a0c</v>
      </c>
      <c r="J2669" s="18">
        <v>46.50319364100443</v>
      </c>
      <c r="K2669" s="4">
        <v>581.2899205125553</v>
      </c>
      <c r="L2669" s="19">
        <v>5.8128992051255535E20</v>
      </c>
      <c r="M2669" s="20">
        <v>5.812899205125554E19</v>
      </c>
    </row>
    <row r="2670">
      <c r="A2670" s="6"/>
      <c r="B2670" s="6"/>
      <c r="C2670" s="4"/>
      <c r="D2670" s="4">
        <v>43.9676186043325</v>
      </c>
      <c r="E2670" s="4" t="s">
        <v>4195</v>
      </c>
      <c r="F2670" s="4"/>
      <c r="G2670" s="4"/>
      <c r="H2670" s="4"/>
      <c r="I2670" s="4" t="str">
        <f>IFERROR(__xludf.DUMMYFUNCTION("""COMPUTED_VALUE"""),"0x04facb673a2ff933cf6be832b4846e4e04b7172d")</f>
        <v>0x04facb673a2ff933cf6be832b4846e4e04b7172d</v>
      </c>
      <c r="J2670" s="18">
        <v>48.3641275995966</v>
      </c>
      <c r="K2670" s="4">
        <v>604.5515949949574</v>
      </c>
      <c r="L2670" s="19">
        <v>6.045515949949574E20</v>
      </c>
      <c r="M2670" s="20">
        <v>6.045515949949574E19</v>
      </c>
    </row>
    <row r="2671">
      <c r="A2671" s="6"/>
      <c r="B2671" s="6"/>
      <c r="C2671" s="4"/>
      <c r="D2671" s="4">
        <v>44.0220626941813</v>
      </c>
      <c r="E2671" s="4" t="s">
        <v>4197</v>
      </c>
      <c r="F2671" s="4"/>
      <c r="G2671" s="4"/>
      <c r="H2671" s="4"/>
      <c r="I2671" s="4" t="str">
        <f>IFERROR(__xludf.DUMMYFUNCTION("""COMPUTED_VALUE"""),"0x2bfcba64629125acc34df64320f7f460e472433e")</f>
        <v>0x2bfcba64629125acc34df64320f7f460e472433e</v>
      </c>
      <c r="J2671" s="18">
        <v>19.4020325314975</v>
      </c>
      <c r="K2671" s="4">
        <v>242.52540664371875</v>
      </c>
      <c r="L2671" s="19">
        <v>2.4252540664371875E20</v>
      </c>
      <c r="M2671" s="20">
        <v>2.4252540664371876E19</v>
      </c>
    </row>
    <row r="2672">
      <c r="A2672" s="6"/>
      <c r="B2672" s="6"/>
      <c r="C2672" s="4"/>
      <c r="D2672" s="4">
        <v>48.3641275995966</v>
      </c>
      <c r="E2672" s="4" t="s">
        <v>4199</v>
      </c>
      <c r="F2672" s="4"/>
      <c r="G2672" s="4"/>
      <c r="H2672" s="4"/>
      <c r="I2672" s="4" t="str">
        <f>IFERROR(__xludf.DUMMYFUNCTION("""COMPUTED_VALUE"""),"0xf3650d820821d5b168e0c2eac0ba7bd37be07162")</f>
        <v>0xf3650d820821d5b168e0c2eac0ba7bd37be07162</v>
      </c>
      <c r="J2672" s="18">
        <v>194.5053085701935</v>
      </c>
      <c r="K2672" s="4">
        <v>2431.316357127419</v>
      </c>
      <c r="L2672" s="19">
        <v>2.431316357127419E21</v>
      </c>
      <c r="M2672" s="20">
        <v>2.4313163571274193E20</v>
      </c>
    </row>
    <row r="2673">
      <c r="A2673" s="6"/>
      <c r="B2673" s="6"/>
      <c r="C2673" s="4"/>
      <c r="D2673" s="4">
        <v>43.8005792403423</v>
      </c>
      <c r="E2673" s="4" t="s">
        <v>4200</v>
      </c>
      <c r="F2673" s="4"/>
      <c r="G2673" s="4"/>
      <c r="H2673" s="4"/>
      <c r="I2673" s="4" t="str">
        <f>IFERROR(__xludf.DUMMYFUNCTION("""COMPUTED_VALUE"""),"0xc9d10a7ae9f110750c1379411050853f1320a911")</f>
        <v>0xc9d10a7ae9f110750c1379411050853f1320a911</v>
      </c>
      <c r="J2673" s="18">
        <v>29.0437226117305</v>
      </c>
      <c r="K2673" s="4">
        <v>363.04653264663125</v>
      </c>
      <c r="L2673" s="19">
        <v>3.6304653264663124E20</v>
      </c>
      <c r="M2673" s="20">
        <v>3.6304653264663126E19</v>
      </c>
    </row>
    <row r="2674">
      <c r="A2674" s="6"/>
      <c r="B2674" s="6"/>
      <c r="C2674" s="4"/>
      <c r="D2674" s="4">
        <v>48.3641275995966</v>
      </c>
      <c r="E2674" s="4" t="s">
        <v>4202</v>
      </c>
      <c r="F2674" s="4"/>
      <c r="G2674" s="4"/>
      <c r="H2674" s="4"/>
      <c r="I2674" s="4" t="str">
        <f>IFERROR(__xludf.DUMMYFUNCTION("""COMPUTED_VALUE"""),"0xc2437af081d76c4770c3da471b7afab847259892")</f>
        <v>0xc2437af081d76c4770c3da471b7afab847259892</v>
      </c>
      <c r="J2674" s="18">
        <v>119.3698270712139</v>
      </c>
      <c r="K2674" s="4">
        <v>1492.1228383901737</v>
      </c>
      <c r="L2674" s="19">
        <v>1.4921228383901736E21</v>
      </c>
      <c r="M2674" s="20">
        <v>1.4921228383901735E20</v>
      </c>
    </row>
    <row r="2675">
      <c r="A2675" s="6"/>
      <c r="B2675" s="6"/>
      <c r="C2675" s="4"/>
      <c r="D2675" s="4">
        <v>48.3641275995966</v>
      </c>
      <c r="E2675" s="4" t="s">
        <v>4203</v>
      </c>
      <c r="F2675" s="4"/>
      <c r="G2675" s="4"/>
      <c r="H2675" s="4"/>
      <c r="I2675" s="4" t="str">
        <f>IFERROR(__xludf.DUMMYFUNCTION("""COMPUTED_VALUE"""),"0xc9a3592a5f37cd53206231491d03ecf33d70ec30")</f>
        <v>0xc9a3592a5f37cd53206231491d03ecf33d70ec30</v>
      </c>
      <c r="J2675" s="18">
        <v>113.4683136722219</v>
      </c>
      <c r="K2675" s="4">
        <v>1418.3539209027738</v>
      </c>
      <c r="L2675" s="19">
        <v>1.4183539209027739E21</v>
      </c>
      <c r="M2675" s="20">
        <v>1.418353920902774E20</v>
      </c>
    </row>
    <row r="2676">
      <c r="A2676" s="6"/>
      <c r="B2676" s="6"/>
      <c r="C2676" s="4"/>
      <c r="D2676" s="4">
        <v>9.910587912941171</v>
      </c>
      <c r="E2676" s="4" t="s">
        <v>4204</v>
      </c>
      <c r="F2676" s="4"/>
      <c r="G2676" s="4"/>
      <c r="H2676" s="4"/>
      <c r="I2676" s="4" t="str">
        <f>IFERROR(__xludf.DUMMYFUNCTION("""COMPUTED_VALUE"""),"0x13f4991e3cb4d5b53c68893483425a7e8446b91e")</f>
        <v>0x13f4991e3cb4d5b53c68893483425a7e8446b91e</v>
      </c>
      <c r="J2676" s="18">
        <v>38.6913020796773</v>
      </c>
      <c r="K2676" s="4">
        <v>483.6412759959662</v>
      </c>
      <c r="L2676" s="19">
        <v>4.836412759959662E20</v>
      </c>
      <c r="M2676" s="20">
        <v>4.836412759959663E19</v>
      </c>
    </row>
    <row r="2677">
      <c r="A2677" s="6"/>
      <c r="B2677" s="6"/>
      <c r="C2677" s="4"/>
      <c r="D2677" s="4">
        <v>48.3641275995966</v>
      </c>
      <c r="E2677" s="4" t="s">
        <v>4206</v>
      </c>
      <c r="F2677" s="4"/>
      <c r="G2677" s="4"/>
      <c r="H2677" s="4"/>
      <c r="I2677" s="4" t="str">
        <f>IFERROR(__xludf.DUMMYFUNCTION("""COMPUTED_VALUE"""),"0xf2df9228ca83af7ea0a694226e6babe5151c6cff")</f>
        <v>0xf2df9228ca83af7ea0a694226e6babe5151c6cff</v>
      </c>
      <c r="J2677" s="18">
        <v>56.464895847634125</v>
      </c>
      <c r="K2677" s="4">
        <v>705.8111980954266</v>
      </c>
      <c r="L2677" s="19">
        <v>7.058111980954266E20</v>
      </c>
      <c r="M2677" s="20">
        <v>7.058111980954266E19</v>
      </c>
    </row>
    <row r="2678">
      <c r="A2678" s="6"/>
      <c r="B2678" s="6"/>
      <c r="C2678" s="4"/>
      <c r="D2678" s="4">
        <v>48.3641275995966</v>
      </c>
      <c r="E2678" s="4" t="s">
        <v>4207</v>
      </c>
      <c r="F2678" s="4"/>
      <c r="G2678" s="4"/>
      <c r="H2678" s="4"/>
      <c r="I2678" s="4" t="str">
        <f>IFERROR(__xludf.DUMMYFUNCTION("""COMPUTED_VALUE"""),"0x3aeaf7836bf4df9ff5b5c6750516d9011c084678")</f>
        <v>0x3aeaf7836bf4df9ff5b5c6750516d9011c084678</v>
      </c>
      <c r="J2678" s="18">
        <v>48.3641275995966</v>
      </c>
      <c r="K2678" s="4">
        <v>604.5515949949574</v>
      </c>
      <c r="L2678" s="19">
        <v>6.045515949949574E20</v>
      </c>
      <c r="M2678" s="20">
        <v>6.045515949949574E19</v>
      </c>
    </row>
    <row r="2679">
      <c r="A2679" s="6"/>
      <c r="B2679" s="6"/>
      <c r="C2679" s="4"/>
      <c r="D2679" s="4">
        <v>8.7055429679274</v>
      </c>
      <c r="E2679" s="4" t="s">
        <v>4208</v>
      </c>
      <c r="F2679" s="4"/>
      <c r="G2679" s="4"/>
      <c r="H2679" s="4"/>
      <c r="I2679" s="4" t="str">
        <f>IFERROR(__xludf.DUMMYFUNCTION("""COMPUTED_VALUE"""),"0xa12a9cbd4846a2ecdf4e18f86f259759c30a9a85")</f>
        <v>0xa12a9cbd4846a2ecdf4e18f86f259759c30a9a85</v>
      </c>
      <c r="J2679" s="18">
        <v>48.3641275995966</v>
      </c>
      <c r="K2679" s="4">
        <v>604.5515949949574</v>
      </c>
      <c r="L2679" s="19">
        <v>6.045515949949574E20</v>
      </c>
      <c r="M2679" s="20">
        <v>6.045515949949574E19</v>
      </c>
    </row>
    <row r="2680">
      <c r="A2680" s="6"/>
      <c r="B2680" s="6"/>
      <c r="C2680" s="4"/>
      <c r="D2680" s="4">
        <v>48.3641275995966</v>
      </c>
      <c r="E2680" s="4" t="s">
        <v>4209</v>
      </c>
      <c r="F2680" s="4"/>
      <c r="G2680" s="4"/>
      <c r="H2680" s="4"/>
      <c r="I2680" s="4" t="str">
        <f>IFERROR(__xludf.DUMMYFUNCTION("""COMPUTED_VALUE"""),"0x012891692fb69a5c8235f55b819d7b9b8b17ecd6")</f>
        <v>0x012891692fb69a5c8235f55b819d7b9b8b17ecd6</v>
      </c>
      <c r="J2680" s="18">
        <v>34.1431658244728</v>
      </c>
      <c r="K2680" s="4">
        <v>426.78957280591004</v>
      </c>
      <c r="L2680" s="19">
        <v>4.267895728059101E20</v>
      </c>
      <c r="M2680" s="20">
        <v>4.267895728059101E19</v>
      </c>
    </row>
    <row r="2681">
      <c r="A2681" s="6"/>
      <c r="B2681" s="6"/>
      <c r="C2681" s="4"/>
      <c r="D2681" s="4">
        <v>9.672825519919328</v>
      </c>
      <c r="E2681" s="4" t="s">
        <v>4210</v>
      </c>
      <c r="F2681" s="4"/>
      <c r="G2681" s="4"/>
      <c r="H2681" s="4"/>
      <c r="I2681" s="4" t="str">
        <f>IFERROR(__xludf.DUMMYFUNCTION("""COMPUTED_VALUE"""),"0x9654e02807c30e165e1df4b1c3d25d9d1397f03e")</f>
        <v>0x9654e02807c30e165e1df4b1c3d25d9d1397f03e</v>
      </c>
      <c r="J2681" s="18">
        <v>31.13498623118747</v>
      </c>
      <c r="K2681" s="4">
        <v>389.18732788984335</v>
      </c>
      <c r="L2681" s="19">
        <v>3.8918732788984336E20</v>
      </c>
      <c r="M2681" s="20">
        <v>3.891873278898434E19</v>
      </c>
    </row>
    <row r="2682">
      <c r="A2682" s="6"/>
      <c r="B2682" s="6"/>
      <c r="C2682" s="4"/>
      <c r="D2682" s="4">
        <v>48.3641275995966</v>
      </c>
      <c r="E2682" s="4" t="s">
        <v>4211</v>
      </c>
      <c r="F2682" s="4"/>
      <c r="G2682" s="4"/>
      <c r="H2682" s="4"/>
      <c r="I2682" s="4" t="str">
        <f>IFERROR(__xludf.DUMMYFUNCTION("""COMPUTED_VALUE"""),"0xf42ce7299c1cc5ae24fdbb0d1b5186c2b737e1a8")</f>
        <v>0xf42ce7299c1cc5ae24fdbb0d1b5186c2b737e1a8</v>
      </c>
      <c r="J2682" s="18">
        <v>9.672825519919328</v>
      </c>
      <c r="K2682" s="4">
        <v>120.9103189989916</v>
      </c>
      <c r="L2682" s="19">
        <v>1.209103189989916E20</v>
      </c>
      <c r="M2682" s="20">
        <v>1.209103189989916E19</v>
      </c>
    </row>
    <row r="2683">
      <c r="A2683" s="6"/>
      <c r="B2683" s="6"/>
      <c r="C2683" s="4"/>
      <c r="D2683" s="4">
        <v>1.28779930431555</v>
      </c>
      <c r="E2683" s="4" t="s">
        <v>4212</v>
      </c>
      <c r="F2683" s="4"/>
      <c r="G2683" s="4"/>
      <c r="H2683" s="4"/>
      <c r="I2683" s="4" t="str">
        <f>IFERROR(__xludf.DUMMYFUNCTION("""COMPUTED_VALUE"""),"0xba71863960ce7c882b06129baf428cf8cea9ff2e")</f>
        <v>0xba71863960ce7c882b06129baf428cf8cea9ff2e</v>
      </c>
      <c r="J2683" s="18">
        <v>6.50237572823291</v>
      </c>
      <c r="K2683" s="4">
        <v>81.27969660291137</v>
      </c>
      <c r="L2683" s="19">
        <v>8.127969660291138E19</v>
      </c>
      <c r="M2683" s="20">
        <v>8.127969660291138E18</v>
      </c>
    </row>
    <row r="2684">
      <c r="A2684" s="6"/>
      <c r="B2684" s="6"/>
      <c r="C2684" s="4"/>
      <c r="D2684" s="4">
        <v>48.1997528981962</v>
      </c>
      <c r="E2684" s="4" t="s">
        <v>4214</v>
      </c>
      <c r="F2684" s="4"/>
      <c r="G2684" s="4"/>
      <c r="H2684" s="4"/>
      <c r="I2684" s="4" t="str">
        <f>IFERROR(__xludf.DUMMYFUNCTION("""COMPUTED_VALUE"""),"0xb29fbd2bc6391bf904dbbfcdf24345540c1d08a7")</f>
        <v>0xb29fbd2bc6391bf904dbbfcdf24345540c1d08a7</v>
      </c>
      <c r="J2684" s="18">
        <v>48.3641275995966</v>
      </c>
      <c r="K2684" s="4">
        <v>604.5515949949574</v>
      </c>
      <c r="L2684" s="19">
        <v>6.045515949949574E20</v>
      </c>
      <c r="M2684" s="20">
        <v>6.045515949949574E19</v>
      </c>
    </row>
    <row r="2685">
      <c r="A2685" s="6"/>
      <c r="B2685" s="6"/>
      <c r="C2685" s="4"/>
      <c r="D2685" s="4">
        <v>48.3641275995966</v>
      </c>
      <c r="E2685" s="4" t="s">
        <v>4216</v>
      </c>
      <c r="F2685" s="4"/>
      <c r="G2685" s="4"/>
      <c r="H2685" s="4"/>
      <c r="I2685" s="4" t="str">
        <f>IFERROR(__xludf.DUMMYFUNCTION("""COMPUTED_VALUE"""),"0x07a2bb22fc2c0c5f2c67bbe6b7388c0d4c03dc41")</f>
        <v>0x07a2bb22fc2c0c5f2c67bbe6b7388c0d4c03dc41</v>
      </c>
      <c r="J2685" s="18">
        <v>8.55964171558353</v>
      </c>
      <c r="K2685" s="4">
        <v>106.99552144479412</v>
      </c>
      <c r="L2685" s="19">
        <v>1.0699552144479412E20</v>
      </c>
      <c r="M2685" s="20">
        <v>1.0699552144479412E19</v>
      </c>
    </row>
    <row r="2686">
      <c r="A2686" s="6"/>
      <c r="B2686" s="6"/>
      <c r="C2686" s="4"/>
      <c r="D2686" s="4">
        <v>43.1768949032837</v>
      </c>
      <c r="E2686" s="4" t="s">
        <v>4217</v>
      </c>
      <c r="F2686" s="4"/>
      <c r="G2686" s="4"/>
      <c r="H2686" s="4"/>
      <c r="I2686" s="4" t="str">
        <f>IFERROR(__xludf.DUMMYFUNCTION("""COMPUTED_VALUE"""),"0x098beed4aff70df6a5dc4c963b4c1c1dc3a4cf4f")</f>
        <v>0x098beed4aff70df6a5dc4c963b4c1c1dc3a4cf4f</v>
      </c>
      <c r="J2686" s="18">
        <v>35.9837662474602</v>
      </c>
      <c r="K2686" s="4">
        <v>449.79707809325254</v>
      </c>
      <c r="L2686" s="19">
        <v>4.497970780932525E20</v>
      </c>
      <c r="M2686" s="20">
        <v>4.497970780932525E19</v>
      </c>
    </row>
    <row r="2687">
      <c r="A2687" s="6"/>
      <c r="B2687" s="6"/>
      <c r="C2687" s="4"/>
      <c r="D2687" s="4">
        <v>11.752855187124899</v>
      </c>
      <c r="E2687" s="4" t="s">
        <v>4219</v>
      </c>
      <c r="F2687" s="4"/>
      <c r="G2687" s="4"/>
      <c r="H2687" s="4"/>
      <c r="I2687" s="4" t="str">
        <f>IFERROR(__xludf.DUMMYFUNCTION("""COMPUTED_VALUE"""),"0xb0f1fdae6fb4141c20e05afdd5e8868bdaa6d39f")</f>
        <v>0xb0f1fdae6fb4141c20e05afdd5e8868bdaa6d39f</v>
      </c>
      <c r="J2687" s="18">
        <v>27.0839114557741</v>
      </c>
      <c r="K2687" s="4">
        <v>338.54889319717626</v>
      </c>
      <c r="L2687" s="19">
        <v>3.385488931971763E20</v>
      </c>
      <c r="M2687" s="20">
        <v>3.385488931971763E19</v>
      </c>
    </row>
    <row r="2688">
      <c r="A2688" s="6"/>
      <c r="B2688" s="6"/>
      <c r="C2688" s="4"/>
      <c r="D2688" s="4">
        <v>6.78897056114846</v>
      </c>
      <c r="E2688" s="4" t="s">
        <v>4221</v>
      </c>
      <c r="F2688" s="4"/>
      <c r="G2688" s="4"/>
      <c r="H2688" s="4"/>
      <c r="I2688" s="4" t="str">
        <f>IFERROR(__xludf.DUMMYFUNCTION("""COMPUTED_VALUE"""),"0xc37099a9fc261ac01e68f3a462195e6ec3843395")</f>
        <v>0xc37099a9fc261ac01e68f3a462195e6ec3843395</v>
      </c>
      <c r="J2688" s="18">
        <v>9.548169251437528</v>
      </c>
      <c r="K2688" s="4">
        <v>119.3521156429691</v>
      </c>
      <c r="L2688" s="19">
        <v>1.193521156429691E20</v>
      </c>
      <c r="M2688" s="20">
        <v>1.193521156429691E19</v>
      </c>
    </row>
    <row r="2689">
      <c r="A2689" s="6"/>
      <c r="B2689" s="6"/>
      <c r="C2689" s="4"/>
      <c r="D2689" s="4">
        <v>48.3641275995966</v>
      </c>
      <c r="E2689" s="4" t="s">
        <v>4223</v>
      </c>
      <c r="F2689" s="4"/>
      <c r="G2689" s="4"/>
      <c r="H2689" s="4"/>
      <c r="I2689" s="4" t="str">
        <f>IFERROR(__xludf.DUMMYFUNCTION("""COMPUTED_VALUE"""),"0x78fe31533ba4e417305dd533819b8bf143b33184")</f>
        <v>0x78fe31533ba4e417305dd533819b8bf143b33184</v>
      </c>
      <c r="J2689" s="18">
        <v>9.975449827772639</v>
      </c>
      <c r="K2689" s="4">
        <v>124.69312284715798</v>
      </c>
      <c r="L2689" s="19">
        <v>1.2469312284715798E20</v>
      </c>
      <c r="M2689" s="20">
        <v>1.2469312284715799E19</v>
      </c>
    </row>
    <row r="2690">
      <c r="A2690" s="6"/>
      <c r="B2690" s="6"/>
      <c r="C2690" s="4"/>
      <c r="D2690" s="4">
        <v>8.96734850997032</v>
      </c>
      <c r="E2690" s="4" t="s">
        <v>4224</v>
      </c>
      <c r="F2690" s="4"/>
      <c r="G2690" s="4"/>
      <c r="H2690" s="4"/>
      <c r="I2690" s="4" t="str">
        <f>IFERROR(__xludf.DUMMYFUNCTION("""COMPUTED_VALUE"""),"0x0852dcc10306336384790289a9739517be123f14")</f>
        <v>0x0852dcc10306336384790289a9739517be123f14</v>
      </c>
      <c r="J2690" s="18">
        <v>8.628741482533261</v>
      </c>
      <c r="K2690" s="4">
        <v>107.85926853166576</v>
      </c>
      <c r="L2690" s="19">
        <v>1.0785926853166576E20</v>
      </c>
      <c r="M2690" s="20">
        <v>1.0785926853166578E19</v>
      </c>
    </row>
    <row r="2691">
      <c r="A2691" s="6"/>
      <c r="B2691" s="6"/>
      <c r="C2691" s="4"/>
      <c r="D2691" s="4">
        <v>48.3641275995966</v>
      </c>
      <c r="E2691" s="4" t="s">
        <v>4226</v>
      </c>
      <c r="F2691" s="4"/>
      <c r="G2691" s="4"/>
      <c r="H2691" s="4"/>
      <c r="I2691" s="4" t="str">
        <f>IFERROR(__xludf.DUMMYFUNCTION("""COMPUTED_VALUE"""),"0x496e50adc8c04587f19f3a0495b9904164b9846c")</f>
        <v>0x496e50adc8c04587f19f3a0495b9904164b9846c</v>
      </c>
      <c r="J2691" s="18">
        <v>74.202935092247</v>
      </c>
      <c r="K2691" s="4">
        <v>927.5366886530875</v>
      </c>
      <c r="L2691" s="19">
        <v>9.275366886530875E20</v>
      </c>
      <c r="M2691" s="20">
        <v>9.275366886530875E19</v>
      </c>
    </row>
    <row r="2692">
      <c r="A2692" s="6"/>
      <c r="B2692" s="6"/>
      <c r="C2692" s="4"/>
      <c r="D2692" s="4">
        <v>48.3641275995966</v>
      </c>
      <c r="E2692" s="4" t="s">
        <v>4227</v>
      </c>
      <c r="F2692" s="4"/>
      <c r="G2692" s="4"/>
      <c r="H2692" s="4"/>
      <c r="I2692" s="4" t="str">
        <f>IFERROR(__xludf.DUMMYFUNCTION("""COMPUTED_VALUE"""),"0x3ca8211d2e20269516e4d99ae357d20b8fcb62ae")</f>
        <v>0x3ca8211d2e20269516e4d99ae357d20b8fcb62ae</v>
      </c>
      <c r="J2692" s="18">
        <v>48.3641275995966</v>
      </c>
      <c r="K2692" s="4">
        <v>604.5515949949574</v>
      </c>
      <c r="L2692" s="19">
        <v>6.045515949949574E20</v>
      </c>
      <c r="M2692" s="20">
        <v>6.045515949949574E19</v>
      </c>
    </row>
    <row r="2693">
      <c r="A2693" s="6"/>
      <c r="B2693" s="6"/>
      <c r="C2693" s="4"/>
      <c r="D2693" s="4">
        <v>48.3641275995966</v>
      </c>
      <c r="E2693" s="4" t="s">
        <v>4228</v>
      </c>
      <c r="F2693" s="4"/>
      <c r="G2693" s="4"/>
      <c r="H2693" s="4"/>
      <c r="I2693" s="4" t="str">
        <f>IFERROR(__xludf.DUMMYFUNCTION("""COMPUTED_VALUE"""),"0x1f903ce4132c46a74b40befbe62d2fe785f85b6a")</f>
        <v>0x1f903ce4132c46a74b40befbe62d2fe785f85b6a</v>
      </c>
      <c r="J2693" s="18">
        <v>0.847080315611552</v>
      </c>
      <c r="K2693" s="4">
        <v>10.5885039451444</v>
      </c>
      <c r="L2693" s="19">
        <v>1.05885039451444E19</v>
      </c>
      <c r="M2693" s="20">
        <v>1.0588503945144401E18</v>
      </c>
    </row>
    <row r="2694">
      <c r="A2694" s="6"/>
      <c r="B2694" s="6"/>
      <c r="C2694" s="4"/>
      <c r="D2694" s="4">
        <v>47.2700856951963</v>
      </c>
      <c r="E2694" s="4" t="s">
        <v>4229</v>
      </c>
      <c r="F2694" s="4"/>
      <c r="G2694" s="4"/>
      <c r="H2694" s="4"/>
      <c r="I2694" s="4" t="str">
        <f>IFERROR(__xludf.DUMMYFUNCTION("""COMPUTED_VALUE"""),"0xd3041398e6713d77ef97570341837958dd7e0fc1")</f>
        <v>0xd3041398e6713d77ef97570341837958dd7e0fc1</v>
      </c>
      <c r="J2694" s="18">
        <v>21.407136465379402</v>
      </c>
      <c r="K2694" s="4">
        <v>267.58920581724254</v>
      </c>
      <c r="L2694" s="19">
        <v>2.6758920581724255E20</v>
      </c>
      <c r="M2694" s="20">
        <v>2.675892058172426E19</v>
      </c>
    </row>
    <row r="2695">
      <c r="A2695" s="6"/>
      <c r="B2695" s="6"/>
      <c r="C2695" s="4"/>
      <c r="D2695" s="4">
        <v>3.5399479773713103</v>
      </c>
      <c r="E2695" s="4" t="s">
        <v>4231</v>
      </c>
      <c r="F2695" s="4"/>
      <c r="G2695" s="4"/>
      <c r="H2695" s="4"/>
      <c r="I2695" s="4" t="str">
        <f>IFERROR(__xludf.DUMMYFUNCTION("""COMPUTED_VALUE"""),"0xbfabcf8ede686417a97b0a91cb2834a9f1a5ac14")</f>
        <v>0xbfabcf8ede686417a97b0a91cb2834a9f1a5ac14</v>
      </c>
      <c r="J2695" s="18">
        <v>48.3641275995966</v>
      </c>
      <c r="K2695" s="4">
        <v>604.5515949949574</v>
      </c>
      <c r="L2695" s="19">
        <v>6.045515949949574E20</v>
      </c>
      <c r="M2695" s="20">
        <v>6.045515949949574E19</v>
      </c>
    </row>
    <row r="2696">
      <c r="A2696" s="6"/>
      <c r="B2696" s="6"/>
      <c r="C2696" s="4"/>
      <c r="D2696" s="4">
        <v>20.180306354289403</v>
      </c>
      <c r="E2696" s="4" t="s">
        <v>4233</v>
      </c>
      <c r="F2696" s="4"/>
      <c r="G2696" s="4"/>
      <c r="H2696" s="4"/>
      <c r="I2696" s="4" t="str">
        <f>IFERROR(__xludf.DUMMYFUNCTION("""COMPUTED_VALUE"""),"0xbc902106178522f583ec26640203e62884885b5b")</f>
        <v>0xbc902106178522f583ec26640203e62884885b5b</v>
      </c>
      <c r="J2696" s="18">
        <v>48.3641275995966</v>
      </c>
      <c r="K2696" s="4">
        <v>604.5515949949574</v>
      </c>
      <c r="L2696" s="19">
        <v>6.045515949949574E20</v>
      </c>
      <c r="M2696" s="20">
        <v>6.045515949949574E19</v>
      </c>
    </row>
    <row r="2697">
      <c r="A2697" s="6"/>
      <c r="B2697" s="6"/>
      <c r="C2697" s="4"/>
      <c r="D2697" s="4">
        <v>18.8729266625252</v>
      </c>
      <c r="E2697" s="4" t="s">
        <v>4235</v>
      </c>
      <c r="F2697" s="4"/>
      <c r="G2697" s="4"/>
      <c r="H2697" s="4"/>
      <c r="I2697" s="4" t="str">
        <f>IFERROR(__xludf.DUMMYFUNCTION("""COMPUTED_VALUE"""),"0xf18400f72a89083d088d19aaedf17e443c4fe018")</f>
        <v>0xf18400f72a89083d088d19aaedf17e443c4fe018</v>
      </c>
      <c r="J2697" s="18">
        <v>19.4957046001439</v>
      </c>
      <c r="K2697" s="4">
        <v>243.69630750179874</v>
      </c>
      <c r="L2697" s="19">
        <v>2.4369630750179875E20</v>
      </c>
      <c r="M2697" s="20">
        <v>2.4369630750179877E19</v>
      </c>
    </row>
    <row r="2698">
      <c r="A2698" s="6"/>
      <c r="B2698" s="6"/>
      <c r="C2698" s="4"/>
      <c r="D2698" s="4">
        <v>48.3641275995966</v>
      </c>
      <c r="E2698" s="4" t="s">
        <v>4237</v>
      </c>
      <c r="F2698" s="4"/>
      <c r="G2698" s="4"/>
      <c r="H2698" s="4"/>
      <c r="I2698" s="4" t="str">
        <f>IFERROR(__xludf.DUMMYFUNCTION("""COMPUTED_VALUE"""),"0x498bc6197e502ef905500c054197bb6092cbeded")</f>
        <v>0x498bc6197e502ef905500c054197bb6092cbeded</v>
      </c>
      <c r="J2698" s="18">
        <v>8.4827707760538</v>
      </c>
      <c r="K2698" s="4">
        <v>106.03463470067248</v>
      </c>
      <c r="L2698" s="19">
        <v>1.0603463470067248E20</v>
      </c>
      <c r="M2698" s="20">
        <v>1.060346347006725E19</v>
      </c>
    </row>
    <row r="2699">
      <c r="A2699" s="6"/>
      <c r="B2699" s="6"/>
      <c r="C2699" s="4"/>
      <c r="D2699" s="4">
        <v>9.72487161899973</v>
      </c>
      <c r="E2699" s="4" t="s">
        <v>4238</v>
      </c>
      <c r="F2699" s="4"/>
      <c r="G2699" s="4"/>
      <c r="H2699" s="4"/>
      <c r="I2699" s="4" t="str">
        <f>IFERROR(__xludf.DUMMYFUNCTION("""COMPUTED_VALUE"""),"0x6f6a104c0436b80b9550c9a5fbe73b12f884e4dd")</f>
        <v>0x6f6a104c0436b80b9550c9a5fbe73b12f884e4dd</v>
      </c>
      <c r="J2699" s="18">
        <v>113.3098205595028</v>
      </c>
      <c r="K2699" s="4">
        <v>1416.3727569937848</v>
      </c>
      <c r="L2699" s="19">
        <v>1.416372756993785E21</v>
      </c>
      <c r="M2699" s="20">
        <v>1.416372756993785E20</v>
      </c>
    </row>
    <row r="2700">
      <c r="A2700" s="6"/>
      <c r="B2700" s="6"/>
      <c r="C2700" s="4"/>
      <c r="D2700" s="4">
        <v>19.6425683044133</v>
      </c>
      <c r="E2700" s="4" t="s">
        <v>4240</v>
      </c>
      <c r="F2700" s="4"/>
      <c r="G2700" s="4"/>
      <c r="H2700" s="4"/>
      <c r="I2700" s="4" t="str">
        <f>IFERROR(__xludf.DUMMYFUNCTION("""COMPUTED_VALUE"""),"0xddcc6af88b04184a86c414c56e502d1bfdab0b43")</f>
        <v>0xddcc6af88b04184a86c414c56e502d1bfdab0b43</v>
      </c>
      <c r="J2700" s="18">
        <v>15.4765208318709</v>
      </c>
      <c r="K2700" s="4">
        <v>193.45651039838626</v>
      </c>
      <c r="L2700" s="19">
        <v>1.9345651039838624E20</v>
      </c>
      <c r="M2700" s="20">
        <v>1.9345651039838626E19</v>
      </c>
    </row>
    <row r="2701">
      <c r="A2701" s="6"/>
      <c r="B2701" s="6"/>
      <c r="C2701" s="4"/>
      <c r="D2701" s="4">
        <v>17.480218087629602</v>
      </c>
      <c r="E2701" s="4" t="s">
        <v>4242</v>
      </c>
      <c r="F2701" s="4"/>
      <c r="G2701" s="4"/>
      <c r="H2701" s="4"/>
      <c r="I2701" s="4" t="str">
        <f>IFERROR(__xludf.DUMMYFUNCTION("""COMPUTED_VALUE"""),"0x80c1adfb1192d781a03cae1ac84faecac5c91a8a")</f>
        <v>0x80c1adfb1192d781a03cae1ac84faecac5c91a8a</v>
      </c>
      <c r="J2701" s="18">
        <v>48.3641275995966</v>
      </c>
      <c r="K2701" s="4">
        <v>604.5515949949574</v>
      </c>
      <c r="L2701" s="19">
        <v>6.045515949949574E20</v>
      </c>
      <c r="M2701" s="20">
        <v>6.045515949949574E19</v>
      </c>
    </row>
    <row r="2702">
      <c r="A2702" s="6"/>
      <c r="B2702" s="6"/>
      <c r="C2702" s="4"/>
      <c r="D2702" s="4">
        <v>48.3426915759008</v>
      </c>
      <c r="E2702" s="4" t="s">
        <v>4244</v>
      </c>
      <c r="F2702" s="4"/>
      <c r="G2702" s="4"/>
      <c r="H2702" s="4"/>
      <c r="I2702" s="4" t="str">
        <f>IFERROR(__xludf.DUMMYFUNCTION("""COMPUTED_VALUE"""),"0xad3a43eae17cbbffc7e31eace54a010641d3047e")</f>
        <v>0xad3a43eae17cbbffc7e31eace54a010641d3047e</v>
      </c>
      <c r="J2702" s="18">
        <v>95.6475504207439</v>
      </c>
      <c r="K2702" s="4">
        <v>1195.5943802592988</v>
      </c>
      <c r="L2702" s="19">
        <v>1.1955943802592986E21</v>
      </c>
      <c r="M2702" s="20">
        <v>1.1955943802592987E20</v>
      </c>
    </row>
    <row r="2703">
      <c r="A2703" s="6"/>
      <c r="B2703" s="6"/>
      <c r="C2703" s="4"/>
      <c r="D2703" s="4">
        <v>9.91783367416969</v>
      </c>
      <c r="E2703" s="4" t="s">
        <v>4246</v>
      </c>
      <c r="F2703" s="4"/>
      <c r="G2703" s="4"/>
      <c r="H2703" s="4"/>
      <c r="I2703" s="4" t="str">
        <f>IFERROR(__xludf.DUMMYFUNCTION("""COMPUTED_VALUE"""),"0x190af7691ce2ce6ba08280b80f43967014259ed9")</f>
        <v>0x190af7691ce2ce6ba08280b80f43967014259ed9</v>
      </c>
      <c r="J2703" s="18">
        <v>57.66472560997164</v>
      </c>
      <c r="K2703" s="4">
        <v>720.8090701246455</v>
      </c>
      <c r="L2703" s="19">
        <v>7.208090701246455E20</v>
      </c>
      <c r="M2703" s="20">
        <v>7.208090701246455E19</v>
      </c>
    </row>
    <row r="2704">
      <c r="A2704" s="6"/>
      <c r="B2704" s="6"/>
      <c r="C2704" s="4"/>
      <c r="D2704" s="4">
        <v>41.5282915595082</v>
      </c>
      <c r="E2704" s="4" t="s">
        <v>4248</v>
      </c>
      <c r="F2704" s="4"/>
      <c r="G2704" s="4"/>
      <c r="H2704" s="4"/>
      <c r="I2704" s="4" t="str">
        <f>IFERROR(__xludf.DUMMYFUNCTION("""COMPUTED_VALUE"""),"0x4bb97071e8e614b07aef2ffb33302f9bafe610da")</f>
        <v>0x4bb97071e8e614b07aef2ffb33302f9bafe610da</v>
      </c>
      <c r="J2704" s="18">
        <v>6.4904300875253105</v>
      </c>
      <c r="K2704" s="4">
        <v>81.13037609406638</v>
      </c>
      <c r="L2704" s="19">
        <v>8.113037609406638E19</v>
      </c>
      <c r="M2704" s="20">
        <v>8.113037609406638E18</v>
      </c>
    </row>
    <row r="2705">
      <c r="A2705" s="6"/>
      <c r="B2705" s="6"/>
      <c r="C2705" s="4"/>
      <c r="D2705" s="4">
        <v>10.6219180280562</v>
      </c>
      <c r="E2705" s="4" t="s">
        <v>4250</v>
      </c>
      <c r="F2705" s="4"/>
      <c r="G2705" s="4"/>
      <c r="H2705" s="4"/>
      <c r="I2705" s="4" t="str">
        <f>IFERROR(__xludf.DUMMYFUNCTION("""COMPUTED_VALUE"""),"0xacda8eb033a97ea6d0ea57191b94ecd579f83dea")</f>
        <v>0xacda8eb033a97ea6d0ea57191b94ecd579f83dea</v>
      </c>
      <c r="J2705" s="18">
        <v>10.8372760487504</v>
      </c>
      <c r="K2705" s="4">
        <v>135.46595060938</v>
      </c>
      <c r="L2705" s="19">
        <v>1.3546595060938E20</v>
      </c>
      <c r="M2705" s="20">
        <v>1.3546595060938E19</v>
      </c>
    </row>
    <row r="2706">
      <c r="A2706" s="6"/>
      <c r="B2706" s="6"/>
      <c r="C2706" s="4"/>
      <c r="D2706" s="4">
        <v>48.3641275995966</v>
      </c>
      <c r="E2706" s="4" t="s">
        <v>895</v>
      </c>
      <c r="F2706" s="4"/>
      <c r="G2706" s="4"/>
      <c r="H2706" s="4"/>
      <c r="I2706" s="4" t="str">
        <f>IFERROR(__xludf.DUMMYFUNCTION("""COMPUTED_VALUE"""),"0x0403c97448f1326c0da41630edb55d7e303614ee")</f>
        <v>0x0403c97448f1326c0da41630edb55d7e303614ee</v>
      </c>
      <c r="J2706" s="18">
        <v>37.5375260619473</v>
      </c>
      <c r="K2706" s="4">
        <v>469.2190757743412</v>
      </c>
      <c r="L2706" s="19">
        <v>4.692190757743412E20</v>
      </c>
      <c r="M2706" s="20">
        <v>4.692190757743412E19</v>
      </c>
    </row>
    <row r="2707">
      <c r="A2707" s="6"/>
      <c r="B2707" s="6"/>
      <c r="C2707" s="4"/>
      <c r="D2707" s="4">
        <v>48.3641275995966</v>
      </c>
      <c r="E2707" s="4" t="s">
        <v>4252</v>
      </c>
      <c r="F2707" s="4"/>
      <c r="G2707" s="4"/>
      <c r="H2707" s="4"/>
      <c r="I2707" s="4" t="str">
        <f>IFERROR(__xludf.DUMMYFUNCTION("""COMPUTED_VALUE"""),"0x48f75e87d437aee3a0316f3410cee2f060da40fc")</f>
        <v>0x48f75e87d437aee3a0316f3410cee2f060da40fc</v>
      </c>
      <c r="J2707" s="18">
        <v>39.902172724926</v>
      </c>
      <c r="K2707" s="4">
        <v>498.77715906157493</v>
      </c>
      <c r="L2707" s="19">
        <v>4.987771590615749E20</v>
      </c>
      <c r="M2707" s="20">
        <v>4.9877715906157494E19</v>
      </c>
    </row>
    <row r="2708">
      <c r="A2708" s="6"/>
      <c r="B2708" s="6"/>
      <c r="C2708" s="4"/>
      <c r="D2708" s="4">
        <v>0.00866847003712383</v>
      </c>
      <c r="E2708" s="4" t="s">
        <v>4253</v>
      </c>
      <c r="F2708" s="4"/>
      <c r="G2708" s="4"/>
      <c r="H2708" s="4"/>
      <c r="I2708" s="4" t="str">
        <f>IFERROR(__xludf.DUMMYFUNCTION("""COMPUTED_VALUE"""),"0x3dfc7b485002e99377b63ff175c003917d8cc856")</f>
        <v>0x3dfc7b485002e99377b63ff175c003917d8cc856</v>
      </c>
      <c r="J2708" s="18">
        <v>19.3247504855987</v>
      </c>
      <c r="K2708" s="4">
        <v>241.55938106998374</v>
      </c>
      <c r="L2708" s="19">
        <v>2.4155938106998374E20</v>
      </c>
      <c r="M2708" s="20">
        <v>2.4155938106998374E19</v>
      </c>
    </row>
    <row r="2709">
      <c r="A2709" s="6"/>
      <c r="B2709" s="6"/>
      <c r="C2709" s="4"/>
      <c r="D2709" s="4">
        <v>48.3641275995966</v>
      </c>
      <c r="E2709" s="4" t="s">
        <v>932</v>
      </c>
      <c r="F2709" s="4"/>
      <c r="G2709" s="4"/>
      <c r="H2709" s="4"/>
      <c r="I2709" s="4" t="str">
        <f>IFERROR(__xludf.DUMMYFUNCTION("""COMPUTED_VALUE"""),"0xc980e91018349ffc9eaad76595ccdab24eca2f84")</f>
        <v>0xc980e91018349ffc9eaad76595ccdab24eca2f84</v>
      </c>
      <c r="J2709" s="18">
        <v>1.93456510398386</v>
      </c>
      <c r="K2709" s="4">
        <v>24.18206379979825</v>
      </c>
      <c r="L2709" s="19">
        <v>2.418206379979825E19</v>
      </c>
      <c r="M2709" s="20">
        <v>2.418206379979825E18</v>
      </c>
    </row>
    <row r="2710">
      <c r="A2710" s="6"/>
      <c r="B2710" s="6"/>
      <c r="C2710" s="4"/>
      <c r="D2710" s="4">
        <v>48.3641275995966</v>
      </c>
      <c r="E2710" s="4" t="s">
        <v>4255</v>
      </c>
      <c r="F2710" s="4"/>
      <c r="G2710" s="4"/>
      <c r="H2710" s="4"/>
      <c r="I2710" s="4" t="str">
        <f>IFERROR(__xludf.DUMMYFUNCTION("""COMPUTED_VALUE"""),"0x79e421c024485ed3e23e264bba8f2b295950b20a")</f>
        <v>0x79e421c024485ed3e23e264bba8f2b295950b20a</v>
      </c>
      <c r="J2710" s="18">
        <v>24.9402366198862</v>
      </c>
      <c r="K2710" s="4">
        <v>311.7529577485775</v>
      </c>
      <c r="L2710" s="19">
        <v>3.117529577485775E20</v>
      </c>
      <c r="M2710" s="20">
        <v>3.1175295774857753E19</v>
      </c>
    </row>
    <row r="2711">
      <c r="A2711" s="6"/>
      <c r="B2711" s="6"/>
      <c r="C2711" s="4"/>
      <c r="D2711" s="4">
        <v>9.672825519919328</v>
      </c>
      <c r="E2711" s="4" t="s">
        <v>4256</v>
      </c>
      <c r="F2711" s="4"/>
      <c r="G2711" s="4"/>
      <c r="H2711" s="4"/>
      <c r="I2711" s="4" t="str">
        <f>IFERROR(__xludf.DUMMYFUNCTION("""COMPUTED_VALUE"""),"0xff5bcf944bd2c65ba5120bb8339913c0bf6a9e42")</f>
        <v>0xff5bcf944bd2c65ba5120bb8339913c0bf6a9e42</v>
      </c>
      <c r="J2711" s="18">
        <v>9.01233543399891</v>
      </c>
      <c r="K2711" s="4">
        <v>112.65419292498638</v>
      </c>
      <c r="L2711" s="19">
        <v>1.1265419292498638E20</v>
      </c>
      <c r="M2711" s="20">
        <v>1.1265419292498639E19</v>
      </c>
    </row>
    <row r="2712">
      <c r="A2712" s="6"/>
      <c r="B2712" s="6"/>
      <c r="C2712" s="4"/>
      <c r="D2712" s="4">
        <v>1.93456510398386</v>
      </c>
      <c r="E2712" s="4" t="s">
        <v>4257</v>
      </c>
      <c r="F2712" s="4"/>
      <c r="G2712" s="4"/>
      <c r="H2712" s="4"/>
      <c r="I2712" s="4" t="str">
        <f>IFERROR(__xludf.DUMMYFUNCTION("""COMPUTED_VALUE"""),"0x87ca68f75edf909b04da373d8f86a6c9b7e3c17c")</f>
        <v>0x87ca68f75edf909b04da373d8f86a6c9b7e3c17c</v>
      </c>
      <c r="J2712" s="18">
        <v>0.193456510398386</v>
      </c>
      <c r="K2712" s="4">
        <v>2.418206379979825</v>
      </c>
      <c r="L2712" s="19">
        <v>2.418206379979825E18</v>
      </c>
      <c r="M2712" s="20">
        <v>2.4182063799798253E17</v>
      </c>
    </row>
    <row r="2713">
      <c r="A2713" s="6"/>
      <c r="B2713" s="6"/>
      <c r="C2713" s="4"/>
      <c r="D2713" s="4">
        <v>2.92936617092773</v>
      </c>
      <c r="E2713" s="4" t="s">
        <v>4258</v>
      </c>
      <c r="F2713" s="4"/>
      <c r="G2713" s="4"/>
      <c r="H2713" s="4"/>
      <c r="I2713" s="4" t="str">
        <f>IFERROR(__xludf.DUMMYFUNCTION("""COMPUTED_VALUE"""),"0xa296258e01b2c5c523df6318fdff097a4babf706")</f>
        <v>0xa296258e01b2c5c523df6318fdff097a4babf706</v>
      </c>
      <c r="J2713" s="18">
        <v>48.3641275995966</v>
      </c>
      <c r="K2713" s="4">
        <v>604.5515949949574</v>
      </c>
      <c r="L2713" s="19">
        <v>6.045515949949574E20</v>
      </c>
      <c r="M2713" s="20">
        <v>6.045515949949574E19</v>
      </c>
    </row>
    <row r="2714">
      <c r="A2714" s="6"/>
      <c r="B2714" s="6"/>
      <c r="C2714" s="4"/>
      <c r="D2714" s="4">
        <v>48.3641275995966</v>
      </c>
      <c r="E2714" s="4" t="s">
        <v>4260</v>
      </c>
      <c r="F2714" s="4"/>
      <c r="G2714" s="4"/>
      <c r="H2714" s="4"/>
      <c r="I2714" s="4" t="str">
        <f>IFERROR(__xludf.DUMMYFUNCTION("""COMPUTED_VALUE"""),"0xf16abd3a67357cfc6934034511c602f5c6e9fc70")</f>
        <v>0xf16abd3a67357cfc6934034511c602f5c6e9fc70</v>
      </c>
      <c r="J2714" s="18">
        <v>19.3456510398386</v>
      </c>
      <c r="K2714" s="4">
        <v>241.8206379979825</v>
      </c>
      <c r="L2714" s="19">
        <v>2.4182063799798248E20</v>
      </c>
      <c r="M2714" s="20">
        <v>2.418206379979825E19</v>
      </c>
    </row>
    <row r="2715">
      <c r="A2715" s="6"/>
      <c r="B2715" s="6"/>
      <c r="C2715" s="4"/>
      <c r="D2715" s="4">
        <v>48.339163676473596</v>
      </c>
      <c r="E2715" s="4" t="s">
        <v>4261</v>
      </c>
      <c r="F2715" s="4"/>
      <c r="G2715" s="4"/>
      <c r="H2715" s="4"/>
      <c r="I2715" s="4" t="str">
        <f>IFERROR(__xludf.DUMMYFUNCTION("""COMPUTED_VALUE"""),"0xd4282ea73ff6f5199765b9583b3c0d368d82c034")</f>
        <v>0xd4282ea73ff6f5199765b9583b3c0d368d82c034</v>
      </c>
      <c r="J2715" s="18">
        <v>7.82089146448164</v>
      </c>
      <c r="K2715" s="4">
        <v>97.7611433060205</v>
      </c>
      <c r="L2715" s="19">
        <v>9.77611433060205E19</v>
      </c>
      <c r="M2715" s="20">
        <v>9.776114330602052E18</v>
      </c>
    </row>
    <row r="2716">
      <c r="A2716" s="6"/>
      <c r="B2716" s="6"/>
      <c r="C2716" s="4"/>
      <c r="D2716" s="4">
        <v>44.5342803007415</v>
      </c>
      <c r="E2716" s="4" t="s">
        <v>4263</v>
      </c>
      <c r="F2716" s="4"/>
      <c r="G2716" s="4"/>
      <c r="H2716" s="4"/>
      <c r="I2716" s="4" t="str">
        <f>IFERROR(__xludf.DUMMYFUNCTION("""COMPUTED_VALUE"""),"0xa9b44fcd364511c9c8955d32be73633a60c1a6ab")</f>
        <v>0xa9b44fcd364511c9c8955d32be73633a60c1a6ab</v>
      </c>
      <c r="J2716" s="18">
        <v>2.3169693896237797</v>
      </c>
      <c r="K2716" s="4">
        <v>28.962117370297246</v>
      </c>
      <c r="L2716" s="19">
        <v>2.8962117370297246E19</v>
      </c>
      <c r="M2716" s="20">
        <v>2.8962117370297247E18</v>
      </c>
    </row>
    <row r="2717">
      <c r="A2717" s="6"/>
      <c r="B2717" s="6"/>
      <c r="C2717" s="4"/>
      <c r="D2717" s="4">
        <v>2.8643590178642</v>
      </c>
      <c r="E2717" s="4" t="s">
        <v>1007</v>
      </c>
      <c r="F2717" s="4"/>
      <c r="G2717" s="4"/>
      <c r="H2717" s="4"/>
      <c r="I2717" s="4" t="str">
        <f>IFERROR(__xludf.DUMMYFUNCTION("""COMPUTED_VALUE"""),"0x7ab227aa60892be0557cff10aff0e163b052abbf")</f>
        <v>0x7ab227aa60892be0557cff10aff0e163b052abbf</v>
      </c>
      <c r="J2717" s="18">
        <v>6.64987972975633</v>
      </c>
      <c r="K2717" s="4">
        <v>83.12349662195413</v>
      </c>
      <c r="L2717" s="19">
        <v>8.312349662195414E19</v>
      </c>
      <c r="M2717" s="20">
        <v>8.312349662195414E18</v>
      </c>
    </row>
    <row r="2718">
      <c r="A2718" s="6"/>
      <c r="B2718" s="6"/>
      <c r="C2718" s="4"/>
      <c r="D2718" s="4">
        <v>9.86628203031772</v>
      </c>
      <c r="E2718" s="4" t="s">
        <v>4266</v>
      </c>
      <c r="F2718" s="4"/>
      <c r="G2718" s="4"/>
      <c r="H2718" s="4"/>
      <c r="I2718" s="4" t="str">
        <f>IFERROR(__xludf.DUMMYFUNCTION("""COMPUTED_VALUE"""),"0x61a0fc420ae17760e328f5713b87d812dca163c3")</f>
        <v>0x61a0fc420ae17760e328f5713b87d812dca163c3</v>
      </c>
      <c r="J2718" s="18">
        <v>48.3641275995966</v>
      </c>
      <c r="K2718" s="4">
        <v>604.5515949949574</v>
      </c>
      <c r="L2718" s="19">
        <v>6.045515949949574E20</v>
      </c>
      <c r="M2718" s="20">
        <v>6.045515949949574E19</v>
      </c>
    </row>
    <row r="2719">
      <c r="A2719" s="6"/>
      <c r="B2719" s="6"/>
      <c r="C2719" s="4"/>
      <c r="D2719" s="4">
        <v>48.3641275995966</v>
      </c>
      <c r="E2719" s="4" t="s">
        <v>4267</v>
      </c>
      <c r="F2719" s="4"/>
      <c r="G2719" s="4"/>
      <c r="H2719" s="4"/>
      <c r="I2719" s="4" t="str">
        <f>IFERROR(__xludf.DUMMYFUNCTION("""COMPUTED_VALUE"""),"0xb4128902d5cdbc681051ca26f868eb64e94204b4")</f>
        <v>0xb4128902d5cdbc681051ca26f868eb64e94204b4</v>
      </c>
      <c r="J2719" s="18">
        <v>48.3641275995966</v>
      </c>
      <c r="K2719" s="4">
        <v>604.5515949949574</v>
      </c>
      <c r="L2719" s="19">
        <v>6.045515949949574E20</v>
      </c>
      <c r="M2719" s="20">
        <v>6.045515949949574E19</v>
      </c>
    </row>
    <row r="2720">
      <c r="A2720" s="6"/>
      <c r="B2720" s="6"/>
      <c r="C2720" s="4"/>
      <c r="D2720" s="4">
        <v>9.672825519919328</v>
      </c>
      <c r="E2720" s="4" t="s">
        <v>4268</v>
      </c>
      <c r="F2720" s="4"/>
      <c r="G2720" s="4"/>
      <c r="H2720" s="4"/>
      <c r="I2720" s="4" t="str">
        <f>IFERROR(__xludf.DUMMYFUNCTION("""COMPUTED_VALUE"""),"0x227ae1d320b68ef0228f67178c9ec6a6b263bf57")</f>
        <v>0x227ae1d320b68ef0228f67178c9ec6a6b263bf57</v>
      </c>
      <c r="J2720" s="18">
        <v>218.90375126210148</v>
      </c>
      <c r="K2720" s="4">
        <v>2736.2968907762684</v>
      </c>
      <c r="L2720" s="19">
        <v>2.7362968907762683E21</v>
      </c>
      <c r="M2720" s="20">
        <v>2.7362968907762683E20</v>
      </c>
    </row>
    <row r="2721">
      <c r="A2721" s="6"/>
      <c r="B2721" s="6"/>
      <c r="C2721" s="4"/>
      <c r="D2721" s="4">
        <v>42.8138465198474</v>
      </c>
      <c r="E2721" s="4" t="s">
        <v>4269</v>
      </c>
      <c r="F2721" s="4"/>
      <c r="G2721" s="4"/>
      <c r="H2721" s="4"/>
      <c r="I2721" s="4" t="str">
        <f>IFERROR(__xludf.DUMMYFUNCTION("""COMPUTED_VALUE"""),"0x32781f09a8c5b1dd8ee6af3986f9a932b66038a7")</f>
        <v>0x32781f09a8c5b1dd8ee6af3986f9a932b66038a7</v>
      </c>
      <c r="J2721" s="18">
        <v>10.6401080719112</v>
      </c>
      <c r="K2721" s="4">
        <v>133.00135089889</v>
      </c>
      <c r="L2721" s="19">
        <v>1.3300135089889E20</v>
      </c>
      <c r="M2721" s="20">
        <v>1.3300135089889001E19</v>
      </c>
    </row>
    <row r="2722">
      <c r="A2722" s="6"/>
      <c r="B2722" s="6"/>
      <c r="C2722" s="4"/>
      <c r="D2722" s="4">
        <v>48.3641275995966</v>
      </c>
      <c r="E2722" s="4" t="s">
        <v>4271</v>
      </c>
      <c r="F2722" s="4"/>
      <c r="G2722" s="4"/>
      <c r="H2722" s="4"/>
      <c r="I2722" s="4" t="str">
        <f>IFERROR(__xludf.DUMMYFUNCTION("""COMPUTED_VALUE"""),"0xe1b0c6e86ce13fcde1cd2faa7e2cb2098fe4740e")</f>
        <v>0xe1b0c6e86ce13fcde1cd2faa7e2cb2098fe4740e</v>
      </c>
      <c r="J2722" s="18">
        <v>2.42225396716512</v>
      </c>
      <c r="K2722" s="4">
        <v>30.278174589564</v>
      </c>
      <c r="L2722" s="19">
        <v>3.0278174589564E19</v>
      </c>
      <c r="M2722" s="20">
        <v>3.0278174589564E18</v>
      </c>
    </row>
    <row r="2723">
      <c r="A2723" s="6"/>
      <c r="B2723" s="6"/>
      <c r="C2723" s="4"/>
      <c r="D2723" s="4">
        <v>10.190458464404601</v>
      </c>
      <c r="E2723" s="4" t="s">
        <v>4272</v>
      </c>
      <c r="F2723" s="4"/>
      <c r="G2723" s="4"/>
      <c r="H2723" s="4"/>
      <c r="I2723" s="4" t="str">
        <f>IFERROR(__xludf.DUMMYFUNCTION("""COMPUTED_VALUE"""),"0xe5b7c3396ca0b154a80019ccf3fe08f162495e66")</f>
        <v>0xe5b7c3396ca0b154a80019ccf3fe08f162495e66</v>
      </c>
      <c r="J2723" s="18">
        <v>224.3204365897026</v>
      </c>
      <c r="K2723" s="4">
        <v>2804.005457371283</v>
      </c>
      <c r="L2723" s="19">
        <v>2.804005457371283E21</v>
      </c>
      <c r="M2723" s="20">
        <v>2.8040054573712828E20</v>
      </c>
    </row>
    <row r="2724">
      <c r="A2724" s="6"/>
      <c r="B2724" s="6"/>
      <c r="C2724" s="4"/>
      <c r="D2724" s="4">
        <v>48.3641275995966</v>
      </c>
      <c r="E2724" s="4" t="s">
        <v>4274</v>
      </c>
      <c r="F2724" s="4"/>
      <c r="G2724" s="4"/>
      <c r="H2724" s="4"/>
      <c r="I2724" s="4" t="str">
        <f>IFERROR(__xludf.DUMMYFUNCTION("""COMPUTED_VALUE"""),"0xeb57dd0a036e0bf4bf16a00c2697c3f6b54d10ab")</f>
        <v>0xeb57dd0a036e0bf4bf16a00c2697c3f6b54d10ab</v>
      </c>
      <c r="J2724" s="18">
        <v>113.4683136722219</v>
      </c>
      <c r="K2724" s="4">
        <v>1418.3539209027738</v>
      </c>
      <c r="L2724" s="19">
        <v>1.4183539209027739E21</v>
      </c>
      <c r="M2724" s="20">
        <v>1.418353920902774E20</v>
      </c>
    </row>
    <row r="2725">
      <c r="A2725" s="6"/>
      <c r="B2725" s="6"/>
      <c r="C2725" s="4"/>
      <c r="D2725" s="4">
        <v>1.5446560713685802</v>
      </c>
      <c r="E2725" s="4" t="s">
        <v>232</v>
      </c>
      <c r="F2725" s="4"/>
      <c r="G2725" s="4"/>
      <c r="H2725" s="4"/>
      <c r="I2725" s="4" t="str">
        <f>IFERROR(__xludf.DUMMYFUNCTION("""COMPUTED_VALUE"""),"0x79660566763ee508f02e6067a702e71673440c46")</f>
        <v>0x79660566763ee508f02e6067a702e71673440c46</v>
      </c>
      <c r="J2725" s="18">
        <v>37.4283550143649</v>
      </c>
      <c r="K2725" s="4">
        <v>467.8544376795612</v>
      </c>
      <c r="L2725" s="19">
        <v>4.6785443767956124E20</v>
      </c>
      <c r="M2725" s="20">
        <v>4.678544376795613E19</v>
      </c>
    </row>
    <row r="2726">
      <c r="A2726" s="6"/>
      <c r="B2726" s="6"/>
      <c r="C2726" s="4"/>
      <c r="D2726" s="4">
        <v>48.3641275995966</v>
      </c>
      <c r="E2726" s="4" t="s">
        <v>4276</v>
      </c>
      <c r="F2726" s="4"/>
      <c r="G2726" s="4"/>
      <c r="H2726" s="4"/>
      <c r="I2726" s="4" t="str">
        <f>IFERROR(__xludf.DUMMYFUNCTION("""COMPUTED_VALUE"""),"0x7a52c3a9b0c7f4c5e7333529e9bfa3ee62004267")</f>
        <v>0x7a52c3a9b0c7f4c5e7333529e9bfa3ee62004267</v>
      </c>
      <c r="J2726" s="18">
        <v>43.76299713627</v>
      </c>
      <c r="K2726" s="4">
        <v>547.0374642033751</v>
      </c>
      <c r="L2726" s="19">
        <v>5.470374642033751E20</v>
      </c>
      <c r="M2726" s="20">
        <v>5.470374642033751E19</v>
      </c>
    </row>
    <row r="2727">
      <c r="A2727" s="6"/>
      <c r="B2727" s="6"/>
      <c r="C2727" s="4"/>
      <c r="D2727" s="4">
        <v>48.3641275995966</v>
      </c>
      <c r="E2727" s="4" t="s">
        <v>4277</v>
      </c>
      <c r="F2727" s="4"/>
      <c r="G2727" s="4"/>
      <c r="H2727" s="4"/>
      <c r="I2727" s="4" t="str">
        <f>IFERROR(__xludf.DUMMYFUNCTION("""COMPUTED_VALUE"""),"0x2b78772b7e54a05015bf0faaac98f0449a44511e")</f>
        <v>0x2b78772b7e54a05015bf0faaac98f0449a44511e</v>
      </c>
      <c r="J2727" s="18">
        <v>11.020993427683202</v>
      </c>
      <c r="K2727" s="4">
        <v>137.76241784604002</v>
      </c>
      <c r="L2727" s="19">
        <v>1.3776241784604002E20</v>
      </c>
      <c r="M2727" s="20">
        <v>1.3776241784604002E19</v>
      </c>
    </row>
    <row r="2728">
      <c r="A2728" s="6"/>
      <c r="B2728" s="6"/>
      <c r="C2728" s="4"/>
      <c r="D2728" s="4">
        <v>48.3641275995966</v>
      </c>
      <c r="E2728" s="4" t="s">
        <v>1019</v>
      </c>
      <c r="F2728" s="4"/>
      <c r="G2728" s="4"/>
      <c r="H2728" s="4"/>
      <c r="I2728" s="4" t="str">
        <f>IFERROR(__xludf.DUMMYFUNCTION("""COMPUTED_VALUE"""),"0x52e14fba2f11db20a64ab7b99c8c615055dfd53e")</f>
        <v>0x52e14fba2f11db20a64ab7b99c8c615055dfd53e</v>
      </c>
      <c r="J2728" s="18">
        <v>116.7155027514451</v>
      </c>
      <c r="K2728" s="4">
        <v>1458.9437843930637</v>
      </c>
      <c r="L2728" s="19">
        <v>1.4589437843930635E21</v>
      </c>
      <c r="M2728" s="20">
        <v>1.4589437843930636E20</v>
      </c>
    </row>
    <row r="2729">
      <c r="A2729" s="6"/>
      <c r="B2729" s="6"/>
      <c r="C2729" s="4"/>
      <c r="D2729" s="4">
        <v>48.3641275995966</v>
      </c>
      <c r="E2729" s="4" t="s">
        <v>4278</v>
      </c>
      <c r="F2729" s="4"/>
      <c r="G2729" s="4"/>
      <c r="H2729" s="4"/>
      <c r="I2729" s="4" t="str">
        <f>IFERROR(__xludf.DUMMYFUNCTION("""COMPUTED_VALUE"""),"0x4a870d334c9c49049b787c1dcaa58a9c59446291")</f>
        <v>0x4a870d334c9c49049b787c1dcaa58a9c59446291</v>
      </c>
      <c r="J2729" s="18">
        <v>47.2597688131753</v>
      </c>
      <c r="K2729" s="4">
        <v>590.7471101646912</v>
      </c>
      <c r="L2729" s="19">
        <v>5.907471101646912E20</v>
      </c>
      <c r="M2729" s="20">
        <v>5.907471101646912E19</v>
      </c>
    </row>
    <row r="2730">
      <c r="A2730" s="6"/>
      <c r="B2730" s="6"/>
      <c r="C2730" s="4"/>
      <c r="D2730" s="4">
        <v>42.9923796962475</v>
      </c>
      <c r="E2730" s="4" t="s">
        <v>4279</v>
      </c>
      <c r="F2730" s="4"/>
      <c r="G2730" s="4"/>
      <c r="H2730" s="4"/>
      <c r="I2730" s="4" t="str">
        <f>IFERROR(__xludf.DUMMYFUNCTION("""COMPUTED_VALUE"""),"0x9a685e6d9333c3c31cf2f64b8bdc02241af2ddcd")</f>
        <v>0x9a685e6d9333c3c31cf2f64b8bdc02241af2ddcd</v>
      </c>
      <c r="J2730" s="18">
        <v>20.757134346212602</v>
      </c>
      <c r="K2730" s="4">
        <v>259.4641793276575</v>
      </c>
      <c r="L2730" s="19">
        <v>2.594641793276575E20</v>
      </c>
      <c r="M2730" s="20">
        <v>2.5946417932765753E19</v>
      </c>
    </row>
    <row r="2731">
      <c r="A2731" s="6"/>
      <c r="B2731" s="6"/>
      <c r="C2731" s="4"/>
      <c r="D2731" s="4">
        <v>4.78829340076268</v>
      </c>
      <c r="E2731" s="4" t="s">
        <v>4281</v>
      </c>
      <c r="F2731" s="4"/>
      <c r="G2731" s="4"/>
      <c r="H2731" s="4"/>
      <c r="I2731" s="4" t="str">
        <f>IFERROR(__xludf.DUMMYFUNCTION("""COMPUTED_VALUE"""),"0xe647e4efb1f867a92667d394c33b7521db8cb55c")</f>
        <v>0xe647e4efb1f867a92667d394c33b7521db8cb55c</v>
      </c>
      <c r="J2731" s="18">
        <v>94.8671176514718</v>
      </c>
      <c r="K2731" s="4">
        <v>1185.8389706433975</v>
      </c>
      <c r="L2731" s="19">
        <v>1.1858389706433975E21</v>
      </c>
      <c r="M2731" s="20">
        <v>1.1858389706433975E20</v>
      </c>
    </row>
    <row r="2732">
      <c r="A2732" s="6"/>
      <c r="B2732" s="6"/>
      <c r="C2732" s="4"/>
      <c r="D2732" s="4">
        <v>5.8036953119516</v>
      </c>
      <c r="E2732" s="4" t="s">
        <v>4283</v>
      </c>
      <c r="F2732" s="4"/>
      <c r="G2732" s="4"/>
      <c r="H2732" s="4"/>
      <c r="I2732" s="4" t="str">
        <f>IFERROR(__xludf.DUMMYFUNCTION("""COMPUTED_VALUE"""),"0x0206242c9ea94b5297869bf80e0f45ab44c6be28")</f>
        <v>0x0206242c9ea94b5297869bf80e0f45ab44c6be28</v>
      </c>
      <c r="J2732" s="18">
        <v>0.573515460681366</v>
      </c>
      <c r="K2732" s="4">
        <v>7.168943258517076</v>
      </c>
      <c r="L2732" s="19">
        <v>7.168943258517076E18</v>
      </c>
      <c r="M2732" s="20">
        <v>7.168943258517076E17</v>
      </c>
    </row>
    <row r="2733">
      <c r="A2733" s="6"/>
      <c r="B2733" s="6"/>
      <c r="C2733" s="4"/>
      <c r="D2733" s="4">
        <v>19.3456510398386</v>
      </c>
      <c r="E2733" s="4" t="s">
        <v>4284</v>
      </c>
      <c r="F2733" s="4"/>
      <c r="G2733" s="4"/>
      <c r="H2733" s="4"/>
      <c r="I2733" s="4" t="str">
        <f>IFERROR(__xludf.DUMMYFUNCTION("""COMPUTED_VALUE"""),"0x1dd6c771723774a7ac84dec7ede7caac7fe1f6cc")</f>
        <v>0x1dd6c771723774a7ac84dec7ede7caac7fe1f6cc</v>
      </c>
      <c r="J2733" s="18">
        <v>4.1908721236873</v>
      </c>
      <c r="K2733" s="4">
        <v>52.38590154609125</v>
      </c>
      <c r="L2733" s="19">
        <v>5.238590154609125E19</v>
      </c>
      <c r="M2733" s="20">
        <v>5.238590154609125E18</v>
      </c>
    </row>
    <row r="2734">
      <c r="A2734" s="6"/>
      <c r="B2734" s="6"/>
      <c r="C2734" s="4"/>
      <c r="D2734" s="4">
        <v>28.8794370043529</v>
      </c>
      <c r="E2734" s="4" t="s">
        <v>4285</v>
      </c>
      <c r="F2734" s="4"/>
      <c r="G2734" s="4"/>
      <c r="H2734" s="4"/>
      <c r="I2734" s="4" t="str">
        <f>IFERROR(__xludf.DUMMYFUNCTION("""COMPUTED_VALUE"""),"0xc6cbbb9a0594e5f6255399f2d27ef056834672a6")</f>
        <v>0xc6cbbb9a0594e5f6255399f2d27ef056834672a6</v>
      </c>
      <c r="J2734" s="18">
        <v>113.8737910687543</v>
      </c>
      <c r="K2734" s="4">
        <v>1423.4223883594286</v>
      </c>
      <c r="L2734" s="19">
        <v>1.4234223883594286E21</v>
      </c>
      <c r="M2734" s="20">
        <v>1.4234223883594287E20</v>
      </c>
    </row>
    <row r="2735">
      <c r="A2735" s="6"/>
      <c r="B2735" s="6"/>
      <c r="C2735" s="4"/>
      <c r="D2735" s="4">
        <v>2.72924273475089</v>
      </c>
      <c r="E2735" s="4" t="s">
        <v>4287</v>
      </c>
      <c r="F2735" s="4"/>
      <c r="G2735" s="4"/>
      <c r="H2735" s="4"/>
      <c r="I2735" s="4" t="str">
        <f>IFERROR(__xludf.DUMMYFUNCTION("""COMPUTED_VALUE"""),"0x6a01c658f5545027ebe18671d8ff397ca475fc6a")</f>
        <v>0x6a01c658f5545027ebe18671d8ff397ca475fc6a</v>
      </c>
      <c r="J2735" s="18">
        <v>1.3433576359367199</v>
      </c>
      <c r="K2735" s="4">
        <v>16.791970449208996</v>
      </c>
      <c r="L2735" s="19">
        <v>1.6791970449208996E19</v>
      </c>
      <c r="M2735" s="20">
        <v>1.6791970449208996E18</v>
      </c>
    </row>
    <row r="2736">
      <c r="A2736" s="6"/>
      <c r="B2736" s="6"/>
      <c r="C2736" s="4"/>
      <c r="D2736" s="4">
        <v>48.3641275995966</v>
      </c>
      <c r="E2736" s="4" t="s">
        <v>4289</v>
      </c>
      <c r="F2736" s="4"/>
      <c r="G2736" s="4"/>
      <c r="H2736" s="4"/>
      <c r="I2736" s="4" t="str">
        <f>IFERROR(__xludf.DUMMYFUNCTION("""COMPUTED_VALUE"""),"0x4344433a5b79e4482054ec5ca50aee3f25961e01")</f>
        <v>0x4344433a5b79e4482054ec5ca50aee3f25961e01</v>
      </c>
      <c r="J2736" s="18">
        <v>48.3641275995966</v>
      </c>
      <c r="K2736" s="4">
        <v>604.5515949949574</v>
      </c>
      <c r="L2736" s="19">
        <v>6.045515949949574E20</v>
      </c>
      <c r="M2736" s="20">
        <v>6.045515949949574E19</v>
      </c>
    </row>
    <row r="2737">
      <c r="A2737" s="6"/>
      <c r="B2737" s="6"/>
      <c r="C2737" s="4"/>
      <c r="D2737" s="4">
        <v>9.672825519919328</v>
      </c>
      <c r="E2737" s="4" t="s">
        <v>4290</v>
      </c>
      <c r="F2737" s="4"/>
      <c r="G2737" s="4"/>
      <c r="H2737" s="4"/>
      <c r="I2737" s="4" t="str">
        <f>IFERROR(__xludf.DUMMYFUNCTION("""COMPUTED_VALUE"""),"0x248ccf6d527a38a731c02d44317323a303f66357")</f>
        <v>0x248ccf6d527a38a731c02d44317323a303f66357</v>
      </c>
      <c r="J2737" s="18">
        <v>48.3641275995966</v>
      </c>
      <c r="K2737" s="4">
        <v>604.5515949949574</v>
      </c>
      <c r="L2737" s="19">
        <v>6.045515949949574E20</v>
      </c>
      <c r="M2737" s="20">
        <v>6.045515949949574E19</v>
      </c>
    </row>
    <row r="2738">
      <c r="A2738" s="6"/>
      <c r="B2738" s="6"/>
      <c r="C2738" s="4"/>
      <c r="D2738" s="4">
        <v>9.672825519919328</v>
      </c>
      <c r="E2738" s="4" t="s">
        <v>4291</v>
      </c>
      <c r="F2738" s="4"/>
      <c r="G2738" s="4"/>
      <c r="H2738" s="4"/>
      <c r="I2738" s="4" t="str">
        <f>IFERROR(__xludf.DUMMYFUNCTION("""COMPUTED_VALUE"""),"0xf31b605838df82a0b4fab48d796e75e87ccebb21")</f>
        <v>0xf31b605838df82a0b4fab48d796e75e87ccebb21</v>
      </c>
      <c r="J2738" s="18">
        <v>9.01041594929384</v>
      </c>
      <c r="K2738" s="4">
        <v>112.630199366173</v>
      </c>
      <c r="L2738" s="19">
        <v>1.12630199366173E20</v>
      </c>
      <c r="M2738" s="20">
        <v>1.12630199366173E19</v>
      </c>
    </row>
    <row r="2739">
      <c r="A2739" s="6"/>
      <c r="B2739" s="6"/>
      <c r="C2739" s="4"/>
      <c r="D2739" s="4">
        <v>48.3641275995966</v>
      </c>
      <c r="E2739" s="4" t="s">
        <v>970</v>
      </c>
      <c r="F2739" s="4"/>
      <c r="G2739" s="4"/>
      <c r="H2739" s="4"/>
      <c r="I2739" s="4" t="str">
        <f>IFERROR(__xludf.DUMMYFUNCTION("""COMPUTED_VALUE"""),"0xf10beadc9b737c9a82dc24b6234f0ee09b897e7d")</f>
        <v>0xf10beadc9b737c9a82dc24b6234f0ee09b897e7d</v>
      </c>
      <c r="J2739" s="18">
        <v>47.223126817133</v>
      </c>
      <c r="K2739" s="4">
        <v>590.2890852141625</v>
      </c>
      <c r="L2739" s="19">
        <v>5.902890852141625E20</v>
      </c>
      <c r="M2739" s="20">
        <v>5.902890852141625E19</v>
      </c>
    </row>
    <row r="2740">
      <c r="A2740" s="6"/>
      <c r="B2740" s="6"/>
      <c r="C2740" s="4"/>
      <c r="D2740" s="4">
        <v>9.82201688305559</v>
      </c>
      <c r="E2740" s="4" t="s">
        <v>4292</v>
      </c>
      <c r="F2740" s="4"/>
      <c r="G2740" s="4"/>
      <c r="H2740" s="4"/>
      <c r="I2740" s="4" t="str">
        <f>IFERROR(__xludf.DUMMYFUNCTION("""COMPUTED_VALUE"""),"0x6ce9fad93381fd6be15a9e2a8e1e5a378d9835b0")</f>
        <v>0x6ce9fad93381fd6be15a9e2a8e1e5a378d9835b0</v>
      </c>
      <c r="J2740" s="18">
        <v>9.98254662335029</v>
      </c>
      <c r="K2740" s="4">
        <v>124.78183279187861</v>
      </c>
      <c r="L2740" s="19">
        <v>1.2478183279187862E20</v>
      </c>
      <c r="M2740" s="20">
        <v>1.2478183279187862E19</v>
      </c>
    </row>
    <row r="2741">
      <c r="A2741" s="6"/>
      <c r="B2741" s="6"/>
      <c r="C2741" s="4"/>
      <c r="D2741" s="4">
        <v>8.67392497132551</v>
      </c>
      <c r="E2741" s="4" t="s">
        <v>4294</v>
      </c>
      <c r="F2741" s="4"/>
      <c r="G2741" s="4"/>
      <c r="H2741" s="4"/>
      <c r="I2741" s="4" t="str">
        <f>IFERROR(__xludf.DUMMYFUNCTION("""COMPUTED_VALUE"""),"0x753b0dd94dda8098b256e3089028dbce9c220470")</f>
        <v>0x753b0dd94dda8098b256e3089028dbce9c220470</v>
      </c>
      <c r="J2741" s="18">
        <v>97.2537387817637</v>
      </c>
      <c r="K2741" s="4">
        <v>1215.6717347720462</v>
      </c>
      <c r="L2741" s="19">
        <v>1.2156717347720462E21</v>
      </c>
      <c r="M2741" s="20">
        <v>1.2156717347720462E20</v>
      </c>
    </row>
    <row r="2742">
      <c r="A2742" s="6"/>
      <c r="B2742" s="6"/>
      <c r="C2742" s="4"/>
      <c r="D2742" s="4">
        <v>48.3641275995966</v>
      </c>
      <c r="E2742" s="4" t="s">
        <v>4296</v>
      </c>
      <c r="F2742" s="4"/>
      <c r="G2742" s="4"/>
      <c r="H2742" s="4"/>
      <c r="I2742" s="4" t="str">
        <f>IFERROR(__xludf.DUMMYFUNCTION("""COMPUTED_VALUE"""),"0x1e8e71558dfafa129257eef5ba24fa948753e95e")</f>
        <v>0x1e8e71558dfafa129257eef5ba24fa948753e95e</v>
      </c>
      <c r="J2742" s="18">
        <v>10.1164475377366</v>
      </c>
      <c r="K2742" s="4">
        <v>126.45559422170749</v>
      </c>
      <c r="L2742" s="19">
        <v>1.264555942217075E20</v>
      </c>
      <c r="M2742" s="20">
        <v>1.264555942217075E19</v>
      </c>
    </row>
    <row r="2743">
      <c r="A2743" s="6"/>
      <c r="B2743" s="6"/>
      <c r="C2743" s="4"/>
      <c r="D2743" s="4">
        <v>10.795807391954801</v>
      </c>
      <c r="E2743" s="4" t="s">
        <v>4297</v>
      </c>
      <c r="F2743" s="4"/>
      <c r="G2743" s="4"/>
      <c r="H2743" s="4"/>
      <c r="I2743" s="4" t="str">
        <f>IFERROR(__xludf.DUMMYFUNCTION("""COMPUTED_VALUE"""),"0x7b64c865612764ea864f6235dcb009621fd6b9b5")</f>
        <v>0x7b64c865612764ea864f6235dcb009621fd6b9b5</v>
      </c>
      <c r="J2743" s="18">
        <v>9.672825519919328</v>
      </c>
      <c r="K2743" s="4">
        <v>120.9103189989916</v>
      </c>
      <c r="L2743" s="19">
        <v>1.209103189989916E20</v>
      </c>
      <c r="M2743" s="20">
        <v>1.209103189989916E19</v>
      </c>
    </row>
    <row r="2744">
      <c r="A2744" s="6"/>
      <c r="B2744" s="6"/>
      <c r="C2744" s="4"/>
      <c r="D2744" s="4">
        <v>48.3641275995966</v>
      </c>
      <c r="E2744" s="4" t="s">
        <v>4299</v>
      </c>
      <c r="F2744" s="4"/>
      <c r="G2744" s="4"/>
      <c r="H2744" s="4"/>
      <c r="I2744" s="4" t="str">
        <f>IFERROR(__xludf.DUMMYFUNCTION("""COMPUTED_VALUE"""),"0x28cf5d1d1ea03bcc0085b0a59867a8928dfbf799")</f>
        <v>0x28cf5d1d1ea03bcc0085b0a59867a8928dfbf799</v>
      </c>
      <c r="J2744" s="18">
        <v>6.96550323417955</v>
      </c>
      <c r="K2744" s="4">
        <v>87.06879042724438</v>
      </c>
      <c r="L2744" s="19">
        <v>8.706879042724438E19</v>
      </c>
      <c r="M2744" s="20">
        <v>8.706879042724438E18</v>
      </c>
    </row>
    <row r="2745">
      <c r="A2745" s="6"/>
      <c r="B2745" s="6"/>
      <c r="C2745" s="4"/>
      <c r="D2745" s="4">
        <v>9.672825519919328</v>
      </c>
      <c r="E2745" s="4" t="s">
        <v>4300</v>
      </c>
      <c r="F2745" s="4"/>
      <c r="G2745" s="4"/>
      <c r="H2745" s="4"/>
      <c r="I2745" s="4" t="str">
        <f>IFERROR(__xludf.DUMMYFUNCTION("""COMPUTED_VALUE"""),"0xd813ccb78cf7b28c896596030924e79178605a5e")</f>
        <v>0xd813ccb78cf7b28c896596030924e79178605a5e</v>
      </c>
      <c r="J2745" s="18">
        <v>59.2594161267903</v>
      </c>
      <c r="K2745" s="4">
        <v>740.7427015848788</v>
      </c>
      <c r="L2745" s="19">
        <v>7.407427015848788E20</v>
      </c>
      <c r="M2745" s="20">
        <v>7.407427015848788E19</v>
      </c>
    </row>
    <row r="2746">
      <c r="A2746" s="6"/>
      <c r="B2746" s="6"/>
      <c r="C2746" s="4"/>
      <c r="D2746" s="4">
        <v>48.3641275995966</v>
      </c>
      <c r="E2746" s="4" t="s">
        <v>4301</v>
      </c>
      <c r="F2746" s="4"/>
      <c r="G2746" s="4"/>
      <c r="H2746" s="4"/>
      <c r="I2746" s="4" t="str">
        <f>IFERROR(__xludf.DUMMYFUNCTION("""COMPUTED_VALUE"""),"0xb71986fa8693947be114cf43e583f7b9093c45cf")</f>
        <v>0xb71986fa8693947be114cf43e583f7b9093c45cf</v>
      </c>
      <c r="J2746" s="18">
        <v>48.3641275995966</v>
      </c>
      <c r="K2746" s="4">
        <v>604.5515949949574</v>
      </c>
      <c r="L2746" s="19">
        <v>6.045515949949574E20</v>
      </c>
      <c r="M2746" s="20">
        <v>6.045515949949574E19</v>
      </c>
    </row>
    <row r="2747">
      <c r="A2747" s="6"/>
      <c r="B2747" s="6"/>
      <c r="C2747" s="4"/>
      <c r="D2747" s="4">
        <v>5.00137030995992</v>
      </c>
      <c r="E2747" s="4" t="s">
        <v>4302</v>
      </c>
      <c r="F2747" s="4"/>
      <c r="G2747" s="4"/>
      <c r="H2747" s="4"/>
      <c r="I2747" s="4" t="str">
        <f>IFERROR(__xludf.DUMMYFUNCTION("""COMPUTED_VALUE"""),"0x20020fbb125c827f98a88344ada385c5708141f5")</f>
        <v>0x20020fbb125c827f98a88344ada385c5708141f5</v>
      </c>
      <c r="J2747" s="18">
        <v>9.672825519919328</v>
      </c>
      <c r="K2747" s="4">
        <v>120.9103189989916</v>
      </c>
      <c r="L2747" s="19">
        <v>1.209103189989916E20</v>
      </c>
      <c r="M2747" s="20">
        <v>1.209103189989916E19</v>
      </c>
    </row>
    <row r="2748">
      <c r="A2748" s="6"/>
      <c r="B2748" s="6"/>
      <c r="C2748" s="4"/>
      <c r="D2748" s="4">
        <v>48.3641275995966</v>
      </c>
      <c r="E2748" s="4" t="s">
        <v>4304</v>
      </c>
      <c r="F2748" s="4"/>
      <c r="G2748" s="4"/>
      <c r="H2748" s="4"/>
      <c r="I2748" s="4" t="str">
        <f>IFERROR(__xludf.DUMMYFUNCTION("""COMPUTED_VALUE"""),"0x06efbdb343886c899cde156f910c6faf04dc74ad")</f>
        <v>0x06efbdb343886c899cde156f910c6faf04dc74ad</v>
      </c>
      <c r="J2748" s="18">
        <v>9.672825519919328</v>
      </c>
      <c r="K2748" s="4">
        <v>120.9103189989916</v>
      </c>
      <c r="L2748" s="19">
        <v>1.209103189989916E20</v>
      </c>
      <c r="M2748" s="20">
        <v>1.209103189989916E19</v>
      </c>
    </row>
    <row r="2749">
      <c r="A2749" s="6"/>
      <c r="B2749" s="6"/>
      <c r="C2749" s="4"/>
      <c r="D2749" s="4">
        <v>48.3641275995966</v>
      </c>
      <c r="E2749" s="4" t="s">
        <v>4305</v>
      </c>
      <c r="F2749" s="4"/>
      <c r="G2749" s="4"/>
      <c r="H2749" s="4"/>
      <c r="I2749" s="4" t="str">
        <f>IFERROR(__xludf.DUMMYFUNCTION("""COMPUTED_VALUE"""),"0xc77c8ce4a6812be0ecfd495aa0b01d47056bd282")</f>
        <v>0xc77c8ce4a6812be0ecfd495aa0b01d47056bd282</v>
      </c>
      <c r="J2749" s="18">
        <v>9.5204876697407</v>
      </c>
      <c r="K2749" s="4">
        <v>119.00609587175875</v>
      </c>
      <c r="L2749" s="19">
        <v>1.1900609587175875E20</v>
      </c>
      <c r="M2749" s="20">
        <v>1.1900609587175875E19</v>
      </c>
    </row>
    <row r="2750">
      <c r="A2750" s="6"/>
      <c r="B2750" s="6"/>
      <c r="C2750" s="4"/>
      <c r="D2750" s="4">
        <v>48.3641275995966</v>
      </c>
      <c r="E2750" s="4" t="s">
        <v>554</v>
      </c>
      <c r="F2750" s="4"/>
      <c r="G2750" s="4"/>
      <c r="H2750" s="4"/>
      <c r="I2750" s="4" t="str">
        <f>IFERROR(__xludf.DUMMYFUNCTION("""COMPUTED_VALUE"""),"0xf91a98a4d65faedec905c7cc24d8221a191df5ee")</f>
        <v>0xf91a98a4d65faedec905c7cc24d8221a191df5ee</v>
      </c>
      <c r="J2750" s="18">
        <v>48.35680643655843</v>
      </c>
      <c r="K2750" s="4">
        <v>604.4600804569803</v>
      </c>
      <c r="L2750" s="19">
        <v>6.044600804569804E20</v>
      </c>
      <c r="M2750" s="20">
        <v>6.044600804569804E19</v>
      </c>
    </row>
    <row r="2751">
      <c r="A2751" s="6"/>
      <c r="B2751" s="6"/>
      <c r="C2751" s="4"/>
      <c r="D2751" s="4">
        <v>48.3641275995966</v>
      </c>
      <c r="E2751" s="4" t="s">
        <v>4306</v>
      </c>
      <c r="F2751" s="4"/>
      <c r="G2751" s="4"/>
      <c r="H2751" s="4"/>
      <c r="I2751" s="4" t="str">
        <f>IFERROR(__xludf.DUMMYFUNCTION("""COMPUTED_VALUE"""),"0x147f06a1786c204789d46cfd4dc304d19d900aa0")</f>
        <v>0x147f06a1786c204789d46cfd4dc304d19d900aa0</v>
      </c>
      <c r="J2751" s="18">
        <v>118.940098186969</v>
      </c>
      <c r="K2751" s="4">
        <v>1486.7512273371124</v>
      </c>
      <c r="L2751" s="19">
        <v>1.4867512273371123E21</v>
      </c>
      <c r="M2751" s="20">
        <v>1.4867512273371123E20</v>
      </c>
    </row>
    <row r="2752">
      <c r="A2752" s="6"/>
      <c r="B2752" s="6"/>
      <c r="C2752" s="4"/>
      <c r="D2752" s="4">
        <v>48.3641275995966</v>
      </c>
      <c r="E2752" s="4" t="s">
        <v>4307</v>
      </c>
      <c r="F2752" s="4"/>
      <c r="G2752" s="4"/>
      <c r="H2752" s="4"/>
      <c r="I2752" s="4" t="str">
        <f>IFERROR(__xludf.DUMMYFUNCTION("""COMPUTED_VALUE"""),"0xdad73e578d4c1c5c50bf62bc1eed7858f16e8e71")</f>
        <v>0xdad73e578d4c1c5c50bf62bc1eed7858f16e8e71</v>
      </c>
      <c r="J2752" s="18">
        <v>17.2843085813674</v>
      </c>
      <c r="K2752" s="4">
        <v>216.05385726709252</v>
      </c>
      <c r="L2752" s="19">
        <v>2.1605385726709252E20</v>
      </c>
      <c r="M2752" s="20">
        <v>2.1605385726709252E19</v>
      </c>
    </row>
    <row r="2753">
      <c r="A2753" s="6"/>
      <c r="B2753" s="6"/>
      <c r="C2753" s="4"/>
      <c r="D2753" s="4">
        <v>45.8409185549097</v>
      </c>
      <c r="E2753" s="4" t="s">
        <v>1283</v>
      </c>
      <c r="F2753" s="4"/>
      <c r="G2753" s="4"/>
      <c r="H2753" s="4"/>
      <c r="I2753" s="4" t="str">
        <f>IFERROR(__xludf.DUMMYFUNCTION("""COMPUTED_VALUE"""),"0x78e454a89d661372a8455d44d0e5185f8f057287")</f>
        <v>0x78e454a89d661372a8455d44d0e5185f8f057287</v>
      </c>
      <c r="J2753" s="18">
        <v>24.812855131875402</v>
      </c>
      <c r="K2753" s="4">
        <v>310.16068914844254</v>
      </c>
      <c r="L2753" s="19">
        <v>3.101606891484426E20</v>
      </c>
      <c r="M2753" s="20">
        <v>3.101606891484426E19</v>
      </c>
    </row>
    <row r="2754">
      <c r="A2754" s="6"/>
      <c r="B2754" s="6"/>
      <c r="C2754" s="4"/>
      <c r="D2754" s="4">
        <v>41.0375277619738</v>
      </c>
      <c r="E2754" s="4" t="s">
        <v>4309</v>
      </c>
      <c r="F2754" s="4"/>
      <c r="G2754" s="4"/>
      <c r="H2754" s="4"/>
      <c r="I2754" s="4" t="str">
        <f>IFERROR(__xludf.DUMMYFUNCTION("""COMPUTED_VALUE"""),"0x5fb0058280611b57e7fd96dc4ba3616bd0d29806")</f>
        <v>0x5fb0058280611b57e7fd96dc4ba3616bd0d29806</v>
      </c>
      <c r="J2754" s="18">
        <v>234.37608780709658</v>
      </c>
      <c r="K2754" s="4">
        <v>2929.7010975887074</v>
      </c>
      <c r="L2754" s="19">
        <v>2.9297010975887076E21</v>
      </c>
      <c r="M2754" s="20">
        <v>2.9297010975887078E20</v>
      </c>
    </row>
    <row r="2755">
      <c r="A2755" s="6"/>
      <c r="B2755" s="6"/>
      <c r="C2755" s="4"/>
      <c r="D2755" s="4">
        <v>48.3641275995966</v>
      </c>
      <c r="E2755" s="4" t="s">
        <v>4311</v>
      </c>
      <c r="F2755" s="4"/>
      <c r="G2755" s="4"/>
      <c r="H2755" s="4"/>
      <c r="I2755" s="4" t="str">
        <f>IFERROR(__xludf.DUMMYFUNCTION("""COMPUTED_VALUE"""),"0x3ae175dc6b6aef55a7932e212d1231e94c49e2ae")</f>
        <v>0x3ae175dc6b6aef55a7932e212d1231e94c49e2ae</v>
      </c>
      <c r="J2755" s="18">
        <v>48.3641275995966</v>
      </c>
      <c r="K2755" s="4">
        <v>604.5515949949574</v>
      </c>
      <c r="L2755" s="19">
        <v>6.045515949949574E20</v>
      </c>
      <c r="M2755" s="20">
        <v>6.045515949949574E19</v>
      </c>
    </row>
    <row r="2756">
      <c r="A2756" s="6"/>
      <c r="B2756" s="6"/>
      <c r="C2756" s="4"/>
      <c r="D2756" s="4">
        <v>46.6822210824991</v>
      </c>
      <c r="E2756" s="4" t="s">
        <v>4312</v>
      </c>
      <c r="F2756" s="4"/>
      <c r="G2756" s="4"/>
      <c r="H2756" s="4"/>
      <c r="I2756" s="4" t="str">
        <f>IFERROR(__xludf.DUMMYFUNCTION("""COMPUTED_VALUE"""),"0x6c18d6deb8094ef05852d14eaf5de3da8c64a42e")</f>
        <v>0x6c18d6deb8094ef05852d14eaf5de3da8c64a42e</v>
      </c>
      <c r="J2756" s="18">
        <v>46.6921036781867</v>
      </c>
      <c r="K2756" s="4">
        <v>583.6512959773337</v>
      </c>
      <c r="L2756" s="19">
        <v>5.836512959773337E20</v>
      </c>
      <c r="M2756" s="20">
        <v>5.836512959773337E19</v>
      </c>
    </row>
    <row r="2757">
      <c r="A2757" s="6"/>
      <c r="B2757" s="6"/>
      <c r="C2757" s="4"/>
      <c r="D2757" s="4">
        <v>26.6723104626556</v>
      </c>
      <c r="E2757" s="4" t="s">
        <v>657</v>
      </c>
      <c r="F2757" s="4"/>
      <c r="G2757" s="4"/>
      <c r="H2757" s="4"/>
      <c r="I2757" s="4" t="str">
        <f>IFERROR(__xludf.DUMMYFUNCTION("""COMPUTED_VALUE"""),"0xf3e8270cfccf1f4ce0d8758c6256fc9efbcd6306")</f>
        <v>0xf3e8270cfccf1f4ce0d8758c6256fc9efbcd6306</v>
      </c>
      <c r="J2757" s="18">
        <v>29.0379158559366</v>
      </c>
      <c r="K2757" s="4">
        <v>362.9739481992075</v>
      </c>
      <c r="L2757" s="19">
        <v>3.629739481992075E20</v>
      </c>
      <c r="M2757" s="20">
        <v>3.6297394819920753E19</v>
      </c>
    </row>
    <row r="2758">
      <c r="A2758" s="6"/>
      <c r="B2758" s="6"/>
      <c r="C2758" s="4"/>
      <c r="D2758" s="4">
        <v>48.3641275995966</v>
      </c>
      <c r="E2758" s="4" t="s">
        <v>4315</v>
      </c>
      <c r="F2758" s="4"/>
      <c r="G2758" s="4"/>
      <c r="H2758" s="4"/>
      <c r="I2758" s="4" t="str">
        <f>IFERROR(__xludf.DUMMYFUNCTION("""COMPUTED_VALUE"""),"0xed92e09cf14597488186aa9b825fbaa8b0533e38")</f>
        <v>0xed92e09cf14597488186aa9b825fbaa8b0533e38</v>
      </c>
      <c r="J2758" s="18">
        <v>22.247498695814397</v>
      </c>
      <c r="K2758" s="4">
        <v>278.09373369767997</v>
      </c>
      <c r="L2758" s="19">
        <v>2.7809373369767995E20</v>
      </c>
      <c r="M2758" s="20">
        <v>2.7809373369767997E19</v>
      </c>
    </row>
    <row r="2759">
      <c r="A2759" s="6"/>
      <c r="B2759" s="6"/>
      <c r="C2759" s="4"/>
      <c r="D2759" s="4">
        <v>48.3641275995966</v>
      </c>
      <c r="E2759" s="4" t="s">
        <v>4316</v>
      </c>
      <c r="F2759" s="4"/>
      <c r="G2759" s="4"/>
      <c r="H2759" s="4"/>
      <c r="I2759" s="4" t="str">
        <f>IFERROR(__xludf.DUMMYFUNCTION("""COMPUTED_VALUE"""),"0xd86e31aa47dea323452018c0f14c146fae787c72")</f>
        <v>0xd86e31aa47dea323452018c0f14c146fae787c72</v>
      </c>
      <c r="J2759" s="18">
        <v>15.426139469879699</v>
      </c>
      <c r="K2759" s="4">
        <v>192.82674337349624</v>
      </c>
      <c r="L2759" s="19">
        <v>1.9282674337349625E20</v>
      </c>
      <c r="M2759" s="20">
        <v>1.9282674337349628E19</v>
      </c>
    </row>
    <row r="2760">
      <c r="A2760" s="6"/>
      <c r="B2760" s="6"/>
      <c r="C2760" s="4"/>
      <c r="D2760" s="4">
        <v>48.1715574881636</v>
      </c>
      <c r="E2760" s="4" t="s">
        <v>4317</v>
      </c>
      <c r="F2760" s="4"/>
      <c r="G2760" s="4"/>
      <c r="H2760" s="4"/>
      <c r="I2760" s="4" t="str">
        <f>IFERROR(__xludf.DUMMYFUNCTION("""COMPUTED_VALUE"""),"0x17338b0b4e7aca00ad0c07560fa03702e175baa5")</f>
        <v>0x17338b0b4e7aca00ad0c07560fa03702e175baa5</v>
      </c>
      <c r="J2760" s="18">
        <v>9.672825519919328</v>
      </c>
      <c r="K2760" s="4">
        <v>120.9103189989916</v>
      </c>
      <c r="L2760" s="19">
        <v>1.209103189989916E20</v>
      </c>
      <c r="M2760" s="20">
        <v>1.209103189989916E19</v>
      </c>
    </row>
    <row r="2761">
      <c r="A2761" s="6"/>
      <c r="B2761" s="6"/>
      <c r="C2761" s="4"/>
      <c r="D2761" s="4">
        <v>9.672825519919328</v>
      </c>
      <c r="E2761" s="4" t="s">
        <v>4319</v>
      </c>
      <c r="F2761" s="4"/>
      <c r="G2761" s="4"/>
      <c r="H2761" s="4"/>
      <c r="I2761" s="4" t="str">
        <f>IFERROR(__xludf.DUMMYFUNCTION("""COMPUTED_VALUE"""),"0x2176b1db2fcf5ab5cfefdbce0be2e014e5c813d8")</f>
        <v>0x2176b1db2fcf5ab5cfefdbce0be2e014e5c813d8</v>
      </c>
      <c r="J2761" s="18">
        <v>94.8671176514718</v>
      </c>
      <c r="K2761" s="4">
        <v>1185.8389706433975</v>
      </c>
      <c r="L2761" s="19">
        <v>1.1858389706433975E21</v>
      </c>
      <c r="M2761" s="20">
        <v>1.1858389706433975E20</v>
      </c>
    </row>
    <row r="2762">
      <c r="A2762" s="6"/>
      <c r="B2762" s="6"/>
      <c r="C2762" s="4"/>
      <c r="D2762" s="4">
        <v>9.46460202527029</v>
      </c>
      <c r="E2762" s="4" t="s">
        <v>4320</v>
      </c>
      <c r="F2762" s="4"/>
      <c r="G2762" s="4"/>
      <c r="H2762" s="4"/>
      <c r="I2762" s="4" t="str">
        <f>IFERROR(__xludf.DUMMYFUNCTION("""COMPUTED_VALUE"""),"0xdeaa52c82060e646acc9e95f9b42dfac491df9cd")</f>
        <v>0xdeaa52c82060e646acc9e95f9b42dfac491df9cd</v>
      </c>
      <c r="J2762" s="18">
        <v>28.0515083494521</v>
      </c>
      <c r="K2762" s="4">
        <v>350.6438543681512</v>
      </c>
      <c r="L2762" s="19">
        <v>3.5064385436815124E20</v>
      </c>
      <c r="M2762" s="20">
        <v>3.5064385436815127E19</v>
      </c>
    </row>
    <row r="2763">
      <c r="A2763" s="6"/>
      <c r="B2763" s="6"/>
      <c r="C2763" s="4"/>
      <c r="D2763" s="4">
        <v>48.3641275995966</v>
      </c>
      <c r="E2763" s="4" t="s">
        <v>4322</v>
      </c>
      <c r="F2763" s="4"/>
      <c r="G2763" s="4"/>
      <c r="H2763" s="4"/>
      <c r="I2763" s="4" t="str">
        <f>IFERROR(__xludf.DUMMYFUNCTION("""COMPUTED_VALUE"""),"0xfd3a7b5fb5c5334766489e4a46fcb46e24834613")</f>
        <v>0xfd3a7b5fb5c5334766489e4a46fcb46e24834613</v>
      </c>
      <c r="J2763" s="18">
        <v>57.72761972786317</v>
      </c>
      <c r="K2763" s="4">
        <v>721.5952465982896</v>
      </c>
      <c r="L2763" s="19">
        <v>7.215952465982896E20</v>
      </c>
      <c r="M2763" s="20">
        <v>7.2159524659828965E19</v>
      </c>
    </row>
    <row r="2764">
      <c r="A2764" s="6"/>
      <c r="B2764" s="6"/>
      <c r="C2764" s="4"/>
      <c r="D2764" s="4">
        <v>9.672825519919328</v>
      </c>
      <c r="E2764" s="4" t="s">
        <v>4323</v>
      </c>
      <c r="F2764" s="4"/>
      <c r="G2764" s="4"/>
      <c r="H2764" s="4"/>
      <c r="I2764" s="4" t="str">
        <f>IFERROR(__xludf.DUMMYFUNCTION("""COMPUTED_VALUE"""),"0x3cc813d2928e771e6cd224ca3d9af80b4f8fe30f")</f>
        <v>0x3cc813d2928e771e6cd224ca3d9af80b4f8fe30f</v>
      </c>
      <c r="J2764" s="18">
        <v>47.4335588257359</v>
      </c>
      <c r="K2764" s="4">
        <v>592.9194853216987</v>
      </c>
      <c r="L2764" s="19">
        <v>5.929194853216987E20</v>
      </c>
      <c r="M2764" s="20">
        <v>5.9291948532169875E19</v>
      </c>
    </row>
    <row r="2765">
      <c r="A2765" s="6"/>
      <c r="B2765" s="6"/>
      <c r="C2765" s="4"/>
      <c r="D2765" s="4">
        <v>48.3641275995966</v>
      </c>
      <c r="E2765" s="4" t="s">
        <v>4324</v>
      </c>
      <c r="F2765" s="4"/>
      <c r="G2765" s="4"/>
      <c r="H2765" s="4"/>
      <c r="I2765" s="4" t="str">
        <f>IFERROR(__xludf.DUMMYFUNCTION("""COMPUTED_VALUE"""),"0x8da1a4d25691d9ffa62b07c5675d4839356cbeb0")</f>
        <v>0x8da1a4d25691d9ffa62b07c5675d4839356cbeb0</v>
      </c>
      <c r="J2765" s="18">
        <v>48.3641275995966</v>
      </c>
      <c r="K2765" s="4">
        <v>604.5515949949574</v>
      </c>
      <c r="L2765" s="19">
        <v>6.045515949949574E20</v>
      </c>
      <c r="M2765" s="20">
        <v>6.045515949949574E19</v>
      </c>
    </row>
    <row r="2766">
      <c r="A2766" s="6"/>
      <c r="B2766" s="6"/>
      <c r="C2766" s="4"/>
      <c r="D2766" s="4">
        <v>19.539107550237</v>
      </c>
      <c r="E2766" s="4" t="s">
        <v>4325</v>
      </c>
      <c r="F2766" s="4"/>
      <c r="G2766" s="4"/>
      <c r="H2766" s="4"/>
      <c r="I2766" s="4" t="str">
        <f>IFERROR(__xludf.DUMMYFUNCTION("""COMPUTED_VALUE"""),"0x05f05e88075fbfc33fef63335e5e6127bb2bcd2f")</f>
        <v>0x05f05e88075fbfc33fef63335e5e6127bb2bcd2f</v>
      </c>
      <c r="J2766" s="18">
        <v>17.3612326328222</v>
      </c>
      <c r="K2766" s="4">
        <v>217.0154079102775</v>
      </c>
      <c r="L2766" s="19">
        <v>2.170154079102775E20</v>
      </c>
      <c r="M2766" s="20">
        <v>2.1701540791027753E19</v>
      </c>
    </row>
    <row r="2767">
      <c r="A2767" s="6"/>
      <c r="B2767" s="6"/>
      <c r="C2767" s="4"/>
      <c r="D2767" s="4">
        <v>32.1327592932137</v>
      </c>
      <c r="E2767" s="4" t="s">
        <v>4326</v>
      </c>
      <c r="F2767" s="4"/>
      <c r="G2767" s="4"/>
      <c r="H2767" s="4"/>
      <c r="I2767" s="4" t="str">
        <f>IFERROR(__xludf.DUMMYFUNCTION("""COMPUTED_VALUE"""),"0x44b1094e713c198f922d708795be3dd7f1051da9")</f>
        <v>0x44b1094e713c198f922d708795be3dd7f1051da9</v>
      </c>
      <c r="J2767" s="18">
        <v>9.86628203031772</v>
      </c>
      <c r="K2767" s="4">
        <v>123.32852537897149</v>
      </c>
      <c r="L2767" s="19">
        <v>1.2332852537897148E20</v>
      </c>
      <c r="M2767" s="20">
        <v>1.2332852537897148E19</v>
      </c>
    </row>
    <row r="2768">
      <c r="A2768" s="6"/>
      <c r="B2768" s="6"/>
      <c r="C2768" s="4"/>
      <c r="D2768" s="4">
        <v>42.0112225231391</v>
      </c>
      <c r="E2768" s="4" t="s">
        <v>4328</v>
      </c>
      <c r="F2768" s="4"/>
      <c r="G2768" s="4"/>
      <c r="H2768" s="4"/>
      <c r="I2768" s="4" t="str">
        <f>IFERROR(__xludf.DUMMYFUNCTION("""COMPUTED_VALUE"""),"0x47d04db8bef20a3112abae0b2b6ad1ef6f7eb702")</f>
        <v>0x47d04db8bef20a3112abae0b2b6ad1ef6f7eb702</v>
      </c>
      <c r="J2768" s="18">
        <v>45.30676071767512</v>
      </c>
      <c r="K2768" s="4">
        <v>566.3345089709389</v>
      </c>
      <c r="L2768" s="19">
        <v>5.663345089709389E20</v>
      </c>
      <c r="M2768" s="20">
        <v>5.6633450897093894E19</v>
      </c>
    </row>
    <row r="2769">
      <c r="A2769" s="6"/>
      <c r="B2769" s="6"/>
      <c r="C2769" s="4"/>
      <c r="D2769" s="4">
        <v>2.29496217366104</v>
      </c>
      <c r="E2769" s="4" t="s">
        <v>4330</v>
      </c>
      <c r="F2769" s="4"/>
      <c r="G2769" s="4"/>
      <c r="H2769" s="4"/>
      <c r="I2769" s="4" t="str">
        <f>IFERROR(__xludf.DUMMYFUNCTION("""COMPUTED_VALUE"""),"0x492119680755e6507ac15d46f3c71981d3eb1f60")</f>
        <v>0x492119680755e6507ac15d46f3c71981d3eb1f60</v>
      </c>
      <c r="J2769" s="18">
        <v>34.2967427766396</v>
      </c>
      <c r="K2769" s="4">
        <v>428.709284707995</v>
      </c>
      <c r="L2769" s="19">
        <v>4.2870928470799496E20</v>
      </c>
      <c r="M2769" s="20">
        <v>4.28709284707995E19</v>
      </c>
    </row>
    <row r="2770">
      <c r="A2770" s="6"/>
      <c r="B2770" s="6"/>
      <c r="C2770" s="4"/>
      <c r="D2770" s="4">
        <v>48.3641275995966</v>
      </c>
      <c r="E2770" s="4" t="s">
        <v>4332</v>
      </c>
      <c r="F2770" s="4"/>
      <c r="G2770" s="4"/>
      <c r="H2770" s="4"/>
      <c r="I2770" s="4" t="str">
        <f>IFERROR(__xludf.DUMMYFUNCTION("""COMPUTED_VALUE"""),"0xbc6507ff5cf29e6b38dd5789a8167345aa333853")</f>
        <v>0xbc6507ff5cf29e6b38dd5789a8167345aa333853</v>
      </c>
      <c r="J2770" s="18">
        <v>3.1478986982177597</v>
      </c>
      <c r="K2770" s="4">
        <v>39.34873372772199</v>
      </c>
      <c r="L2770" s="19">
        <v>3.934873372772199E19</v>
      </c>
      <c r="M2770" s="20">
        <v>3.934873372772199E18</v>
      </c>
    </row>
    <row r="2771">
      <c r="A2771" s="6"/>
      <c r="B2771" s="6"/>
      <c r="C2771" s="4"/>
      <c r="D2771" s="4">
        <v>44.422870715188395</v>
      </c>
      <c r="E2771" s="4" t="s">
        <v>4333</v>
      </c>
      <c r="F2771" s="4"/>
      <c r="G2771" s="4"/>
      <c r="H2771" s="4"/>
      <c r="I2771" s="4" t="str">
        <f>IFERROR(__xludf.DUMMYFUNCTION("""COMPUTED_VALUE"""),"0x31b6f88db7b27b1321244d21d9ee712a2b6381fa")</f>
        <v>0x31b6f88db7b27b1321244d21d9ee712a2b6381fa</v>
      </c>
      <c r="J2771" s="18">
        <v>143.602251225837</v>
      </c>
      <c r="K2771" s="4">
        <v>1795.0281403229624</v>
      </c>
      <c r="L2771" s="19">
        <v>1.7950281403229623E21</v>
      </c>
      <c r="M2771" s="20">
        <v>1.7950281403229625E20</v>
      </c>
    </row>
    <row r="2772">
      <c r="A2772" s="6"/>
      <c r="B2772" s="6"/>
      <c r="C2772" s="4"/>
      <c r="D2772" s="4">
        <v>48.3641275995966</v>
      </c>
      <c r="E2772" s="4" t="s">
        <v>4335</v>
      </c>
      <c r="F2772" s="4"/>
      <c r="G2772" s="4"/>
      <c r="H2772" s="4"/>
      <c r="I2772" s="4" t="str">
        <f>IFERROR(__xludf.DUMMYFUNCTION("""COMPUTED_VALUE"""),"0xbc9a30c2751412d9295f8adabe6524bd9c8d1c13")</f>
        <v>0xbc9a30c2751412d9295f8adabe6524bd9c8d1c13</v>
      </c>
      <c r="J2772" s="18">
        <v>45.9039183150838</v>
      </c>
      <c r="K2772" s="4">
        <v>573.7989789385475</v>
      </c>
      <c r="L2772" s="19">
        <v>5.7379897893854754E20</v>
      </c>
      <c r="M2772" s="20">
        <v>5.737989789385476E19</v>
      </c>
    </row>
    <row r="2773">
      <c r="A2773" s="6"/>
      <c r="B2773" s="6"/>
      <c r="C2773" s="4"/>
      <c r="D2773" s="4">
        <v>9.73332192531412</v>
      </c>
      <c r="E2773" s="4" t="s">
        <v>4336</v>
      </c>
      <c r="F2773" s="4"/>
      <c r="G2773" s="4"/>
      <c r="H2773" s="4"/>
      <c r="I2773" s="4" t="str">
        <f>IFERROR(__xludf.DUMMYFUNCTION("""COMPUTED_VALUE"""),"0xbe4c6f74427dd04509a3af09fae733fd0ec243ca")</f>
        <v>0xbe4c6f74427dd04509a3af09fae733fd0ec243ca</v>
      </c>
      <c r="J2773" s="18">
        <v>7.096875957597581</v>
      </c>
      <c r="K2773" s="4">
        <v>88.71094946996976</v>
      </c>
      <c r="L2773" s="19">
        <v>8.871094946996976E19</v>
      </c>
      <c r="M2773" s="20">
        <v>8.871094946996977E18</v>
      </c>
    </row>
    <row r="2774">
      <c r="A2774" s="6"/>
      <c r="B2774" s="6"/>
      <c r="C2774" s="4"/>
      <c r="D2774" s="4">
        <v>9.85876731799697</v>
      </c>
      <c r="E2774" s="4" t="s">
        <v>4338</v>
      </c>
      <c r="F2774" s="4"/>
      <c r="G2774" s="4"/>
      <c r="H2774" s="4"/>
      <c r="I2774" s="4" t="str">
        <f>IFERROR(__xludf.DUMMYFUNCTION("""COMPUTED_VALUE"""),"0x5115dad03662dd8a60ba91bee2bfb83c5c5163eb")</f>
        <v>0x5115dad03662dd8a60ba91bee2bfb83c5c5163eb</v>
      </c>
      <c r="J2774" s="18">
        <v>113.4683136722219</v>
      </c>
      <c r="K2774" s="4">
        <v>1418.3539209027738</v>
      </c>
      <c r="L2774" s="19">
        <v>1.4183539209027739E21</v>
      </c>
      <c r="M2774" s="20">
        <v>1.418353920902774E20</v>
      </c>
    </row>
    <row r="2775">
      <c r="A2775" s="6"/>
      <c r="B2775" s="6"/>
      <c r="C2775" s="4"/>
      <c r="D2775" s="4">
        <v>48.3641275995966</v>
      </c>
      <c r="E2775" s="4" t="s">
        <v>4340</v>
      </c>
      <c r="F2775" s="4"/>
      <c r="G2775" s="4"/>
      <c r="H2775" s="4"/>
      <c r="I2775" s="4" t="str">
        <f>IFERROR(__xludf.DUMMYFUNCTION("""COMPUTED_VALUE"""),"0x35d30f3ca338b4e92c5542a01ebe058c1a6d8206")</f>
        <v>0x35d30f3ca338b4e92c5542a01ebe058c1a6d8206</v>
      </c>
      <c r="J2775" s="18">
        <v>17.3858145655926</v>
      </c>
      <c r="K2775" s="4">
        <v>217.3226820699075</v>
      </c>
      <c r="L2775" s="19">
        <v>2.173226820699075E20</v>
      </c>
      <c r="M2775" s="20">
        <v>2.173226820699075E19</v>
      </c>
    </row>
    <row r="2776">
      <c r="A2776" s="6"/>
      <c r="B2776" s="6"/>
      <c r="C2776" s="4"/>
      <c r="D2776" s="4">
        <v>9.672825519919328</v>
      </c>
      <c r="E2776" s="4" t="s">
        <v>4341</v>
      </c>
      <c r="F2776" s="4"/>
      <c r="G2776" s="4"/>
      <c r="H2776" s="4"/>
      <c r="I2776" s="4" t="str">
        <f>IFERROR(__xludf.DUMMYFUNCTION("""COMPUTED_VALUE"""),"0xafc80ff7a1b08b7d3590228fb16907f51582ff7a")</f>
        <v>0xafc80ff7a1b08b7d3590228fb16907f51582ff7a</v>
      </c>
      <c r="J2776" s="18">
        <v>2.55969375913121</v>
      </c>
      <c r="K2776" s="4">
        <v>31.996171989140127</v>
      </c>
      <c r="L2776" s="19">
        <v>3.1996171989140128E19</v>
      </c>
      <c r="M2776" s="20">
        <v>3.199617198914013E18</v>
      </c>
    </row>
    <row r="2777">
      <c r="A2777" s="6"/>
      <c r="B2777" s="6"/>
      <c r="C2777" s="4"/>
      <c r="D2777" s="4">
        <v>37.4401955228615</v>
      </c>
      <c r="E2777" s="4" t="s">
        <v>4342</v>
      </c>
      <c r="F2777" s="4"/>
      <c r="G2777" s="4"/>
      <c r="H2777" s="4"/>
      <c r="I2777" s="4" t="str">
        <f>IFERROR(__xludf.DUMMYFUNCTION("""COMPUTED_VALUE"""),"0xb4687cbdadc7658ade5be8d762139477443b1a4e")</f>
        <v>0xb4687cbdadc7658ade5be8d762139477443b1a4e</v>
      </c>
      <c r="J2777" s="18">
        <v>48.3641275995966</v>
      </c>
      <c r="K2777" s="4">
        <v>604.5515949949574</v>
      </c>
      <c r="L2777" s="19">
        <v>6.045515949949574E20</v>
      </c>
      <c r="M2777" s="20">
        <v>6.045515949949574E19</v>
      </c>
    </row>
    <row r="2778">
      <c r="A2778" s="6"/>
      <c r="B2778" s="6"/>
      <c r="C2778" s="4"/>
      <c r="D2778" s="4">
        <v>23.7986641852327</v>
      </c>
      <c r="E2778" s="4" t="s">
        <v>4344</v>
      </c>
      <c r="F2778" s="4"/>
      <c r="G2778" s="4"/>
      <c r="H2778" s="4"/>
      <c r="I2778" s="4" t="str">
        <f>IFERROR(__xludf.DUMMYFUNCTION("""COMPUTED_VALUE"""),"0x8b9f67e034fbe6ca81bef4d78a329dfbcac4107e")</f>
        <v>0x8b9f67e034fbe6ca81bef4d78a329dfbcac4107e</v>
      </c>
      <c r="J2778" s="18">
        <v>8.08520955064325</v>
      </c>
      <c r="K2778" s="4">
        <v>101.06511938304064</v>
      </c>
      <c r="L2778" s="19">
        <v>1.0106511938304064E20</v>
      </c>
      <c r="M2778" s="20">
        <v>1.0106511938304063E19</v>
      </c>
    </row>
    <row r="2779">
      <c r="A2779" s="6"/>
      <c r="B2779" s="6"/>
      <c r="C2779" s="4"/>
      <c r="D2779" s="4">
        <v>18.418925649447</v>
      </c>
      <c r="E2779" s="4" t="s">
        <v>4346</v>
      </c>
      <c r="F2779" s="4"/>
      <c r="G2779" s="4"/>
      <c r="H2779" s="4"/>
      <c r="I2779" s="4" t="str">
        <f>IFERROR(__xludf.DUMMYFUNCTION("""COMPUTED_VALUE"""),"0x4a47af165803cb6de9b1f72220fdb93ab7a5f16c")</f>
        <v>0x4a47af165803cb6de9b1f72220fdb93ab7a5f16c</v>
      </c>
      <c r="J2779" s="18">
        <v>48.3641275995966</v>
      </c>
      <c r="K2779" s="4">
        <v>604.5515949949574</v>
      </c>
      <c r="L2779" s="19">
        <v>6.045515949949574E20</v>
      </c>
      <c r="M2779" s="20">
        <v>6.045515949949574E19</v>
      </c>
    </row>
    <row r="2780">
      <c r="A2780" s="6"/>
      <c r="B2780" s="6"/>
      <c r="C2780" s="4"/>
      <c r="D2780" s="4">
        <v>9.672825519919328</v>
      </c>
      <c r="E2780" s="4" t="s">
        <v>4348</v>
      </c>
      <c r="F2780" s="4"/>
      <c r="G2780" s="4"/>
      <c r="H2780" s="4"/>
      <c r="I2780" s="4" t="str">
        <f>IFERROR(__xludf.DUMMYFUNCTION("""COMPUTED_VALUE"""),"0x3e1282dc3c26774004e095e414c05519bbb00308")</f>
        <v>0x3e1282dc3c26774004e095e414c05519bbb00308</v>
      </c>
      <c r="J2780" s="18">
        <v>58.4011581364037</v>
      </c>
      <c r="K2780" s="4">
        <v>730.0144767050463</v>
      </c>
      <c r="L2780" s="19">
        <v>7.300144767050462E20</v>
      </c>
      <c r="M2780" s="20">
        <v>7.300144767050462E19</v>
      </c>
    </row>
    <row r="2781">
      <c r="A2781" s="6"/>
      <c r="B2781" s="6"/>
      <c r="C2781" s="4"/>
      <c r="D2781" s="4">
        <v>48.3641275995966</v>
      </c>
      <c r="E2781" s="4" t="s">
        <v>4349</v>
      </c>
      <c r="F2781" s="4"/>
      <c r="G2781" s="4"/>
      <c r="H2781" s="4"/>
      <c r="I2781" s="4" t="str">
        <f>IFERROR(__xludf.DUMMYFUNCTION("""COMPUTED_VALUE"""),"0x842d8dc220196da4cd147a72878128b35d45d7f9")</f>
        <v>0x842d8dc220196da4cd147a72878128b35d45d7f9</v>
      </c>
      <c r="J2781" s="18">
        <v>18.7762396658111</v>
      </c>
      <c r="K2781" s="4">
        <v>234.70299582263877</v>
      </c>
      <c r="L2781" s="19">
        <v>2.3470299582263876E20</v>
      </c>
      <c r="M2781" s="20">
        <v>2.3470299582263878E19</v>
      </c>
    </row>
    <row r="2782">
      <c r="A2782" s="6"/>
      <c r="B2782" s="6"/>
      <c r="C2782" s="4"/>
      <c r="D2782" s="4">
        <v>3.92388010235767</v>
      </c>
      <c r="E2782" s="4" t="s">
        <v>4350</v>
      </c>
      <c r="F2782" s="4"/>
      <c r="G2782" s="4"/>
      <c r="H2782" s="4"/>
      <c r="I2782" s="4" t="str">
        <f>IFERROR(__xludf.DUMMYFUNCTION("""COMPUTED_VALUE"""),"0x9032ceeef231fe3bdcda63805bdf80b496ceb209")</f>
        <v>0x9032ceeef231fe3bdcda63805bdf80b496ceb209</v>
      </c>
      <c r="J2782" s="18">
        <v>29.018476559758</v>
      </c>
      <c r="K2782" s="4">
        <v>362.730956996975</v>
      </c>
      <c r="L2782" s="19">
        <v>3.62730956996975E20</v>
      </c>
      <c r="M2782" s="20">
        <v>3.62730956996975E19</v>
      </c>
    </row>
    <row r="2783">
      <c r="A2783" s="6"/>
      <c r="B2783" s="6"/>
      <c r="C2783" s="4"/>
      <c r="D2783" s="4">
        <v>11.9297587789746</v>
      </c>
      <c r="E2783" s="4" t="s">
        <v>4352</v>
      </c>
      <c r="F2783" s="4"/>
      <c r="G2783" s="4"/>
      <c r="H2783" s="4"/>
      <c r="I2783" s="4" t="str">
        <f>IFERROR(__xludf.DUMMYFUNCTION("""COMPUTED_VALUE"""),"0xedb035988efffb8b0f1eb28f9f2898fe5259bf6a")</f>
        <v>0xedb035988efffb8b0f1eb28f9f2898fe5259bf6a</v>
      </c>
      <c r="J2783" s="18">
        <v>20.2931989997653</v>
      </c>
      <c r="K2783" s="4">
        <v>253.66498749706622</v>
      </c>
      <c r="L2783" s="19">
        <v>2.5366498749706623E20</v>
      </c>
      <c r="M2783" s="20">
        <v>2.5366498749706625E19</v>
      </c>
    </row>
    <row r="2784">
      <c r="A2784" s="6"/>
      <c r="B2784" s="6"/>
      <c r="C2784" s="4"/>
      <c r="D2784" s="4">
        <v>48.3641275995966</v>
      </c>
      <c r="E2784" s="4" t="s">
        <v>4354</v>
      </c>
      <c r="F2784" s="4"/>
      <c r="G2784" s="4"/>
      <c r="H2784" s="4"/>
      <c r="I2784" s="4" t="str">
        <f>IFERROR(__xludf.DUMMYFUNCTION("""COMPUTED_VALUE"""),"0x6a2fb205dae2a303374716187168672162059555")</f>
        <v>0x6a2fb205dae2a303374716187168672162059555</v>
      </c>
      <c r="J2784" s="18">
        <v>9.672825519919328</v>
      </c>
      <c r="K2784" s="4">
        <v>120.9103189989916</v>
      </c>
      <c r="L2784" s="19">
        <v>1.209103189989916E20</v>
      </c>
      <c r="M2784" s="20">
        <v>1.209103189989916E19</v>
      </c>
    </row>
    <row r="2785">
      <c r="A2785" s="6"/>
      <c r="B2785" s="6"/>
      <c r="C2785" s="4"/>
      <c r="D2785" s="4">
        <v>9.672825519919328</v>
      </c>
      <c r="E2785" s="4" t="s">
        <v>4355</v>
      </c>
      <c r="F2785" s="4"/>
      <c r="G2785" s="4"/>
      <c r="H2785" s="4"/>
      <c r="I2785" s="4" t="str">
        <f>IFERROR(__xludf.DUMMYFUNCTION("""COMPUTED_VALUE"""),"0x1bb26a07ddb835ff3a23ed584c68af2629d8f2ae")</f>
        <v>0x1bb26a07ddb835ff3a23ed584c68af2629d8f2ae</v>
      </c>
      <c r="J2785" s="18">
        <v>57.95713397261502</v>
      </c>
      <c r="K2785" s="4">
        <v>724.4641746576877</v>
      </c>
      <c r="L2785" s="19">
        <v>7.244641746576878E20</v>
      </c>
      <c r="M2785" s="20">
        <v>7.244641746576878E19</v>
      </c>
    </row>
    <row r="2786">
      <c r="A2786" s="6"/>
      <c r="B2786" s="6"/>
      <c r="C2786" s="4"/>
      <c r="D2786" s="4">
        <v>46.1539768917175</v>
      </c>
      <c r="E2786" s="4" t="s">
        <v>4356</v>
      </c>
      <c r="F2786" s="4"/>
      <c r="G2786" s="4"/>
      <c r="H2786" s="4"/>
      <c r="I2786" s="4" t="str">
        <f>IFERROR(__xludf.DUMMYFUNCTION("""COMPUTED_VALUE"""),"0x4bb7277d106c58e6c4c07cb6c3661567c542fd32")</f>
        <v>0x4bb7277d106c58e6c4c07cb6c3661567c542fd32</v>
      </c>
      <c r="J2786" s="18">
        <v>41.0539703440712</v>
      </c>
      <c r="K2786" s="4">
        <v>513.17462930089</v>
      </c>
      <c r="L2786" s="19">
        <v>5.1317462930089004E20</v>
      </c>
      <c r="M2786" s="20">
        <v>5.131746293008901E19</v>
      </c>
    </row>
    <row r="2787">
      <c r="A2787" s="6"/>
      <c r="B2787" s="6"/>
      <c r="C2787" s="4"/>
      <c r="D2787" s="4">
        <v>48.3641275995966</v>
      </c>
      <c r="E2787" s="4" t="s">
        <v>4358</v>
      </c>
      <c r="F2787" s="4"/>
      <c r="G2787" s="4"/>
      <c r="H2787" s="4"/>
      <c r="I2787" s="4" t="str">
        <f>IFERROR(__xludf.DUMMYFUNCTION("""COMPUTED_VALUE"""),"0x32ba0e9fa9736ac62602ae923f6e589b8fbadb8b")</f>
        <v>0x32ba0e9fa9736ac62602ae923f6e589b8fbadb8b</v>
      </c>
      <c r="J2787" s="18">
        <v>43.6278744330666</v>
      </c>
      <c r="K2787" s="4">
        <v>545.3484304133325</v>
      </c>
      <c r="L2787" s="19">
        <v>5.453484304133325E20</v>
      </c>
      <c r="M2787" s="20">
        <v>5.453484304133325E19</v>
      </c>
    </row>
    <row r="2788">
      <c r="A2788" s="6"/>
      <c r="B2788" s="6"/>
      <c r="C2788" s="4"/>
      <c r="D2788" s="4">
        <v>48.3641275995966</v>
      </c>
      <c r="E2788" s="4" t="s">
        <v>4359</v>
      </c>
      <c r="F2788" s="4"/>
      <c r="G2788" s="4"/>
      <c r="H2788" s="4"/>
      <c r="I2788" s="4" t="str">
        <f>IFERROR(__xludf.DUMMYFUNCTION("""COMPUTED_VALUE"""),"0xaac588b919973aa47b7a780719139b60151933e1")</f>
        <v>0xaac588b919973aa47b7a780719139b60151933e1</v>
      </c>
      <c r="J2788" s="18">
        <v>48.3641275995966</v>
      </c>
      <c r="K2788" s="4">
        <v>604.5515949949574</v>
      </c>
      <c r="L2788" s="19">
        <v>6.045515949949574E20</v>
      </c>
      <c r="M2788" s="20">
        <v>6.045515949949574E19</v>
      </c>
    </row>
    <row r="2789">
      <c r="A2789" s="6"/>
      <c r="B2789" s="6"/>
      <c r="C2789" s="4"/>
      <c r="D2789" s="4">
        <v>48.3641275995966</v>
      </c>
      <c r="E2789" s="4" t="s">
        <v>4360</v>
      </c>
      <c r="F2789" s="4"/>
      <c r="G2789" s="4"/>
      <c r="H2789" s="4"/>
      <c r="I2789" s="4" t="str">
        <f>IFERROR(__xludf.DUMMYFUNCTION("""COMPUTED_VALUE"""),"0x479bf1e45743311035b646d425edaf4ce68846eb")</f>
        <v>0x479bf1e45743311035b646d425edaf4ce68846eb</v>
      </c>
      <c r="J2789" s="18">
        <v>189.0936436626316</v>
      </c>
      <c r="K2789" s="4">
        <v>2363.670545782895</v>
      </c>
      <c r="L2789" s="19">
        <v>2.363670545782895E21</v>
      </c>
      <c r="M2789" s="20">
        <v>2.3636705457828948E20</v>
      </c>
    </row>
    <row r="2790">
      <c r="A2790" s="6"/>
      <c r="B2790" s="6"/>
      <c r="C2790" s="4"/>
      <c r="D2790" s="4">
        <v>48.3641275995966</v>
      </c>
      <c r="E2790" s="4" t="s">
        <v>528</v>
      </c>
      <c r="F2790" s="4"/>
      <c r="G2790" s="4"/>
      <c r="H2790" s="4"/>
      <c r="I2790" s="4" t="str">
        <f>IFERROR(__xludf.DUMMYFUNCTION("""COMPUTED_VALUE"""),"0xddbda2dc598c2ca0957a279f0b22a5d6c39c5230")</f>
        <v>0xddbda2dc598c2ca0957a279f0b22a5d6c39c5230</v>
      </c>
      <c r="J2790" s="18">
        <v>8.316797700976531</v>
      </c>
      <c r="K2790" s="4">
        <v>103.95997126220664</v>
      </c>
      <c r="L2790" s="19">
        <v>1.0395997126220664E20</v>
      </c>
      <c r="M2790" s="20">
        <v>1.0395997126220665E19</v>
      </c>
    </row>
    <row r="2791">
      <c r="A2791" s="6"/>
      <c r="B2791" s="6"/>
      <c r="C2791" s="4"/>
      <c r="D2791" s="4">
        <v>48.3641275995966</v>
      </c>
      <c r="E2791" s="4" t="s">
        <v>4361</v>
      </c>
      <c r="F2791" s="4"/>
      <c r="G2791" s="4"/>
      <c r="H2791" s="4"/>
      <c r="I2791" s="4" t="str">
        <f>IFERROR(__xludf.DUMMYFUNCTION("""COMPUTED_VALUE"""),"0xc1418f5e1a5e672384f154af383bee4defe759a8")</f>
        <v>0xc1418f5e1a5e672384f154af383bee4defe759a8</v>
      </c>
      <c r="J2791" s="18">
        <v>47.8801947567843</v>
      </c>
      <c r="K2791" s="4">
        <v>598.5024344598037</v>
      </c>
      <c r="L2791" s="19">
        <v>5.985024344598037E20</v>
      </c>
      <c r="M2791" s="20">
        <v>5.985024344598037E19</v>
      </c>
    </row>
    <row r="2792">
      <c r="A2792" s="6"/>
      <c r="B2792" s="6"/>
      <c r="C2792" s="4"/>
      <c r="D2792" s="4">
        <v>9.819477232416641</v>
      </c>
      <c r="E2792" s="4" t="s">
        <v>4362</v>
      </c>
      <c r="F2792" s="4"/>
      <c r="G2792" s="4"/>
      <c r="H2792" s="4"/>
      <c r="I2792" s="4" t="str">
        <f>IFERROR(__xludf.DUMMYFUNCTION("""COMPUTED_VALUE"""),"0xa340286f3ebbc6ea195e28890dc2fc9ce417d20a")</f>
        <v>0xa340286f3ebbc6ea195e28890dc2fc9ce417d20a</v>
      </c>
      <c r="J2792" s="18">
        <v>113.4683136722219</v>
      </c>
      <c r="K2792" s="4">
        <v>1418.3539209027738</v>
      </c>
      <c r="L2792" s="19">
        <v>1.4183539209027739E21</v>
      </c>
      <c r="M2792" s="20">
        <v>1.418353920902774E20</v>
      </c>
    </row>
    <row r="2793">
      <c r="A2793" s="6"/>
      <c r="B2793" s="6"/>
      <c r="C2793" s="4"/>
      <c r="D2793" s="4">
        <v>45.0155495939377</v>
      </c>
      <c r="E2793" s="4" t="s">
        <v>4364</v>
      </c>
      <c r="F2793" s="4"/>
      <c r="G2793" s="4"/>
      <c r="H2793" s="4"/>
      <c r="I2793" s="4" t="str">
        <f>IFERROR(__xludf.DUMMYFUNCTION("""COMPUTED_VALUE"""),"0xf977664c07ff445b82dcc85372dc93bcff065bc6")</f>
        <v>0xf977664c07ff445b82dcc85372dc93bcff065bc6</v>
      </c>
      <c r="J2793" s="18">
        <v>57.66472560997164</v>
      </c>
      <c r="K2793" s="4">
        <v>720.8090701246455</v>
      </c>
      <c r="L2793" s="19">
        <v>7.208090701246455E20</v>
      </c>
      <c r="M2793" s="20">
        <v>7.208090701246455E19</v>
      </c>
    </row>
    <row r="2794">
      <c r="A2794" s="6"/>
      <c r="B2794" s="6"/>
      <c r="C2794" s="4"/>
      <c r="D2794" s="4">
        <v>48.3641275995966</v>
      </c>
      <c r="E2794" s="4" t="s">
        <v>4366</v>
      </c>
      <c r="F2794" s="4"/>
      <c r="G2794" s="4"/>
      <c r="H2794" s="4"/>
      <c r="I2794" s="4" t="str">
        <f>IFERROR(__xludf.DUMMYFUNCTION("""COMPUTED_VALUE"""),"0x10ecc99b525119e4e219e83000e390162e31da93")</f>
        <v>0x10ecc99b525119e4e219e83000e390162e31da93</v>
      </c>
      <c r="J2794" s="18">
        <v>9.539060258205371</v>
      </c>
      <c r="K2794" s="4">
        <v>119.23825322756713</v>
      </c>
      <c r="L2794" s="19">
        <v>1.1923825322756712E20</v>
      </c>
      <c r="M2794" s="20">
        <v>1.1923825322756712E19</v>
      </c>
    </row>
    <row r="2795">
      <c r="A2795" s="6"/>
      <c r="B2795" s="6"/>
      <c r="C2795" s="4"/>
      <c r="D2795" s="4">
        <v>48.3641275995966</v>
      </c>
      <c r="E2795" s="4" t="s">
        <v>4367</v>
      </c>
      <c r="F2795" s="4"/>
      <c r="G2795" s="4"/>
      <c r="H2795" s="4"/>
      <c r="I2795" s="4" t="str">
        <f>IFERROR(__xludf.DUMMYFUNCTION("""COMPUTED_VALUE"""),"0x713b04eb5a9d585ec075ca65edc3d6d7c12be5bb")</f>
        <v>0x713b04eb5a9d585ec075ca65edc3d6d7c12be5bb</v>
      </c>
      <c r="J2795" s="18">
        <v>48.3641275995966</v>
      </c>
      <c r="K2795" s="4">
        <v>604.5515949949574</v>
      </c>
      <c r="L2795" s="19">
        <v>6.045515949949574E20</v>
      </c>
      <c r="M2795" s="20">
        <v>6.045515949949574E19</v>
      </c>
    </row>
    <row r="2796">
      <c r="A2796" s="6"/>
      <c r="B2796" s="6"/>
      <c r="C2796" s="4"/>
      <c r="D2796" s="4">
        <v>23.565344677519104</v>
      </c>
      <c r="E2796" s="4" t="s">
        <v>4368</v>
      </c>
      <c r="F2796" s="4"/>
      <c r="G2796" s="4"/>
      <c r="H2796" s="4"/>
      <c r="I2796" s="4" t="str">
        <f>IFERROR(__xludf.DUMMYFUNCTION("""COMPUTED_VALUE"""),"0xdce079cee4bc75d2b7e9ec21f55e9f3a4f19e8fe")</f>
        <v>0xdce079cee4bc75d2b7e9ec21f55e9f3a4f19e8fe</v>
      </c>
      <c r="J2796" s="18">
        <v>234.37608780709658</v>
      </c>
      <c r="K2796" s="4">
        <v>2929.7010975887074</v>
      </c>
      <c r="L2796" s="19">
        <v>2.9297010975887076E21</v>
      </c>
      <c r="M2796" s="20">
        <v>2.9297010975887078E20</v>
      </c>
    </row>
    <row r="2797">
      <c r="A2797" s="6"/>
      <c r="B2797" s="6"/>
      <c r="C2797" s="4"/>
      <c r="D2797" s="4">
        <v>7.738260415935461</v>
      </c>
      <c r="E2797" s="4" t="s">
        <v>4370</v>
      </c>
      <c r="F2797" s="4"/>
      <c r="G2797" s="4"/>
      <c r="H2797" s="4"/>
      <c r="I2797" s="4" t="str">
        <f>IFERROR(__xludf.DUMMYFUNCTION("""COMPUTED_VALUE"""),"0x80a6e5379952e381864605f8a306ce5ca18a690b")</f>
        <v>0x80a6e5379952e381864605f8a306ce5ca18a690b</v>
      </c>
      <c r="J2797" s="18">
        <v>19.5032334266697</v>
      </c>
      <c r="K2797" s="4">
        <v>243.79041783337124</v>
      </c>
      <c r="L2797" s="19">
        <v>2.4379041783337124E20</v>
      </c>
      <c r="M2797" s="20">
        <v>2.4379041783337124E19</v>
      </c>
    </row>
    <row r="2798">
      <c r="A2798" s="6"/>
      <c r="B2798" s="6"/>
      <c r="C2798" s="4"/>
      <c r="D2798" s="4">
        <v>9.65776299132145</v>
      </c>
      <c r="E2798" s="4" t="s">
        <v>4371</v>
      </c>
      <c r="F2798" s="4"/>
      <c r="G2798" s="4"/>
      <c r="H2798" s="4"/>
      <c r="I2798" s="4" t="str">
        <f>IFERROR(__xludf.DUMMYFUNCTION("""COMPUTED_VALUE"""),"0xc7e1f6af7894cf2e03e2e5a564b4c28d4906644e")</f>
        <v>0xc7e1f6af7894cf2e03e2e5a564b4c28d4906644e</v>
      </c>
      <c r="J2798" s="18">
        <v>57.66472560997164</v>
      </c>
      <c r="K2798" s="4">
        <v>720.8090701246455</v>
      </c>
      <c r="L2798" s="19">
        <v>7.208090701246455E20</v>
      </c>
      <c r="M2798" s="20">
        <v>7.208090701246455E19</v>
      </c>
    </row>
    <row r="2799">
      <c r="A2799" s="6"/>
      <c r="B2799" s="6"/>
      <c r="C2799" s="4"/>
      <c r="D2799" s="4">
        <v>9.86628203031772</v>
      </c>
      <c r="E2799" s="4" t="s">
        <v>4373</v>
      </c>
      <c r="F2799" s="4"/>
      <c r="G2799" s="4"/>
      <c r="H2799" s="4"/>
      <c r="I2799" s="4" t="str">
        <f>IFERROR(__xludf.DUMMYFUNCTION("""COMPUTED_VALUE"""),"0x521745bfffd83d06169cc6124a0ce363b633e7fc")</f>
        <v>0x521745bfffd83d06169cc6124a0ce363b633e7fc</v>
      </c>
      <c r="J2799" s="18">
        <v>93.0723726819714</v>
      </c>
      <c r="K2799" s="4">
        <v>1163.4046585246424</v>
      </c>
      <c r="L2799" s="19">
        <v>1.1634046585246423E21</v>
      </c>
      <c r="M2799" s="20">
        <v>1.1634046585246423E20</v>
      </c>
    </row>
    <row r="2800">
      <c r="A2800" s="6"/>
      <c r="B2800" s="6"/>
      <c r="C2800" s="4"/>
      <c r="D2800" s="4">
        <v>0.193456510398386</v>
      </c>
      <c r="E2800" s="4" t="s">
        <v>4374</v>
      </c>
      <c r="F2800" s="4"/>
      <c r="G2800" s="4"/>
      <c r="H2800" s="4"/>
      <c r="I2800" s="4" t="str">
        <f>IFERROR(__xludf.DUMMYFUNCTION("""COMPUTED_VALUE"""),"0x8222cc5a5240375209791a17662e4db05a06cb04")</f>
        <v>0x8222cc5a5240375209791a17662e4db05a06cb04</v>
      </c>
      <c r="J2800" s="18">
        <v>9.672825519919328</v>
      </c>
      <c r="K2800" s="4">
        <v>120.9103189989916</v>
      </c>
      <c r="L2800" s="19">
        <v>1.209103189989916E20</v>
      </c>
      <c r="M2800" s="20">
        <v>1.209103189989916E19</v>
      </c>
    </row>
    <row r="2801">
      <c r="A2801" s="6"/>
      <c r="B2801" s="6"/>
      <c r="C2801" s="4"/>
      <c r="D2801" s="4">
        <v>26.5366674734116</v>
      </c>
      <c r="E2801" s="4" t="s">
        <v>4375</v>
      </c>
      <c r="F2801" s="4"/>
      <c r="G2801" s="4"/>
      <c r="H2801" s="4"/>
      <c r="I2801" s="4" t="str">
        <f>IFERROR(__xludf.DUMMYFUNCTION("""COMPUTED_VALUE"""),"0x7097a08c0031a89e3c6e39c9db52f6383aa83cfa")</f>
        <v>0x7097a08c0031a89e3c6e39c9db52f6383aa83cfa</v>
      </c>
      <c r="J2801" s="18">
        <v>9.672825519919328</v>
      </c>
      <c r="K2801" s="4">
        <v>120.9103189989916</v>
      </c>
      <c r="L2801" s="19">
        <v>1.209103189989916E20</v>
      </c>
      <c r="M2801" s="20">
        <v>1.209103189989916E19</v>
      </c>
    </row>
    <row r="2802">
      <c r="A2802" s="6"/>
      <c r="B2802" s="6"/>
      <c r="C2802" s="4"/>
      <c r="D2802" s="4">
        <v>48.3641275995966</v>
      </c>
      <c r="E2802" s="4" t="s">
        <v>4377</v>
      </c>
      <c r="F2802" s="4"/>
      <c r="G2802" s="4"/>
      <c r="H2802" s="4"/>
      <c r="I2802" s="4" t="str">
        <f>IFERROR(__xludf.DUMMYFUNCTION("""COMPUTED_VALUE"""),"0xfa52c0cafa120fcc4e7052cac8470fdd9f6ea1e9")</f>
        <v>0xfa52c0cafa120fcc4e7052cac8470fdd9f6ea1e9</v>
      </c>
      <c r="J2802" s="18">
        <v>48.3641275995966</v>
      </c>
      <c r="K2802" s="4">
        <v>604.5515949949574</v>
      </c>
      <c r="L2802" s="19">
        <v>6.045515949949574E20</v>
      </c>
      <c r="M2802" s="20">
        <v>6.045515949949574E19</v>
      </c>
    </row>
    <row r="2803">
      <c r="A2803" s="6"/>
      <c r="B2803" s="6"/>
      <c r="C2803" s="4"/>
      <c r="D2803" s="4">
        <v>48.3641275995966</v>
      </c>
      <c r="E2803" s="4" t="s">
        <v>1066</v>
      </c>
      <c r="F2803" s="4"/>
      <c r="G2803" s="4"/>
      <c r="H2803" s="4"/>
      <c r="I2803" s="4" t="str">
        <f>IFERROR(__xludf.DUMMYFUNCTION("""COMPUTED_VALUE"""),"0x49c319dd6b9e2444df7fe754ab586a827f5b95ee")</f>
        <v>0x49c319dd6b9e2444df7fe754ab586a827f5b95ee</v>
      </c>
      <c r="J2803" s="18">
        <v>9.672825519919328</v>
      </c>
      <c r="K2803" s="4">
        <v>120.9103189989916</v>
      </c>
      <c r="L2803" s="19">
        <v>1.209103189989916E20</v>
      </c>
      <c r="M2803" s="20">
        <v>1.209103189989916E19</v>
      </c>
    </row>
    <row r="2804">
      <c r="A2804" s="6"/>
      <c r="B2804" s="6"/>
      <c r="C2804" s="4"/>
      <c r="D2804" s="4">
        <v>23.4677609359508</v>
      </c>
      <c r="E2804" s="4" t="s">
        <v>4378</v>
      </c>
      <c r="F2804" s="4"/>
      <c r="G2804" s="4"/>
      <c r="H2804" s="4"/>
      <c r="I2804" s="4" t="str">
        <f>IFERROR(__xludf.DUMMYFUNCTION("""COMPUTED_VALUE"""),"0xd82f786d762f8b6e9fb8b1bd1ef1ebef3cc049b5")</f>
        <v>0xd82f786d762f8b6e9fb8b1bd1ef1ebef3cc049b5</v>
      </c>
      <c r="J2804" s="18">
        <v>62.8730604957816</v>
      </c>
      <c r="K2804" s="4">
        <v>785.91325619727</v>
      </c>
      <c r="L2804" s="19">
        <v>7.8591325619727E20</v>
      </c>
      <c r="M2804" s="20">
        <v>7.8591325619727E19</v>
      </c>
    </row>
    <row r="2805">
      <c r="A2805" s="6"/>
      <c r="B2805" s="6"/>
      <c r="C2805" s="4"/>
      <c r="D2805" s="4">
        <v>48.3641275995966</v>
      </c>
      <c r="E2805" s="4" t="s">
        <v>4380</v>
      </c>
      <c r="F2805" s="4"/>
      <c r="G2805" s="4"/>
      <c r="H2805" s="4"/>
      <c r="I2805" s="4" t="str">
        <f>IFERROR(__xludf.DUMMYFUNCTION("""COMPUTED_VALUE"""),"0x4bd49ab0e70918decffea9e27615714baceda4e7")</f>
        <v>0x4bd49ab0e70918decffea9e27615714baceda4e7</v>
      </c>
      <c r="J2805" s="18">
        <v>35.1703935904266</v>
      </c>
      <c r="K2805" s="4">
        <v>439.62991988033247</v>
      </c>
      <c r="L2805" s="19">
        <v>4.3962991988033244E20</v>
      </c>
      <c r="M2805" s="20">
        <v>4.396299198803325E19</v>
      </c>
    </row>
    <row r="2806">
      <c r="A2806" s="6"/>
      <c r="B2806" s="6"/>
      <c r="C2806" s="4"/>
      <c r="D2806" s="4">
        <v>48.3641275995966</v>
      </c>
      <c r="E2806" s="4" t="s">
        <v>558</v>
      </c>
      <c r="F2806" s="4"/>
      <c r="G2806" s="4"/>
      <c r="H2806" s="4"/>
      <c r="I2806" s="4" t="str">
        <f>IFERROR(__xludf.DUMMYFUNCTION("""COMPUTED_VALUE"""),"0xa94cfa05519db72f5034d3b54c214121a1cdd9c3")</f>
        <v>0xa94cfa05519db72f5034d3b54c214121a1cdd9c3</v>
      </c>
      <c r="J2806" s="18">
        <v>9.831377012823449</v>
      </c>
      <c r="K2806" s="4">
        <v>122.89221266029311</v>
      </c>
      <c r="L2806" s="19">
        <v>1.228922126602931E20</v>
      </c>
      <c r="M2806" s="20">
        <v>1.2289221266029312E19</v>
      </c>
    </row>
    <row r="2807">
      <c r="A2807" s="6"/>
      <c r="B2807" s="6"/>
      <c r="C2807" s="4"/>
      <c r="D2807" s="4">
        <v>0.967282551991933</v>
      </c>
      <c r="E2807" s="4" t="s">
        <v>4381</v>
      </c>
      <c r="F2807" s="4"/>
      <c r="G2807" s="4"/>
      <c r="H2807" s="4"/>
      <c r="I2807" s="4" t="str">
        <f>IFERROR(__xludf.DUMMYFUNCTION("""COMPUTED_VALUE"""),"0xc6d2486088828445b6f5a342ab73db74a07311a5")</f>
        <v>0xc6d2486088828445b6f5a342ab73db74a07311a5</v>
      </c>
      <c r="J2807" s="18">
        <v>44.2325759894013</v>
      </c>
      <c r="K2807" s="4">
        <v>552.9071998675162</v>
      </c>
      <c r="L2807" s="19">
        <v>5.5290719986751616E20</v>
      </c>
      <c r="M2807" s="20">
        <v>5.529071998675162E19</v>
      </c>
    </row>
    <row r="2808">
      <c r="A2808" s="6"/>
      <c r="B2808" s="6"/>
      <c r="C2808" s="4"/>
      <c r="D2808" s="4">
        <v>48.3641275995966</v>
      </c>
      <c r="E2808" s="4" t="s">
        <v>4382</v>
      </c>
      <c r="F2808" s="4"/>
      <c r="G2808" s="4"/>
      <c r="H2808" s="4"/>
      <c r="I2808" s="4" t="str">
        <f>IFERROR(__xludf.DUMMYFUNCTION("""COMPUTED_VALUE"""),"0xae01520b4108a1c376b37b480f1c2eea6e083eb6")</f>
        <v>0xae01520b4108a1c376b37b480f1c2eea6e083eb6</v>
      </c>
      <c r="J2808" s="18">
        <v>108.23899224909229</v>
      </c>
      <c r="K2808" s="4">
        <v>1352.9874031136537</v>
      </c>
      <c r="L2808" s="19">
        <v>1.3529874031136536E21</v>
      </c>
      <c r="M2808" s="20">
        <v>1.3529874031136537E20</v>
      </c>
    </row>
    <row r="2809">
      <c r="A2809" s="6"/>
      <c r="B2809" s="6"/>
      <c r="C2809" s="4"/>
      <c r="D2809" s="4">
        <v>9.14083242667027</v>
      </c>
      <c r="E2809" s="4" t="s">
        <v>4383</v>
      </c>
      <c r="F2809" s="4"/>
      <c r="G2809" s="4"/>
      <c r="H2809" s="4"/>
      <c r="I2809" s="4" t="str">
        <f>IFERROR(__xludf.DUMMYFUNCTION("""COMPUTED_VALUE"""),"0x1fc0ed6d23a32fdc11fe456e15fd0e3efa7f98d0")</f>
        <v>0x1fc0ed6d23a32fdc11fe456e15fd0e3efa7f98d0</v>
      </c>
      <c r="J2809" s="18">
        <v>9.86628203031772</v>
      </c>
      <c r="K2809" s="4">
        <v>123.32852537897149</v>
      </c>
      <c r="L2809" s="19">
        <v>1.2332852537897148E20</v>
      </c>
      <c r="M2809" s="20">
        <v>1.2332852537897148E19</v>
      </c>
    </row>
    <row r="2810">
      <c r="A2810" s="6"/>
      <c r="B2810" s="6"/>
      <c r="C2810" s="4"/>
      <c r="D2810" s="4">
        <v>21.7219895887285</v>
      </c>
      <c r="E2810" s="4" t="s">
        <v>4385</v>
      </c>
      <c r="F2810" s="4"/>
      <c r="G2810" s="4"/>
      <c r="H2810" s="4"/>
      <c r="I2810" s="4" t="str">
        <f>IFERROR(__xludf.DUMMYFUNCTION("""COMPUTED_VALUE"""),"0x40612206bdc134c7dc64baac2f5db01cff5084a2")</f>
        <v>0x40612206bdc134c7dc64baac2f5db01cff5084a2</v>
      </c>
      <c r="J2810" s="18">
        <v>8.20578037977657</v>
      </c>
      <c r="K2810" s="4">
        <v>102.57225474720713</v>
      </c>
      <c r="L2810" s="19">
        <v>1.0257225474720712E20</v>
      </c>
      <c r="M2810" s="20">
        <v>1.0257225474720713E19</v>
      </c>
    </row>
    <row r="2811">
      <c r="A2811" s="6"/>
      <c r="B2811" s="6"/>
      <c r="C2811" s="4"/>
      <c r="D2811" s="4">
        <v>48.2962120652557</v>
      </c>
      <c r="E2811" s="4" t="s">
        <v>4387</v>
      </c>
      <c r="F2811" s="4"/>
      <c r="G2811" s="4"/>
      <c r="H2811" s="4"/>
      <c r="I2811" s="4" t="str">
        <f>IFERROR(__xludf.DUMMYFUNCTION("""COMPUTED_VALUE"""),"0x7417bc96ad36d002abc182757024905efed7d9fb")</f>
        <v>0x7417bc96ad36d002abc182757024905efed7d9fb</v>
      </c>
      <c r="J2811" s="18">
        <v>19.3456510398386</v>
      </c>
      <c r="K2811" s="4">
        <v>241.8206379979825</v>
      </c>
      <c r="L2811" s="19">
        <v>2.4182063799798248E20</v>
      </c>
      <c r="M2811" s="20">
        <v>2.418206379979825E19</v>
      </c>
    </row>
    <row r="2812">
      <c r="A2812" s="6"/>
      <c r="B2812" s="6"/>
      <c r="C2812" s="4"/>
      <c r="D2812" s="4">
        <v>4.63969522478311</v>
      </c>
      <c r="E2812" s="4" t="s">
        <v>4389</v>
      </c>
      <c r="F2812" s="4"/>
      <c r="G2812" s="4"/>
      <c r="H2812" s="4"/>
      <c r="I2812" s="4" t="str">
        <f>IFERROR(__xludf.DUMMYFUNCTION("""COMPUTED_VALUE"""),"0x168af05f5b8c88e4ceb8c6c0ee9a86db05583ee9")</f>
        <v>0x168af05f5b8c88e4ceb8c6c0ee9a86db05583ee9</v>
      </c>
      <c r="J2812" s="18">
        <v>113.2874291321377</v>
      </c>
      <c r="K2812" s="4">
        <v>1416.0928641517212</v>
      </c>
      <c r="L2812" s="19">
        <v>1.416092864151721E21</v>
      </c>
      <c r="M2812" s="20">
        <v>1.4160928641517211E20</v>
      </c>
    </row>
    <row r="2813">
      <c r="A2813" s="6"/>
      <c r="B2813" s="6"/>
      <c r="C2813" s="4"/>
      <c r="D2813" s="4">
        <v>48.3641275995966</v>
      </c>
      <c r="E2813" s="4" t="s">
        <v>4391</v>
      </c>
      <c r="F2813" s="4"/>
      <c r="G2813" s="4"/>
      <c r="H2813" s="4"/>
      <c r="I2813" s="4" t="str">
        <f>IFERROR(__xludf.DUMMYFUNCTION("""COMPUTED_VALUE"""),"0x724371396e1239f2534dc3681df33776a1eaa9b5")</f>
        <v>0x724371396e1239f2534dc3681df33776a1eaa9b5</v>
      </c>
      <c r="J2813" s="18">
        <v>57.68287691951156</v>
      </c>
      <c r="K2813" s="4">
        <v>721.0359614938944</v>
      </c>
      <c r="L2813" s="19">
        <v>7.210359614938945E20</v>
      </c>
      <c r="M2813" s="20">
        <v>7.210359614938945E19</v>
      </c>
    </row>
    <row r="2814">
      <c r="A2814" s="6"/>
      <c r="B2814" s="6"/>
      <c r="C2814" s="4"/>
      <c r="D2814" s="4">
        <v>3.01323092410995</v>
      </c>
      <c r="E2814" s="4" t="s">
        <v>4392</v>
      </c>
      <c r="F2814" s="4"/>
      <c r="G2814" s="4"/>
      <c r="H2814" s="4"/>
      <c r="I2814" s="4" t="str">
        <f>IFERROR(__xludf.DUMMYFUNCTION("""COMPUTED_VALUE"""),"0x8dd217a8b972ec71136933ae7d056da7e9c544f6")</f>
        <v>0x8dd217a8b972ec71136933ae7d056da7e9c544f6</v>
      </c>
      <c r="J2814" s="18">
        <v>183.5531022488688</v>
      </c>
      <c r="K2814" s="4">
        <v>2294.41377811086</v>
      </c>
      <c r="L2814" s="19">
        <v>2.2944137781108602E21</v>
      </c>
      <c r="M2814" s="20">
        <v>2.2944137781108605E20</v>
      </c>
    </row>
    <row r="2815">
      <c r="A2815" s="6"/>
      <c r="B2815" s="6"/>
      <c r="C2815" s="4"/>
      <c r="D2815" s="4">
        <v>48.3641275995966</v>
      </c>
      <c r="E2815" s="4" t="s">
        <v>4394</v>
      </c>
      <c r="F2815" s="4"/>
      <c r="G2815" s="4"/>
      <c r="H2815" s="4"/>
      <c r="I2815" s="4" t="str">
        <f>IFERROR(__xludf.DUMMYFUNCTION("""COMPUTED_VALUE"""),"0x9c76ae5ad163de437cf8017f58757bd35d59f809")</f>
        <v>0x9c76ae5ad163de437cf8017f58757bd35d59f809</v>
      </c>
      <c r="J2815" s="18">
        <v>57.72222472048869</v>
      </c>
      <c r="K2815" s="4">
        <v>721.5278090061086</v>
      </c>
      <c r="L2815" s="19">
        <v>7.215278090061085E20</v>
      </c>
      <c r="M2815" s="20">
        <v>7.215278090061086E19</v>
      </c>
    </row>
    <row r="2816">
      <c r="A2816" s="6"/>
      <c r="B2816" s="6"/>
      <c r="C2816" s="4"/>
      <c r="D2816" s="4">
        <v>48.3641275995966</v>
      </c>
      <c r="E2816" s="4" t="s">
        <v>4395</v>
      </c>
      <c r="F2816" s="4"/>
      <c r="G2816" s="4"/>
      <c r="H2816" s="4"/>
      <c r="I2816" s="4" t="str">
        <f>IFERROR(__xludf.DUMMYFUNCTION("""COMPUTED_VALUE"""),"0x3bc6923304050dd6f9561b961c2c3ae6e66936fc")</f>
        <v>0x3bc6923304050dd6f9561b961c2c3ae6e66936fc</v>
      </c>
      <c r="J2816" s="18">
        <v>41.7073316253836</v>
      </c>
      <c r="K2816" s="4">
        <v>521.341645317295</v>
      </c>
      <c r="L2816" s="19">
        <v>5.2134164531729505E20</v>
      </c>
      <c r="M2816" s="20">
        <v>5.213416453172951E19</v>
      </c>
    </row>
    <row r="2817">
      <c r="A2817" s="6"/>
      <c r="B2817" s="6"/>
      <c r="C2817" s="4"/>
      <c r="D2817" s="4">
        <v>48.3641275995966</v>
      </c>
      <c r="E2817" s="4" t="s">
        <v>1383</v>
      </c>
      <c r="F2817" s="4"/>
      <c r="G2817" s="4"/>
      <c r="H2817" s="4"/>
      <c r="I2817" s="4" t="str">
        <f>IFERROR(__xludf.DUMMYFUNCTION("""COMPUTED_VALUE"""),"0x25fc7849f6fd768986c33a94161f6c926a9a6f65")</f>
        <v>0x25fc7849f6fd768986c33a94161f6c926a9a6f65</v>
      </c>
      <c r="J2817" s="18">
        <v>48.3641275995966</v>
      </c>
      <c r="K2817" s="4">
        <v>604.5515949949574</v>
      </c>
      <c r="L2817" s="19">
        <v>6.045515949949574E20</v>
      </c>
      <c r="M2817" s="20">
        <v>6.045515949949574E19</v>
      </c>
    </row>
    <row r="2818">
      <c r="A2818" s="6"/>
      <c r="B2818" s="6"/>
      <c r="C2818" s="4"/>
      <c r="D2818" s="4">
        <v>47.8999043138443</v>
      </c>
      <c r="E2818" s="4" t="s">
        <v>4396</v>
      </c>
      <c r="F2818" s="4"/>
      <c r="G2818" s="4"/>
      <c r="H2818" s="4"/>
      <c r="I2818" s="4" t="str">
        <f>IFERROR(__xludf.DUMMYFUNCTION("""COMPUTED_VALUE"""),"0x9b81ef99de4065106f86e7001a2e2081ce80580b")</f>
        <v>0x9b81ef99de4065106f86e7001a2e2081ce80580b</v>
      </c>
      <c r="J2818" s="18">
        <v>30.6983968395187</v>
      </c>
      <c r="K2818" s="4">
        <v>383.72996049398375</v>
      </c>
      <c r="L2818" s="19">
        <v>3.837299604939837E20</v>
      </c>
      <c r="M2818" s="20">
        <v>3.8372996049398374E19</v>
      </c>
    </row>
    <row r="2819">
      <c r="A2819" s="6"/>
      <c r="B2819" s="6"/>
      <c r="C2819" s="4"/>
      <c r="D2819" s="4">
        <v>48.3641275995966</v>
      </c>
      <c r="E2819" s="4" t="s">
        <v>4398</v>
      </c>
      <c r="F2819" s="4"/>
      <c r="G2819" s="4"/>
      <c r="H2819" s="4"/>
      <c r="I2819" s="4" t="str">
        <f>IFERROR(__xludf.DUMMYFUNCTION("""COMPUTED_VALUE"""),"0x0c48ef7eca08b2839d266dd314211309cbcf5659")</f>
        <v>0x0c48ef7eca08b2839d266dd314211309cbcf5659</v>
      </c>
      <c r="J2819" s="18">
        <v>46.1833098160813</v>
      </c>
      <c r="K2819" s="4">
        <v>577.2913727010163</v>
      </c>
      <c r="L2819" s="19">
        <v>5.7729137270101626E20</v>
      </c>
      <c r="M2819" s="20">
        <v>5.772913727010163E19</v>
      </c>
    </row>
    <row r="2820">
      <c r="A2820" s="6"/>
      <c r="B2820" s="6"/>
      <c r="C2820" s="4"/>
      <c r="D2820" s="4">
        <v>4.187599311359159</v>
      </c>
      <c r="E2820" s="4" t="s">
        <v>4399</v>
      </c>
      <c r="F2820" s="4"/>
      <c r="G2820" s="4"/>
      <c r="H2820" s="4"/>
      <c r="I2820" s="4" t="str">
        <f>IFERROR(__xludf.DUMMYFUNCTION("""COMPUTED_VALUE"""),"0xef696ceabc541f43cb2ff06bb876963412c9f786")</f>
        <v>0xef696ceabc541f43cb2ff06bb876963412c9f786</v>
      </c>
      <c r="J2820" s="18">
        <v>48.3641275995966</v>
      </c>
      <c r="K2820" s="4">
        <v>604.5515949949574</v>
      </c>
      <c r="L2820" s="19">
        <v>6.045515949949574E20</v>
      </c>
      <c r="M2820" s="20">
        <v>6.045515949949574E19</v>
      </c>
    </row>
    <row r="2821">
      <c r="A2821" s="6"/>
      <c r="B2821" s="6"/>
      <c r="C2821" s="4"/>
      <c r="D2821" s="4">
        <v>48.3641275995966</v>
      </c>
      <c r="E2821" s="4" t="s">
        <v>4401</v>
      </c>
      <c r="F2821" s="4"/>
      <c r="G2821" s="4"/>
      <c r="H2821" s="4"/>
      <c r="I2821" s="4" t="str">
        <f>IFERROR(__xludf.DUMMYFUNCTION("""COMPUTED_VALUE"""),"0x4790010f38cf84e094b76f1edb16dced011135ce")</f>
        <v>0x4790010f38cf84e094b76f1edb16dced011135ce</v>
      </c>
      <c r="J2821" s="18">
        <v>5.29873090627703</v>
      </c>
      <c r="K2821" s="4">
        <v>66.23413632846288</v>
      </c>
      <c r="L2821" s="19">
        <v>6.6234136328462885E19</v>
      </c>
      <c r="M2821" s="20">
        <v>6.623413632846289E18</v>
      </c>
    </row>
    <row r="2822">
      <c r="A2822" s="6"/>
      <c r="B2822" s="6"/>
      <c r="C2822" s="4"/>
      <c r="D2822" s="4">
        <v>48.3641275995966</v>
      </c>
      <c r="E2822" s="4" t="s">
        <v>135</v>
      </c>
      <c r="F2822" s="4"/>
      <c r="G2822" s="4"/>
      <c r="H2822" s="4"/>
      <c r="I2822" s="4" t="str">
        <f>IFERROR(__xludf.DUMMYFUNCTION("""COMPUTED_VALUE"""),"0x19c1dc631413761d680b566da8c87d12023fa86c")</f>
        <v>0x19c1dc631413761d680b566da8c87d12023fa86c</v>
      </c>
      <c r="J2822" s="18">
        <v>20.1196824929745</v>
      </c>
      <c r="K2822" s="4">
        <v>251.49603116218125</v>
      </c>
      <c r="L2822" s="19">
        <v>2.5149603116218126E20</v>
      </c>
      <c r="M2822" s="20">
        <v>2.5149603116218126E19</v>
      </c>
    </row>
    <row r="2823">
      <c r="A2823" s="6"/>
      <c r="B2823" s="6"/>
      <c r="C2823" s="4"/>
      <c r="D2823" s="4">
        <v>48.3641275995966</v>
      </c>
      <c r="E2823" s="4" t="s">
        <v>4402</v>
      </c>
      <c r="F2823" s="4"/>
      <c r="G2823" s="4"/>
      <c r="H2823" s="4"/>
      <c r="I2823" s="4" t="str">
        <f>IFERROR(__xludf.DUMMYFUNCTION("""COMPUTED_VALUE"""),"0x463541011001daceffdbb33e56b9cd59aa5928c5")</f>
        <v>0x463541011001daceffdbb33e56b9cd59aa5928c5</v>
      </c>
      <c r="J2823" s="18">
        <v>3.16362755832078</v>
      </c>
      <c r="K2823" s="4">
        <v>39.54534447900975</v>
      </c>
      <c r="L2823" s="19">
        <v>3.954534447900975E19</v>
      </c>
      <c r="M2823" s="20">
        <v>3.954534447900975E18</v>
      </c>
    </row>
    <row r="2824">
      <c r="A2824" s="6"/>
      <c r="B2824" s="6"/>
      <c r="C2824" s="4"/>
      <c r="D2824" s="4">
        <v>48.3641275995966</v>
      </c>
      <c r="E2824" s="4" t="s">
        <v>4403</v>
      </c>
      <c r="F2824" s="4"/>
      <c r="G2824" s="4"/>
      <c r="H2824" s="4"/>
      <c r="I2824" s="4" t="str">
        <f>IFERROR(__xludf.DUMMYFUNCTION("""COMPUTED_VALUE"""),"0xccd95a8638306f7bf6840280fa82354278aa8b5f")</f>
        <v>0xccd95a8638306f7bf6840280fa82354278aa8b5f</v>
      </c>
      <c r="J2824" s="18">
        <v>46.5023044637478</v>
      </c>
      <c r="K2824" s="4">
        <v>581.2788057968475</v>
      </c>
      <c r="L2824" s="19">
        <v>5.812788057968474E20</v>
      </c>
      <c r="M2824" s="20">
        <v>5.8127880579684745E19</v>
      </c>
    </row>
    <row r="2825">
      <c r="A2825" s="6"/>
      <c r="B2825" s="6"/>
      <c r="C2825" s="4"/>
      <c r="D2825" s="4">
        <v>4.11738846360787</v>
      </c>
      <c r="E2825" s="4" t="s">
        <v>4404</v>
      </c>
      <c r="F2825" s="4"/>
      <c r="G2825" s="4"/>
      <c r="H2825" s="4"/>
      <c r="I2825" s="4" t="str">
        <f>IFERROR(__xludf.DUMMYFUNCTION("""COMPUTED_VALUE"""),"0x39349abfbcca4fb5ad5fe2c05a65a031baa6d7d3")</f>
        <v>0x39349abfbcca4fb5ad5fe2c05a65a031baa6d7d3</v>
      </c>
      <c r="J2825" s="18">
        <v>6.9712723750155705</v>
      </c>
      <c r="K2825" s="4">
        <v>87.14090468769463</v>
      </c>
      <c r="L2825" s="19">
        <v>8.714090468769463E19</v>
      </c>
      <c r="M2825" s="20">
        <v>8.714090468769463E18</v>
      </c>
    </row>
    <row r="2826">
      <c r="A2826" s="6"/>
      <c r="B2826" s="6"/>
      <c r="C2826" s="4"/>
      <c r="D2826" s="4">
        <v>48.3641275995966</v>
      </c>
      <c r="E2826" s="4" t="s">
        <v>4406</v>
      </c>
      <c r="F2826" s="4"/>
      <c r="G2826" s="4"/>
      <c r="H2826" s="4"/>
      <c r="I2826" s="4" t="str">
        <f>IFERROR(__xludf.DUMMYFUNCTION("""COMPUTED_VALUE"""),"0xd4c5200640fe7cb3b52615c0ef8bff99dc5b59f5")</f>
        <v>0xd4c5200640fe7cb3b52615c0ef8bff99dc5b59f5</v>
      </c>
      <c r="J2826" s="18">
        <v>3.3598370169672203</v>
      </c>
      <c r="K2826" s="4">
        <v>41.99796271209025</v>
      </c>
      <c r="L2826" s="19">
        <v>4.199796271209025E19</v>
      </c>
      <c r="M2826" s="20">
        <v>4.199796271209025E18</v>
      </c>
    </row>
    <row r="2827">
      <c r="A2827" s="6"/>
      <c r="B2827" s="6"/>
      <c r="C2827" s="4"/>
      <c r="D2827" s="4">
        <v>48.3641275995966</v>
      </c>
      <c r="E2827" s="4" t="s">
        <v>4407</v>
      </c>
      <c r="F2827" s="4"/>
      <c r="G2827" s="4"/>
      <c r="H2827" s="4"/>
      <c r="I2827" s="4" t="str">
        <f>IFERROR(__xludf.DUMMYFUNCTION("""COMPUTED_VALUE"""),"0xc3301818848f46209766c49ee7a3eb884cbd680c")</f>
        <v>0xc3301818848f46209766c49ee7a3eb884cbd680c</v>
      </c>
      <c r="J2827" s="18">
        <v>19.3456510398386</v>
      </c>
      <c r="K2827" s="4">
        <v>241.8206379979825</v>
      </c>
      <c r="L2827" s="19">
        <v>2.4182063799798248E20</v>
      </c>
      <c r="M2827" s="20">
        <v>2.418206379979825E19</v>
      </c>
    </row>
    <row r="2828">
      <c r="A2828" s="6"/>
      <c r="B2828" s="6"/>
      <c r="C2828" s="4"/>
      <c r="D2828" s="4">
        <v>9.72332003510643</v>
      </c>
      <c r="E2828" s="4" t="s">
        <v>4408</v>
      </c>
      <c r="F2828" s="4"/>
      <c r="G2828" s="4"/>
      <c r="H2828" s="4"/>
      <c r="I2828" s="4" t="str">
        <f>IFERROR(__xludf.DUMMYFUNCTION("""COMPUTED_VALUE"""),"0x9dd9790372028087211e726c2992a9916b1cb8d8")</f>
        <v>0x9dd9790372028087211e726c2992a9916b1cb8d8</v>
      </c>
      <c r="J2828" s="18">
        <v>182.4616577804116</v>
      </c>
      <c r="K2828" s="4">
        <v>2280.770722255145</v>
      </c>
      <c r="L2828" s="19">
        <v>2.2807707222551447E21</v>
      </c>
      <c r="M2828" s="20">
        <v>2.280770722255145E20</v>
      </c>
    </row>
    <row r="2829">
      <c r="A2829" s="6"/>
      <c r="B2829" s="6"/>
      <c r="C2829" s="4"/>
      <c r="D2829" s="4">
        <v>46.914105379168</v>
      </c>
      <c r="E2829" s="4" t="s">
        <v>4410</v>
      </c>
      <c r="F2829" s="4"/>
      <c r="G2829" s="4"/>
      <c r="H2829" s="4"/>
      <c r="I2829" s="4" t="str">
        <f>IFERROR(__xludf.DUMMYFUNCTION("""COMPUTED_VALUE"""),"0x07da257ad1592b757a50e17ba8d267fe0e93aee1")</f>
        <v>0x07da257ad1592b757a50e17ba8d267fe0e93aee1</v>
      </c>
      <c r="J2829" s="18">
        <v>9.672825519919328</v>
      </c>
      <c r="K2829" s="4">
        <v>120.9103189989916</v>
      </c>
      <c r="L2829" s="19">
        <v>1.209103189989916E20</v>
      </c>
      <c r="M2829" s="20">
        <v>1.209103189989916E19</v>
      </c>
    </row>
    <row r="2830">
      <c r="A2830" s="6"/>
      <c r="B2830" s="6"/>
      <c r="C2830" s="4"/>
      <c r="D2830" s="4">
        <v>13.961227117794602</v>
      </c>
      <c r="E2830" s="4" t="s">
        <v>4412</v>
      </c>
      <c r="F2830" s="4"/>
      <c r="G2830" s="4"/>
      <c r="H2830" s="4"/>
      <c r="I2830" s="4" t="str">
        <f>IFERROR(__xludf.DUMMYFUNCTION("""COMPUTED_VALUE"""),"0x5ed1bf4f4f7b1ee4520eb35523ccc741396406a0")</f>
        <v>0x5ed1bf4f4f7b1ee4520eb35523ccc741396406a0</v>
      </c>
      <c r="J2830" s="18">
        <v>11.8352340446948</v>
      </c>
      <c r="K2830" s="4">
        <v>147.940425558685</v>
      </c>
      <c r="L2830" s="19">
        <v>1.47940425558685E20</v>
      </c>
      <c r="M2830" s="20">
        <v>1.47940425558685E19</v>
      </c>
    </row>
    <row r="2831">
      <c r="A2831" s="6"/>
      <c r="B2831" s="6"/>
      <c r="C2831" s="4"/>
      <c r="D2831" s="4">
        <v>2.73304298954415</v>
      </c>
      <c r="E2831" s="4" t="s">
        <v>4414</v>
      </c>
      <c r="F2831" s="4"/>
      <c r="G2831" s="4"/>
      <c r="H2831" s="4"/>
      <c r="I2831" s="4" t="str">
        <f>IFERROR(__xludf.DUMMYFUNCTION("""COMPUTED_VALUE"""),"0x195a3276c1f895207ee1b88aa7fa63cf3f5a47e3")</f>
        <v>0x195a3276c1f895207ee1b88aa7fa63cf3f5a47e3</v>
      </c>
      <c r="J2831" s="18">
        <v>12.013122937718599</v>
      </c>
      <c r="K2831" s="4">
        <v>150.1640367214825</v>
      </c>
      <c r="L2831" s="19">
        <v>1.501640367214825E20</v>
      </c>
      <c r="M2831" s="20">
        <v>1.501640367214825E19</v>
      </c>
    </row>
    <row r="2832">
      <c r="A2832" s="6"/>
      <c r="B2832" s="6"/>
      <c r="C2832" s="4"/>
      <c r="D2832" s="4">
        <v>9.672825519919328</v>
      </c>
      <c r="E2832" s="4" t="s">
        <v>4416</v>
      </c>
      <c r="F2832" s="4"/>
      <c r="G2832" s="4"/>
      <c r="H2832" s="4"/>
      <c r="I2832" s="4" t="str">
        <f>IFERROR(__xludf.DUMMYFUNCTION("""COMPUTED_VALUE"""),"0xc643f2f07e76a67b02f95fb4ec10680e9bef8b59")</f>
        <v>0xc643f2f07e76a67b02f95fb4ec10680e9bef8b59</v>
      </c>
      <c r="J2832" s="18">
        <v>25.5327182345439</v>
      </c>
      <c r="K2832" s="4">
        <v>319.15897793179874</v>
      </c>
      <c r="L2832" s="19">
        <v>3.191589779317988E20</v>
      </c>
      <c r="M2832" s="20">
        <v>3.1915897793179877E19</v>
      </c>
    </row>
    <row r="2833">
      <c r="A2833" s="6"/>
      <c r="B2833" s="6"/>
      <c r="C2833" s="4"/>
      <c r="D2833" s="4">
        <v>48.3641275995966</v>
      </c>
      <c r="E2833" s="4" t="s">
        <v>4417</v>
      </c>
      <c r="F2833" s="4"/>
      <c r="G2833" s="4"/>
      <c r="H2833" s="4"/>
      <c r="I2833" s="4" t="str">
        <f>IFERROR(__xludf.DUMMYFUNCTION("""COMPUTED_VALUE"""),"0xfb51224283322ea4c76054ec88d2ef7702cc9e6d")</f>
        <v>0xfb51224283322ea4c76054ec88d2ef7702cc9e6d</v>
      </c>
      <c r="J2833" s="18">
        <v>57.66472560997164</v>
      </c>
      <c r="K2833" s="4">
        <v>720.8090701246455</v>
      </c>
      <c r="L2833" s="19">
        <v>7.208090701246455E20</v>
      </c>
      <c r="M2833" s="20">
        <v>7.208090701246455E19</v>
      </c>
    </row>
    <row r="2834">
      <c r="A2834" s="6"/>
      <c r="B2834" s="6"/>
      <c r="C2834" s="4"/>
      <c r="D2834" s="4">
        <v>48.3641275995966</v>
      </c>
      <c r="E2834" s="4" t="s">
        <v>4418</v>
      </c>
      <c r="F2834" s="4"/>
      <c r="G2834" s="4"/>
      <c r="H2834" s="4"/>
      <c r="I2834" s="4" t="str">
        <f>IFERROR(__xludf.DUMMYFUNCTION("""COMPUTED_VALUE"""),"0x1c809f897585f3619e6b2bd161b094916ec2a9df")</f>
        <v>0x1c809f897585f3619e6b2bd161b094916ec2a9df</v>
      </c>
      <c r="J2834" s="18">
        <v>18.4874829371376</v>
      </c>
      <c r="K2834" s="4">
        <v>231.09353671422</v>
      </c>
      <c r="L2834" s="19">
        <v>2.3109353671421998E20</v>
      </c>
      <c r="M2834" s="20">
        <v>2.3109353671422E19</v>
      </c>
    </row>
    <row r="2835">
      <c r="A2835" s="6"/>
      <c r="B2835" s="6"/>
      <c r="C2835" s="4"/>
      <c r="D2835" s="4">
        <v>21.8605856750176</v>
      </c>
      <c r="E2835" s="4" t="s">
        <v>4419</v>
      </c>
      <c r="F2835" s="4"/>
      <c r="G2835" s="4"/>
      <c r="H2835" s="4"/>
      <c r="I2835" s="4" t="str">
        <f>IFERROR(__xludf.DUMMYFUNCTION("""COMPUTED_VALUE"""),"0xfe6c5f5d012ca9386600b7ed5d271cc50772b8c6")</f>
        <v>0xfe6c5f5d012ca9386600b7ed5d271cc50772b8c6</v>
      </c>
      <c r="J2835" s="18">
        <v>9.672825519919328</v>
      </c>
      <c r="K2835" s="4">
        <v>120.9103189989916</v>
      </c>
      <c r="L2835" s="19">
        <v>1.209103189989916E20</v>
      </c>
      <c r="M2835" s="20">
        <v>1.209103189989916E19</v>
      </c>
    </row>
    <row r="2836">
      <c r="A2836" s="6"/>
      <c r="B2836" s="6"/>
      <c r="C2836" s="4"/>
      <c r="D2836" s="4">
        <v>46.260765541683796</v>
      </c>
      <c r="E2836" s="4" t="s">
        <v>4421</v>
      </c>
      <c r="F2836" s="4"/>
      <c r="G2836" s="4"/>
      <c r="H2836" s="4"/>
      <c r="I2836" s="4" t="str">
        <f>IFERROR(__xludf.DUMMYFUNCTION("""COMPUTED_VALUE"""),"0x2f72e549e3218de0e6aa59a3d0a77fac5612f2fc")</f>
        <v>0x2f72e549e3218de0e6aa59a3d0a77fac5612f2fc</v>
      </c>
      <c r="J2836" s="18">
        <v>42.5834985796072</v>
      </c>
      <c r="K2836" s="4">
        <v>532.29373224509</v>
      </c>
      <c r="L2836" s="19">
        <v>5.3229373224509E20</v>
      </c>
      <c r="M2836" s="20">
        <v>5.3229373224509006E19</v>
      </c>
    </row>
    <row r="2837">
      <c r="A2837" s="6"/>
      <c r="B2837" s="6"/>
      <c r="C2837" s="4"/>
      <c r="D2837" s="4">
        <v>48.3641275995966</v>
      </c>
      <c r="E2837" s="4" t="s">
        <v>4423</v>
      </c>
      <c r="F2837" s="4"/>
      <c r="G2837" s="4"/>
      <c r="H2837" s="4"/>
      <c r="I2837" s="4" t="str">
        <f>IFERROR(__xludf.DUMMYFUNCTION("""COMPUTED_VALUE"""),"0x01708572aac45d46c02a7b43f85b2158ae4b20af")</f>
        <v>0x01708572aac45d46c02a7b43f85b2158ae4b20af</v>
      </c>
      <c r="J2837" s="18">
        <v>33.2583802889067</v>
      </c>
      <c r="K2837" s="4">
        <v>415.72975361133376</v>
      </c>
      <c r="L2837" s="19">
        <v>4.157297536113337E20</v>
      </c>
      <c r="M2837" s="20">
        <v>4.157297536113337E19</v>
      </c>
    </row>
    <row r="2838">
      <c r="A2838" s="6"/>
      <c r="B2838" s="6"/>
      <c r="C2838" s="4"/>
      <c r="D2838" s="4">
        <v>48.3641275995966</v>
      </c>
      <c r="E2838" s="4" t="s">
        <v>4424</v>
      </c>
      <c r="F2838" s="4"/>
      <c r="G2838" s="4"/>
      <c r="H2838" s="4"/>
      <c r="I2838" s="4" t="str">
        <f>IFERROR(__xludf.DUMMYFUNCTION("""COMPUTED_VALUE"""),"0x157723c159dad2de4f1ffe4128c63222c433d1c3")</f>
        <v>0x157723c159dad2de4f1ffe4128c63222c433d1c3</v>
      </c>
      <c r="J2838" s="18">
        <v>127.7911395583199</v>
      </c>
      <c r="K2838" s="4">
        <v>1597.3892444789988</v>
      </c>
      <c r="L2838" s="19">
        <v>1.5973892444789987E21</v>
      </c>
      <c r="M2838" s="20">
        <v>1.5973892444789988E20</v>
      </c>
    </row>
    <row r="2839">
      <c r="A2839" s="6"/>
      <c r="B2839" s="6"/>
      <c r="C2839" s="4"/>
      <c r="D2839" s="4">
        <v>19.3456510398386</v>
      </c>
      <c r="E2839" s="4" t="s">
        <v>4425</v>
      </c>
      <c r="F2839" s="4"/>
      <c r="G2839" s="4"/>
      <c r="H2839" s="4"/>
      <c r="I2839" s="4" t="str">
        <f>IFERROR(__xludf.DUMMYFUNCTION("""COMPUTED_VALUE"""),"0xea13bf4721fae77ef068a75c053db48eadc7000e")</f>
        <v>0xea13bf4721fae77ef068a75c053db48eadc7000e</v>
      </c>
      <c r="J2839" s="18">
        <v>38.6713672649602</v>
      </c>
      <c r="K2839" s="4">
        <v>483.39209081200255</v>
      </c>
      <c r="L2839" s="19">
        <v>4.8339209081200253E20</v>
      </c>
      <c r="M2839" s="20">
        <v>4.8339209081200255E19</v>
      </c>
    </row>
    <row r="2840">
      <c r="A2840" s="6"/>
      <c r="B2840" s="6"/>
      <c r="C2840" s="4"/>
      <c r="D2840" s="4">
        <v>2.111047575883</v>
      </c>
      <c r="E2840" s="4" t="s">
        <v>4426</v>
      </c>
      <c r="F2840" s="4"/>
      <c r="G2840" s="4"/>
      <c r="H2840" s="4"/>
      <c r="I2840" s="4" t="str">
        <f>IFERROR(__xludf.DUMMYFUNCTION("""COMPUTED_VALUE"""),"0x62e0b74aad4cb2508d2e3e52f1cc6eae21fb3d2f")</f>
        <v>0x62e0b74aad4cb2508d2e3e52f1cc6eae21fb3d2f</v>
      </c>
      <c r="J2840" s="18">
        <v>0.0848510221815786</v>
      </c>
      <c r="K2840" s="4">
        <v>1.0606377772697324</v>
      </c>
      <c r="L2840" s="19">
        <v>1.0606377772697324E18</v>
      </c>
      <c r="M2840" s="20">
        <v>1.0606377772697325E17</v>
      </c>
    </row>
    <row r="2841">
      <c r="A2841" s="6"/>
      <c r="B2841" s="6"/>
      <c r="C2841" s="4"/>
      <c r="D2841" s="4">
        <v>48.3641275995966</v>
      </c>
      <c r="E2841" s="4" t="s">
        <v>4428</v>
      </c>
      <c r="F2841" s="4"/>
      <c r="G2841" s="4"/>
      <c r="H2841" s="4"/>
      <c r="I2841" s="4" t="str">
        <f>IFERROR(__xludf.DUMMYFUNCTION("""COMPUTED_VALUE"""),"0xdb72c58e71eb673e5fd4f87879275af27be942e0")</f>
        <v>0xdb72c58e71eb673e5fd4f87879275af27be942e0</v>
      </c>
      <c r="J2841" s="18">
        <v>234.37608780709658</v>
      </c>
      <c r="K2841" s="4">
        <v>2929.7010975887074</v>
      </c>
      <c r="L2841" s="19">
        <v>2.9297010975887076E21</v>
      </c>
      <c r="M2841" s="20">
        <v>2.9297010975887078E20</v>
      </c>
    </row>
    <row r="2842">
      <c r="A2842" s="6"/>
      <c r="B2842" s="6"/>
      <c r="C2842" s="4"/>
      <c r="D2842" s="4">
        <v>10.9160315264186</v>
      </c>
      <c r="E2842" s="4" t="s">
        <v>4429</v>
      </c>
      <c r="F2842" s="4"/>
      <c r="G2842" s="4"/>
      <c r="H2842" s="4"/>
      <c r="I2842" s="4" t="str">
        <f>IFERROR(__xludf.DUMMYFUNCTION("""COMPUTED_VALUE"""),"0x18ba8dc76139ce6cbc5931ff6940524c9f4c73f0")</f>
        <v>0x18ba8dc76139ce6cbc5931ff6940524c9f4c73f0</v>
      </c>
      <c r="J2842" s="18">
        <v>35.403606629973</v>
      </c>
      <c r="K2842" s="4">
        <v>442.54508287466246</v>
      </c>
      <c r="L2842" s="19">
        <v>4.425450828746625E20</v>
      </c>
      <c r="M2842" s="20">
        <v>4.425450828746625E19</v>
      </c>
    </row>
    <row r="2843">
      <c r="A2843" s="6"/>
      <c r="B2843" s="6"/>
      <c r="C2843" s="4"/>
      <c r="D2843" s="4">
        <v>48.3641275995966</v>
      </c>
      <c r="E2843" s="4" t="s">
        <v>1721</v>
      </c>
      <c r="F2843" s="4"/>
      <c r="G2843" s="4"/>
      <c r="H2843" s="4"/>
      <c r="I2843" s="4" t="str">
        <f>IFERROR(__xludf.DUMMYFUNCTION("""COMPUTED_VALUE"""),"0x579a8932504c34f2b01c1e00590e7a48c3a76c4d")</f>
        <v>0x579a8932504c34f2b01c1e00590e7a48c3a76c4d</v>
      </c>
      <c r="J2843" s="18">
        <v>100.57355663456923</v>
      </c>
      <c r="K2843" s="4">
        <v>1257.1694579321154</v>
      </c>
      <c r="L2843" s="19">
        <v>1.2571694579321154E21</v>
      </c>
      <c r="M2843" s="20">
        <v>1.2571694579321155E20</v>
      </c>
    </row>
    <row r="2844">
      <c r="A2844" s="6"/>
      <c r="B2844" s="6"/>
      <c r="C2844" s="4"/>
      <c r="D2844" s="4">
        <v>9.746669419527121</v>
      </c>
      <c r="E2844" s="4" t="s">
        <v>4431</v>
      </c>
      <c r="F2844" s="4"/>
      <c r="G2844" s="4"/>
      <c r="H2844" s="4"/>
      <c r="I2844" s="4" t="str">
        <f>IFERROR(__xludf.DUMMYFUNCTION("""COMPUTED_VALUE"""),"0xf6aef355caeb7ab96955d170b5b8d9d26960ff78")</f>
        <v>0xf6aef355caeb7ab96955d170b5b8d9d26960ff78</v>
      </c>
      <c r="J2844" s="18">
        <v>43.63206857204089</v>
      </c>
      <c r="K2844" s="4">
        <v>545.4008571505111</v>
      </c>
      <c r="L2844" s="19">
        <v>5.454008571505111E20</v>
      </c>
      <c r="M2844" s="20">
        <v>5.454008571505112E19</v>
      </c>
    </row>
    <row r="2845">
      <c r="A2845" s="6"/>
      <c r="B2845" s="6"/>
      <c r="C2845" s="4"/>
      <c r="D2845" s="4">
        <v>26.027108453067502</v>
      </c>
      <c r="E2845" s="4" t="s">
        <v>4433</v>
      </c>
      <c r="F2845" s="4"/>
      <c r="G2845" s="4"/>
      <c r="H2845" s="4"/>
      <c r="I2845" s="4" t="str">
        <f>IFERROR(__xludf.DUMMYFUNCTION("""COMPUTED_VALUE"""),"0x104db84171ec5da4cfaecd2490f57dbfaff540c7")</f>
        <v>0x104db84171ec5da4cfaecd2490f57dbfaff540c7</v>
      </c>
      <c r="J2845" s="18">
        <v>234.37608780709658</v>
      </c>
      <c r="K2845" s="4">
        <v>2929.7010975887074</v>
      </c>
      <c r="L2845" s="19">
        <v>2.9297010975887076E21</v>
      </c>
      <c r="M2845" s="20">
        <v>2.9297010975887078E20</v>
      </c>
    </row>
    <row r="2846">
      <c r="A2846" s="6"/>
      <c r="B2846" s="6"/>
      <c r="C2846" s="4"/>
      <c r="D2846" s="4">
        <v>9.672825519919328</v>
      </c>
      <c r="E2846" s="4" t="s">
        <v>4435</v>
      </c>
      <c r="F2846" s="4"/>
      <c r="G2846" s="4"/>
      <c r="H2846" s="4"/>
      <c r="I2846" s="4" t="str">
        <f>IFERROR(__xludf.DUMMYFUNCTION("""COMPUTED_VALUE"""),"0xd650a035bff13438954c889f9d0186c85545d133")</f>
        <v>0xd650a035bff13438954c889f9d0186c85545d133</v>
      </c>
      <c r="J2846" s="18">
        <v>9.640830255487879</v>
      </c>
      <c r="K2846" s="4">
        <v>120.51037819359848</v>
      </c>
      <c r="L2846" s="19">
        <v>1.2051037819359848E20</v>
      </c>
      <c r="M2846" s="20">
        <v>1.2051037819359848E19</v>
      </c>
    </row>
    <row r="2847">
      <c r="A2847" s="6"/>
      <c r="B2847" s="6"/>
      <c r="C2847" s="4"/>
      <c r="D2847" s="4">
        <v>48.3641275995966</v>
      </c>
      <c r="E2847" s="4" t="s">
        <v>1796</v>
      </c>
      <c r="F2847" s="4"/>
      <c r="G2847" s="4"/>
      <c r="H2847" s="4"/>
      <c r="I2847" s="4" t="str">
        <f>IFERROR(__xludf.DUMMYFUNCTION("""COMPUTED_VALUE"""),"0xc2e92e1933c592ecec701294867fb32d0281e944")</f>
        <v>0xc2e92e1933c592ecec701294867fb32d0281e944</v>
      </c>
      <c r="J2847" s="18">
        <v>14.148921653393199</v>
      </c>
      <c r="K2847" s="4">
        <v>176.861520667415</v>
      </c>
      <c r="L2847" s="19">
        <v>1.76861520667415E20</v>
      </c>
      <c r="M2847" s="20">
        <v>1.76861520667415E19</v>
      </c>
    </row>
    <row r="2848">
      <c r="A2848" s="6"/>
      <c r="B2848" s="6"/>
      <c r="C2848" s="4"/>
      <c r="D2848" s="4">
        <v>48.3641275995966</v>
      </c>
      <c r="E2848" s="4" t="s">
        <v>4436</v>
      </c>
      <c r="F2848" s="4"/>
      <c r="G2848" s="4"/>
      <c r="H2848" s="4"/>
      <c r="I2848" s="4" t="str">
        <f>IFERROR(__xludf.DUMMYFUNCTION("""COMPUTED_VALUE"""),"0x65b51373b2911087499b1462efe540dfc02675ce")</f>
        <v>0x65b51373b2911087499b1462efe540dfc02675ce</v>
      </c>
      <c r="J2848" s="18">
        <v>48.3641275995966</v>
      </c>
      <c r="K2848" s="4">
        <v>604.5515949949574</v>
      </c>
      <c r="L2848" s="19">
        <v>6.045515949949574E20</v>
      </c>
      <c r="M2848" s="20">
        <v>6.045515949949574E19</v>
      </c>
    </row>
    <row r="2849">
      <c r="A2849" s="6"/>
      <c r="B2849" s="6"/>
      <c r="C2849" s="4"/>
      <c r="D2849" s="4">
        <v>19.4020325314975</v>
      </c>
      <c r="E2849" s="4" t="s">
        <v>4437</v>
      </c>
      <c r="F2849" s="4"/>
      <c r="G2849" s="4"/>
      <c r="H2849" s="4"/>
      <c r="I2849" s="4" t="str">
        <f>IFERROR(__xludf.DUMMYFUNCTION("""COMPUTED_VALUE"""),"0x96044dfc3108c1f923a8d15d8eaefc8a7c688612")</f>
        <v>0x96044dfc3108c1f923a8d15d8eaefc8a7c688612</v>
      </c>
      <c r="J2849" s="18">
        <v>10.8713667499489</v>
      </c>
      <c r="K2849" s="4">
        <v>135.89208437436125</v>
      </c>
      <c r="L2849" s="19">
        <v>1.3589208437436124E20</v>
      </c>
      <c r="M2849" s="20">
        <v>1.3589208437436125E19</v>
      </c>
    </row>
    <row r="2850">
      <c r="A2850" s="6"/>
      <c r="B2850" s="6"/>
      <c r="C2850" s="4"/>
      <c r="D2850" s="4">
        <v>32.3788790874575</v>
      </c>
      <c r="E2850" s="4" t="s">
        <v>4439</v>
      </c>
      <c r="F2850" s="4"/>
      <c r="G2850" s="4"/>
      <c r="H2850" s="4"/>
      <c r="I2850" s="4" t="str">
        <f>IFERROR(__xludf.DUMMYFUNCTION("""COMPUTED_VALUE"""),"0x0cffe47dec372e3a4424de39429c22ba5b70297f")</f>
        <v>0x0cffe47dec372e3a4424de39429c22ba5b70297f</v>
      </c>
      <c r="J2850" s="18">
        <v>19.4697147622501</v>
      </c>
      <c r="K2850" s="4">
        <v>243.37143452812623</v>
      </c>
      <c r="L2850" s="19">
        <v>2.4337143452812624E20</v>
      </c>
      <c r="M2850" s="20">
        <v>2.4337143452812624E19</v>
      </c>
    </row>
    <row r="2851">
      <c r="A2851" s="6"/>
      <c r="B2851" s="6"/>
      <c r="C2851" s="4"/>
      <c r="D2851" s="4">
        <v>29.0437226117305</v>
      </c>
      <c r="E2851" s="4" t="s">
        <v>4441</v>
      </c>
      <c r="F2851" s="4"/>
      <c r="G2851" s="4"/>
      <c r="H2851" s="4"/>
      <c r="I2851" s="4" t="str">
        <f>IFERROR(__xludf.DUMMYFUNCTION("""COMPUTED_VALUE"""),"0x61b868ed2f1c390737cc0e53e9d9b46f5c815a80")</f>
        <v>0x61b868ed2f1c390737cc0e53e9d9b46f5c815a80</v>
      </c>
      <c r="J2851" s="18">
        <v>9.34861936391624</v>
      </c>
      <c r="K2851" s="4">
        <v>116.857742048953</v>
      </c>
      <c r="L2851" s="19">
        <v>1.1685774204895299E20</v>
      </c>
      <c r="M2851" s="20">
        <v>1.16857742048953E19</v>
      </c>
    </row>
    <row r="2852">
      <c r="A2852" s="6"/>
      <c r="B2852" s="6"/>
      <c r="C2852" s="4"/>
      <c r="D2852" s="4">
        <v>38.4170476988806</v>
      </c>
      <c r="E2852" s="4" t="s">
        <v>4443</v>
      </c>
      <c r="F2852" s="4"/>
      <c r="G2852" s="4"/>
      <c r="H2852" s="4"/>
      <c r="I2852" s="4" t="str">
        <f>IFERROR(__xludf.DUMMYFUNCTION("""COMPUTED_VALUE"""),"0x8e34986c77ac68529de2aafbb9e1b9bf80576203")</f>
        <v>0x8e34986c77ac68529de2aafbb9e1b9bf80576203</v>
      </c>
      <c r="J2852" s="18">
        <v>96.5310918167324</v>
      </c>
      <c r="K2852" s="4">
        <v>1206.638647709155</v>
      </c>
      <c r="L2852" s="19">
        <v>1.2066386477091552E21</v>
      </c>
      <c r="M2852" s="20">
        <v>1.2066386477091553E20</v>
      </c>
    </row>
    <row r="2853">
      <c r="A2853" s="6"/>
      <c r="B2853" s="6"/>
      <c r="C2853" s="4"/>
      <c r="D2853" s="4">
        <v>48.3641275995966</v>
      </c>
      <c r="E2853" s="4" t="s">
        <v>4445</v>
      </c>
      <c r="F2853" s="4"/>
      <c r="G2853" s="4"/>
      <c r="H2853" s="4"/>
      <c r="I2853" s="4" t="str">
        <f>IFERROR(__xludf.DUMMYFUNCTION("""COMPUTED_VALUE"""),"0x5bcfdc8c62dd69c98fe2901640f4506d82efa827")</f>
        <v>0x5bcfdc8c62dd69c98fe2901640f4506d82efa827</v>
      </c>
      <c r="J2853" s="18">
        <v>57.99874080086521</v>
      </c>
      <c r="K2853" s="4">
        <v>724.9842600108151</v>
      </c>
      <c r="L2853" s="19">
        <v>7.249842600108151E20</v>
      </c>
      <c r="M2853" s="20">
        <v>7.249842600108152E19</v>
      </c>
    </row>
    <row r="2854">
      <c r="A2854" s="6"/>
      <c r="B2854" s="6"/>
      <c r="C2854" s="4"/>
      <c r="D2854" s="4">
        <v>38.6913020796773</v>
      </c>
      <c r="E2854" s="4" t="s">
        <v>4446</v>
      </c>
      <c r="F2854" s="4"/>
      <c r="G2854" s="4"/>
      <c r="H2854" s="4"/>
      <c r="I2854" s="4" t="str">
        <f>IFERROR(__xludf.DUMMYFUNCTION("""COMPUTED_VALUE"""),"0xd6899008a6f6808be219812c16124359437894ce")</f>
        <v>0xd6899008a6f6808be219812c16124359437894ce</v>
      </c>
      <c r="J2854" s="18">
        <v>113.4683136722219</v>
      </c>
      <c r="K2854" s="4">
        <v>1418.3539209027738</v>
      </c>
      <c r="L2854" s="19">
        <v>1.4183539209027739E21</v>
      </c>
      <c r="M2854" s="20">
        <v>1.418353920902774E20</v>
      </c>
    </row>
    <row r="2855">
      <c r="A2855" s="6"/>
      <c r="B2855" s="6"/>
      <c r="C2855" s="4"/>
      <c r="D2855" s="4">
        <v>44.6550894359794</v>
      </c>
      <c r="E2855" s="4" t="s">
        <v>1434</v>
      </c>
      <c r="F2855" s="4"/>
      <c r="G2855" s="4"/>
      <c r="H2855" s="4"/>
      <c r="I2855" s="4" t="str">
        <f>IFERROR(__xludf.DUMMYFUNCTION("""COMPUTED_VALUE"""),"0x9bc8d354ada9fb61c0d97a50aa70524048c08341")</f>
        <v>0x9bc8d354ada9fb61c0d97a50aa70524048c08341</v>
      </c>
      <c r="J2855" s="18">
        <v>57.86904592385069</v>
      </c>
      <c r="K2855" s="4">
        <v>723.3630740481336</v>
      </c>
      <c r="L2855" s="19">
        <v>7.233630740481336E20</v>
      </c>
      <c r="M2855" s="20">
        <v>7.233630740481336E19</v>
      </c>
    </row>
    <row r="2856">
      <c r="A2856" s="6"/>
      <c r="B2856" s="6"/>
      <c r="C2856" s="4"/>
      <c r="D2856" s="4">
        <v>47.2504158362972</v>
      </c>
      <c r="E2856" s="4" t="s">
        <v>4448</v>
      </c>
      <c r="F2856" s="4"/>
      <c r="G2856" s="4"/>
      <c r="H2856" s="4"/>
      <c r="I2856" s="4" t="str">
        <f>IFERROR(__xludf.DUMMYFUNCTION("""COMPUTED_VALUE"""),"0x8d0cdbc1151020942add9600f6adca7f0ff03aa6")</f>
        <v>0x8d0cdbc1151020942add9600f6adca7f0ff03aa6</v>
      </c>
      <c r="J2856" s="18">
        <v>230.61099786336908</v>
      </c>
      <c r="K2856" s="4">
        <v>2882.6374732921136</v>
      </c>
      <c r="L2856" s="19">
        <v>2.8826374732921134E21</v>
      </c>
      <c r="M2856" s="20">
        <v>2.8826374732921137E20</v>
      </c>
    </row>
    <row r="2857">
      <c r="A2857" s="6"/>
      <c r="B2857" s="6"/>
      <c r="C2857" s="4"/>
      <c r="D2857" s="4">
        <v>48.3641275995966</v>
      </c>
      <c r="E2857" s="4" t="s">
        <v>4450</v>
      </c>
      <c r="F2857" s="4"/>
      <c r="G2857" s="4"/>
      <c r="H2857" s="4"/>
      <c r="I2857" s="4" t="str">
        <f>IFERROR(__xludf.DUMMYFUNCTION("""COMPUTED_VALUE"""),"0x303dbc5d57ad2187a79c624abfab0cb6a577f0c5")</f>
        <v>0x303dbc5d57ad2187a79c624abfab0cb6a577f0c5</v>
      </c>
      <c r="J2857" s="18">
        <v>48.3641275995966</v>
      </c>
      <c r="K2857" s="4">
        <v>604.5515949949574</v>
      </c>
      <c r="L2857" s="19">
        <v>6.045515949949574E20</v>
      </c>
      <c r="M2857" s="20">
        <v>6.045515949949574E19</v>
      </c>
    </row>
    <row r="2858">
      <c r="A2858" s="6"/>
      <c r="B2858" s="6"/>
      <c r="C2858" s="4"/>
      <c r="D2858" s="4">
        <v>48.3641275995966</v>
      </c>
      <c r="E2858" s="4" t="s">
        <v>4451</v>
      </c>
      <c r="F2858" s="4"/>
      <c r="G2858" s="4"/>
      <c r="H2858" s="4"/>
      <c r="I2858" s="4" t="str">
        <f>IFERROR(__xludf.DUMMYFUNCTION("""COMPUTED_VALUE"""),"0x92655b499f868fa100509dddd1c8b48566394b52")</f>
        <v>0x92655b499f868fa100509dddd1c8b48566394b52</v>
      </c>
      <c r="J2858" s="18">
        <v>57.917464567003336</v>
      </c>
      <c r="K2858" s="4">
        <v>723.9683070875417</v>
      </c>
      <c r="L2858" s="19">
        <v>7.239683070875417E20</v>
      </c>
      <c r="M2858" s="20">
        <v>7.239683070875417E19</v>
      </c>
    </row>
    <row r="2859">
      <c r="A2859" s="6"/>
      <c r="B2859" s="6"/>
      <c r="C2859" s="4"/>
      <c r="D2859" s="4">
        <v>34.1431658244728</v>
      </c>
      <c r="E2859" s="4" t="s">
        <v>4452</v>
      </c>
      <c r="F2859" s="4"/>
      <c r="G2859" s="4"/>
      <c r="H2859" s="4"/>
      <c r="I2859" s="4" t="str">
        <f>IFERROR(__xludf.DUMMYFUNCTION("""COMPUTED_VALUE"""),"0xb8c3be1ac0ce23fbb75bd1a20b458cbcb3fa32da")</f>
        <v>0xb8c3be1ac0ce23fbb75bd1a20b458cbcb3fa32da</v>
      </c>
      <c r="J2859" s="18">
        <v>40.4817438558336</v>
      </c>
      <c r="K2859" s="4">
        <v>506.02179819791996</v>
      </c>
      <c r="L2859" s="19">
        <v>5.0602179819791994E20</v>
      </c>
      <c r="M2859" s="20">
        <v>5.0602179819792E19</v>
      </c>
    </row>
    <row r="2860">
      <c r="A2860" s="6"/>
      <c r="B2860" s="6"/>
      <c r="C2860" s="4"/>
      <c r="D2860" s="4">
        <v>26.0884162193654</v>
      </c>
      <c r="E2860" s="4" t="s">
        <v>4454</v>
      </c>
      <c r="F2860" s="4"/>
      <c r="G2860" s="4"/>
      <c r="H2860" s="4"/>
      <c r="I2860" s="4" t="str">
        <f>IFERROR(__xludf.DUMMYFUNCTION("""COMPUTED_VALUE"""),"0x7e19b3f058b328021836c22603b3cf5d2402694c")</f>
        <v>0x7e19b3f058b328021836c22603b3cf5d2402694c</v>
      </c>
      <c r="J2860" s="18">
        <v>90.3792485189193</v>
      </c>
      <c r="K2860" s="4">
        <v>1129.7406064864913</v>
      </c>
      <c r="L2860" s="19">
        <v>1.1297406064864913E21</v>
      </c>
      <c r="M2860" s="20">
        <v>1.1297406064864913E20</v>
      </c>
    </row>
    <row r="2861">
      <c r="A2861" s="6"/>
      <c r="B2861" s="6"/>
      <c r="C2861" s="4"/>
      <c r="D2861" s="4">
        <v>9.672825519919328</v>
      </c>
      <c r="E2861" s="4" t="s">
        <v>4456</v>
      </c>
      <c r="F2861" s="4"/>
      <c r="G2861" s="4"/>
      <c r="H2861" s="4"/>
      <c r="I2861" s="4" t="str">
        <f>IFERROR(__xludf.DUMMYFUNCTION("""COMPUTED_VALUE"""),"0x8f297d30bf2c44a896f12bee00032d59f3983002")</f>
        <v>0x8f297d30bf2c44a896f12bee00032d59f3983002</v>
      </c>
      <c r="J2861" s="18">
        <v>9.66939603452739</v>
      </c>
      <c r="K2861" s="4">
        <v>120.86745043159237</v>
      </c>
      <c r="L2861" s="19">
        <v>1.2086745043159237E20</v>
      </c>
      <c r="M2861" s="20">
        <v>1.2086745043159237E19</v>
      </c>
    </row>
    <row r="2862">
      <c r="A2862" s="6"/>
      <c r="B2862" s="6"/>
      <c r="C2862" s="4"/>
      <c r="D2862" s="4">
        <v>48.3641275995966</v>
      </c>
      <c r="E2862" s="4" t="s">
        <v>826</v>
      </c>
      <c r="F2862" s="4"/>
      <c r="G2862" s="4"/>
      <c r="H2862" s="4"/>
      <c r="I2862" s="4" t="str">
        <f>IFERROR(__xludf.DUMMYFUNCTION("""COMPUTED_VALUE"""),"0x9c1277fbc2cbb75dfaff868f16b21caff057acae")</f>
        <v>0x9c1277fbc2cbb75dfaff868f16b21caff057acae</v>
      </c>
      <c r="J2862" s="18">
        <v>96.3389771082401</v>
      </c>
      <c r="K2862" s="4">
        <v>1204.2372138530013</v>
      </c>
      <c r="L2862" s="19">
        <v>1.2042372138530014E21</v>
      </c>
      <c r="M2862" s="20">
        <v>1.2042372138530015E20</v>
      </c>
    </row>
    <row r="2863">
      <c r="A2863" s="6"/>
      <c r="B2863" s="6"/>
      <c r="C2863" s="4"/>
      <c r="D2863" s="4">
        <v>6.50237572823291</v>
      </c>
      <c r="E2863" s="4" t="s">
        <v>4457</v>
      </c>
      <c r="F2863" s="4"/>
      <c r="G2863" s="4"/>
      <c r="H2863" s="4"/>
      <c r="I2863" s="4" t="str">
        <f>IFERROR(__xludf.DUMMYFUNCTION("""COMPUTED_VALUE"""),"0x97725ada7725fd5964a3a71e890926e01641fcb4")</f>
        <v>0x97725ada7725fd5964a3a71e890926e01641fcb4</v>
      </c>
      <c r="J2863" s="18">
        <v>48.3641275995966</v>
      </c>
      <c r="K2863" s="4">
        <v>604.5515949949574</v>
      </c>
      <c r="L2863" s="19">
        <v>6.045515949949574E20</v>
      </c>
      <c r="M2863" s="20">
        <v>6.045515949949574E19</v>
      </c>
    </row>
    <row r="2864">
      <c r="A2864" s="6"/>
      <c r="B2864" s="6"/>
      <c r="C2864" s="4"/>
      <c r="D2864" s="4">
        <v>48.3641275995966</v>
      </c>
      <c r="E2864" s="4" t="s">
        <v>4459</v>
      </c>
      <c r="F2864" s="4"/>
      <c r="G2864" s="4"/>
      <c r="H2864" s="4"/>
      <c r="I2864" s="4" t="str">
        <f>IFERROR(__xludf.DUMMYFUNCTION("""COMPUTED_VALUE"""),"0x35b8817405d9c65fc7ab544d7243181268b2d551")</f>
        <v>0x35b8817405d9c65fc7ab544d7243181268b2d551</v>
      </c>
      <c r="J2864" s="18">
        <v>48.3641275995966</v>
      </c>
      <c r="K2864" s="4">
        <v>604.5515949949574</v>
      </c>
      <c r="L2864" s="19">
        <v>6.045515949949574E20</v>
      </c>
      <c r="M2864" s="20">
        <v>6.045515949949574E19</v>
      </c>
    </row>
    <row r="2865">
      <c r="A2865" s="6"/>
      <c r="B2865" s="6"/>
      <c r="C2865" s="4"/>
      <c r="D2865" s="4">
        <v>8.55964171558353</v>
      </c>
      <c r="E2865" s="4" t="s">
        <v>4460</v>
      </c>
      <c r="F2865" s="4"/>
      <c r="G2865" s="4"/>
      <c r="H2865" s="4"/>
      <c r="I2865" s="4" t="str">
        <f>IFERROR(__xludf.DUMMYFUNCTION("""COMPUTED_VALUE"""),"0xacab540894effc3adb73bdb0e900b661a43534be")</f>
        <v>0xacab540894effc3adb73bdb0e900b661a43534be</v>
      </c>
      <c r="J2865" s="18">
        <v>103.5262052531804</v>
      </c>
      <c r="K2865" s="4">
        <v>1294.077565664755</v>
      </c>
      <c r="L2865" s="19">
        <v>1.294077565664755E21</v>
      </c>
      <c r="M2865" s="20">
        <v>1.294077565664755E20</v>
      </c>
    </row>
    <row r="2866">
      <c r="A2866" s="6"/>
      <c r="B2866" s="6"/>
      <c r="C2866" s="4"/>
      <c r="D2866" s="4">
        <v>35.9837662474602</v>
      </c>
      <c r="E2866" s="4" t="s">
        <v>4462</v>
      </c>
      <c r="F2866" s="4"/>
      <c r="G2866" s="4"/>
      <c r="H2866" s="4"/>
      <c r="I2866" s="4" t="str">
        <f>IFERROR(__xludf.DUMMYFUNCTION("""COMPUTED_VALUE"""),"0xda166848621affac58d1260efc94f778209b1e58")</f>
        <v>0xda166848621affac58d1260efc94f778209b1e58</v>
      </c>
      <c r="J2866" s="18">
        <v>2.70839114557741</v>
      </c>
      <c r="K2866" s="4">
        <v>33.85488931971762</v>
      </c>
      <c r="L2866" s="19">
        <v>3.385488931971762E19</v>
      </c>
      <c r="M2866" s="20">
        <v>3.385488931971762E18</v>
      </c>
    </row>
    <row r="2867">
      <c r="A2867" s="6"/>
      <c r="B2867" s="6"/>
      <c r="C2867" s="4"/>
      <c r="D2867" s="4">
        <v>27.0839114557741</v>
      </c>
      <c r="E2867" s="4" t="s">
        <v>4464</v>
      </c>
      <c r="F2867" s="4"/>
      <c r="G2867" s="4"/>
      <c r="H2867" s="4"/>
      <c r="I2867" s="4" t="str">
        <f>IFERROR(__xludf.DUMMYFUNCTION("""COMPUTED_VALUE"""),"0x2bb66c74836b88be612b7987d242713f2e087654")</f>
        <v>0x2bb66c74836b88be612b7987d242713f2e087654</v>
      </c>
      <c r="J2867" s="18">
        <v>34.8221718717096</v>
      </c>
      <c r="K2867" s="4">
        <v>435.27714839636997</v>
      </c>
      <c r="L2867" s="19">
        <v>4.3527714839636994E20</v>
      </c>
      <c r="M2867" s="20">
        <v>4.352771483963699E19</v>
      </c>
    </row>
    <row r="2868">
      <c r="A2868" s="6"/>
      <c r="B2868" s="6"/>
      <c r="C2868" s="4"/>
      <c r="D2868" s="4">
        <v>9.548169251437528</v>
      </c>
      <c r="E2868" s="4" t="s">
        <v>4466</v>
      </c>
      <c r="F2868" s="4"/>
      <c r="G2868" s="4"/>
      <c r="H2868" s="4"/>
      <c r="I2868" s="4" t="str">
        <f>IFERROR(__xludf.DUMMYFUNCTION("""COMPUTED_VALUE"""),"0xc1bfa768e86239a376769c42ac1fa999db3426b0")</f>
        <v>0xc1bfa768e86239a376769c42ac1fa999db3426b0</v>
      </c>
      <c r="J2868" s="18">
        <v>2.59323107623113</v>
      </c>
      <c r="K2868" s="4">
        <v>32.415388452889125</v>
      </c>
      <c r="L2868" s="19">
        <v>3.2415388452889125E19</v>
      </c>
      <c r="M2868" s="20">
        <v>3.241538845288913E18</v>
      </c>
    </row>
    <row r="2869">
      <c r="A2869" s="6"/>
      <c r="B2869" s="6"/>
      <c r="C2869" s="4"/>
      <c r="D2869" s="4">
        <v>9.975449827772639</v>
      </c>
      <c r="E2869" s="4" t="s">
        <v>4468</v>
      </c>
      <c r="F2869" s="4"/>
      <c r="G2869" s="4"/>
      <c r="H2869" s="4"/>
      <c r="I2869" s="4" t="str">
        <f>IFERROR(__xludf.DUMMYFUNCTION("""COMPUTED_VALUE"""),"0xfe2f1f2780bae8af43638ccfdc2b0d09e37d3740")</f>
        <v>0xfe2f1f2780bae8af43638ccfdc2b0d09e37d3740</v>
      </c>
      <c r="J2869" s="18">
        <v>48.3070994894847</v>
      </c>
      <c r="K2869" s="4">
        <v>603.8387436185587</v>
      </c>
      <c r="L2869" s="19">
        <v>6.038387436185588E20</v>
      </c>
      <c r="M2869" s="20">
        <v>6.038387436185588E19</v>
      </c>
    </row>
    <row r="2870">
      <c r="A2870" s="6"/>
      <c r="B2870" s="6"/>
      <c r="C2870" s="4"/>
      <c r="D2870" s="4">
        <v>8.628741482533261</v>
      </c>
      <c r="E2870" s="4" t="s">
        <v>4470</v>
      </c>
      <c r="F2870" s="4"/>
      <c r="G2870" s="4"/>
      <c r="H2870" s="4"/>
      <c r="I2870" s="4" t="str">
        <f>IFERROR(__xludf.DUMMYFUNCTION("""COMPUTED_VALUE"""),"0xdd94c0f8a16c8dd21ba76484c0ff3374aef46fad")</f>
        <v>0xdd94c0f8a16c8dd21ba76484c0ff3374aef46fad</v>
      </c>
      <c r="J2870" s="18">
        <v>140.02498038889308</v>
      </c>
      <c r="K2870" s="4">
        <v>1750.3122548611634</v>
      </c>
      <c r="L2870" s="19">
        <v>1.7503122548611634E21</v>
      </c>
      <c r="M2870" s="20">
        <v>1.7503122548611636E20</v>
      </c>
    </row>
    <row r="2871">
      <c r="A2871" s="6"/>
      <c r="B2871" s="6"/>
      <c r="C2871" s="4"/>
      <c r="D2871" s="4">
        <v>48.3641275995966</v>
      </c>
      <c r="E2871" s="4" t="s">
        <v>4472</v>
      </c>
      <c r="F2871" s="4"/>
      <c r="G2871" s="4"/>
      <c r="H2871" s="4"/>
      <c r="I2871" s="4" t="str">
        <f>IFERROR(__xludf.DUMMYFUNCTION("""COMPUTED_VALUE"""),"0xefc5b42e8eb00d464f96734969494e2d92e3fd9b")</f>
        <v>0xefc5b42e8eb00d464f96734969494e2d92e3fd9b</v>
      </c>
      <c r="J2871" s="18">
        <v>7.738260415935461</v>
      </c>
      <c r="K2871" s="4">
        <v>96.72825519919326</v>
      </c>
      <c r="L2871" s="19">
        <v>9.672825519919325E19</v>
      </c>
      <c r="M2871" s="20">
        <v>9.672825519919325E18</v>
      </c>
    </row>
    <row r="2872">
      <c r="A2872" s="6"/>
      <c r="B2872" s="6"/>
      <c r="C2872" s="4"/>
      <c r="D2872" s="4">
        <v>48.3641275995966</v>
      </c>
      <c r="E2872" s="4" t="s">
        <v>4473</v>
      </c>
      <c r="F2872" s="4"/>
      <c r="G2872" s="4"/>
      <c r="H2872" s="4"/>
      <c r="I2872" s="4" t="str">
        <f>IFERROR(__xludf.DUMMYFUNCTION("""COMPUTED_VALUE"""),"0x58d0572f483118c1dd8d3f9c0c155ed93c3fb364")</f>
        <v>0x58d0572f483118c1dd8d3f9c0c155ed93c3fb364</v>
      </c>
      <c r="J2872" s="18">
        <v>48.3641275995966</v>
      </c>
      <c r="K2872" s="4">
        <v>604.5515949949574</v>
      </c>
      <c r="L2872" s="19">
        <v>6.045515949949574E20</v>
      </c>
      <c r="M2872" s="20">
        <v>6.045515949949574E19</v>
      </c>
    </row>
    <row r="2873">
      <c r="A2873" s="6"/>
      <c r="B2873" s="6"/>
      <c r="C2873" s="4"/>
      <c r="D2873" s="4">
        <v>0.847080315611552</v>
      </c>
      <c r="E2873" s="4" t="s">
        <v>4474</v>
      </c>
      <c r="F2873" s="4"/>
      <c r="G2873" s="4"/>
      <c r="H2873" s="4"/>
      <c r="I2873" s="4" t="str">
        <f>IFERROR(__xludf.DUMMYFUNCTION("""COMPUTED_VALUE"""),"0xdf8c7f8ab67aa0822a0d545c9b899348e5d1bfe2")</f>
        <v>0xdf8c7f8ab67aa0822a0d545c9b899348e5d1bfe2</v>
      </c>
      <c r="J2873" s="18">
        <v>48.3641275995966</v>
      </c>
      <c r="K2873" s="4">
        <v>604.5515949949574</v>
      </c>
      <c r="L2873" s="19">
        <v>6.045515949949574E20</v>
      </c>
      <c r="M2873" s="20">
        <v>6.045515949949574E19</v>
      </c>
    </row>
    <row r="2874">
      <c r="A2874" s="6"/>
      <c r="B2874" s="6"/>
      <c r="C2874" s="4"/>
      <c r="D2874" s="4">
        <v>21.407136465379402</v>
      </c>
      <c r="E2874" s="4" t="s">
        <v>4476</v>
      </c>
      <c r="F2874" s="4"/>
      <c r="G2874" s="4"/>
      <c r="H2874" s="4"/>
      <c r="I2874" s="4" t="str">
        <f>IFERROR(__xludf.DUMMYFUNCTION("""COMPUTED_VALUE"""),"0x9488e3765af5a824bc2d6345f3c98df0adc35d82")</f>
        <v>0x9488e3765af5a824bc2d6345f3c98df0adc35d82</v>
      </c>
      <c r="J2874" s="18">
        <v>82.0551679636654</v>
      </c>
      <c r="K2874" s="4">
        <v>1025.6895995458174</v>
      </c>
      <c r="L2874" s="19">
        <v>1.0256895995458174E21</v>
      </c>
      <c r="M2874" s="20">
        <v>1.0256895995458175E20</v>
      </c>
    </row>
    <row r="2875">
      <c r="A2875" s="6"/>
      <c r="B2875" s="6"/>
      <c r="C2875" s="4"/>
      <c r="D2875" s="4">
        <v>48.3641275995966</v>
      </c>
      <c r="E2875" s="4" t="s">
        <v>4478</v>
      </c>
      <c r="F2875" s="4"/>
      <c r="G2875" s="4"/>
      <c r="H2875" s="4"/>
      <c r="I2875" s="4" t="str">
        <f>IFERROR(__xludf.DUMMYFUNCTION("""COMPUTED_VALUE"""),"0xe1b8988c4415db08c6cffa5cca7861ee99d59bde")</f>
        <v>0xe1b8988c4415db08c6cffa5cca7861ee99d59bde</v>
      </c>
      <c r="J2875" s="18">
        <v>4.73257049656399</v>
      </c>
      <c r="K2875" s="4">
        <v>59.15713120704987</v>
      </c>
      <c r="L2875" s="19">
        <v>5.915713120704987E19</v>
      </c>
      <c r="M2875" s="20">
        <v>5.915713120704987E18</v>
      </c>
    </row>
    <row r="2876">
      <c r="A2876" s="6"/>
      <c r="B2876" s="6"/>
      <c r="C2876" s="4"/>
      <c r="D2876" s="4">
        <v>48.3641275995966</v>
      </c>
      <c r="E2876" s="4" t="s">
        <v>4479</v>
      </c>
      <c r="F2876" s="4"/>
      <c r="G2876" s="4"/>
      <c r="H2876" s="4"/>
      <c r="I2876" s="4" t="str">
        <f>IFERROR(__xludf.DUMMYFUNCTION("""COMPUTED_VALUE"""),"0xd79ec46fa2162ecba658150f714875144bcb9188")</f>
        <v>0xd79ec46fa2162ecba658150f714875144bcb9188</v>
      </c>
      <c r="J2876" s="18">
        <v>71.25944122924311</v>
      </c>
      <c r="K2876" s="4">
        <v>890.7430153655389</v>
      </c>
      <c r="L2876" s="19">
        <v>8.907430153655389E20</v>
      </c>
      <c r="M2876" s="20">
        <v>8.90743015365539E19</v>
      </c>
    </row>
    <row r="2877">
      <c r="A2877" s="6"/>
      <c r="B2877" s="6"/>
      <c r="C2877" s="4"/>
      <c r="D2877" s="4">
        <v>19.4957046001439</v>
      </c>
      <c r="E2877" s="4" t="s">
        <v>4480</v>
      </c>
      <c r="F2877" s="4"/>
      <c r="G2877" s="4"/>
      <c r="H2877" s="4"/>
      <c r="I2877" s="4" t="str">
        <f>IFERROR(__xludf.DUMMYFUNCTION("""COMPUTED_VALUE"""),"0xa348953a62188e005fd2d411da2a8bd1c486da07")</f>
        <v>0xa348953a62188e005fd2d411da2a8bd1c486da07</v>
      </c>
      <c r="J2877" s="18">
        <v>9.27802368647251</v>
      </c>
      <c r="K2877" s="4">
        <v>115.97529608090638</v>
      </c>
      <c r="L2877" s="19">
        <v>1.1597529608090637E20</v>
      </c>
      <c r="M2877" s="20">
        <v>1.1597529608090638E19</v>
      </c>
    </row>
    <row r="2878">
      <c r="A2878" s="6"/>
      <c r="B2878" s="6"/>
      <c r="C2878" s="4"/>
      <c r="D2878" s="4">
        <v>8.4827707760538</v>
      </c>
      <c r="E2878" s="4" t="s">
        <v>4482</v>
      </c>
      <c r="F2878" s="4"/>
      <c r="G2878" s="4"/>
      <c r="H2878" s="4"/>
      <c r="I2878" s="4" t="str">
        <f>IFERROR(__xludf.DUMMYFUNCTION("""COMPUTED_VALUE"""),"0xa68017e26648c7fed15ac52a3150d4733a66f18f")</f>
        <v>0xa68017e26648c7fed15ac52a3150d4733a66f18f</v>
      </c>
      <c r="J2878" s="18">
        <v>90.0057347866162</v>
      </c>
      <c r="K2878" s="4">
        <v>1125.0716848327024</v>
      </c>
      <c r="L2878" s="19">
        <v>1.1250716848327024E21</v>
      </c>
      <c r="M2878" s="20">
        <v>1.1250716848327025E20</v>
      </c>
    </row>
    <row r="2879">
      <c r="A2879" s="6"/>
      <c r="B2879" s="6"/>
      <c r="C2879" s="4"/>
      <c r="D2879" s="4">
        <v>48.3641275995966</v>
      </c>
      <c r="E2879" s="4" t="s">
        <v>4484</v>
      </c>
      <c r="F2879" s="4"/>
      <c r="G2879" s="4"/>
      <c r="H2879" s="4"/>
      <c r="I2879" s="4" t="str">
        <f>IFERROR(__xludf.DUMMYFUNCTION("""COMPUTED_VALUE"""),"0xb7d0f57284c7d0f72265991750e054f1b6bd986b")</f>
        <v>0xb7d0f57284c7d0f72265991750e054f1b6bd986b</v>
      </c>
      <c r="J2879" s="18">
        <v>188.2451216756366</v>
      </c>
      <c r="K2879" s="4">
        <v>2353.0640209454573</v>
      </c>
      <c r="L2879" s="19">
        <v>2.3530640209454574E21</v>
      </c>
      <c r="M2879" s="20">
        <v>2.3530640209454576E20</v>
      </c>
    </row>
    <row r="2880">
      <c r="A2880" s="6"/>
      <c r="B2880" s="6"/>
      <c r="C2880" s="4"/>
      <c r="D2880" s="4">
        <v>41.472622017256995</v>
      </c>
      <c r="E2880" s="4" t="s">
        <v>964</v>
      </c>
      <c r="F2880" s="4"/>
      <c r="G2880" s="4"/>
      <c r="H2880" s="4"/>
      <c r="I2880" s="4" t="str">
        <f>IFERROR(__xludf.DUMMYFUNCTION("""COMPUTED_VALUE"""),"0xf8aff834479f8519ac0755561e3fd06327ffc26e")</f>
        <v>0xf8aff834479f8519ac0755561e3fd06327ffc26e</v>
      </c>
      <c r="J2880" s="18">
        <v>234.37608780709658</v>
      </c>
      <c r="K2880" s="4">
        <v>2929.7010975887074</v>
      </c>
      <c r="L2880" s="19">
        <v>2.9297010975887076E21</v>
      </c>
      <c r="M2880" s="20">
        <v>2.9297010975887078E20</v>
      </c>
    </row>
    <row r="2881">
      <c r="A2881" s="6"/>
      <c r="B2881" s="6"/>
      <c r="C2881" s="4"/>
      <c r="D2881" s="4">
        <v>48.3641275995966</v>
      </c>
      <c r="E2881" s="4" t="s">
        <v>1798</v>
      </c>
      <c r="F2881" s="4"/>
      <c r="G2881" s="4"/>
      <c r="H2881" s="4"/>
      <c r="I2881" s="4" t="str">
        <f>IFERROR(__xludf.DUMMYFUNCTION("""COMPUTED_VALUE"""),"0x9e63067bfdb4f5719c88ce4c7927f0e4052f3242")</f>
        <v>0x9e63067bfdb4f5719c88ce4c7927f0e4052f3242</v>
      </c>
      <c r="J2881" s="18">
        <v>10.0491116168988</v>
      </c>
      <c r="K2881" s="4">
        <v>125.613895211235</v>
      </c>
      <c r="L2881" s="19">
        <v>1.25613895211235E20</v>
      </c>
      <c r="M2881" s="20">
        <v>1.25613895211235E19</v>
      </c>
    </row>
    <row r="2882">
      <c r="A2882" s="6"/>
      <c r="B2882" s="6"/>
      <c r="C2882" s="4"/>
      <c r="D2882" s="4">
        <v>15.4765208318709</v>
      </c>
      <c r="E2882" s="4" t="s">
        <v>4486</v>
      </c>
      <c r="F2882" s="4"/>
      <c r="G2882" s="4"/>
      <c r="H2882" s="4"/>
      <c r="I2882" s="4" t="str">
        <f>IFERROR(__xludf.DUMMYFUNCTION("""COMPUTED_VALUE"""),"0xe033a3228e1d90b014874efe5b2a7fcc2dff0b2d")</f>
        <v>0xe033a3228e1d90b014874efe5b2a7fcc2dff0b2d</v>
      </c>
      <c r="J2882" s="18">
        <v>8.92119290623559</v>
      </c>
      <c r="K2882" s="4">
        <v>111.51491132794486</v>
      </c>
      <c r="L2882" s="19">
        <v>1.1151491132794485E20</v>
      </c>
      <c r="M2882" s="20">
        <v>1.1151491132794487E19</v>
      </c>
    </row>
    <row r="2883">
      <c r="A2883" s="6"/>
      <c r="B2883" s="6"/>
      <c r="C2883" s="4"/>
      <c r="D2883" s="4">
        <v>48.3641275995966</v>
      </c>
      <c r="E2883" s="4" t="s">
        <v>4488</v>
      </c>
      <c r="F2883" s="4"/>
      <c r="G2883" s="4"/>
      <c r="H2883" s="4"/>
      <c r="I2883" s="4" t="str">
        <f>IFERROR(__xludf.DUMMYFUNCTION("""COMPUTED_VALUE"""),"0xf5a3cb17bfc27968700178d90e86e53044fc4a8e")</f>
        <v>0xf5a3cb17bfc27968700178d90e86e53044fc4a8e</v>
      </c>
      <c r="J2883" s="18">
        <v>8.56993509927343</v>
      </c>
      <c r="K2883" s="4">
        <v>107.12418874091787</v>
      </c>
      <c r="L2883" s="19">
        <v>1.0712418874091787E20</v>
      </c>
      <c r="M2883" s="20">
        <v>1.0712418874091788E19</v>
      </c>
    </row>
    <row r="2884">
      <c r="A2884" s="6"/>
      <c r="B2884" s="6"/>
      <c r="C2884" s="4"/>
      <c r="D2884" s="4">
        <v>48.3641275995966</v>
      </c>
      <c r="E2884" s="4" t="s">
        <v>4489</v>
      </c>
      <c r="F2884" s="4"/>
      <c r="G2884" s="4"/>
      <c r="H2884" s="4"/>
      <c r="I2884" s="4" t="str">
        <f>IFERROR(__xludf.DUMMYFUNCTION("""COMPUTED_VALUE"""),"0xf265c97c384e375a4a58505e07e553472be36503")</f>
        <v>0xf265c97c384e375a4a58505e07e553472be36503</v>
      </c>
      <c r="J2884" s="18">
        <v>48.3641275995966</v>
      </c>
      <c r="K2884" s="4">
        <v>604.5515949949574</v>
      </c>
      <c r="L2884" s="19">
        <v>6.045515949949574E20</v>
      </c>
      <c r="M2884" s="20">
        <v>6.045515949949574E19</v>
      </c>
    </row>
    <row r="2885">
      <c r="A2885" s="6"/>
      <c r="B2885" s="6"/>
      <c r="C2885" s="4"/>
      <c r="D2885" s="4">
        <v>48.3641275995966</v>
      </c>
      <c r="E2885" s="4" t="s">
        <v>4490</v>
      </c>
      <c r="F2885" s="4"/>
      <c r="G2885" s="4"/>
      <c r="H2885" s="4"/>
      <c r="I2885" s="4" t="str">
        <f>IFERROR(__xludf.DUMMYFUNCTION("""COMPUTED_VALUE"""),"0xc638466721325846c3937e36da15df5fdc22c3d7")</f>
        <v>0xc638466721325846c3937e36da15df5fdc22c3d7</v>
      </c>
      <c r="J2885" s="18">
        <v>48.3641275995966</v>
      </c>
      <c r="K2885" s="4">
        <v>604.5515949949574</v>
      </c>
      <c r="L2885" s="19">
        <v>6.045515949949574E20</v>
      </c>
      <c r="M2885" s="20">
        <v>6.045515949949574E19</v>
      </c>
    </row>
    <row r="2886">
      <c r="A2886" s="6"/>
      <c r="B2886" s="6"/>
      <c r="C2886" s="4"/>
      <c r="D2886" s="4">
        <v>6.4904300875253105</v>
      </c>
      <c r="E2886" s="4" t="s">
        <v>4491</v>
      </c>
      <c r="F2886" s="4"/>
      <c r="G2886" s="4"/>
      <c r="H2886" s="4"/>
      <c r="I2886" s="4" t="str">
        <f>IFERROR(__xludf.DUMMYFUNCTION("""COMPUTED_VALUE"""),"0xc0259ba093b605923047b24fff6ac839ae3f11f8")</f>
        <v>0xc0259ba093b605923047b24fff6ac839ae3f11f8</v>
      </c>
      <c r="J2886" s="18">
        <v>9.51825764884862</v>
      </c>
      <c r="K2886" s="4">
        <v>118.97822061060774</v>
      </c>
      <c r="L2886" s="19">
        <v>1.1897822061060774E20</v>
      </c>
      <c r="M2886" s="20">
        <v>1.1897822061060776E19</v>
      </c>
    </row>
    <row r="2887">
      <c r="A2887" s="6"/>
      <c r="B2887" s="6"/>
      <c r="C2887" s="4"/>
      <c r="D2887" s="4">
        <v>10.8372760487504</v>
      </c>
      <c r="E2887" s="4" t="s">
        <v>4493</v>
      </c>
      <c r="F2887" s="4"/>
      <c r="G2887" s="4"/>
      <c r="H2887" s="4"/>
      <c r="I2887" s="4" t="str">
        <f>IFERROR(__xludf.DUMMYFUNCTION("""COMPUTED_VALUE"""),"0x8db008106b19142d2560ea5d3f65063f34186321")</f>
        <v>0x8db008106b19142d2560ea5d3f65063f34186321</v>
      </c>
      <c r="J2887" s="18">
        <v>54.52197008028898</v>
      </c>
      <c r="K2887" s="4">
        <v>681.5246260036123</v>
      </c>
      <c r="L2887" s="19">
        <v>6.815246260036123E20</v>
      </c>
      <c r="M2887" s="20">
        <v>6.815246260036123E19</v>
      </c>
    </row>
    <row r="2888">
      <c r="A2888" s="6"/>
      <c r="B2888" s="6"/>
      <c r="C2888" s="4"/>
      <c r="D2888" s="4">
        <v>37.5375260619473</v>
      </c>
      <c r="E2888" s="4" t="s">
        <v>4495</v>
      </c>
      <c r="F2888" s="4"/>
      <c r="G2888" s="4"/>
      <c r="H2888" s="4"/>
      <c r="I2888" s="4" t="str">
        <f>IFERROR(__xludf.DUMMYFUNCTION("""COMPUTED_VALUE"""),"0xbc8e2e64631b8887ee5afda9e3008ca194958b9f")</f>
        <v>0xbc8e2e64631b8887ee5afda9e3008ca194958b9f</v>
      </c>
      <c r="J2888" s="18">
        <v>9.86870084415114</v>
      </c>
      <c r="K2888" s="4">
        <v>123.35876055188926</v>
      </c>
      <c r="L2888" s="19">
        <v>1.2335876055188926E20</v>
      </c>
      <c r="M2888" s="20">
        <v>1.2335876055188926E19</v>
      </c>
    </row>
    <row r="2889">
      <c r="A2889" s="6"/>
      <c r="B2889" s="6"/>
      <c r="C2889" s="4"/>
      <c r="D2889" s="4">
        <v>39.902172724926</v>
      </c>
      <c r="E2889" s="4" t="s">
        <v>4497</v>
      </c>
      <c r="F2889" s="4"/>
      <c r="G2889" s="4"/>
      <c r="H2889" s="4"/>
      <c r="I2889" s="4" t="str">
        <f>IFERROR(__xludf.DUMMYFUNCTION("""COMPUTED_VALUE"""),"0x86b7af53d2063f7275238221d0761035a6adbd37")</f>
        <v>0x86b7af53d2063f7275238221d0761035a6adbd37</v>
      </c>
      <c r="J2889" s="18">
        <v>48.3641275995966</v>
      </c>
      <c r="K2889" s="4">
        <v>604.5515949949574</v>
      </c>
      <c r="L2889" s="19">
        <v>6.045515949949574E20</v>
      </c>
      <c r="M2889" s="20">
        <v>6.045515949949574E19</v>
      </c>
    </row>
    <row r="2890">
      <c r="A2890" s="6"/>
      <c r="B2890" s="6"/>
      <c r="C2890" s="4"/>
      <c r="D2890" s="4">
        <v>19.3247504855987</v>
      </c>
      <c r="E2890" s="4" t="s">
        <v>4499</v>
      </c>
      <c r="F2890" s="4"/>
      <c r="G2890" s="4"/>
      <c r="H2890" s="4"/>
      <c r="I2890" s="4" t="str">
        <f>IFERROR(__xludf.DUMMYFUNCTION("""COMPUTED_VALUE"""),"0xb6569ec5ff91e9f8d8f56deff237a57bcbe6c3a2")</f>
        <v>0xb6569ec5ff91e9f8d8f56deff237a57bcbe6c3a2</v>
      </c>
      <c r="J2890" s="18">
        <v>26.2583130817244</v>
      </c>
      <c r="K2890" s="4">
        <v>328.228913521555</v>
      </c>
      <c r="L2890" s="19">
        <v>3.28228913521555E20</v>
      </c>
      <c r="M2890" s="20">
        <v>3.2822891352155505E19</v>
      </c>
    </row>
    <row r="2891">
      <c r="A2891" s="6"/>
      <c r="B2891" s="6"/>
      <c r="C2891" s="4"/>
      <c r="D2891" s="4">
        <v>1.93456510398386</v>
      </c>
      <c r="E2891" s="4" t="s">
        <v>4501</v>
      </c>
      <c r="F2891" s="4"/>
      <c r="G2891" s="4"/>
      <c r="H2891" s="4"/>
      <c r="I2891" s="4" t="str">
        <f>IFERROR(__xludf.DUMMYFUNCTION("""COMPUTED_VALUE"""),"0xeeb2049baf253d72a3d2dad07b51d458b58b3dda")</f>
        <v>0xeeb2049baf253d72a3d2dad07b51d458b58b3dda</v>
      </c>
      <c r="J2891" s="18">
        <v>11.220477603106401</v>
      </c>
      <c r="K2891" s="4">
        <v>140.25597003883001</v>
      </c>
      <c r="L2891" s="19">
        <v>1.4025597003883E20</v>
      </c>
      <c r="M2891" s="20">
        <v>1.4025597003883002E19</v>
      </c>
    </row>
    <row r="2892">
      <c r="A2892" s="6"/>
      <c r="B2892" s="6"/>
      <c r="C2892" s="4"/>
      <c r="D2892" s="4">
        <v>24.9402366198862</v>
      </c>
      <c r="E2892" s="4" t="s">
        <v>4502</v>
      </c>
      <c r="F2892" s="4"/>
      <c r="G2892" s="4"/>
      <c r="H2892" s="4"/>
      <c r="I2892" s="4" t="str">
        <f>IFERROR(__xludf.DUMMYFUNCTION("""COMPUTED_VALUE"""),"0x771decc16b2362144f86ac4d748038927e153593")</f>
        <v>0x771decc16b2362144f86ac4d748038927e153593</v>
      </c>
      <c r="J2892" s="18">
        <v>48.3641275995966</v>
      </c>
      <c r="K2892" s="4">
        <v>604.5515949949574</v>
      </c>
      <c r="L2892" s="19">
        <v>6.045515949949574E20</v>
      </c>
      <c r="M2892" s="20">
        <v>6.045515949949574E19</v>
      </c>
    </row>
    <row r="2893">
      <c r="A2893" s="6"/>
      <c r="B2893" s="6"/>
      <c r="C2893" s="4"/>
      <c r="D2893" s="4">
        <v>9.01233543399891</v>
      </c>
      <c r="E2893" s="4" t="s">
        <v>4504</v>
      </c>
      <c r="F2893" s="4"/>
      <c r="G2893" s="4"/>
      <c r="H2893" s="4"/>
      <c r="I2893" s="4" t="str">
        <f>IFERROR(__xludf.DUMMYFUNCTION("""COMPUTED_VALUE"""),"0x272341438ad3d342d0a094fd3dbdc083a94dd20b")</f>
        <v>0x272341438ad3d342d0a094fd3dbdc083a94dd20b</v>
      </c>
      <c r="J2893" s="18">
        <v>48.3641275995966</v>
      </c>
      <c r="K2893" s="4">
        <v>604.5515949949574</v>
      </c>
      <c r="L2893" s="19">
        <v>6.045515949949574E20</v>
      </c>
      <c r="M2893" s="20">
        <v>6.045515949949574E19</v>
      </c>
    </row>
    <row r="2894">
      <c r="A2894" s="6"/>
      <c r="B2894" s="6"/>
      <c r="C2894" s="4"/>
      <c r="D2894" s="4">
        <v>0.193456510398386</v>
      </c>
      <c r="E2894" s="4" t="s">
        <v>4506</v>
      </c>
      <c r="F2894" s="4"/>
      <c r="G2894" s="4"/>
      <c r="H2894" s="4"/>
      <c r="I2894" s="4" t="str">
        <f>IFERROR(__xludf.DUMMYFUNCTION("""COMPUTED_VALUE"""),"0xce3799d211a31af84081a3dfeda03938ef9805a4")</f>
        <v>0xce3799d211a31af84081a3dfeda03938ef9805a4</v>
      </c>
      <c r="J2894" s="18">
        <v>37.4923834378307</v>
      </c>
      <c r="K2894" s="4">
        <v>468.6547929728838</v>
      </c>
      <c r="L2894" s="19">
        <v>4.686547929728838E20</v>
      </c>
      <c r="M2894" s="20">
        <v>4.686547929728838E19</v>
      </c>
    </row>
    <row r="2895">
      <c r="A2895" s="6"/>
      <c r="B2895" s="6"/>
      <c r="C2895" s="4"/>
      <c r="D2895" s="4">
        <v>48.3641275995966</v>
      </c>
      <c r="E2895" s="4" t="s">
        <v>4507</v>
      </c>
      <c r="F2895" s="4"/>
      <c r="G2895" s="4"/>
      <c r="H2895" s="4"/>
      <c r="I2895" s="4" t="str">
        <f>IFERROR(__xludf.DUMMYFUNCTION("""COMPUTED_VALUE"""),"0x6491e9eec9bceae8c5b1ab95c9a4105660b35eda")</f>
        <v>0x6491e9eec9bceae8c5b1ab95c9a4105660b35eda</v>
      </c>
      <c r="J2895" s="18">
        <v>48.3641275995966</v>
      </c>
      <c r="K2895" s="4">
        <v>604.5515949949574</v>
      </c>
      <c r="L2895" s="19">
        <v>6.045515949949574E20</v>
      </c>
      <c r="M2895" s="20">
        <v>6.045515949949574E19</v>
      </c>
    </row>
    <row r="2896">
      <c r="A2896" s="6"/>
      <c r="B2896" s="6"/>
      <c r="C2896" s="4"/>
      <c r="D2896" s="4">
        <v>19.3456510398386</v>
      </c>
      <c r="E2896" s="4" t="s">
        <v>4508</v>
      </c>
      <c r="F2896" s="4"/>
      <c r="G2896" s="4"/>
      <c r="H2896" s="4"/>
      <c r="I2896" s="4" t="str">
        <f>IFERROR(__xludf.DUMMYFUNCTION("""COMPUTED_VALUE"""),"0xe2461a34baa7dfa509b0fb4d5f709a9cc4ee5ff7")</f>
        <v>0xe2461a34baa7dfa509b0fb4d5f709a9cc4ee5ff7</v>
      </c>
      <c r="J2896" s="18">
        <v>48.3641275995966</v>
      </c>
      <c r="K2896" s="4">
        <v>604.5515949949574</v>
      </c>
      <c r="L2896" s="19">
        <v>6.045515949949574E20</v>
      </c>
      <c r="M2896" s="20">
        <v>6.045515949949574E19</v>
      </c>
    </row>
    <row r="2897">
      <c r="A2897" s="6"/>
      <c r="B2897" s="6"/>
      <c r="C2897" s="4"/>
      <c r="D2897" s="4">
        <v>7.82089146448164</v>
      </c>
      <c r="E2897" s="4" t="s">
        <v>4509</v>
      </c>
      <c r="F2897" s="4"/>
      <c r="G2897" s="4"/>
      <c r="H2897" s="4"/>
      <c r="I2897" s="4" t="str">
        <f>IFERROR(__xludf.DUMMYFUNCTION("""COMPUTED_VALUE"""),"0x0e9cd712c542ab5e313b44ab85e20c0c132be68d")</f>
        <v>0x0e9cd712c542ab5e313b44ab85e20c0c132be68d</v>
      </c>
      <c r="J2897" s="18">
        <v>20.151469272419998</v>
      </c>
      <c r="K2897" s="4">
        <v>251.89336590524996</v>
      </c>
      <c r="L2897" s="19">
        <v>2.5189336590524996E20</v>
      </c>
      <c r="M2897" s="20">
        <v>2.5189336590524998E19</v>
      </c>
    </row>
    <row r="2898">
      <c r="A2898" s="6"/>
      <c r="B2898" s="6"/>
      <c r="C2898" s="4"/>
      <c r="D2898" s="4">
        <v>2.3169693896237797</v>
      </c>
      <c r="E2898" s="4" t="s">
        <v>4511</v>
      </c>
      <c r="F2898" s="4"/>
      <c r="G2898" s="4"/>
      <c r="H2898" s="4"/>
      <c r="I2898" s="4" t="str">
        <f>IFERROR(__xludf.DUMMYFUNCTION("""COMPUTED_VALUE"""),"0x9ad51c4adcf30a3b65672688eab1769b97428912")</f>
        <v>0x9ad51c4adcf30a3b65672688eab1769b97428912</v>
      </c>
      <c r="J2898" s="18">
        <v>48.3641275995966</v>
      </c>
      <c r="K2898" s="4">
        <v>604.5515949949574</v>
      </c>
      <c r="L2898" s="19">
        <v>6.045515949949574E20</v>
      </c>
      <c r="M2898" s="20">
        <v>6.045515949949574E19</v>
      </c>
    </row>
    <row r="2899">
      <c r="A2899" s="6"/>
      <c r="B2899" s="6"/>
      <c r="C2899" s="4"/>
      <c r="D2899" s="4">
        <v>3.22132849777127</v>
      </c>
      <c r="E2899" s="4" t="s">
        <v>1151</v>
      </c>
      <c r="F2899" s="4"/>
      <c r="G2899" s="4"/>
      <c r="H2899" s="4"/>
      <c r="I2899" s="4" t="str">
        <f>IFERROR(__xludf.DUMMYFUNCTION("""COMPUTED_VALUE"""),"0x9259d52c1f3cf0fc0ccfa1130bfc575a3ecdc628")</f>
        <v>0x9259d52c1f3cf0fc0ccfa1130bfc575a3ecdc628</v>
      </c>
      <c r="J2899" s="18">
        <v>57.66472560997164</v>
      </c>
      <c r="K2899" s="4">
        <v>720.8090701246455</v>
      </c>
      <c r="L2899" s="19">
        <v>7.208090701246455E20</v>
      </c>
      <c r="M2899" s="20">
        <v>7.208090701246455E19</v>
      </c>
    </row>
    <row r="2900">
      <c r="A2900" s="6"/>
      <c r="B2900" s="6"/>
      <c r="C2900" s="4"/>
      <c r="D2900" s="4">
        <v>6.64987972975633</v>
      </c>
      <c r="E2900" s="4" t="s">
        <v>4514</v>
      </c>
      <c r="F2900" s="4"/>
      <c r="G2900" s="4"/>
      <c r="H2900" s="4"/>
      <c r="I2900" s="4" t="str">
        <f>IFERROR(__xludf.DUMMYFUNCTION("""COMPUTED_VALUE"""),"0xe3dc366eba4cbbd1a9de1dd536ff05d60382dc90")</f>
        <v>0xe3dc366eba4cbbd1a9de1dd536ff05d60382dc90</v>
      </c>
      <c r="J2900" s="18">
        <v>19.3456510398386</v>
      </c>
      <c r="K2900" s="4">
        <v>241.8206379979825</v>
      </c>
      <c r="L2900" s="19">
        <v>2.4182063799798248E20</v>
      </c>
      <c r="M2900" s="20">
        <v>2.418206379979825E19</v>
      </c>
    </row>
    <row r="2901">
      <c r="A2901" s="6"/>
      <c r="B2901" s="6"/>
      <c r="C2901" s="4"/>
      <c r="D2901" s="4">
        <v>48.3641275995966</v>
      </c>
      <c r="E2901" s="4" t="s">
        <v>4516</v>
      </c>
      <c r="F2901" s="4"/>
      <c r="G2901" s="4"/>
      <c r="H2901" s="4"/>
      <c r="I2901" s="4" t="str">
        <f>IFERROR(__xludf.DUMMYFUNCTION("""COMPUTED_VALUE"""),"0xeb23f83946b3068a488b7d12fb16450c35e81217")</f>
        <v>0xeb23f83946b3068a488b7d12fb16450c35e81217</v>
      </c>
      <c r="J2901" s="18">
        <v>19.7533597212277</v>
      </c>
      <c r="K2901" s="4">
        <v>246.91699651534623</v>
      </c>
      <c r="L2901" s="19">
        <v>2.4691699651534622E20</v>
      </c>
      <c r="M2901" s="20">
        <v>2.4691699651534623E19</v>
      </c>
    </row>
    <row r="2902">
      <c r="A2902" s="6"/>
      <c r="B2902" s="6"/>
      <c r="C2902" s="4"/>
      <c r="D2902" s="4">
        <v>48.3641275995966</v>
      </c>
      <c r="E2902" s="4" t="s">
        <v>4517</v>
      </c>
      <c r="F2902" s="4"/>
      <c r="G2902" s="4"/>
      <c r="H2902" s="4"/>
      <c r="I2902" s="4" t="str">
        <f>IFERROR(__xludf.DUMMYFUNCTION("""COMPUTED_VALUE"""),"0x569747b1202ca94cfd1034954fc65a2986326af1")</f>
        <v>0x569747b1202ca94cfd1034954fc65a2986326af1</v>
      </c>
      <c r="J2902" s="18">
        <v>109.74807446807179</v>
      </c>
      <c r="K2902" s="4">
        <v>1371.8509308508974</v>
      </c>
      <c r="L2902" s="19">
        <v>1.3718509308508973E21</v>
      </c>
      <c r="M2902" s="20">
        <v>1.3718509308508974E20</v>
      </c>
    </row>
    <row r="2903">
      <c r="A2903" s="6"/>
      <c r="B2903" s="6"/>
      <c r="C2903" s="4"/>
      <c r="D2903" s="4">
        <v>45.061677169994496</v>
      </c>
      <c r="E2903" s="4" t="s">
        <v>4518</v>
      </c>
      <c r="F2903" s="4"/>
      <c r="G2903" s="4"/>
      <c r="H2903" s="4"/>
      <c r="I2903" s="4" t="str">
        <f>IFERROR(__xludf.DUMMYFUNCTION("""COMPUTED_VALUE"""),"0x405e3bb7f2dbabbcf76b5162db6e2511ff3c20ed")</f>
        <v>0x405e3bb7f2dbabbcf76b5162db6e2511ff3c20ed</v>
      </c>
      <c r="J2903" s="18">
        <v>35.047814030960396</v>
      </c>
      <c r="K2903" s="4">
        <v>438.0976753870049</v>
      </c>
      <c r="L2903" s="19">
        <v>4.380976753870049E20</v>
      </c>
      <c r="M2903" s="20">
        <v>4.380976753870049E19</v>
      </c>
    </row>
    <row r="2904">
      <c r="A2904" s="6"/>
      <c r="B2904" s="6"/>
      <c r="C2904" s="4"/>
      <c r="D2904" s="4">
        <v>48.3641275995966</v>
      </c>
      <c r="E2904" s="4" t="s">
        <v>1054</v>
      </c>
      <c r="F2904" s="4"/>
      <c r="G2904" s="4"/>
      <c r="H2904" s="4"/>
      <c r="I2904" s="4" t="str">
        <f>IFERROR(__xludf.DUMMYFUNCTION("""COMPUTED_VALUE"""),"0x9eaad8a81756fa95c6667628b57595de200bc985")</f>
        <v>0x9eaad8a81756fa95c6667628b57595de200bc985</v>
      </c>
      <c r="J2904" s="18">
        <v>5.82108448094184</v>
      </c>
      <c r="K2904" s="4">
        <v>72.763556011773</v>
      </c>
      <c r="L2904" s="19">
        <v>7.2763556011773E19</v>
      </c>
      <c r="M2904" s="20">
        <v>7.276355601177301E18</v>
      </c>
    </row>
    <row r="2905">
      <c r="A2905" s="6"/>
      <c r="B2905" s="6"/>
      <c r="C2905" s="4"/>
      <c r="D2905" s="4">
        <v>10.6401080719112</v>
      </c>
      <c r="E2905" s="4" t="s">
        <v>4520</v>
      </c>
      <c r="F2905" s="4"/>
      <c r="G2905" s="4"/>
      <c r="H2905" s="4"/>
      <c r="I2905" s="4" t="str">
        <f>IFERROR(__xludf.DUMMYFUNCTION("""COMPUTED_VALUE"""),"0x8b2401091493547a7126a41a080f5f76ed835e94")</f>
        <v>0x8b2401091493547a7126a41a080f5f76ed835e94</v>
      </c>
      <c r="J2905" s="18">
        <v>1.53968314673676</v>
      </c>
      <c r="K2905" s="4">
        <v>19.2460393342095</v>
      </c>
      <c r="L2905" s="19">
        <v>1.92460393342095E19</v>
      </c>
      <c r="M2905" s="20">
        <v>1.92460393342095E18</v>
      </c>
    </row>
    <row r="2906">
      <c r="A2906" s="6"/>
      <c r="B2906" s="6"/>
      <c r="C2906" s="4"/>
      <c r="D2906" s="4">
        <v>2.42225396716512</v>
      </c>
      <c r="E2906" s="4" t="s">
        <v>4521</v>
      </c>
      <c r="F2906" s="4"/>
      <c r="G2906" s="4"/>
      <c r="H2906" s="4"/>
      <c r="I2906" s="4" t="str">
        <f>IFERROR(__xludf.DUMMYFUNCTION("""COMPUTED_VALUE"""),"0x866240313d33e066dab68161f108a36c291d8a82")</f>
        <v>0x866240313d33e066dab68161f108a36c291d8a82</v>
      </c>
      <c r="J2906" s="18">
        <v>48.3641275995966</v>
      </c>
      <c r="K2906" s="4">
        <v>604.5515949949574</v>
      </c>
      <c r="L2906" s="19">
        <v>6.045515949949574E20</v>
      </c>
      <c r="M2906" s="20">
        <v>6.045515949949574E19</v>
      </c>
    </row>
    <row r="2907">
      <c r="A2907" s="6"/>
      <c r="B2907" s="6"/>
      <c r="C2907" s="4"/>
      <c r="D2907" s="4">
        <v>48.3641275995966</v>
      </c>
      <c r="E2907" s="4" t="s">
        <v>4523</v>
      </c>
      <c r="F2907" s="4"/>
      <c r="G2907" s="4"/>
      <c r="H2907" s="4"/>
      <c r="I2907" s="4" t="str">
        <f>IFERROR(__xludf.DUMMYFUNCTION("""COMPUTED_VALUE"""),"0xb2d0f56d4fdce2d712b0ce11d4d25626bc6de569")</f>
        <v>0xb2d0f56d4fdce2d712b0ce11d4d25626bc6de569</v>
      </c>
      <c r="J2907" s="18">
        <v>122.6634261039072</v>
      </c>
      <c r="K2907" s="4">
        <v>1533.29282629884</v>
      </c>
      <c r="L2907" s="19">
        <v>1.53329282629884E21</v>
      </c>
      <c r="M2907" s="20">
        <v>1.5332928262988402E20</v>
      </c>
    </row>
    <row r="2908">
      <c r="A2908" s="6"/>
      <c r="B2908" s="6"/>
      <c r="C2908" s="4"/>
      <c r="D2908" s="4">
        <v>48.3641275995966</v>
      </c>
      <c r="E2908" s="4" t="s">
        <v>4524</v>
      </c>
      <c r="F2908" s="4"/>
      <c r="G2908" s="4"/>
      <c r="H2908" s="4"/>
      <c r="I2908" s="4" t="str">
        <f>IFERROR(__xludf.DUMMYFUNCTION("""COMPUTED_VALUE"""),"0xeb2cdc588cb2ac6bb3cc1fdde6a32335e80a02f0")</f>
        <v>0xeb2cdc588cb2ac6bb3cc1fdde6a32335e80a02f0</v>
      </c>
      <c r="J2908" s="18">
        <v>48.3641275995966</v>
      </c>
      <c r="K2908" s="4">
        <v>604.5515949949574</v>
      </c>
      <c r="L2908" s="19">
        <v>6.045515949949574E20</v>
      </c>
      <c r="M2908" s="20">
        <v>6.045515949949574E19</v>
      </c>
    </row>
    <row r="2909">
      <c r="A2909" s="6"/>
      <c r="B2909" s="6"/>
      <c r="C2909" s="4"/>
      <c r="D2909" s="4">
        <v>37.4283550143649</v>
      </c>
      <c r="E2909" s="4" t="s">
        <v>4525</v>
      </c>
      <c r="F2909" s="4"/>
      <c r="G2909" s="4"/>
      <c r="H2909" s="4"/>
      <c r="I2909" s="4" t="str">
        <f>IFERROR(__xludf.DUMMYFUNCTION("""COMPUTED_VALUE"""),"0x8c98664da1dbb372d47e4f0ad9ff410d285d0530")</f>
        <v>0x8c98664da1dbb372d47e4f0ad9ff410d285d0530</v>
      </c>
      <c r="J2909" s="18">
        <v>9.750244392144511</v>
      </c>
      <c r="K2909" s="4">
        <v>121.87805490180638</v>
      </c>
      <c r="L2909" s="19">
        <v>1.2187805490180638E20</v>
      </c>
      <c r="M2909" s="20">
        <v>1.2187805490180639E19</v>
      </c>
    </row>
    <row r="2910">
      <c r="A2910" s="6"/>
      <c r="B2910" s="6"/>
      <c r="C2910" s="4"/>
      <c r="D2910" s="4">
        <v>46.8587098278118</v>
      </c>
      <c r="E2910" s="4" t="s">
        <v>966</v>
      </c>
      <c r="F2910" s="4"/>
      <c r="G2910" s="4"/>
      <c r="H2910" s="4"/>
      <c r="I2910" s="4" t="str">
        <f>IFERROR(__xludf.DUMMYFUNCTION("""COMPUTED_VALUE"""),"0x0424e057c2d0bc7e58c75975aaf38bf1e598cd49")</f>
        <v>0x0424e057c2d0bc7e58c75975aaf38bf1e598cd49</v>
      </c>
      <c r="J2910" s="18">
        <v>198.56346681219858</v>
      </c>
      <c r="K2910" s="4">
        <v>2482.043335152482</v>
      </c>
      <c r="L2910" s="19">
        <v>2.482043335152482E21</v>
      </c>
      <c r="M2910" s="20">
        <v>2.482043335152482E20</v>
      </c>
    </row>
    <row r="2911">
      <c r="A2911" s="6"/>
      <c r="B2911" s="6"/>
      <c r="C2911" s="4"/>
      <c r="D2911" s="4">
        <v>43.76299713627</v>
      </c>
      <c r="E2911" s="4" t="s">
        <v>4528</v>
      </c>
      <c r="F2911" s="4"/>
      <c r="G2911" s="4"/>
      <c r="H2911" s="4"/>
      <c r="I2911" s="4" t="str">
        <f>IFERROR(__xludf.DUMMYFUNCTION("""COMPUTED_VALUE"""),"0xf1c3604196ce8d756999599997767486bf756bf5")</f>
        <v>0xf1c3604196ce8d756999599997767486bf756bf5</v>
      </c>
      <c r="J2911" s="18">
        <v>57.70936848042144</v>
      </c>
      <c r="K2911" s="4">
        <v>721.3671060052679</v>
      </c>
      <c r="L2911" s="19">
        <v>7.213671060052679E20</v>
      </c>
      <c r="M2911" s="20">
        <v>7.213671060052679E19</v>
      </c>
    </row>
    <row r="2912">
      <c r="A2912" s="6"/>
      <c r="B2912" s="6"/>
      <c r="C2912" s="4"/>
      <c r="D2912" s="4">
        <v>11.020993427683202</v>
      </c>
      <c r="E2912" s="4" t="s">
        <v>4530</v>
      </c>
      <c r="F2912" s="4"/>
      <c r="G2912" s="4"/>
      <c r="H2912" s="4"/>
      <c r="I2912" s="4" t="str">
        <f>IFERROR(__xludf.DUMMYFUNCTION("""COMPUTED_VALUE"""),"0x8d8794bbfcddf9c494b58fb34f8466eef5003dce")</f>
        <v>0x8d8794bbfcddf9c494b58fb34f8466eef5003dce</v>
      </c>
      <c r="J2912" s="18">
        <v>0.7243715976207861</v>
      </c>
      <c r="K2912" s="4">
        <v>9.054644970259826</v>
      </c>
      <c r="L2912" s="19">
        <v>9.054644970259826E18</v>
      </c>
      <c r="M2912" s="20">
        <v>9.054644970259826E17</v>
      </c>
    </row>
    <row r="2913">
      <c r="A2913" s="6"/>
      <c r="B2913" s="6"/>
      <c r="C2913" s="4"/>
      <c r="D2913" s="4">
        <v>48.3034636080708</v>
      </c>
      <c r="E2913" s="4" t="s">
        <v>4532</v>
      </c>
      <c r="F2913" s="4"/>
      <c r="G2913" s="4"/>
      <c r="H2913" s="4"/>
      <c r="I2913" s="4" t="str">
        <f>IFERROR(__xludf.DUMMYFUNCTION("""COMPUTED_VALUE"""),"0x76862adeb005ee98aeaab247f8822eeb32df478c")</f>
        <v>0x76862adeb005ee98aeaab247f8822eeb32df478c</v>
      </c>
      <c r="J2913" s="18">
        <v>1.32861498495274</v>
      </c>
      <c r="K2913" s="4">
        <v>16.60768731190925</v>
      </c>
      <c r="L2913" s="19">
        <v>1.660768731190925E19</v>
      </c>
      <c r="M2913" s="20">
        <v>1.660768731190925E18</v>
      </c>
    </row>
    <row r="2914">
      <c r="A2914" s="6"/>
      <c r="B2914" s="6"/>
      <c r="C2914" s="4"/>
      <c r="D2914" s="4">
        <v>48.3641275995966</v>
      </c>
      <c r="E2914" s="4" t="s">
        <v>940</v>
      </c>
      <c r="F2914" s="4"/>
      <c r="G2914" s="4"/>
      <c r="H2914" s="4"/>
      <c r="I2914" s="4" t="str">
        <f>IFERROR(__xludf.DUMMYFUNCTION("""COMPUTED_VALUE"""),"0xf8a3157e83917cfa7b72384a3ddf83cd353b0a75")</f>
        <v>0xf8a3157e83917cfa7b72384a3ddf83cd353b0a75</v>
      </c>
      <c r="J2914" s="18">
        <v>48.3641275995966</v>
      </c>
      <c r="K2914" s="4">
        <v>604.5515949949574</v>
      </c>
      <c r="L2914" s="19">
        <v>6.045515949949574E20</v>
      </c>
      <c r="M2914" s="20">
        <v>6.045515949949574E19</v>
      </c>
    </row>
    <row r="2915">
      <c r="A2915" s="6"/>
      <c r="B2915" s="6"/>
      <c r="C2915" s="4"/>
      <c r="D2915" s="4">
        <v>47.2597688131753</v>
      </c>
      <c r="E2915" s="4" t="s">
        <v>4534</v>
      </c>
      <c r="F2915" s="4"/>
      <c r="G2915" s="4"/>
      <c r="H2915" s="4"/>
      <c r="I2915" s="4" t="str">
        <f>IFERROR(__xludf.DUMMYFUNCTION("""COMPUTED_VALUE"""),"0x551efabc85f34d62f3d8c2c1fd79fb28a802b858")</f>
        <v>0x551efabc85f34d62f3d8c2c1fd79fb28a802b858</v>
      </c>
      <c r="J2915" s="18">
        <v>8.649096936372711</v>
      </c>
      <c r="K2915" s="4">
        <v>108.11371170465888</v>
      </c>
      <c r="L2915" s="19">
        <v>1.0811371170465889E20</v>
      </c>
      <c r="M2915" s="20">
        <v>1.0811371170465888E19</v>
      </c>
    </row>
    <row r="2916">
      <c r="A2916" s="6"/>
      <c r="B2916" s="6"/>
      <c r="C2916" s="4"/>
      <c r="D2916" s="4">
        <v>48.3641275995966</v>
      </c>
      <c r="E2916" s="4" t="s">
        <v>1631</v>
      </c>
      <c r="F2916" s="4"/>
      <c r="G2916" s="4"/>
      <c r="H2916" s="4"/>
      <c r="I2916" s="4" t="str">
        <f>IFERROR(__xludf.DUMMYFUNCTION("""COMPUTED_VALUE"""),"0xd7f10b3d4123a66f6efbf21490b05d3987a800cb")</f>
        <v>0xd7f10b3d4123a66f6efbf21490b05d3987a800cb</v>
      </c>
      <c r="J2916" s="18">
        <v>24.6654055032344</v>
      </c>
      <c r="K2916" s="4">
        <v>308.31756879043</v>
      </c>
      <c r="L2916" s="19">
        <v>3.0831756879043E20</v>
      </c>
      <c r="M2916" s="20">
        <v>3.0831756879043002E19</v>
      </c>
    </row>
    <row r="2917">
      <c r="A2917" s="6"/>
      <c r="B2917" s="6"/>
      <c r="C2917" s="4"/>
      <c r="D2917" s="4">
        <v>20.757134346212602</v>
      </c>
      <c r="E2917" s="4" t="s">
        <v>4536</v>
      </c>
      <c r="F2917" s="4"/>
      <c r="G2917" s="4"/>
      <c r="H2917" s="4"/>
      <c r="I2917" s="4" t="str">
        <f>IFERROR(__xludf.DUMMYFUNCTION("""COMPUTED_VALUE"""),"0x03f4f5e70793b036ec248e2199a86bc9e15d1db3")</f>
        <v>0x03f4f5e70793b036ec248e2199a86bc9e15d1db3</v>
      </c>
      <c r="J2917" s="18">
        <v>9.86628203031772</v>
      </c>
      <c r="K2917" s="4">
        <v>123.32852537897149</v>
      </c>
      <c r="L2917" s="19">
        <v>1.2332852537897148E20</v>
      </c>
      <c r="M2917" s="20">
        <v>1.2332852537897148E19</v>
      </c>
    </row>
    <row r="2918">
      <c r="A2918" s="6"/>
      <c r="B2918" s="6"/>
      <c r="C2918" s="4"/>
      <c r="D2918" s="4">
        <v>48.3641275995966</v>
      </c>
      <c r="E2918" s="4" t="s">
        <v>4538</v>
      </c>
      <c r="F2918" s="4"/>
      <c r="G2918" s="4"/>
      <c r="H2918" s="4"/>
      <c r="I2918" s="4" t="str">
        <f>IFERROR(__xludf.DUMMYFUNCTION("""COMPUTED_VALUE"""),"0x8c31d2da9f5149df296205bd5909a8fe4f1eb389")</f>
        <v>0x8c31d2da9f5149df296205bd5909a8fe4f1eb389</v>
      </c>
      <c r="J2918" s="18">
        <v>133.3614750576138</v>
      </c>
      <c r="K2918" s="4">
        <v>1667.0184382201726</v>
      </c>
      <c r="L2918" s="19">
        <v>1.6670184382201725E21</v>
      </c>
      <c r="M2918" s="20">
        <v>1.6670184382201725E20</v>
      </c>
    </row>
    <row r="2919">
      <c r="A2919" s="6"/>
      <c r="B2919" s="6"/>
      <c r="C2919" s="4"/>
      <c r="D2919" s="4">
        <v>0.573515460681366</v>
      </c>
      <c r="E2919" s="4" t="s">
        <v>4539</v>
      </c>
      <c r="F2919" s="4"/>
      <c r="G2919" s="4"/>
      <c r="H2919" s="4"/>
      <c r="I2919" s="4" t="str">
        <f>IFERROR(__xludf.DUMMYFUNCTION("""COMPUTED_VALUE"""),"0x7a366aee7c0f6ebeef04d96d7648bf3e4d72df11")</f>
        <v>0x7a366aee7c0f6ebeef04d96d7648bf3e4d72df11</v>
      </c>
      <c r="J2919" s="18">
        <v>19.3456510398386</v>
      </c>
      <c r="K2919" s="4">
        <v>241.8206379979825</v>
      </c>
      <c r="L2919" s="19">
        <v>2.4182063799798248E20</v>
      </c>
      <c r="M2919" s="20">
        <v>2.418206379979825E19</v>
      </c>
    </row>
    <row r="2920">
      <c r="A2920" s="6"/>
      <c r="B2920" s="6"/>
      <c r="C2920" s="4"/>
      <c r="D2920" s="4">
        <v>4.1908721236873</v>
      </c>
      <c r="E2920" s="4" t="s">
        <v>4541</v>
      </c>
      <c r="F2920" s="4"/>
      <c r="G2920" s="4"/>
      <c r="H2920" s="4"/>
      <c r="I2920" s="4" t="str">
        <f>IFERROR(__xludf.DUMMYFUNCTION("""COMPUTED_VALUE"""),"0xfaeb499765f7eca77f361dd8adcfdf9e3e13c211")</f>
        <v>0xfaeb499765f7eca77f361dd8adcfdf9e3e13c211</v>
      </c>
      <c r="J2920" s="18">
        <v>10.4924044092659</v>
      </c>
      <c r="K2920" s="4">
        <v>131.15505511582376</v>
      </c>
      <c r="L2920" s="19">
        <v>1.3115505511582376E20</v>
      </c>
      <c r="M2920" s="20">
        <v>1.3115505511582376E19</v>
      </c>
    </row>
    <row r="2921">
      <c r="A2921" s="6"/>
      <c r="B2921" s="6"/>
      <c r="C2921" s="4"/>
      <c r="D2921" s="4">
        <v>48.3641275995966</v>
      </c>
      <c r="E2921" s="4" t="s">
        <v>4543</v>
      </c>
      <c r="F2921" s="4"/>
      <c r="G2921" s="4"/>
      <c r="H2921" s="4"/>
      <c r="I2921" s="4" t="str">
        <f>IFERROR(__xludf.DUMMYFUNCTION("""COMPUTED_VALUE"""),"0xb57b222a524dbc8ffc4d3080783cd546cb383c5e")</f>
        <v>0xb57b222a524dbc8ffc4d3080783cd546cb383c5e</v>
      </c>
      <c r="J2921" s="18">
        <v>47.376831105539594</v>
      </c>
      <c r="K2921" s="4">
        <v>592.2103888192449</v>
      </c>
      <c r="L2921" s="19">
        <v>5.922103888192449E20</v>
      </c>
      <c r="M2921" s="20">
        <v>5.922103888192449E19</v>
      </c>
    </row>
    <row r="2922">
      <c r="A2922" s="6"/>
      <c r="B2922" s="6"/>
      <c r="C2922" s="4"/>
      <c r="D2922" s="4">
        <v>1.3433576359367199</v>
      </c>
      <c r="E2922" s="4" t="s">
        <v>4544</v>
      </c>
      <c r="F2922" s="4"/>
      <c r="G2922" s="4"/>
      <c r="H2922" s="4"/>
      <c r="I2922" s="4" t="str">
        <f>IFERROR(__xludf.DUMMYFUNCTION("""COMPUTED_VALUE"""),"0x6f78fff218c57b736b32e5ba6b0847c758d426bf")</f>
        <v>0x6f78fff218c57b736b32e5ba6b0847c758d426bf</v>
      </c>
      <c r="J2922" s="18">
        <v>40.664591504370996</v>
      </c>
      <c r="K2922" s="4">
        <v>508.30739380463746</v>
      </c>
      <c r="L2922" s="19">
        <v>5.0830739380463744E20</v>
      </c>
      <c r="M2922" s="20">
        <v>5.083073938046375E19</v>
      </c>
    </row>
    <row r="2923">
      <c r="A2923" s="6"/>
      <c r="B2923" s="6"/>
      <c r="C2923" s="4"/>
      <c r="D2923" s="4">
        <v>48.3641275995966</v>
      </c>
      <c r="E2923" s="4" t="s">
        <v>4546</v>
      </c>
      <c r="F2923" s="4"/>
      <c r="G2923" s="4"/>
      <c r="H2923" s="4"/>
      <c r="I2923" s="4" t="str">
        <f>IFERROR(__xludf.DUMMYFUNCTION("""COMPUTED_VALUE"""),"0xdcfd8ac12a3c122fe946ccab73ba9d9c64143dd1")</f>
        <v>0xdcfd8ac12a3c122fe946ccab73ba9d9c64143dd1</v>
      </c>
      <c r="J2923" s="18">
        <v>36.9967065933412</v>
      </c>
      <c r="K2923" s="4">
        <v>462.458832416765</v>
      </c>
      <c r="L2923" s="19">
        <v>4.62458832416765E20</v>
      </c>
      <c r="M2923" s="20">
        <v>4.6245883241676505E19</v>
      </c>
    </row>
    <row r="2924">
      <c r="A2924" s="6"/>
      <c r="B2924" s="6"/>
      <c r="C2924" s="4"/>
      <c r="D2924" s="4">
        <v>48.3641275995966</v>
      </c>
      <c r="E2924" s="4" t="s">
        <v>4547</v>
      </c>
      <c r="F2924" s="4"/>
      <c r="G2924" s="4"/>
      <c r="H2924" s="4"/>
      <c r="I2924" s="4" t="str">
        <f>IFERROR(__xludf.DUMMYFUNCTION("""COMPUTED_VALUE"""),"0x2c588eb6927a537199781f65758e6f6452828608")</f>
        <v>0x2c588eb6927a537199781f65758e6f6452828608</v>
      </c>
      <c r="J2924" s="18">
        <v>0.143453102400011</v>
      </c>
      <c r="K2924" s="4">
        <v>1.7931637800001374</v>
      </c>
      <c r="L2924" s="19">
        <v>1.7931637800001375E18</v>
      </c>
      <c r="M2924" s="20">
        <v>1.7931637800001376E17</v>
      </c>
    </row>
    <row r="2925">
      <c r="A2925" s="6"/>
      <c r="B2925" s="6"/>
      <c r="C2925" s="4"/>
      <c r="D2925" s="4">
        <v>9.01041594929384</v>
      </c>
      <c r="E2925" s="4" t="s">
        <v>4548</v>
      </c>
      <c r="F2925" s="4"/>
      <c r="G2925" s="4"/>
      <c r="H2925" s="4"/>
      <c r="I2925" s="4" t="str">
        <f>IFERROR(__xludf.DUMMYFUNCTION("""COMPUTED_VALUE"""),"0xaf3a62b3a0b192bab2eaf73ba53e854867ea0ddb")</f>
        <v>0xaf3a62b3a0b192bab2eaf73ba53e854867ea0ddb</v>
      </c>
      <c r="J2925" s="18">
        <v>48.3641275995966</v>
      </c>
      <c r="K2925" s="4">
        <v>604.5515949949574</v>
      </c>
      <c r="L2925" s="19">
        <v>6.045515949949574E20</v>
      </c>
      <c r="M2925" s="20">
        <v>6.045515949949574E19</v>
      </c>
    </row>
    <row r="2926">
      <c r="A2926" s="6"/>
      <c r="B2926" s="6"/>
      <c r="C2926" s="4"/>
      <c r="D2926" s="4">
        <v>46.829200532736095</v>
      </c>
      <c r="E2926" s="4" t="s">
        <v>1717</v>
      </c>
      <c r="F2926" s="4"/>
      <c r="G2926" s="4"/>
      <c r="H2926" s="4"/>
      <c r="I2926" s="4" t="str">
        <f>IFERROR(__xludf.DUMMYFUNCTION("""COMPUTED_VALUE"""),"0x4a11c04918dccc59c3e20c12021badf6fac84be6")</f>
        <v>0x4a11c04918dccc59c3e20c12021badf6fac84be6</v>
      </c>
      <c r="J2926" s="18">
        <v>3.8691302079677303</v>
      </c>
      <c r="K2926" s="4">
        <v>48.36412759959663</v>
      </c>
      <c r="L2926" s="19">
        <v>4.836412759959663E19</v>
      </c>
      <c r="M2926" s="20">
        <v>4.836412759959663E18</v>
      </c>
    </row>
    <row r="2927">
      <c r="A2927" s="6"/>
      <c r="B2927" s="6"/>
      <c r="C2927" s="4"/>
      <c r="D2927" s="4">
        <v>47.223126817133</v>
      </c>
      <c r="E2927" s="4" t="s">
        <v>4551</v>
      </c>
      <c r="F2927" s="4"/>
      <c r="G2927" s="4"/>
      <c r="H2927" s="4"/>
      <c r="I2927" s="4" t="str">
        <f>IFERROR(__xludf.DUMMYFUNCTION("""COMPUTED_VALUE"""),"0x75f5f076ccbc3272262810a7a66599eac24600f2")</f>
        <v>0x75f5f076ccbc3272262810a7a66599eac24600f2</v>
      </c>
      <c r="J2927" s="18">
        <v>48.3641275995966</v>
      </c>
      <c r="K2927" s="4">
        <v>604.5515949949574</v>
      </c>
      <c r="L2927" s="19">
        <v>6.045515949949574E20</v>
      </c>
      <c r="M2927" s="20">
        <v>6.045515949949574E19</v>
      </c>
    </row>
    <row r="2928">
      <c r="A2928" s="6"/>
      <c r="B2928" s="6"/>
      <c r="C2928" s="4"/>
      <c r="D2928" s="4">
        <v>9.98254662335029</v>
      </c>
      <c r="E2928" s="4" t="s">
        <v>4553</v>
      </c>
      <c r="F2928" s="4"/>
      <c r="G2928" s="4"/>
      <c r="H2928" s="4"/>
      <c r="I2928" s="4" t="str">
        <f>IFERROR(__xludf.DUMMYFUNCTION("""COMPUTED_VALUE"""),"0x4238b6d8e263ef299ea81bb6e457c35e7f47b6cb")</f>
        <v>0x4238b6d8e263ef299ea81bb6e457c35e7f47b6cb</v>
      </c>
      <c r="J2928" s="18">
        <v>125.49423047575519</v>
      </c>
      <c r="K2928" s="4">
        <v>1568.67788094694</v>
      </c>
      <c r="L2928" s="19">
        <v>1.56867788094694E21</v>
      </c>
      <c r="M2928" s="20">
        <v>1.56867788094694E20</v>
      </c>
    </row>
    <row r="2929">
      <c r="A2929" s="6"/>
      <c r="B2929" s="6"/>
      <c r="C2929" s="4"/>
      <c r="D2929" s="4">
        <v>48.3641275995966</v>
      </c>
      <c r="E2929" s="4" t="s">
        <v>4555</v>
      </c>
      <c r="F2929" s="4"/>
      <c r="G2929" s="4"/>
      <c r="H2929" s="4"/>
      <c r="I2929" s="4" t="str">
        <f>IFERROR(__xludf.DUMMYFUNCTION("""COMPUTED_VALUE"""),"0x6a8d5e5fda51ce6578a59dc2ba9c8142c9da3df4")</f>
        <v>0x6a8d5e5fda51ce6578a59dc2ba9c8142c9da3df4</v>
      </c>
      <c r="J2929" s="18">
        <v>10.887677098713201</v>
      </c>
      <c r="K2929" s="4">
        <v>136.095963733915</v>
      </c>
      <c r="L2929" s="19">
        <v>1.36095963733915E20</v>
      </c>
      <c r="M2929" s="20">
        <v>1.36095963733915E19</v>
      </c>
    </row>
    <row r="2930">
      <c r="A2930" s="6"/>
      <c r="B2930" s="6"/>
      <c r="C2930" s="4"/>
      <c r="D2930" s="4">
        <v>10.1164475377366</v>
      </c>
      <c r="E2930" s="4" t="s">
        <v>4556</v>
      </c>
      <c r="F2930" s="4"/>
      <c r="G2930" s="4"/>
      <c r="H2930" s="4"/>
      <c r="I2930" s="4" t="str">
        <f>IFERROR(__xludf.DUMMYFUNCTION("""COMPUTED_VALUE"""),"0x78a329acf67ea47ae17d324ca32f99b80492d24a")</f>
        <v>0x78a329acf67ea47ae17d324ca32f99b80492d24a</v>
      </c>
      <c r="J2930" s="18">
        <v>25.6017422909398</v>
      </c>
      <c r="K2930" s="4">
        <v>320.0217786367475</v>
      </c>
      <c r="L2930" s="19">
        <v>3.200217786367475E20</v>
      </c>
      <c r="M2930" s="20">
        <v>3.2002177863674753E19</v>
      </c>
    </row>
    <row r="2931">
      <c r="A2931" s="6"/>
      <c r="B2931" s="6"/>
      <c r="C2931" s="4"/>
      <c r="D2931" s="4">
        <v>9.672825519919328</v>
      </c>
      <c r="E2931" s="4" t="s">
        <v>4558</v>
      </c>
      <c r="F2931" s="4"/>
      <c r="G2931" s="4"/>
      <c r="H2931" s="4"/>
      <c r="I2931" s="4" t="str">
        <f>IFERROR(__xludf.DUMMYFUNCTION("""COMPUTED_VALUE"""),"0x2b6c96430cf3a2d32ff68d7fd7a4130a4c778d56")</f>
        <v>0x2b6c96430cf3a2d32ff68d7fd7a4130a4c778d56</v>
      </c>
      <c r="J2931" s="18">
        <v>10.6401080719112</v>
      </c>
      <c r="K2931" s="4">
        <v>133.00135089889</v>
      </c>
      <c r="L2931" s="19">
        <v>1.3300135089889E20</v>
      </c>
      <c r="M2931" s="20">
        <v>1.3300135089889001E19</v>
      </c>
    </row>
    <row r="2932">
      <c r="A2932" s="6"/>
      <c r="B2932" s="6"/>
      <c r="C2932" s="4"/>
      <c r="D2932" s="4">
        <v>6.96550323417955</v>
      </c>
      <c r="E2932" s="4" t="s">
        <v>4559</v>
      </c>
      <c r="F2932" s="4"/>
      <c r="G2932" s="4"/>
      <c r="H2932" s="4"/>
      <c r="I2932" s="4" t="str">
        <f>IFERROR(__xludf.DUMMYFUNCTION("""COMPUTED_VALUE"""),"0x990cde03e586373638a168eeb6b7793987510663")</f>
        <v>0x990cde03e586373638a168eeb6b7793987510663</v>
      </c>
      <c r="J2932" s="18">
        <v>9.721039571696421</v>
      </c>
      <c r="K2932" s="4">
        <v>121.51299464620526</v>
      </c>
      <c r="L2932" s="19">
        <v>1.2151299464620525E20</v>
      </c>
      <c r="M2932" s="20">
        <v>1.2151299464620526E19</v>
      </c>
    </row>
    <row r="2933">
      <c r="A2933" s="6"/>
      <c r="B2933" s="6"/>
      <c r="C2933" s="4"/>
      <c r="D2933" s="4">
        <v>48.3641275995966</v>
      </c>
      <c r="E2933" s="4" t="s">
        <v>4561</v>
      </c>
      <c r="F2933" s="4"/>
      <c r="G2933" s="4"/>
      <c r="H2933" s="4"/>
      <c r="I2933" s="4" t="str">
        <f>IFERROR(__xludf.DUMMYFUNCTION("""COMPUTED_VALUE"""),"0x93ea05a4e96ab1992c494679fa3631235ec51aaf")</f>
        <v>0x93ea05a4e96ab1992c494679fa3631235ec51aaf</v>
      </c>
      <c r="J2933" s="18">
        <v>48.1766369660673</v>
      </c>
      <c r="K2933" s="4">
        <v>602.2079620758412</v>
      </c>
      <c r="L2933" s="19">
        <v>6.022079620758413E20</v>
      </c>
      <c r="M2933" s="20">
        <v>6.022079620758413E19</v>
      </c>
    </row>
    <row r="2934">
      <c r="A2934" s="6"/>
      <c r="B2934" s="6"/>
      <c r="C2934" s="4"/>
      <c r="D2934" s="4">
        <v>48.3641275995966</v>
      </c>
      <c r="E2934" s="4" t="s">
        <v>4562</v>
      </c>
      <c r="F2934" s="4"/>
      <c r="G2934" s="4"/>
      <c r="H2934" s="4"/>
      <c r="I2934" s="4" t="str">
        <f>IFERROR(__xludf.DUMMYFUNCTION("""COMPUTED_VALUE"""),"0x49105046609627d8fc52f89528b51dc894072d35")</f>
        <v>0x49105046609627d8fc52f89528b51dc894072d35</v>
      </c>
      <c r="J2934" s="18">
        <v>5.18682764727446</v>
      </c>
      <c r="K2934" s="4">
        <v>64.83534559093074</v>
      </c>
      <c r="L2934" s="19">
        <v>6.483534559093074E19</v>
      </c>
      <c r="M2934" s="20">
        <v>6.483534559093075E18</v>
      </c>
    </row>
    <row r="2935">
      <c r="A2935" s="6"/>
      <c r="B2935" s="6"/>
      <c r="C2935" s="4"/>
      <c r="D2935" s="4">
        <v>9.672825519919328</v>
      </c>
      <c r="E2935" s="4" t="s">
        <v>4563</v>
      </c>
      <c r="F2935" s="4"/>
      <c r="G2935" s="4"/>
      <c r="H2935" s="4"/>
      <c r="I2935" s="4" t="str">
        <f>IFERROR(__xludf.DUMMYFUNCTION("""COMPUTED_VALUE"""),"0xf148ac13f1778f30acc8986a9c1879be36c1fde1")</f>
        <v>0xf148ac13f1778f30acc8986a9c1879be36c1fde1</v>
      </c>
      <c r="J2935" s="18">
        <v>11.6233420974922</v>
      </c>
      <c r="K2935" s="4">
        <v>145.2917762186525</v>
      </c>
      <c r="L2935" s="19">
        <v>1.452917762186525E20</v>
      </c>
      <c r="M2935" s="20">
        <v>1.452917762186525E19</v>
      </c>
    </row>
    <row r="2936">
      <c r="A2936" s="6"/>
      <c r="B2936" s="6"/>
      <c r="C2936" s="4"/>
      <c r="D2936" s="4">
        <v>9.672825519919328</v>
      </c>
      <c r="E2936" s="4" t="s">
        <v>4564</v>
      </c>
      <c r="F2936" s="4"/>
      <c r="G2936" s="4"/>
      <c r="H2936" s="4"/>
      <c r="I2936" s="4" t="str">
        <f>IFERROR(__xludf.DUMMYFUNCTION("""COMPUTED_VALUE"""),"0x89b3ca95b293331249140e6697145d5806b3976d")</f>
        <v>0x89b3ca95b293331249140e6697145d5806b3976d</v>
      </c>
      <c r="J2936" s="18">
        <v>159.9713037240966</v>
      </c>
      <c r="K2936" s="4">
        <v>1999.6412965512075</v>
      </c>
      <c r="L2936" s="19">
        <v>1.9996412965512075E21</v>
      </c>
      <c r="M2936" s="20">
        <v>1.9996412965512076E20</v>
      </c>
    </row>
    <row r="2937">
      <c r="A2937" s="6"/>
      <c r="B2937" s="6"/>
      <c r="C2937" s="4"/>
      <c r="D2937" s="4">
        <v>9.5204876697407</v>
      </c>
      <c r="E2937" s="4" t="s">
        <v>4565</v>
      </c>
      <c r="F2937" s="4"/>
      <c r="G2937" s="4"/>
      <c r="H2937" s="4"/>
      <c r="I2937" s="4" t="str">
        <f>IFERROR(__xludf.DUMMYFUNCTION("""COMPUTED_VALUE"""),"0xbc341a288c3695fc8b2784581803cd755a8781bf")</f>
        <v>0xbc341a288c3695fc8b2784581803cd755a8781bf</v>
      </c>
      <c r="J2937" s="18">
        <v>67.1513355805541</v>
      </c>
      <c r="K2937" s="4">
        <v>839.3916947569263</v>
      </c>
      <c r="L2937" s="19">
        <v>8.393916947569263E20</v>
      </c>
      <c r="M2937" s="20">
        <v>8.393916947569264E19</v>
      </c>
    </row>
    <row r="2938">
      <c r="A2938" s="6"/>
      <c r="B2938" s="6"/>
      <c r="C2938" s="4"/>
      <c r="D2938" s="4">
        <v>40.1738038299894</v>
      </c>
      <c r="E2938" s="4" t="s">
        <v>4567</v>
      </c>
      <c r="F2938" s="4"/>
      <c r="G2938" s="4"/>
      <c r="H2938" s="4"/>
      <c r="I2938" s="4" t="str">
        <f>IFERROR(__xludf.DUMMYFUNCTION("""COMPUTED_VALUE"""),"0xb6395525819a4a3d74be262d1a9d0c7adfadac00")</f>
        <v>0xb6395525819a4a3d74be262d1a9d0c7adfadac00</v>
      </c>
      <c r="J2938" s="18">
        <v>57.66472560997164</v>
      </c>
      <c r="K2938" s="4">
        <v>720.8090701246455</v>
      </c>
      <c r="L2938" s="19">
        <v>7.208090701246455E20</v>
      </c>
      <c r="M2938" s="20">
        <v>7.208090701246455E19</v>
      </c>
    </row>
    <row r="2939">
      <c r="A2939" s="6"/>
      <c r="B2939" s="6"/>
      <c r="C2939" s="4"/>
      <c r="D2939" s="4">
        <v>48.3641275995966</v>
      </c>
      <c r="E2939" s="4" t="s">
        <v>4569</v>
      </c>
      <c r="F2939" s="4"/>
      <c r="G2939" s="4"/>
      <c r="H2939" s="4"/>
      <c r="I2939" s="4" t="str">
        <f>IFERROR(__xludf.DUMMYFUNCTION("""COMPUTED_VALUE"""),"0x941e710a60a07307c575631a0fbe32c25def4956")</f>
        <v>0x941e710a60a07307c575631a0fbe32c25def4956</v>
      </c>
      <c r="J2939" s="18">
        <v>113.4683136722219</v>
      </c>
      <c r="K2939" s="4">
        <v>1418.3539209027738</v>
      </c>
      <c r="L2939" s="19">
        <v>1.4183539209027739E21</v>
      </c>
      <c r="M2939" s="20">
        <v>1.418353920902774E20</v>
      </c>
    </row>
    <row r="2940">
      <c r="A2940" s="6"/>
      <c r="B2940" s="6"/>
      <c r="C2940" s="4"/>
      <c r="D2940" s="4">
        <v>17.2843085813674</v>
      </c>
      <c r="E2940" s="4" t="s">
        <v>4570</v>
      </c>
      <c r="F2940" s="4"/>
      <c r="G2940" s="4"/>
      <c r="H2940" s="4"/>
      <c r="I2940" s="4" t="str">
        <f>IFERROR(__xludf.DUMMYFUNCTION("""COMPUTED_VALUE"""),"0xf284ec0247474317b4d7571984ae8eef1a32eeff")</f>
        <v>0xf284ec0247474317b4d7571984ae8eef1a32eeff</v>
      </c>
      <c r="J2940" s="18">
        <v>0.141165159498864</v>
      </c>
      <c r="K2940" s="4">
        <v>1.7645644937357998</v>
      </c>
      <c r="L2940" s="19">
        <v>1.7645644937357998E18</v>
      </c>
      <c r="M2940" s="20">
        <v>1.7645644937358E17</v>
      </c>
    </row>
    <row r="2941">
      <c r="A2941" s="6"/>
      <c r="B2941" s="6"/>
      <c r="C2941" s="4"/>
      <c r="D2941" s="4">
        <v>24.812855131875402</v>
      </c>
      <c r="E2941" s="4" t="s">
        <v>4572</v>
      </c>
      <c r="F2941" s="4"/>
      <c r="G2941" s="4"/>
      <c r="H2941" s="4"/>
      <c r="I2941" s="4" t="str">
        <f>IFERROR(__xludf.DUMMYFUNCTION("""COMPUTED_VALUE"""),"0x9f78da3b4e104da9b5aff78ee5196716892fd1f6")</f>
        <v>0x9f78da3b4e104da9b5aff78ee5196716892fd1f6</v>
      </c>
      <c r="J2941" s="18">
        <v>10.3028566197569</v>
      </c>
      <c r="K2941" s="4">
        <v>128.78570774696124</v>
      </c>
      <c r="L2941" s="19">
        <v>1.2878570774696124E20</v>
      </c>
      <c r="M2941" s="20">
        <v>1.2878570774696124E19</v>
      </c>
    </row>
    <row r="2942">
      <c r="A2942" s="6"/>
      <c r="B2942" s="6"/>
      <c r="C2942" s="4"/>
      <c r="D2942" s="4">
        <v>48.3641275995966</v>
      </c>
      <c r="E2942" s="4" t="s">
        <v>4574</v>
      </c>
      <c r="F2942" s="4"/>
      <c r="G2942" s="4"/>
      <c r="H2942" s="4"/>
      <c r="I2942" s="4" t="str">
        <f>IFERROR(__xludf.DUMMYFUNCTION("""COMPUTED_VALUE"""),"0xadcdceb1ef60e3f3a65ea17a1a3d2631daf869be")</f>
        <v>0xadcdceb1ef60e3f3a65ea17a1a3d2631daf869be</v>
      </c>
      <c r="J2942" s="18">
        <v>9.13684643866032</v>
      </c>
      <c r="K2942" s="4">
        <v>114.210580483254</v>
      </c>
      <c r="L2942" s="19">
        <v>1.1421058048325401E20</v>
      </c>
      <c r="M2942" s="20">
        <v>1.1421058048325403E19</v>
      </c>
    </row>
    <row r="2943">
      <c r="A2943" s="6"/>
      <c r="B2943" s="6"/>
      <c r="C2943" s="4"/>
      <c r="D2943" s="4">
        <v>48.3641275995966</v>
      </c>
      <c r="E2943" s="4" t="s">
        <v>4575</v>
      </c>
      <c r="F2943" s="4"/>
      <c r="G2943" s="4"/>
      <c r="H2943" s="4"/>
      <c r="I2943" s="4" t="str">
        <f>IFERROR(__xludf.DUMMYFUNCTION("""COMPUTED_VALUE"""),"0x55720d9761efbc8ff043728993f3b03752795794")</f>
        <v>0x55720d9761efbc8ff043728993f3b03752795794</v>
      </c>
      <c r="J2943" s="18">
        <v>8.073095238573801</v>
      </c>
      <c r="K2943" s="4">
        <v>100.91369048217251</v>
      </c>
      <c r="L2943" s="19">
        <v>1.0091369048217251E20</v>
      </c>
      <c r="M2943" s="20">
        <v>1.0091369048217252E19</v>
      </c>
    </row>
    <row r="2944">
      <c r="A2944" s="6"/>
      <c r="B2944" s="6"/>
      <c r="C2944" s="4"/>
      <c r="D2944" s="4">
        <v>46.6921036781867</v>
      </c>
      <c r="E2944" s="4" t="s">
        <v>4576</v>
      </c>
      <c r="F2944" s="4"/>
      <c r="G2944" s="4"/>
      <c r="H2944" s="4"/>
      <c r="I2944" s="4" t="str">
        <f>IFERROR(__xludf.DUMMYFUNCTION("""COMPUTED_VALUE"""),"0xa536fa9dce2f152f5905ecf4da0092416892ecc7")</f>
        <v>0xa536fa9dce2f152f5905ecf4da0092416892ecc7</v>
      </c>
      <c r="J2944" s="18">
        <v>8.31784746976267</v>
      </c>
      <c r="K2944" s="4">
        <v>103.97309337203338</v>
      </c>
      <c r="L2944" s="19">
        <v>1.0397309337203337E20</v>
      </c>
      <c r="M2944" s="20">
        <v>1.0397309337203337E19</v>
      </c>
    </row>
    <row r="2945">
      <c r="A2945" s="6"/>
      <c r="B2945" s="6"/>
      <c r="C2945" s="4"/>
      <c r="D2945" s="4">
        <v>29.0379158559366</v>
      </c>
      <c r="E2945" s="4" t="s">
        <v>4578</v>
      </c>
      <c r="F2945" s="4"/>
      <c r="G2945" s="4"/>
      <c r="H2945" s="4"/>
      <c r="I2945" s="4" t="str">
        <f>IFERROR(__xludf.DUMMYFUNCTION("""COMPUTED_VALUE"""),"0x1c03eff3d2a35df54f243eecfe491288df64af20")</f>
        <v>0x1c03eff3d2a35df54f243eecfe491288df64af20</v>
      </c>
      <c r="J2945" s="18">
        <v>48.3641275995966</v>
      </c>
      <c r="K2945" s="4">
        <v>604.5515949949574</v>
      </c>
      <c r="L2945" s="19">
        <v>6.045515949949574E20</v>
      </c>
      <c r="M2945" s="20">
        <v>6.045515949949574E19</v>
      </c>
    </row>
    <row r="2946">
      <c r="A2946" s="6"/>
      <c r="B2946" s="6"/>
      <c r="C2946" s="4"/>
      <c r="D2946" s="4">
        <v>22.247498695814397</v>
      </c>
      <c r="E2946" s="4" t="s">
        <v>4580</v>
      </c>
      <c r="F2946" s="4"/>
      <c r="G2946" s="4"/>
      <c r="H2946" s="4"/>
      <c r="I2946" s="4" t="str">
        <f>IFERROR(__xludf.DUMMYFUNCTION("""COMPUTED_VALUE"""),"0x013e51ae667a8ef9513940bfcafe262d7f95052e")</f>
        <v>0x013e51ae667a8ef9513940bfcafe262d7f95052e</v>
      </c>
      <c r="J2946" s="18">
        <v>4.92629437670968</v>
      </c>
      <c r="K2946" s="4">
        <v>61.578679708871</v>
      </c>
      <c r="L2946" s="19">
        <v>6.1578679708871E19</v>
      </c>
      <c r="M2946" s="20">
        <v>6.1578679708871E18</v>
      </c>
    </row>
    <row r="2947">
      <c r="A2947" s="6"/>
      <c r="B2947" s="6"/>
      <c r="C2947" s="4"/>
      <c r="D2947" s="4">
        <v>15.426139469879699</v>
      </c>
      <c r="E2947" s="4" t="s">
        <v>4582</v>
      </c>
      <c r="F2947" s="4"/>
      <c r="G2947" s="4"/>
      <c r="H2947" s="4"/>
      <c r="I2947" s="4" t="str">
        <f>IFERROR(__xludf.DUMMYFUNCTION("""COMPUTED_VALUE"""),"0x01ef95f52723fd79f8d62c83a7fcc154622f02c8")</f>
        <v>0x01ef95f52723fd79f8d62c83a7fcc154622f02c8</v>
      </c>
      <c r="J2947" s="18">
        <v>3.45772536951225</v>
      </c>
      <c r="K2947" s="4">
        <v>43.221567118903124</v>
      </c>
      <c r="L2947" s="19">
        <v>4.322156711890312E19</v>
      </c>
      <c r="M2947" s="20">
        <v>4.3221567118903127E18</v>
      </c>
    </row>
    <row r="2948">
      <c r="A2948" s="6"/>
      <c r="B2948" s="6"/>
      <c r="C2948" s="4"/>
      <c r="D2948" s="4">
        <v>9.672825519919328</v>
      </c>
      <c r="E2948" s="4" t="s">
        <v>4584</v>
      </c>
      <c r="F2948" s="4"/>
      <c r="G2948" s="4"/>
      <c r="H2948" s="4"/>
      <c r="I2948" s="4" t="str">
        <f>IFERROR(__xludf.DUMMYFUNCTION("""COMPUTED_VALUE"""),"0x3cf545a2eb4bf11a1c7408f9be8969a4cd60629c")</f>
        <v>0x3cf545a2eb4bf11a1c7408f9be8969a4cd60629c</v>
      </c>
      <c r="J2948" s="18">
        <v>32.9695624370009</v>
      </c>
      <c r="K2948" s="4">
        <v>412.11953046251125</v>
      </c>
      <c r="L2948" s="19">
        <v>4.1211953046251124E20</v>
      </c>
      <c r="M2948" s="20">
        <v>4.121195304625113E19</v>
      </c>
    </row>
    <row r="2949">
      <c r="A2949" s="6"/>
      <c r="B2949" s="6"/>
      <c r="C2949" s="4"/>
      <c r="D2949" s="4">
        <v>48.3641275995966</v>
      </c>
      <c r="E2949" s="4" t="s">
        <v>4585</v>
      </c>
      <c r="F2949" s="4"/>
      <c r="G2949" s="4"/>
      <c r="H2949" s="4"/>
      <c r="I2949" s="4" t="str">
        <f>IFERROR(__xludf.DUMMYFUNCTION("""COMPUTED_VALUE"""),"0x802c6fa448f7f9c75212866634ef6ff0aff6f689")</f>
        <v>0x802c6fa448f7f9c75212866634ef6ff0aff6f689</v>
      </c>
      <c r="J2949" s="18">
        <v>21.6108762906534</v>
      </c>
      <c r="K2949" s="4">
        <v>270.1359536331675</v>
      </c>
      <c r="L2949" s="19">
        <v>2.701359536331675E20</v>
      </c>
      <c r="M2949" s="20">
        <v>2.7013595363316752E19</v>
      </c>
    </row>
    <row r="2950">
      <c r="A2950" s="6"/>
      <c r="B2950" s="6"/>
      <c r="C2950" s="4"/>
      <c r="D2950" s="4">
        <v>28.0515083494521</v>
      </c>
      <c r="E2950" s="4" t="s">
        <v>4586</v>
      </c>
      <c r="F2950" s="4"/>
      <c r="G2950" s="4"/>
      <c r="H2950" s="4"/>
      <c r="I2950" s="4" t="str">
        <f>IFERROR(__xludf.DUMMYFUNCTION("""COMPUTED_VALUE"""),"0x60aa67c79e615897b4a1bc9511e384d4d3198ce9")</f>
        <v>0x60aa67c79e615897b4a1bc9511e384d4d3198ce9</v>
      </c>
      <c r="J2950" s="18">
        <v>48.3641275995966</v>
      </c>
      <c r="K2950" s="4">
        <v>604.5515949949574</v>
      </c>
      <c r="L2950" s="19">
        <v>6.045515949949574E20</v>
      </c>
      <c r="M2950" s="20">
        <v>6.045515949949574E19</v>
      </c>
    </row>
    <row r="2951">
      <c r="A2951" s="6"/>
      <c r="B2951" s="6"/>
      <c r="C2951" s="4"/>
      <c r="D2951" s="4">
        <v>48.3641275995966</v>
      </c>
      <c r="E2951" s="4" t="s">
        <v>4588</v>
      </c>
      <c r="F2951" s="4"/>
      <c r="G2951" s="4"/>
      <c r="H2951" s="4"/>
      <c r="I2951" s="4" t="str">
        <f>IFERROR(__xludf.DUMMYFUNCTION("""COMPUTED_VALUE"""),"0x50501f6569b376bc6f6aba8cf7e86f0541e68b62")</f>
        <v>0x50501f6569b376bc6f6aba8cf7e86f0541e68b62</v>
      </c>
      <c r="J2951" s="18">
        <v>66.9653236203466</v>
      </c>
      <c r="K2951" s="4">
        <v>837.0665452543324</v>
      </c>
      <c r="L2951" s="19">
        <v>8.370665452543324E20</v>
      </c>
      <c r="M2951" s="20">
        <v>8.370665452543323E19</v>
      </c>
    </row>
    <row r="2952">
      <c r="A2952" s="6"/>
      <c r="B2952" s="6"/>
      <c r="C2952" s="4"/>
      <c r="D2952" s="4">
        <v>24.1820637997983</v>
      </c>
      <c r="E2952" s="4" t="s">
        <v>4589</v>
      </c>
      <c r="F2952" s="4"/>
      <c r="G2952" s="4"/>
      <c r="H2952" s="4"/>
      <c r="I2952" s="4" t="str">
        <f>IFERROR(__xludf.DUMMYFUNCTION("""COMPUTED_VALUE"""),"0x9c9f6d309e81ab9536c3c6cff6f1cdf987779329")</f>
        <v>0x9c9f6d309e81ab9536c3c6cff6f1cdf987779329</v>
      </c>
      <c r="J2952" s="18">
        <v>8.99473405983264</v>
      </c>
      <c r="K2952" s="4">
        <v>112.43417574790799</v>
      </c>
      <c r="L2952" s="19">
        <v>1.12434175747908E20</v>
      </c>
      <c r="M2952" s="20">
        <v>1.12434175747908E19</v>
      </c>
    </row>
    <row r="2953">
      <c r="A2953" s="6"/>
      <c r="B2953" s="6"/>
      <c r="C2953" s="4"/>
      <c r="D2953" s="4">
        <v>48.3641275995966</v>
      </c>
      <c r="E2953" s="4" t="s">
        <v>4590</v>
      </c>
      <c r="F2953" s="4"/>
      <c r="G2953" s="4"/>
      <c r="H2953" s="4"/>
      <c r="I2953" s="4" t="str">
        <f>IFERROR(__xludf.DUMMYFUNCTION("""COMPUTED_VALUE"""),"0x6168571ace125b6117eb522bea41f73fe8f38b8b")</f>
        <v>0x6168571ace125b6117eb522bea41f73fe8f38b8b</v>
      </c>
      <c r="J2953" s="18">
        <v>48.3641275995966</v>
      </c>
      <c r="K2953" s="4">
        <v>604.5515949949574</v>
      </c>
      <c r="L2953" s="19">
        <v>6.045515949949574E20</v>
      </c>
      <c r="M2953" s="20">
        <v>6.045515949949574E19</v>
      </c>
    </row>
    <row r="2954">
      <c r="A2954" s="6"/>
      <c r="B2954" s="6"/>
      <c r="C2954" s="4"/>
      <c r="D2954" s="4">
        <v>17.3612326328222</v>
      </c>
      <c r="E2954" s="4" t="s">
        <v>4591</v>
      </c>
      <c r="F2954" s="4"/>
      <c r="G2954" s="4"/>
      <c r="H2954" s="4"/>
      <c r="I2954" s="4" t="str">
        <f>IFERROR(__xludf.DUMMYFUNCTION("""COMPUTED_VALUE"""),"0xdc2720a762c5bf9deeeb54460cc8fa8a2b62fac7")</f>
        <v>0xdc2720a762c5bf9deeeb54460cc8fa8a2b62fac7</v>
      </c>
      <c r="J2954" s="18">
        <v>39.2333014893539</v>
      </c>
      <c r="K2954" s="4">
        <v>490.41626861692373</v>
      </c>
      <c r="L2954" s="19">
        <v>4.9041626861692374E20</v>
      </c>
      <c r="M2954" s="20">
        <v>4.904162686169238E19</v>
      </c>
    </row>
    <row r="2955">
      <c r="A2955" s="6"/>
      <c r="B2955" s="6"/>
      <c r="C2955" s="4"/>
      <c r="D2955" s="4">
        <v>9.86628203031772</v>
      </c>
      <c r="E2955" s="4" t="s">
        <v>4593</v>
      </c>
      <c r="F2955" s="4"/>
      <c r="G2955" s="4"/>
      <c r="H2955" s="4"/>
      <c r="I2955" s="4" t="str">
        <f>IFERROR(__xludf.DUMMYFUNCTION("""COMPUTED_VALUE"""),"0xf163db9b2ed66ac50c66baa3fc8c6a85f6d065ba")</f>
        <v>0xf163db9b2ed66ac50c66baa3fc8c6a85f6d065ba</v>
      </c>
      <c r="J2955" s="18">
        <v>9.479369009520939</v>
      </c>
      <c r="K2955" s="4">
        <v>118.49211261901173</v>
      </c>
      <c r="L2955" s="19">
        <v>1.1849211261901174E20</v>
      </c>
      <c r="M2955" s="20">
        <v>1.1849211261901175E19</v>
      </c>
    </row>
    <row r="2956">
      <c r="A2956" s="6"/>
      <c r="B2956" s="6"/>
      <c r="C2956" s="4"/>
      <c r="D2956" s="4">
        <v>37.964306402419</v>
      </c>
      <c r="E2956" s="4" t="s">
        <v>4594</v>
      </c>
      <c r="F2956" s="4"/>
      <c r="G2956" s="4"/>
      <c r="H2956" s="4"/>
      <c r="I2956" s="4" t="str">
        <f>IFERROR(__xludf.DUMMYFUNCTION("""COMPUTED_VALUE"""),"0xfb72b21b9ba4fd9dc057ddd24b98d3c75e986251")</f>
        <v>0xfb72b21b9ba4fd9dc057ddd24b98d3c75e986251</v>
      </c>
      <c r="J2956" s="18">
        <v>21.7924044454445</v>
      </c>
      <c r="K2956" s="4">
        <v>272.40505556805624</v>
      </c>
      <c r="L2956" s="19">
        <v>2.7240505556805625E20</v>
      </c>
      <c r="M2956" s="20">
        <v>2.7240505556805628E19</v>
      </c>
    </row>
    <row r="2957">
      <c r="A2957" s="6"/>
      <c r="B2957" s="6"/>
      <c r="C2957" s="4"/>
      <c r="D2957" s="4">
        <v>34.2967427766396</v>
      </c>
      <c r="E2957" s="4" t="s">
        <v>4596</v>
      </c>
      <c r="F2957" s="4"/>
      <c r="G2957" s="4"/>
      <c r="H2957" s="4"/>
      <c r="I2957" s="4" t="str">
        <f>IFERROR(__xludf.DUMMYFUNCTION("""COMPUTED_VALUE"""),"0x74ae5941f76f4810137aabc257e55a7ba374b3d5")</f>
        <v>0x74ae5941f76f4810137aabc257e55a7ba374b3d5</v>
      </c>
      <c r="J2957" s="18">
        <v>39.6741860239757</v>
      </c>
      <c r="K2957" s="4">
        <v>495.92732529969624</v>
      </c>
      <c r="L2957" s="19">
        <v>4.959273252996962E20</v>
      </c>
      <c r="M2957" s="20">
        <v>4.959273252996963E19</v>
      </c>
    </row>
    <row r="2958">
      <c r="A2958" s="6"/>
      <c r="B2958" s="6"/>
      <c r="C2958" s="4"/>
      <c r="D2958" s="4">
        <v>48.3641275995966</v>
      </c>
      <c r="E2958" s="4" t="s">
        <v>632</v>
      </c>
      <c r="F2958" s="4"/>
      <c r="G2958" s="4"/>
      <c r="H2958" s="4"/>
      <c r="I2958" s="4" t="str">
        <f>IFERROR(__xludf.DUMMYFUNCTION("""COMPUTED_VALUE"""),"0x96ad67e8eec516f549b7d6d3bc92b90869a64a62")</f>
        <v>0x96ad67e8eec516f549b7d6d3bc92b90869a64a62</v>
      </c>
      <c r="J2958" s="18">
        <v>229.3885028946176</v>
      </c>
      <c r="K2958" s="4">
        <v>2867.35628618272</v>
      </c>
      <c r="L2958" s="19">
        <v>2.86735628618272E21</v>
      </c>
      <c r="M2958" s="20">
        <v>2.8673562861827198E20</v>
      </c>
    </row>
    <row r="2959">
      <c r="A2959" s="6"/>
      <c r="B2959" s="6"/>
      <c r="C2959" s="4"/>
      <c r="D2959" s="4">
        <v>3.1478986982177597</v>
      </c>
      <c r="E2959" s="4" t="s">
        <v>4598</v>
      </c>
      <c r="F2959" s="4"/>
      <c r="G2959" s="4"/>
      <c r="H2959" s="4"/>
      <c r="I2959" s="4" t="str">
        <f>IFERROR(__xludf.DUMMYFUNCTION("""COMPUTED_VALUE"""),"0x00265b8cf8349904dfc0d0957b0844ac77d8078b")</f>
        <v>0x00265b8cf8349904dfc0d0957b0844ac77d8078b</v>
      </c>
      <c r="J2959" s="18">
        <v>48.3641275995966</v>
      </c>
      <c r="K2959" s="4">
        <v>604.5515949949574</v>
      </c>
      <c r="L2959" s="19">
        <v>6.045515949949574E20</v>
      </c>
      <c r="M2959" s="20">
        <v>6.045515949949574E19</v>
      </c>
    </row>
    <row r="2960">
      <c r="A2960" s="6"/>
      <c r="B2960" s="6"/>
      <c r="C2960" s="4"/>
      <c r="D2960" s="4">
        <v>48.3641275995966</v>
      </c>
      <c r="E2960" s="4" t="s">
        <v>1493</v>
      </c>
      <c r="F2960" s="4"/>
      <c r="G2960" s="4"/>
      <c r="H2960" s="4"/>
      <c r="I2960" s="4" t="str">
        <f>IFERROR(__xludf.DUMMYFUNCTION("""COMPUTED_VALUE"""),"0x3a66ca05c7d5dfc3cbc5c6f59c498b0699b2df8d")</f>
        <v>0x3a66ca05c7d5dfc3cbc5c6f59c498b0699b2df8d</v>
      </c>
      <c r="J2960" s="18">
        <v>8.32115989642114</v>
      </c>
      <c r="K2960" s="4">
        <v>104.01449870526424</v>
      </c>
      <c r="L2960" s="19">
        <v>1.0401449870526425E20</v>
      </c>
      <c r="M2960" s="20">
        <v>1.0401449870526425E19</v>
      </c>
    </row>
    <row r="2961">
      <c r="A2961" s="6"/>
      <c r="B2961" s="6"/>
      <c r="C2961" s="4"/>
      <c r="D2961" s="4">
        <v>48.3641275995966</v>
      </c>
      <c r="E2961" s="4" t="s">
        <v>4600</v>
      </c>
      <c r="F2961" s="4"/>
      <c r="G2961" s="4"/>
      <c r="H2961" s="4"/>
      <c r="I2961" s="4" t="str">
        <f>IFERROR(__xludf.DUMMYFUNCTION("""COMPUTED_VALUE"""),"0xf94a2fad3ba66196b16dc55a22f11aea4b76dd87")</f>
        <v>0xf94a2fad3ba66196b16dc55a22f11aea4b76dd87</v>
      </c>
      <c r="J2961" s="18">
        <v>5.05395175926289</v>
      </c>
      <c r="K2961" s="4">
        <v>63.17439699078613</v>
      </c>
      <c r="L2961" s="19">
        <v>6.3174396990786126E19</v>
      </c>
      <c r="M2961" s="20">
        <v>6.317439699078613E18</v>
      </c>
    </row>
    <row r="2962">
      <c r="A2962" s="6"/>
      <c r="B2962" s="6"/>
      <c r="C2962" s="4"/>
      <c r="D2962" s="4">
        <v>33.0865717755919</v>
      </c>
      <c r="E2962" s="4" t="s">
        <v>4601</v>
      </c>
      <c r="F2962" s="4"/>
      <c r="G2962" s="4"/>
      <c r="H2962" s="4"/>
      <c r="I2962" s="4" t="str">
        <f>IFERROR(__xludf.DUMMYFUNCTION("""COMPUTED_VALUE"""),"0xe138dec9e3febeb8b5e1f90f2387b1f15f9c4774")</f>
        <v>0xe138dec9e3febeb8b5e1f90f2387b1f15f9c4774</v>
      </c>
      <c r="J2962" s="18">
        <v>103.04891236638309</v>
      </c>
      <c r="K2962" s="4">
        <v>1288.1114045797885</v>
      </c>
      <c r="L2962" s="19">
        <v>1.2881114045797884E21</v>
      </c>
      <c r="M2962" s="20">
        <v>1.2881114045797886E20</v>
      </c>
    </row>
    <row r="2963">
      <c r="A2963" s="6"/>
      <c r="B2963" s="6"/>
      <c r="C2963" s="4"/>
      <c r="D2963" s="4">
        <v>7.096875957597581</v>
      </c>
      <c r="E2963" s="4" t="s">
        <v>4603</v>
      </c>
      <c r="F2963" s="4"/>
      <c r="G2963" s="4"/>
      <c r="H2963" s="4"/>
      <c r="I2963" s="4" t="str">
        <f>IFERROR(__xludf.DUMMYFUNCTION("""COMPUTED_VALUE"""),"0xb8dcbf293a858d7c7796ec90eb862a2f54f5f9e0")</f>
        <v>0xb8dcbf293a858d7c7796ec90eb862a2f54f5f9e0</v>
      </c>
      <c r="J2963" s="18">
        <v>48.3641275995966</v>
      </c>
      <c r="K2963" s="4">
        <v>604.5515949949574</v>
      </c>
      <c r="L2963" s="19">
        <v>6.045515949949574E20</v>
      </c>
      <c r="M2963" s="20">
        <v>6.045515949949574E19</v>
      </c>
    </row>
    <row r="2964">
      <c r="A2964" s="6"/>
      <c r="B2964" s="6"/>
      <c r="C2964" s="4"/>
      <c r="D2964" s="4">
        <v>48.3641275995966</v>
      </c>
      <c r="E2964" s="4" t="s">
        <v>4605</v>
      </c>
      <c r="F2964" s="4"/>
      <c r="G2964" s="4"/>
      <c r="H2964" s="4"/>
      <c r="I2964" s="4" t="str">
        <f>IFERROR(__xludf.DUMMYFUNCTION("""COMPUTED_VALUE"""),"0x72b6ab701cdf16fe01fd1b4cf87409dfec80d3a7")</f>
        <v>0x72b6ab701cdf16fe01fd1b4cf87409dfec80d3a7</v>
      </c>
      <c r="J2964" s="18">
        <v>6.29302710219304</v>
      </c>
      <c r="K2964" s="4">
        <v>78.662838777413</v>
      </c>
      <c r="L2964" s="19">
        <v>7.8662838777413E19</v>
      </c>
      <c r="M2964" s="20">
        <v>7.8662838777413E18</v>
      </c>
    </row>
    <row r="2965">
      <c r="A2965" s="6"/>
      <c r="B2965" s="6"/>
      <c r="C2965" s="4"/>
      <c r="D2965" s="4">
        <v>17.3858145655926</v>
      </c>
      <c r="E2965" s="4" t="s">
        <v>4606</v>
      </c>
      <c r="F2965" s="4"/>
      <c r="G2965" s="4"/>
      <c r="H2965" s="4"/>
      <c r="I2965" s="4" t="str">
        <f>IFERROR(__xludf.DUMMYFUNCTION("""COMPUTED_VALUE"""),"0x4cec37565d7b004f96b714a9246020b7a3d81abd")</f>
        <v>0x4cec37565d7b004f96b714a9246020b7a3d81abd</v>
      </c>
      <c r="J2965" s="18">
        <v>12.646968962410702</v>
      </c>
      <c r="K2965" s="4">
        <v>158.08711203013377</v>
      </c>
      <c r="L2965" s="19">
        <v>1.5808711203013378E20</v>
      </c>
      <c r="M2965" s="20">
        <v>1.5808711203013378E19</v>
      </c>
    </row>
    <row r="2966">
      <c r="A2966" s="6"/>
      <c r="B2966" s="6"/>
      <c r="C2966" s="4"/>
      <c r="D2966" s="4">
        <v>2.55969375913121</v>
      </c>
      <c r="E2966" s="4" t="s">
        <v>4608</v>
      </c>
      <c r="F2966" s="4"/>
      <c r="G2966" s="4"/>
      <c r="H2966" s="4"/>
      <c r="I2966" s="4" t="str">
        <f>IFERROR(__xludf.DUMMYFUNCTION("""COMPUTED_VALUE"""),"0x04c713fa1d68b51a33d8579b069ac87c844c5e25")</f>
        <v>0x04c713fa1d68b51a33d8579b069ac87c844c5e25</v>
      </c>
      <c r="J2966" s="18">
        <v>43.8403865566352</v>
      </c>
      <c r="K2966" s="4">
        <v>548.00483195794</v>
      </c>
      <c r="L2966" s="19">
        <v>5.4800483195794004E20</v>
      </c>
      <c r="M2966" s="20">
        <v>5.480048319579401E19</v>
      </c>
    </row>
    <row r="2967">
      <c r="A2967" s="6"/>
      <c r="B2967" s="6"/>
      <c r="C2967" s="4"/>
      <c r="D2967" s="4">
        <v>48.3641275995966</v>
      </c>
      <c r="E2967" s="4" t="s">
        <v>4610</v>
      </c>
      <c r="F2967" s="4"/>
      <c r="G2967" s="4"/>
      <c r="H2967" s="4"/>
      <c r="I2967" s="4" t="str">
        <f>IFERROR(__xludf.DUMMYFUNCTION("""COMPUTED_VALUE"""),"0x7b70e281fead92d21bcb2aa5d6d92b538a6ba374")</f>
        <v>0x7b70e281fead92d21bcb2aa5d6d92b538a6ba374</v>
      </c>
      <c r="J2967" s="18">
        <v>9.672825519919328</v>
      </c>
      <c r="K2967" s="4">
        <v>120.9103189989916</v>
      </c>
      <c r="L2967" s="19">
        <v>1.209103189989916E20</v>
      </c>
      <c r="M2967" s="20">
        <v>1.209103189989916E19</v>
      </c>
    </row>
    <row r="2968">
      <c r="A2968" s="6"/>
      <c r="B2968" s="6"/>
      <c r="C2968" s="4"/>
      <c r="D2968" s="4">
        <v>8.08520955064325</v>
      </c>
      <c r="E2968" s="4" t="s">
        <v>4611</v>
      </c>
      <c r="F2968" s="4"/>
      <c r="G2968" s="4"/>
      <c r="H2968" s="4"/>
      <c r="I2968" s="4" t="str">
        <f>IFERROR(__xludf.DUMMYFUNCTION("""COMPUTED_VALUE"""),"0xd77b8b3ba0f4a6e54fa8a008b993981c23cd92f2")</f>
        <v>0xd77b8b3ba0f4a6e54fa8a008b993981c23cd92f2</v>
      </c>
      <c r="J2968" s="18">
        <v>53.09759746240554</v>
      </c>
      <c r="K2968" s="4">
        <v>663.7199682800692</v>
      </c>
      <c r="L2968" s="19">
        <v>6.637199682800693E20</v>
      </c>
      <c r="M2968" s="20">
        <v>6.637199682800693E19</v>
      </c>
    </row>
    <row r="2969">
      <c r="A2969" s="6"/>
      <c r="B2969" s="6"/>
      <c r="C2969" s="4"/>
      <c r="D2969" s="4">
        <v>48.3641275995966</v>
      </c>
      <c r="E2969" s="4" t="s">
        <v>4613</v>
      </c>
      <c r="F2969" s="4"/>
      <c r="G2969" s="4"/>
      <c r="H2969" s="4"/>
      <c r="I2969" s="4" t="str">
        <f>IFERROR(__xludf.DUMMYFUNCTION("""COMPUTED_VALUE"""),"0x0250dbd6cd13e04fdc5bba202cc13386340f3bf8")</f>
        <v>0x0250dbd6cd13e04fdc5bba202cc13386340f3bf8</v>
      </c>
      <c r="J2969" s="18">
        <v>147.5740361432663</v>
      </c>
      <c r="K2969" s="4">
        <v>1844.675451790829</v>
      </c>
      <c r="L2969" s="19">
        <v>1.844675451790829E21</v>
      </c>
      <c r="M2969" s="20">
        <v>1.844675451790829E20</v>
      </c>
    </row>
    <row r="2970">
      <c r="A2970" s="6"/>
      <c r="B2970" s="6"/>
      <c r="C2970" s="4"/>
      <c r="D2970" s="4">
        <v>48.3641275995966</v>
      </c>
      <c r="E2970" s="4" t="s">
        <v>4614</v>
      </c>
      <c r="F2970" s="4"/>
      <c r="G2970" s="4"/>
      <c r="H2970" s="4"/>
      <c r="I2970" s="4" t="str">
        <f>IFERROR(__xludf.DUMMYFUNCTION("""COMPUTED_VALUE"""),"0x6c218ed64f8c5b579723c40cb22f258b39703d75")</f>
        <v>0x6c218ed64f8c5b579723c40cb22f258b39703d75</v>
      </c>
      <c r="J2970" s="18">
        <v>106.73290717885999</v>
      </c>
      <c r="K2970" s="4">
        <v>1334.1613397357498</v>
      </c>
      <c r="L2970" s="19">
        <v>1.33416133973575E21</v>
      </c>
      <c r="M2970" s="20">
        <v>1.3341613397357501E20</v>
      </c>
    </row>
    <row r="2971">
      <c r="A2971" s="6"/>
      <c r="B2971" s="6"/>
      <c r="C2971" s="4"/>
      <c r="D2971" s="4">
        <v>48.3641275995966</v>
      </c>
      <c r="E2971" s="4" t="s">
        <v>103</v>
      </c>
      <c r="F2971" s="4"/>
      <c r="G2971" s="4"/>
      <c r="H2971" s="4"/>
      <c r="I2971" s="4" t="str">
        <f>IFERROR(__xludf.DUMMYFUNCTION("""COMPUTED_VALUE"""),"0xa839793e705670ef0b08d3d931cc48604c569a58")</f>
        <v>0xa839793e705670ef0b08d3d931cc48604c569a58</v>
      </c>
      <c r="J2971" s="18">
        <v>12.125012270808101</v>
      </c>
      <c r="K2971" s="4">
        <v>151.56265338510127</v>
      </c>
      <c r="L2971" s="19">
        <v>1.5156265338510128E20</v>
      </c>
      <c r="M2971" s="20">
        <v>1.515626533851013E19</v>
      </c>
    </row>
    <row r="2972">
      <c r="A2972" s="6"/>
      <c r="B2972" s="6"/>
      <c r="C2972" s="4"/>
      <c r="D2972" s="4">
        <v>48.3641275995966</v>
      </c>
      <c r="E2972" s="4" t="s">
        <v>1573</v>
      </c>
      <c r="F2972" s="4"/>
      <c r="G2972" s="4"/>
      <c r="H2972" s="4"/>
      <c r="I2972" s="4" t="str">
        <f>IFERROR(__xludf.DUMMYFUNCTION("""COMPUTED_VALUE"""),"0x049b7ef9818630ceb367dd0f443487ca42a0e187")</f>
        <v>0x049b7ef9818630ceb367dd0f443487ca42a0e187</v>
      </c>
      <c r="J2972" s="18">
        <v>9.672825519919328</v>
      </c>
      <c r="K2972" s="4">
        <v>120.9103189989916</v>
      </c>
      <c r="L2972" s="19">
        <v>1.209103189989916E20</v>
      </c>
      <c r="M2972" s="20">
        <v>1.209103189989916E19</v>
      </c>
    </row>
    <row r="2973">
      <c r="A2973" s="6"/>
      <c r="B2973" s="6"/>
      <c r="C2973" s="4"/>
      <c r="D2973" s="4">
        <v>18.7762396658111</v>
      </c>
      <c r="E2973" s="4" t="s">
        <v>4615</v>
      </c>
      <c r="F2973" s="4"/>
      <c r="G2973" s="4"/>
      <c r="H2973" s="4"/>
      <c r="I2973" s="4" t="str">
        <f>IFERROR(__xludf.DUMMYFUNCTION("""COMPUTED_VALUE"""),"0x1beb92f16d586d3ecedc6bd0c2d13b316abdb8e3")</f>
        <v>0x1beb92f16d586d3ecedc6bd0c2d13b316abdb8e3</v>
      </c>
      <c r="J2973" s="18">
        <v>8.56816659578326</v>
      </c>
      <c r="K2973" s="4">
        <v>107.10208244729075</v>
      </c>
      <c r="L2973" s="19">
        <v>1.0710208244729076E20</v>
      </c>
      <c r="M2973" s="20">
        <v>1.0710208244729076E19</v>
      </c>
    </row>
    <row r="2974">
      <c r="A2974" s="6"/>
      <c r="B2974" s="6"/>
      <c r="C2974" s="4"/>
      <c r="D2974" s="4">
        <v>29.018476559758</v>
      </c>
      <c r="E2974" s="4" t="s">
        <v>4617</v>
      </c>
      <c r="F2974" s="4"/>
      <c r="G2974" s="4"/>
      <c r="H2974" s="4"/>
      <c r="I2974" s="4" t="str">
        <f>IFERROR(__xludf.DUMMYFUNCTION("""COMPUTED_VALUE"""),"0x249c6faf32cb676ee2003cebfd8ec8692dfe74ba")</f>
        <v>0x249c6faf32cb676ee2003cebfd8ec8692dfe74ba</v>
      </c>
      <c r="J2974" s="18">
        <v>48.3641275995966</v>
      </c>
      <c r="K2974" s="4">
        <v>604.5515949949574</v>
      </c>
      <c r="L2974" s="19">
        <v>6.045515949949574E20</v>
      </c>
      <c r="M2974" s="20">
        <v>6.045515949949574E19</v>
      </c>
    </row>
    <row r="2975">
      <c r="A2975" s="6"/>
      <c r="B2975" s="6"/>
      <c r="C2975" s="4"/>
      <c r="D2975" s="4">
        <v>45.8547338554387</v>
      </c>
      <c r="E2975" s="4" t="s">
        <v>927</v>
      </c>
      <c r="F2975" s="4"/>
      <c r="G2975" s="4"/>
      <c r="H2975" s="4"/>
      <c r="I2975" s="4" t="str">
        <f>IFERROR(__xludf.DUMMYFUNCTION("""COMPUTED_VALUE"""),"0xe37e0281e591675fb4ad3d030e6d13c86428ea9f")</f>
        <v>0xe37e0281e591675fb4ad3d030e6d13c86428ea9f</v>
      </c>
      <c r="J2975" s="18">
        <v>9.85358877117936</v>
      </c>
      <c r="K2975" s="4">
        <v>123.169859639742</v>
      </c>
      <c r="L2975" s="19">
        <v>1.23169859639742E20</v>
      </c>
      <c r="M2975" s="20">
        <v>1.2316985963974201E19</v>
      </c>
    </row>
    <row r="2976">
      <c r="A2976" s="6"/>
      <c r="B2976" s="6"/>
      <c r="C2976" s="4"/>
      <c r="D2976" s="4">
        <v>48.3641275995966</v>
      </c>
      <c r="E2976" s="4" t="s">
        <v>589</v>
      </c>
      <c r="F2976" s="4"/>
      <c r="G2976" s="4"/>
      <c r="H2976" s="4"/>
      <c r="I2976" s="4" t="str">
        <f>IFERROR(__xludf.DUMMYFUNCTION("""COMPUTED_VALUE"""),"0x943185bb3242e0250a2a36eb96fcf93092fcb7a2")</f>
        <v>0x943185bb3242e0250a2a36eb96fcf93092fcb7a2</v>
      </c>
      <c r="J2976" s="18">
        <v>2.5270698663791</v>
      </c>
      <c r="K2976" s="4">
        <v>31.58837332973875</v>
      </c>
      <c r="L2976" s="19">
        <v>3.158837332973875E19</v>
      </c>
      <c r="M2976" s="20">
        <v>3.158837332973875E18</v>
      </c>
    </row>
    <row r="2977">
      <c r="A2977" s="6"/>
      <c r="B2977" s="6"/>
      <c r="C2977" s="4"/>
      <c r="D2977" s="4">
        <v>20.2931989997653</v>
      </c>
      <c r="E2977" s="4" t="s">
        <v>4619</v>
      </c>
      <c r="F2977" s="4"/>
      <c r="G2977" s="4"/>
      <c r="H2977" s="4"/>
      <c r="I2977" s="4" t="str">
        <f>IFERROR(__xludf.DUMMYFUNCTION("""COMPUTED_VALUE"""),"0x80d80d9036318f0320a837e54d361e4e985d6a72")</f>
        <v>0x80d80d9036318f0320a837e54d361e4e985d6a72</v>
      </c>
      <c r="J2977" s="18">
        <v>19.3456510398386</v>
      </c>
      <c r="K2977" s="4">
        <v>241.8206379979825</v>
      </c>
      <c r="L2977" s="19">
        <v>2.4182063799798248E20</v>
      </c>
      <c r="M2977" s="20">
        <v>2.418206379979825E19</v>
      </c>
    </row>
    <row r="2978">
      <c r="A2978" s="6"/>
      <c r="B2978" s="6"/>
      <c r="C2978" s="4"/>
      <c r="D2978" s="4">
        <v>9.672825519919328</v>
      </c>
      <c r="E2978" s="4" t="s">
        <v>4621</v>
      </c>
      <c r="F2978" s="4"/>
      <c r="G2978" s="4"/>
      <c r="H2978" s="4"/>
      <c r="I2978" s="4" t="str">
        <f>IFERROR(__xludf.DUMMYFUNCTION("""COMPUTED_VALUE"""),"0xab5f7b0ba9c8dd2fe1439692a5f73dd46940971f")</f>
        <v>0xab5f7b0ba9c8dd2fe1439692a5f73dd46940971f</v>
      </c>
      <c r="J2978" s="18">
        <v>11.3496888484603</v>
      </c>
      <c r="K2978" s="4">
        <v>141.87111060575376</v>
      </c>
      <c r="L2978" s="19">
        <v>1.4187111060575376E20</v>
      </c>
      <c r="M2978" s="20">
        <v>1.4187111060575377E19</v>
      </c>
    </row>
    <row r="2979">
      <c r="A2979" s="6"/>
      <c r="B2979" s="6"/>
      <c r="C2979" s="4"/>
      <c r="D2979" s="4">
        <v>48.3641275995966</v>
      </c>
      <c r="E2979" s="4" t="s">
        <v>4622</v>
      </c>
      <c r="F2979" s="4"/>
      <c r="G2979" s="4"/>
      <c r="H2979" s="4"/>
      <c r="I2979" s="4" t="str">
        <f>IFERROR(__xludf.DUMMYFUNCTION("""COMPUTED_VALUE"""),"0x1e1c3278400ff12b0596b118a8a601ba59e10084")</f>
        <v>0x1e1c3278400ff12b0596b118a8a601ba59e10084</v>
      </c>
      <c r="J2979" s="18">
        <v>48.3641275995966</v>
      </c>
      <c r="K2979" s="4">
        <v>604.5515949949574</v>
      </c>
      <c r="L2979" s="19">
        <v>6.045515949949574E20</v>
      </c>
      <c r="M2979" s="20">
        <v>6.045515949949574E19</v>
      </c>
    </row>
    <row r="2980">
      <c r="A2980" s="6"/>
      <c r="B2980" s="6"/>
      <c r="C2980" s="4"/>
      <c r="D2980" s="4">
        <v>1.43550574882016</v>
      </c>
      <c r="E2980" s="4" t="s">
        <v>1692</v>
      </c>
      <c r="F2980" s="4"/>
      <c r="G2980" s="4"/>
      <c r="H2980" s="4"/>
      <c r="I2980" s="4" t="str">
        <f>IFERROR(__xludf.DUMMYFUNCTION("""COMPUTED_VALUE"""),"0xdbb52770a1124594b3329f619935418204607fb0")</f>
        <v>0xdbb52770a1124594b3329f619935418204607fb0</v>
      </c>
      <c r="J2980" s="18">
        <v>48.3641275995966</v>
      </c>
      <c r="K2980" s="4">
        <v>604.5515949949574</v>
      </c>
      <c r="L2980" s="19">
        <v>6.045515949949574E20</v>
      </c>
      <c r="M2980" s="20">
        <v>6.045515949949574E19</v>
      </c>
    </row>
    <row r="2981">
      <c r="A2981" s="6"/>
      <c r="B2981" s="6"/>
      <c r="C2981" s="4"/>
      <c r="D2981" s="4">
        <v>41.0539703440712</v>
      </c>
      <c r="E2981" s="4" t="s">
        <v>4624</v>
      </c>
      <c r="F2981" s="4"/>
      <c r="G2981" s="4"/>
      <c r="H2981" s="4"/>
      <c r="I2981" s="4" t="str">
        <f>IFERROR(__xludf.DUMMYFUNCTION("""COMPUTED_VALUE"""),"0x7bfd1281fe24e6bd384bd9e3767fe89ad1389e20")</f>
        <v>0x7bfd1281fe24e6bd384bd9e3767fe89ad1389e20</v>
      </c>
      <c r="J2981" s="18">
        <v>225.3187275180346</v>
      </c>
      <c r="K2981" s="4">
        <v>2816.484093975432</v>
      </c>
      <c r="L2981" s="19">
        <v>2.816484093975432E21</v>
      </c>
      <c r="M2981" s="20">
        <v>2.816484093975432E20</v>
      </c>
    </row>
    <row r="2982">
      <c r="A2982" s="6"/>
      <c r="B2982" s="6"/>
      <c r="C2982" s="4"/>
      <c r="D2982" s="4">
        <v>43.6278744330666</v>
      </c>
      <c r="E2982" s="4" t="s">
        <v>4626</v>
      </c>
      <c r="F2982" s="4"/>
      <c r="G2982" s="4"/>
      <c r="H2982" s="4"/>
      <c r="I2982" s="4" t="str">
        <f>IFERROR(__xludf.DUMMYFUNCTION("""COMPUTED_VALUE"""),"0xc7c50dd1acf186cfc5db9daba5bfcbd176147e93")</f>
        <v>0xc7c50dd1acf186cfc5db9daba5bfcbd176147e93</v>
      </c>
      <c r="J2982" s="18">
        <v>48.3641275995966</v>
      </c>
      <c r="K2982" s="4">
        <v>604.5515949949574</v>
      </c>
      <c r="L2982" s="19">
        <v>6.045515949949574E20</v>
      </c>
      <c r="M2982" s="20">
        <v>6.045515949949574E19</v>
      </c>
    </row>
    <row r="2983">
      <c r="A2983" s="6"/>
      <c r="B2983" s="6"/>
      <c r="C2983" s="4"/>
      <c r="D2983" s="4">
        <v>48.3641275995966</v>
      </c>
      <c r="E2983" s="4" t="s">
        <v>4628</v>
      </c>
      <c r="F2983" s="4"/>
      <c r="G2983" s="4"/>
      <c r="H2983" s="4"/>
      <c r="I2983" s="4" t="str">
        <f>IFERROR(__xludf.DUMMYFUNCTION("""COMPUTED_VALUE"""),"0xbe9bb12097fa9e26529bacdcb08b8206558cc0a0")</f>
        <v>0xbe9bb12097fa9e26529bacdcb08b8206558cc0a0</v>
      </c>
      <c r="J2983" s="18">
        <v>20.7615741363695</v>
      </c>
      <c r="K2983" s="4">
        <v>259.51967670461875</v>
      </c>
      <c r="L2983" s="19">
        <v>2.5951967670461874E20</v>
      </c>
      <c r="M2983" s="20">
        <v>2.5951967670461874E19</v>
      </c>
    </row>
    <row r="2984">
      <c r="A2984" s="6"/>
      <c r="B2984" s="6"/>
      <c r="C2984" s="4"/>
      <c r="D2984" s="4">
        <v>48.3641275995966</v>
      </c>
      <c r="E2984" s="4" t="s">
        <v>4629</v>
      </c>
      <c r="F2984" s="4"/>
      <c r="G2984" s="4"/>
      <c r="H2984" s="4"/>
      <c r="I2984" s="4" t="str">
        <f>IFERROR(__xludf.DUMMYFUNCTION("""COMPUTED_VALUE"""),"0xe94d9f8b452219a688d8db0afec7b47c06c25aa0")</f>
        <v>0xe94d9f8b452219a688d8db0afec7b47c06c25aa0</v>
      </c>
      <c r="J2984" s="18">
        <v>48.3641275995966</v>
      </c>
      <c r="K2984" s="4">
        <v>604.5515949949574</v>
      </c>
      <c r="L2984" s="19">
        <v>6.045515949949574E20</v>
      </c>
      <c r="M2984" s="20">
        <v>6.045515949949574E19</v>
      </c>
    </row>
    <row r="2985">
      <c r="A2985" s="6"/>
      <c r="B2985" s="6"/>
      <c r="C2985" s="4"/>
      <c r="D2985" s="4">
        <v>8.316797700976531</v>
      </c>
      <c r="E2985" s="4" t="s">
        <v>4630</v>
      </c>
      <c r="F2985" s="4"/>
      <c r="G2985" s="4"/>
      <c r="H2985" s="4"/>
      <c r="I2985" s="4" t="str">
        <f>IFERROR(__xludf.DUMMYFUNCTION("""COMPUTED_VALUE"""),"0x7cc38a1c382919a1b3c58019f501b3ec1754196a")</f>
        <v>0x7cc38a1c382919a1b3c58019f501b3ec1754196a</v>
      </c>
      <c r="J2985" s="18">
        <v>1.4968885918924202</v>
      </c>
      <c r="K2985" s="4">
        <v>18.71110739865525</v>
      </c>
      <c r="L2985" s="19">
        <v>1.871110739865525E19</v>
      </c>
      <c r="M2985" s="20">
        <v>1.8711107398655252E18</v>
      </c>
    </row>
    <row r="2986">
      <c r="A2986" s="6"/>
      <c r="B2986" s="6"/>
      <c r="C2986" s="4"/>
      <c r="D2986" s="4">
        <v>47.8801947567843</v>
      </c>
      <c r="E2986" s="4" t="s">
        <v>4632</v>
      </c>
      <c r="F2986" s="4"/>
      <c r="G2986" s="4"/>
      <c r="H2986" s="4"/>
      <c r="I2986" s="4" t="str">
        <f>IFERROR(__xludf.DUMMYFUNCTION("""COMPUTED_VALUE"""),"0x57ecdc5790acf43917c66d38c2ca874ecfba6b03")</f>
        <v>0x57ecdc5790acf43917c66d38c2ca874ecfba6b03</v>
      </c>
      <c r="J2986" s="18">
        <v>4.73439243439005</v>
      </c>
      <c r="K2986" s="4">
        <v>59.179905429875625</v>
      </c>
      <c r="L2986" s="19">
        <v>5.917990542987562E19</v>
      </c>
      <c r="M2986" s="20">
        <v>5.917990542987563E18</v>
      </c>
    </row>
    <row r="2987">
      <c r="A2987" s="6"/>
      <c r="B2987" s="6"/>
      <c r="C2987" s="4"/>
      <c r="D2987" s="4">
        <v>48.3641275995966</v>
      </c>
      <c r="E2987" s="4" t="s">
        <v>4634</v>
      </c>
      <c r="F2987" s="4"/>
      <c r="G2987" s="4"/>
      <c r="H2987" s="4"/>
      <c r="I2987" s="4" t="str">
        <f>IFERROR(__xludf.DUMMYFUNCTION("""COMPUTED_VALUE"""),"0x8dbde3f9c970b2c1a944e0773d6b09282a0b91ca")</f>
        <v>0x8dbde3f9c970b2c1a944e0773d6b09282a0b91ca</v>
      </c>
      <c r="J2987" s="18">
        <v>48.3641275995966</v>
      </c>
      <c r="K2987" s="4">
        <v>604.5515949949574</v>
      </c>
      <c r="L2987" s="19">
        <v>6.045515949949574E20</v>
      </c>
      <c r="M2987" s="20">
        <v>6.045515949949574E19</v>
      </c>
    </row>
    <row r="2988">
      <c r="A2988" s="6"/>
      <c r="B2988" s="6"/>
      <c r="C2988" s="4"/>
      <c r="D2988" s="4">
        <v>48.3641275995966</v>
      </c>
      <c r="E2988" s="4" t="s">
        <v>4635</v>
      </c>
      <c r="F2988" s="4"/>
      <c r="G2988" s="4"/>
      <c r="H2988" s="4"/>
      <c r="I2988" s="4" t="str">
        <f>IFERROR(__xludf.DUMMYFUNCTION("""COMPUTED_VALUE"""),"0xb23ccb396c62d427bc2b85a8df6ce35da684ebe9")</f>
        <v>0xb23ccb396c62d427bc2b85a8df6ce35da684ebe9</v>
      </c>
      <c r="J2988" s="18">
        <v>46.255349768340494</v>
      </c>
      <c r="K2988" s="4">
        <v>578.1918721042562</v>
      </c>
      <c r="L2988" s="19">
        <v>5.781918721042562E20</v>
      </c>
      <c r="M2988" s="20">
        <v>5.781918721042562E19</v>
      </c>
    </row>
    <row r="2989">
      <c r="A2989" s="6"/>
      <c r="B2989" s="6"/>
      <c r="C2989" s="4"/>
      <c r="D2989" s="4">
        <v>9.539060258205371</v>
      </c>
      <c r="E2989" s="4" t="s">
        <v>4636</v>
      </c>
      <c r="F2989" s="4"/>
      <c r="G2989" s="4"/>
      <c r="H2989" s="4"/>
      <c r="I2989" s="4" t="str">
        <f>IFERROR(__xludf.DUMMYFUNCTION("""COMPUTED_VALUE"""),"0x3b19ff9de96851139405f54f7418c8468c70e3d5")</f>
        <v>0x3b19ff9de96851139405f54f7418c8468c70e3d5</v>
      </c>
      <c r="J2989" s="18">
        <v>9.672825519919328</v>
      </c>
      <c r="K2989" s="4">
        <v>120.9103189989916</v>
      </c>
      <c r="L2989" s="19">
        <v>1.209103189989916E20</v>
      </c>
      <c r="M2989" s="20">
        <v>1.209103189989916E19</v>
      </c>
    </row>
    <row r="2990">
      <c r="A2990" s="6"/>
      <c r="B2990" s="6"/>
      <c r="C2990" s="4"/>
      <c r="D2990" s="4">
        <v>48.3641275995966</v>
      </c>
      <c r="E2990" s="4" t="s">
        <v>4638</v>
      </c>
      <c r="F2990" s="4"/>
      <c r="G2990" s="4"/>
      <c r="H2990" s="4"/>
      <c r="I2990" s="4" t="str">
        <f>IFERROR(__xludf.DUMMYFUNCTION("""COMPUTED_VALUE"""),"0xf979a3ed486c7bb5b29fe2e6e4acb76bc1448a02")</f>
        <v>0xf979a3ed486c7bb5b29fe2e6e4acb76bc1448a02</v>
      </c>
      <c r="J2990" s="18">
        <v>48.3641275995966</v>
      </c>
      <c r="K2990" s="4">
        <v>604.5515949949574</v>
      </c>
      <c r="L2990" s="19">
        <v>6.045515949949574E20</v>
      </c>
      <c r="M2990" s="20">
        <v>6.045515949949574E19</v>
      </c>
    </row>
    <row r="2991">
      <c r="A2991" s="6"/>
      <c r="B2991" s="6"/>
      <c r="C2991" s="4"/>
      <c r="D2991" s="4">
        <v>48.3641275995966</v>
      </c>
      <c r="E2991" s="4" t="s">
        <v>4639</v>
      </c>
      <c r="F2991" s="4"/>
      <c r="G2991" s="4"/>
      <c r="H2991" s="4"/>
      <c r="I2991" s="4" t="str">
        <f>IFERROR(__xludf.DUMMYFUNCTION("""COMPUTED_VALUE"""),"0xe6ad3086866f7dfa703847b95e172f145ee2edd9")</f>
        <v>0xe6ad3086866f7dfa703847b95e172f145ee2edd9</v>
      </c>
      <c r="J2991" s="18">
        <v>48.3641275995966</v>
      </c>
      <c r="K2991" s="4">
        <v>604.5515949949574</v>
      </c>
      <c r="L2991" s="19">
        <v>6.045515949949574E20</v>
      </c>
      <c r="M2991" s="20">
        <v>6.045515949949574E19</v>
      </c>
    </row>
    <row r="2992">
      <c r="A2992" s="6"/>
      <c r="B2992" s="6"/>
      <c r="C2992" s="4"/>
      <c r="D2992" s="4">
        <v>19.5032334266697</v>
      </c>
      <c r="E2992" s="4" t="s">
        <v>4640</v>
      </c>
      <c r="F2992" s="4"/>
      <c r="G2992" s="4"/>
      <c r="H2992" s="4"/>
      <c r="I2992" s="4" t="str">
        <f>IFERROR(__xludf.DUMMYFUNCTION("""COMPUTED_VALUE"""),"0x94bb210f55071d7c2e62cf648f34c0bc6fc54cbe")</f>
        <v>0x94bb210f55071d7c2e62cf648f34c0bc6fc54cbe</v>
      </c>
      <c r="J2992" s="18">
        <v>23.5272187322237</v>
      </c>
      <c r="K2992" s="4">
        <v>294.09023415279626</v>
      </c>
      <c r="L2992" s="19">
        <v>2.9409023415279626E20</v>
      </c>
      <c r="M2992" s="20">
        <v>2.940902341527963E19</v>
      </c>
    </row>
    <row r="2993">
      <c r="A2993" s="6"/>
      <c r="B2993" s="6"/>
      <c r="C2993" s="4"/>
      <c r="D2993" s="4">
        <v>48.3641275995966</v>
      </c>
      <c r="E2993" s="4" t="s">
        <v>4642</v>
      </c>
      <c r="F2993" s="4"/>
      <c r="G2993" s="4"/>
      <c r="H2993" s="4"/>
      <c r="I2993" s="4" t="str">
        <f>IFERROR(__xludf.DUMMYFUNCTION("""COMPUTED_VALUE"""),"0xae2e69d4ed51acd6391e87d1172a0d968db38b7e")</f>
        <v>0xae2e69d4ed51acd6391e87d1172a0d968db38b7e</v>
      </c>
      <c r="J2993" s="18">
        <v>48.3641275995966</v>
      </c>
      <c r="K2993" s="4">
        <v>604.5515949949574</v>
      </c>
      <c r="L2993" s="19">
        <v>6.045515949949574E20</v>
      </c>
      <c r="M2993" s="20">
        <v>6.045515949949574E19</v>
      </c>
    </row>
    <row r="2994">
      <c r="A2994" s="6"/>
      <c r="B2994" s="6"/>
      <c r="C2994" s="4"/>
      <c r="D2994" s="4">
        <v>48.3641275995966</v>
      </c>
      <c r="E2994" s="4" t="s">
        <v>4643</v>
      </c>
      <c r="F2994" s="4"/>
      <c r="G2994" s="4"/>
      <c r="H2994" s="4"/>
      <c r="I2994" s="4" t="str">
        <f>IFERROR(__xludf.DUMMYFUNCTION("""COMPUTED_VALUE"""),"0xe675dc013c5ae760b70f11a8a4f0f5fda6ebb849")</f>
        <v>0xe675dc013c5ae760b70f11a8a4f0f5fda6ebb849</v>
      </c>
      <c r="J2994" s="18">
        <v>2.2082967897648698</v>
      </c>
      <c r="K2994" s="4">
        <v>27.603709872060872</v>
      </c>
      <c r="L2994" s="19">
        <v>2.760370987206087E19</v>
      </c>
      <c r="M2994" s="20">
        <v>2.760370987206087E18</v>
      </c>
    </row>
    <row r="2995">
      <c r="A2995" s="6"/>
      <c r="B2995" s="6"/>
      <c r="C2995" s="4"/>
      <c r="D2995" s="4">
        <v>9.672825519919328</v>
      </c>
      <c r="E2995" s="4" t="s">
        <v>4644</v>
      </c>
      <c r="F2995" s="4"/>
      <c r="G2995" s="4"/>
      <c r="H2995" s="4"/>
      <c r="I2995" s="4" t="str">
        <f>IFERROR(__xludf.DUMMYFUNCTION("""COMPUTED_VALUE"""),"0xfac240e6785a20c0d7d62587381411c8ee7e6412")</f>
        <v>0xfac240e6785a20c0d7d62587381411c8ee7e6412</v>
      </c>
      <c r="J2995" s="18">
        <v>48.3641275995966</v>
      </c>
      <c r="K2995" s="4">
        <v>604.5515949949574</v>
      </c>
      <c r="L2995" s="19">
        <v>6.045515949949574E20</v>
      </c>
      <c r="M2995" s="20">
        <v>6.045515949949574E19</v>
      </c>
    </row>
    <row r="2996">
      <c r="A2996" s="6"/>
      <c r="B2996" s="6"/>
      <c r="C2996" s="4"/>
      <c r="D2996" s="4">
        <v>9.672825519919328</v>
      </c>
      <c r="E2996" s="4" t="s">
        <v>4645</v>
      </c>
      <c r="F2996" s="4"/>
      <c r="G2996" s="4"/>
      <c r="H2996" s="4"/>
      <c r="I2996" s="4" t="str">
        <f>IFERROR(__xludf.DUMMYFUNCTION("""COMPUTED_VALUE"""),"0xf62a8e42dbb2696544f92c338840ad6f94fdb4e3")</f>
        <v>0xf62a8e42dbb2696544f92c338840ad6f94fdb4e3</v>
      </c>
      <c r="J2996" s="18">
        <v>48.3641275995966</v>
      </c>
      <c r="K2996" s="4">
        <v>604.5515949949574</v>
      </c>
      <c r="L2996" s="19">
        <v>6.045515949949574E20</v>
      </c>
      <c r="M2996" s="20">
        <v>6.045515949949574E19</v>
      </c>
    </row>
    <row r="2997">
      <c r="A2997" s="6"/>
      <c r="B2997" s="6"/>
      <c r="C2997" s="4"/>
      <c r="D2997" s="4">
        <v>48.3641275995966</v>
      </c>
      <c r="E2997" s="4" t="s">
        <v>4646</v>
      </c>
      <c r="F2997" s="4"/>
      <c r="G2997" s="4"/>
      <c r="H2997" s="4"/>
      <c r="I2997" s="4" t="str">
        <f>IFERROR(__xludf.DUMMYFUNCTION("""COMPUTED_VALUE"""),"0x916fb3b05be26372c8376f3a26c4e952619e6428")</f>
        <v>0x916fb3b05be26372c8376f3a26c4e952619e6428</v>
      </c>
      <c r="J2997" s="18">
        <v>52.13014133735251</v>
      </c>
      <c r="K2997" s="4">
        <v>651.6267667169064</v>
      </c>
      <c r="L2997" s="19">
        <v>6.516267667169065E20</v>
      </c>
      <c r="M2997" s="20">
        <v>6.516267667169065E19</v>
      </c>
    </row>
    <row r="2998">
      <c r="A2998" s="6"/>
      <c r="B2998" s="6"/>
      <c r="C2998" s="4"/>
      <c r="D2998" s="4">
        <v>9.672825519919328</v>
      </c>
      <c r="E2998" s="4" t="s">
        <v>4647</v>
      </c>
      <c r="F2998" s="4"/>
      <c r="G2998" s="4"/>
      <c r="H2998" s="4"/>
      <c r="I2998" s="4" t="str">
        <f>IFERROR(__xludf.DUMMYFUNCTION("""COMPUTED_VALUE"""),"0x8cba9e9743a0e378bfd236cc08992bcd574b79ea")</f>
        <v>0x8cba9e9743a0e378bfd236cc08992bcd574b79ea</v>
      </c>
      <c r="J2998" s="18">
        <v>9.672825519919328</v>
      </c>
      <c r="K2998" s="4">
        <v>120.9103189989916</v>
      </c>
      <c r="L2998" s="19">
        <v>1.209103189989916E20</v>
      </c>
      <c r="M2998" s="20">
        <v>1.209103189989916E19</v>
      </c>
    </row>
    <row r="2999">
      <c r="A2999" s="6"/>
      <c r="B2999" s="6"/>
      <c r="C2999" s="4"/>
      <c r="D2999" s="4">
        <v>48.3641275995966</v>
      </c>
      <c r="E2999" s="4" t="s">
        <v>4648</v>
      </c>
      <c r="F2999" s="4"/>
      <c r="G2999" s="4"/>
      <c r="H2999" s="4"/>
      <c r="I2999" s="4" t="str">
        <f>IFERROR(__xludf.DUMMYFUNCTION("""COMPUTED_VALUE"""),"0xe73a1d0f64222e161a410a82484eeee4a4094d07")</f>
        <v>0xe73a1d0f64222e161a410a82484eeee4a4094d07</v>
      </c>
      <c r="J2999" s="18">
        <v>48.3641275995966</v>
      </c>
      <c r="K2999" s="4">
        <v>604.5515949949574</v>
      </c>
      <c r="L2999" s="19">
        <v>6.045515949949574E20</v>
      </c>
      <c r="M2999" s="20">
        <v>6.045515949949574E19</v>
      </c>
    </row>
    <row r="3000">
      <c r="A3000" s="6"/>
      <c r="B3000" s="6"/>
      <c r="C3000" s="4"/>
      <c r="D3000" s="4">
        <v>35.1703935904266</v>
      </c>
      <c r="E3000" s="4" t="s">
        <v>4649</v>
      </c>
      <c r="F3000" s="4"/>
      <c r="G3000" s="4"/>
      <c r="H3000" s="4"/>
      <c r="I3000" s="4" t="str">
        <f>IFERROR(__xludf.DUMMYFUNCTION("""COMPUTED_VALUE"""),"0x542adac70984efd105ef41e84dfb79d538818f3f")</f>
        <v>0x542adac70984efd105ef41e84dfb79d538818f3f</v>
      </c>
      <c r="J3000" s="18">
        <v>12.8205618808475</v>
      </c>
      <c r="K3000" s="4">
        <v>160.25702351059374</v>
      </c>
      <c r="L3000" s="19">
        <v>1.6025702351059373E20</v>
      </c>
      <c r="M3000" s="20">
        <v>1.6025702351059374E19</v>
      </c>
    </row>
    <row r="3001">
      <c r="A3001" s="6"/>
      <c r="B3001" s="6"/>
      <c r="C3001" s="2"/>
      <c r="D3001" s="4">
        <v>9.831377012823449</v>
      </c>
      <c r="E3001" s="4" t="s">
        <v>4651</v>
      </c>
      <c r="F3001" s="4"/>
      <c r="G3001" s="4"/>
      <c r="H3001" s="4"/>
      <c r="I3001" s="4" t="str">
        <f>IFERROR(__xludf.DUMMYFUNCTION("""COMPUTED_VALUE"""),"0x2bfc1a3af4dffd6362b185bda271efb9c603652e")</f>
        <v>0x2bfc1a3af4dffd6362b185bda271efb9c603652e</v>
      </c>
      <c r="J3001" s="18">
        <v>48.3641275995966</v>
      </c>
      <c r="K3001" s="4">
        <v>604.5515949949574</v>
      </c>
      <c r="L3001" s="19">
        <v>6.045515949949574E20</v>
      </c>
      <c r="M3001" s="20">
        <v>6.045515949949574E19</v>
      </c>
    </row>
    <row r="3002">
      <c r="A3002" s="6"/>
      <c r="B3002" s="6"/>
      <c r="C3002" s="4"/>
      <c r="D3002" s="4">
        <v>44.2325759894013</v>
      </c>
      <c r="E3002" s="4" t="s">
        <v>4653</v>
      </c>
      <c r="F3002" s="4"/>
      <c r="G3002" s="4"/>
      <c r="H3002" s="4"/>
      <c r="I3002" s="4" t="str">
        <f>IFERROR(__xludf.DUMMYFUNCTION("""COMPUTED_VALUE"""),"0x0f059473bc0694d7d89d7645e7f0bf2615d72500")</f>
        <v>0x0f059473bc0694d7d89d7645e7f0bf2615d72500</v>
      </c>
      <c r="J3002" s="18">
        <v>15.81201995604321</v>
      </c>
      <c r="K3002" s="4">
        <v>197.65024945054012</v>
      </c>
      <c r="L3002" s="19">
        <v>1.976502494505401E20</v>
      </c>
      <c r="M3002" s="20">
        <v>1.976502494505401E19</v>
      </c>
    </row>
    <row r="3003">
      <c r="A3003" s="6"/>
      <c r="B3003" s="6"/>
      <c r="C3003" s="4"/>
      <c r="D3003" s="4">
        <v>48.3641275995966</v>
      </c>
      <c r="E3003" s="4" t="s">
        <v>4655</v>
      </c>
      <c r="F3003" s="4"/>
      <c r="G3003" s="4"/>
      <c r="H3003" s="4"/>
      <c r="I3003" s="4" t="str">
        <f>IFERROR(__xludf.DUMMYFUNCTION("""COMPUTED_VALUE"""),"0x681db3f49ae542caa13e8aa67fb67a45e54df1b4")</f>
        <v>0x681db3f49ae542caa13e8aa67fb67a45e54df1b4</v>
      </c>
      <c r="J3003" s="18">
        <v>48.3641275995966</v>
      </c>
      <c r="K3003" s="4">
        <v>604.5515949949574</v>
      </c>
      <c r="L3003" s="19">
        <v>6.045515949949574E20</v>
      </c>
      <c r="M3003" s="20">
        <v>6.045515949949574E19</v>
      </c>
    </row>
    <row r="3004">
      <c r="A3004" s="6"/>
      <c r="B3004" s="6"/>
      <c r="C3004" s="4"/>
      <c r="D3004" s="4">
        <v>9.86628203031772</v>
      </c>
      <c r="E3004" s="4" t="s">
        <v>4656</v>
      </c>
      <c r="F3004" s="4"/>
      <c r="G3004" s="4"/>
      <c r="H3004" s="4"/>
      <c r="I3004" s="4" t="str">
        <f>IFERROR(__xludf.DUMMYFUNCTION("""COMPUTED_VALUE"""),"0xa6f9ab70da9d6ec0af3155e8926c20e8365aa4c7")</f>
        <v>0xa6f9ab70da9d6ec0af3155e8926c20e8365aa4c7</v>
      </c>
      <c r="J3004" s="18">
        <v>13.7552552911819</v>
      </c>
      <c r="K3004" s="4">
        <v>171.94069113977375</v>
      </c>
      <c r="L3004" s="19">
        <v>1.7194069113977376E20</v>
      </c>
      <c r="M3004" s="20">
        <v>1.7194069113977377E19</v>
      </c>
    </row>
    <row r="3005">
      <c r="A3005" s="6"/>
      <c r="B3005" s="6"/>
      <c r="C3005" s="4"/>
      <c r="D3005" s="4">
        <v>48.3641275995966</v>
      </c>
      <c r="E3005" s="4" t="s">
        <v>954</v>
      </c>
      <c r="F3005" s="4"/>
      <c r="G3005" s="4"/>
      <c r="H3005" s="4"/>
      <c r="I3005" s="4" t="str">
        <f>IFERROR(__xludf.DUMMYFUNCTION("""COMPUTED_VALUE"""),"0xb362d114f5b25ba1f2babb8abfe9bfbc296d5bf5")</f>
        <v>0xb362d114f5b25ba1f2babb8abfe9bfbc296d5bf5</v>
      </c>
      <c r="J3005" s="18">
        <v>9.672825519919328</v>
      </c>
      <c r="K3005" s="4">
        <v>120.9103189989916</v>
      </c>
      <c r="L3005" s="19">
        <v>1.209103189989916E20</v>
      </c>
      <c r="M3005" s="20">
        <v>1.209103189989916E19</v>
      </c>
    </row>
    <row r="3006">
      <c r="A3006" s="6"/>
      <c r="B3006" s="6"/>
      <c r="C3006" s="4"/>
      <c r="D3006" s="4">
        <v>8.20578037977657</v>
      </c>
      <c r="E3006" s="4" t="s">
        <v>4657</v>
      </c>
      <c r="F3006" s="4"/>
      <c r="G3006" s="4"/>
      <c r="H3006" s="4"/>
      <c r="I3006" s="4" t="str">
        <f>IFERROR(__xludf.DUMMYFUNCTION("""COMPUTED_VALUE"""),"0x62c989bdaaedc2078f3ed396a26a323cbcf1a57c")</f>
        <v>0x62c989bdaaedc2078f3ed396a26a323cbcf1a57c</v>
      </c>
      <c r="J3006" s="18">
        <v>196.5652882323106</v>
      </c>
      <c r="K3006" s="4">
        <v>2457.0661029038824</v>
      </c>
      <c r="L3006" s="19">
        <v>2.4570661029038826E21</v>
      </c>
      <c r="M3006" s="20">
        <v>2.4570661029038827E20</v>
      </c>
    </row>
    <row r="3007">
      <c r="A3007" s="6"/>
      <c r="B3007" s="6"/>
      <c r="C3007" s="4"/>
      <c r="D3007" s="4">
        <v>19.3456510398386</v>
      </c>
      <c r="E3007" s="4" t="s">
        <v>4659</v>
      </c>
      <c r="F3007" s="4"/>
      <c r="G3007" s="4"/>
      <c r="H3007" s="4"/>
      <c r="I3007" s="4" t="str">
        <f>IFERROR(__xludf.DUMMYFUNCTION("""COMPUTED_VALUE"""),"0x8ac097060cd4090e7c0709532f36c7a1737df957")</f>
        <v>0x8ac097060cd4090e7c0709532f36c7a1737df957</v>
      </c>
      <c r="J3007" s="18">
        <v>11.6073906239032</v>
      </c>
      <c r="K3007" s="4">
        <v>145.09238279879</v>
      </c>
      <c r="L3007" s="19">
        <v>1.4509238279879E20</v>
      </c>
      <c r="M3007" s="20">
        <v>1.4509238279879E19</v>
      </c>
    </row>
    <row r="3008">
      <c r="A3008" s="6"/>
      <c r="B3008" s="6"/>
      <c r="C3008" s="4"/>
      <c r="D3008" s="4">
        <v>48.2739780776947</v>
      </c>
      <c r="E3008" s="4" t="s">
        <v>4660</v>
      </c>
      <c r="F3008" s="4"/>
      <c r="G3008" s="4"/>
      <c r="H3008" s="4"/>
      <c r="I3008" s="4" t="str">
        <f>IFERROR(__xludf.DUMMYFUNCTION("""COMPUTED_VALUE"""),"0xdd93e190108146555d739dbe27c7f160bb7cedb2")</f>
        <v>0xdd93e190108146555d739dbe27c7f160bb7cedb2</v>
      </c>
      <c r="J3008" s="18">
        <v>36.2685163737774</v>
      </c>
      <c r="K3008" s="4">
        <v>453.3564546722175</v>
      </c>
      <c r="L3008" s="19">
        <v>4.5335645467221754E20</v>
      </c>
      <c r="M3008" s="20">
        <v>4.533564546722175E19</v>
      </c>
    </row>
    <row r="3009">
      <c r="A3009" s="6"/>
      <c r="B3009" s="6"/>
      <c r="C3009" s="4"/>
      <c r="D3009" s="4">
        <v>48.3641275995966</v>
      </c>
      <c r="E3009" s="4" t="s">
        <v>4662</v>
      </c>
      <c r="F3009" s="4"/>
      <c r="G3009" s="4"/>
      <c r="H3009" s="4"/>
      <c r="I3009" s="4" t="str">
        <f>IFERROR(__xludf.DUMMYFUNCTION("""COMPUTED_VALUE"""),"0xfb624bc0a145a7c041ac62990815483b8bc89671")</f>
        <v>0xfb624bc0a145a7c041ac62990815483b8bc89671</v>
      </c>
      <c r="J3009" s="18">
        <v>4.1776911462414805</v>
      </c>
      <c r="K3009" s="4">
        <v>52.2211393280185</v>
      </c>
      <c r="L3009" s="19">
        <v>5.2221139328018506E19</v>
      </c>
      <c r="M3009" s="20">
        <v>5.22211393280185E18</v>
      </c>
    </row>
    <row r="3010">
      <c r="A3010" s="6"/>
      <c r="B3010" s="6"/>
      <c r="C3010" s="4"/>
      <c r="D3010" s="4">
        <v>41.034721924891805</v>
      </c>
      <c r="E3010" s="4" t="s">
        <v>4663</v>
      </c>
      <c r="F3010" s="4"/>
      <c r="G3010" s="4"/>
      <c r="H3010" s="4"/>
      <c r="I3010" s="4" t="str">
        <f>IFERROR(__xludf.DUMMYFUNCTION("""COMPUTED_VALUE"""),"0x139612df42395a9a49714f7c5fe4eff25f64d79d")</f>
        <v>0x139612df42395a9a49714f7c5fe4eff25f64d79d</v>
      </c>
      <c r="J3010" s="18">
        <v>57.66472560997164</v>
      </c>
      <c r="K3010" s="4">
        <v>720.8090701246455</v>
      </c>
      <c r="L3010" s="19">
        <v>7.208090701246455E20</v>
      </c>
      <c r="M3010" s="20">
        <v>7.208090701246455E19</v>
      </c>
    </row>
    <row r="3011">
      <c r="A3011" s="6"/>
      <c r="B3011" s="6"/>
      <c r="C3011" s="4"/>
      <c r="D3011" s="4">
        <v>48.3641275995966</v>
      </c>
      <c r="E3011" s="4" t="s">
        <v>4665</v>
      </c>
      <c r="F3011" s="4"/>
      <c r="G3011" s="4"/>
      <c r="H3011" s="4"/>
      <c r="I3011" s="4" t="str">
        <f>IFERROR(__xludf.DUMMYFUNCTION("""COMPUTED_VALUE"""),"0x493857062add9af663bc5698576b6dbf69e7a62e")</f>
        <v>0x493857062add9af663bc5698576b6dbf69e7a62e</v>
      </c>
      <c r="J3011" s="18">
        <v>85.5665196410967</v>
      </c>
      <c r="K3011" s="4">
        <v>1069.581495513709</v>
      </c>
      <c r="L3011" s="19">
        <v>1.0695814955137089E21</v>
      </c>
      <c r="M3011" s="20">
        <v>1.069581495513709E20</v>
      </c>
    </row>
    <row r="3012">
      <c r="A3012" s="6"/>
      <c r="B3012" s="6"/>
      <c r="C3012" s="4"/>
      <c r="D3012" s="4">
        <v>41.7073316253836</v>
      </c>
      <c r="E3012" s="4" t="s">
        <v>4666</v>
      </c>
      <c r="F3012" s="4"/>
      <c r="G3012" s="4"/>
      <c r="H3012" s="4"/>
      <c r="I3012" s="4" t="str">
        <f>IFERROR(__xludf.DUMMYFUNCTION("""COMPUTED_VALUE"""),"0x23037e2e175675a0b266754f681cf120c2edfb32")</f>
        <v>0x23037e2e175675a0b266754f681cf120c2edfb32</v>
      </c>
      <c r="J3012" s="18">
        <v>27.15613014964799</v>
      </c>
      <c r="K3012" s="4">
        <v>339.45162687059985</v>
      </c>
      <c r="L3012" s="19">
        <v>3.3945162687059984E20</v>
      </c>
      <c r="M3012" s="20">
        <v>3.3945162687059984E19</v>
      </c>
    </row>
    <row r="3013">
      <c r="A3013" s="6"/>
      <c r="B3013" s="6"/>
      <c r="C3013" s="4"/>
      <c r="D3013" s="4">
        <v>48.3641275995966</v>
      </c>
      <c r="E3013" s="4" t="s">
        <v>4668</v>
      </c>
      <c r="F3013" s="4"/>
      <c r="G3013" s="4"/>
      <c r="H3013" s="4"/>
      <c r="I3013" s="4" t="str">
        <f>IFERROR(__xludf.DUMMYFUNCTION("""COMPUTED_VALUE"""),"0x0bcda2b744b41657b933cd099fc6c0e5b4eb8467")</f>
        <v>0x0bcda2b744b41657b933cd099fc6c0e5b4eb8467</v>
      </c>
      <c r="J3013" s="18">
        <v>15.9354604396127</v>
      </c>
      <c r="K3013" s="4">
        <v>199.19325549515875</v>
      </c>
      <c r="L3013" s="19">
        <v>1.9919325549515876E20</v>
      </c>
      <c r="M3013" s="20">
        <v>1.991932554951588E19</v>
      </c>
    </row>
    <row r="3014">
      <c r="A3014" s="6"/>
      <c r="B3014" s="6"/>
      <c r="C3014" s="4"/>
      <c r="D3014" s="4">
        <v>30.6983968395187</v>
      </c>
      <c r="E3014" s="4" t="s">
        <v>4669</v>
      </c>
      <c r="F3014" s="4"/>
      <c r="G3014" s="4"/>
      <c r="H3014" s="4"/>
      <c r="I3014" s="4" t="str">
        <f>IFERROR(__xludf.DUMMYFUNCTION("""COMPUTED_VALUE"""),"0x1ed38a0d1b35265e0e105224b76efd3ef4ba6432")</f>
        <v>0x1ed38a0d1b35265e0e105224b76efd3ef4ba6432</v>
      </c>
      <c r="J3014" s="18">
        <v>6.958610112310461</v>
      </c>
      <c r="K3014" s="4">
        <v>86.98262640388076</v>
      </c>
      <c r="L3014" s="19">
        <v>8.698262640388076E19</v>
      </c>
      <c r="M3014" s="20">
        <v>8.698262640388077E18</v>
      </c>
    </row>
    <row r="3015">
      <c r="A3015" s="6"/>
      <c r="B3015" s="6"/>
      <c r="C3015" s="4"/>
      <c r="D3015" s="4">
        <v>46.1833098160813</v>
      </c>
      <c r="E3015" s="4" t="s">
        <v>4671</v>
      </c>
      <c r="F3015" s="4"/>
      <c r="G3015" s="4"/>
      <c r="H3015" s="4"/>
      <c r="I3015" s="4" t="str">
        <f>IFERROR(__xludf.DUMMYFUNCTION("""COMPUTED_VALUE"""),"0xc374290eae6f52d50744dd83d2a58c676fb9b3e4")</f>
        <v>0xc374290eae6f52d50744dd83d2a58c676fb9b3e4</v>
      </c>
      <c r="J3015" s="18">
        <v>87.4266392431717</v>
      </c>
      <c r="K3015" s="4">
        <v>1092.8329905396463</v>
      </c>
      <c r="L3015" s="19">
        <v>1.0928329905396462E21</v>
      </c>
      <c r="M3015" s="20">
        <v>1.0928329905396462E20</v>
      </c>
    </row>
    <row r="3016">
      <c r="A3016" s="6"/>
      <c r="B3016" s="6"/>
      <c r="C3016" s="4"/>
      <c r="D3016" s="4">
        <v>48.3641275995966</v>
      </c>
      <c r="E3016" s="4" t="s">
        <v>4673</v>
      </c>
      <c r="F3016" s="4"/>
      <c r="G3016" s="4"/>
      <c r="H3016" s="4"/>
      <c r="I3016" s="4" t="str">
        <f>IFERROR(__xludf.DUMMYFUNCTION("""COMPUTED_VALUE"""),"0xebdca36ea7be9c96b75240355ec1dd5e88dd8e74")</f>
        <v>0xebdca36ea7be9c96b75240355ec1dd5e88dd8e74</v>
      </c>
      <c r="J3016" s="18">
        <v>9.672825519919328</v>
      </c>
      <c r="K3016" s="4">
        <v>120.9103189989916</v>
      </c>
      <c r="L3016" s="19">
        <v>1.209103189989916E20</v>
      </c>
      <c r="M3016" s="20">
        <v>1.209103189989916E19</v>
      </c>
    </row>
    <row r="3017">
      <c r="A3017" s="6"/>
      <c r="B3017" s="6"/>
      <c r="C3017" s="4"/>
      <c r="D3017" s="4">
        <v>5.29873090627703</v>
      </c>
      <c r="E3017" s="4" t="s">
        <v>4674</v>
      </c>
      <c r="F3017" s="4"/>
      <c r="G3017" s="4"/>
      <c r="H3017" s="4"/>
      <c r="I3017" s="4" t="str">
        <f>IFERROR(__xludf.DUMMYFUNCTION("""COMPUTED_VALUE"""),"0x69477974e9bf40fbf9e469545a5a966748517f6d")</f>
        <v>0x69477974e9bf40fbf9e469545a5a966748517f6d</v>
      </c>
      <c r="J3017" s="18">
        <v>60.38999790880651</v>
      </c>
      <c r="K3017" s="4">
        <v>754.8749738600814</v>
      </c>
      <c r="L3017" s="19">
        <v>7.548749738600813E20</v>
      </c>
      <c r="M3017" s="20">
        <v>7.548749738600813E19</v>
      </c>
    </row>
    <row r="3018">
      <c r="A3018" s="6"/>
      <c r="B3018" s="6"/>
      <c r="C3018" s="4"/>
      <c r="D3018" s="4">
        <v>20.1196824929745</v>
      </c>
      <c r="E3018" s="4" t="s">
        <v>4676</v>
      </c>
      <c r="F3018" s="4"/>
      <c r="G3018" s="4"/>
      <c r="H3018" s="4"/>
      <c r="I3018" s="4" t="str">
        <f>IFERROR(__xludf.DUMMYFUNCTION("""COMPUTED_VALUE"""),"0x40044cf4c48f5bc7abeb25073f00d69be3d668f6")</f>
        <v>0x40044cf4c48f5bc7abeb25073f00d69be3d668f6</v>
      </c>
      <c r="J3018" s="18">
        <v>9.869636241588001</v>
      </c>
      <c r="K3018" s="4">
        <v>123.37045301985</v>
      </c>
      <c r="L3018" s="19">
        <v>1.2337045301985E20</v>
      </c>
      <c r="M3018" s="20">
        <v>1.2337045301985001E19</v>
      </c>
    </row>
    <row r="3019">
      <c r="A3019" s="6"/>
      <c r="B3019" s="6"/>
      <c r="C3019" s="4"/>
      <c r="D3019" s="4">
        <v>3.16362755832078</v>
      </c>
      <c r="E3019" s="4" t="s">
        <v>4678</v>
      </c>
      <c r="F3019" s="4"/>
      <c r="G3019" s="4"/>
      <c r="H3019" s="4"/>
      <c r="I3019" s="4" t="str">
        <f>IFERROR(__xludf.DUMMYFUNCTION("""COMPUTED_VALUE"""),"0x98c47e507f99eb2e9b0586bd354567804073de4e")</f>
        <v>0x98c47e507f99eb2e9b0586bd354567804073de4e</v>
      </c>
      <c r="J3019" s="18">
        <v>48.1629561649964</v>
      </c>
      <c r="K3019" s="4">
        <v>602.036952062455</v>
      </c>
      <c r="L3019" s="19">
        <v>6.02036952062455E20</v>
      </c>
      <c r="M3019" s="20">
        <v>6.020369520624551E19</v>
      </c>
    </row>
    <row r="3020">
      <c r="A3020" s="6"/>
      <c r="B3020" s="6"/>
      <c r="C3020" s="4"/>
      <c r="D3020" s="4">
        <v>46.5023044637478</v>
      </c>
      <c r="E3020" s="4" t="s">
        <v>4680</v>
      </c>
      <c r="F3020" s="4"/>
      <c r="G3020" s="4"/>
      <c r="H3020" s="4"/>
      <c r="I3020" s="4" t="str">
        <f>IFERROR(__xludf.DUMMYFUNCTION("""COMPUTED_VALUE"""),"0xa5334b70ad891d0e132c742e9196d5e568c866cb")</f>
        <v>0xa5334b70ad891d0e132c742e9196d5e568c866cb</v>
      </c>
      <c r="J3020" s="18">
        <v>234.37608780709658</v>
      </c>
      <c r="K3020" s="4">
        <v>2929.7010975887074</v>
      </c>
      <c r="L3020" s="19">
        <v>2.9297010975887076E21</v>
      </c>
      <c r="M3020" s="20">
        <v>2.9297010975887078E20</v>
      </c>
    </row>
    <row r="3021">
      <c r="A3021" s="6"/>
      <c r="B3021" s="6"/>
      <c r="C3021" s="4"/>
      <c r="D3021" s="4">
        <v>6.9712723750155705</v>
      </c>
      <c r="E3021" s="4" t="s">
        <v>4682</v>
      </c>
      <c r="F3021" s="4"/>
      <c r="G3021" s="4"/>
      <c r="H3021" s="4"/>
      <c r="I3021" s="4" t="str">
        <f>IFERROR(__xludf.DUMMYFUNCTION("""COMPUTED_VALUE"""),"0x53fa3e0b2e014e4c4daa7b03be9692e5e1ce1db0")</f>
        <v>0x53fa3e0b2e014e4c4daa7b03be9692e5e1ce1db0</v>
      </c>
      <c r="J3021" s="18">
        <v>47.4551945565131</v>
      </c>
      <c r="K3021" s="4">
        <v>593.1899319564137</v>
      </c>
      <c r="L3021" s="19">
        <v>5.931899319564137E20</v>
      </c>
      <c r="M3021" s="20">
        <v>5.931899319564137E19</v>
      </c>
    </row>
    <row r="3022">
      <c r="A3022" s="6"/>
      <c r="B3022" s="6"/>
      <c r="C3022" s="4"/>
      <c r="D3022" s="4">
        <v>3.3598370169672203</v>
      </c>
      <c r="E3022" s="4" t="s">
        <v>4684</v>
      </c>
      <c r="F3022" s="4"/>
      <c r="G3022" s="4"/>
      <c r="H3022" s="4"/>
      <c r="I3022" s="4" t="str">
        <f>IFERROR(__xludf.DUMMYFUNCTION("""COMPUTED_VALUE"""),"0xc52930c66d9cf8a3a3cf26922f6cbd15953eaf33")</f>
        <v>0xc52930c66d9cf8a3a3cf26922f6cbd15953eaf33</v>
      </c>
      <c r="J3022" s="18">
        <v>48.3641275995966</v>
      </c>
      <c r="K3022" s="4">
        <v>604.5515949949574</v>
      </c>
      <c r="L3022" s="19">
        <v>6.045515949949574E20</v>
      </c>
      <c r="M3022" s="20">
        <v>6.045515949949574E19</v>
      </c>
    </row>
    <row r="3023">
      <c r="A3023" s="6"/>
      <c r="B3023" s="6"/>
      <c r="C3023" s="4"/>
      <c r="D3023" s="4">
        <v>19.3456510398386</v>
      </c>
      <c r="E3023" s="4" t="s">
        <v>4686</v>
      </c>
      <c r="F3023" s="4"/>
      <c r="G3023" s="4"/>
      <c r="H3023" s="4"/>
      <c r="I3023" s="4" t="str">
        <f>IFERROR(__xludf.DUMMYFUNCTION("""COMPUTED_VALUE"""),"0xa807fd89140d8f3c8205d87d7d13963470cc8ac6")</f>
        <v>0xa807fd89140d8f3c8205d87d7d13963470cc8ac6</v>
      </c>
      <c r="J3023" s="18">
        <v>113.4683136722219</v>
      </c>
      <c r="K3023" s="4">
        <v>1418.3539209027738</v>
      </c>
      <c r="L3023" s="19">
        <v>1.4183539209027739E21</v>
      </c>
      <c r="M3023" s="20">
        <v>1.418353920902774E20</v>
      </c>
    </row>
    <row r="3024">
      <c r="A3024" s="6"/>
      <c r="B3024" s="6"/>
      <c r="C3024" s="4"/>
      <c r="D3024" s="4">
        <v>48.3641275995966</v>
      </c>
      <c r="E3024" s="4" t="s">
        <v>4687</v>
      </c>
      <c r="F3024" s="4"/>
      <c r="G3024" s="4"/>
      <c r="H3024" s="4"/>
      <c r="I3024" s="4" t="str">
        <f>IFERROR(__xludf.DUMMYFUNCTION("""COMPUTED_VALUE"""),"0x21f6ef52eee5ee9079d091221c920083132d3e7e")</f>
        <v>0x21f6ef52eee5ee9079d091221c920083132d3e7e</v>
      </c>
      <c r="J3024" s="18">
        <v>48.3641275995966</v>
      </c>
      <c r="K3024" s="4">
        <v>604.5515949949574</v>
      </c>
      <c r="L3024" s="19">
        <v>6.045515949949574E20</v>
      </c>
      <c r="M3024" s="20">
        <v>6.045515949949574E19</v>
      </c>
    </row>
    <row r="3025">
      <c r="A3025" s="6"/>
      <c r="B3025" s="6"/>
      <c r="C3025" s="4"/>
      <c r="D3025" s="4">
        <v>9.672825519919328</v>
      </c>
      <c r="E3025" s="4" t="s">
        <v>4688</v>
      </c>
      <c r="F3025" s="4"/>
      <c r="G3025" s="4"/>
      <c r="H3025" s="4"/>
      <c r="I3025" s="4" t="str">
        <f>IFERROR(__xludf.DUMMYFUNCTION("""COMPUTED_VALUE"""),"0x2ba7e8ff960509fa912f73ba5349e7fe264c5e90")</f>
        <v>0x2ba7e8ff960509fa912f73ba5349e7fe264c5e90</v>
      </c>
      <c r="J3025" s="18">
        <v>10.2662663453374</v>
      </c>
      <c r="K3025" s="4">
        <v>128.3283293167175</v>
      </c>
      <c r="L3025" s="19">
        <v>1.283283293167175E20</v>
      </c>
      <c r="M3025" s="20">
        <v>1.283283293167175E19</v>
      </c>
    </row>
    <row r="3026">
      <c r="A3026" s="6"/>
      <c r="B3026" s="6"/>
      <c r="C3026" s="4"/>
      <c r="D3026" s="4">
        <v>11.8352340446948</v>
      </c>
      <c r="E3026" s="4" t="s">
        <v>4689</v>
      </c>
      <c r="F3026" s="4"/>
      <c r="G3026" s="4"/>
      <c r="H3026" s="4"/>
      <c r="I3026" s="4" t="str">
        <f>IFERROR(__xludf.DUMMYFUNCTION("""COMPUTED_VALUE"""),"0x185664952d74c10a012b204ab64f29d2911dbb2d")</f>
        <v>0x185664952d74c10a012b204ab64f29d2911dbb2d</v>
      </c>
      <c r="J3026" s="18">
        <v>34.0892354923397</v>
      </c>
      <c r="K3026" s="4">
        <v>426.1154436542462</v>
      </c>
      <c r="L3026" s="19">
        <v>4.261154436542462E20</v>
      </c>
      <c r="M3026" s="20">
        <v>4.261154436542462E19</v>
      </c>
    </row>
    <row r="3027">
      <c r="A3027" s="6"/>
      <c r="B3027" s="6"/>
      <c r="C3027" s="4"/>
      <c r="D3027" s="4">
        <v>12.013122937718599</v>
      </c>
      <c r="E3027" s="4" t="s">
        <v>4691</v>
      </c>
      <c r="F3027" s="4"/>
      <c r="G3027" s="4"/>
      <c r="H3027" s="4"/>
      <c r="I3027" s="4" t="str">
        <f>IFERROR(__xludf.DUMMYFUNCTION("""COMPUTED_VALUE"""),"0xf12b791f318b22b15892e0efed635e60f1cab2d7")</f>
        <v>0xf12b791f318b22b15892e0efed635e60f1cab2d7</v>
      </c>
      <c r="J3027" s="18">
        <v>57.83650369707476</v>
      </c>
      <c r="K3027" s="4">
        <v>722.9562962134345</v>
      </c>
      <c r="L3027" s="19">
        <v>7.229562962134345E20</v>
      </c>
      <c r="M3027" s="20">
        <v>7.229562962134345E19</v>
      </c>
    </row>
    <row r="3028">
      <c r="A3028" s="6"/>
      <c r="B3028" s="6"/>
      <c r="C3028" s="4"/>
      <c r="D3028" s="4">
        <v>25.5327182345439</v>
      </c>
      <c r="E3028" s="4" t="s">
        <v>4693</v>
      </c>
      <c r="F3028" s="4"/>
      <c r="G3028" s="4"/>
      <c r="H3028" s="4"/>
      <c r="I3028" s="4" t="str">
        <f>IFERROR(__xludf.DUMMYFUNCTION("""COMPUTED_VALUE"""),"0x9f5026b8e23a2ac6fcaa79f8791cb3f23f87a66c")</f>
        <v>0x9f5026b8e23a2ac6fcaa79f8791cb3f23f87a66c</v>
      </c>
      <c r="J3028" s="18">
        <v>234.37608780709658</v>
      </c>
      <c r="K3028" s="4">
        <v>2929.7010975887074</v>
      </c>
      <c r="L3028" s="19">
        <v>2.9297010975887076E21</v>
      </c>
      <c r="M3028" s="20">
        <v>2.9297010975887078E20</v>
      </c>
    </row>
    <row r="3029">
      <c r="A3029" s="6"/>
      <c r="B3029" s="6"/>
      <c r="C3029" s="4"/>
      <c r="D3029" s="4">
        <v>48.3641275995966</v>
      </c>
      <c r="E3029" s="4" t="s">
        <v>4695</v>
      </c>
      <c r="F3029" s="4"/>
      <c r="G3029" s="4"/>
      <c r="H3029" s="4"/>
      <c r="I3029" s="4" t="str">
        <f>IFERROR(__xludf.DUMMYFUNCTION("""COMPUTED_VALUE"""),"0xc9b4f3d43d4da42c6247ac0dda9f96c6ff7abcb5")</f>
        <v>0xc9b4f3d43d4da42c6247ac0dda9f96c6ff7abcb5</v>
      </c>
      <c r="J3029" s="18">
        <v>41.5710693064796</v>
      </c>
      <c r="K3029" s="4">
        <v>519.638366330995</v>
      </c>
      <c r="L3029" s="19">
        <v>5.19638366330995E20</v>
      </c>
      <c r="M3029" s="20">
        <v>5.19638366330995E19</v>
      </c>
    </row>
    <row r="3030">
      <c r="A3030" s="6"/>
      <c r="B3030" s="6"/>
      <c r="C3030" s="4"/>
      <c r="D3030" s="4">
        <v>18.4874829371376</v>
      </c>
      <c r="E3030" s="4" t="s">
        <v>4696</v>
      </c>
      <c r="F3030" s="4"/>
      <c r="G3030" s="4"/>
      <c r="H3030" s="4"/>
      <c r="I3030" s="4" t="str">
        <f>IFERROR(__xludf.DUMMYFUNCTION("""COMPUTED_VALUE"""),"0xa1ecae78901e898fdc7051cfa39f1bf819a6331e")</f>
        <v>0xa1ecae78901e898fdc7051cfa39f1bf819a6331e</v>
      </c>
      <c r="J3030" s="18">
        <v>15.4765208318709</v>
      </c>
      <c r="K3030" s="4">
        <v>193.45651039838626</v>
      </c>
      <c r="L3030" s="19">
        <v>1.9345651039838624E20</v>
      </c>
      <c r="M3030" s="20">
        <v>1.9345651039838626E19</v>
      </c>
    </row>
    <row r="3031">
      <c r="A3031" s="6"/>
      <c r="B3031" s="6"/>
      <c r="C3031" s="4"/>
      <c r="D3031" s="4">
        <v>36.9194164362048</v>
      </c>
      <c r="E3031" s="4" t="s">
        <v>1119</v>
      </c>
      <c r="F3031" s="4"/>
      <c r="G3031" s="4"/>
      <c r="H3031" s="4"/>
      <c r="I3031" s="4" t="str">
        <f>IFERROR(__xludf.DUMMYFUNCTION("""COMPUTED_VALUE"""),"0x3d33e4176034953018544cc93aa04e3c548be93f")</f>
        <v>0x3d33e4176034953018544cc93aa04e3c548be93f</v>
      </c>
      <c r="J3031" s="18">
        <v>19.3456510398386</v>
      </c>
      <c r="K3031" s="4">
        <v>241.8206379979825</v>
      </c>
      <c r="L3031" s="19">
        <v>2.4182063799798248E20</v>
      </c>
      <c r="M3031" s="20">
        <v>2.418206379979825E19</v>
      </c>
    </row>
    <row r="3032">
      <c r="A3032" s="6"/>
      <c r="B3032" s="6"/>
      <c r="C3032" s="4"/>
      <c r="D3032" s="4">
        <v>9.672825519919328</v>
      </c>
      <c r="E3032" s="4" t="s">
        <v>4699</v>
      </c>
      <c r="F3032" s="4"/>
      <c r="G3032" s="4"/>
      <c r="H3032" s="4"/>
      <c r="I3032" s="4" t="str">
        <f>IFERROR(__xludf.DUMMYFUNCTION("""COMPUTED_VALUE"""),"0xab3454f4198940432f89872023ebbd64495293b0")</f>
        <v>0xab3454f4198940432f89872023ebbd64495293b0</v>
      </c>
      <c r="J3032" s="18">
        <v>48.3641275995966</v>
      </c>
      <c r="K3032" s="4">
        <v>604.5515949949574</v>
      </c>
      <c r="L3032" s="19">
        <v>6.045515949949574E20</v>
      </c>
      <c r="M3032" s="20">
        <v>6.045515949949574E19</v>
      </c>
    </row>
    <row r="3033">
      <c r="A3033" s="6"/>
      <c r="B3033" s="6"/>
      <c r="C3033" s="4"/>
      <c r="D3033" s="4">
        <v>42.5834985796072</v>
      </c>
      <c r="E3033" s="4" t="s">
        <v>4700</v>
      </c>
      <c r="F3033" s="4"/>
      <c r="G3033" s="4"/>
      <c r="H3033" s="4"/>
      <c r="I3033" s="4" t="str">
        <f>IFERROR(__xludf.DUMMYFUNCTION("""COMPUTED_VALUE"""),"0x7d8b2b1556ad6ee6687236e75ab2fbb2a70f100d")</f>
        <v>0x7d8b2b1556ad6ee6687236e75ab2fbb2a70f100d</v>
      </c>
      <c r="J3033" s="18">
        <v>122.7689116825969</v>
      </c>
      <c r="K3033" s="4">
        <v>1534.6113960324612</v>
      </c>
      <c r="L3033" s="19">
        <v>1.5346113960324613E21</v>
      </c>
      <c r="M3033" s="20">
        <v>1.5346113960324612E20</v>
      </c>
    </row>
    <row r="3034">
      <c r="A3034" s="6"/>
      <c r="B3034" s="6"/>
      <c r="C3034" s="4"/>
      <c r="D3034" s="4">
        <v>48.3641275995966</v>
      </c>
      <c r="E3034" s="4" t="s">
        <v>1241</v>
      </c>
      <c r="F3034" s="4"/>
      <c r="G3034" s="4"/>
      <c r="H3034" s="4"/>
      <c r="I3034" s="4" t="str">
        <f>IFERROR(__xludf.DUMMYFUNCTION("""COMPUTED_VALUE"""),"0x58fb744fa695fe126753aa7169a133922dd0d980")</f>
        <v>0x58fb744fa695fe126753aa7169a133922dd0d980</v>
      </c>
      <c r="J3034" s="18">
        <v>0.193456510398386</v>
      </c>
      <c r="K3034" s="4">
        <v>2.418206379979825</v>
      </c>
      <c r="L3034" s="19">
        <v>2.418206379979825E18</v>
      </c>
      <c r="M3034" s="20">
        <v>2.4182063799798253E17</v>
      </c>
    </row>
    <row r="3035">
      <c r="A3035" s="6"/>
      <c r="B3035" s="6"/>
      <c r="C3035" s="4"/>
      <c r="D3035" s="4">
        <v>33.2583802889067</v>
      </c>
      <c r="E3035" s="4" t="s">
        <v>4702</v>
      </c>
      <c r="F3035" s="4"/>
      <c r="G3035" s="4"/>
      <c r="H3035" s="4"/>
      <c r="I3035" s="4" t="str">
        <f>IFERROR(__xludf.DUMMYFUNCTION("""COMPUTED_VALUE"""),"0x303e91d44e0035dd9a7cad2d7a5684a6193ffd3c")</f>
        <v>0x303e91d44e0035dd9a7cad2d7a5684a6193ffd3c</v>
      </c>
      <c r="J3035" s="18">
        <v>7.144582719671311</v>
      </c>
      <c r="K3035" s="4">
        <v>89.30728399589138</v>
      </c>
      <c r="L3035" s="19">
        <v>8.930728399589138E19</v>
      </c>
      <c r="M3035" s="20">
        <v>8.930728399589138E18</v>
      </c>
    </row>
    <row r="3036">
      <c r="A3036" s="6"/>
      <c r="B3036" s="6"/>
      <c r="C3036" s="4"/>
      <c r="D3036" s="4">
        <v>48.3641275995966</v>
      </c>
      <c r="E3036" s="4" t="s">
        <v>4704</v>
      </c>
      <c r="F3036" s="4"/>
      <c r="G3036" s="4"/>
      <c r="H3036" s="4"/>
      <c r="I3036" s="4" t="str">
        <f>IFERROR(__xludf.DUMMYFUNCTION("""COMPUTED_VALUE"""),"0x668c782b981d497e5810481b57e39fd641cec8d9")</f>
        <v>0x668c782b981d497e5810481b57e39fd641cec8d9</v>
      </c>
      <c r="J3036" s="18">
        <v>82.4363901501166</v>
      </c>
      <c r="K3036" s="4">
        <v>1030.4548768764573</v>
      </c>
      <c r="L3036" s="19">
        <v>1.0304548768764574E21</v>
      </c>
      <c r="M3036" s="20">
        <v>1.0304548768764574E20</v>
      </c>
    </row>
    <row r="3037">
      <c r="A3037" s="6"/>
      <c r="B3037" s="6"/>
      <c r="C3037" s="4"/>
      <c r="D3037" s="4">
        <v>38.6713672649602</v>
      </c>
      <c r="E3037" s="4" t="s">
        <v>4705</v>
      </c>
      <c r="F3037" s="4"/>
      <c r="G3037" s="4"/>
      <c r="H3037" s="4"/>
      <c r="I3037" s="4" t="str">
        <f>IFERROR(__xludf.DUMMYFUNCTION("""COMPUTED_VALUE"""),"0xf2eae206f22afe2b9b1c71a274a85bd0d4cdeac0")</f>
        <v>0xf2eae206f22afe2b9b1c71a274a85bd0d4cdeac0</v>
      </c>
      <c r="J3037" s="18">
        <v>57.66472560997164</v>
      </c>
      <c r="K3037" s="4">
        <v>720.8090701246455</v>
      </c>
      <c r="L3037" s="19">
        <v>7.208090701246455E20</v>
      </c>
      <c r="M3037" s="20">
        <v>7.208090701246455E19</v>
      </c>
    </row>
    <row r="3038">
      <c r="A3038" s="6"/>
      <c r="B3038" s="6"/>
      <c r="C3038" s="4"/>
      <c r="D3038" s="4">
        <v>0.0848510221815786</v>
      </c>
      <c r="E3038" s="4" t="s">
        <v>4707</v>
      </c>
      <c r="F3038" s="4"/>
      <c r="G3038" s="4"/>
      <c r="H3038" s="4"/>
      <c r="I3038" s="4" t="str">
        <f>IFERROR(__xludf.DUMMYFUNCTION("""COMPUTED_VALUE"""),"0x653133ab93ccf1ea3699d6ee8e683a4f6ab35b5d")</f>
        <v>0x653133ab93ccf1ea3699d6ee8e683a4f6ab35b5d</v>
      </c>
      <c r="J3038" s="18">
        <v>4.27600958366376</v>
      </c>
      <c r="K3038" s="4">
        <v>53.450119795797</v>
      </c>
      <c r="L3038" s="19">
        <v>5.3450119795797E19</v>
      </c>
      <c r="M3038" s="20">
        <v>5.3450119795797E18</v>
      </c>
    </row>
    <row r="3039">
      <c r="A3039" s="6"/>
      <c r="B3039" s="6"/>
      <c r="C3039" s="4"/>
      <c r="D3039" s="4">
        <v>48.3641275995966</v>
      </c>
      <c r="E3039" s="4" t="s">
        <v>4709</v>
      </c>
      <c r="F3039" s="4"/>
      <c r="G3039" s="4"/>
      <c r="H3039" s="4"/>
      <c r="I3039" s="4" t="str">
        <f>IFERROR(__xludf.DUMMYFUNCTION("""COMPUTED_VALUE"""),"0x04a361e025415b208a711cf4a38726f1f8adc6e8")</f>
        <v>0x04a361e025415b208a711cf4a38726f1f8adc6e8</v>
      </c>
      <c r="J3039" s="18">
        <v>19.504556343033098</v>
      </c>
      <c r="K3039" s="4">
        <v>243.80695428791373</v>
      </c>
      <c r="L3039" s="19">
        <v>2.4380695428791373E20</v>
      </c>
      <c r="M3039" s="20">
        <v>2.4380695428791374E19</v>
      </c>
    </row>
    <row r="3040">
      <c r="A3040" s="6"/>
      <c r="B3040" s="6"/>
      <c r="C3040" s="4"/>
      <c r="D3040" s="4">
        <v>48.3641275995966</v>
      </c>
      <c r="E3040" s="4" t="s">
        <v>1362</v>
      </c>
      <c r="F3040" s="4"/>
      <c r="G3040" s="4"/>
      <c r="H3040" s="4"/>
      <c r="I3040" s="4" t="str">
        <f>IFERROR(__xludf.DUMMYFUNCTION("""COMPUTED_VALUE"""),"0x21395a867d808c8565e273f3f17f23a8c4bb0221")</f>
        <v>0x21395a867d808c8565e273f3f17f23a8c4bb0221</v>
      </c>
      <c r="J3040" s="18">
        <v>43.1698376639677</v>
      </c>
      <c r="K3040" s="4">
        <v>539.6229707995963</v>
      </c>
      <c r="L3040" s="19">
        <v>5.3962297079959624E20</v>
      </c>
      <c r="M3040" s="20">
        <v>5.3962297079959626E19</v>
      </c>
    </row>
    <row r="3041">
      <c r="A3041" s="6"/>
      <c r="B3041" s="6"/>
      <c r="C3041" s="4"/>
      <c r="D3041" s="4">
        <v>35.403606629973</v>
      </c>
      <c r="E3041" s="4" t="s">
        <v>4710</v>
      </c>
      <c r="F3041" s="4"/>
      <c r="G3041" s="4"/>
      <c r="H3041" s="4"/>
      <c r="I3041" s="4" t="str">
        <f>IFERROR(__xludf.DUMMYFUNCTION("""COMPUTED_VALUE"""),"0xbb9fd13e89cda5b5106fd2dce3213dd4d0c58f02")</f>
        <v>0xbb9fd13e89cda5b5106fd2dce3213dd4d0c58f02</v>
      </c>
      <c r="J3041" s="18">
        <v>22.8861111911216</v>
      </c>
      <c r="K3041" s="4">
        <v>286.07638988902</v>
      </c>
      <c r="L3041" s="19">
        <v>2.8607638988902E20</v>
      </c>
      <c r="M3041" s="20">
        <v>2.8607638988902003E19</v>
      </c>
    </row>
    <row r="3042">
      <c r="A3042" s="6"/>
      <c r="B3042" s="6"/>
      <c r="C3042" s="4"/>
      <c r="D3042" s="4">
        <v>0.588849141075627</v>
      </c>
      <c r="E3042" s="4" t="s">
        <v>4712</v>
      </c>
      <c r="F3042" s="4"/>
      <c r="G3042" s="4"/>
      <c r="H3042" s="4"/>
      <c r="I3042" s="4" t="str">
        <f>IFERROR(__xludf.DUMMYFUNCTION("""COMPUTED_VALUE"""),"0xf79a4ce9bd79f43257e24986dd35c3dfc5da5460")</f>
        <v>0xf79a4ce9bd79f43257e24986dd35c3dfc5da5460</v>
      </c>
      <c r="J3042" s="18">
        <v>48.3641275995966</v>
      </c>
      <c r="K3042" s="4">
        <v>604.5515949949574</v>
      </c>
      <c r="L3042" s="19">
        <v>6.045515949949574E20</v>
      </c>
      <c r="M3042" s="20">
        <v>6.045515949949574E19</v>
      </c>
    </row>
    <row r="3043">
      <c r="A3043" s="6"/>
      <c r="B3043" s="6"/>
      <c r="C3043" s="4"/>
      <c r="D3043" s="4">
        <v>43.63206857204089</v>
      </c>
      <c r="E3043" s="4" t="s">
        <v>4714</v>
      </c>
      <c r="F3043" s="4"/>
      <c r="G3043" s="4"/>
      <c r="H3043" s="4"/>
      <c r="I3043" s="4" t="str">
        <f>IFERROR(__xludf.DUMMYFUNCTION("""COMPUTED_VALUE"""),"0xdecd3b0092525d8e5bdad43cf4bbb46f55c9d509")</f>
        <v>0xdecd3b0092525d8e5bdad43cf4bbb46f55c9d509</v>
      </c>
      <c r="J3043" s="18">
        <v>48.3641275995966</v>
      </c>
      <c r="K3043" s="4">
        <v>604.5515949949574</v>
      </c>
      <c r="L3043" s="19">
        <v>6.045515949949574E20</v>
      </c>
      <c r="M3043" s="20">
        <v>6.045515949949574E19</v>
      </c>
    </row>
    <row r="3044">
      <c r="A3044" s="6"/>
      <c r="B3044" s="6"/>
      <c r="C3044" s="4"/>
      <c r="D3044" s="4">
        <v>48.3641275995966</v>
      </c>
      <c r="E3044" s="4" t="s">
        <v>4716</v>
      </c>
      <c r="F3044" s="4"/>
      <c r="G3044" s="4"/>
      <c r="H3044" s="4"/>
      <c r="I3044" s="4" t="str">
        <f>IFERROR(__xludf.DUMMYFUNCTION("""COMPUTED_VALUE"""),"0x45fb021f23376bfb6dd4628e6b751469295552eb")</f>
        <v>0x45fb021f23376bfb6dd4628e6b751469295552eb</v>
      </c>
      <c r="J3044" s="18">
        <v>76.2384587433122</v>
      </c>
      <c r="K3044" s="4">
        <v>952.9807342914024</v>
      </c>
      <c r="L3044" s="19">
        <v>9.529807342914024E20</v>
      </c>
      <c r="M3044" s="20">
        <v>9.529807342914024E19</v>
      </c>
    </row>
    <row r="3045">
      <c r="A3045" s="6"/>
      <c r="B3045" s="6"/>
      <c r="C3045" s="4"/>
      <c r="D3045" s="4">
        <v>9.640830255487879</v>
      </c>
      <c r="E3045" s="4" t="s">
        <v>4717</v>
      </c>
      <c r="F3045" s="4"/>
      <c r="G3045" s="4"/>
      <c r="H3045" s="4"/>
      <c r="I3045" s="4" t="str">
        <f>IFERROR(__xludf.DUMMYFUNCTION("""COMPUTED_VALUE"""),"0x7ba77e50a2c06b94e526b867fdddcf29140aba2f")</f>
        <v>0x7ba77e50a2c06b94e526b867fdddcf29140aba2f</v>
      </c>
      <c r="J3045" s="18">
        <v>47.936980097999395</v>
      </c>
      <c r="K3045" s="4">
        <v>599.2122512249924</v>
      </c>
      <c r="L3045" s="19">
        <v>5.992122512249924E20</v>
      </c>
      <c r="M3045" s="20">
        <v>5.992122512249924E19</v>
      </c>
    </row>
    <row r="3046">
      <c r="A3046" s="6"/>
      <c r="B3046" s="6"/>
      <c r="C3046" s="4"/>
      <c r="D3046" s="4">
        <v>8.15236118549253</v>
      </c>
      <c r="E3046" s="4" t="s">
        <v>1083</v>
      </c>
      <c r="F3046" s="4"/>
      <c r="G3046" s="4"/>
      <c r="H3046" s="4"/>
      <c r="I3046" s="4" t="str">
        <f>IFERROR(__xludf.DUMMYFUNCTION("""COMPUTED_VALUE"""),"0x7c58b46d1f94f1de87afb7f5f4da1f01ff859479")</f>
        <v>0x7c58b46d1f94f1de87afb7f5f4da1f01ff859479</v>
      </c>
      <c r="J3046" s="18">
        <v>10.033273690093601</v>
      </c>
      <c r="K3046" s="4">
        <v>125.41592112617002</v>
      </c>
      <c r="L3046" s="19">
        <v>1.2541592112617002E20</v>
      </c>
      <c r="M3046" s="20">
        <v>1.2541592112617003E19</v>
      </c>
    </row>
    <row r="3047">
      <c r="A3047" s="6"/>
      <c r="B3047" s="6"/>
      <c r="C3047" s="4"/>
      <c r="D3047" s="4">
        <v>14.148921653393199</v>
      </c>
      <c r="E3047" s="4" t="s">
        <v>4720</v>
      </c>
      <c r="F3047" s="4"/>
      <c r="G3047" s="4"/>
      <c r="H3047" s="4"/>
      <c r="I3047" s="4" t="str">
        <f>IFERROR(__xludf.DUMMYFUNCTION("""COMPUTED_VALUE"""),"0x0468dd2af48880af83241826dbff4f0260b4c8e7")</f>
        <v>0x0468dd2af48880af83241826dbff4f0260b4c8e7</v>
      </c>
      <c r="J3047" s="18">
        <v>234.37608780709658</v>
      </c>
      <c r="K3047" s="4">
        <v>2929.7010975887074</v>
      </c>
      <c r="L3047" s="19">
        <v>2.9297010975887076E21</v>
      </c>
      <c r="M3047" s="20">
        <v>2.9297010975887078E20</v>
      </c>
    </row>
    <row r="3048">
      <c r="A3048" s="6"/>
      <c r="B3048" s="6"/>
      <c r="C3048" s="4"/>
      <c r="D3048" s="4">
        <v>48.3641275995966</v>
      </c>
      <c r="E3048" s="4" t="s">
        <v>4722</v>
      </c>
      <c r="F3048" s="4"/>
      <c r="G3048" s="4"/>
      <c r="H3048" s="4"/>
      <c r="I3048" s="4" t="str">
        <f>IFERROR(__xludf.DUMMYFUNCTION("""COMPUTED_VALUE"""),"0x7afab1ab061627186568eddc5e963e61edebb87d")</f>
        <v>0x7afab1ab061627186568eddc5e963e61edebb87d</v>
      </c>
      <c r="J3048" s="18">
        <v>57.68355139422898</v>
      </c>
      <c r="K3048" s="4">
        <v>721.0443924278622</v>
      </c>
      <c r="L3048" s="19">
        <v>7.210443924278622E20</v>
      </c>
      <c r="M3048" s="20">
        <v>7.210443924278623E19</v>
      </c>
    </row>
    <row r="3049">
      <c r="A3049" s="6"/>
      <c r="B3049" s="6"/>
      <c r="C3049" s="4"/>
      <c r="D3049" s="4">
        <v>10.8713667499489</v>
      </c>
      <c r="E3049" s="4" t="s">
        <v>4723</v>
      </c>
      <c r="F3049" s="4"/>
      <c r="G3049" s="4"/>
      <c r="H3049" s="4"/>
      <c r="I3049" s="4" t="str">
        <f>IFERROR(__xludf.DUMMYFUNCTION("""COMPUTED_VALUE"""),"0x92ea74a88b38c35a7856540fbed0f90864832206")</f>
        <v>0x92ea74a88b38c35a7856540fbed0f90864832206</v>
      </c>
      <c r="J3049" s="18">
        <v>35.7846846075714</v>
      </c>
      <c r="K3049" s="4">
        <v>447.3085575946425</v>
      </c>
      <c r="L3049" s="19">
        <v>4.473085575946425E20</v>
      </c>
      <c r="M3049" s="20">
        <v>4.473085575946425E19</v>
      </c>
    </row>
    <row r="3050">
      <c r="A3050" s="6"/>
      <c r="B3050" s="6"/>
      <c r="C3050" s="4"/>
      <c r="D3050" s="4">
        <v>19.4697147622501</v>
      </c>
      <c r="E3050" s="4" t="s">
        <v>4725</v>
      </c>
      <c r="F3050" s="4"/>
      <c r="G3050" s="4"/>
      <c r="H3050" s="4"/>
      <c r="I3050" s="4" t="str">
        <f>IFERROR(__xludf.DUMMYFUNCTION("""COMPUTED_VALUE"""),"0x6aa38efd0d7152ea4718973fdd2a08703e001b89")</f>
        <v>0x6aa38efd0d7152ea4718973fdd2a08703e001b89</v>
      </c>
      <c r="J3050" s="18">
        <v>3.1892415217776398</v>
      </c>
      <c r="K3050" s="4">
        <v>39.8655190222205</v>
      </c>
      <c r="L3050" s="19">
        <v>3.986551902222049E19</v>
      </c>
      <c r="M3050" s="20">
        <v>3.9865519022220493E18</v>
      </c>
    </row>
    <row r="3051">
      <c r="A3051" s="6"/>
      <c r="B3051" s="6"/>
      <c r="C3051" s="4"/>
      <c r="D3051" s="4">
        <v>9.34861936391624</v>
      </c>
      <c r="E3051" s="4" t="s">
        <v>4727</v>
      </c>
      <c r="F3051" s="4"/>
      <c r="G3051" s="4"/>
      <c r="H3051" s="4"/>
      <c r="I3051" s="4" t="str">
        <f>IFERROR(__xludf.DUMMYFUNCTION("""COMPUTED_VALUE"""),"0x1233dd90d5334c8d7d0a7e14fd0b9638235402cb")</f>
        <v>0x1233dd90d5334c8d7d0a7e14fd0b9638235402cb</v>
      </c>
      <c r="J3051" s="18">
        <v>39.9591997394812</v>
      </c>
      <c r="K3051" s="4">
        <v>499.489996743515</v>
      </c>
      <c r="L3051" s="19">
        <v>4.99489996743515E20</v>
      </c>
      <c r="M3051" s="20">
        <v>4.99489996743515E19</v>
      </c>
    </row>
    <row r="3052">
      <c r="A3052" s="6"/>
      <c r="B3052" s="6"/>
      <c r="C3052" s="4"/>
      <c r="D3052" s="4">
        <v>48.3641275995966</v>
      </c>
      <c r="E3052" s="4" t="s">
        <v>4729</v>
      </c>
      <c r="F3052" s="4"/>
      <c r="G3052" s="4"/>
      <c r="H3052" s="4"/>
      <c r="I3052" s="4" t="str">
        <f>IFERROR(__xludf.DUMMYFUNCTION("""COMPUTED_VALUE"""),"0x052bd0a32aabeefd826453643afe04a4ceccc6f7")</f>
        <v>0x052bd0a32aabeefd826453643afe04a4ceccc6f7</v>
      </c>
      <c r="J3052" s="18">
        <v>19.3456510398386</v>
      </c>
      <c r="K3052" s="4">
        <v>241.8206379979825</v>
      </c>
      <c r="L3052" s="19">
        <v>2.4182063799798248E20</v>
      </c>
      <c r="M3052" s="20">
        <v>2.418206379979825E19</v>
      </c>
    </row>
    <row r="3053">
      <c r="A3053" s="6"/>
      <c r="B3053" s="6"/>
      <c r="C3053" s="4"/>
      <c r="D3053" s="4">
        <v>48.3641275995966</v>
      </c>
      <c r="E3053" s="4" t="s">
        <v>304</v>
      </c>
      <c r="F3053" s="4"/>
      <c r="G3053" s="4"/>
      <c r="H3053" s="4"/>
      <c r="I3053" s="4" t="str">
        <f>IFERROR(__xludf.DUMMYFUNCTION("""COMPUTED_VALUE"""),"0xd53076e74ab70d306bdba4c620a4f7e310817164")</f>
        <v>0xd53076e74ab70d306bdba4c620a4f7e310817164</v>
      </c>
      <c r="J3053" s="18">
        <v>2.19910299076198</v>
      </c>
      <c r="K3053" s="4">
        <v>27.48878738452475</v>
      </c>
      <c r="L3053" s="19">
        <v>2.7488787384524747E19</v>
      </c>
      <c r="M3053" s="20">
        <v>2.748878738452475E18</v>
      </c>
    </row>
    <row r="3054">
      <c r="A3054" s="6"/>
      <c r="B3054" s="6"/>
      <c r="C3054" s="4"/>
      <c r="D3054" s="4">
        <v>48.3641275995966</v>
      </c>
      <c r="E3054" s="4" t="s">
        <v>4730</v>
      </c>
      <c r="F3054" s="4"/>
      <c r="G3054" s="4"/>
      <c r="H3054" s="4"/>
      <c r="I3054" s="4" t="str">
        <f>IFERROR(__xludf.DUMMYFUNCTION("""COMPUTED_VALUE"""),"0x842b9bd8ee83a5c26efc152a9aa8df3a9ae09778")</f>
        <v>0x842b9bd8ee83a5c26efc152a9aa8df3a9ae09778</v>
      </c>
      <c r="J3054" s="18">
        <v>85.5665196410967</v>
      </c>
      <c r="K3054" s="4">
        <v>1069.581495513709</v>
      </c>
      <c r="L3054" s="19">
        <v>1.0695814955137089E21</v>
      </c>
      <c r="M3054" s="20">
        <v>1.069581495513709E20</v>
      </c>
    </row>
    <row r="3055">
      <c r="A3055" s="6"/>
      <c r="B3055" s="6"/>
      <c r="C3055" s="4"/>
      <c r="D3055" s="4">
        <v>48.3641275995966</v>
      </c>
      <c r="E3055" s="4" t="s">
        <v>4731</v>
      </c>
      <c r="F3055" s="4"/>
      <c r="G3055" s="4"/>
      <c r="H3055" s="4"/>
      <c r="I3055" s="4" t="str">
        <f>IFERROR(__xludf.DUMMYFUNCTION("""COMPUTED_VALUE"""),"0xa2e2e6d2c9590d83748a17778ad598c1cc571705")</f>
        <v>0xa2e2e6d2c9590d83748a17778ad598c1cc571705</v>
      </c>
      <c r="J3055" s="18">
        <v>48.3641275995966</v>
      </c>
      <c r="K3055" s="4">
        <v>604.5515949949574</v>
      </c>
      <c r="L3055" s="19">
        <v>6.045515949949574E20</v>
      </c>
      <c r="M3055" s="20">
        <v>6.045515949949574E19</v>
      </c>
    </row>
    <row r="3056">
      <c r="A3056" s="6"/>
      <c r="B3056" s="6"/>
      <c r="C3056" s="4"/>
      <c r="D3056" s="4">
        <v>48.3641275995966</v>
      </c>
      <c r="E3056" s="4" t="s">
        <v>4732</v>
      </c>
      <c r="F3056" s="4"/>
      <c r="G3056" s="4"/>
      <c r="H3056" s="4"/>
      <c r="I3056" s="4" t="str">
        <f>IFERROR(__xludf.DUMMYFUNCTION("""COMPUTED_VALUE"""),"0x4b6d5ef9cb7ee26a5e346e62a8d0be7853b4ac97")</f>
        <v>0x4b6d5ef9cb7ee26a5e346e62a8d0be7853b4ac97</v>
      </c>
      <c r="J3056" s="18">
        <v>47.5903015580031</v>
      </c>
      <c r="K3056" s="4">
        <v>594.8787694750387</v>
      </c>
      <c r="L3056" s="19">
        <v>5.948787694750386E20</v>
      </c>
      <c r="M3056" s="20">
        <v>5.9487876947503866E19</v>
      </c>
    </row>
    <row r="3057">
      <c r="A3057" s="6"/>
      <c r="B3057" s="6"/>
      <c r="C3057" s="4"/>
      <c r="D3057" s="4">
        <v>47.5711668790351</v>
      </c>
      <c r="E3057" s="4" t="s">
        <v>4733</v>
      </c>
      <c r="F3057" s="4"/>
      <c r="G3057" s="4"/>
      <c r="H3057" s="4"/>
      <c r="I3057" s="4" t="str">
        <f>IFERROR(__xludf.DUMMYFUNCTION("""COMPUTED_VALUE"""),"0xa36837697817cbebd148c8b377d7da08f8330a55")</f>
        <v>0xa36837697817cbebd148c8b377d7da08f8330a55</v>
      </c>
      <c r="J3057" s="18">
        <v>48.3641275995966</v>
      </c>
      <c r="K3057" s="4">
        <v>604.5515949949574</v>
      </c>
      <c r="L3057" s="19">
        <v>6.045515949949574E20</v>
      </c>
      <c r="M3057" s="20">
        <v>6.045515949949574E19</v>
      </c>
    </row>
    <row r="3058">
      <c r="A3058" s="6"/>
      <c r="B3058" s="6"/>
      <c r="C3058" s="4"/>
      <c r="D3058" s="4">
        <v>48.3641275995966</v>
      </c>
      <c r="E3058" s="4" t="s">
        <v>4735</v>
      </c>
      <c r="F3058" s="4"/>
      <c r="G3058" s="4"/>
      <c r="H3058" s="4"/>
      <c r="I3058" s="4" t="str">
        <f>IFERROR(__xludf.DUMMYFUNCTION("""COMPUTED_VALUE"""),"0xdd9ec4614c70586490401a3808014e86743a8066")</f>
        <v>0xdd9ec4614c70586490401a3808014e86743a8066</v>
      </c>
      <c r="J3058" s="18">
        <v>42.138013357333506</v>
      </c>
      <c r="K3058" s="4">
        <v>526.7251669666688</v>
      </c>
      <c r="L3058" s="19">
        <v>5.267251669666688E20</v>
      </c>
      <c r="M3058" s="20">
        <v>5.267251669666688E19</v>
      </c>
    </row>
    <row r="3059">
      <c r="A3059" s="6"/>
      <c r="B3059" s="6"/>
      <c r="C3059" s="4"/>
      <c r="D3059" s="4">
        <v>48.3641275995966</v>
      </c>
      <c r="E3059" s="4" t="s">
        <v>4736</v>
      </c>
      <c r="F3059" s="4"/>
      <c r="G3059" s="4"/>
      <c r="H3059" s="4"/>
      <c r="I3059" s="4" t="str">
        <f>IFERROR(__xludf.DUMMYFUNCTION("""COMPUTED_VALUE"""),"0x34e040ae65e8cbfde0b8e2f8bbda396f8f05e46c")</f>
        <v>0x34e040ae65e8cbfde0b8e2f8bbda396f8f05e46c</v>
      </c>
      <c r="J3059" s="18">
        <v>66.88807793018441</v>
      </c>
      <c r="K3059" s="4">
        <v>836.1009741273051</v>
      </c>
      <c r="L3059" s="19">
        <v>8.36100974127305E20</v>
      </c>
      <c r="M3059" s="20">
        <v>8.36100974127305E19</v>
      </c>
    </row>
    <row r="3060">
      <c r="A3060" s="6"/>
      <c r="B3060" s="6"/>
      <c r="C3060" s="4"/>
      <c r="D3060" s="4">
        <v>40.4817438558336</v>
      </c>
      <c r="E3060" s="4" t="s">
        <v>4737</v>
      </c>
      <c r="F3060" s="4"/>
      <c r="G3060" s="4"/>
      <c r="H3060" s="4"/>
      <c r="I3060" s="4" t="str">
        <f>IFERROR(__xludf.DUMMYFUNCTION("""COMPUTED_VALUE"""),"0x2326b1f98aad6e48054c8b69a6f91fac35c7fcfd")</f>
        <v>0x2326b1f98aad6e48054c8b69a6f91fac35c7fcfd</v>
      </c>
      <c r="J3060" s="18">
        <v>11.7211172149072</v>
      </c>
      <c r="K3060" s="4">
        <v>146.51396518634</v>
      </c>
      <c r="L3060" s="19">
        <v>1.4651396518634E20</v>
      </c>
      <c r="M3060" s="20">
        <v>1.4651396518634E19</v>
      </c>
    </row>
    <row r="3061">
      <c r="A3061" s="6"/>
      <c r="B3061" s="6"/>
      <c r="C3061" s="4"/>
      <c r="D3061" s="4">
        <v>48.3641275995966</v>
      </c>
      <c r="E3061" s="4" t="s">
        <v>4739</v>
      </c>
      <c r="F3061" s="4"/>
      <c r="G3061" s="4"/>
      <c r="H3061" s="4"/>
      <c r="I3061" s="4" t="str">
        <f>IFERROR(__xludf.DUMMYFUNCTION("""COMPUTED_VALUE"""),"0x2b9cc8553a0530e4d5bc21196e56b9e0e1f3792d")</f>
        <v>0x2b9cc8553a0530e4d5bc21196e56b9e0e1f3792d</v>
      </c>
      <c r="J3061" s="18">
        <v>9.672825519919328</v>
      </c>
      <c r="K3061" s="4">
        <v>120.9103189989916</v>
      </c>
      <c r="L3061" s="19">
        <v>1.209103189989916E20</v>
      </c>
      <c r="M3061" s="20">
        <v>1.209103189989916E19</v>
      </c>
    </row>
    <row r="3062">
      <c r="A3062" s="6"/>
      <c r="B3062" s="6"/>
      <c r="C3062" s="4"/>
      <c r="D3062" s="4">
        <v>9.66939603452739</v>
      </c>
      <c r="E3062" s="4" t="s">
        <v>4740</v>
      </c>
      <c r="F3062" s="4"/>
      <c r="G3062" s="4"/>
      <c r="H3062" s="4"/>
      <c r="I3062" s="4" t="str">
        <f>IFERROR(__xludf.DUMMYFUNCTION("""COMPUTED_VALUE"""),"0x8666f873bf4f874b852a0b7ec655ed5c855fb718")</f>
        <v>0x8666f873bf4f874b852a0b7ec655ed5c855fb718</v>
      </c>
      <c r="J3062" s="18">
        <v>48.3641275995966</v>
      </c>
      <c r="K3062" s="4">
        <v>604.5515949949574</v>
      </c>
      <c r="L3062" s="19">
        <v>6.045515949949574E20</v>
      </c>
      <c r="M3062" s="20">
        <v>6.045515949949574E19</v>
      </c>
    </row>
    <row r="3063">
      <c r="A3063" s="6"/>
      <c r="B3063" s="6"/>
      <c r="C3063" s="4"/>
      <c r="D3063" s="4">
        <v>48.3641275995966</v>
      </c>
      <c r="E3063" s="4" t="s">
        <v>4742</v>
      </c>
      <c r="F3063" s="4"/>
      <c r="G3063" s="4"/>
      <c r="H3063" s="4"/>
      <c r="I3063" s="4" t="str">
        <f>IFERROR(__xludf.DUMMYFUNCTION("""COMPUTED_VALUE"""),"0x927967a82bdcbe13fa1fc6cd95948d97dbeb6ff1")</f>
        <v>0x927967a82bdcbe13fa1fc6cd95948d97dbeb6ff1</v>
      </c>
      <c r="J3063" s="18">
        <v>78.3120531930042</v>
      </c>
      <c r="K3063" s="4">
        <v>978.9006649125525</v>
      </c>
      <c r="L3063" s="19">
        <v>9.789006649125525E20</v>
      </c>
      <c r="M3063" s="20">
        <v>9.789006649125526E19</v>
      </c>
    </row>
    <row r="3064">
      <c r="A3064" s="6"/>
      <c r="B3064" s="6"/>
      <c r="C3064" s="4"/>
      <c r="D3064" s="4">
        <v>48.3641275995966</v>
      </c>
      <c r="E3064" s="4" t="s">
        <v>4743</v>
      </c>
      <c r="F3064" s="4"/>
      <c r="G3064" s="4"/>
      <c r="H3064" s="4"/>
      <c r="I3064" s="4" t="str">
        <f>IFERROR(__xludf.DUMMYFUNCTION("""COMPUTED_VALUE"""),"0x0ac6a8a6433e449d450375540ecc6a10e95aab0f")</f>
        <v>0x0ac6a8a6433e449d450375540ecc6a10e95aab0f</v>
      </c>
      <c r="J3064" s="18">
        <v>48.3641275995966</v>
      </c>
      <c r="K3064" s="4">
        <v>604.5515949949574</v>
      </c>
      <c r="L3064" s="19">
        <v>6.045515949949574E20</v>
      </c>
      <c r="M3064" s="20">
        <v>6.045515949949574E19</v>
      </c>
    </row>
    <row r="3065">
      <c r="A3065" s="6"/>
      <c r="B3065" s="6"/>
      <c r="C3065" s="4"/>
      <c r="D3065" s="4">
        <v>48.3641275995966</v>
      </c>
      <c r="E3065" s="4" t="s">
        <v>4744</v>
      </c>
      <c r="F3065" s="4"/>
      <c r="G3065" s="4"/>
      <c r="H3065" s="4"/>
      <c r="I3065" s="4" t="str">
        <f>IFERROR(__xludf.DUMMYFUNCTION("""COMPUTED_VALUE"""),"0xde4f4015507cb53147edd0e2dfd3dcf991ae7f0c")</f>
        <v>0xde4f4015507cb53147edd0e2dfd3dcf991ae7f0c</v>
      </c>
      <c r="J3065" s="18">
        <v>0.187896922511799</v>
      </c>
      <c r="K3065" s="4">
        <v>2.3487115313974876</v>
      </c>
      <c r="L3065" s="19">
        <v>2.3487115313974876E18</v>
      </c>
      <c r="M3065" s="20">
        <v>2.3487115313974877E17</v>
      </c>
    </row>
    <row r="3066">
      <c r="A3066" s="6"/>
      <c r="B3066" s="6"/>
      <c r="C3066" s="4"/>
      <c r="D3066" s="4">
        <v>12.8792867893184</v>
      </c>
      <c r="E3066" s="4" t="s">
        <v>119</v>
      </c>
      <c r="F3066" s="4"/>
      <c r="G3066" s="4"/>
      <c r="H3066" s="4"/>
      <c r="I3066" s="4" t="str">
        <f>IFERROR(__xludf.DUMMYFUNCTION("""COMPUTED_VALUE"""),"0xfbb36eb0ec4639d8ddb31213b5d8b94505df8f98")</f>
        <v>0xfbb36eb0ec4639d8ddb31213b5d8b94505df8f98</v>
      </c>
      <c r="J3066" s="18">
        <v>9.672825519919328</v>
      </c>
      <c r="K3066" s="4">
        <v>120.9103189989916</v>
      </c>
      <c r="L3066" s="19">
        <v>1.209103189989916E20</v>
      </c>
      <c r="M3066" s="20">
        <v>1.209103189989916E19</v>
      </c>
    </row>
    <row r="3067">
      <c r="A3067" s="6"/>
      <c r="B3067" s="6"/>
      <c r="C3067" s="4"/>
      <c r="D3067" s="4">
        <v>48.3641275995966</v>
      </c>
      <c r="E3067" s="4" t="s">
        <v>4746</v>
      </c>
      <c r="F3067" s="4"/>
      <c r="G3067" s="4"/>
      <c r="H3067" s="4"/>
      <c r="I3067" s="4" t="str">
        <f>IFERROR(__xludf.DUMMYFUNCTION("""COMPUTED_VALUE"""),"0x69ff5eb271735859c0ef5338d1e5334da2ba5907")</f>
        <v>0x69ff5eb271735859c0ef5338d1e5334da2ba5907</v>
      </c>
      <c r="J3067" s="18">
        <v>8.16439230322786</v>
      </c>
      <c r="K3067" s="4">
        <v>102.05490379034825</v>
      </c>
      <c r="L3067" s="19">
        <v>1.0205490379034826E20</v>
      </c>
      <c r="M3067" s="20">
        <v>1.0205490379034827E19</v>
      </c>
    </row>
    <row r="3068">
      <c r="A3068" s="6"/>
      <c r="B3068" s="6"/>
      <c r="C3068" s="4"/>
      <c r="D3068" s="4">
        <v>2.70839114557741</v>
      </c>
      <c r="E3068" s="4" t="s">
        <v>4747</v>
      </c>
      <c r="F3068" s="4"/>
      <c r="G3068" s="4"/>
      <c r="H3068" s="4"/>
      <c r="I3068" s="4" t="str">
        <f>IFERROR(__xludf.DUMMYFUNCTION("""COMPUTED_VALUE"""),"0xa6e0753082603cf29a8251e37923ebbd5c11d60b")</f>
        <v>0xa6e0753082603cf29a8251e37923ebbd5c11d60b</v>
      </c>
      <c r="J3068" s="18">
        <v>9.672825519919328</v>
      </c>
      <c r="K3068" s="4">
        <v>120.9103189989916</v>
      </c>
      <c r="L3068" s="19">
        <v>1.209103189989916E20</v>
      </c>
      <c r="M3068" s="20">
        <v>1.209103189989916E19</v>
      </c>
    </row>
    <row r="3069">
      <c r="A3069" s="6"/>
      <c r="B3069" s="6"/>
      <c r="C3069" s="4"/>
      <c r="D3069" s="4">
        <v>34.8221718717096</v>
      </c>
      <c r="E3069" s="4" t="s">
        <v>4749</v>
      </c>
      <c r="F3069" s="4"/>
      <c r="G3069" s="4"/>
      <c r="H3069" s="4"/>
      <c r="I3069" s="4" t="str">
        <f>IFERROR(__xludf.DUMMYFUNCTION("""COMPUTED_VALUE"""),"0x4243628688be360fad761dc13b061cc57518da17")</f>
        <v>0x4243628688be360fad761dc13b061cc57518da17</v>
      </c>
      <c r="J3069" s="18">
        <v>58.5947854110091</v>
      </c>
      <c r="K3069" s="4">
        <v>732.4348176376137</v>
      </c>
      <c r="L3069" s="19">
        <v>7.324348176376137E20</v>
      </c>
      <c r="M3069" s="20">
        <v>7.324348176376137E19</v>
      </c>
    </row>
    <row r="3070">
      <c r="A3070" s="6"/>
      <c r="B3070" s="6"/>
      <c r="C3070" s="4"/>
      <c r="D3070" s="4">
        <v>2.59323107623113</v>
      </c>
      <c r="E3070" s="4" t="s">
        <v>4751</v>
      </c>
      <c r="F3070" s="4"/>
      <c r="G3070" s="4"/>
      <c r="H3070" s="4"/>
      <c r="I3070" s="4" t="str">
        <f>IFERROR(__xludf.DUMMYFUNCTION("""COMPUTED_VALUE"""),"0xca6951dba1f8d73385f17abc6f4be111055172ff")</f>
        <v>0xca6951dba1f8d73385f17abc6f4be111055172ff</v>
      </c>
      <c r="J3070" s="18">
        <v>57.66472560997164</v>
      </c>
      <c r="K3070" s="4">
        <v>720.8090701246455</v>
      </c>
      <c r="L3070" s="19">
        <v>7.208090701246455E20</v>
      </c>
      <c r="M3070" s="20">
        <v>7.208090701246455E19</v>
      </c>
    </row>
    <row r="3071">
      <c r="A3071" s="6"/>
      <c r="B3071" s="6"/>
      <c r="C3071" s="4"/>
      <c r="D3071" s="4">
        <v>48.3070994894847</v>
      </c>
      <c r="E3071" s="4" t="s">
        <v>4753</v>
      </c>
      <c r="F3071" s="4"/>
      <c r="G3071" s="4"/>
      <c r="H3071" s="4"/>
      <c r="I3071" s="4" t="str">
        <f>IFERROR(__xludf.DUMMYFUNCTION("""COMPUTED_VALUE"""),"0x62fc84ba0871f96f3ece8208d206d7a9c8ddb707")</f>
        <v>0x62fc84ba0871f96f3ece8208d206d7a9c8ddb707</v>
      </c>
      <c r="J3071" s="18">
        <v>12.816462903609999</v>
      </c>
      <c r="K3071" s="4">
        <v>160.205786295125</v>
      </c>
      <c r="L3071" s="19">
        <v>1.60205786295125E20</v>
      </c>
      <c r="M3071" s="20">
        <v>1.60205786295125E19</v>
      </c>
    </row>
    <row r="3072">
      <c r="A3072" s="6"/>
      <c r="B3072" s="6"/>
      <c r="C3072" s="4"/>
      <c r="D3072" s="4">
        <v>48.3641275995966</v>
      </c>
      <c r="E3072" s="4" t="s">
        <v>4755</v>
      </c>
      <c r="F3072" s="4"/>
      <c r="G3072" s="4"/>
      <c r="H3072" s="4"/>
      <c r="I3072" s="4" t="str">
        <f>IFERROR(__xludf.DUMMYFUNCTION("""COMPUTED_VALUE"""),"0x6f4577574b83f546b05975ffd525b3b0db3746e8")</f>
        <v>0x6f4577574b83f546b05975ffd525b3b0db3746e8</v>
      </c>
      <c r="J3072" s="18">
        <v>35.5810297631941</v>
      </c>
      <c r="K3072" s="4">
        <v>444.76287203992626</v>
      </c>
      <c r="L3072" s="19">
        <v>4.447628720399263E20</v>
      </c>
      <c r="M3072" s="20">
        <v>4.447628720399263E19</v>
      </c>
    </row>
    <row r="3073">
      <c r="A3073" s="6"/>
      <c r="B3073" s="6"/>
      <c r="C3073" s="4"/>
      <c r="D3073" s="4">
        <v>7.738260415935461</v>
      </c>
      <c r="E3073" s="4" t="s">
        <v>4756</v>
      </c>
      <c r="F3073" s="4"/>
      <c r="G3073" s="4"/>
      <c r="H3073" s="4"/>
      <c r="I3073" s="4" t="str">
        <f>IFERROR(__xludf.DUMMYFUNCTION("""COMPUTED_VALUE"""),"0xe31a3e7c014b180e0eaa4bc083cd8ab6a5a9623e")</f>
        <v>0xe31a3e7c014b180e0eaa4bc083cd8ab6a5a9623e</v>
      </c>
      <c r="J3073" s="18">
        <v>8.93801076672677</v>
      </c>
      <c r="K3073" s="4">
        <v>111.72513458408461</v>
      </c>
      <c r="L3073" s="19">
        <v>1.1172513458408461E20</v>
      </c>
      <c r="M3073" s="20">
        <v>1.1172513458408462E19</v>
      </c>
    </row>
    <row r="3074">
      <c r="A3074" s="6"/>
      <c r="B3074" s="6"/>
      <c r="C3074" s="4"/>
      <c r="D3074" s="4">
        <v>48.3641275995966</v>
      </c>
      <c r="E3074" s="4" t="s">
        <v>4757</v>
      </c>
      <c r="F3074" s="4"/>
      <c r="G3074" s="4"/>
      <c r="H3074" s="4"/>
      <c r="I3074" s="4" t="str">
        <f>IFERROR(__xludf.DUMMYFUNCTION("""COMPUTED_VALUE"""),"0x85aae89fd698ecdcf29b24d339439b9946dbaf5b")</f>
        <v>0x85aae89fd698ecdcf29b24d339439b9946dbaf5b</v>
      </c>
      <c r="J3074" s="18">
        <v>8.96916846816413</v>
      </c>
      <c r="K3074" s="4">
        <v>112.11460585205161</v>
      </c>
      <c r="L3074" s="19">
        <v>1.121146058520516E20</v>
      </c>
      <c r="M3074" s="20">
        <v>1.1211460585205162E19</v>
      </c>
    </row>
    <row r="3075">
      <c r="A3075" s="6"/>
      <c r="B3075" s="6"/>
      <c r="C3075" s="4"/>
      <c r="D3075" s="4">
        <v>48.3641275995966</v>
      </c>
      <c r="E3075" s="4" t="s">
        <v>4758</v>
      </c>
      <c r="F3075" s="4"/>
      <c r="G3075" s="4"/>
      <c r="H3075" s="4"/>
      <c r="I3075" s="4" t="str">
        <f>IFERROR(__xludf.DUMMYFUNCTION("""COMPUTED_VALUE"""),"0x3f73527578ba191c369ba86a2bd29f8d8e5ac5a0")</f>
        <v>0x3f73527578ba191c369ba86a2bd29f8d8e5ac5a0</v>
      </c>
      <c r="J3075" s="18">
        <v>131.7629202907593</v>
      </c>
      <c r="K3075" s="4">
        <v>1647.0365036344913</v>
      </c>
      <c r="L3075" s="19">
        <v>1.6470365036344912E21</v>
      </c>
      <c r="M3075" s="20">
        <v>1.647036503634491E20</v>
      </c>
    </row>
    <row r="3076">
      <c r="A3076" s="6"/>
      <c r="B3076" s="6"/>
      <c r="C3076" s="4"/>
      <c r="D3076" s="4">
        <v>34.845352176810096</v>
      </c>
      <c r="E3076" s="4" t="s">
        <v>4759</v>
      </c>
      <c r="F3076" s="4"/>
      <c r="G3076" s="4"/>
      <c r="H3076" s="4"/>
      <c r="I3076" s="4" t="str">
        <f>IFERROR(__xludf.DUMMYFUNCTION("""COMPUTED_VALUE"""),"0xab4b16ebe8cf340423039f6d8346e4b7ba16e12c")</f>
        <v>0xab4b16ebe8cf340423039f6d8346e4b7ba16e12c</v>
      </c>
      <c r="J3076" s="18">
        <v>48.3641275995966</v>
      </c>
      <c r="K3076" s="4">
        <v>604.5515949949574</v>
      </c>
      <c r="L3076" s="19">
        <v>6.045515949949574E20</v>
      </c>
      <c r="M3076" s="20">
        <v>6.045515949949574E19</v>
      </c>
    </row>
    <row r="3077">
      <c r="A3077" s="6"/>
      <c r="B3077" s="6"/>
      <c r="C3077" s="4"/>
      <c r="D3077" s="4">
        <v>43.3562818356605</v>
      </c>
      <c r="E3077" s="4" t="s">
        <v>1179</v>
      </c>
      <c r="F3077" s="4"/>
      <c r="G3077" s="4"/>
      <c r="H3077" s="4"/>
      <c r="I3077" s="4" t="str">
        <f>IFERROR(__xludf.DUMMYFUNCTION("""COMPUTED_VALUE"""),"0x04f4eacc7414361e7c6ec2f738a256dbe0f4dcec")</f>
        <v>0x04f4eacc7414361e7c6ec2f738a256dbe0f4dcec</v>
      </c>
      <c r="J3077" s="18">
        <v>61.005391904069796</v>
      </c>
      <c r="K3077" s="4">
        <v>762.5673988008724</v>
      </c>
      <c r="L3077" s="19">
        <v>7.625673988008724E20</v>
      </c>
      <c r="M3077" s="20">
        <v>7.625673988008724E19</v>
      </c>
    </row>
    <row r="3078">
      <c r="A3078" s="6"/>
      <c r="B3078" s="6"/>
      <c r="C3078" s="4"/>
      <c r="D3078" s="4">
        <v>4.73257049656399</v>
      </c>
      <c r="E3078" s="4" t="s">
        <v>4762</v>
      </c>
      <c r="F3078" s="4"/>
      <c r="G3078" s="4"/>
      <c r="H3078" s="4"/>
      <c r="I3078" s="4" t="str">
        <f>IFERROR(__xludf.DUMMYFUNCTION("""COMPUTED_VALUE"""),"0x02566a43dbac1cfd9f5eddc292f0fd460eae7c8e")</f>
        <v>0x02566a43dbac1cfd9f5eddc292f0fd460eae7c8e</v>
      </c>
      <c r="J3078" s="18">
        <v>57.66472560997164</v>
      </c>
      <c r="K3078" s="4">
        <v>720.8090701246455</v>
      </c>
      <c r="L3078" s="19">
        <v>7.208090701246455E20</v>
      </c>
      <c r="M3078" s="20">
        <v>7.208090701246455E19</v>
      </c>
    </row>
    <row r="3079">
      <c r="A3079" s="6"/>
      <c r="B3079" s="6"/>
      <c r="C3079" s="4"/>
      <c r="D3079" s="4">
        <v>43.9264370502917</v>
      </c>
      <c r="E3079" s="4" t="s">
        <v>4764</v>
      </c>
      <c r="F3079" s="4"/>
      <c r="G3079" s="4"/>
      <c r="H3079" s="4"/>
      <c r="I3079" s="4" t="str">
        <f>IFERROR(__xludf.DUMMYFUNCTION("""COMPUTED_VALUE"""),"0x929c9d926d113561dbc547747c2dbc2a628277ce")</f>
        <v>0x929c9d926d113561dbc547747c2dbc2a628277ce</v>
      </c>
      <c r="J3079" s="18">
        <v>10.6131447540203</v>
      </c>
      <c r="K3079" s="4">
        <v>132.66430942525375</v>
      </c>
      <c r="L3079" s="19">
        <v>1.3266430942525374E20</v>
      </c>
      <c r="M3079" s="20">
        <v>1.3266430942525374E19</v>
      </c>
    </row>
    <row r="3080">
      <c r="A3080" s="6"/>
      <c r="B3080" s="6"/>
      <c r="C3080" s="4"/>
      <c r="D3080" s="4">
        <v>9.27802368647251</v>
      </c>
      <c r="E3080" s="4" t="s">
        <v>4766</v>
      </c>
      <c r="F3080" s="4"/>
      <c r="G3080" s="4"/>
      <c r="H3080" s="4"/>
      <c r="I3080" s="4" t="str">
        <f>IFERROR(__xludf.DUMMYFUNCTION("""COMPUTED_VALUE"""),"0xb4664d0c383bc201b4e745f90a14d258a5a0ac25")</f>
        <v>0xb4664d0c383bc201b4e745f90a14d258a5a0ac25</v>
      </c>
      <c r="J3080" s="18">
        <v>1.93456510398386</v>
      </c>
      <c r="K3080" s="4">
        <v>24.18206379979825</v>
      </c>
      <c r="L3080" s="19">
        <v>2.418206379979825E19</v>
      </c>
      <c r="M3080" s="20">
        <v>2.418206379979825E18</v>
      </c>
    </row>
    <row r="3081">
      <c r="A3081" s="6"/>
      <c r="B3081" s="6"/>
      <c r="C3081" s="4"/>
      <c r="D3081" s="4">
        <v>47.9220430759297</v>
      </c>
      <c r="E3081" s="4" t="s">
        <v>4768</v>
      </c>
      <c r="F3081" s="4"/>
      <c r="G3081" s="4"/>
      <c r="H3081" s="4"/>
      <c r="I3081" s="4" t="str">
        <f>IFERROR(__xludf.DUMMYFUNCTION("""COMPUTED_VALUE"""),"0x2b981037c5362748692bdc01aa8cad77dcadb402")</f>
        <v>0x2b981037c5362748692bdc01aa8cad77dcadb402</v>
      </c>
      <c r="J3081" s="18">
        <v>48.3641275995966</v>
      </c>
      <c r="K3081" s="4">
        <v>604.5515949949574</v>
      </c>
      <c r="L3081" s="19">
        <v>6.045515949949574E20</v>
      </c>
      <c r="M3081" s="20">
        <v>6.045515949949574E19</v>
      </c>
    </row>
    <row r="3082">
      <c r="A3082" s="6"/>
      <c r="B3082" s="6"/>
      <c r="C3082" s="4"/>
      <c r="D3082" s="4">
        <v>48.3641275995966</v>
      </c>
      <c r="E3082" s="4" t="s">
        <v>4770</v>
      </c>
      <c r="F3082" s="4"/>
      <c r="G3082" s="4"/>
      <c r="H3082" s="4"/>
      <c r="I3082" s="4" t="str">
        <f>IFERROR(__xludf.DUMMYFUNCTION("""COMPUTED_VALUE"""),"0xd66e848da600f74722237f24405f1797c441e49b")</f>
        <v>0xd66e848da600f74722237f24405f1797c441e49b</v>
      </c>
      <c r="J3082" s="18">
        <v>48.3641275995966</v>
      </c>
      <c r="K3082" s="4">
        <v>604.5515949949574</v>
      </c>
      <c r="L3082" s="19">
        <v>6.045515949949574E20</v>
      </c>
      <c r="M3082" s="20">
        <v>6.045515949949574E19</v>
      </c>
    </row>
    <row r="3083">
      <c r="A3083" s="6"/>
      <c r="B3083" s="6"/>
      <c r="C3083" s="4"/>
      <c r="D3083" s="4">
        <v>48.3641275995966</v>
      </c>
      <c r="E3083" s="4" t="s">
        <v>4771</v>
      </c>
      <c r="F3083" s="4"/>
      <c r="G3083" s="4"/>
      <c r="H3083" s="4"/>
      <c r="I3083" s="4" t="str">
        <f>IFERROR(__xludf.DUMMYFUNCTION("""COMPUTED_VALUE"""),"0xb69e9fda00649b64387996e8e757ca1537da4ca2")</f>
        <v>0xb69e9fda00649b64387996e8e757ca1537da4ca2</v>
      </c>
      <c r="J3083" s="18">
        <v>13.4689558728183</v>
      </c>
      <c r="K3083" s="4">
        <v>168.36194841022876</v>
      </c>
      <c r="L3083" s="19">
        <v>1.6836194841022877E20</v>
      </c>
      <c r="M3083" s="20">
        <v>1.6836194841022878E19</v>
      </c>
    </row>
    <row r="3084">
      <c r="A3084" s="6"/>
      <c r="B3084" s="6"/>
      <c r="C3084" s="4"/>
      <c r="D3084" s="4">
        <v>10.0491116168988</v>
      </c>
      <c r="E3084" s="4" t="s">
        <v>4772</v>
      </c>
      <c r="F3084" s="4"/>
      <c r="G3084" s="4"/>
      <c r="H3084" s="4"/>
      <c r="I3084" s="4" t="str">
        <f>IFERROR(__xludf.DUMMYFUNCTION("""COMPUTED_VALUE"""),"0x6fb3af602bbdc75c03d1c5a442e2637615cc9b4f")</f>
        <v>0x6fb3af602bbdc75c03d1c5a442e2637615cc9b4f</v>
      </c>
      <c r="J3084" s="18">
        <v>19.3456510398386</v>
      </c>
      <c r="K3084" s="4">
        <v>241.8206379979825</v>
      </c>
      <c r="L3084" s="19">
        <v>2.4182063799798248E20</v>
      </c>
      <c r="M3084" s="20">
        <v>2.418206379979825E19</v>
      </c>
    </row>
    <row r="3085">
      <c r="A3085" s="6"/>
      <c r="B3085" s="6"/>
      <c r="C3085" s="4"/>
      <c r="D3085" s="4">
        <v>8.92119290623559</v>
      </c>
      <c r="E3085" s="4" t="s">
        <v>4774</v>
      </c>
      <c r="F3085" s="4"/>
      <c r="G3085" s="4"/>
      <c r="H3085" s="4"/>
      <c r="I3085" s="4" t="str">
        <f>IFERROR(__xludf.DUMMYFUNCTION("""COMPUTED_VALUE"""),"0xd7f0c6703be11b156b89dec6501deeb8ca1221d5")</f>
        <v>0xd7f0c6703be11b156b89dec6501deeb8ca1221d5</v>
      </c>
      <c r="J3085" s="18">
        <v>48.3641275995966</v>
      </c>
      <c r="K3085" s="4">
        <v>604.5515949949574</v>
      </c>
      <c r="L3085" s="19">
        <v>6.045515949949574E20</v>
      </c>
      <c r="M3085" s="20">
        <v>6.045515949949574E19</v>
      </c>
    </row>
    <row r="3086">
      <c r="A3086" s="6"/>
      <c r="B3086" s="6"/>
      <c r="C3086" s="4"/>
      <c r="D3086" s="4">
        <v>8.56993509927343</v>
      </c>
      <c r="E3086" s="4" t="s">
        <v>4776</v>
      </c>
      <c r="F3086" s="4"/>
      <c r="G3086" s="4"/>
      <c r="H3086" s="4"/>
      <c r="I3086" s="4" t="str">
        <f>IFERROR(__xludf.DUMMYFUNCTION("""COMPUTED_VALUE"""),"0x8920ec757817be05eefb84b4adcced1dd935b2d8")</f>
        <v>0x8920ec757817be05eefb84b4adcced1dd935b2d8</v>
      </c>
      <c r="J3086" s="18">
        <v>19.3482789987316</v>
      </c>
      <c r="K3086" s="4">
        <v>241.853487484145</v>
      </c>
      <c r="L3086" s="19">
        <v>2.41853487484145E20</v>
      </c>
      <c r="M3086" s="20">
        <v>2.41853487484145E19</v>
      </c>
    </row>
    <row r="3087">
      <c r="A3087" s="6"/>
      <c r="B3087" s="6"/>
      <c r="C3087" s="4"/>
      <c r="D3087" s="4">
        <v>48.3641275995966</v>
      </c>
      <c r="E3087" s="4" t="s">
        <v>4778</v>
      </c>
      <c r="F3087" s="4"/>
      <c r="G3087" s="4"/>
      <c r="H3087" s="4"/>
      <c r="I3087" s="4" t="str">
        <f>IFERROR(__xludf.DUMMYFUNCTION("""COMPUTED_VALUE"""),"0xaec9712dfb5aaabb1aa74a8ed422ff4e47a48ffe")</f>
        <v>0xaec9712dfb5aaabb1aa74a8ed422ff4e47a48ffe</v>
      </c>
      <c r="J3087" s="18">
        <v>78.1260412327967</v>
      </c>
      <c r="K3087" s="4">
        <v>976.5755154099587</v>
      </c>
      <c r="L3087" s="19">
        <v>9.765755154099587E20</v>
      </c>
      <c r="M3087" s="20">
        <v>9.765755154099588E19</v>
      </c>
    </row>
    <row r="3088">
      <c r="A3088" s="6"/>
      <c r="B3088" s="6"/>
      <c r="C3088" s="4"/>
      <c r="D3088" s="4">
        <v>48.3641275995966</v>
      </c>
      <c r="E3088" s="4" t="s">
        <v>4779</v>
      </c>
      <c r="F3088" s="4"/>
      <c r="G3088" s="4"/>
      <c r="H3088" s="4"/>
      <c r="I3088" s="4" t="str">
        <f>IFERROR(__xludf.DUMMYFUNCTION("""COMPUTED_VALUE"""),"0x23f7084cac197f370f37993671923c3f033a6659")</f>
        <v>0x23f7084cac197f370f37993671923c3f033a6659</v>
      </c>
      <c r="J3088" s="18">
        <v>76.26592163072169</v>
      </c>
      <c r="K3088" s="4">
        <v>953.3240203840211</v>
      </c>
      <c r="L3088" s="19">
        <v>9.533240203840211E20</v>
      </c>
      <c r="M3088" s="20">
        <v>9.533240203840212E19</v>
      </c>
    </row>
    <row r="3089">
      <c r="A3089" s="6"/>
      <c r="B3089" s="6"/>
      <c r="C3089" s="4"/>
      <c r="D3089" s="4">
        <v>9.51825764884862</v>
      </c>
      <c r="E3089" s="4" t="s">
        <v>4780</v>
      </c>
      <c r="F3089" s="4"/>
      <c r="G3089" s="4"/>
      <c r="H3089" s="4"/>
      <c r="I3089" s="4" t="str">
        <f>IFERROR(__xludf.DUMMYFUNCTION("""COMPUTED_VALUE"""),"0x7da73972057d25efc49da9b6dcb919fa40655104")</f>
        <v>0x7da73972057d25efc49da9b6dcb919fa40655104</v>
      </c>
      <c r="J3089" s="18">
        <v>7.25208768109754</v>
      </c>
      <c r="K3089" s="4">
        <v>90.65109601371924</v>
      </c>
      <c r="L3089" s="19">
        <v>9.065109601371924E19</v>
      </c>
      <c r="M3089" s="20">
        <v>9.065109601371924E18</v>
      </c>
    </row>
    <row r="3090">
      <c r="A3090" s="6"/>
      <c r="B3090" s="6"/>
      <c r="C3090" s="4"/>
      <c r="D3090" s="4">
        <v>45.714794185761704</v>
      </c>
      <c r="E3090" s="4" t="s">
        <v>4782</v>
      </c>
      <c r="F3090" s="4"/>
      <c r="G3090" s="4"/>
      <c r="H3090" s="4"/>
      <c r="I3090" s="4" t="str">
        <f>IFERROR(__xludf.DUMMYFUNCTION("""COMPUTED_VALUE"""),"0x1a0a3bc96f278c07eaf2468e483ea8301a86bef0")</f>
        <v>0x1a0a3bc96f278c07eaf2468e483ea8301a86bef0</v>
      </c>
      <c r="J3090" s="18">
        <v>48.3641275995966</v>
      </c>
      <c r="K3090" s="4">
        <v>604.5515949949574</v>
      </c>
      <c r="L3090" s="19">
        <v>6.045515949949574E20</v>
      </c>
      <c r="M3090" s="20">
        <v>6.045515949949574E19</v>
      </c>
    </row>
    <row r="3091">
      <c r="A3091" s="6"/>
      <c r="B3091" s="6"/>
      <c r="C3091" s="4"/>
      <c r="D3091" s="4">
        <v>9.86870084415114</v>
      </c>
      <c r="E3091" s="4" t="s">
        <v>4784</v>
      </c>
      <c r="F3091" s="4"/>
      <c r="G3091" s="4"/>
      <c r="H3091" s="4"/>
      <c r="I3091" s="4" t="str">
        <f>IFERROR(__xludf.DUMMYFUNCTION("""COMPUTED_VALUE"""),"0xd5bb22225c681e04d8f1f77d7d0b7453ac857e63")</f>
        <v>0xd5bb22225c681e04d8f1f77d7d0b7453ac857e63</v>
      </c>
      <c r="J3091" s="18">
        <v>47.2897888326137</v>
      </c>
      <c r="K3091" s="4">
        <v>591.1223604076713</v>
      </c>
      <c r="L3091" s="19">
        <v>5.911223604076713E20</v>
      </c>
      <c r="M3091" s="20">
        <v>5.9112236040767136E19</v>
      </c>
    </row>
    <row r="3092">
      <c r="A3092" s="6"/>
      <c r="B3092" s="6"/>
      <c r="C3092" s="4"/>
      <c r="D3092" s="4">
        <v>48.3641275995966</v>
      </c>
      <c r="E3092" s="4" t="s">
        <v>4786</v>
      </c>
      <c r="F3092" s="4"/>
      <c r="G3092" s="4"/>
      <c r="H3092" s="4"/>
      <c r="I3092" s="4" t="str">
        <f>IFERROR(__xludf.DUMMYFUNCTION("""COMPUTED_VALUE"""),"0x679c4cd7de5635de8b61e1169f681ad30ee52ea0")</f>
        <v>0x679c4cd7de5635de8b61e1169f681ad30ee52ea0</v>
      </c>
      <c r="J3092" s="18">
        <v>73.00727855359591</v>
      </c>
      <c r="K3092" s="4">
        <v>912.5909819199488</v>
      </c>
      <c r="L3092" s="19">
        <v>9.125909819199488E20</v>
      </c>
      <c r="M3092" s="20">
        <v>9.125909819199488E19</v>
      </c>
    </row>
    <row r="3093">
      <c r="A3093" s="6"/>
      <c r="B3093" s="6"/>
      <c r="C3093" s="4"/>
      <c r="D3093" s="4">
        <v>24.2844583706481</v>
      </c>
      <c r="E3093" s="4" t="s">
        <v>4787</v>
      </c>
      <c r="F3093" s="4"/>
      <c r="G3093" s="4"/>
      <c r="H3093" s="4"/>
      <c r="I3093" s="4" t="str">
        <f>IFERROR(__xludf.DUMMYFUNCTION("""COMPUTED_VALUE"""),"0x633227006ada4d293fdea3a717cb5c1406f25755")</f>
        <v>0x633227006ada4d293fdea3a717cb5c1406f25755</v>
      </c>
      <c r="J3093" s="18">
        <v>51.143963817909025</v>
      </c>
      <c r="K3093" s="4">
        <v>639.2995477238628</v>
      </c>
      <c r="L3093" s="19">
        <v>6.392995477238628E20</v>
      </c>
      <c r="M3093" s="20">
        <v>6.392995477238628E19</v>
      </c>
    </row>
    <row r="3094">
      <c r="A3094" s="6"/>
      <c r="B3094" s="6"/>
      <c r="C3094" s="4"/>
      <c r="D3094" s="4">
        <v>11.220477603106401</v>
      </c>
      <c r="E3094" s="4" t="s">
        <v>4789</v>
      </c>
      <c r="F3094" s="4"/>
      <c r="G3094" s="4"/>
      <c r="H3094" s="4"/>
      <c r="I3094" s="4" t="str">
        <f>IFERROR(__xludf.DUMMYFUNCTION("""COMPUTED_VALUE"""),"0x1feb52be24e4bc08815f342f7027a02cab0c5dd3")</f>
        <v>0x1feb52be24e4bc08815f342f7027a02cab0c5dd3</v>
      </c>
      <c r="J3094" s="18">
        <v>9.672825519919328</v>
      </c>
      <c r="K3094" s="4">
        <v>120.9103189989916</v>
      </c>
      <c r="L3094" s="19">
        <v>1.209103189989916E20</v>
      </c>
      <c r="M3094" s="20">
        <v>1.209103189989916E19</v>
      </c>
    </row>
    <row r="3095">
      <c r="A3095" s="6"/>
      <c r="B3095" s="6"/>
      <c r="C3095" s="4"/>
      <c r="D3095" s="4">
        <v>48.3641275995966</v>
      </c>
      <c r="E3095" s="4" t="s">
        <v>4791</v>
      </c>
      <c r="F3095" s="4"/>
      <c r="G3095" s="4"/>
      <c r="H3095" s="4"/>
      <c r="I3095" s="4" t="str">
        <f>IFERROR(__xludf.DUMMYFUNCTION("""COMPUTED_VALUE"""),"0x6eea589b494de0ab2195662d4da5a38de361de8a")</f>
        <v>0x6eea589b494de0ab2195662d4da5a38de361de8a</v>
      </c>
      <c r="J3095" s="18">
        <v>172.2469470048166</v>
      </c>
      <c r="K3095" s="4">
        <v>2153.0868375602076</v>
      </c>
      <c r="L3095" s="19">
        <v>2.1530868375602077E21</v>
      </c>
      <c r="M3095" s="20">
        <v>2.153086837560208E20</v>
      </c>
    </row>
    <row r="3096">
      <c r="A3096" s="6"/>
      <c r="B3096" s="6"/>
      <c r="C3096" s="4"/>
      <c r="D3096" s="4">
        <v>48.3641275995966</v>
      </c>
      <c r="E3096" s="4" t="s">
        <v>4792</v>
      </c>
      <c r="F3096" s="4"/>
      <c r="G3096" s="4"/>
      <c r="H3096" s="4"/>
      <c r="I3096" s="4" t="str">
        <f>IFERROR(__xludf.DUMMYFUNCTION("""COMPUTED_VALUE"""),"0x4014a9b15a063234b5ca6118347392208fd28c66")</f>
        <v>0x4014a9b15a063234b5ca6118347392208fd28c66</v>
      </c>
      <c r="J3096" s="18">
        <v>4.758000355455501</v>
      </c>
      <c r="K3096" s="4">
        <v>59.475004443193754</v>
      </c>
      <c r="L3096" s="19">
        <v>5.947500444319375E19</v>
      </c>
      <c r="M3096" s="20">
        <v>5.947500444319375E18</v>
      </c>
    </row>
    <row r="3097">
      <c r="A3097" s="6"/>
      <c r="B3097" s="6"/>
      <c r="C3097" s="4"/>
      <c r="D3097" s="4">
        <v>37.4923834378307</v>
      </c>
      <c r="E3097" s="4" t="s">
        <v>4793</v>
      </c>
      <c r="F3097" s="4"/>
      <c r="G3097" s="4"/>
      <c r="H3097" s="4"/>
      <c r="I3097" s="4" t="str">
        <f>IFERROR(__xludf.DUMMYFUNCTION("""COMPUTED_VALUE"""),"0x5e8e7a1e4b919c4548085bc8e6a3e8ac254f14a9")</f>
        <v>0x5e8e7a1e4b919c4548085bc8e6a3e8ac254f14a9</v>
      </c>
      <c r="J3097" s="18">
        <v>6.30326210571953</v>
      </c>
      <c r="K3097" s="4">
        <v>78.79077632149412</v>
      </c>
      <c r="L3097" s="19">
        <v>7.879077632149412E19</v>
      </c>
      <c r="M3097" s="20">
        <v>7.879077632149413E18</v>
      </c>
    </row>
    <row r="3098">
      <c r="A3098" s="6"/>
      <c r="B3098" s="6"/>
      <c r="C3098" s="4"/>
      <c r="D3098" s="4">
        <v>48.3641275995966</v>
      </c>
      <c r="E3098" s="4" t="s">
        <v>4795</v>
      </c>
      <c r="F3098" s="4"/>
      <c r="G3098" s="4"/>
      <c r="H3098" s="4"/>
      <c r="I3098" s="4" t="str">
        <f>IFERROR(__xludf.DUMMYFUNCTION("""COMPUTED_VALUE"""),"0x0b7124d03c7f8cd5010bcfdf356cca3c08230811")</f>
        <v>0x0b7124d03c7f8cd5010bcfdf356cca3c08230811</v>
      </c>
      <c r="J3098" s="18">
        <v>48.3641275995966</v>
      </c>
      <c r="K3098" s="4">
        <v>604.5515949949574</v>
      </c>
      <c r="L3098" s="19">
        <v>6.045515949949574E20</v>
      </c>
      <c r="M3098" s="20">
        <v>6.045515949949574E19</v>
      </c>
    </row>
    <row r="3099">
      <c r="A3099" s="6"/>
      <c r="B3099" s="6"/>
      <c r="C3099" s="4"/>
      <c r="D3099" s="4">
        <v>48.3641275995966</v>
      </c>
      <c r="E3099" s="4" t="s">
        <v>4796</v>
      </c>
      <c r="F3099" s="4"/>
      <c r="G3099" s="4"/>
      <c r="H3099" s="4"/>
      <c r="I3099" s="4" t="str">
        <f>IFERROR(__xludf.DUMMYFUNCTION("""COMPUTED_VALUE"""),"0x675a8e0538f2ac00427ba1fee499bbe0a9e1796a")</f>
        <v>0x675a8e0538f2ac00427ba1fee499bbe0a9e1796a</v>
      </c>
      <c r="J3099" s="18">
        <v>9.672825519919328</v>
      </c>
      <c r="K3099" s="4">
        <v>120.9103189989916</v>
      </c>
      <c r="L3099" s="19">
        <v>1.209103189989916E20</v>
      </c>
      <c r="M3099" s="20">
        <v>1.209103189989916E19</v>
      </c>
    </row>
    <row r="3100">
      <c r="A3100" s="6"/>
      <c r="B3100" s="6"/>
      <c r="C3100" s="4"/>
      <c r="D3100" s="4">
        <v>20.151469272419998</v>
      </c>
      <c r="E3100" s="4" t="s">
        <v>4797</v>
      </c>
      <c r="F3100" s="4"/>
      <c r="G3100" s="4"/>
      <c r="H3100" s="4"/>
      <c r="I3100" s="4" t="str">
        <f>IFERROR(__xludf.DUMMYFUNCTION("""COMPUTED_VALUE"""),"0x8206d142091ea0fcebf0e919fa2b4ea0ae4901e0")</f>
        <v>0x8206d142091ea0fcebf0e919fa2b4ea0ae4901e0</v>
      </c>
      <c r="J3100" s="18">
        <v>33.0011623995355</v>
      </c>
      <c r="K3100" s="4">
        <v>412.51452999419377</v>
      </c>
      <c r="L3100" s="19">
        <v>4.1251452999419376E20</v>
      </c>
      <c r="M3100" s="20">
        <v>4.125145299941938E19</v>
      </c>
    </row>
    <row r="3101">
      <c r="A3101" s="6"/>
      <c r="B3101" s="6"/>
      <c r="C3101" s="4"/>
      <c r="D3101" s="4">
        <v>48.3641275995966</v>
      </c>
      <c r="E3101" s="4" t="s">
        <v>1645</v>
      </c>
      <c r="F3101" s="4"/>
      <c r="G3101" s="4"/>
      <c r="H3101" s="4"/>
      <c r="I3101" s="4" t="str">
        <f>IFERROR(__xludf.DUMMYFUNCTION("""COMPUTED_VALUE"""),"0x2987515d9c2da0845aaa1664efaacb227e7a54f7")</f>
        <v>0x2987515d9c2da0845aaa1664efaacb227e7a54f7</v>
      </c>
      <c r="J3101" s="18">
        <v>9.672825519919328</v>
      </c>
      <c r="K3101" s="4">
        <v>120.9103189989916</v>
      </c>
      <c r="L3101" s="19">
        <v>1.209103189989916E20</v>
      </c>
      <c r="M3101" s="20">
        <v>1.209103189989916E19</v>
      </c>
    </row>
    <row r="3102">
      <c r="A3102" s="6"/>
      <c r="B3102" s="6"/>
      <c r="C3102" s="4"/>
      <c r="D3102" s="4">
        <v>48.3641275995966</v>
      </c>
      <c r="E3102" s="4" t="s">
        <v>1327</v>
      </c>
      <c r="F3102" s="4"/>
      <c r="G3102" s="4"/>
      <c r="H3102" s="4"/>
      <c r="I3102" s="4" t="str">
        <f>IFERROR(__xludf.DUMMYFUNCTION("""COMPUTED_VALUE"""),"0xfe54d971803073f923c65cae2b1179301893eeb7")</f>
        <v>0xfe54d971803073f923c65cae2b1179301893eeb7</v>
      </c>
      <c r="J3102" s="18">
        <v>113.4683136722219</v>
      </c>
      <c r="K3102" s="4">
        <v>1418.3539209027738</v>
      </c>
      <c r="L3102" s="19">
        <v>1.4183539209027739E21</v>
      </c>
      <c r="M3102" s="20">
        <v>1.418353920902774E20</v>
      </c>
    </row>
    <row r="3103">
      <c r="A3103" s="6"/>
      <c r="B3103" s="6"/>
      <c r="C3103" s="4"/>
      <c r="D3103" s="4">
        <v>48.3641275995966</v>
      </c>
      <c r="E3103" s="4" t="s">
        <v>4799</v>
      </c>
      <c r="F3103" s="4"/>
      <c r="G3103" s="4"/>
      <c r="H3103" s="4"/>
      <c r="I3103" s="4" t="str">
        <f>IFERROR(__xludf.DUMMYFUNCTION("""COMPUTED_VALUE"""),"0x79468f352fc8102b19007386b10e2f3589838d1e")</f>
        <v>0x79468f352fc8102b19007386b10e2f3589838d1e</v>
      </c>
      <c r="J3103" s="18">
        <v>1.93456510398386</v>
      </c>
      <c r="K3103" s="4">
        <v>24.18206379979825</v>
      </c>
      <c r="L3103" s="19">
        <v>2.418206379979825E19</v>
      </c>
      <c r="M3103" s="20">
        <v>2.418206379979825E18</v>
      </c>
    </row>
    <row r="3104">
      <c r="A3104" s="6"/>
      <c r="B3104" s="6"/>
      <c r="C3104" s="4"/>
      <c r="D3104" s="4">
        <v>48.3641275995966</v>
      </c>
      <c r="E3104" s="4" t="s">
        <v>1021</v>
      </c>
      <c r="F3104" s="4"/>
      <c r="G3104" s="4"/>
      <c r="H3104" s="4"/>
      <c r="I3104" s="4" t="str">
        <f>IFERROR(__xludf.DUMMYFUNCTION("""COMPUTED_VALUE"""),"0xc07590b921100bc44bdea01404b0fd21835cfa0c")</f>
        <v>0xc07590b921100bc44bdea01404b0fd21835cfa0c</v>
      </c>
      <c r="J3104" s="18">
        <v>17.849680600530398</v>
      </c>
      <c r="K3104" s="4">
        <v>223.12100750662998</v>
      </c>
      <c r="L3104" s="19">
        <v>2.2312100750663E20</v>
      </c>
      <c r="M3104" s="20">
        <v>2.2312100750663E19</v>
      </c>
    </row>
    <row r="3105">
      <c r="A3105" s="6"/>
      <c r="B3105" s="6"/>
      <c r="C3105" s="4"/>
      <c r="D3105" s="4">
        <v>48.3641275995966</v>
      </c>
      <c r="E3105" s="4" t="s">
        <v>580</v>
      </c>
      <c r="F3105" s="4"/>
      <c r="G3105" s="4"/>
      <c r="H3105" s="4"/>
      <c r="I3105" s="4" t="str">
        <f>IFERROR(__xludf.DUMMYFUNCTION("""COMPUTED_VALUE"""),"0x39efe083ed8f8a662ab601dbf6d0226864b35ee2")</f>
        <v>0x39efe083ed8f8a662ab601dbf6d0226864b35ee2</v>
      </c>
      <c r="J3105" s="18">
        <v>57.66472560997164</v>
      </c>
      <c r="K3105" s="4">
        <v>720.8090701246455</v>
      </c>
      <c r="L3105" s="19">
        <v>7.208090701246455E20</v>
      </c>
      <c r="M3105" s="20">
        <v>7.208090701246455E19</v>
      </c>
    </row>
    <row r="3106">
      <c r="A3106" s="6"/>
      <c r="B3106" s="6"/>
      <c r="C3106" s="4"/>
      <c r="D3106" s="4">
        <v>48.3641275995966</v>
      </c>
      <c r="E3106" s="4" t="s">
        <v>4800</v>
      </c>
      <c r="F3106" s="4"/>
      <c r="G3106" s="4"/>
      <c r="H3106" s="4"/>
      <c r="I3106" s="4" t="str">
        <f>IFERROR(__xludf.DUMMYFUNCTION("""COMPUTED_VALUE"""),"0x4f0de403b549f85d0a567a7a3c796f06c83a3059")</f>
        <v>0x4f0de403b549f85d0a567a7a3c796f06c83a3059</v>
      </c>
      <c r="J3106" s="18">
        <v>9.672825519919328</v>
      </c>
      <c r="K3106" s="4">
        <v>120.9103189989916</v>
      </c>
      <c r="L3106" s="19">
        <v>1.209103189989916E20</v>
      </c>
      <c r="M3106" s="20">
        <v>1.209103189989916E19</v>
      </c>
    </row>
    <row r="3107">
      <c r="A3107" s="6"/>
      <c r="B3107" s="6"/>
      <c r="C3107" s="4"/>
      <c r="D3107" s="4">
        <v>19.3456510398386</v>
      </c>
      <c r="E3107" s="4" t="s">
        <v>4801</v>
      </c>
      <c r="F3107" s="4"/>
      <c r="G3107" s="4"/>
      <c r="H3107" s="4"/>
      <c r="I3107" s="4" t="str">
        <f>IFERROR(__xludf.DUMMYFUNCTION("""COMPUTED_VALUE"""),"0xddf454dd1c07c1b0a4845563584a96d23c942e08")</f>
        <v>0xddf454dd1c07c1b0a4845563584a96d23c942e08</v>
      </c>
      <c r="J3107" s="18">
        <v>24.537743319046363</v>
      </c>
      <c r="K3107" s="4">
        <v>306.72179148807953</v>
      </c>
      <c r="L3107" s="19">
        <v>3.0672179148807956E20</v>
      </c>
      <c r="M3107" s="20">
        <v>3.067217914880796E19</v>
      </c>
    </row>
    <row r="3108">
      <c r="A3108" s="6"/>
      <c r="B3108" s="6"/>
      <c r="C3108" s="4"/>
      <c r="D3108" s="4">
        <v>19.7533597212277</v>
      </c>
      <c r="E3108" s="4" t="s">
        <v>4802</v>
      </c>
      <c r="F3108" s="4"/>
      <c r="G3108" s="4"/>
      <c r="H3108" s="4"/>
      <c r="I3108" s="4" t="str">
        <f>IFERROR(__xludf.DUMMYFUNCTION("""COMPUTED_VALUE"""),"0x8cde228e26edf5f8749e0d002aa7a5d6998e2409")</f>
        <v>0x8cde228e26edf5f8749e0d002aa7a5d6998e2409</v>
      </c>
      <c r="J3108" s="18">
        <v>27.1015000457965</v>
      </c>
      <c r="K3108" s="4">
        <v>338.7687505724562</v>
      </c>
      <c r="L3108" s="19">
        <v>3.387687505724562E20</v>
      </c>
      <c r="M3108" s="20">
        <v>3.387687505724562E19</v>
      </c>
    </row>
    <row r="3109">
      <c r="A3109" s="6"/>
      <c r="B3109" s="6"/>
      <c r="C3109" s="4"/>
      <c r="D3109" s="4">
        <v>48.3641275995966</v>
      </c>
      <c r="E3109" s="4" t="s">
        <v>4804</v>
      </c>
      <c r="F3109" s="4"/>
      <c r="G3109" s="4"/>
      <c r="H3109" s="4"/>
      <c r="I3109" s="4" t="str">
        <f>IFERROR(__xludf.DUMMYFUNCTION("""COMPUTED_VALUE"""),"0xfc37a4e2646cfcbf9fe10165cac369a1b886a619")</f>
        <v>0xfc37a4e2646cfcbf9fe10165cac369a1b886a619</v>
      </c>
      <c r="J3109" s="18">
        <v>163.6574479957417</v>
      </c>
      <c r="K3109" s="4">
        <v>2045.7180999467712</v>
      </c>
      <c r="L3109" s="19">
        <v>2.0457180999467713E21</v>
      </c>
      <c r="M3109" s="20">
        <v>2.0457180999467716E20</v>
      </c>
    </row>
    <row r="3110">
      <c r="A3110" s="6"/>
      <c r="B3110" s="6"/>
      <c r="C3110" s="4"/>
      <c r="D3110" s="4">
        <v>35.047814030960396</v>
      </c>
      <c r="E3110" s="4" t="s">
        <v>4805</v>
      </c>
      <c r="F3110" s="4"/>
      <c r="G3110" s="4"/>
      <c r="H3110" s="4"/>
      <c r="I3110" s="4" t="str">
        <f>IFERROR(__xludf.DUMMYFUNCTION("""COMPUTED_VALUE"""),"0x7abd480bdad5ccfe1acc840ce408b1336b747ad3")</f>
        <v>0x7abd480bdad5ccfe1acc840ce408b1336b747ad3</v>
      </c>
      <c r="J3110" s="18">
        <v>45.927000870791204</v>
      </c>
      <c r="K3110" s="4">
        <v>574.0875108848901</v>
      </c>
      <c r="L3110" s="19">
        <v>5.740875108848901E20</v>
      </c>
      <c r="M3110" s="20">
        <v>5.740875108848901E19</v>
      </c>
    </row>
    <row r="3111">
      <c r="A3111" s="6"/>
      <c r="B3111" s="6"/>
      <c r="C3111" s="4"/>
      <c r="D3111" s="4">
        <v>5.82108448094184</v>
      </c>
      <c r="E3111" s="4" t="s">
        <v>4807</v>
      </c>
      <c r="F3111" s="4"/>
      <c r="G3111" s="4"/>
      <c r="H3111" s="4"/>
      <c r="I3111" s="4" t="str">
        <f>IFERROR(__xludf.DUMMYFUNCTION("""COMPUTED_VALUE"""),"0xb07f21223ee9b1ab1b6f6db1a82483d5ea22c5f4")</f>
        <v>0xb07f21223ee9b1ab1b6f6db1a82483d5ea22c5f4</v>
      </c>
      <c r="J3111" s="18">
        <v>15.1804547796089</v>
      </c>
      <c r="K3111" s="4">
        <v>189.75568474511124</v>
      </c>
      <c r="L3111" s="19">
        <v>1.8975568474511124E20</v>
      </c>
      <c r="M3111" s="20">
        <v>1.8975568474511127E19</v>
      </c>
    </row>
    <row r="3112">
      <c r="A3112" s="6"/>
      <c r="B3112" s="6"/>
      <c r="C3112" s="4"/>
      <c r="D3112" s="4">
        <v>1.53968314673676</v>
      </c>
      <c r="E3112" s="4" t="s">
        <v>4809</v>
      </c>
      <c r="F3112" s="4"/>
      <c r="G3112" s="4"/>
      <c r="H3112" s="4"/>
      <c r="I3112" s="4" t="str">
        <f>IFERROR(__xludf.DUMMYFUNCTION("""COMPUTED_VALUE"""),"0xb44ff666d7f037f7a49fe33b8a2114c5a0c0afb7")</f>
        <v>0xb44ff666d7f037f7a49fe33b8a2114c5a0c0afb7</v>
      </c>
      <c r="J3112" s="18">
        <v>19.539107550237</v>
      </c>
      <c r="K3112" s="4">
        <v>244.23884437796247</v>
      </c>
      <c r="L3112" s="19">
        <v>2.4423884437796248E20</v>
      </c>
      <c r="M3112" s="20">
        <v>2.442388443779625E19</v>
      </c>
    </row>
    <row r="3113">
      <c r="A3113" s="6"/>
      <c r="B3113" s="6"/>
      <c r="C3113" s="4"/>
      <c r="D3113" s="4">
        <v>48.3641275995966</v>
      </c>
      <c r="E3113" s="4" t="s">
        <v>4811</v>
      </c>
      <c r="F3113" s="4"/>
      <c r="G3113" s="4"/>
      <c r="H3113" s="4"/>
      <c r="I3113" s="4" t="str">
        <f>IFERROR(__xludf.DUMMYFUNCTION("""COMPUTED_VALUE"""),"0x6f755270bb755be07686af68ade9b798f0ec7515")</f>
        <v>0x6f755270bb755be07686af68ade9b798f0ec7515</v>
      </c>
      <c r="J3113" s="18">
        <v>234.37608780709658</v>
      </c>
      <c r="K3113" s="4">
        <v>2929.7010975887074</v>
      </c>
      <c r="L3113" s="19">
        <v>2.9297010975887076E21</v>
      </c>
      <c r="M3113" s="20">
        <v>2.9297010975887078E20</v>
      </c>
    </row>
    <row r="3114">
      <c r="A3114" s="6"/>
      <c r="B3114" s="6"/>
      <c r="C3114" s="4"/>
      <c r="D3114" s="4">
        <v>48.3641275995966</v>
      </c>
      <c r="E3114" s="4" t="s">
        <v>4812</v>
      </c>
      <c r="F3114" s="4"/>
      <c r="G3114" s="4"/>
      <c r="H3114" s="4"/>
      <c r="I3114" s="4" t="str">
        <f>IFERROR(__xludf.DUMMYFUNCTION("""COMPUTED_VALUE"""),"0x7bdc78fce40ae052e17b7f3f61275510493ea838")</f>
        <v>0x7bdc78fce40ae052e17b7f3f61275510493ea838</v>
      </c>
      <c r="J3114" s="18">
        <v>9.672825519919328</v>
      </c>
      <c r="K3114" s="4">
        <v>120.9103189989916</v>
      </c>
      <c r="L3114" s="19">
        <v>1.209103189989916E20</v>
      </c>
      <c r="M3114" s="20">
        <v>1.209103189989916E19</v>
      </c>
    </row>
    <row r="3115">
      <c r="A3115" s="6"/>
      <c r="B3115" s="6"/>
      <c r="C3115" s="4"/>
      <c r="D3115" s="4">
        <v>48.3641275995966</v>
      </c>
      <c r="E3115" s="4" t="s">
        <v>4813</v>
      </c>
      <c r="F3115" s="4"/>
      <c r="G3115" s="4"/>
      <c r="H3115" s="4"/>
      <c r="I3115" s="4" t="str">
        <f>IFERROR(__xludf.DUMMYFUNCTION("""COMPUTED_VALUE"""),"0xc8f9158a784503d99380078dd1e46e9d4c05d488")</f>
        <v>0xc8f9158a784503d99380078dd1e46e9d4c05d488</v>
      </c>
      <c r="J3115" s="18">
        <v>26.477699209666103</v>
      </c>
      <c r="K3115" s="4">
        <v>330.9712401208263</v>
      </c>
      <c r="L3115" s="19">
        <v>3.3097124012082627E20</v>
      </c>
      <c r="M3115" s="20">
        <v>3.3097124012082627E19</v>
      </c>
    </row>
    <row r="3116">
      <c r="A3116" s="6"/>
      <c r="B3116" s="6"/>
      <c r="C3116" s="4"/>
      <c r="D3116" s="4">
        <v>9.750244392144511</v>
      </c>
      <c r="E3116" s="4" t="s">
        <v>4814</v>
      </c>
      <c r="F3116" s="4"/>
      <c r="G3116" s="4"/>
      <c r="H3116" s="4"/>
      <c r="I3116" s="4" t="str">
        <f>IFERROR(__xludf.DUMMYFUNCTION("""COMPUTED_VALUE"""),"0xd762d172bfbaf2282abc5e5a11a986a093ad6dc3")</f>
        <v>0xd762d172bfbaf2282abc5e5a11a986a093ad6dc3</v>
      </c>
      <c r="J3116" s="18">
        <v>43.81497466200081</v>
      </c>
      <c r="K3116" s="4">
        <v>547.68718327501</v>
      </c>
      <c r="L3116" s="19">
        <v>5.4768718327501E20</v>
      </c>
      <c r="M3116" s="20">
        <v>5.4768718327501005E19</v>
      </c>
    </row>
    <row r="3117">
      <c r="A3117" s="6"/>
      <c r="B3117" s="6"/>
      <c r="C3117" s="4"/>
      <c r="D3117" s="4">
        <v>40.8307730070916</v>
      </c>
      <c r="E3117" s="4" t="s">
        <v>4816</v>
      </c>
      <c r="F3117" s="4"/>
      <c r="G3117" s="4"/>
      <c r="H3117" s="4"/>
      <c r="I3117" s="4" t="str">
        <f>IFERROR(__xludf.DUMMYFUNCTION("""COMPUTED_VALUE"""),"0x7060fd8033c14df5b99c4a289129359747f22558")</f>
        <v>0x7060fd8033c14df5b99c4a289129359747f22558</v>
      </c>
      <c r="J3117" s="18">
        <v>44.0064870278749</v>
      </c>
      <c r="K3117" s="4">
        <v>550.0810878484363</v>
      </c>
      <c r="L3117" s="19">
        <v>5.500810878484363E20</v>
      </c>
      <c r="M3117" s="20">
        <v>5.500810878484363E19</v>
      </c>
    </row>
    <row r="3118">
      <c r="A3118" s="6"/>
      <c r="B3118" s="6"/>
      <c r="C3118" s="4"/>
      <c r="D3118" s="4">
        <v>48.3641275995966</v>
      </c>
      <c r="E3118" s="4" t="s">
        <v>4818</v>
      </c>
      <c r="F3118" s="4"/>
      <c r="G3118" s="4"/>
      <c r="H3118" s="4"/>
      <c r="I3118" s="4" t="str">
        <f>IFERROR(__xludf.DUMMYFUNCTION("""COMPUTED_VALUE"""),"0xe202a1373c2c34eb21143df6f018c6a2b3f5944a")</f>
        <v>0xe202a1373c2c34eb21143df6f018c6a2b3f5944a</v>
      </c>
      <c r="J3118" s="18">
        <v>14.7870047764633</v>
      </c>
      <c r="K3118" s="4">
        <v>184.83755970579125</v>
      </c>
      <c r="L3118" s="19">
        <v>1.8483755970579123E20</v>
      </c>
      <c r="M3118" s="20">
        <v>1.8483755970579124E19</v>
      </c>
    </row>
    <row r="3119">
      <c r="A3119" s="6"/>
      <c r="B3119" s="6"/>
      <c r="C3119" s="4"/>
      <c r="D3119" s="4">
        <v>0.7243715976207861</v>
      </c>
      <c r="E3119" s="4" t="s">
        <v>4819</v>
      </c>
      <c r="F3119" s="4"/>
      <c r="G3119" s="4"/>
      <c r="H3119" s="4"/>
      <c r="I3119" s="4" t="str">
        <f>IFERROR(__xludf.DUMMYFUNCTION("""COMPUTED_VALUE"""),"0x83540929300f6e3b3ecd8914ddcea93f482609b1")</f>
        <v>0x83540929300f6e3b3ecd8914ddcea93f482609b1</v>
      </c>
      <c r="J3119" s="18">
        <v>194.2052538415275</v>
      </c>
      <c r="K3119" s="4">
        <v>2427.565673019094</v>
      </c>
      <c r="L3119" s="19">
        <v>2.427565673019094E21</v>
      </c>
      <c r="M3119" s="20">
        <v>2.4275656730190938E20</v>
      </c>
    </row>
    <row r="3120">
      <c r="A3120" s="6"/>
      <c r="B3120" s="6"/>
      <c r="C3120" s="4"/>
      <c r="D3120" s="4">
        <v>1.32861498495274</v>
      </c>
      <c r="E3120" s="4" t="s">
        <v>4821</v>
      </c>
      <c r="F3120" s="4"/>
      <c r="G3120" s="4"/>
      <c r="H3120" s="4"/>
      <c r="I3120" s="4" t="str">
        <f>IFERROR(__xludf.DUMMYFUNCTION("""COMPUTED_VALUE"""),"0xbfd139dd89b84f45d9ed02bbf743f584da44f4fe")</f>
        <v>0xbfd139dd89b84f45d9ed02bbf743f584da44f4fe</v>
      </c>
      <c r="J3120" s="18">
        <v>57.04593637131927</v>
      </c>
      <c r="K3120" s="4">
        <v>713.0742046414908</v>
      </c>
      <c r="L3120" s="19">
        <v>7.130742046414909E20</v>
      </c>
      <c r="M3120" s="20">
        <v>7.1307420464149094E19</v>
      </c>
    </row>
    <row r="3121">
      <c r="A3121" s="6"/>
      <c r="B3121" s="6"/>
      <c r="C3121" s="4"/>
      <c r="D3121" s="4">
        <v>48.3641275995966</v>
      </c>
      <c r="E3121" s="4" t="s">
        <v>4823</v>
      </c>
      <c r="F3121" s="4"/>
      <c r="G3121" s="4"/>
      <c r="H3121" s="4"/>
      <c r="I3121" s="4" t="str">
        <f>IFERROR(__xludf.DUMMYFUNCTION("""COMPUTED_VALUE"""),"0xe7122df8d1348a4251b32a940ff71163b2703baf")</f>
        <v>0xe7122df8d1348a4251b32a940ff71163b2703baf</v>
      </c>
      <c r="J3121" s="18">
        <v>48.3641275995966</v>
      </c>
      <c r="K3121" s="4">
        <v>604.5515949949574</v>
      </c>
      <c r="L3121" s="19">
        <v>6.045515949949574E20</v>
      </c>
      <c r="M3121" s="20">
        <v>6.045515949949574E19</v>
      </c>
    </row>
    <row r="3122">
      <c r="A3122" s="6"/>
      <c r="B3122" s="6"/>
      <c r="C3122" s="4"/>
      <c r="D3122" s="4">
        <v>8.649096936372711</v>
      </c>
      <c r="E3122" s="4" t="s">
        <v>4824</v>
      </c>
      <c r="F3122" s="4"/>
      <c r="G3122" s="4"/>
      <c r="H3122" s="4"/>
      <c r="I3122" s="4" t="str">
        <f>IFERROR(__xludf.DUMMYFUNCTION("""COMPUTED_VALUE"""),"0x14836cfee3624404b6c83f2458c699ea59aeeafd")</f>
        <v>0x14836cfee3624404b6c83f2458c699ea59aeeafd</v>
      </c>
      <c r="J3122" s="18">
        <v>27.2991765030184</v>
      </c>
      <c r="K3122" s="4">
        <v>341.23970628773003</v>
      </c>
      <c r="L3122" s="19">
        <v>3.4123970628773E20</v>
      </c>
      <c r="M3122" s="20">
        <v>3.4123970628773003E19</v>
      </c>
    </row>
    <row r="3123">
      <c r="A3123" s="6"/>
      <c r="B3123" s="6"/>
      <c r="C3123" s="4"/>
      <c r="D3123" s="4">
        <v>24.6654055032344</v>
      </c>
      <c r="E3123" s="4" t="s">
        <v>4826</v>
      </c>
      <c r="F3123" s="4"/>
      <c r="G3123" s="4"/>
      <c r="H3123" s="4"/>
      <c r="I3123" s="4" t="str">
        <f>IFERROR(__xludf.DUMMYFUNCTION("""COMPUTED_VALUE"""),"0xbfdc9f399c26addb8ebc5f50565e2b8609d56212")</f>
        <v>0xbfdc9f399c26addb8ebc5f50565e2b8609d56212</v>
      </c>
      <c r="J3123" s="18">
        <v>37.870344512660395</v>
      </c>
      <c r="K3123" s="4">
        <v>473.37930640825493</v>
      </c>
      <c r="L3123" s="19">
        <v>4.7337930640825496E20</v>
      </c>
      <c r="M3123" s="20">
        <v>4.73379306408255E19</v>
      </c>
    </row>
    <row r="3124">
      <c r="A3124" s="6"/>
      <c r="B3124" s="6"/>
      <c r="C3124" s="4"/>
      <c r="D3124" s="4">
        <v>9.86628203031772</v>
      </c>
      <c r="E3124" s="4" t="s">
        <v>4828</v>
      </c>
      <c r="F3124" s="4"/>
      <c r="G3124" s="4"/>
      <c r="H3124" s="4"/>
      <c r="I3124" s="4" t="str">
        <f>IFERROR(__xludf.DUMMYFUNCTION("""COMPUTED_VALUE"""),"0x15f0742df7fabf142a8125f922221c935d06cc9f")</f>
        <v>0x15f0742df7fabf142a8125f922221c935d06cc9f</v>
      </c>
      <c r="J3124" s="18">
        <v>9.672825519919328</v>
      </c>
      <c r="K3124" s="4">
        <v>120.9103189989916</v>
      </c>
      <c r="L3124" s="19">
        <v>1.209103189989916E20</v>
      </c>
      <c r="M3124" s="20">
        <v>1.209103189989916E19</v>
      </c>
    </row>
    <row r="3125">
      <c r="A3125" s="6"/>
      <c r="B3125" s="6"/>
      <c r="C3125" s="4"/>
      <c r="D3125" s="4">
        <v>48.3641275995966</v>
      </c>
      <c r="E3125" s="4" t="s">
        <v>570</v>
      </c>
      <c r="F3125" s="4"/>
      <c r="G3125" s="4"/>
      <c r="H3125" s="4"/>
      <c r="I3125" s="4" t="str">
        <f>IFERROR(__xludf.DUMMYFUNCTION("""COMPUTED_VALUE"""),"0x291a795b107a51469c476e0e06c69ce432cefe33")</f>
        <v>0x291a795b107a51469c476e0e06c69ce432cefe33</v>
      </c>
      <c r="J3125" s="18">
        <v>27.7773271886043</v>
      </c>
      <c r="K3125" s="4">
        <v>347.21658985755374</v>
      </c>
      <c r="L3125" s="19">
        <v>3.472165898575537E20</v>
      </c>
      <c r="M3125" s="20">
        <v>3.4721658985755374E19</v>
      </c>
    </row>
    <row r="3126">
      <c r="A3126" s="6"/>
      <c r="B3126" s="6"/>
      <c r="C3126" s="4"/>
      <c r="D3126" s="4">
        <v>48.3641275995966</v>
      </c>
      <c r="E3126" s="4" t="s">
        <v>4829</v>
      </c>
      <c r="F3126" s="4"/>
      <c r="G3126" s="4"/>
      <c r="H3126" s="4"/>
      <c r="I3126" s="4" t="str">
        <f>IFERROR(__xludf.DUMMYFUNCTION("""COMPUTED_VALUE"""),"0x1ba05de7b9e7937881a6b30493213f38a0930834")</f>
        <v>0x1ba05de7b9e7937881a6b30493213f38a0930834</v>
      </c>
      <c r="J3126" s="18">
        <v>19.3456510398386</v>
      </c>
      <c r="K3126" s="4">
        <v>241.8206379979825</v>
      </c>
      <c r="L3126" s="19">
        <v>2.4182063799798248E20</v>
      </c>
      <c r="M3126" s="20">
        <v>2.418206379979825E19</v>
      </c>
    </row>
    <row r="3127">
      <c r="A3127" s="6"/>
      <c r="B3127" s="6"/>
      <c r="C3127" s="4"/>
      <c r="D3127" s="4">
        <v>19.3456510398386</v>
      </c>
      <c r="E3127" s="4" t="s">
        <v>4830</v>
      </c>
      <c r="F3127" s="4"/>
      <c r="G3127" s="4"/>
      <c r="H3127" s="4"/>
      <c r="I3127" s="4" t="str">
        <f>IFERROR(__xludf.DUMMYFUNCTION("""COMPUTED_VALUE"""),"0xd935a22742aea624ed3abec1f6a56aa0977324eb")</f>
        <v>0xd935a22742aea624ed3abec1f6a56aa0977324eb</v>
      </c>
      <c r="J3127" s="18">
        <v>4.77488398415206</v>
      </c>
      <c r="K3127" s="4">
        <v>59.68604980190075</v>
      </c>
      <c r="L3127" s="19">
        <v>5.968604980190075E19</v>
      </c>
      <c r="M3127" s="20">
        <v>5.968604980190076E18</v>
      </c>
    </row>
    <row r="3128">
      <c r="A3128" s="6"/>
      <c r="B3128" s="6"/>
      <c r="C3128" s="4"/>
      <c r="D3128" s="4">
        <v>10.4924044092659</v>
      </c>
      <c r="E3128" s="4" t="s">
        <v>4831</v>
      </c>
      <c r="F3128" s="4"/>
      <c r="G3128" s="4"/>
      <c r="H3128" s="4"/>
      <c r="I3128" s="4" t="str">
        <f>IFERROR(__xludf.DUMMYFUNCTION("""COMPUTED_VALUE"""),"0xe1cbd04b728fb7b360952a98c71a102464b957c1")</f>
        <v>0xe1cbd04b728fb7b360952a98c71a102464b957c1</v>
      </c>
      <c r="J3128" s="18">
        <v>12.5746731758951</v>
      </c>
      <c r="K3128" s="4">
        <v>157.18341469868875</v>
      </c>
      <c r="L3128" s="19">
        <v>1.5718341469868874E20</v>
      </c>
      <c r="M3128" s="20">
        <v>1.5718341469868876E19</v>
      </c>
    </row>
    <row r="3129">
      <c r="A3129" s="6"/>
      <c r="B3129" s="6"/>
      <c r="C3129" s="4"/>
      <c r="D3129" s="4">
        <v>47.376831105539594</v>
      </c>
      <c r="E3129" s="4" t="s">
        <v>4833</v>
      </c>
      <c r="F3129" s="4"/>
      <c r="G3129" s="4"/>
      <c r="H3129" s="4"/>
      <c r="I3129" s="4" t="str">
        <f>IFERROR(__xludf.DUMMYFUNCTION("""COMPUTED_VALUE"""),"0x72cc918b23f5dd60fff5f2318d7dda57a54bd0c5")</f>
        <v>0x72cc918b23f5dd60fff5f2318d7dda57a54bd0c5</v>
      </c>
      <c r="J3129" s="18">
        <v>48.3641275995966</v>
      </c>
      <c r="K3129" s="4">
        <v>604.5515949949574</v>
      </c>
      <c r="L3129" s="19">
        <v>6.045515949949574E20</v>
      </c>
      <c r="M3129" s="20">
        <v>6.045515949949574E19</v>
      </c>
    </row>
    <row r="3130">
      <c r="A3130" s="6"/>
      <c r="B3130" s="6"/>
      <c r="C3130" s="4"/>
      <c r="D3130" s="4">
        <v>40.664591504370996</v>
      </c>
      <c r="E3130" s="4" t="s">
        <v>4835</v>
      </c>
      <c r="F3130" s="4"/>
      <c r="G3130" s="4"/>
      <c r="H3130" s="4"/>
      <c r="I3130" s="4" t="str">
        <f>IFERROR(__xludf.DUMMYFUNCTION("""COMPUTED_VALUE"""),"0x13364f2b00bc5be1f792b7a85684e638deb8cd3c")</f>
        <v>0x13364f2b00bc5be1f792b7a85684e638deb8cd3c</v>
      </c>
      <c r="J3130" s="18">
        <v>48.3641275995966</v>
      </c>
      <c r="K3130" s="4">
        <v>604.5515949949574</v>
      </c>
      <c r="L3130" s="19">
        <v>6.045515949949574E20</v>
      </c>
      <c r="M3130" s="20">
        <v>6.045515949949574E19</v>
      </c>
    </row>
    <row r="3131">
      <c r="A3131" s="6"/>
      <c r="B3131" s="6"/>
      <c r="C3131" s="4"/>
      <c r="D3131" s="4">
        <v>36.9967065933412</v>
      </c>
      <c r="E3131" s="4" t="s">
        <v>4837</v>
      </c>
      <c r="F3131" s="4"/>
      <c r="G3131" s="4"/>
      <c r="H3131" s="4"/>
      <c r="I3131" s="4" t="str">
        <f>IFERROR(__xludf.DUMMYFUNCTION("""COMPUTED_VALUE"""),"0x927d1138419418012d6131b8e950b5fb01b63b4e")</f>
        <v>0x927d1138419418012d6131b8e950b5fb01b63b4e</v>
      </c>
      <c r="J3131" s="18">
        <v>47.087768292670106</v>
      </c>
      <c r="K3131" s="4">
        <v>588.5971036583763</v>
      </c>
      <c r="L3131" s="19">
        <v>5.8859710365837636E20</v>
      </c>
      <c r="M3131" s="20">
        <v>5.885971036583764E19</v>
      </c>
    </row>
    <row r="3132">
      <c r="A3132" s="6"/>
      <c r="B3132" s="6"/>
      <c r="C3132" s="4"/>
      <c r="D3132" s="4">
        <v>0.143453102400011</v>
      </c>
      <c r="E3132" s="4" t="s">
        <v>4839</v>
      </c>
      <c r="F3132" s="4"/>
      <c r="G3132" s="4"/>
      <c r="H3132" s="4"/>
      <c r="I3132" s="4" t="str">
        <f>IFERROR(__xludf.DUMMYFUNCTION("""COMPUTED_VALUE"""),"0x1b9fda6b7af06a08c896f65526dd6b7cc6af270e")</f>
        <v>0x1b9fda6b7af06a08c896f65526dd6b7cc6af270e</v>
      </c>
      <c r="J3132" s="18">
        <v>42.6575105973699</v>
      </c>
      <c r="K3132" s="4">
        <v>533.2188824671238</v>
      </c>
      <c r="L3132" s="19">
        <v>5.3321888246712376E20</v>
      </c>
      <c r="M3132" s="20">
        <v>5.332188824671238E19</v>
      </c>
    </row>
    <row r="3133">
      <c r="A3133" s="6"/>
      <c r="B3133" s="6"/>
      <c r="C3133" s="4"/>
      <c r="D3133" s="4">
        <v>48.3641275995966</v>
      </c>
      <c r="E3133" s="4" t="s">
        <v>4841</v>
      </c>
      <c r="F3133" s="4"/>
      <c r="G3133" s="4"/>
      <c r="H3133" s="4"/>
      <c r="I3133" s="4" t="str">
        <f>IFERROR(__xludf.DUMMYFUNCTION("""COMPUTED_VALUE"""),"0xc9aa4d7a47472b5b5d0b7f64430dab4da12ec4eb")</f>
        <v>0xc9aa4d7a47472b5b5d0b7f64430dab4da12ec4eb</v>
      </c>
      <c r="J3133" s="18">
        <v>57.66472560997164</v>
      </c>
      <c r="K3133" s="4">
        <v>720.8090701246455</v>
      </c>
      <c r="L3133" s="19">
        <v>7.208090701246455E20</v>
      </c>
      <c r="M3133" s="20">
        <v>7.208090701246455E19</v>
      </c>
    </row>
    <row r="3134">
      <c r="A3134" s="6"/>
      <c r="B3134" s="6"/>
      <c r="C3134" s="4"/>
      <c r="D3134" s="4">
        <v>3.8691302079677303</v>
      </c>
      <c r="E3134" s="4" t="s">
        <v>4842</v>
      </c>
      <c r="F3134" s="4"/>
      <c r="G3134" s="4"/>
      <c r="H3134" s="4"/>
      <c r="I3134" s="4" t="str">
        <f>IFERROR(__xludf.DUMMYFUNCTION("""COMPUTED_VALUE"""),"0x7b1356c22be696a086e953716388d727dc1d86bd")</f>
        <v>0x7b1356c22be696a086e953716388d727dc1d86bd</v>
      </c>
      <c r="J3134" s="18">
        <v>197.50851729397058</v>
      </c>
      <c r="K3134" s="4">
        <v>2468.8564661746323</v>
      </c>
      <c r="L3134" s="19">
        <v>2.4688564661746323E21</v>
      </c>
      <c r="M3134" s="20">
        <v>2.4688564661746323E20</v>
      </c>
    </row>
    <row r="3135">
      <c r="A3135" s="6"/>
      <c r="B3135" s="6"/>
      <c r="C3135" s="4"/>
      <c r="D3135" s="4">
        <v>48.3641275995966</v>
      </c>
      <c r="E3135" s="4" t="s">
        <v>4843</v>
      </c>
      <c r="F3135" s="4"/>
      <c r="G3135" s="4"/>
      <c r="H3135" s="4"/>
      <c r="I3135" s="4" t="str">
        <f>IFERROR(__xludf.DUMMYFUNCTION("""COMPUTED_VALUE"""),"0xae6575960918530b89b086513964c828b6017124")</f>
        <v>0xae6575960918530b89b086513964c828b6017124</v>
      </c>
      <c r="J3135" s="18">
        <v>15.1319822639684</v>
      </c>
      <c r="K3135" s="4">
        <v>189.149778299605</v>
      </c>
      <c r="L3135" s="19">
        <v>1.89149778299605E20</v>
      </c>
      <c r="M3135" s="20">
        <v>1.89149778299605E19</v>
      </c>
    </row>
    <row r="3136">
      <c r="A3136" s="6"/>
      <c r="B3136" s="6"/>
      <c r="C3136" s="4"/>
      <c r="D3136" s="4">
        <v>48.006517602338995</v>
      </c>
      <c r="E3136" s="4" t="s">
        <v>4844</v>
      </c>
      <c r="F3136" s="4"/>
      <c r="G3136" s="4"/>
      <c r="H3136" s="4"/>
      <c r="I3136" s="4" t="str">
        <f>IFERROR(__xludf.DUMMYFUNCTION("""COMPUTED_VALUE"""),"0xf026e6cfef67775667d5942e419c4fc956deb162")</f>
        <v>0xf026e6cfef67775667d5942e419c4fc956deb162</v>
      </c>
      <c r="J3136" s="18">
        <v>58.037500557954246</v>
      </c>
      <c r="K3136" s="4">
        <v>725.4687569744281</v>
      </c>
      <c r="L3136" s="19">
        <v>7.254687569744281E20</v>
      </c>
      <c r="M3136" s="20">
        <v>7.254687569744282E19</v>
      </c>
    </row>
    <row r="3137">
      <c r="A3137" s="6"/>
      <c r="B3137" s="6"/>
      <c r="C3137" s="4"/>
      <c r="D3137" s="4">
        <v>10.887677098713201</v>
      </c>
      <c r="E3137" s="4" t="s">
        <v>4846</v>
      </c>
      <c r="F3137" s="4"/>
      <c r="G3137" s="4"/>
      <c r="H3137" s="4"/>
      <c r="I3137" s="4" t="str">
        <f>IFERROR(__xludf.DUMMYFUNCTION("""COMPUTED_VALUE"""),"0x76c2c64fafa4522617d4f4cde98f4bdc8d07d3b5")</f>
        <v>0x76c2c64fafa4522617d4f4cde98f4bdc8d07d3b5</v>
      </c>
      <c r="J3137" s="18">
        <v>45.8391367216287</v>
      </c>
      <c r="K3137" s="4">
        <v>572.9892090203587</v>
      </c>
      <c r="L3137" s="19">
        <v>5.7298920902035866E20</v>
      </c>
      <c r="M3137" s="20">
        <v>5.7298920902035866E19</v>
      </c>
    </row>
    <row r="3138">
      <c r="A3138" s="6"/>
      <c r="B3138" s="6"/>
      <c r="C3138" s="4"/>
      <c r="D3138" s="4">
        <v>25.6017422909398</v>
      </c>
      <c r="E3138" s="4" t="s">
        <v>4848</v>
      </c>
      <c r="F3138" s="4"/>
      <c r="G3138" s="4"/>
      <c r="H3138" s="4"/>
      <c r="I3138" s="4" t="str">
        <f>IFERROR(__xludf.DUMMYFUNCTION("""COMPUTED_VALUE"""),"0x36fdddb001379528bfb3d069dad6781898beee79")</f>
        <v>0x36fdddb001379528bfb3d069dad6781898beee79</v>
      </c>
      <c r="J3138" s="18">
        <v>4.77338518136755</v>
      </c>
      <c r="K3138" s="4">
        <v>59.66731476709437</v>
      </c>
      <c r="L3138" s="19">
        <v>5.966731476709437E19</v>
      </c>
      <c r="M3138" s="20">
        <v>5.966731476709437E18</v>
      </c>
    </row>
    <row r="3139">
      <c r="A3139" s="6"/>
      <c r="B3139" s="6"/>
      <c r="C3139" s="4"/>
      <c r="D3139" s="4">
        <v>10.6401080719112</v>
      </c>
      <c r="E3139" s="4" t="s">
        <v>4850</v>
      </c>
      <c r="F3139" s="4"/>
      <c r="G3139" s="4"/>
      <c r="H3139" s="4"/>
      <c r="I3139" s="4" t="str">
        <f>IFERROR(__xludf.DUMMYFUNCTION("""COMPUTED_VALUE"""),"0x4dc98673ec1e90d47ced29b31fafc687f040cb5a")</f>
        <v>0x4dc98673ec1e90d47ced29b31fafc687f040cb5a</v>
      </c>
      <c r="J3139" s="18">
        <v>9.672825519919328</v>
      </c>
      <c r="K3139" s="4">
        <v>120.9103189989916</v>
      </c>
      <c r="L3139" s="19">
        <v>1.209103189989916E20</v>
      </c>
      <c r="M3139" s="20">
        <v>1.209103189989916E19</v>
      </c>
    </row>
    <row r="3140">
      <c r="A3140" s="6"/>
      <c r="B3140" s="6"/>
      <c r="C3140" s="4"/>
      <c r="D3140" s="4">
        <v>9.721039571696421</v>
      </c>
      <c r="E3140" s="4" t="s">
        <v>4851</v>
      </c>
      <c r="F3140" s="4"/>
      <c r="G3140" s="4"/>
      <c r="H3140" s="4"/>
      <c r="I3140" s="4" t="str">
        <f>IFERROR(__xludf.DUMMYFUNCTION("""COMPUTED_VALUE"""),"0x479cea2afa57b4e2da3561793bd69e3f6a4c346c")</f>
        <v>0x479cea2afa57b4e2da3561793bd69e3f6a4c346c</v>
      </c>
      <c r="J3140" s="18">
        <v>48.3641275995966</v>
      </c>
      <c r="K3140" s="4">
        <v>604.5515949949574</v>
      </c>
      <c r="L3140" s="19">
        <v>6.045515949949574E20</v>
      </c>
      <c r="M3140" s="20">
        <v>6.045515949949574E19</v>
      </c>
    </row>
    <row r="3141">
      <c r="A3141" s="6"/>
      <c r="B3141" s="6"/>
      <c r="C3141" s="4"/>
      <c r="D3141" s="4">
        <v>48.1766369660673</v>
      </c>
      <c r="E3141" s="4" t="s">
        <v>4853</v>
      </c>
      <c r="F3141" s="4"/>
      <c r="G3141" s="4"/>
      <c r="H3141" s="4"/>
      <c r="I3141" s="4" t="str">
        <f>IFERROR(__xludf.DUMMYFUNCTION("""COMPUTED_VALUE"""),"0xdc506b083fb487df464fd8177fc13d99bb4ed9e5")</f>
        <v>0xdc506b083fb487df464fd8177fc13d99bb4ed9e5</v>
      </c>
      <c r="J3141" s="18">
        <v>48.3641275995966</v>
      </c>
      <c r="K3141" s="4">
        <v>604.5515949949574</v>
      </c>
      <c r="L3141" s="19">
        <v>6.045515949949574E20</v>
      </c>
      <c r="M3141" s="20">
        <v>6.045515949949574E19</v>
      </c>
    </row>
    <row r="3142">
      <c r="A3142" s="6"/>
      <c r="B3142" s="6"/>
      <c r="C3142" s="4"/>
      <c r="D3142" s="4">
        <v>48.3641275995966</v>
      </c>
      <c r="E3142" s="4" t="s">
        <v>1596</v>
      </c>
      <c r="F3142" s="4"/>
      <c r="G3142" s="4"/>
      <c r="H3142" s="4"/>
      <c r="I3142" s="4" t="str">
        <f>IFERROR(__xludf.DUMMYFUNCTION("""COMPUTED_VALUE"""),"0x8540081da57f07be8566d08ae01eeaf70d8a8574")</f>
        <v>0x8540081da57f07be8566d08ae01eeaf70d8a8574</v>
      </c>
      <c r="J3142" s="18">
        <v>9.92111452453017</v>
      </c>
      <c r="K3142" s="4">
        <v>124.01393155662711</v>
      </c>
      <c r="L3142" s="19">
        <v>1.2401393155662712E20</v>
      </c>
      <c r="M3142" s="20">
        <v>1.2401393155662713E19</v>
      </c>
    </row>
    <row r="3143">
      <c r="A3143" s="6"/>
      <c r="B3143" s="6"/>
      <c r="C3143" s="4"/>
      <c r="D3143" s="4">
        <v>5.18682764727446</v>
      </c>
      <c r="E3143" s="4" t="s">
        <v>4855</v>
      </c>
      <c r="F3143" s="4"/>
      <c r="G3143" s="4"/>
      <c r="H3143" s="4"/>
      <c r="I3143" s="4" t="str">
        <f>IFERROR(__xludf.DUMMYFUNCTION("""COMPUTED_VALUE"""),"0xb3efb1d334f9a02be2725632cf2f279ca79427fe")</f>
        <v>0xb3efb1d334f9a02be2725632cf2f279ca79427fe</v>
      </c>
      <c r="J3143" s="18">
        <v>42.0047030188921</v>
      </c>
      <c r="K3143" s="4">
        <v>525.0587877361512</v>
      </c>
      <c r="L3143" s="19">
        <v>5.250587877361512E20</v>
      </c>
      <c r="M3143" s="20">
        <v>5.2505878773615124E19</v>
      </c>
    </row>
    <row r="3144">
      <c r="A3144" s="6"/>
      <c r="B3144" s="6"/>
      <c r="C3144" s="4"/>
      <c r="D3144" s="4">
        <v>11.6233420974922</v>
      </c>
      <c r="E3144" s="4" t="s">
        <v>4857</v>
      </c>
      <c r="F3144" s="4"/>
      <c r="G3144" s="4"/>
      <c r="H3144" s="4"/>
      <c r="I3144" s="4" t="str">
        <f>IFERROR(__xludf.DUMMYFUNCTION("""COMPUTED_VALUE"""),"0xd9fb704d7a2ca357a6479039a158a0ea5e304a3c")</f>
        <v>0xd9fb704d7a2ca357a6479039a158a0ea5e304a3c</v>
      </c>
      <c r="J3144" s="18">
        <v>66.9653236203466</v>
      </c>
      <c r="K3144" s="4">
        <v>837.0665452543324</v>
      </c>
      <c r="L3144" s="19">
        <v>8.370665452543324E20</v>
      </c>
      <c r="M3144" s="20">
        <v>8.370665452543323E19</v>
      </c>
    </row>
    <row r="3145">
      <c r="A3145" s="6"/>
      <c r="B3145" s="6"/>
      <c r="C3145" s="4"/>
      <c r="D3145" s="4">
        <v>48.3641275995966</v>
      </c>
      <c r="E3145" s="4" t="s">
        <v>4859</v>
      </c>
      <c r="F3145" s="4"/>
      <c r="G3145" s="4"/>
      <c r="H3145" s="4"/>
      <c r="I3145" s="4" t="str">
        <f>IFERROR(__xludf.DUMMYFUNCTION("""COMPUTED_VALUE"""),"0xb036ba6956c35fd185dfc4b70c0c87dde5bab5c2")</f>
        <v>0xb036ba6956c35fd185dfc4b70c0c87dde5bab5c2</v>
      </c>
      <c r="J3145" s="18">
        <v>7.58531422161199</v>
      </c>
      <c r="K3145" s="4">
        <v>94.81642777014987</v>
      </c>
      <c r="L3145" s="19">
        <v>9.481642777014988E19</v>
      </c>
      <c r="M3145" s="20">
        <v>9.481642777014989E18</v>
      </c>
    </row>
    <row r="3146">
      <c r="A3146" s="6"/>
      <c r="B3146" s="6"/>
      <c r="C3146" s="4"/>
      <c r="D3146" s="4">
        <v>48.3641275995966</v>
      </c>
      <c r="E3146" s="4" t="s">
        <v>4860</v>
      </c>
      <c r="F3146" s="4"/>
      <c r="G3146" s="4"/>
      <c r="H3146" s="4"/>
      <c r="I3146" s="4" t="str">
        <f>IFERROR(__xludf.DUMMYFUNCTION("""COMPUTED_VALUE"""),"0x246e04e521b7618a9712d02f85e9dce8082dc8a2")</f>
        <v>0x246e04e521b7618a9712d02f85e9dce8082dc8a2</v>
      </c>
      <c r="J3146" s="18">
        <v>11.6073906239032</v>
      </c>
      <c r="K3146" s="4">
        <v>145.09238279879</v>
      </c>
      <c r="L3146" s="19">
        <v>1.4509238279879E20</v>
      </c>
      <c r="M3146" s="20">
        <v>1.4509238279879E19</v>
      </c>
    </row>
    <row r="3147">
      <c r="A3147" s="6"/>
      <c r="B3147" s="6"/>
      <c r="C3147" s="4"/>
      <c r="D3147" s="4">
        <v>48.3641275995966</v>
      </c>
      <c r="E3147" s="4" t="s">
        <v>4861</v>
      </c>
      <c r="F3147" s="4"/>
      <c r="G3147" s="4"/>
      <c r="H3147" s="4"/>
      <c r="I3147" s="4" t="str">
        <f>IFERROR(__xludf.DUMMYFUNCTION("""COMPUTED_VALUE"""),"0x1618d5b89cee5c3e9609aeb5648fb90ad33a4e06")</f>
        <v>0x1618d5b89cee5c3e9609aeb5648fb90ad33a4e06</v>
      </c>
      <c r="J3147" s="18">
        <v>12.9280408769008</v>
      </c>
      <c r="K3147" s="4">
        <v>161.60051096126</v>
      </c>
      <c r="L3147" s="19">
        <v>1.6160051096126E20</v>
      </c>
      <c r="M3147" s="20">
        <v>1.6160051096126001E19</v>
      </c>
    </row>
    <row r="3148">
      <c r="A3148" s="6"/>
      <c r="B3148" s="6"/>
      <c r="C3148" s="4"/>
      <c r="D3148" s="4">
        <v>48.3641275995966</v>
      </c>
      <c r="E3148" s="4" t="s">
        <v>4862</v>
      </c>
      <c r="F3148" s="4"/>
      <c r="G3148" s="4"/>
      <c r="H3148" s="4"/>
      <c r="I3148" s="4" t="str">
        <f>IFERROR(__xludf.DUMMYFUNCTION("""COMPUTED_VALUE"""),"0x0ffda7ecf513b1f7f0cb487694e0ecbbfc68e9a6")</f>
        <v>0x0ffda7ecf513b1f7f0cb487694e0ecbbfc68e9a6</v>
      </c>
      <c r="J3148" s="18">
        <v>48.3641275995966</v>
      </c>
      <c r="K3148" s="4">
        <v>604.5515949949574</v>
      </c>
      <c r="L3148" s="19">
        <v>6.045515949949574E20</v>
      </c>
      <c r="M3148" s="20">
        <v>6.045515949949574E19</v>
      </c>
    </row>
    <row r="3149">
      <c r="A3149" s="6"/>
      <c r="B3149" s="6"/>
      <c r="C3149" s="4"/>
      <c r="D3149" s="4">
        <v>0.141165159498864</v>
      </c>
      <c r="E3149" s="4" t="s">
        <v>4863</v>
      </c>
      <c r="F3149" s="4"/>
      <c r="G3149" s="4"/>
      <c r="H3149" s="4"/>
      <c r="I3149" s="4" t="str">
        <f>IFERROR(__xludf.DUMMYFUNCTION("""COMPUTED_VALUE"""),"0xc2cb9a84cb1e4d7ca6ae7957766a3c98c2769823")</f>
        <v>0xc2cb9a84cb1e4d7ca6ae7957766a3c98c2769823</v>
      </c>
      <c r="J3149" s="18">
        <v>11.5929345461615</v>
      </c>
      <c r="K3149" s="4">
        <v>144.91168182701875</v>
      </c>
      <c r="L3149" s="19">
        <v>1.4491168182701875E20</v>
      </c>
      <c r="M3149" s="20">
        <v>1.4491168182701875E19</v>
      </c>
    </row>
    <row r="3150">
      <c r="A3150" s="6"/>
      <c r="B3150" s="6"/>
      <c r="C3150" s="4"/>
      <c r="D3150" s="4">
        <v>10.3028566197569</v>
      </c>
      <c r="E3150" s="4" t="s">
        <v>4865</v>
      </c>
      <c r="F3150" s="4"/>
      <c r="G3150" s="4"/>
      <c r="H3150" s="4"/>
      <c r="I3150" s="4" t="str">
        <f>IFERROR(__xludf.DUMMYFUNCTION("""COMPUTED_VALUE"""),"0x0f7ce0a0ed53ba9d78bb2a45400292d59e38a287")</f>
        <v>0x0f7ce0a0ed53ba9d78bb2a45400292d59e38a287</v>
      </c>
      <c r="J3150" s="18">
        <v>19.3456510398386</v>
      </c>
      <c r="K3150" s="4">
        <v>241.8206379979825</v>
      </c>
      <c r="L3150" s="19">
        <v>2.4182063799798248E20</v>
      </c>
      <c r="M3150" s="20">
        <v>2.418206379979825E19</v>
      </c>
    </row>
    <row r="3151">
      <c r="A3151" s="6"/>
      <c r="B3151" s="6"/>
      <c r="C3151" s="4"/>
      <c r="D3151" s="4">
        <v>9.13684643866032</v>
      </c>
      <c r="E3151" s="4" t="s">
        <v>4867</v>
      </c>
      <c r="F3151" s="4"/>
      <c r="G3151" s="4"/>
      <c r="H3151" s="4"/>
      <c r="I3151" s="4" t="str">
        <f>IFERROR(__xludf.DUMMYFUNCTION("""COMPUTED_VALUE"""),"0x90dfef13105c4e15d37492fbf09452d87e2ccbcd")</f>
        <v>0x90dfef13105c4e15d37492fbf09452d87e2ccbcd</v>
      </c>
      <c r="J3151" s="18">
        <v>72.64100109765491</v>
      </c>
      <c r="K3151" s="4">
        <v>908.0125137206863</v>
      </c>
      <c r="L3151" s="19">
        <v>9.080125137206863E20</v>
      </c>
      <c r="M3151" s="20">
        <v>9.080125137206863E19</v>
      </c>
    </row>
    <row r="3152">
      <c r="A3152" s="6"/>
      <c r="B3152" s="6"/>
      <c r="C3152" s="4"/>
      <c r="D3152" s="4">
        <v>8.073095238573801</v>
      </c>
      <c r="E3152" s="4" t="s">
        <v>4869</v>
      </c>
      <c r="F3152" s="4"/>
      <c r="G3152" s="4"/>
      <c r="H3152" s="4"/>
      <c r="I3152" s="4" t="str">
        <f>IFERROR(__xludf.DUMMYFUNCTION("""COMPUTED_VALUE"""),"0x2fbf15c83b0b714dd8a0ec3a2616a74376a4246e")</f>
        <v>0x2fbf15c83b0b714dd8a0ec3a2616a74376a4246e</v>
      </c>
      <c r="J3152" s="18">
        <v>141.4474387483469</v>
      </c>
      <c r="K3152" s="4">
        <v>1768.0929843543363</v>
      </c>
      <c r="L3152" s="19">
        <v>1.7680929843543364E21</v>
      </c>
      <c r="M3152" s="20">
        <v>1.7680929843543366E20</v>
      </c>
    </row>
    <row r="3153">
      <c r="A3153" s="6"/>
      <c r="B3153" s="6"/>
      <c r="C3153" s="4"/>
      <c r="D3153" s="4">
        <v>8.31784746976267</v>
      </c>
      <c r="E3153" s="4" t="s">
        <v>4871</v>
      </c>
      <c r="F3153" s="4"/>
      <c r="G3153" s="4"/>
      <c r="H3153" s="4"/>
      <c r="I3153" s="4" t="str">
        <f>IFERROR(__xludf.DUMMYFUNCTION("""COMPUTED_VALUE"""),"0x1b3fa51faf16cd79ccb8a79400379bc19974c103")</f>
        <v>0x1b3fa51faf16cd79ccb8a79400379bc19974c103</v>
      </c>
      <c r="J3153" s="18">
        <v>48.3641275995966</v>
      </c>
      <c r="K3153" s="4">
        <v>604.5515949949574</v>
      </c>
      <c r="L3153" s="19">
        <v>6.045515949949574E20</v>
      </c>
      <c r="M3153" s="20">
        <v>6.045515949949574E19</v>
      </c>
    </row>
    <row r="3154">
      <c r="A3154" s="6"/>
      <c r="B3154" s="6"/>
      <c r="C3154" s="4"/>
      <c r="D3154" s="4">
        <v>48.3641275995966</v>
      </c>
      <c r="E3154" s="4" t="s">
        <v>4873</v>
      </c>
      <c r="F3154" s="4"/>
      <c r="G3154" s="4"/>
      <c r="H3154" s="4"/>
      <c r="I3154" s="4" t="str">
        <f>IFERROR(__xludf.DUMMYFUNCTION("""COMPUTED_VALUE"""),"0xb2b183b40e9052dbe446b1e6cd9b4102c4818b47")</f>
        <v>0xb2b183b40e9052dbe446b1e6cd9b4102c4818b47</v>
      </c>
      <c r="J3154" s="18">
        <v>14.1272831072021</v>
      </c>
      <c r="K3154" s="4">
        <v>176.59103884002624</v>
      </c>
      <c r="L3154" s="19">
        <v>1.7659103884002623E20</v>
      </c>
      <c r="M3154" s="20">
        <v>1.7659103884002623E19</v>
      </c>
    </row>
    <row r="3155">
      <c r="A3155" s="6"/>
      <c r="B3155" s="6"/>
      <c r="C3155" s="4"/>
      <c r="D3155" s="4">
        <v>4.92629437670968</v>
      </c>
      <c r="E3155" s="4" t="s">
        <v>4874</v>
      </c>
      <c r="F3155" s="4"/>
      <c r="G3155" s="4"/>
      <c r="H3155" s="4"/>
      <c r="I3155" s="4" t="str">
        <f>IFERROR(__xludf.DUMMYFUNCTION("""COMPUTED_VALUE"""),"0x998a7851e153d5dea228ab1cc392ebfd6a508e56")</f>
        <v>0x998a7851e153d5dea228ab1cc392ebfd6a508e56</v>
      </c>
      <c r="J3155" s="18">
        <v>35.4412372343557</v>
      </c>
      <c r="K3155" s="4">
        <v>443.0154654294462</v>
      </c>
      <c r="L3155" s="19">
        <v>4.4301546542944616E20</v>
      </c>
      <c r="M3155" s="20">
        <v>4.430154654294462E19</v>
      </c>
    </row>
    <row r="3156">
      <c r="A3156" s="6"/>
      <c r="B3156" s="6"/>
      <c r="C3156" s="4"/>
      <c r="D3156" s="4">
        <v>3.45772536951225</v>
      </c>
      <c r="E3156" s="4" t="s">
        <v>4876</v>
      </c>
      <c r="F3156" s="4"/>
      <c r="G3156" s="4"/>
      <c r="H3156" s="4"/>
      <c r="I3156" s="4" t="str">
        <f>IFERROR(__xludf.DUMMYFUNCTION("""COMPUTED_VALUE"""),"0x136e409d3c13dbf044d8eca5e6c22cb0a7915500")</f>
        <v>0x136e409d3c13dbf044d8eca5e6c22cb0a7915500</v>
      </c>
      <c r="J3156" s="18">
        <v>85.5665196410967</v>
      </c>
      <c r="K3156" s="4">
        <v>1069.581495513709</v>
      </c>
      <c r="L3156" s="19">
        <v>1.0695814955137089E21</v>
      </c>
      <c r="M3156" s="20">
        <v>1.069581495513709E20</v>
      </c>
    </row>
    <row r="3157">
      <c r="A3157" s="6"/>
      <c r="B3157" s="6"/>
      <c r="C3157" s="4"/>
      <c r="D3157" s="4">
        <v>32.9695624370009</v>
      </c>
      <c r="E3157" s="4" t="s">
        <v>4878</v>
      </c>
      <c r="F3157" s="4"/>
      <c r="G3157" s="4"/>
      <c r="H3157" s="4"/>
      <c r="I3157" s="4" t="str">
        <f>IFERROR(__xludf.DUMMYFUNCTION("""COMPUTED_VALUE"""),"0x4e77fe2517da39dea84cd2db3e71519f9d1f3a20")</f>
        <v>0x4e77fe2517da39dea84cd2db3e71519f9d1f3a20</v>
      </c>
      <c r="J3157" s="18">
        <v>6.951021283338511</v>
      </c>
      <c r="K3157" s="4">
        <v>86.88776604173138</v>
      </c>
      <c r="L3157" s="19">
        <v>8.688776604173138E19</v>
      </c>
      <c r="M3157" s="20">
        <v>8.688776604173139E18</v>
      </c>
    </row>
    <row r="3158">
      <c r="A3158" s="6"/>
      <c r="B3158" s="6"/>
      <c r="C3158" s="4"/>
      <c r="D3158" s="4">
        <v>21.6108762906534</v>
      </c>
      <c r="E3158" s="4" t="s">
        <v>4880</v>
      </c>
      <c r="F3158" s="4"/>
      <c r="G3158" s="4"/>
      <c r="H3158" s="4"/>
      <c r="I3158" s="4" t="str">
        <f>IFERROR(__xludf.DUMMYFUNCTION("""COMPUTED_VALUE"""),"0x64bf4f1a47c45facab8bbb084b0b4e8a1ade244a")</f>
        <v>0x64bf4f1a47c45facab8bbb084b0b4e8a1ade244a</v>
      </c>
      <c r="J3158" s="18">
        <v>6.362344483169689</v>
      </c>
      <c r="K3158" s="4">
        <v>79.52930603962112</v>
      </c>
      <c r="L3158" s="19">
        <v>7.952930603962112E19</v>
      </c>
      <c r="M3158" s="20">
        <v>7.952930603962113E18</v>
      </c>
    </row>
    <row r="3159">
      <c r="A3159" s="6"/>
      <c r="B3159" s="6"/>
      <c r="C3159" s="4"/>
      <c r="D3159" s="4">
        <v>48.3641275995966</v>
      </c>
      <c r="E3159" s="4" t="s">
        <v>4882</v>
      </c>
      <c r="F3159" s="4"/>
      <c r="G3159" s="4"/>
      <c r="H3159" s="4"/>
      <c r="I3159" s="4" t="str">
        <f>IFERROR(__xludf.DUMMYFUNCTION("""COMPUTED_VALUE"""),"0xbc9992131b6cae30d889ab67c821bc89cc85109e")</f>
        <v>0xbc9992131b6cae30d889ab67c821bc89cc85109e</v>
      </c>
      <c r="J3159" s="18">
        <v>74.1660629400732</v>
      </c>
      <c r="K3159" s="4">
        <v>927.075786750915</v>
      </c>
      <c r="L3159" s="19">
        <v>9.27075786750915E20</v>
      </c>
      <c r="M3159" s="20">
        <v>9.27075786750915E19</v>
      </c>
    </row>
    <row r="3160">
      <c r="A3160" s="6"/>
      <c r="B3160" s="6"/>
      <c r="C3160" s="4"/>
      <c r="D3160" s="4">
        <v>48.3641275995966</v>
      </c>
      <c r="E3160" s="4" t="s">
        <v>4883</v>
      </c>
      <c r="F3160" s="4"/>
      <c r="G3160" s="4"/>
      <c r="H3160" s="4"/>
      <c r="I3160" s="4" t="str">
        <f>IFERROR(__xludf.DUMMYFUNCTION("""COMPUTED_VALUE"""),"0xd30182b0cb6183d62e297d41c6f0743c5f575b26")</f>
        <v>0xd30182b0cb6183d62e297d41c6f0743c5f575b26</v>
      </c>
      <c r="J3160" s="18">
        <v>6.2610265025333804</v>
      </c>
      <c r="K3160" s="4">
        <v>78.26283128166726</v>
      </c>
      <c r="L3160" s="19">
        <v>7.826283128166726E19</v>
      </c>
      <c r="M3160" s="20">
        <v>7.826283128166727E18</v>
      </c>
    </row>
    <row r="3161">
      <c r="A3161" s="6"/>
      <c r="B3161" s="6"/>
      <c r="C3161" s="4"/>
      <c r="D3161" s="4">
        <v>8.99473405983264</v>
      </c>
      <c r="E3161" s="4" t="s">
        <v>4884</v>
      </c>
      <c r="F3161" s="4"/>
      <c r="G3161" s="4"/>
      <c r="H3161" s="4"/>
      <c r="I3161" s="4" t="str">
        <f>IFERROR(__xludf.DUMMYFUNCTION("""COMPUTED_VALUE"""),"0x6e523ec8bc51fa27fd8157e4255b03560e0a191b")</f>
        <v>0x6e523ec8bc51fa27fd8157e4255b03560e0a191b</v>
      </c>
      <c r="J3161" s="18">
        <v>95.1199412991909</v>
      </c>
      <c r="K3161" s="4">
        <v>1188.9992662398863</v>
      </c>
      <c r="L3161" s="19">
        <v>1.1889992662398864E21</v>
      </c>
      <c r="M3161" s="20">
        <v>1.1889992662398865E20</v>
      </c>
    </row>
    <row r="3162">
      <c r="A3162" s="6"/>
      <c r="B3162" s="6"/>
      <c r="C3162" s="4"/>
      <c r="D3162" s="4">
        <v>48.3641275995966</v>
      </c>
      <c r="E3162" s="4" t="s">
        <v>4886</v>
      </c>
      <c r="F3162" s="4"/>
      <c r="G3162" s="4"/>
      <c r="H3162" s="4"/>
      <c r="I3162" s="4" t="str">
        <f>IFERROR(__xludf.DUMMYFUNCTION("""COMPUTED_VALUE"""),"0xc543b510265847f3e6c92ca6821b48707f507fe9")</f>
        <v>0xc543b510265847f3e6c92ca6821b48707f507fe9</v>
      </c>
      <c r="J3162" s="18">
        <v>7.29555455344555</v>
      </c>
      <c r="K3162" s="4">
        <v>91.19443191806937</v>
      </c>
      <c r="L3162" s="19">
        <v>9.119443191806937E19</v>
      </c>
      <c r="M3162" s="20">
        <v>9.119443191806937E18</v>
      </c>
    </row>
    <row r="3163">
      <c r="A3163" s="6"/>
      <c r="B3163" s="6"/>
      <c r="C3163" s="4"/>
      <c r="D3163" s="4">
        <v>39.2333014893539</v>
      </c>
      <c r="E3163" s="4" t="s">
        <v>4887</v>
      </c>
      <c r="F3163" s="4"/>
      <c r="G3163" s="4"/>
      <c r="H3163" s="4"/>
      <c r="I3163" s="4" t="str">
        <f>IFERROR(__xludf.DUMMYFUNCTION("""COMPUTED_VALUE"""),"0x207d88dae6e8c7dcce27cbfc5776e3f5ca024913")</f>
        <v>0x207d88dae6e8c7dcce27cbfc5776e3f5ca024913</v>
      </c>
      <c r="J3163" s="18">
        <v>36.7673851643252</v>
      </c>
      <c r="K3163" s="4">
        <v>459.59231455406496</v>
      </c>
      <c r="L3163" s="19">
        <v>4.5959231455406496E20</v>
      </c>
      <c r="M3163" s="20">
        <v>4.59592314554065E19</v>
      </c>
    </row>
    <row r="3164">
      <c r="A3164" s="6"/>
      <c r="B3164" s="6"/>
      <c r="C3164" s="4"/>
      <c r="D3164" s="4">
        <v>9.479369009520939</v>
      </c>
      <c r="E3164" s="4" t="s">
        <v>4889</v>
      </c>
      <c r="F3164" s="4"/>
      <c r="G3164" s="4"/>
      <c r="H3164" s="4"/>
      <c r="I3164" s="4" t="str">
        <f>IFERROR(__xludf.DUMMYFUNCTION("""COMPUTED_VALUE"""),"0x5e77cdf98612d0ae9bcf97964eddc588a59bfafb")</f>
        <v>0x5e77cdf98612d0ae9bcf97964eddc588a59bfafb</v>
      </c>
      <c r="J3164" s="18">
        <v>28.620586900125385</v>
      </c>
      <c r="K3164" s="4">
        <v>357.7573362515673</v>
      </c>
      <c r="L3164" s="19">
        <v>3.577573362515673E20</v>
      </c>
      <c r="M3164" s="20">
        <v>3.577573362515673E19</v>
      </c>
    </row>
    <row r="3165">
      <c r="A3165" s="6"/>
      <c r="B3165" s="6"/>
      <c r="C3165" s="4"/>
      <c r="D3165" s="4">
        <v>21.7924044454445</v>
      </c>
      <c r="E3165" s="4" t="s">
        <v>4890</v>
      </c>
      <c r="F3165" s="4"/>
      <c r="G3165" s="4"/>
      <c r="H3165" s="4"/>
      <c r="I3165" s="4" t="str">
        <f>IFERROR(__xludf.DUMMYFUNCTION("""COMPUTED_VALUE"""),"0xd08e399800498bd4dea311e085937e54b1aacd82")</f>
        <v>0xd08e399800498bd4dea311e085937e54b1aacd82</v>
      </c>
      <c r="J3165" s="18">
        <v>3.8691302079677303</v>
      </c>
      <c r="K3165" s="4">
        <v>48.36412759959663</v>
      </c>
      <c r="L3165" s="19">
        <v>4.836412759959663E19</v>
      </c>
      <c r="M3165" s="20">
        <v>4.836412759959663E18</v>
      </c>
    </row>
    <row r="3166">
      <c r="A3166" s="6"/>
      <c r="B3166" s="6"/>
      <c r="C3166" s="4"/>
      <c r="D3166" s="4">
        <v>39.6741860239757</v>
      </c>
      <c r="E3166" s="4" t="s">
        <v>4892</v>
      </c>
      <c r="F3166" s="4"/>
      <c r="G3166" s="4"/>
      <c r="H3166" s="4"/>
      <c r="I3166" s="4" t="str">
        <f>IFERROR(__xludf.DUMMYFUNCTION("""COMPUTED_VALUE"""),"0x0e4bed5f152c603560baaebf9b8ecd9f2cf72225")</f>
        <v>0x0e4bed5f152c603560baaebf9b8ecd9f2cf72225</v>
      </c>
      <c r="J3166" s="18">
        <v>111.26262245149891</v>
      </c>
      <c r="K3166" s="4">
        <v>1390.7827806437365</v>
      </c>
      <c r="L3166" s="19">
        <v>1.3907827806437366E21</v>
      </c>
      <c r="M3166" s="20">
        <v>1.3907827806437366E20</v>
      </c>
    </row>
    <row r="3167">
      <c r="A3167" s="6"/>
      <c r="B3167" s="6"/>
      <c r="C3167" s="4"/>
      <c r="D3167" s="4">
        <v>48.3641275995966</v>
      </c>
      <c r="E3167" s="4" t="s">
        <v>4894</v>
      </c>
      <c r="F3167" s="4"/>
      <c r="G3167" s="4"/>
      <c r="H3167" s="4"/>
      <c r="I3167" s="4" t="str">
        <f>IFERROR(__xludf.DUMMYFUNCTION("""COMPUTED_VALUE"""),"0xd2a5c42abd3de9a869c48cfc48f0733fd695e18a")</f>
        <v>0xd2a5c42abd3de9a869c48cfc48f0733fd695e18a</v>
      </c>
      <c r="J3167" s="18">
        <v>14.5914483927689</v>
      </c>
      <c r="K3167" s="4">
        <v>182.39310490961125</v>
      </c>
      <c r="L3167" s="19">
        <v>1.8239310490961124E20</v>
      </c>
      <c r="M3167" s="20">
        <v>1.8239310490961125E19</v>
      </c>
    </row>
    <row r="3168">
      <c r="A3168" s="6"/>
      <c r="B3168" s="6"/>
      <c r="C3168" s="4"/>
      <c r="D3168" s="4">
        <v>48.3641275995966</v>
      </c>
      <c r="E3168" s="4" t="s">
        <v>4895</v>
      </c>
      <c r="F3168" s="4"/>
      <c r="G3168" s="4"/>
      <c r="H3168" s="4"/>
      <c r="I3168" s="4" t="str">
        <f>IFERROR(__xludf.DUMMYFUNCTION("""COMPUTED_VALUE"""),"0x95926cbebaf2857e0b17690bcf6218cfabc7f57f")</f>
        <v>0x95926cbebaf2857e0b17690bcf6218cfabc7f57f</v>
      </c>
      <c r="J3168" s="18">
        <v>25.2183138629143</v>
      </c>
      <c r="K3168" s="4">
        <v>315.22892328642877</v>
      </c>
      <c r="L3168" s="19">
        <v>3.152289232864288E20</v>
      </c>
      <c r="M3168" s="20">
        <v>3.152289232864288E19</v>
      </c>
    </row>
    <row r="3169">
      <c r="A3169" s="6"/>
      <c r="B3169" s="6"/>
      <c r="C3169" s="4"/>
      <c r="D3169" s="4">
        <v>8.32115989642114</v>
      </c>
      <c r="E3169" s="4" t="s">
        <v>4896</v>
      </c>
      <c r="F3169" s="4"/>
      <c r="G3169" s="4"/>
      <c r="H3169" s="4"/>
      <c r="I3169" s="4" t="str">
        <f>IFERROR(__xludf.DUMMYFUNCTION("""COMPUTED_VALUE"""),"0x50b7cfaca31b461d8284aab27d4b4a9c3d641be4")</f>
        <v>0x50b7cfaca31b461d8284aab27d4b4a9c3d641be4</v>
      </c>
      <c r="J3169" s="18">
        <v>234.37608780709658</v>
      </c>
      <c r="K3169" s="4">
        <v>2929.7010975887074</v>
      </c>
      <c r="L3169" s="19">
        <v>2.9297010975887076E21</v>
      </c>
      <c r="M3169" s="20">
        <v>2.9297010975887078E20</v>
      </c>
    </row>
    <row r="3170">
      <c r="A3170" s="6"/>
      <c r="B3170" s="6"/>
      <c r="C3170" s="4"/>
      <c r="D3170" s="4">
        <v>48.3641275995966</v>
      </c>
      <c r="E3170" s="4" t="s">
        <v>1686</v>
      </c>
      <c r="F3170" s="4"/>
      <c r="G3170" s="4"/>
      <c r="H3170" s="4"/>
      <c r="I3170" s="4" t="str">
        <f>IFERROR(__xludf.DUMMYFUNCTION("""COMPUTED_VALUE"""),"0x329df71a4288bf90f39c5774dc661fec3b8ea2e2")</f>
        <v>0x329df71a4288bf90f39c5774dc661fec3b8ea2e2</v>
      </c>
      <c r="J3170" s="18">
        <v>182.9446723353706</v>
      </c>
      <c r="K3170" s="4">
        <v>2286.8084041921325</v>
      </c>
      <c r="L3170" s="19">
        <v>2.2868084041921323E21</v>
      </c>
      <c r="M3170" s="20">
        <v>2.2868084041921325E20</v>
      </c>
    </row>
    <row r="3171">
      <c r="A3171" s="6"/>
      <c r="B3171" s="6"/>
      <c r="C3171" s="4"/>
      <c r="D3171" s="4">
        <v>48.3641275995966</v>
      </c>
      <c r="E3171" s="4" t="s">
        <v>117</v>
      </c>
      <c r="F3171" s="4"/>
      <c r="G3171" s="4"/>
      <c r="H3171" s="4"/>
      <c r="I3171" s="4" t="str">
        <f>IFERROR(__xludf.DUMMYFUNCTION("""COMPUTED_VALUE"""),"0xa6fb8c45f6d1c55553848649e22c9dd8220cf183")</f>
        <v>0xa6fb8c45f6d1c55553848649e22c9dd8220cf183</v>
      </c>
      <c r="J3171" s="18">
        <v>9.672825519919328</v>
      </c>
      <c r="K3171" s="4">
        <v>120.9103189989916</v>
      </c>
      <c r="L3171" s="19">
        <v>1.209103189989916E20</v>
      </c>
      <c r="M3171" s="20">
        <v>1.209103189989916E19</v>
      </c>
    </row>
    <row r="3172">
      <c r="A3172" s="6"/>
      <c r="B3172" s="6"/>
      <c r="C3172" s="4"/>
      <c r="D3172" s="4">
        <v>5.05395175926289</v>
      </c>
      <c r="E3172" s="4" t="s">
        <v>4898</v>
      </c>
      <c r="F3172" s="4"/>
      <c r="G3172" s="4"/>
      <c r="H3172" s="4"/>
      <c r="I3172" s="4" t="str">
        <f>IFERROR(__xludf.DUMMYFUNCTION("""COMPUTED_VALUE"""),"0x00b11f62588082562e5093b1c42b7162d2160aba")</f>
        <v>0x00b11f62588082562e5093b1c42b7162d2160aba</v>
      </c>
      <c r="J3172" s="18">
        <v>147.10778612175528</v>
      </c>
      <c r="K3172" s="4">
        <v>1838.8473265219409</v>
      </c>
      <c r="L3172" s="19">
        <v>1.8388473265219408E21</v>
      </c>
      <c r="M3172" s="20">
        <v>1.838847326521941E20</v>
      </c>
    </row>
    <row r="3173">
      <c r="A3173" s="6"/>
      <c r="B3173" s="6"/>
      <c r="C3173" s="4"/>
      <c r="D3173" s="4">
        <v>47.7461505214326</v>
      </c>
      <c r="E3173" s="4" t="s">
        <v>4900</v>
      </c>
      <c r="F3173" s="4"/>
      <c r="G3173" s="4"/>
      <c r="H3173" s="4"/>
      <c r="I3173" s="4" t="str">
        <f>IFERROR(__xludf.DUMMYFUNCTION("""COMPUTED_VALUE"""),"0x4058c6d571cf167056320f177cd818f08c562b69")</f>
        <v>0x4058c6d571cf167056320f177cd818f08c562b69</v>
      </c>
      <c r="J3173" s="18">
        <v>9.86628203031772</v>
      </c>
      <c r="K3173" s="4">
        <v>123.32852537897149</v>
      </c>
      <c r="L3173" s="19">
        <v>1.2332852537897148E20</v>
      </c>
      <c r="M3173" s="20">
        <v>1.2332852537897148E19</v>
      </c>
    </row>
    <row r="3174">
      <c r="A3174" s="6"/>
      <c r="B3174" s="6"/>
      <c r="C3174" s="4"/>
      <c r="D3174" s="4">
        <v>48.3641275995966</v>
      </c>
      <c r="E3174" s="4" t="s">
        <v>4902</v>
      </c>
      <c r="F3174" s="4"/>
      <c r="G3174" s="4"/>
      <c r="H3174" s="4"/>
      <c r="I3174" s="4" t="str">
        <f>IFERROR(__xludf.DUMMYFUNCTION("""COMPUTED_VALUE"""),"0x52eb245cdf61584c231f81080470c6c6ed0cb830")</f>
        <v>0x52eb245cdf61584c231f81080470c6c6ed0cb830</v>
      </c>
      <c r="J3174" s="18">
        <v>29.018476559758</v>
      </c>
      <c r="K3174" s="4">
        <v>362.730956996975</v>
      </c>
      <c r="L3174" s="19">
        <v>3.62730956996975E20</v>
      </c>
      <c r="M3174" s="20">
        <v>3.62730956996975E19</v>
      </c>
    </row>
    <row r="3175">
      <c r="A3175" s="6"/>
      <c r="B3175" s="6"/>
      <c r="C3175" s="4"/>
      <c r="D3175" s="4">
        <v>6.29302710219304</v>
      </c>
      <c r="E3175" s="4" t="s">
        <v>4903</v>
      </c>
      <c r="F3175" s="4"/>
      <c r="G3175" s="4"/>
      <c r="H3175" s="4"/>
      <c r="I3175" s="4" t="str">
        <f>IFERROR(__xludf.DUMMYFUNCTION("""COMPUTED_VALUE"""),"0xf25ba4a7366bd6d30ee37df9e74740304e0b8f1e")</f>
        <v>0xf25ba4a7366bd6d30ee37df9e74740304e0b8f1e</v>
      </c>
      <c r="J3175" s="18">
        <v>19.745699521287598</v>
      </c>
      <c r="K3175" s="4">
        <v>246.82124401609497</v>
      </c>
      <c r="L3175" s="19">
        <v>2.4682124401609497E20</v>
      </c>
      <c r="M3175" s="20">
        <v>2.46821244016095E19</v>
      </c>
    </row>
    <row r="3176">
      <c r="A3176" s="6"/>
      <c r="B3176" s="6"/>
      <c r="C3176" s="4"/>
      <c r="D3176" s="4">
        <v>12.646968962410702</v>
      </c>
      <c r="E3176" s="4" t="s">
        <v>4905</v>
      </c>
      <c r="F3176" s="4"/>
      <c r="G3176" s="4"/>
      <c r="H3176" s="4"/>
      <c r="I3176" s="4" t="str">
        <f>IFERROR(__xludf.DUMMYFUNCTION("""COMPUTED_VALUE"""),"0xddb7671abc541792f747b93a399565a1547d5af9")</f>
        <v>0xddb7671abc541792f747b93a399565a1547d5af9</v>
      </c>
      <c r="J3176" s="18">
        <v>19.3456510398386</v>
      </c>
      <c r="K3176" s="4">
        <v>241.8206379979825</v>
      </c>
      <c r="L3176" s="19">
        <v>2.4182063799798248E20</v>
      </c>
      <c r="M3176" s="20">
        <v>2.418206379979825E19</v>
      </c>
    </row>
    <row r="3177">
      <c r="A3177" s="6"/>
      <c r="B3177" s="6"/>
      <c r="C3177" s="4"/>
      <c r="D3177" s="4">
        <v>43.8403865566352</v>
      </c>
      <c r="E3177" s="4" t="s">
        <v>4907</v>
      </c>
      <c r="F3177" s="4"/>
      <c r="G3177" s="4"/>
      <c r="H3177" s="4"/>
      <c r="I3177" s="4" t="str">
        <f>IFERROR(__xludf.DUMMYFUNCTION("""COMPUTED_VALUE"""),"0x9b2f00c3dd3220df8028e13471557f2502ed1abe")</f>
        <v>0x9b2f00c3dd3220df8028e13471557f2502ed1abe</v>
      </c>
      <c r="J3177" s="18">
        <v>3.43202804309943</v>
      </c>
      <c r="K3177" s="4">
        <v>42.90035053874288</v>
      </c>
      <c r="L3177" s="19">
        <v>4.2900350538742874E19</v>
      </c>
      <c r="M3177" s="20">
        <v>4.2900350538742876E18</v>
      </c>
    </row>
    <row r="3178">
      <c r="A3178" s="6"/>
      <c r="B3178" s="6"/>
      <c r="C3178" s="4"/>
      <c r="D3178" s="4">
        <v>9.672825519919328</v>
      </c>
      <c r="E3178" s="4" t="s">
        <v>4909</v>
      </c>
      <c r="F3178" s="4"/>
      <c r="G3178" s="4"/>
      <c r="H3178" s="4"/>
      <c r="I3178" s="4" t="str">
        <f>IFERROR(__xludf.DUMMYFUNCTION("""COMPUTED_VALUE"""),"0x3c9547720002cdfc8fe9bb366ecb0043018ac011")</f>
        <v>0x3c9547720002cdfc8fe9bb366ecb0043018ac011</v>
      </c>
      <c r="J3178" s="18">
        <v>143.80868946160388</v>
      </c>
      <c r="K3178" s="4">
        <v>1797.6086182700485</v>
      </c>
      <c r="L3178" s="19">
        <v>1.7976086182700484E21</v>
      </c>
      <c r="M3178" s="20">
        <v>1.7976086182700486E20</v>
      </c>
    </row>
    <row r="3179">
      <c r="A3179" s="6"/>
      <c r="B3179" s="6"/>
      <c r="C3179" s="4"/>
      <c r="D3179" s="4">
        <v>46.6577918869939</v>
      </c>
      <c r="E3179" s="4" t="s">
        <v>4910</v>
      </c>
      <c r="F3179" s="4"/>
      <c r="G3179" s="4"/>
      <c r="H3179" s="4"/>
      <c r="I3179" s="4" t="str">
        <f>IFERROR(__xludf.DUMMYFUNCTION("""COMPUTED_VALUE"""),"0x6011403209c35ce90e1f576b80e1427359423e31")</f>
        <v>0x6011403209c35ce90e1f576b80e1427359423e31</v>
      </c>
      <c r="J3179" s="18">
        <v>14.9691566274286</v>
      </c>
      <c r="K3179" s="4">
        <v>187.1144578428575</v>
      </c>
      <c r="L3179" s="19">
        <v>1.8711445784285748E20</v>
      </c>
      <c r="M3179" s="20">
        <v>1.871144578428575E19</v>
      </c>
    </row>
    <row r="3180">
      <c r="A3180" s="6"/>
      <c r="B3180" s="6"/>
      <c r="C3180" s="4"/>
      <c r="D3180" s="4">
        <v>48.2324805678892</v>
      </c>
      <c r="E3180" s="4" t="s">
        <v>4912</v>
      </c>
      <c r="F3180" s="4"/>
      <c r="G3180" s="4"/>
      <c r="H3180" s="4"/>
      <c r="I3180" s="4" t="str">
        <f>IFERROR(__xludf.DUMMYFUNCTION("""COMPUTED_VALUE"""),"0xb5dbda56f999b8edddca33fa401f780c6250844c")</f>
        <v>0xb5dbda56f999b8edddca33fa401f780c6250844c</v>
      </c>
      <c r="J3180" s="18">
        <v>48.3641275995966</v>
      </c>
      <c r="K3180" s="4">
        <v>604.5515949949574</v>
      </c>
      <c r="L3180" s="19">
        <v>6.045515949949574E20</v>
      </c>
      <c r="M3180" s="20">
        <v>6.045515949949574E19</v>
      </c>
    </row>
    <row r="3181">
      <c r="A3181" s="6"/>
      <c r="B3181" s="6"/>
      <c r="C3181" s="4"/>
      <c r="D3181" s="4">
        <v>44.4073511689487</v>
      </c>
      <c r="E3181" s="4" t="s">
        <v>4914</v>
      </c>
      <c r="F3181" s="4"/>
      <c r="G3181" s="4"/>
      <c r="H3181" s="4"/>
      <c r="I3181" s="4" t="str">
        <f>IFERROR(__xludf.DUMMYFUNCTION("""COMPUTED_VALUE"""),"0x2b2750724f70b36b57445338654e6abb75bf6625")</f>
        <v>0x2b2750724f70b36b57445338654e6abb75bf6625</v>
      </c>
      <c r="J3181" s="18">
        <v>7.475899874217911</v>
      </c>
      <c r="K3181" s="4">
        <v>93.44874842772388</v>
      </c>
      <c r="L3181" s="19">
        <v>9.344874842772388E19</v>
      </c>
      <c r="M3181" s="20">
        <v>9.344874842772388E18</v>
      </c>
    </row>
    <row r="3182">
      <c r="A3182" s="6"/>
      <c r="B3182" s="6"/>
      <c r="C3182" s="4"/>
      <c r="D3182" s="4">
        <v>12.125012270808101</v>
      </c>
      <c r="E3182" s="4" t="s">
        <v>4916</v>
      </c>
      <c r="F3182" s="4"/>
      <c r="G3182" s="4"/>
      <c r="H3182" s="4"/>
      <c r="I3182" s="4" t="str">
        <f>IFERROR(__xludf.DUMMYFUNCTION("""COMPUTED_VALUE"""),"0x2ea5e9e452f85f55be47504153f25740a5f3d78a")</f>
        <v>0x2ea5e9e452f85f55be47504153f25740a5f3d78a</v>
      </c>
      <c r="J3182" s="18">
        <v>95.1238141565581</v>
      </c>
      <c r="K3182" s="4">
        <v>1189.0476769569761</v>
      </c>
      <c r="L3182" s="19">
        <v>1.189047676956976E21</v>
      </c>
      <c r="M3182" s="20">
        <v>1.1890476769569761E20</v>
      </c>
    </row>
    <row r="3183">
      <c r="A3183" s="6"/>
      <c r="B3183" s="6"/>
      <c r="C3183" s="4"/>
      <c r="D3183" s="4">
        <v>9.672825519919328</v>
      </c>
      <c r="E3183" s="4" t="s">
        <v>4918</v>
      </c>
      <c r="F3183" s="4"/>
      <c r="G3183" s="4"/>
      <c r="H3183" s="4"/>
      <c r="I3183" s="4" t="str">
        <f>IFERROR(__xludf.DUMMYFUNCTION("""COMPUTED_VALUE"""),"0xb05112c2c59366ed514424e16ef7c2c155182ab9")</f>
        <v>0xb05112c2c59366ed514424e16ef7c2c155182ab9</v>
      </c>
      <c r="J3183" s="18">
        <v>2.8845760644925997</v>
      </c>
      <c r="K3183" s="4">
        <v>36.057200806157496</v>
      </c>
      <c r="L3183" s="19">
        <v>3.6057200806157496E19</v>
      </c>
      <c r="M3183" s="20">
        <v>3.6057200806157496E18</v>
      </c>
    </row>
    <row r="3184">
      <c r="A3184" s="6"/>
      <c r="B3184" s="6"/>
      <c r="C3184" s="4"/>
      <c r="D3184" s="4">
        <v>8.56816659578326</v>
      </c>
      <c r="E3184" s="4" t="s">
        <v>4919</v>
      </c>
      <c r="F3184" s="4"/>
      <c r="G3184" s="4"/>
      <c r="H3184" s="4"/>
      <c r="I3184" s="4" t="str">
        <f>IFERROR(__xludf.DUMMYFUNCTION("""COMPUTED_VALUE"""),"0xae2dabc4c278c74a7464ca808fb16ccf172ee713")</f>
        <v>0xae2dabc4c278c74a7464ca808fb16ccf172ee713</v>
      </c>
      <c r="J3184" s="18">
        <v>38.1442452817474</v>
      </c>
      <c r="K3184" s="4">
        <v>476.80306602184254</v>
      </c>
      <c r="L3184" s="19">
        <v>4.768030660218425E20</v>
      </c>
      <c r="M3184" s="20">
        <v>4.768030660218425E19</v>
      </c>
    </row>
    <row r="3185">
      <c r="A3185" s="6"/>
      <c r="B3185" s="6"/>
      <c r="C3185" s="4"/>
      <c r="D3185" s="4">
        <v>48.3641275995966</v>
      </c>
      <c r="E3185" s="4" t="s">
        <v>4921</v>
      </c>
      <c r="F3185" s="4"/>
      <c r="G3185" s="4"/>
      <c r="H3185" s="4"/>
      <c r="I3185" s="4" t="str">
        <f>IFERROR(__xludf.DUMMYFUNCTION("""COMPUTED_VALUE"""),"0xebfe3683599703f6e78e0164a5effd277f9d22ca")</f>
        <v>0xebfe3683599703f6e78e0164a5effd277f9d22ca</v>
      </c>
      <c r="J3185" s="18">
        <v>8.31994785151761</v>
      </c>
      <c r="K3185" s="4">
        <v>103.99934814397011</v>
      </c>
      <c r="L3185" s="19">
        <v>1.039993481439701E20</v>
      </c>
      <c r="M3185" s="20">
        <v>1.0399934814397012E19</v>
      </c>
    </row>
    <row r="3186">
      <c r="A3186" s="6"/>
      <c r="B3186" s="6"/>
      <c r="C3186" s="4"/>
      <c r="D3186" s="4">
        <v>9.85358877117936</v>
      </c>
      <c r="E3186" s="4" t="s">
        <v>4922</v>
      </c>
      <c r="F3186" s="4"/>
      <c r="G3186" s="4"/>
      <c r="H3186" s="4"/>
      <c r="I3186" s="4" t="str">
        <f>IFERROR(__xludf.DUMMYFUNCTION("""COMPUTED_VALUE"""),"0x2a122dee3a53205faeb51d1a2fad0ed77084faf7")</f>
        <v>0x2a122dee3a53205faeb51d1a2fad0ed77084faf7</v>
      </c>
      <c r="J3186" s="18">
        <v>9.672825519919328</v>
      </c>
      <c r="K3186" s="4">
        <v>120.9103189989916</v>
      </c>
      <c r="L3186" s="19">
        <v>1.209103189989916E20</v>
      </c>
      <c r="M3186" s="20">
        <v>1.209103189989916E19</v>
      </c>
    </row>
    <row r="3187">
      <c r="A3187" s="6"/>
      <c r="B3187" s="6"/>
      <c r="C3187" s="4"/>
      <c r="D3187" s="4">
        <v>2.5270698663791</v>
      </c>
      <c r="E3187" s="4" t="s">
        <v>4924</v>
      </c>
      <c r="F3187" s="4"/>
      <c r="G3187" s="4"/>
      <c r="H3187" s="4"/>
      <c r="I3187" s="4" t="str">
        <f>IFERROR(__xludf.DUMMYFUNCTION("""COMPUTED_VALUE"""),"0x3ec18c32dcaa7c353b27e03656ba44e53b53bd19")</f>
        <v>0x3ec18c32dcaa7c353b27e03656ba44e53b53bd19</v>
      </c>
      <c r="J3187" s="18">
        <v>48.3641275995966</v>
      </c>
      <c r="K3187" s="4">
        <v>604.5515949949574</v>
      </c>
      <c r="L3187" s="19">
        <v>6.045515949949574E20</v>
      </c>
      <c r="M3187" s="20">
        <v>6.045515949949574E19</v>
      </c>
    </row>
    <row r="3188">
      <c r="A3188" s="6"/>
      <c r="B3188" s="6"/>
      <c r="C3188" s="4"/>
      <c r="D3188" s="4">
        <v>19.3456510398386</v>
      </c>
      <c r="E3188" s="4" t="s">
        <v>4926</v>
      </c>
      <c r="F3188" s="4"/>
      <c r="G3188" s="4"/>
      <c r="H3188" s="4"/>
      <c r="I3188" s="4" t="str">
        <f>IFERROR(__xludf.DUMMYFUNCTION("""COMPUTED_VALUE"""),"0x2302af9bf79642a3bbee8b031ff1b88b620ea5d7")</f>
        <v>0x2302af9bf79642a3bbee8b031ff1b88b620ea5d7</v>
      </c>
      <c r="J3188" s="18">
        <v>20.941667584531203</v>
      </c>
      <c r="K3188" s="4">
        <v>261.77084480664</v>
      </c>
      <c r="L3188" s="19">
        <v>2.6177084480664E20</v>
      </c>
      <c r="M3188" s="20">
        <v>2.6177084480664003E19</v>
      </c>
    </row>
    <row r="3189">
      <c r="A3189" s="6"/>
      <c r="B3189" s="6"/>
      <c r="C3189" s="4"/>
      <c r="D3189" s="4">
        <v>48.3641275995966</v>
      </c>
      <c r="E3189" s="4" t="s">
        <v>323</v>
      </c>
      <c r="F3189" s="4"/>
      <c r="G3189" s="4"/>
      <c r="H3189" s="4"/>
      <c r="I3189" s="4" t="str">
        <f>IFERROR(__xludf.DUMMYFUNCTION("""COMPUTED_VALUE"""),"0x14d2da59e2f9069d2f8b1179985e08ba3f10ff15")</f>
        <v>0x14d2da59e2f9069d2f8b1179985e08ba3f10ff15</v>
      </c>
      <c r="J3189" s="18">
        <v>19.3456510398386</v>
      </c>
      <c r="K3189" s="4">
        <v>241.8206379979825</v>
      </c>
      <c r="L3189" s="19">
        <v>2.4182063799798248E20</v>
      </c>
      <c r="M3189" s="20">
        <v>2.418206379979825E19</v>
      </c>
    </row>
    <row r="3190">
      <c r="A3190" s="6"/>
      <c r="B3190" s="6"/>
      <c r="C3190" s="4"/>
      <c r="D3190" s="4">
        <v>11.3496888484603</v>
      </c>
      <c r="E3190" s="4" t="s">
        <v>4927</v>
      </c>
      <c r="F3190" s="4"/>
      <c r="G3190" s="4"/>
      <c r="H3190" s="4"/>
      <c r="I3190" s="4" t="str">
        <f>IFERROR(__xludf.DUMMYFUNCTION("""COMPUTED_VALUE"""),"0x2addcbec729cfd1821ef115890d55a226e496f0c")</f>
        <v>0x2addcbec729cfd1821ef115890d55a226e496f0c</v>
      </c>
      <c r="J3190" s="18">
        <v>48.3641275995966</v>
      </c>
      <c r="K3190" s="4">
        <v>604.5515949949574</v>
      </c>
      <c r="L3190" s="19">
        <v>6.045515949949574E20</v>
      </c>
      <c r="M3190" s="20">
        <v>6.045515949949574E19</v>
      </c>
    </row>
    <row r="3191">
      <c r="A3191" s="6"/>
      <c r="B3191" s="6"/>
      <c r="C3191" s="4"/>
      <c r="D3191" s="4">
        <v>48.3641275995966</v>
      </c>
      <c r="E3191" s="4" t="s">
        <v>1476</v>
      </c>
      <c r="F3191" s="4"/>
      <c r="G3191" s="4"/>
      <c r="H3191" s="4"/>
      <c r="I3191" s="4" t="str">
        <f>IFERROR(__xludf.DUMMYFUNCTION("""COMPUTED_VALUE"""),"0x6cc74350d5ee3e54672692c4e3815e83df03f684")</f>
        <v>0x6cc74350d5ee3e54672692c4e3815e83df03f684</v>
      </c>
      <c r="J3191" s="18">
        <v>10.271648853325601</v>
      </c>
      <c r="K3191" s="4">
        <v>128.39561066657</v>
      </c>
      <c r="L3191" s="19">
        <v>1.2839561066657E20</v>
      </c>
      <c r="M3191" s="20">
        <v>1.2839561066657001E19</v>
      </c>
    </row>
    <row r="3192">
      <c r="A3192" s="6"/>
      <c r="B3192" s="6"/>
      <c r="C3192" s="4"/>
      <c r="D3192" s="4">
        <v>48.3641275995966</v>
      </c>
      <c r="E3192" s="4" t="s">
        <v>360</v>
      </c>
      <c r="F3192" s="4"/>
      <c r="G3192" s="4"/>
      <c r="H3192" s="4"/>
      <c r="I3192" s="4" t="str">
        <f>IFERROR(__xludf.DUMMYFUNCTION("""COMPUTED_VALUE"""),"0x7068ce20d7fea1b79d9364048e735e93ae15b291")</f>
        <v>0x7068ce20d7fea1b79d9364048e735e93ae15b291</v>
      </c>
      <c r="J3192" s="18">
        <v>9.672825519919328</v>
      </c>
      <c r="K3192" s="4">
        <v>120.9103189989916</v>
      </c>
      <c r="L3192" s="19">
        <v>1.209103189989916E20</v>
      </c>
      <c r="M3192" s="20">
        <v>1.209103189989916E19</v>
      </c>
    </row>
    <row r="3193">
      <c r="A3193" s="6"/>
      <c r="B3193" s="6"/>
      <c r="C3193" s="4"/>
      <c r="D3193" s="4">
        <v>48.3641275995966</v>
      </c>
      <c r="E3193" s="4" t="s">
        <v>4929</v>
      </c>
      <c r="F3193" s="4"/>
      <c r="G3193" s="4"/>
      <c r="H3193" s="4"/>
      <c r="I3193" s="4" t="str">
        <f>IFERROR(__xludf.DUMMYFUNCTION("""COMPUTED_VALUE"""),"0x3745a051df3ba173a0b76dc1af2491d18d3ed986")</f>
        <v>0x3745a051df3ba173a0b76dc1af2491d18d3ed986</v>
      </c>
      <c r="J3193" s="18">
        <v>140.62605986251702</v>
      </c>
      <c r="K3193" s="4">
        <v>1757.8257482814627</v>
      </c>
      <c r="L3193" s="19">
        <v>1.7578257482814626E21</v>
      </c>
      <c r="M3193" s="20">
        <v>1.7578257482814626E20</v>
      </c>
    </row>
    <row r="3194">
      <c r="A3194" s="6"/>
      <c r="B3194" s="6"/>
      <c r="C3194" s="4"/>
      <c r="D3194" s="4">
        <v>48.3641275995966</v>
      </c>
      <c r="E3194" s="4" t="s">
        <v>4930</v>
      </c>
      <c r="F3194" s="4"/>
      <c r="G3194" s="4"/>
      <c r="H3194" s="4"/>
      <c r="I3194" s="4" t="str">
        <f>IFERROR(__xludf.DUMMYFUNCTION("""COMPUTED_VALUE"""),"0x0790435effa621a4d065adce03fc717f44b4cdb9")</f>
        <v>0x0790435effa621a4d065adce03fc717f44b4cdb9</v>
      </c>
      <c r="J3194" s="18">
        <v>20.434051206821103</v>
      </c>
      <c r="K3194" s="4">
        <v>255.42564008526378</v>
      </c>
      <c r="L3194" s="19">
        <v>2.5542564008526378E20</v>
      </c>
      <c r="M3194" s="20">
        <v>2.554256400852638E19</v>
      </c>
    </row>
    <row r="3195">
      <c r="A3195" s="6"/>
      <c r="B3195" s="6"/>
      <c r="C3195" s="4"/>
      <c r="D3195" s="4">
        <v>48.3641275995966</v>
      </c>
      <c r="E3195" s="4" t="s">
        <v>4931</v>
      </c>
      <c r="F3195" s="4"/>
      <c r="G3195" s="4"/>
      <c r="H3195" s="4"/>
      <c r="I3195" s="4" t="str">
        <f>IFERROR(__xludf.DUMMYFUNCTION("""COMPUTED_VALUE"""),"0x7eb0fd6a30d1ff304b8011a6b13673e1f40dfbbc")</f>
        <v>0x7eb0fd6a30d1ff304b8011a6b13673e1f40dfbbc</v>
      </c>
      <c r="J3195" s="18">
        <v>1.74110859358548</v>
      </c>
      <c r="K3195" s="4">
        <v>21.7638574198185</v>
      </c>
      <c r="L3195" s="19">
        <v>2.17638574198185E19</v>
      </c>
      <c r="M3195" s="20">
        <v>2.17638574198185E18</v>
      </c>
    </row>
    <row r="3196">
      <c r="A3196" s="6"/>
      <c r="B3196" s="6"/>
      <c r="C3196" s="4"/>
      <c r="D3196" s="4">
        <v>48.3641275995966</v>
      </c>
      <c r="E3196" s="4" t="s">
        <v>4932</v>
      </c>
      <c r="F3196" s="4"/>
      <c r="G3196" s="4"/>
      <c r="H3196" s="4"/>
      <c r="I3196" s="4" t="str">
        <f>IFERROR(__xludf.DUMMYFUNCTION("""COMPUTED_VALUE"""),"0xfa54642d2227d3e2629f580507a8d318f5e3d48f")</f>
        <v>0xfa54642d2227d3e2629f580507a8d318f5e3d48f</v>
      </c>
      <c r="J3196" s="18">
        <v>48.3641275995966</v>
      </c>
      <c r="K3196" s="4">
        <v>604.5515949949574</v>
      </c>
      <c r="L3196" s="19">
        <v>6.045515949949574E20</v>
      </c>
      <c r="M3196" s="20">
        <v>6.045515949949574E19</v>
      </c>
    </row>
    <row r="3197">
      <c r="A3197" s="6"/>
      <c r="B3197" s="6"/>
      <c r="C3197" s="4"/>
      <c r="D3197" s="4">
        <v>20.7615741363695</v>
      </c>
      <c r="E3197" s="4" t="s">
        <v>4933</v>
      </c>
      <c r="F3197" s="4"/>
      <c r="G3197" s="4"/>
      <c r="H3197" s="4"/>
      <c r="I3197" s="4" t="str">
        <f>IFERROR(__xludf.DUMMYFUNCTION("""COMPUTED_VALUE"""),"0x0b6bafaaefcea9a5832fe9003a0909668b78167c")</f>
        <v>0x0b6bafaaefcea9a5832fe9003a0909668b78167c</v>
      </c>
      <c r="J3197" s="18">
        <v>48.3641275995966</v>
      </c>
      <c r="K3197" s="4">
        <v>604.5515949949574</v>
      </c>
      <c r="L3197" s="19">
        <v>6.045515949949574E20</v>
      </c>
      <c r="M3197" s="20">
        <v>6.045515949949574E19</v>
      </c>
    </row>
    <row r="3198">
      <c r="A3198" s="6"/>
      <c r="B3198" s="6"/>
      <c r="C3198" s="4"/>
      <c r="D3198" s="4">
        <v>48.3641275995966</v>
      </c>
      <c r="E3198" s="4" t="s">
        <v>4935</v>
      </c>
      <c r="F3198" s="4"/>
      <c r="G3198" s="4"/>
      <c r="H3198" s="4"/>
      <c r="I3198" s="4" t="str">
        <f>IFERROR(__xludf.DUMMYFUNCTION("""COMPUTED_VALUE"""),"0xf9c148cb5cccfa6fb6ea65f8caee50eccd8b8728")</f>
        <v>0xf9c148cb5cccfa6fb6ea65f8caee50eccd8b8728</v>
      </c>
      <c r="J3198" s="18">
        <v>3.75619920379981</v>
      </c>
      <c r="K3198" s="4">
        <v>46.952490047497626</v>
      </c>
      <c r="L3198" s="19">
        <v>4.6952490047497626E19</v>
      </c>
      <c r="M3198" s="20">
        <v>4.695249004749763E18</v>
      </c>
    </row>
    <row r="3199">
      <c r="A3199" s="6"/>
      <c r="B3199" s="6"/>
      <c r="C3199" s="4"/>
      <c r="D3199" s="4">
        <v>1.4968885918924202</v>
      </c>
      <c r="E3199" s="4" t="s">
        <v>4936</v>
      </c>
      <c r="F3199" s="4"/>
      <c r="G3199" s="4"/>
      <c r="H3199" s="4"/>
      <c r="I3199" s="4" t="str">
        <f>IFERROR(__xludf.DUMMYFUNCTION("""COMPUTED_VALUE"""),"0x67cd1609af0406cacb932fed0fb5723abde9be80")</f>
        <v>0x67cd1609af0406cacb932fed0fb5723abde9be80</v>
      </c>
      <c r="J3199" s="18">
        <v>48.3641275995966</v>
      </c>
      <c r="K3199" s="4">
        <v>604.5515949949574</v>
      </c>
      <c r="L3199" s="19">
        <v>6.045515949949574E20</v>
      </c>
      <c r="M3199" s="20">
        <v>6.045515949949574E19</v>
      </c>
    </row>
    <row r="3200">
      <c r="A3200" s="6"/>
      <c r="B3200" s="6"/>
      <c r="C3200" s="4"/>
      <c r="D3200" s="4">
        <v>4.73439243439005</v>
      </c>
      <c r="E3200" s="4" t="s">
        <v>4938</v>
      </c>
      <c r="F3200" s="4"/>
      <c r="G3200" s="4"/>
      <c r="H3200" s="4"/>
      <c r="I3200" s="4" t="str">
        <f>IFERROR(__xludf.DUMMYFUNCTION("""COMPUTED_VALUE"""),"0x95350a353cc6b61a6f5efd748577fa02ce9c31cb")</f>
        <v>0x95350a353cc6b61a6f5efd748577fa02ce9c31cb</v>
      </c>
      <c r="J3200" s="18">
        <v>48.350568320998995</v>
      </c>
      <c r="K3200" s="4">
        <v>604.3821040124874</v>
      </c>
      <c r="L3200" s="19">
        <v>6.043821040124874E20</v>
      </c>
      <c r="M3200" s="20">
        <v>6.043821040124874E19</v>
      </c>
    </row>
    <row r="3201">
      <c r="A3201" s="6"/>
      <c r="B3201" s="6"/>
      <c r="C3201" s="4"/>
      <c r="D3201" s="4">
        <v>48.3641275995966</v>
      </c>
      <c r="E3201" s="4" t="s">
        <v>4940</v>
      </c>
      <c r="F3201" s="4"/>
      <c r="G3201" s="4"/>
      <c r="H3201" s="4"/>
      <c r="I3201" s="4" t="str">
        <f>IFERROR(__xludf.DUMMYFUNCTION("""COMPUTED_VALUE"""),"0xd8f35ef085d202fa7cad0e0c61da737b60e1f855")</f>
        <v>0xd8f35ef085d202fa7cad0e0c61da737b60e1f855</v>
      </c>
      <c r="J3201" s="18">
        <v>135.24866272393268</v>
      </c>
      <c r="K3201" s="4">
        <v>1690.6082840491586</v>
      </c>
      <c r="L3201" s="19">
        <v>1.6906082840491584E21</v>
      </c>
      <c r="M3201" s="20">
        <v>1.6906082840491586E20</v>
      </c>
    </row>
    <row r="3202">
      <c r="A3202" s="6"/>
      <c r="B3202" s="6"/>
      <c r="C3202" s="4"/>
      <c r="D3202" s="4">
        <v>46.255349768340494</v>
      </c>
      <c r="E3202" s="4" t="s">
        <v>4941</v>
      </c>
      <c r="F3202" s="4"/>
      <c r="G3202" s="4"/>
      <c r="H3202" s="4"/>
      <c r="I3202" s="4" t="str">
        <f>IFERROR(__xludf.DUMMYFUNCTION("""COMPUTED_VALUE"""),"0x49212e0f59b1503ade77d0670b69462b0e74436b")</f>
        <v>0x49212e0f59b1503ade77d0670b69462b0e74436b</v>
      </c>
      <c r="J3202" s="18">
        <v>11.2912619398295</v>
      </c>
      <c r="K3202" s="4">
        <v>141.14077424786873</v>
      </c>
      <c r="L3202" s="19">
        <v>1.4114077424786873E20</v>
      </c>
      <c r="M3202" s="20">
        <v>1.4114077424786874E19</v>
      </c>
    </row>
    <row r="3203">
      <c r="A3203" s="6"/>
      <c r="B3203" s="6"/>
      <c r="C3203" s="4"/>
      <c r="D3203" s="4">
        <v>48.3641275995966</v>
      </c>
      <c r="E3203" s="4" t="s">
        <v>1372</v>
      </c>
      <c r="F3203" s="4"/>
      <c r="G3203" s="4"/>
      <c r="H3203" s="4"/>
      <c r="I3203" s="4" t="str">
        <f>IFERROR(__xludf.DUMMYFUNCTION("""COMPUTED_VALUE"""),"0x29ce576899c9763953429e76fb4d6399f9cb4717")</f>
        <v>0x29ce576899c9763953429e76fb4d6399f9cb4717</v>
      </c>
      <c r="J3203" s="18">
        <v>9.672825519919328</v>
      </c>
      <c r="K3203" s="4">
        <v>120.9103189989916</v>
      </c>
      <c r="L3203" s="19">
        <v>1.209103189989916E20</v>
      </c>
      <c r="M3203" s="20">
        <v>1.209103189989916E19</v>
      </c>
    </row>
    <row r="3204">
      <c r="A3204" s="6"/>
      <c r="B3204" s="6"/>
      <c r="C3204" s="4"/>
      <c r="D3204" s="4">
        <v>9.672825519919328</v>
      </c>
      <c r="E3204" s="4" t="s">
        <v>4943</v>
      </c>
      <c r="F3204" s="4"/>
      <c r="G3204" s="4"/>
      <c r="H3204" s="4"/>
      <c r="I3204" s="4" t="str">
        <f>IFERROR(__xludf.DUMMYFUNCTION("""COMPUTED_VALUE"""),"0xa49371f4ea142a0004bf43d64c1a917ddd00acee")</f>
        <v>0xa49371f4ea142a0004bf43d64c1a917ddd00acee</v>
      </c>
      <c r="J3204" s="18">
        <v>119.05079804430059</v>
      </c>
      <c r="K3204" s="4">
        <v>1488.1349755537574</v>
      </c>
      <c r="L3204" s="19">
        <v>1.4881349755537575E21</v>
      </c>
      <c r="M3204" s="20">
        <v>1.4881349755537575E20</v>
      </c>
    </row>
    <row r="3205">
      <c r="A3205" s="6"/>
      <c r="B3205" s="6"/>
      <c r="C3205" s="4"/>
      <c r="D3205" s="4">
        <v>48.3641275995966</v>
      </c>
      <c r="E3205" s="4" t="s">
        <v>4944</v>
      </c>
      <c r="F3205" s="4"/>
      <c r="G3205" s="4"/>
      <c r="H3205" s="4"/>
      <c r="I3205" s="4" t="str">
        <f>IFERROR(__xludf.DUMMYFUNCTION("""COMPUTED_VALUE"""),"0x69cc0679edce409926c065c31141daea9a889c1f")</f>
        <v>0x69cc0679edce409926c065c31141daea9a889c1f</v>
      </c>
      <c r="J3205" s="18">
        <v>48.3641275995966</v>
      </c>
      <c r="K3205" s="4">
        <v>604.5515949949574</v>
      </c>
      <c r="L3205" s="19">
        <v>6.045515949949574E20</v>
      </c>
      <c r="M3205" s="20">
        <v>6.045515949949574E19</v>
      </c>
    </row>
    <row r="3206">
      <c r="A3206" s="6"/>
      <c r="B3206" s="6"/>
      <c r="C3206" s="4"/>
      <c r="D3206" s="4">
        <v>48.3641275995966</v>
      </c>
      <c r="E3206" s="4" t="s">
        <v>4945</v>
      </c>
      <c r="F3206" s="4"/>
      <c r="G3206" s="4"/>
      <c r="H3206" s="4"/>
      <c r="I3206" s="4" t="str">
        <f>IFERROR(__xludf.DUMMYFUNCTION("""COMPUTED_VALUE"""),"0x2173948d935857564805a48b9c878da29fae380d")</f>
        <v>0x2173948d935857564805a48b9c878da29fae380d</v>
      </c>
      <c r="J3206" s="18">
        <v>19.6091474841061</v>
      </c>
      <c r="K3206" s="4">
        <v>245.11434355132624</v>
      </c>
      <c r="L3206" s="19">
        <v>2.4511434355132626E20</v>
      </c>
      <c r="M3206" s="20">
        <v>2.451143435513263E19</v>
      </c>
    </row>
    <row r="3207">
      <c r="A3207" s="6"/>
      <c r="B3207" s="6"/>
      <c r="C3207" s="4"/>
      <c r="D3207" s="4">
        <v>23.5272187322237</v>
      </c>
      <c r="E3207" s="4" t="s">
        <v>4946</v>
      </c>
      <c r="F3207" s="4"/>
      <c r="G3207" s="4"/>
      <c r="H3207" s="4"/>
      <c r="I3207" s="4" t="str">
        <f>IFERROR(__xludf.DUMMYFUNCTION("""COMPUTED_VALUE"""),"0xaa14d8d36d8c140eb036364be9d5a94ddf78e171")</f>
        <v>0xaa14d8d36d8c140eb036364be9d5a94ddf78e171</v>
      </c>
      <c r="J3207" s="18">
        <v>10.1175897502428</v>
      </c>
      <c r="K3207" s="4">
        <v>126.469871878035</v>
      </c>
      <c r="L3207" s="19">
        <v>1.26469871878035E20</v>
      </c>
      <c r="M3207" s="20">
        <v>1.26469871878035E19</v>
      </c>
    </row>
    <row r="3208">
      <c r="A3208" s="6"/>
      <c r="B3208" s="6"/>
      <c r="C3208" s="4"/>
      <c r="D3208" s="4">
        <v>48.3641275995966</v>
      </c>
      <c r="E3208" s="4" t="s">
        <v>4948</v>
      </c>
      <c r="F3208" s="4"/>
      <c r="G3208" s="4"/>
      <c r="H3208" s="4"/>
      <c r="I3208" s="4" t="str">
        <f>IFERROR(__xludf.DUMMYFUNCTION("""COMPUTED_VALUE"""),"0xa0faa58e05f32d11637005f342b58f2f3e30ffb8")</f>
        <v>0xa0faa58e05f32d11637005f342b58f2f3e30ffb8</v>
      </c>
      <c r="J3208" s="18">
        <v>178.0743018390358</v>
      </c>
      <c r="K3208" s="4">
        <v>2225.9287729879475</v>
      </c>
      <c r="L3208" s="19">
        <v>2.2259287729879476E21</v>
      </c>
      <c r="M3208" s="20">
        <v>2.2259287729879476E20</v>
      </c>
    </row>
    <row r="3209">
      <c r="A3209" s="6"/>
      <c r="B3209" s="6"/>
      <c r="C3209" s="4"/>
      <c r="D3209" s="4">
        <v>2.2082967897648698</v>
      </c>
      <c r="E3209" s="4" t="s">
        <v>4949</v>
      </c>
      <c r="F3209" s="4"/>
      <c r="G3209" s="4"/>
      <c r="H3209" s="4"/>
      <c r="I3209" s="4" t="str">
        <f>IFERROR(__xludf.DUMMYFUNCTION("""COMPUTED_VALUE"""),"0xcbfd1e4a42d629b0a7ca38028b24da3c838b8193")</f>
        <v>0xcbfd1e4a42d629b0a7ca38028b24da3c838b8193</v>
      </c>
      <c r="J3209" s="18">
        <v>48.3641275995966</v>
      </c>
      <c r="K3209" s="4">
        <v>604.5515949949574</v>
      </c>
      <c r="L3209" s="19">
        <v>6.045515949949574E20</v>
      </c>
      <c r="M3209" s="20">
        <v>6.045515949949574E19</v>
      </c>
    </row>
    <row r="3210">
      <c r="A3210" s="6"/>
      <c r="B3210" s="6"/>
      <c r="C3210" s="4"/>
      <c r="D3210" s="4">
        <v>48.3641275995966</v>
      </c>
      <c r="E3210" s="4" t="s">
        <v>4951</v>
      </c>
      <c r="F3210" s="4"/>
      <c r="G3210" s="4"/>
      <c r="H3210" s="4"/>
      <c r="I3210" s="4" t="str">
        <f>IFERROR(__xludf.DUMMYFUNCTION("""COMPUTED_VALUE"""),"0xba050b96b369d66a7c506e4e13831b861c15208d")</f>
        <v>0xba050b96b369d66a7c506e4e13831b861c15208d</v>
      </c>
      <c r="J3210" s="18">
        <v>9.297549250732501</v>
      </c>
      <c r="K3210" s="4">
        <v>116.21936563415626</v>
      </c>
      <c r="L3210" s="19">
        <v>1.1621936563415627E20</v>
      </c>
      <c r="M3210" s="20">
        <v>1.1621936563415628E19</v>
      </c>
    </row>
    <row r="3211">
      <c r="A3211" s="6"/>
      <c r="B3211" s="6"/>
      <c r="C3211" s="4"/>
      <c r="D3211" s="4">
        <v>48.3641275995966</v>
      </c>
      <c r="E3211" s="4" t="s">
        <v>4952</v>
      </c>
      <c r="F3211" s="4"/>
      <c r="G3211" s="4"/>
      <c r="H3211" s="4"/>
      <c r="I3211" s="4" t="str">
        <f>IFERROR(__xludf.DUMMYFUNCTION("""COMPUTED_VALUE"""),"0x51f6d2cf262e0ec6425425f13dd5a13c2af96548")</f>
        <v>0x51f6d2cf262e0ec6425425f13dd5a13c2af96548</v>
      </c>
      <c r="J3211" s="18">
        <v>0.0731764279404839</v>
      </c>
      <c r="K3211" s="4">
        <v>0.9147053492560487</v>
      </c>
      <c r="L3211" s="19">
        <v>9.147053492560488E17</v>
      </c>
      <c r="M3211" s="20">
        <v>9.147053492560488E16</v>
      </c>
    </row>
    <row r="3212">
      <c r="A3212" s="6"/>
      <c r="B3212" s="6"/>
      <c r="C3212" s="4"/>
      <c r="D3212" s="4">
        <v>43.700181644246804</v>
      </c>
      <c r="E3212" s="4" t="s">
        <v>4953</v>
      </c>
      <c r="F3212" s="4"/>
      <c r="G3212" s="4"/>
      <c r="H3212" s="4"/>
      <c r="I3212" s="4" t="str">
        <f>IFERROR(__xludf.DUMMYFUNCTION("""COMPUTED_VALUE"""),"0x181b04d293b5f087b27d5a461f77771a514e45de")</f>
        <v>0x181b04d293b5f087b27d5a461f77771a514e45de</v>
      </c>
      <c r="J3212" s="18">
        <v>57.66472560997164</v>
      </c>
      <c r="K3212" s="4">
        <v>720.8090701246455</v>
      </c>
      <c r="L3212" s="19">
        <v>7.208090701246455E20</v>
      </c>
      <c r="M3212" s="20">
        <v>7.208090701246455E19</v>
      </c>
    </row>
    <row r="3213">
      <c r="A3213" s="6"/>
      <c r="B3213" s="6"/>
      <c r="C3213" s="4"/>
      <c r="D3213" s="4">
        <v>9.672825519919328</v>
      </c>
      <c r="E3213" s="4" t="s">
        <v>4955</v>
      </c>
      <c r="F3213" s="4"/>
      <c r="G3213" s="4"/>
      <c r="H3213" s="4"/>
      <c r="I3213" s="4" t="str">
        <f>IFERROR(__xludf.DUMMYFUNCTION("""COMPUTED_VALUE"""),"0x0bca43d52a0e3474a8976a6546e405380a76a199")</f>
        <v>0x0bca43d52a0e3474a8976a6546e405380a76a199</v>
      </c>
      <c r="J3213" s="18">
        <v>9.672825519919328</v>
      </c>
      <c r="K3213" s="4">
        <v>120.9103189989916</v>
      </c>
      <c r="L3213" s="19">
        <v>1.209103189989916E20</v>
      </c>
      <c r="M3213" s="20">
        <v>1.209103189989916E19</v>
      </c>
    </row>
    <row r="3214">
      <c r="A3214" s="6"/>
      <c r="B3214" s="6"/>
      <c r="C3214" s="4"/>
      <c r="D3214" s="4">
        <v>48.3641275995966</v>
      </c>
      <c r="E3214" s="4" t="s">
        <v>4956</v>
      </c>
      <c r="F3214" s="4"/>
      <c r="G3214" s="4"/>
      <c r="H3214" s="4"/>
      <c r="I3214" s="4" t="str">
        <f>IFERROR(__xludf.DUMMYFUNCTION("""COMPUTED_VALUE"""),"0x63ad10b61a150bc93cb9a3ca01c131d9ee9424f1")</f>
        <v>0x63ad10b61a150bc93cb9a3ca01c131d9ee9424f1</v>
      </c>
      <c r="J3214" s="18">
        <v>27.5224051237367</v>
      </c>
      <c r="K3214" s="4">
        <v>344.03006404670873</v>
      </c>
      <c r="L3214" s="19">
        <v>3.4403006404670875E20</v>
      </c>
      <c r="M3214" s="20">
        <v>3.4403006404670878E19</v>
      </c>
    </row>
    <row r="3215">
      <c r="A3215" s="6"/>
      <c r="B3215" s="6"/>
      <c r="C3215" s="4"/>
      <c r="D3215" s="4">
        <v>46.441845328195</v>
      </c>
      <c r="E3215" s="4" t="s">
        <v>369</v>
      </c>
      <c r="F3215" s="4"/>
      <c r="G3215" s="4"/>
      <c r="H3215" s="4"/>
      <c r="I3215" s="4" t="str">
        <f>IFERROR(__xludf.DUMMYFUNCTION("""COMPUTED_VALUE"""),"0xe79f6334107a5fca525104e11bd6ab9f160edfd8")</f>
        <v>0xe79f6334107a5fca525104e11bd6ab9f160edfd8</v>
      </c>
      <c r="J3215" s="18">
        <v>234.37608780709658</v>
      </c>
      <c r="K3215" s="4">
        <v>2929.7010975887074</v>
      </c>
      <c r="L3215" s="19">
        <v>2.9297010975887076E21</v>
      </c>
      <c r="M3215" s="20">
        <v>2.9297010975887078E20</v>
      </c>
    </row>
    <row r="3216">
      <c r="A3216" s="6"/>
      <c r="B3216" s="6"/>
      <c r="C3216" s="4"/>
      <c r="D3216" s="4">
        <v>12.8205618808475</v>
      </c>
      <c r="E3216" s="4" t="s">
        <v>4958</v>
      </c>
      <c r="F3216" s="4"/>
      <c r="G3216" s="4"/>
      <c r="H3216" s="4"/>
      <c r="I3216" s="4" t="str">
        <f>IFERROR(__xludf.DUMMYFUNCTION("""COMPUTED_VALUE"""),"0x09b896fa468654667449b04ec7881c87b4ffe641")</f>
        <v>0x09b896fa468654667449b04ec7881c87b4ffe641</v>
      </c>
      <c r="J3216" s="18">
        <v>48.3641275995966</v>
      </c>
      <c r="K3216" s="4">
        <v>604.5515949949574</v>
      </c>
      <c r="L3216" s="19">
        <v>6.045515949949574E20</v>
      </c>
      <c r="M3216" s="20">
        <v>6.045515949949574E19</v>
      </c>
    </row>
    <row r="3217">
      <c r="A3217" s="6"/>
      <c r="B3217" s="6"/>
      <c r="C3217" s="4"/>
      <c r="D3217" s="4">
        <v>48.3641275995966</v>
      </c>
      <c r="E3217" s="4" t="s">
        <v>4960</v>
      </c>
      <c r="F3217" s="4"/>
      <c r="G3217" s="4"/>
      <c r="H3217" s="4"/>
      <c r="I3217" s="4" t="str">
        <f>IFERROR(__xludf.DUMMYFUNCTION("""COMPUTED_VALUE"""),"0x08511ddfc2dde31a48d5267b2269b440080e55a5")</f>
        <v>0x08511ddfc2dde31a48d5267b2269b440080e55a5</v>
      </c>
      <c r="J3217" s="18">
        <v>57.66472560997164</v>
      </c>
      <c r="K3217" s="4">
        <v>720.8090701246455</v>
      </c>
      <c r="L3217" s="19">
        <v>7.208090701246455E20</v>
      </c>
      <c r="M3217" s="20">
        <v>7.208090701246455E19</v>
      </c>
    </row>
    <row r="3218">
      <c r="A3218" s="6"/>
      <c r="B3218" s="6"/>
      <c r="C3218" s="4"/>
      <c r="D3218" s="4">
        <v>8.04166766900938</v>
      </c>
      <c r="E3218" s="4" t="s">
        <v>4961</v>
      </c>
      <c r="F3218" s="4"/>
      <c r="G3218" s="4"/>
      <c r="H3218" s="4"/>
      <c r="I3218" s="4" t="str">
        <f>IFERROR(__xludf.DUMMYFUNCTION("""COMPUTED_VALUE"""),"0xacd236e309c53a1a31273ebcb86adc8a6942209d")</f>
        <v>0xacd236e309c53a1a31273ebcb86adc8a6942209d</v>
      </c>
      <c r="J3218" s="18">
        <v>27.0953682045217</v>
      </c>
      <c r="K3218" s="4">
        <v>338.69210255652126</v>
      </c>
      <c r="L3218" s="19">
        <v>3.3869210255652127E20</v>
      </c>
      <c r="M3218" s="20">
        <v>3.3869210255652127E19</v>
      </c>
    </row>
    <row r="3219">
      <c r="A3219" s="6"/>
      <c r="B3219" s="6"/>
      <c r="C3219" s="4"/>
      <c r="D3219" s="4">
        <v>48.3641275995966</v>
      </c>
      <c r="E3219" s="4" t="s">
        <v>4963</v>
      </c>
      <c r="F3219" s="4"/>
      <c r="G3219" s="4"/>
      <c r="H3219" s="4"/>
      <c r="I3219" s="4" t="str">
        <f>IFERROR(__xludf.DUMMYFUNCTION("""COMPUTED_VALUE"""),"0x3402936329772248865803f9b0080c0496ae4e8b")</f>
        <v>0x3402936329772248865803f9b0080c0496ae4e8b</v>
      </c>
      <c r="J3219" s="18">
        <v>48.358134005246</v>
      </c>
      <c r="K3219" s="4">
        <v>604.476675065575</v>
      </c>
      <c r="L3219" s="19">
        <v>6.04476675065575E20</v>
      </c>
      <c r="M3219" s="20">
        <v>6.04476675065575E19</v>
      </c>
    </row>
    <row r="3220">
      <c r="A3220" s="6"/>
      <c r="B3220" s="6"/>
      <c r="C3220" s="4"/>
      <c r="D3220" s="4">
        <v>13.7552552911819</v>
      </c>
      <c r="E3220" s="4" t="s">
        <v>4964</v>
      </c>
      <c r="F3220" s="4"/>
      <c r="G3220" s="4"/>
      <c r="H3220" s="4"/>
      <c r="I3220" s="4" t="str">
        <f>IFERROR(__xludf.DUMMYFUNCTION("""COMPUTED_VALUE"""),"0x6eb57cad6d1d04b4f2a20ee9cf74b446f38914fd")</f>
        <v>0x6eb57cad6d1d04b4f2a20ee9cf74b446f38914fd</v>
      </c>
      <c r="J3220" s="18">
        <v>9.672825519919328</v>
      </c>
      <c r="K3220" s="4">
        <v>120.9103189989916</v>
      </c>
      <c r="L3220" s="19">
        <v>1.209103189989916E20</v>
      </c>
      <c r="M3220" s="20">
        <v>1.209103189989916E19</v>
      </c>
    </row>
    <row r="3221">
      <c r="A3221" s="6"/>
      <c r="B3221" s="6"/>
      <c r="C3221" s="4"/>
      <c r="D3221" s="4">
        <v>9.672825519919328</v>
      </c>
      <c r="E3221" s="4" t="s">
        <v>4966</v>
      </c>
      <c r="F3221" s="4"/>
      <c r="G3221" s="4"/>
      <c r="H3221" s="4"/>
      <c r="I3221" s="4" t="str">
        <f>IFERROR(__xludf.DUMMYFUNCTION("""COMPUTED_VALUE"""),"0x3204836e12a313b7d55899c90c10b39b3cb05e13")</f>
        <v>0x3204836e12a313b7d55899c90c10b39b3cb05e13</v>
      </c>
      <c r="J3221" s="18">
        <v>9.672825519919328</v>
      </c>
      <c r="K3221" s="4">
        <v>120.9103189989916</v>
      </c>
      <c r="L3221" s="19">
        <v>1.209103189989916E20</v>
      </c>
      <c r="M3221" s="20">
        <v>1.209103189989916E19</v>
      </c>
    </row>
    <row r="3222">
      <c r="A3222" s="6"/>
      <c r="B3222" s="6"/>
      <c r="C3222" s="4"/>
      <c r="D3222" s="4">
        <v>48.3641275995966</v>
      </c>
      <c r="E3222" s="4" t="s">
        <v>1265</v>
      </c>
      <c r="F3222" s="4"/>
      <c r="G3222" s="4"/>
      <c r="H3222" s="4"/>
      <c r="I3222" s="4" t="str">
        <f>IFERROR(__xludf.DUMMYFUNCTION("""COMPUTED_VALUE"""),"0xf78dcc1d6489e888c42e472ee5563bf10e819606")</f>
        <v>0xf78dcc1d6489e888c42e472ee5563bf10e819606</v>
      </c>
      <c r="J3222" s="18">
        <v>22.247498695814397</v>
      </c>
      <c r="K3222" s="4">
        <v>278.09373369767997</v>
      </c>
      <c r="L3222" s="19">
        <v>2.7809373369767995E20</v>
      </c>
      <c r="M3222" s="20">
        <v>2.7809373369767997E19</v>
      </c>
    </row>
    <row r="3223">
      <c r="A3223" s="6"/>
      <c r="B3223" s="6"/>
      <c r="C3223" s="4"/>
      <c r="D3223" s="4">
        <v>48.3641275995966</v>
      </c>
      <c r="E3223" s="4" t="s">
        <v>4967</v>
      </c>
      <c r="F3223" s="4"/>
      <c r="G3223" s="4"/>
      <c r="H3223" s="4"/>
      <c r="I3223" s="4" t="str">
        <f>IFERROR(__xludf.DUMMYFUNCTION("""COMPUTED_VALUE"""),"0x17a611b844ff9dcd6331f058a118ba2561b0d8ba")</f>
        <v>0x17a611b844ff9dcd6331f058a118ba2561b0d8ba</v>
      </c>
      <c r="J3223" s="18">
        <v>234.37608780709658</v>
      </c>
      <c r="K3223" s="4">
        <v>2929.7010975887074</v>
      </c>
      <c r="L3223" s="19">
        <v>2.9297010975887076E21</v>
      </c>
      <c r="M3223" s="20">
        <v>2.9297010975887078E20</v>
      </c>
    </row>
    <row r="3224">
      <c r="A3224" s="6"/>
      <c r="B3224" s="6"/>
      <c r="C3224" s="4"/>
      <c r="D3224" s="4">
        <v>11.6073906239032</v>
      </c>
      <c r="E3224" s="4" t="s">
        <v>4968</v>
      </c>
      <c r="F3224" s="4"/>
      <c r="G3224" s="4"/>
      <c r="H3224" s="4"/>
      <c r="I3224" s="4" t="str">
        <f>IFERROR(__xludf.DUMMYFUNCTION("""COMPUTED_VALUE"""),"0xce50bb462e320af07f3a0c8798acbcf314a221cd")</f>
        <v>0xce50bb462e320af07f3a0c8798acbcf314a221cd</v>
      </c>
      <c r="J3224" s="18">
        <v>9.86628203031772</v>
      </c>
      <c r="K3224" s="4">
        <v>123.32852537897149</v>
      </c>
      <c r="L3224" s="19">
        <v>1.2332852537897148E20</v>
      </c>
      <c r="M3224" s="20">
        <v>1.2332852537897148E19</v>
      </c>
    </row>
    <row r="3225">
      <c r="A3225" s="6"/>
      <c r="B3225" s="6"/>
      <c r="C3225" s="4"/>
      <c r="D3225" s="4">
        <v>36.2685163737774</v>
      </c>
      <c r="E3225" s="4" t="s">
        <v>4969</v>
      </c>
      <c r="F3225" s="4"/>
      <c r="G3225" s="4"/>
      <c r="H3225" s="4"/>
      <c r="I3225" s="4" t="str">
        <f>IFERROR(__xludf.DUMMYFUNCTION("""COMPUTED_VALUE"""),"0x100cee61684ee2ca9013f852deee448245d0f82e")</f>
        <v>0x100cee61684ee2ca9013f852deee448245d0f82e</v>
      </c>
      <c r="J3225" s="18">
        <v>52.52220543834782</v>
      </c>
      <c r="K3225" s="4">
        <v>656.5275679793477</v>
      </c>
      <c r="L3225" s="19">
        <v>6.565275679793477E20</v>
      </c>
      <c r="M3225" s="20">
        <v>6.565275679793477E19</v>
      </c>
    </row>
    <row r="3226">
      <c r="A3226" s="6"/>
      <c r="B3226" s="6"/>
      <c r="C3226" s="4"/>
      <c r="D3226" s="4">
        <v>4.1776911462414805</v>
      </c>
      <c r="E3226" s="4" t="s">
        <v>4971</v>
      </c>
      <c r="F3226" s="4"/>
      <c r="G3226" s="4"/>
      <c r="H3226" s="4"/>
      <c r="I3226" s="4" t="str">
        <f>IFERROR(__xludf.DUMMYFUNCTION("""COMPUTED_VALUE"""),"0x7352017db953a41389d1b07f2773a50ad7c1ae87")</f>
        <v>0x7352017db953a41389d1b07f2773a50ad7c1ae87</v>
      </c>
      <c r="J3226" s="18">
        <v>9.838351341531009</v>
      </c>
      <c r="K3226" s="4">
        <v>122.9793917691376</v>
      </c>
      <c r="L3226" s="19">
        <v>1.2297939176913761E20</v>
      </c>
      <c r="M3226" s="20">
        <v>1.2297939176913762E19</v>
      </c>
    </row>
    <row r="3227">
      <c r="A3227" s="6"/>
      <c r="B3227" s="6"/>
      <c r="C3227" s="4"/>
      <c r="D3227" s="4">
        <v>48.3641275995966</v>
      </c>
      <c r="E3227" s="4" t="s">
        <v>4973</v>
      </c>
      <c r="F3227" s="4"/>
      <c r="G3227" s="4"/>
      <c r="H3227" s="4"/>
      <c r="I3227" s="4" t="str">
        <f>IFERROR(__xludf.DUMMYFUNCTION("""COMPUTED_VALUE"""),"0x14e5e50964feaf9e986451dccff7a884f677ed0d")</f>
        <v>0x14e5e50964feaf9e986451dccff7a884f677ed0d</v>
      </c>
      <c r="J3227" s="18">
        <v>19.3456510398386</v>
      </c>
      <c r="K3227" s="4">
        <v>241.8206379979825</v>
      </c>
      <c r="L3227" s="19">
        <v>2.4182063799798248E20</v>
      </c>
      <c r="M3227" s="20">
        <v>2.418206379979825E19</v>
      </c>
    </row>
    <row r="3228">
      <c r="A3228" s="6"/>
      <c r="B3228" s="6"/>
      <c r="C3228" s="4"/>
      <c r="D3228" s="4">
        <v>48.3641275995966</v>
      </c>
      <c r="E3228" s="4" t="s">
        <v>4974</v>
      </c>
      <c r="F3228" s="4"/>
      <c r="G3228" s="4"/>
      <c r="H3228" s="4"/>
      <c r="I3228" s="4" t="str">
        <f>IFERROR(__xludf.DUMMYFUNCTION("""COMPUTED_VALUE"""),"0xd9760310eb75f27bb0d3788cff919b84419dcfe7")</f>
        <v>0xd9760310eb75f27bb0d3788cff919b84419dcfe7</v>
      </c>
      <c r="J3228" s="18">
        <v>18.718926134556597</v>
      </c>
      <c r="K3228" s="4">
        <v>233.98657668195744</v>
      </c>
      <c r="L3228" s="19">
        <v>2.3398657668195746E20</v>
      </c>
      <c r="M3228" s="20">
        <v>2.3398657668195746E19</v>
      </c>
    </row>
    <row r="3229">
      <c r="A3229" s="6"/>
      <c r="B3229" s="6"/>
      <c r="C3229" s="4"/>
      <c r="D3229" s="4">
        <v>32.6724839237935</v>
      </c>
      <c r="E3229" s="4" t="s">
        <v>1743</v>
      </c>
      <c r="F3229" s="4"/>
      <c r="G3229" s="4"/>
      <c r="H3229" s="4"/>
      <c r="I3229" s="4" t="str">
        <f>IFERROR(__xludf.DUMMYFUNCTION("""COMPUTED_VALUE"""),"0x73bf7d44e051f32ce3e8fc33da1766f59cd63369")</f>
        <v>0x73bf7d44e051f32ce3e8fc33da1766f59cd63369</v>
      </c>
      <c r="J3229" s="18">
        <v>14.6553093268566</v>
      </c>
      <c r="K3229" s="4">
        <v>183.1913665857075</v>
      </c>
      <c r="L3229" s="19">
        <v>1.831913665857075E20</v>
      </c>
      <c r="M3229" s="20">
        <v>1.831913665857075E19</v>
      </c>
    </row>
    <row r="3230">
      <c r="A3230" s="6"/>
      <c r="B3230" s="6"/>
      <c r="C3230" s="4"/>
      <c r="D3230" s="4">
        <v>22.3938571960149</v>
      </c>
      <c r="E3230" s="4" t="s">
        <v>4976</v>
      </c>
      <c r="F3230" s="4"/>
      <c r="G3230" s="4"/>
      <c r="H3230" s="4"/>
      <c r="I3230" s="4" t="str">
        <f>IFERROR(__xludf.DUMMYFUNCTION("""COMPUTED_VALUE"""),"0x9070806e61f009fa96a0df6a17672c0f172b3c7f")</f>
        <v>0x9070806e61f009fa96a0df6a17672c0f172b3c7f</v>
      </c>
      <c r="J3230" s="18">
        <v>187.8547456039616</v>
      </c>
      <c r="K3230" s="4">
        <v>2348.18432004952</v>
      </c>
      <c r="L3230" s="19">
        <v>2.34818432004952E21</v>
      </c>
      <c r="M3230" s="20">
        <v>2.3481843200495203E20</v>
      </c>
    </row>
    <row r="3231">
      <c r="A3231" s="6"/>
      <c r="B3231" s="6"/>
      <c r="C3231" s="4"/>
      <c r="D3231" s="4">
        <v>15.9354604396127</v>
      </c>
      <c r="E3231" s="4" t="s">
        <v>4978</v>
      </c>
      <c r="F3231" s="4"/>
      <c r="G3231" s="4"/>
      <c r="H3231" s="4"/>
      <c r="I3231" s="4" t="str">
        <f>IFERROR(__xludf.DUMMYFUNCTION("""COMPUTED_VALUE"""),"0xa06eccefddae343b40a08647f2e1bfac6ea919ef")</f>
        <v>0xa06eccefddae343b40a08647f2e1bfac6ea919ef</v>
      </c>
      <c r="J3231" s="18">
        <v>8.61474952083482</v>
      </c>
      <c r="K3231" s="4">
        <v>107.68436901043525</v>
      </c>
      <c r="L3231" s="19">
        <v>1.0768436901043524E20</v>
      </c>
      <c r="M3231" s="20">
        <v>1.0768436901043526E19</v>
      </c>
    </row>
    <row r="3232">
      <c r="A3232" s="6"/>
      <c r="B3232" s="6"/>
      <c r="C3232" s="4"/>
      <c r="D3232" s="4">
        <v>6.958610112310461</v>
      </c>
      <c r="E3232" s="4" t="s">
        <v>4980</v>
      </c>
      <c r="F3232" s="4"/>
      <c r="G3232" s="4"/>
      <c r="H3232" s="4"/>
      <c r="I3232" s="4" t="str">
        <f>IFERROR(__xludf.DUMMYFUNCTION("""COMPUTED_VALUE"""),"0x7bf390ec0f5a292fd8961693d2f7e0b61f146f2c")</f>
        <v>0x7bf390ec0f5a292fd8961693d2f7e0b61f146f2c</v>
      </c>
      <c r="J3232" s="18">
        <v>9.90339989144122</v>
      </c>
      <c r="K3232" s="4">
        <v>123.79249864301525</v>
      </c>
      <c r="L3232" s="19">
        <v>1.2379249864301525E20</v>
      </c>
      <c r="M3232" s="20">
        <v>1.2379249864301527E19</v>
      </c>
    </row>
    <row r="3233">
      <c r="A3233" s="6"/>
      <c r="B3233" s="6"/>
      <c r="C3233" s="4"/>
      <c r="D3233" s="4">
        <v>48.3641275995966</v>
      </c>
      <c r="E3233" s="4" t="s">
        <v>4982</v>
      </c>
      <c r="F3233" s="4"/>
      <c r="G3233" s="4"/>
      <c r="H3233" s="4"/>
      <c r="I3233" s="4" t="str">
        <f>IFERROR(__xludf.DUMMYFUNCTION("""COMPUTED_VALUE"""),"0x5b2ff5bd49289213bf0235486638ce863d3a5690")</f>
        <v>0x5b2ff5bd49289213bf0235486638ce863d3a5690</v>
      </c>
      <c r="J3233" s="18">
        <v>25.1493463517902</v>
      </c>
      <c r="K3233" s="4">
        <v>314.3668293973775</v>
      </c>
      <c r="L3233" s="19">
        <v>3.143668293973775E20</v>
      </c>
      <c r="M3233" s="20">
        <v>3.143668293973775E19</v>
      </c>
    </row>
    <row r="3234">
      <c r="A3234" s="6"/>
      <c r="B3234" s="6"/>
      <c r="C3234" s="4"/>
      <c r="D3234" s="4">
        <v>9.672825519919328</v>
      </c>
      <c r="E3234" s="4" t="s">
        <v>4983</v>
      </c>
      <c r="F3234" s="4"/>
      <c r="G3234" s="4"/>
      <c r="H3234" s="4"/>
      <c r="I3234" s="4" t="str">
        <f>IFERROR(__xludf.DUMMYFUNCTION("""COMPUTED_VALUE"""),"0xd6d29de23e2b4f6b69650753c2b4518325b70732")</f>
        <v>0xd6d29de23e2b4f6b69650753c2b4518325b70732</v>
      </c>
      <c r="J3234" s="18">
        <v>6.30230286295326</v>
      </c>
      <c r="K3234" s="4">
        <v>78.77878578691575</v>
      </c>
      <c r="L3234" s="19">
        <v>7.877878578691575E19</v>
      </c>
      <c r="M3234" s="20">
        <v>7.877878578691576E18</v>
      </c>
    </row>
    <row r="3235">
      <c r="A3235" s="6"/>
      <c r="B3235" s="6"/>
      <c r="C3235" s="4"/>
      <c r="D3235" s="4">
        <v>30.3525915579721</v>
      </c>
      <c r="E3235" s="4" t="s">
        <v>4984</v>
      </c>
      <c r="F3235" s="4"/>
      <c r="G3235" s="4"/>
      <c r="H3235" s="4"/>
      <c r="I3235" s="4" t="str">
        <f>IFERROR(__xludf.DUMMYFUNCTION("""COMPUTED_VALUE"""),"0x4f4237f29cfc9d3916cfe87302cd1ab5ea6b92a7")</f>
        <v>0x4f4237f29cfc9d3916cfe87302cd1ab5ea6b92a7</v>
      </c>
      <c r="J3235" s="18">
        <v>48.3641275995966</v>
      </c>
      <c r="K3235" s="4">
        <v>604.5515949949574</v>
      </c>
      <c r="L3235" s="19">
        <v>6.045515949949574E20</v>
      </c>
      <c r="M3235" s="20">
        <v>6.045515949949574E19</v>
      </c>
    </row>
    <row r="3236">
      <c r="A3236" s="6"/>
      <c r="B3236" s="6"/>
      <c r="C3236" s="4"/>
      <c r="D3236" s="4">
        <v>9.869636241588001</v>
      </c>
      <c r="E3236" s="4" t="s">
        <v>4986</v>
      </c>
      <c r="F3236" s="4"/>
      <c r="G3236" s="4"/>
      <c r="H3236" s="4"/>
      <c r="I3236" s="4" t="str">
        <f>IFERROR(__xludf.DUMMYFUNCTION("""COMPUTED_VALUE"""),"0xb7d1d291745f01b67f92b4a115dd57b6558cdd7c")</f>
        <v>0xb7d1d291745f01b67f92b4a115dd57b6558cdd7c</v>
      </c>
      <c r="J3236" s="18">
        <v>3.8691302079677303</v>
      </c>
      <c r="K3236" s="4">
        <v>48.36412759959663</v>
      </c>
      <c r="L3236" s="19">
        <v>4.836412759959663E19</v>
      </c>
      <c r="M3236" s="20">
        <v>4.836412759959663E18</v>
      </c>
    </row>
    <row r="3237">
      <c r="A3237" s="6"/>
      <c r="B3237" s="6"/>
      <c r="C3237" s="4"/>
      <c r="D3237" s="4">
        <v>48.1629561649964</v>
      </c>
      <c r="E3237" s="4" t="s">
        <v>4988</v>
      </c>
      <c r="F3237" s="4"/>
      <c r="G3237" s="4"/>
      <c r="H3237" s="4"/>
      <c r="I3237" s="4" t="str">
        <f>IFERROR(__xludf.DUMMYFUNCTION("""COMPUTED_VALUE"""),"0x7e11b9e012f8ed4c13f5b9daf8e0ae664852695e")</f>
        <v>0x7e11b9e012f8ed4c13f5b9daf8e0ae664852695e</v>
      </c>
      <c r="J3237" s="18">
        <v>141.8264761502051</v>
      </c>
      <c r="K3237" s="4">
        <v>1772.8309518775638</v>
      </c>
      <c r="L3237" s="19">
        <v>1.772830951877564E21</v>
      </c>
      <c r="M3237" s="20">
        <v>1.7728309518775642E20</v>
      </c>
    </row>
    <row r="3238">
      <c r="A3238" s="6"/>
      <c r="B3238" s="6"/>
      <c r="C3238" s="4"/>
      <c r="D3238" s="4">
        <v>48.3641275995966</v>
      </c>
      <c r="E3238" s="4" t="s">
        <v>4990</v>
      </c>
      <c r="F3238" s="4"/>
      <c r="G3238" s="4"/>
      <c r="H3238" s="4"/>
      <c r="I3238" s="4" t="str">
        <f>IFERROR(__xludf.DUMMYFUNCTION("""COMPUTED_VALUE"""),"0xd7a4e549f528fe9d11f39ba605d1609d108c258b")</f>
        <v>0xd7a4e549f528fe9d11f39ba605d1609d108c258b</v>
      </c>
      <c r="J3238" s="18">
        <v>13.0063950045689</v>
      </c>
      <c r="K3238" s="4">
        <v>162.57993755711124</v>
      </c>
      <c r="L3238" s="19">
        <v>1.6257993755711124E20</v>
      </c>
      <c r="M3238" s="20">
        <v>1.6257993755711126E19</v>
      </c>
    </row>
    <row r="3239">
      <c r="A3239" s="6"/>
      <c r="B3239" s="6"/>
      <c r="C3239" s="4"/>
      <c r="D3239" s="4">
        <v>42.5470161649163</v>
      </c>
      <c r="E3239" s="4" t="s">
        <v>346</v>
      </c>
      <c r="F3239" s="4"/>
      <c r="G3239" s="4"/>
      <c r="H3239" s="4"/>
      <c r="I3239" s="4" t="str">
        <f>IFERROR(__xludf.DUMMYFUNCTION("""COMPUTED_VALUE"""),"0xc6b9817b7c1ee805c660f5fe2627ab4b6f26711d")</f>
        <v>0xc6b9817b7c1ee805c660f5fe2627ab4b6f26711d</v>
      </c>
      <c r="J3239" s="18">
        <v>34.4352588509128</v>
      </c>
      <c r="K3239" s="4">
        <v>430.44073563641</v>
      </c>
      <c r="L3239" s="19">
        <v>4.3044073563641E20</v>
      </c>
      <c r="M3239" s="20">
        <v>4.3044073563641E19</v>
      </c>
    </row>
    <row r="3240">
      <c r="A3240" s="6"/>
      <c r="B3240" s="6"/>
      <c r="C3240" s="4"/>
      <c r="D3240" s="4">
        <v>47.4551945565131</v>
      </c>
      <c r="E3240" s="4" t="s">
        <v>4992</v>
      </c>
      <c r="F3240" s="4"/>
      <c r="G3240" s="4"/>
      <c r="H3240" s="4"/>
      <c r="I3240" s="4" t="str">
        <f>IFERROR(__xludf.DUMMYFUNCTION("""COMPUTED_VALUE"""),"0xf1cf9db0e3ab16d00acf32b38bcbc664b9503758")</f>
        <v>0xf1cf9db0e3ab16d00acf32b38bcbc664b9503758</v>
      </c>
      <c r="J3240" s="18">
        <v>72.3675741616622</v>
      </c>
      <c r="K3240" s="4">
        <v>904.5946770207776</v>
      </c>
      <c r="L3240" s="19">
        <v>9.045946770207775E20</v>
      </c>
      <c r="M3240" s="20">
        <v>9.045946770207775E19</v>
      </c>
    </row>
    <row r="3241">
      <c r="A3241" s="6"/>
      <c r="B3241" s="6"/>
      <c r="C3241" s="4"/>
      <c r="D3241" s="4">
        <v>48.3641275995966</v>
      </c>
      <c r="E3241" s="4" t="s">
        <v>4994</v>
      </c>
      <c r="F3241" s="4"/>
      <c r="G3241" s="4"/>
      <c r="H3241" s="4"/>
      <c r="I3241" s="4" t="str">
        <f>IFERROR(__xludf.DUMMYFUNCTION("""COMPUTED_VALUE"""),"0xd9c3f79155d25f14b0088c9b326a8dd217d484be")</f>
        <v>0xd9c3f79155d25f14b0088c9b326a8dd217d484be</v>
      </c>
      <c r="J3241" s="18">
        <v>19.539107550237</v>
      </c>
      <c r="K3241" s="4">
        <v>244.23884437796247</v>
      </c>
      <c r="L3241" s="19">
        <v>2.4423884437796248E20</v>
      </c>
      <c r="M3241" s="20">
        <v>2.442388443779625E19</v>
      </c>
    </row>
    <row r="3242">
      <c r="A3242" s="6"/>
      <c r="B3242" s="6"/>
      <c r="C3242" s="4"/>
      <c r="D3242" s="4">
        <v>48.3641275995966</v>
      </c>
      <c r="E3242" s="4" t="s">
        <v>4995</v>
      </c>
      <c r="F3242" s="4"/>
      <c r="G3242" s="4"/>
      <c r="H3242" s="4"/>
      <c r="I3242" s="4" t="str">
        <f>IFERROR(__xludf.DUMMYFUNCTION("""COMPUTED_VALUE"""),"0x74265476a6b0726e78f252b33837fe5713807ce5")</f>
        <v>0x74265476a6b0726e78f252b33837fe5713807ce5</v>
      </c>
      <c r="J3242" s="18">
        <v>8.62408291939622</v>
      </c>
      <c r="K3242" s="4">
        <v>107.80103649245274</v>
      </c>
      <c r="L3242" s="19">
        <v>1.0780103649245274E20</v>
      </c>
      <c r="M3242" s="20">
        <v>1.0780103649245274E19</v>
      </c>
    </row>
    <row r="3243">
      <c r="A3243" s="6"/>
      <c r="B3243" s="6"/>
      <c r="C3243" s="4"/>
      <c r="D3243" s="4">
        <v>48.3641275995966</v>
      </c>
      <c r="E3243" s="4" t="s">
        <v>4996</v>
      </c>
      <c r="F3243" s="4"/>
      <c r="G3243" s="4"/>
      <c r="H3243" s="4"/>
      <c r="I3243" s="4" t="str">
        <f>IFERROR(__xludf.DUMMYFUNCTION("""COMPUTED_VALUE"""),"0x022c73a5a43f2d4f8bb904a1584de754846386fb")</f>
        <v>0x022c73a5a43f2d4f8bb904a1584de754846386fb</v>
      </c>
      <c r="J3243" s="18">
        <v>234.37608780709658</v>
      </c>
      <c r="K3243" s="4">
        <v>2929.7010975887074</v>
      </c>
      <c r="L3243" s="19">
        <v>2.9297010975887076E21</v>
      </c>
      <c r="M3243" s="20">
        <v>2.9297010975887078E20</v>
      </c>
    </row>
    <row r="3244">
      <c r="A3244" s="6"/>
      <c r="B3244" s="6"/>
      <c r="C3244" s="4"/>
      <c r="D3244" s="4">
        <v>10.2662663453374</v>
      </c>
      <c r="E3244" s="4" t="s">
        <v>4997</v>
      </c>
      <c r="F3244" s="4"/>
      <c r="G3244" s="4"/>
      <c r="H3244" s="4"/>
      <c r="I3244" s="4" t="str">
        <f>IFERROR(__xludf.DUMMYFUNCTION("""COMPUTED_VALUE"""),"0xeadbc4a32050b6dee4558a35befb2448eff84535")</f>
        <v>0xeadbc4a32050b6dee4558a35befb2448eff84535</v>
      </c>
      <c r="J3244" s="18">
        <v>4.58312705117017</v>
      </c>
      <c r="K3244" s="4">
        <v>57.28908813962712</v>
      </c>
      <c r="L3244" s="19">
        <v>5.728908813962712E19</v>
      </c>
      <c r="M3244" s="20">
        <v>5.728908813962712E18</v>
      </c>
    </row>
    <row r="3245">
      <c r="A3245" s="6"/>
      <c r="B3245" s="6"/>
      <c r="C3245" s="4"/>
      <c r="D3245" s="4">
        <v>34.0892354923397</v>
      </c>
      <c r="E3245" s="4" t="s">
        <v>4999</v>
      </c>
      <c r="F3245" s="4"/>
      <c r="G3245" s="4"/>
      <c r="H3245" s="4"/>
      <c r="I3245" s="4" t="str">
        <f>IFERROR(__xludf.DUMMYFUNCTION("""COMPUTED_VALUE"""),"0x099ebda9a7b4840bd04c85970c6cb4ca61b48d26")</f>
        <v>0x099ebda9a7b4840bd04c85970c6cb4ca61b48d26</v>
      </c>
      <c r="J3245" s="18">
        <v>51.89941440412069</v>
      </c>
      <c r="K3245" s="4">
        <v>648.7426800515086</v>
      </c>
      <c r="L3245" s="19">
        <v>6.487426800515086E20</v>
      </c>
      <c r="M3245" s="20">
        <v>6.487426800515086E19</v>
      </c>
    </row>
    <row r="3246">
      <c r="A3246" s="6"/>
      <c r="B3246" s="6"/>
      <c r="C3246" s="4"/>
      <c r="D3246" s="4">
        <v>48.3641275995966</v>
      </c>
      <c r="E3246" s="4" t="s">
        <v>5001</v>
      </c>
      <c r="F3246" s="4"/>
      <c r="G3246" s="4"/>
      <c r="H3246" s="4"/>
      <c r="I3246" s="4" t="str">
        <f>IFERROR(__xludf.DUMMYFUNCTION("""COMPUTED_VALUE"""),"0xa73806a87f747161e6055fe8a62a212f71c17cdc")</f>
        <v>0xa73806a87f747161e6055fe8a62a212f71c17cdc</v>
      </c>
      <c r="J3246" s="18">
        <v>25.7231845952229</v>
      </c>
      <c r="K3246" s="4">
        <v>321.53980744028627</v>
      </c>
      <c r="L3246" s="19">
        <v>3.2153980744028625E20</v>
      </c>
      <c r="M3246" s="20">
        <v>3.2153980744028627E19</v>
      </c>
    </row>
    <row r="3247">
      <c r="A3247" s="6"/>
      <c r="B3247" s="6"/>
      <c r="C3247" s="4"/>
      <c r="D3247" s="4">
        <v>48.3641275995966</v>
      </c>
      <c r="E3247" s="4" t="s">
        <v>5002</v>
      </c>
      <c r="F3247" s="4"/>
      <c r="G3247" s="4"/>
      <c r="H3247" s="4"/>
      <c r="I3247" s="4" t="str">
        <f>IFERROR(__xludf.DUMMYFUNCTION("""COMPUTED_VALUE"""),"0x6c135d1ed9748d483f9cbe7d2fcef8802b7b09de")</f>
        <v>0x6c135d1ed9748d483f9cbe7d2fcef8802b7b09de</v>
      </c>
      <c r="J3247" s="18">
        <v>48.3641275995966</v>
      </c>
      <c r="K3247" s="4">
        <v>604.5515949949574</v>
      </c>
      <c r="L3247" s="19">
        <v>6.045515949949574E20</v>
      </c>
      <c r="M3247" s="20">
        <v>6.045515949949574E19</v>
      </c>
    </row>
    <row r="3248">
      <c r="A3248" s="6"/>
      <c r="B3248" s="6"/>
      <c r="C3248" s="4"/>
      <c r="D3248" s="4">
        <v>41.5710693064796</v>
      </c>
      <c r="E3248" s="4" t="s">
        <v>5003</v>
      </c>
      <c r="F3248" s="4"/>
      <c r="G3248" s="4"/>
      <c r="H3248" s="4"/>
      <c r="I3248" s="4" t="str">
        <f>IFERROR(__xludf.DUMMYFUNCTION("""COMPUTED_VALUE"""),"0xb2648dbb919249ba99564d660a5eef4a3aae2845")</f>
        <v>0xb2648dbb919249ba99564d660a5eef4a3aae2845</v>
      </c>
      <c r="J3248" s="18">
        <v>48.3641275995966</v>
      </c>
      <c r="K3248" s="4">
        <v>604.5515949949574</v>
      </c>
      <c r="L3248" s="19">
        <v>6.045515949949574E20</v>
      </c>
      <c r="M3248" s="20">
        <v>6.045515949949574E19</v>
      </c>
    </row>
    <row r="3249">
      <c r="A3249" s="6"/>
      <c r="B3249" s="6"/>
      <c r="C3249" s="4"/>
      <c r="D3249" s="4">
        <v>15.4765208318709</v>
      </c>
      <c r="E3249" s="4" t="s">
        <v>5005</v>
      </c>
      <c r="F3249" s="4"/>
      <c r="G3249" s="4"/>
      <c r="H3249" s="4"/>
      <c r="I3249" s="4" t="str">
        <f>IFERROR(__xludf.DUMMYFUNCTION("""COMPUTED_VALUE"""),"0x505a0617101f5820d26d59e30884ee7ab22b575d")</f>
        <v>0x505a0617101f5820d26d59e30884ee7ab22b575d</v>
      </c>
      <c r="J3249" s="18">
        <v>18.97342353029437</v>
      </c>
      <c r="K3249" s="4">
        <v>237.16779412867962</v>
      </c>
      <c r="L3249" s="19">
        <v>2.3716779412867963E20</v>
      </c>
      <c r="M3249" s="20">
        <v>2.3716779412867965E19</v>
      </c>
    </row>
    <row r="3250">
      <c r="A3250" s="6"/>
      <c r="B3250" s="6"/>
      <c r="C3250" s="4"/>
      <c r="D3250" s="4">
        <v>19.3456510398386</v>
      </c>
      <c r="E3250" s="4" t="s">
        <v>5006</v>
      </c>
      <c r="F3250" s="4"/>
      <c r="G3250" s="4"/>
      <c r="H3250" s="4"/>
      <c r="I3250" s="4" t="str">
        <f>IFERROR(__xludf.DUMMYFUNCTION("""COMPUTED_VALUE"""),"0x7590ae93f561ee269a6342dd730af02135481536")</f>
        <v>0x7590ae93f561ee269a6342dd730af02135481536</v>
      </c>
      <c r="J3250" s="18">
        <v>9.71151682199901</v>
      </c>
      <c r="K3250" s="4">
        <v>121.39396027498763</v>
      </c>
      <c r="L3250" s="19">
        <v>1.2139396027498763E20</v>
      </c>
      <c r="M3250" s="20">
        <v>1.2139396027498764E19</v>
      </c>
    </row>
    <row r="3251">
      <c r="A3251" s="6"/>
      <c r="B3251" s="6"/>
      <c r="C3251" s="4"/>
      <c r="D3251" s="4">
        <v>48.3641275995966</v>
      </c>
      <c r="E3251" s="4" t="s">
        <v>5007</v>
      </c>
      <c r="F3251" s="4"/>
      <c r="G3251" s="4"/>
      <c r="H3251" s="4"/>
      <c r="I3251" s="4" t="str">
        <f>IFERROR(__xludf.DUMMYFUNCTION("""COMPUTED_VALUE"""),"0xc999e154f1efde7a26971f44fa4c173feebc21b3")</f>
        <v>0xc999e154f1efde7a26971f44fa4c173feebc21b3</v>
      </c>
      <c r="J3251" s="18">
        <v>113.4683136722219</v>
      </c>
      <c r="K3251" s="4">
        <v>1418.3539209027738</v>
      </c>
      <c r="L3251" s="19">
        <v>1.4183539209027739E21</v>
      </c>
      <c r="M3251" s="20">
        <v>1.418353920902774E20</v>
      </c>
    </row>
    <row r="3252">
      <c r="A3252" s="6"/>
      <c r="B3252" s="6"/>
      <c r="C3252" s="4"/>
      <c r="D3252" s="4">
        <v>48.3641275995966</v>
      </c>
      <c r="E3252" s="4" t="s">
        <v>5008</v>
      </c>
      <c r="F3252" s="4"/>
      <c r="G3252" s="4"/>
      <c r="H3252" s="4"/>
      <c r="I3252" s="4" t="str">
        <f>IFERROR(__xludf.DUMMYFUNCTION("""COMPUTED_VALUE"""),"0x6f05ba43673b5f9de00ba7d04ff4fb68d5152583")</f>
        <v>0x6f05ba43673b5f9de00ba7d04ff4fb68d5152583</v>
      </c>
      <c r="J3252" s="18">
        <v>38.7109272326208</v>
      </c>
      <c r="K3252" s="4">
        <v>483.88659040775997</v>
      </c>
      <c r="L3252" s="19">
        <v>4.8388659040775995E20</v>
      </c>
      <c r="M3252" s="20">
        <v>4.8388659040775995E19</v>
      </c>
    </row>
    <row r="3253">
      <c r="A3253" s="6"/>
      <c r="B3253" s="6"/>
      <c r="C3253" s="4"/>
      <c r="D3253" s="4">
        <v>0.193456510398386</v>
      </c>
      <c r="E3253" s="4" t="s">
        <v>5009</v>
      </c>
      <c r="F3253" s="4"/>
      <c r="G3253" s="4"/>
      <c r="H3253" s="4"/>
      <c r="I3253" s="4" t="str">
        <f>IFERROR(__xludf.DUMMYFUNCTION("""COMPUTED_VALUE"""),"0x381ed019a5ee2edd5596e2579cc9ef9ea99940f8")</f>
        <v>0x381ed019a5ee2edd5596e2579cc9ef9ea99940f8</v>
      </c>
      <c r="J3253" s="18">
        <v>1.8113443749294</v>
      </c>
      <c r="K3253" s="4">
        <v>22.6418046866175</v>
      </c>
      <c r="L3253" s="19">
        <v>2.26418046866175E19</v>
      </c>
      <c r="M3253" s="20">
        <v>2.2641804686617503E18</v>
      </c>
    </row>
    <row r="3254">
      <c r="A3254" s="6"/>
      <c r="B3254" s="6"/>
      <c r="C3254" s="4"/>
      <c r="D3254" s="4">
        <v>7.144582719671311</v>
      </c>
      <c r="E3254" s="4" t="s">
        <v>5010</v>
      </c>
      <c r="F3254" s="4"/>
      <c r="G3254" s="4"/>
      <c r="H3254" s="4"/>
      <c r="I3254" s="4" t="str">
        <f>IFERROR(__xludf.DUMMYFUNCTION("""COMPUTED_VALUE"""),"0xbdf7b90fcd8116be6425c324a4524443d5e0b0a9")</f>
        <v>0xbdf7b90fcd8116be6425c324a4524443d5e0b0a9</v>
      </c>
      <c r="J3254" s="18">
        <v>46.7486180029498</v>
      </c>
      <c r="K3254" s="4">
        <v>584.3577250368725</v>
      </c>
      <c r="L3254" s="19">
        <v>5.8435772503687247E20</v>
      </c>
      <c r="M3254" s="20">
        <v>5.843577250368725E19</v>
      </c>
    </row>
    <row r="3255">
      <c r="A3255" s="6"/>
      <c r="B3255" s="6"/>
      <c r="C3255" s="4"/>
      <c r="D3255" s="4">
        <v>41.944878377803995</v>
      </c>
      <c r="E3255" s="4" t="s">
        <v>5012</v>
      </c>
      <c r="F3255" s="4"/>
      <c r="G3255" s="4"/>
      <c r="H3255" s="4"/>
      <c r="I3255" s="4" t="str">
        <f>IFERROR(__xludf.DUMMYFUNCTION("""COMPUTED_VALUE"""),"0x84625bdf7006e1b228d8ebb82202b5152dc6a542")</f>
        <v>0x84625bdf7006e1b228d8ebb82202b5152dc6a542</v>
      </c>
      <c r="J3255" s="18">
        <v>52.59765084650011</v>
      </c>
      <c r="K3255" s="4">
        <v>657.4706355812514</v>
      </c>
      <c r="L3255" s="19">
        <v>6.574706355812514E20</v>
      </c>
      <c r="M3255" s="20">
        <v>6.574706355812514E19</v>
      </c>
    </row>
    <row r="3256">
      <c r="A3256" s="6"/>
      <c r="B3256" s="6"/>
      <c r="C3256" s="4"/>
      <c r="D3256" s="4">
        <v>48.3641275995966</v>
      </c>
      <c r="E3256" s="4" t="s">
        <v>5014</v>
      </c>
      <c r="F3256" s="4"/>
      <c r="G3256" s="4"/>
      <c r="H3256" s="4"/>
      <c r="I3256" s="4" t="str">
        <f>IFERROR(__xludf.DUMMYFUNCTION("""COMPUTED_VALUE"""),"0xc8fdaf6b389ce4d322c61c2c7396b409cf827b75")</f>
        <v>0xc8fdaf6b389ce4d322c61c2c7396b409cf827b75</v>
      </c>
      <c r="J3256" s="18">
        <v>57.66472560997164</v>
      </c>
      <c r="K3256" s="4">
        <v>720.8090701246455</v>
      </c>
      <c r="L3256" s="19">
        <v>7.208090701246455E20</v>
      </c>
      <c r="M3256" s="20">
        <v>7.208090701246455E19</v>
      </c>
    </row>
    <row r="3257">
      <c r="A3257" s="6"/>
      <c r="B3257" s="6"/>
      <c r="C3257" s="4"/>
      <c r="D3257" s="4">
        <v>4.27600958366376</v>
      </c>
      <c r="E3257" s="4" t="s">
        <v>5015</v>
      </c>
      <c r="F3257" s="4"/>
      <c r="G3257" s="4"/>
      <c r="H3257" s="4"/>
      <c r="I3257" s="4" t="str">
        <f>IFERROR(__xludf.DUMMYFUNCTION("""COMPUTED_VALUE"""),"0x5f8dde914a27fc368d7a91a6849da5e03e7fe1c7")</f>
        <v>0x5f8dde914a27fc368d7a91a6849da5e03e7fe1c7</v>
      </c>
      <c r="J3257" s="18">
        <v>57.66472560997164</v>
      </c>
      <c r="K3257" s="4">
        <v>720.8090701246455</v>
      </c>
      <c r="L3257" s="19">
        <v>7.208090701246455E20</v>
      </c>
      <c r="M3257" s="20">
        <v>7.208090701246455E19</v>
      </c>
    </row>
    <row r="3258">
      <c r="A3258" s="6"/>
      <c r="B3258" s="6"/>
      <c r="C3258" s="4"/>
      <c r="D3258" s="4">
        <v>48.3641275995966</v>
      </c>
      <c r="E3258" s="4" t="s">
        <v>1171</v>
      </c>
      <c r="F3258" s="4"/>
      <c r="G3258" s="4"/>
      <c r="H3258" s="4"/>
      <c r="I3258" s="4" t="str">
        <f>IFERROR(__xludf.DUMMYFUNCTION("""COMPUTED_VALUE"""),"0xc4b1bb0c1c8c29e234f1884b7787c7e14e1bc0a1")</f>
        <v>0xc4b1bb0c1c8c29e234f1884b7787c7e14e1bc0a1</v>
      </c>
      <c r="J3258" s="18">
        <v>166.9046419278456</v>
      </c>
      <c r="K3258" s="4">
        <v>2086.30802409807</v>
      </c>
      <c r="L3258" s="19">
        <v>2.08630802409807E21</v>
      </c>
      <c r="M3258" s="20">
        <v>2.0863080240980702E20</v>
      </c>
    </row>
    <row r="3259">
      <c r="A3259" s="6"/>
      <c r="B3259" s="6"/>
      <c r="C3259" s="4"/>
      <c r="D3259" s="4">
        <v>19.504556343033098</v>
      </c>
      <c r="E3259" s="4" t="s">
        <v>5017</v>
      </c>
      <c r="F3259" s="4"/>
      <c r="G3259" s="4"/>
      <c r="H3259" s="4"/>
      <c r="I3259" s="4" t="str">
        <f>IFERROR(__xludf.DUMMYFUNCTION("""COMPUTED_VALUE"""),"0xc9673d68c30d0beb6d11a8112cdf00bc6eccb98f")</f>
        <v>0xc9673d68c30d0beb6d11a8112cdf00bc6eccb98f</v>
      </c>
      <c r="J3259" s="18">
        <v>48.3641275995966</v>
      </c>
      <c r="K3259" s="4">
        <v>604.5515949949574</v>
      </c>
      <c r="L3259" s="19">
        <v>6.045515949949574E20</v>
      </c>
      <c r="M3259" s="20">
        <v>6.045515949949574E19</v>
      </c>
    </row>
    <row r="3260">
      <c r="A3260" s="6"/>
      <c r="B3260" s="6"/>
      <c r="C3260" s="4"/>
      <c r="D3260" s="4">
        <v>43.1698376639677</v>
      </c>
      <c r="E3260" s="4" t="s">
        <v>5019</v>
      </c>
      <c r="F3260" s="4"/>
      <c r="G3260" s="4"/>
      <c r="H3260" s="4"/>
      <c r="I3260" s="4" t="str">
        <f>IFERROR(__xludf.DUMMYFUNCTION("""COMPUTED_VALUE"""),"0x9f192acb2ec58374bddf1a2c9127267aa73f9495")</f>
        <v>0x9f192acb2ec58374bddf1a2c9127267aa73f9495</v>
      </c>
      <c r="J3260" s="18">
        <v>234.37608780709658</v>
      </c>
      <c r="K3260" s="4">
        <v>2929.7010975887074</v>
      </c>
      <c r="L3260" s="19">
        <v>2.9297010975887076E21</v>
      </c>
      <c r="M3260" s="20">
        <v>2.9297010975887078E20</v>
      </c>
    </row>
    <row r="3261">
      <c r="A3261" s="6"/>
      <c r="B3261" s="6"/>
      <c r="C3261" s="4"/>
      <c r="D3261" s="4">
        <v>22.8861111911216</v>
      </c>
      <c r="E3261" s="4" t="s">
        <v>5021</v>
      </c>
      <c r="F3261" s="4"/>
      <c r="G3261" s="4"/>
      <c r="H3261" s="4"/>
      <c r="I3261" s="4" t="str">
        <f>IFERROR(__xludf.DUMMYFUNCTION("""COMPUTED_VALUE"""),"0x3e8c87364716665b79401e6b59e0158d6e346eb2")</f>
        <v>0x3e8c87364716665b79401e6b59e0158d6e346eb2</v>
      </c>
      <c r="J3261" s="18">
        <v>6.46441546018395</v>
      </c>
      <c r="K3261" s="4">
        <v>80.80519325229938</v>
      </c>
      <c r="L3261" s="19">
        <v>8.080519325229937E19</v>
      </c>
      <c r="M3261" s="20">
        <v>8.080519325229938E18</v>
      </c>
    </row>
    <row r="3262">
      <c r="A3262" s="6"/>
      <c r="B3262" s="6"/>
      <c r="C3262" s="4"/>
      <c r="D3262" s="4">
        <v>48.3641275995966</v>
      </c>
      <c r="E3262" s="4" t="s">
        <v>5023</v>
      </c>
      <c r="F3262" s="4"/>
      <c r="G3262" s="4"/>
      <c r="H3262" s="4"/>
      <c r="I3262" s="4" t="str">
        <f>IFERROR(__xludf.DUMMYFUNCTION("""COMPUTED_VALUE"""),"0x59ad6907133ec46f538c4594f6c230411d830c77")</f>
        <v>0x59ad6907133ec46f538c4594f6c230411d830c77</v>
      </c>
      <c r="J3262" s="18">
        <v>34.8773380014068</v>
      </c>
      <c r="K3262" s="4">
        <v>435.96672501758496</v>
      </c>
      <c r="L3262" s="19">
        <v>4.35966725017585E20</v>
      </c>
      <c r="M3262" s="20">
        <v>4.35966725017585E19</v>
      </c>
    </row>
    <row r="3263">
      <c r="A3263" s="6"/>
      <c r="B3263" s="6"/>
      <c r="C3263" s="4"/>
      <c r="D3263" s="4">
        <v>48.3641275995966</v>
      </c>
      <c r="E3263" s="4" t="s">
        <v>5024</v>
      </c>
      <c r="F3263" s="4"/>
      <c r="G3263" s="4"/>
      <c r="H3263" s="4"/>
      <c r="I3263" s="4" t="str">
        <f>IFERROR(__xludf.DUMMYFUNCTION("""COMPUTED_VALUE"""),"0x011e00e5765d0d2d878c3da021f87e65422f54b0")</f>
        <v>0x011e00e5765d0d2d878c3da021f87e65422f54b0</v>
      </c>
      <c r="J3263" s="18">
        <v>9.68180869870939</v>
      </c>
      <c r="K3263" s="4">
        <v>121.02260873386736</v>
      </c>
      <c r="L3263" s="19">
        <v>1.2102260873386736E20</v>
      </c>
      <c r="M3263" s="20">
        <v>1.2102260873386738E19</v>
      </c>
    </row>
    <row r="3264">
      <c r="A3264" s="6"/>
      <c r="B3264" s="6"/>
      <c r="C3264" s="4"/>
      <c r="D3264" s="4">
        <v>32.6245253642743</v>
      </c>
      <c r="E3264" s="4" t="s">
        <v>5025</v>
      </c>
      <c r="F3264" s="4"/>
      <c r="G3264" s="4"/>
      <c r="H3264" s="4"/>
      <c r="I3264" s="4" t="str">
        <f>IFERROR(__xludf.DUMMYFUNCTION("""COMPUTED_VALUE"""),"0x06bcc67504e0050a529c93adf2cc87d824022086")</f>
        <v>0x06bcc67504e0050a529c93adf2cc87d824022086</v>
      </c>
      <c r="J3264" s="18">
        <v>6.84422396182995</v>
      </c>
      <c r="K3264" s="4">
        <v>85.55279952287438</v>
      </c>
      <c r="L3264" s="19">
        <v>8.555279952287438E19</v>
      </c>
      <c r="M3264" s="20">
        <v>8.555279952287438E18</v>
      </c>
    </row>
    <row r="3265">
      <c r="A3265" s="6"/>
      <c r="B3265" s="6"/>
      <c r="C3265" s="4"/>
      <c r="D3265" s="4">
        <v>47.936980097999395</v>
      </c>
      <c r="E3265" s="4" t="s">
        <v>5027</v>
      </c>
      <c r="F3265" s="4"/>
      <c r="G3265" s="4"/>
      <c r="H3265" s="4"/>
      <c r="I3265" s="4" t="str">
        <f>IFERROR(__xludf.DUMMYFUNCTION("""COMPUTED_VALUE"""),"0x94e1b677bd7f6996aa5e2ff2194d8a679184b7b5")</f>
        <v>0x94e1b677bd7f6996aa5e2ff2194d8a679184b7b5</v>
      </c>
      <c r="J3265" s="18">
        <v>29.3026485977692</v>
      </c>
      <c r="K3265" s="4">
        <v>366.283107472115</v>
      </c>
      <c r="L3265" s="19">
        <v>3.66283107472115E20</v>
      </c>
      <c r="M3265" s="20">
        <v>3.6628310747211497E19</v>
      </c>
    </row>
    <row r="3266">
      <c r="A3266" s="6"/>
      <c r="B3266" s="6"/>
      <c r="C3266" s="4"/>
      <c r="D3266" s="4">
        <v>10.033273690093601</v>
      </c>
      <c r="E3266" s="4" t="s">
        <v>5029</v>
      </c>
      <c r="F3266" s="4"/>
      <c r="G3266" s="4"/>
      <c r="H3266" s="4"/>
      <c r="I3266" s="4" t="str">
        <f>IFERROR(__xludf.DUMMYFUNCTION("""COMPUTED_VALUE"""),"0x463586c7886ed5360238d776a1f338e664faa057")</f>
        <v>0x463586c7886ed5360238d776a1f338e664faa057</v>
      </c>
      <c r="J3266" s="18">
        <v>48.3641275995966</v>
      </c>
      <c r="K3266" s="4">
        <v>604.5515949949574</v>
      </c>
      <c r="L3266" s="19">
        <v>6.045515949949574E20</v>
      </c>
      <c r="M3266" s="20">
        <v>6.045515949949574E19</v>
      </c>
    </row>
    <row r="3267">
      <c r="A3267" s="6"/>
      <c r="B3267" s="6"/>
      <c r="C3267" s="4"/>
      <c r="D3267" s="4">
        <v>48.3641275995966</v>
      </c>
      <c r="E3267" s="4" t="s">
        <v>5031</v>
      </c>
      <c r="F3267" s="4"/>
      <c r="G3267" s="4"/>
      <c r="H3267" s="4"/>
      <c r="I3267" s="4" t="str">
        <f>IFERROR(__xludf.DUMMYFUNCTION("""COMPUTED_VALUE"""),"0x17e2e32d58a35079443891b4662d6e4abefebcfc")</f>
        <v>0x17e2e32d58a35079443891b4662d6e4abefebcfc</v>
      </c>
      <c r="J3267" s="18">
        <v>9.76955377511852</v>
      </c>
      <c r="K3267" s="4">
        <v>122.1194221889815</v>
      </c>
      <c r="L3267" s="19">
        <v>1.221194221889815E20</v>
      </c>
      <c r="M3267" s="20">
        <v>1.2211942218898151E19</v>
      </c>
    </row>
    <row r="3268">
      <c r="A3268" s="6"/>
      <c r="B3268" s="6"/>
      <c r="C3268" s="4"/>
      <c r="D3268" s="4">
        <v>48.3641275995966</v>
      </c>
      <c r="E3268" s="4" t="s">
        <v>5032</v>
      </c>
      <c r="F3268" s="4"/>
      <c r="G3268" s="4"/>
      <c r="H3268" s="4"/>
      <c r="I3268" s="4" t="str">
        <f>IFERROR(__xludf.DUMMYFUNCTION("""COMPUTED_VALUE"""),"0xd1851db40bb0873344d51005e18fb2ddcd45237d")</f>
        <v>0xd1851db40bb0873344d51005e18fb2ddcd45237d</v>
      </c>
      <c r="J3268" s="18">
        <v>16.7412853248552</v>
      </c>
      <c r="K3268" s="4">
        <v>209.26606656068998</v>
      </c>
      <c r="L3268" s="19">
        <v>2.0926606656068996E20</v>
      </c>
      <c r="M3268" s="20">
        <v>2.0926606656068997E19</v>
      </c>
    </row>
    <row r="3269">
      <c r="A3269" s="6"/>
      <c r="B3269" s="6"/>
      <c r="C3269" s="4"/>
      <c r="D3269" s="4">
        <v>35.7846846075714</v>
      </c>
      <c r="E3269" s="4" t="s">
        <v>5033</v>
      </c>
      <c r="F3269" s="4"/>
      <c r="G3269" s="4"/>
      <c r="H3269" s="4"/>
      <c r="I3269" s="4" t="str">
        <f>IFERROR(__xludf.DUMMYFUNCTION("""COMPUTED_VALUE"""),"0xd18412d1276984e9b9881edecabd49a32f26c877")</f>
        <v>0xd18412d1276984e9b9881edecabd49a32f26c877</v>
      </c>
      <c r="J3269" s="18">
        <v>10.4234593502918</v>
      </c>
      <c r="K3269" s="4">
        <v>130.2932418786475</v>
      </c>
      <c r="L3269" s="19">
        <v>1.302932418786475E20</v>
      </c>
      <c r="M3269" s="20">
        <v>1.3029324187864752E19</v>
      </c>
    </row>
    <row r="3270">
      <c r="A3270" s="6"/>
      <c r="B3270" s="6"/>
      <c r="C3270" s="4"/>
      <c r="D3270" s="4">
        <v>3.1892415217776398</v>
      </c>
      <c r="E3270" s="4" t="s">
        <v>5035</v>
      </c>
      <c r="F3270" s="4"/>
      <c r="G3270" s="4"/>
      <c r="H3270" s="4"/>
      <c r="I3270" s="4" t="str">
        <f>IFERROR(__xludf.DUMMYFUNCTION("""COMPUTED_VALUE"""),"0x29107fe97a4e625c6c5c0ede8052f80c32cd27e6")</f>
        <v>0x29107fe97a4e625c6c5c0ede8052f80c32cd27e6</v>
      </c>
      <c r="J3270" s="18">
        <v>8.02174378165726</v>
      </c>
      <c r="K3270" s="4">
        <v>100.27179727071575</v>
      </c>
      <c r="L3270" s="19">
        <v>1.0027179727071574E20</v>
      </c>
      <c r="M3270" s="20">
        <v>1.0027179727071574E19</v>
      </c>
    </row>
    <row r="3271">
      <c r="A3271" s="6"/>
      <c r="B3271" s="6"/>
      <c r="C3271" s="4"/>
      <c r="D3271" s="4">
        <v>39.9591997394812</v>
      </c>
      <c r="E3271" s="4" t="s">
        <v>5037</v>
      </c>
      <c r="F3271" s="4"/>
      <c r="G3271" s="4"/>
      <c r="H3271" s="4"/>
      <c r="I3271" s="4" t="str">
        <f>IFERROR(__xludf.DUMMYFUNCTION("""COMPUTED_VALUE"""),"0xe05b02a527d8e16c7b2992d200faac2a37a63fc9")</f>
        <v>0xe05b02a527d8e16c7b2992d200faac2a37a63fc9</v>
      </c>
      <c r="J3271" s="18">
        <v>9.7645576231899</v>
      </c>
      <c r="K3271" s="4">
        <v>122.05697028987375</v>
      </c>
      <c r="L3271" s="19">
        <v>1.2205697028987375E20</v>
      </c>
      <c r="M3271" s="20">
        <v>1.2205697028987376E19</v>
      </c>
    </row>
    <row r="3272">
      <c r="A3272" s="6"/>
      <c r="B3272" s="6"/>
      <c r="C3272" s="4"/>
      <c r="D3272" s="4">
        <v>19.3456510398386</v>
      </c>
      <c r="E3272" s="4" t="s">
        <v>5039</v>
      </c>
      <c r="F3272" s="4"/>
      <c r="G3272" s="4"/>
      <c r="H3272" s="4"/>
      <c r="I3272" s="4" t="str">
        <f>IFERROR(__xludf.DUMMYFUNCTION("""COMPUTED_VALUE"""),"0x70f308afd333eae9f78b9df48aac828dbcef153c")</f>
        <v>0x70f308afd333eae9f78b9df48aac828dbcef153c</v>
      </c>
      <c r="J3272" s="18">
        <v>4.94694595743473</v>
      </c>
      <c r="K3272" s="4">
        <v>61.83682446793412</v>
      </c>
      <c r="L3272" s="19">
        <v>6.183682446793412E19</v>
      </c>
      <c r="M3272" s="20">
        <v>6.183682446793413E18</v>
      </c>
    </row>
    <row r="3273">
      <c r="A3273" s="6"/>
      <c r="B3273" s="6"/>
      <c r="C3273" s="4"/>
      <c r="D3273" s="4">
        <v>2.19910299076198</v>
      </c>
      <c r="E3273" s="4" t="s">
        <v>5040</v>
      </c>
      <c r="F3273" s="4"/>
      <c r="G3273" s="4"/>
      <c r="H3273" s="4"/>
      <c r="I3273" s="4" t="str">
        <f>IFERROR(__xludf.DUMMYFUNCTION("""COMPUTED_VALUE"""),"0x57ccf5e6fb8cb08ac22820b1200217b174fc1c95")</f>
        <v>0x57ccf5e6fb8cb08ac22820b1200217b174fc1c95</v>
      </c>
      <c r="J3273" s="18">
        <v>88.508702361009</v>
      </c>
      <c r="K3273" s="4">
        <v>1106.3587795126125</v>
      </c>
      <c r="L3273" s="19">
        <v>1.1063587795126125E21</v>
      </c>
      <c r="M3273" s="20">
        <v>1.1063587795126125E20</v>
      </c>
    </row>
    <row r="3274">
      <c r="A3274" s="6"/>
      <c r="B3274" s="6"/>
      <c r="C3274" s="4"/>
      <c r="D3274" s="4">
        <v>48.3641275995966</v>
      </c>
      <c r="E3274" s="4" t="s">
        <v>5042</v>
      </c>
      <c r="F3274" s="4"/>
      <c r="G3274" s="4"/>
      <c r="H3274" s="4"/>
      <c r="I3274" s="4" t="str">
        <f>IFERROR(__xludf.DUMMYFUNCTION("""COMPUTED_VALUE"""),"0xaa73a7ee0c54f771791ffaf474254552e8aaaf6d")</f>
        <v>0xaa73a7ee0c54f771791ffaf474254552e8aaaf6d</v>
      </c>
      <c r="J3274" s="18">
        <v>9.731276842761789</v>
      </c>
      <c r="K3274" s="4">
        <v>121.64096053452235</v>
      </c>
      <c r="L3274" s="19">
        <v>1.2164096053452235E20</v>
      </c>
      <c r="M3274" s="20">
        <v>1.2164096053452235E19</v>
      </c>
    </row>
    <row r="3275">
      <c r="A3275" s="6"/>
      <c r="B3275" s="6"/>
      <c r="C3275" s="4"/>
      <c r="D3275" s="4">
        <v>48.3641275995966</v>
      </c>
      <c r="E3275" s="4" t="s">
        <v>5043</v>
      </c>
      <c r="F3275" s="4"/>
      <c r="G3275" s="4"/>
      <c r="H3275" s="4"/>
      <c r="I3275" s="4" t="str">
        <f>IFERROR(__xludf.DUMMYFUNCTION("""COMPUTED_VALUE"""),"0xffeb3f663b2983e3f231e079d1b69f1247539bc4")</f>
        <v>0xffeb3f663b2983e3f231e079d1b69f1247539bc4</v>
      </c>
      <c r="J3275" s="18">
        <v>48.3641275995966</v>
      </c>
      <c r="K3275" s="4">
        <v>604.5515949949574</v>
      </c>
      <c r="L3275" s="19">
        <v>6.045515949949574E20</v>
      </c>
      <c r="M3275" s="20">
        <v>6.045515949949574E19</v>
      </c>
    </row>
    <row r="3276">
      <c r="A3276" s="6"/>
      <c r="B3276" s="6"/>
      <c r="C3276" s="4"/>
      <c r="D3276" s="4">
        <v>47.5903015580031</v>
      </c>
      <c r="E3276" s="4" t="s">
        <v>5044</v>
      </c>
      <c r="F3276" s="4"/>
      <c r="G3276" s="4"/>
      <c r="H3276" s="4"/>
      <c r="I3276" s="4" t="str">
        <f>IFERROR(__xludf.DUMMYFUNCTION("""COMPUTED_VALUE"""),"0x3df58fda18ff4cee1c8dd1779eccd9776367b2f5")</f>
        <v>0x3df58fda18ff4cee1c8dd1779eccd9776367b2f5</v>
      </c>
      <c r="J3276" s="18">
        <v>57.66472560997164</v>
      </c>
      <c r="K3276" s="4">
        <v>720.8090701246455</v>
      </c>
      <c r="L3276" s="19">
        <v>7.208090701246455E20</v>
      </c>
      <c r="M3276" s="20">
        <v>7.208090701246455E19</v>
      </c>
    </row>
    <row r="3277">
      <c r="A3277" s="6"/>
      <c r="B3277" s="6"/>
      <c r="C3277" s="4"/>
      <c r="D3277" s="4">
        <v>48.3641275995966</v>
      </c>
      <c r="E3277" s="4" t="s">
        <v>5046</v>
      </c>
      <c r="F3277" s="4"/>
      <c r="G3277" s="4"/>
      <c r="H3277" s="4"/>
      <c r="I3277" s="4" t="str">
        <f>IFERROR(__xludf.DUMMYFUNCTION("""COMPUTED_VALUE"""),"0xbfedb49b7e15a097eef5549b4b9070dc2d2e83ac")</f>
        <v>0xbfedb49b7e15a097eef5549b4b9070dc2d2e83ac</v>
      </c>
      <c r="J3277" s="18">
        <v>48.3641275995966</v>
      </c>
      <c r="K3277" s="4">
        <v>604.5515949949574</v>
      </c>
      <c r="L3277" s="19">
        <v>6.045515949949574E20</v>
      </c>
      <c r="M3277" s="20">
        <v>6.045515949949574E19</v>
      </c>
    </row>
    <row r="3278">
      <c r="A3278" s="6"/>
      <c r="B3278" s="6"/>
      <c r="C3278" s="4"/>
      <c r="D3278" s="4">
        <v>42.138013357333506</v>
      </c>
      <c r="E3278" s="4" t="s">
        <v>5047</v>
      </c>
      <c r="F3278" s="4"/>
      <c r="G3278" s="4"/>
      <c r="H3278" s="4"/>
      <c r="I3278" s="4" t="str">
        <f>IFERROR(__xludf.DUMMYFUNCTION("""COMPUTED_VALUE"""),"0x57fbf190abfb204046140370aa3ed87e8934cbbb")</f>
        <v>0x57fbf190abfb204046140370aa3ed87e8934cbbb</v>
      </c>
      <c r="J3278" s="18">
        <v>114.7532842933353</v>
      </c>
      <c r="K3278" s="4">
        <v>1434.4160536666911</v>
      </c>
      <c r="L3278" s="19">
        <v>1.4344160536666912E21</v>
      </c>
      <c r="M3278" s="20">
        <v>1.4344160536666912E20</v>
      </c>
    </row>
    <row r="3279">
      <c r="A3279" s="6"/>
      <c r="B3279" s="6"/>
      <c r="C3279" s="4"/>
      <c r="D3279" s="4">
        <v>47.1561144972486</v>
      </c>
      <c r="E3279" s="4" t="s">
        <v>5049</v>
      </c>
      <c r="F3279" s="4"/>
      <c r="G3279" s="4"/>
      <c r="H3279" s="4"/>
      <c r="I3279" s="4" t="str">
        <f>IFERROR(__xludf.DUMMYFUNCTION("""COMPUTED_VALUE"""),"0x428795a32cbd5c431fed3ddcc9ca2afcb31b8b84")</f>
        <v>0x428795a32cbd5c431fed3ddcc9ca2afcb31b8b84</v>
      </c>
      <c r="J3279" s="18">
        <v>27.1871859776529</v>
      </c>
      <c r="K3279" s="4">
        <v>339.8398247206612</v>
      </c>
      <c r="L3279" s="19">
        <v>3.3983982472066125E20</v>
      </c>
      <c r="M3279" s="20">
        <v>3.3983982472066126E19</v>
      </c>
    </row>
    <row r="3280">
      <c r="A3280" s="6"/>
      <c r="B3280" s="6"/>
      <c r="C3280" s="4"/>
      <c r="D3280" s="4">
        <v>11.7211172149072</v>
      </c>
      <c r="E3280" s="4" t="s">
        <v>5051</v>
      </c>
      <c r="F3280" s="4"/>
      <c r="G3280" s="4"/>
      <c r="H3280" s="4"/>
      <c r="I3280" s="4" t="str">
        <f>IFERROR(__xludf.DUMMYFUNCTION("""COMPUTED_VALUE"""),"0x729c7b211cd3a4ec2e93fc6ffbfc7f53ae75fa42")</f>
        <v>0x729c7b211cd3a4ec2e93fc6ffbfc7f53ae75fa42</v>
      </c>
      <c r="J3280" s="18">
        <v>10.908291317738</v>
      </c>
      <c r="K3280" s="4">
        <v>136.35364147172498</v>
      </c>
      <c r="L3280" s="19">
        <v>1.3635364147172498E20</v>
      </c>
      <c r="M3280" s="20">
        <v>1.36353641471725E19</v>
      </c>
    </row>
    <row r="3281">
      <c r="A3281" s="6"/>
      <c r="B3281" s="6"/>
      <c r="C3281" s="4"/>
      <c r="D3281" s="4">
        <v>9.672825519919328</v>
      </c>
      <c r="E3281" s="4" t="s">
        <v>5053</v>
      </c>
      <c r="F3281" s="4"/>
      <c r="G3281" s="4"/>
      <c r="H3281" s="4"/>
      <c r="I3281" s="4" t="str">
        <f>IFERROR(__xludf.DUMMYFUNCTION("""COMPUTED_VALUE"""),"0xa1c17f4385d648e9a164a7758b54e529c9e225d8")</f>
        <v>0xa1c17f4385d648e9a164a7758b54e529c9e225d8</v>
      </c>
      <c r="J3281" s="18">
        <v>13.069737743987401</v>
      </c>
      <c r="K3281" s="4">
        <v>163.3717217998425</v>
      </c>
      <c r="L3281" s="19">
        <v>1.633717217998425E20</v>
      </c>
      <c r="M3281" s="20">
        <v>1.633717217998425E19</v>
      </c>
    </row>
    <row r="3282">
      <c r="A3282" s="6"/>
      <c r="B3282" s="6"/>
      <c r="C3282" s="4"/>
      <c r="D3282" s="4">
        <v>48.3641275995966</v>
      </c>
      <c r="E3282" s="4" t="s">
        <v>5054</v>
      </c>
      <c r="F3282" s="4"/>
      <c r="G3282" s="4"/>
      <c r="H3282" s="4"/>
      <c r="I3282" s="4" t="str">
        <f>IFERROR(__xludf.DUMMYFUNCTION("""COMPUTED_VALUE"""),"0x63f0d259f74c839a566f04b1aa40395a7d564177")</f>
        <v>0x63f0d259f74c839a566f04b1aa40395a7d564177</v>
      </c>
      <c r="J3282" s="18">
        <v>14.1279961278905</v>
      </c>
      <c r="K3282" s="4">
        <v>176.59995159863124</v>
      </c>
      <c r="L3282" s="19">
        <v>1.7659995159863122E20</v>
      </c>
      <c r="M3282" s="20">
        <v>1.7659995159863124E19</v>
      </c>
    </row>
    <row r="3283">
      <c r="A3283" s="6"/>
      <c r="B3283" s="6"/>
      <c r="C3283" s="4"/>
      <c r="D3283" s="4">
        <v>48.3641275995966</v>
      </c>
      <c r="E3283" s="4" t="s">
        <v>5055</v>
      </c>
      <c r="F3283" s="4"/>
      <c r="G3283" s="4"/>
      <c r="H3283" s="4"/>
      <c r="I3283" s="4" t="str">
        <f>IFERROR(__xludf.DUMMYFUNCTION("""COMPUTED_VALUE"""),"0x62977a1f4d510929ac52909134f838e0f840780c")</f>
        <v>0x62977a1f4d510929ac52909134f838e0f840780c</v>
      </c>
      <c r="J3283" s="18">
        <v>48.3641275995966</v>
      </c>
      <c r="K3283" s="4">
        <v>604.5515949949574</v>
      </c>
      <c r="L3283" s="19">
        <v>6.045515949949574E20</v>
      </c>
      <c r="M3283" s="20">
        <v>6.045515949949574E19</v>
      </c>
    </row>
    <row r="3284">
      <c r="A3284" s="6"/>
      <c r="B3284" s="6"/>
      <c r="C3284" s="4"/>
      <c r="D3284" s="4">
        <v>48.3641275995966</v>
      </c>
      <c r="E3284" s="4" t="s">
        <v>5056</v>
      </c>
      <c r="F3284" s="4"/>
      <c r="G3284" s="4"/>
      <c r="H3284" s="4"/>
      <c r="I3284" s="4" t="str">
        <f>IFERROR(__xludf.DUMMYFUNCTION("""COMPUTED_VALUE"""),"0xa5c3339ec7b653dd808ccc1b421a619cdad3da47")</f>
        <v>0xa5c3339ec7b653dd808ccc1b421a619cdad3da47</v>
      </c>
      <c r="J3284" s="18">
        <v>48.3641275995966</v>
      </c>
      <c r="K3284" s="4">
        <v>604.5515949949574</v>
      </c>
      <c r="L3284" s="19">
        <v>6.045515949949574E20</v>
      </c>
      <c r="M3284" s="20">
        <v>6.045515949949574E19</v>
      </c>
    </row>
    <row r="3285">
      <c r="A3285" s="6"/>
      <c r="B3285" s="6"/>
      <c r="C3285" s="4"/>
      <c r="D3285" s="4">
        <v>0.187896922511799</v>
      </c>
      <c r="E3285" s="4" t="s">
        <v>5057</v>
      </c>
      <c r="F3285" s="4"/>
      <c r="G3285" s="4"/>
      <c r="H3285" s="4"/>
      <c r="I3285" s="4" t="str">
        <f>IFERROR(__xludf.DUMMYFUNCTION("""COMPUTED_VALUE"""),"0x9d226f4e67a0d3019e1e6d075d48c241e52065a4")</f>
        <v>0x9d226f4e67a0d3019e1e6d075d48c241e52065a4</v>
      </c>
      <c r="J3285" s="18">
        <v>114.1564947661166</v>
      </c>
      <c r="K3285" s="4">
        <v>1426.9561845764574</v>
      </c>
      <c r="L3285" s="19">
        <v>1.4269561845764574E21</v>
      </c>
      <c r="M3285" s="20">
        <v>1.4269561845764574E20</v>
      </c>
    </row>
    <row r="3286">
      <c r="A3286" s="6"/>
      <c r="B3286" s="6"/>
      <c r="C3286" s="4"/>
      <c r="D3286" s="4">
        <v>9.672825519919328</v>
      </c>
      <c r="E3286" s="4" t="s">
        <v>5059</v>
      </c>
      <c r="F3286" s="4"/>
      <c r="G3286" s="4"/>
      <c r="H3286" s="4"/>
      <c r="I3286" s="4" t="str">
        <f>IFERROR(__xludf.DUMMYFUNCTION("""COMPUTED_VALUE"""),"0x48457be3957f084b5dc8e504356dd0c1760411d9")</f>
        <v>0x48457be3957f084b5dc8e504356dd0c1760411d9</v>
      </c>
      <c r="J3286" s="18">
        <v>163.6427639015376</v>
      </c>
      <c r="K3286" s="4">
        <v>2045.5345487692198</v>
      </c>
      <c r="L3286" s="19">
        <v>2.0455345487692198E21</v>
      </c>
      <c r="M3286" s="20">
        <v>2.04553454876922E20</v>
      </c>
    </row>
    <row r="3287">
      <c r="A3287" s="6"/>
      <c r="B3287" s="6"/>
      <c r="C3287" s="4"/>
      <c r="D3287" s="4">
        <v>8.16439230322786</v>
      </c>
      <c r="E3287" s="4" t="s">
        <v>5060</v>
      </c>
      <c r="F3287" s="4"/>
      <c r="G3287" s="4"/>
      <c r="H3287" s="4"/>
      <c r="I3287" s="4" t="str">
        <f>IFERROR(__xludf.DUMMYFUNCTION("""COMPUTED_VALUE"""),"0xe9015583c8cfc67a00dbebb28b089b820aabaabc")</f>
        <v>0xe9015583c8cfc67a00dbebb28b089b820aabaabc</v>
      </c>
      <c r="J3287" s="18">
        <v>9.672825519919328</v>
      </c>
      <c r="K3287" s="4">
        <v>120.9103189989916</v>
      </c>
      <c r="L3287" s="19">
        <v>1.209103189989916E20</v>
      </c>
      <c r="M3287" s="20">
        <v>1.209103189989916E19</v>
      </c>
    </row>
    <row r="3288">
      <c r="A3288" s="6"/>
      <c r="B3288" s="6"/>
      <c r="C3288" s="4"/>
      <c r="D3288" s="4">
        <v>9.672825519919328</v>
      </c>
      <c r="E3288" s="4" t="s">
        <v>5062</v>
      </c>
      <c r="F3288" s="4"/>
      <c r="G3288" s="4"/>
      <c r="H3288" s="4"/>
      <c r="I3288" s="4" t="str">
        <f>IFERROR(__xludf.DUMMYFUNCTION("""COMPUTED_VALUE"""),"0xa749d635b774f8366b0b9cde970edaf828ae57bb")</f>
        <v>0xa749d635b774f8366b0b9cde970edaf828ae57bb</v>
      </c>
      <c r="J3288" s="18">
        <v>33.3082271288552</v>
      </c>
      <c r="K3288" s="4">
        <v>416.35283911069</v>
      </c>
      <c r="L3288" s="19">
        <v>4.1635283911069E20</v>
      </c>
      <c r="M3288" s="20">
        <v>4.1635283911069E19</v>
      </c>
    </row>
    <row r="3289">
      <c r="A3289" s="6"/>
      <c r="B3289" s="6"/>
      <c r="C3289" s="4"/>
      <c r="D3289" s="4">
        <v>48.3641275995966</v>
      </c>
      <c r="E3289" s="4" t="s">
        <v>5063</v>
      </c>
      <c r="F3289" s="4"/>
      <c r="G3289" s="4"/>
      <c r="H3289" s="4"/>
      <c r="I3289" s="4" t="str">
        <f>IFERROR(__xludf.DUMMYFUNCTION("""COMPUTED_VALUE"""),"0x0a1c6f1638adbe3873c7e8dad6c0e3b08285ba07")</f>
        <v>0x0a1c6f1638adbe3873c7e8dad6c0e3b08285ba07</v>
      </c>
      <c r="J3289" s="18">
        <v>132.4516578360971</v>
      </c>
      <c r="K3289" s="4">
        <v>1655.6457229512137</v>
      </c>
      <c r="L3289" s="19">
        <v>1.6556457229512136E21</v>
      </c>
      <c r="M3289" s="20">
        <v>1.6556457229512137E20</v>
      </c>
    </row>
    <row r="3290">
      <c r="A3290" s="6"/>
      <c r="B3290" s="6"/>
      <c r="C3290" s="4"/>
      <c r="D3290" s="4">
        <v>48.3641275995966</v>
      </c>
      <c r="E3290" s="4" t="s">
        <v>5064</v>
      </c>
      <c r="F3290" s="4"/>
      <c r="G3290" s="4"/>
      <c r="H3290" s="4"/>
      <c r="I3290" s="4" t="str">
        <f>IFERROR(__xludf.DUMMYFUNCTION("""COMPUTED_VALUE"""),"0x2035f3fb95080b4922964371133eba1fe7d4cb2b")</f>
        <v>0x2035f3fb95080b4922964371133eba1fe7d4cb2b</v>
      </c>
      <c r="J3290" s="18">
        <v>10.059738540716099</v>
      </c>
      <c r="K3290" s="4">
        <v>125.74673175895123</v>
      </c>
      <c r="L3290" s="19">
        <v>1.2574673175895124E20</v>
      </c>
      <c r="M3290" s="20">
        <v>1.2574673175895124E19</v>
      </c>
    </row>
    <row r="3291">
      <c r="A3291" s="6"/>
      <c r="B3291" s="6"/>
      <c r="C3291" s="4"/>
      <c r="D3291" s="4">
        <v>12.816462903609999</v>
      </c>
      <c r="E3291" s="4" t="s">
        <v>5065</v>
      </c>
      <c r="F3291" s="4"/>
      <c r="G3291" s="4"/>
      <c r="H3291" s="4"/>
      <c r="I3291" s="4" t="str">
        <f>IFERROR(__xludf.DUMMYFUNCTION("""COMPUTED_VALUE"""),"0x6dab2676215c09d9465819152e14444c40bf8137")</f>
        <v>0x6dab2676215c09d9465819152e14444c40bf8137</v>
      </c>
      <c r="J3291" s="18">
        <v>19.4859208969596</v>
      </c>
      <c r="K3291" s="4">
        <v>243.57401121199499</v>
      </c>
      <c r="L3291" s="19">
        <v>2.43574011211995E20</v>
      </c>
      <c r="M3291" s="20">
        <v>2.43574011211995E19</v>
      </c>
    </row>
    <row r="3292">
      <c r="A3292" s="6"/>
      <c r="B3292" s="6"/>
      <c r="C3292" s="4"/>
      <c r="D3292" s="4">
        <v>35.5810297631941</v>
      </c>
      <c r="E3292" s="4" t="s">
        <v>5067</v>
      </c>
      <c r="F3292" s="4"/>
      <c r="G3292" s="4"/>
      <c r="H3292" s="4"/>
      <c r="I3292" s="4" t="str">
        <f>IFERROR(__xludf.DUMMYFUNCTION("""COMPUTED_VALUE"""),"0x3d319ad11b62a7e178f835734e10643962a18e8a")</f>
        <v>0x3d319ad11b62a7e178f835734e10643962a18e8a</v>
      </c>
      <c r="J3292" s="18">
        <v>29.1702041895919</v>
      </c>
      <c r="K3292" s="4">
        <v>364.62755236989875</v>
      </c>
      <c r="L3292" s="19">
        <v>3.6462755236989875E20</v>
      </c>
      <c r="M3292" s="20">
        <v>3.646275523698988E19</v>
      </c>
    </row>
    <row r="3293">
      <c r="A3293" s="6"/>
      <c r="B3293" s="6"/>
      <c r="C3293" s="4"/>
      <c r="D3293" s="4">
        <v>8.93801076672677</v>
      </c>
      <c r="E3293" s="4" t="s">
        <v>5069</v>
      </c>
      <c r="F3293" s="4"/>
      <c r="G3293" s="4"/>
      <c r="H3293" s="4"/>
      <c r="I3293" s="4" t="str">
        <f>IFERROR(__xludf.DUMMYFUNCTION("""COMPUTED_VALUE"""),"0x8eb5ec9ccd4f1c091c947cfd7682bc48c72adcfe")</f>
        <v>0x8eb5ec9ccd4f1c091c947cfd7682bc48c72adcfe</v>
      </c>
      <c r="J3293" s="18">
        <v>48.3641275995966</v>
      </c>
      <c r="K3293" s="4">
        <v>604.5515949949574</v>
      </c>
      <c r="L3293" s="19">
        <v>6.045515949949574E20</v>
      </c>
      <c r="M3293" s="20">
        <v>6.045515949949574E19</v>
      </c>
    </row>
    <row r="3294">
      <c r="A3294" s="6"/>
      <c r="B3294" s="6"/>
      <c r="C3294" s="4"/>
      <c r="D3294" s="4">
        <v>8.96916846816413</v>
      </c>
      <c r="E3294" s="4" t="s">
        <v>5071</v>
      </c>
      <c r="F3294" s="4"/>
      <c r="G3294" s="4"/>
      <c r="H3294" s="4"/>
      <c r="I3294" s="4" t="str">
        <f>IFERROR(__xludf.DUMMYFUNCTION("""COMPUTED_VALUE"""),"0x2daffeddb402a9ab6009c7413abdcf8566f64bac")</f>
        <v>0x2daffeddb402a9ab6009c7413abdcf8566f64bac</v>
      </c>
      <c r="J3294" s="18">
        <v>48.3641275995966</v>
      </c>
      <c r="K3294" s="4">
        <v>604.5515949949574</v>
      </c>
      <c r="L3294" s="19">
        <v>6.045515949949574E20</v>
      </c>
      <c r="M3294" s="20">
        <v>6.045515949949574E19</v>
      </c>
    </row>
    <row r="3295">
      <c r="A3295" s="6"/>
      <c r="B3295" s="6"/>
      <c r="C3295" s="4"/>
      <c r="D3295" s="4">
        <v>48.3641275995966</v>
      </c>
      <c r="E3295" s="4" t="s">
        <v>5073</v>
      </c>
      <c r="F3295" s="4"/>
      <c r="G3295" s="4"/>
      <c r="H3295" s="4"/>
      <c r="I3295" s="4" t="str">
        <f>IFERROR(__xludf.DUMMYFUNCTION("""COMPUTED_VALUE"""),"0xa339ba9a5344a88faf96b8916664abdef32aa199")</f>
        <v>0xa339ba9a5344a88faf96b8916664abdef32aa199</v>
      </c>
      <c r="J3295" s="18">
        <v>19.3456510398386</v>
      </c>
      <c r="K3295" s="4">
        <v>241.8206379979825</v>
      </c>
      <c r="L3295" s="19">
        <v>2.4182063799798248E20</v>
      </c>
      <c r="M3295" s="20">
        <v>2.418206379979825E19</v>
      </c>
    </row>
    <row r="3296">
      <c r="A3296" s="6"/>
      <c r="B3296" s="6"/>
      <c r="C3296" s="4"/>
      <c r="D3296" s="4">
        <v>48.3641275995966</v>
      </c>
      <c r="E3296" s="4" t="s">
        <v>5074</v>
      </c>
      <c r="F3296" s="4"/>
      <c r="G3296" s="4"/>
      <c r="H3296" s="4"/>
      <c r="I3296" s="4" t="str">
        <f>IFERROR(__xludf.DUMMYFUNCTION("""COMPUTED_VALUE"""),"0x8bcd15484534fbda2c4ce4cbef0fed059b43a845")</f>
        <v>0x8bcd15484534fbda2c4ce4cbef0fed059b43a845</v>
      </c>
      <c r="J3296" s="18">
        <v>4.22100310779617</v>
      </c>
      <c r="K3296" s="4">
        <v>52.76253884745212</v>
      </c>
      <c r="L3296" s="19">
        <v>5.276253884745212E19</v>
      </c>
      <c r="M3296" s="20">
        <v>5.276253884745212E18</v>
      </c>
    </row>
    <row r="3297">
      <c r="A3297" s="6"/>
      <c r="B3297" s="6"/>
      <c r="C3297" s="4"/>
      <c r="D3297" s="4">
        <v>44.0229140703407</v>
      </c>
      <c r="E3297" s="4" t="s">
        <v>5075</v>
      </c>
      <c r="F3297" s="4"/>
      <c r="G3297" s="4"/>
      <c r="H3297" s="4"/>
      <c r="I3297" s="4" t="str">
        <f>IFERROR(__xludf.DUMMYFUNCTION("""COMPUTED_VALUE"""),"0xf279ebf88d44094f8820c049bd7b926539b07761")</f>
        <v>0xf279ebf88d44094f8820c049bd7b926539b07761</v>
      </c>
      <c r="J3297" s="18">
        <v>19.7073475239357</v>
      </c>
      <c r="K3297" s="4">
        <v>246.34184404919623</v>
      </c>
      <c r="L3297" s="19">
        <v>2.4634184404919622E20</v>
      </c>
      <c r="M3297" s="20">
        <v>2.4634184404919624E19</v>
      </c>
    </row>
    <row r="3298">
      <c r="A3298" s="6"/>
      <c r="B3298" s="6"/>
      <c r="C3298" s="4"/>
      <c r="D3298" s="4">
        <v>48.3641275995966</v>
      </c>
      <c r="E3298" s="4" t="s">
        <v>1436</v>
      </c>
      <c r="F3298" s="4"/>
      <c r="G3298" s="4"/>
      <c r="H3298" s="4"/>
      <c r="I3298" s="4" t="str">
        <f>IFERROR(__xludf.DUMMYFUNCTION("""COMPUTED_VALUE"""),"0xeca9938c7114f2c0b7e8488a9301d6358bbc7e4b")</f>
        <v>0xeca9938c7114f2c0b7e8488a9301d6358bbc7e4b</v>
      </c>
      <c r="J3298" s="18">
        <v>12.187760155098301</v>
      </c>
      <c r="K3298" s="4">
        <v>152.34700193872877</v>
      </c>
      <c r="L3298" s="19">
        <v>1.5234700193872878E20</v>
      </c>
      <c r="M3298" s="20">
        <v>1.523470019387288E19</v>
      </c>
    </row>
    <row r="3299">
      <c r="A3299" s="6"/>
      <c r="B3299" s="6"/>
      <c r="C3299" s="4"/>
      <c r="D3299" s="4">
        <v>48.3641275995966</v>
      </c>
      <c r="E3299" s="4" t="s">
        <v>5077</v>
      </c>
      <c r="F3299" s="4"/>
      <c r="G3299" s="4"/>
      <c r="H3299" s="4"/>
      <c r="I3299" s="4" t="str">
        <f>IFERROR(__xludf.DUMMYFUNCTION("""COMPUTED_VALUE"""),"0x940f5293be23c4d06f9f561f2df79457d3782e1e")</f>
        <v>0x940f5293be23c4d06f9f561f2df79457d3782e1e</v>
      </c>
      <c r="J3299" s="18">
        <v>57.664741131925666</v>
      </c>
      <c r="K3299" s="30">
        <v>720.8092641490708</v>
      </c>
      <c r="L3299" s="19">
        <v>7.208092641490709E20</v>
      </c>
      <c r="M3299" s="20">
        <v>7.208092641490709E19</v>
      </c>
    </row>
    <row r="3300">
      <c r="A3300" s="6"/>
      <c r="B3300" s="6"/>
      <c r="C3300" s="4"/>
      <c r="D3300" s="4">
        <v>10.6131447540203</v>
      </c>
      <c r="E3300" s="4" t="s">
        <v>5078</v>
      </c>
      <c r="F3300" s="4"/>
      <c r="G3300" s="4"/>
      <c r="H3300" s="4"/>
      <c r="I3300" s="4" t="str">
        <f>IFERROR(__xludf.DUMMYFUNCTION("""COMPUTED_VALUE"""),"0xa71730d5bd359ed86d97a4faae356649a43e3781")</f>
        <v>0xa71730d5bd359ed86d97a4faae356649a43e3781</v>
      </c>
      <c r="J3300" s="18">
        <v>5.16761549736061</v>
      </c>
      <c r="K3300" s="4">
        <v>64.59519371700762</v>
      </c>
      <c r="L3300" s="19">
        <v>6.459519371700761E19</v>
      </c>
      <c r="M3300" s="20">
        <v>6.459519371700762E18</v>
      </c>
    </row>
    <row r="3301">
      <c r="A3301" s="6"/>
      <c r="B3301" s="6"/>
      <c r="C3301" s="4"/>
      <c r="D3301" s="4">
        <v>1.93456510398386</v>
      </c>
      <c r="E3301" s="4" t="s">
        <v>5080</v>
      </c>
      <c r="F3301" s="4"/>
      <c r="G3301" s="4"/>
      <c r="H3301" s="4"/>
      <c r="I3301" s="4" t="str">
        <f>IFERROR(__xludf.DUMMYFUNCTION("""COMPUTED_VALUE"""),"0xa4c8acdbc448081776212d943056599ead5436e9")</f>
        <v>0xa4c8acdbc448081776212d943056599ead5436e9</v>
      </c>
      <c r="J3301" s="18">
        <v>9.672825519919328</v>
      </c>
      <c r="K3301" s="4">
        <v>120.9103189989916</v>
      </c>
      <c r="L3301" s="19">
        <v>1.209103189989916E20</v>
      </c>
      <c r="M3301" s="20">
        <v>1.209103189989916E19</v>
      </c>
    </row>
    <row r="3302">
      <c r="A3302" s="6"/>
      <c r="B3302" s="6"/>
      <c r="C3302" s="4"/>
      <c r="D3302" s="4">
        <v>48.3641275995966</v>
      </c>
      <c r="E3302" s="4" t="s">
        <v>5081</v>
      </c>
      <c r="F3302" s="4"/>
      <c r="G3302" s="4"/>
      <c r="H3302" s="4"/>
      <c r="I3302" s="4" t="str">
        <f>IFERROR(__xludf.DUMMYFUNCTION("""COMPUTED_VALUE"""),"0xf96a6f40d107a0f44f758f90716994b01ef564ff")</f>
        <v>0xf96a6f40d107a0f44f758f90716994b01ef564ff</v>
      </c>
      <c r="J3302" s="18">
        <v>24.3569028800129</v>
      </c>
      <c r="K3302" s="4">
        <v>304.46128600016124</v>
      </c>
      <c r="L3302" s="19">
        <v>3.0446128600016126E20</v>
      </c>
      <c r="M3302" s="20">
        <v>3.0446128600016126E19</v>
      </c>
    </row>
    <row r="3303">
      <c r="A3303" s="6"/>
      <c r="B3303" s="6"/>
      <c r="C3303" s="4"/>
      <c r="D3303" s="4">
        <v>48.3641275995966</v>
      </c>
      <c r="E3303" s="4" t="s">
        <v>5082</v>
      </c>
      <c r="F3303" s="4"/>
      <c r="G3303" s="4"/>
      <c r="H3303" s="4"/>
      <c r="I3303" s="4" t="str">
        <f>IFERROR(__xludf.DUMMYFUNCTION("""COMPUTED_VALUE"""),"0x391478b40bdd5440e187a7bf3401528c9b39bf16")</f>
        <v>0x391478b40bdd5440e187a7bf3401528c9b39bf16</v>
      </c>
      <c r="J3303" s="18">
        <v>6.76595598195784</v>
      </c>
      <c r="K3303" s="4">
        <v>84.574449774473</v>
      </c>
      <c r="L3303" s="19">
        <v>8.4574449774473E19</v>
      </c>
      <c r="M3303" s="20">
        <v>8.457444977447301E18</v>
      </c>
    </row>
    <row r="3304">
      <c r="A3304" s="6"/>
      <c r="B3304" s="6"/>
      <c r="C3304" s="4"/>
      <c r="D3304" s="4">
        <v>13.4689558728183</v>
      </c>
      <c r="E3304" s="4" t="s">
        <v>5083</v>
      </c>
      <c r="F3304" s="4"/>
      <c r="G3304" s="4"/>
      <c r="H3304" s="4"/>
      <c r="I3304" s="4" t="str">
        <f>IFERROR(__xludf.DUMMYFUNCTION("""COMPUTED_VALUE"""),"0xc820e1ca7010705226a66e998de99df2002bbce8")</f>
        <v>0xc820e1ca7010705226a66e998de99df2002bbce8</v>
      </c>
      <c r="J3304" s="18">
        <v>47.784815842341395</v>
      </c>
      <c r="K3304" s="4">
        <v>597.3101980292674</v>
      </c>
      <c r="L3304" s="19">
        <v>5.973101980292675E20</v>
      </c>
      <c r="M3304" s="20">
        <v>5.973101980292675E19</v>
      </c>
    </row>
    <row r="3305">
      <c r="A3305" s="6"/>
      <c r="B3305" s="6"/>
      <c r="C3305" s="4"/>
      <c r="D3305" s="4">
        <v>19.3456510398386</v>
      </c>
      <c r="E3305" s="4" t="s">
        <v>5085</v>
      </c>
      <c r="F3305" s="4"/>
      <c r="G3305" s="4"/>
      <c r="H3305" s="4"/>
      <c r="I3305" s="4" t="str">
        <f>IFERROR(__xludf.DUMMYFUNCTION("""COMPUTED_VALUE"""),"0x07ef39ca542927137c7e5940a10330ec6b6a624a")</f>
        <v>0x07ef39ca542927137c7e5940a10330ec6b6a624a</v>
      </c>
      <c r="J3305" s="18">
        <v>58.9111981879877</v>
      </c>
      <c r="K3305" s="4">
        <v>736.3899773498463</v>
      </c>
      <c r="L3305" s="19">
        <v>7.363899773498463E20</v>
      </c>
      <c r="M3305" s="20">
        <v>7.363899773498464E19</v>
      </c>
    </row>
    <row r="3306">
      <c r="A3306" s="6"/>
      <c r="B3306" s="6"/>
      <c r="C3306" s="4"/>
      <c r="D3306" s="4">
        <v>48.3641275995966</v>
      </c>
      <c r="E3306" s="4" t="s">
        <v>5086</v>
      </c>
      <c r="F3306" s="4"/>
      <c r="G3306" s="4"/>
      <c r="H3306" s="4"/>
      <c r="I3306" s="4" t="str">
        <f>IFERROR(__xludf.DUMMYFUNCTION("""COMPUTED_VALUE"""),"0xceea7a82d7a3d76da7543ff91cf208cf4086a12f")</f>
        <v>0xceea7a82d7a3d76da7543ff91cf208cf4086a12f</v>
      </c>
      <c r="J3306" s="18">
        <v>38.133654434627005</v>
      </c>
      <c r="K3306" s="4">
        <v>476.67068043283757</v>
      </c>
      <c r="L3306" s="19">
        <v>4.766706804328376E20</v>
      </c>
      <c r="M3306" s="20">
        <v>4.766706804328376E19</v>
      </c>
    </row>
    <row r="3307">
      <c r="A3307" s="6"/>
      <c r="B3307" s="6"/>
      <c r="C3307" s="4"/>
      <c r="D3307" s="4">
        <v>19.3482789987316</v>
      </c>
      <c r="E3307" s="4" t="s">
        <v>5087</v>
      </c>
      <c r="F3307" s="4"/>
      <c r="G3307" s="4"/>
      <c r="H3307" s="4"/>
      <c r="I3307" s="4" t="str">
        <f>IFERROR(__xludf.DUMMYFUNCTION("""COMPUTED_VALUE"""),"0xc669502bd5cc7b1ff538257ab5e289e972d83ec3")</f>
        <v>0xc669502bd5cc7b1ff538257ab5e289e972d83ec3</v>
      </c>
      <c r="J3307" s="18">
        <v>48.3641275995966</v>
      </c>
      <c r="K3307" s="4">
        <v>604.5515949949574</v>
      </c>
      <c r="L3307" s="19">
        <v>6.045515949949574E20</v>
      </c>
      <c r="M3307" s="20">
        <v>6.045515949949574E19</v>
      </c>
    </row>
    <row r="3308">
      <c r="A3308" s="6"/>
      <c r="B3308" s="6"/>
      <c r="C3308" s="4"/>
      <c r="D3308" s="4">
        <v>48.3641275995966</v>
      </c>
      <c r="E3308" s="4" t="s">
        <v>5089</v>
      </c>
      <c r="F3308" s="4"/>
      <c r="G3308" s="4"/>
      <c r="H3308" s="4"/>
      <c r="I3308" s="4" t="str">
        <f>IFERROR(__xludf.DUMMYFUNCTION("""COMPUTED_VALUE"""),"0x0b35c3ca64919c91685abdfa92755cc710831f4c")</f>
        <v>0x0b35c3ca64919c91685abdfa92755cc710831f4c</v>
      </c>
      <c r="J3308" s="18">
        <v>18.6504676717121</v>
      </c>
      <c r="K3308" s="4">
        <v>233.13084589640124</v>
      </c>
      <c r="L3308" s="19">
        <v>2.3313084589640126E20</v>
      </c>
      <c r="M3308" s="20">
        <v>2.3313084589640126E19</v>
      </c>
    </row>
    <row r="3309">
      <c r="A3309" s="6"/>
      <c r="B3309" s="6"/>
      <c r="C3309" s="4"/>
      <c r="D3309" s="4">
        <v>48.3641275995966</v>
      </c>
      <c r="E3309" s="4" t="s">
        <v>440</v>
      </c>
      <c r="F3309" s="4"/>
      <c r="G3309" s="4"/>
      <c r="H3309" s="4"/>
      <c r="I3309" s="4" t="str">
        <f>IFERROR(__xludf.DUMMYFUNCTION("""COMPUTED_VALUE"""),"0x3c7898c61ddd993e107be9b904479880a85ed4ec")</f>
        <v>0x3c7898c61ddd993e107be9b904479880a85ed4ec</v>
      </c>
      <c r="J3309" s="18">
        <v>11.689463428969098</v>
      </c>
      <c r="K3309" s="4">
        <v>146.11829286211372</v>
      </c>
      <c r="L3309" s="19">
        <v>1.4611829286211373E20</v>
      </c>
      <c r="M3309" s="20">
        <v>1.4611829286211373E19</v>
      </c>
    </row>
    <row r="3310">
      <c r="A3310" s="6"/>
      <c r="B3310" s="6"/>
      <c r="C3310" s="4"/>
      <c r="D3310" s="4">
        <v>48.3641275995966</v>
      </c>
      <c r="E3310" s="4" t="s">
        <v>5090</v>
      </c>
      <c r="F3310" s="4"/>
      <c r="G3310" s="4"/>
      <c r="H3310" s="4"/>
      <c r="I3310" s="4" t="str">
        <f>IFERROR(__xludf.DUMMYFUNCTION("""COMPUTED_VALUE"""),"0xf63a899d5909a88cb8fedd636c0190a81990d0a8")</f>
        <v>0xf63a899d5909a88cb8fedd636c0190a81990d0a8</v>
      </c>
      <c r="J3310" s="18">
        <v>48.296820423301</v>
      </c>
      <c r="K3310" s="4">
        <v>603.7102552912625</v>
      </c>
      <c r="L3310" s="19">
        <v>6.037102552912624E20</v>
      </c>
      <c r="M3310" s="20">
        <v>6.037102552912625E19</v>
      </c>
    </row>
    <row r="3311">
      <c r="A3311" s="6"/>
      <c r="B3311" s="6"/>
      <c r="C3311" s="4"/>
      <c r="D3311" s="4">
        <v>7.25208768109754</v>
      </c>
      <c r="E3311" s="4" t="s">
        <v>5091</v>
      </c>
      <c r="F3311" s="4"/>
      <c r="G3311" s="4"/>
      <c r="H3311" s="4"/>
      <c r="I3311" s="4" t="str">
        <f>IFERROR(__xludf.DUMMYFUNCTION("""COMPUTED_VALUE"""),"0x81c3594dac8e548acbb2cf547ddce13772aca415")</f>
        <v>0x81c3594dac8e548acbb2cf547ddce13772aca415</v>
      </c>
      <c r="J3311" s="18">
        <v>30.297700923536297</v>
      </c>
      <c r="K3311" s="4">
        <v>378.7212615442037</v>
      </c>
      <c r="L3311" s="19">
        <v>3.787212615442037E20</v>
      </c>
      <c r="M3311" s="20">
        <v>3.787212615442037E19</v>
      </c>
    </row>
    <row r="3312">
      <c r="A3312" s="6"/>
      <c r="B3312" s="6"/>
      <c r="C3312" s="4"/>
      <c r="D3312" s="4">
        <v>48.3641275995966</v>
      </c>
      <c r="E3312" s="4" t="s">
        <v>5093</v>
      </c>
      <c r="F3312" s="4"/>
      <c r="G3312" s="4"/>
      <c r="H3312" s="4"/>
      <c r="I3312" s="4" t="str">
        <f>IFERROR(__xludf.DUMMYFUNCTION("""COMPUTED_VALUE"""),"0x79b7232f049e3847da41a8d6afd478c5771fb67c")</f>
        <v>0x79b7232f049e3847da41a8d6afd478c5771fb67c</v>
      </c>
      <c r="J3312" s="18">
        <v>48.3641275995966</v>
      </c>
      <c r="K3312" s="4">
        <v>604.5515949949574</v>
      </c>
      <c r="L3312" s="19">
        <v>6.045515949949574E20</v>
      </c>
      <c r="M3312" s="20">
        <v>6.045515949949574E19</v>
      </c>
    </row>
    <row r="3313">
      <c r="A3313" s="6"/>
      <c r="B3313" s="6"/>
      <c r="C3313" s="4"/>
      <c r="D3313" s="4">
        <v>47.2897888326137</v>
      </c>
      <c r="E3313" s="4" t="s">
        <v>5094</v>
      </c>
      <c r="F3313" s="4"/>
      <c r="G3313" s="4"/>
      <c r="H3313" s="4"/>
      <c r="I3313" s="4" t="str">
        <f>IFERROR(__xludf.DUMMYFUNCTION("""COMPUTED_VALUE"""),"0xc8f06894f521296b288a35527d9db37e1b02bccc")</f>
        <v>0xc8f06894f521296b288a35527d9db37e1b02bccc</v>
      </c>
      <c r="J3313" s="18">
        <v>113.4683136722219</v>
      </c>
      <c r="K3313" s="4">
        <v>1418.3539209027738</v>
      </c>
      <c r="L3313" s="19">
        <v>1.4183539209027739E21</v>
      </c>
      <c r="M3313" s="20">
        <v>1.418353920902774E20</v>
      </c>
    </row>
    <row r="3314">
      <c r="A3314" s="6"/>
      <c r="B3314" s="6"/>
      <c r="C3314" s="4"/>
      <c r="D3314" s="4">
        <v>45.816443451643906</v>
      </c>
      <c r="E3314" s="4" t="s">
        <v>5096</v>
      </c>
      <c r="F3314" s="4"/>
      <c r="G3314" s="4"/>
      <c r="H3314" s="4"/>
      <c r="I3314" s="4" t="str">
        <f>IFERROR(__xludf.DUMMYFUNCTION("""COMPUTED_VALUE"""),"0xa3f32cf7c2f0a989c0a1c212e86bffe4f0eb5941")</f>
        <v>0xa3f32cf7c2f0a989c0a1c212e86bffe4f0eb5941</v>
      </c>
      <c r="J3314" s="18">
        <v>1.15043460629456</v>
      </c>
      <c r="K3314" s="4">
        <v>14.380432578682</v>
      </c>
      <c r="L3314" s="19">
        <v>1.4380432578682001E19</v>
      </c>
      <c r="M3314" s="20">
        <v>1.4380432578682002E18</v>
      </c>
    </row>
    <row r="3315">
      <c r="A3315" s="6"/>
      <c r="B3315" s="6"/>
      <c r="C3315" s="4"/>
      <c r="D3315" s="4">
        <v>6.82422419694288</v>
      </c>
      <c r="E3315" s="4" t="s">
        <v>1469</v>
      </c>
      <c r="F3315" s="4"/>
      <c r="G3315" s="4"/>
      <c r="H3315" s="4"/>
      <c r="I3315" s="4" t="str">
        <f>IFERROR(__xludf.DUMMYFUNCTION("""COMPUTED_VALUE"""),"0xc2194a11d1d7a25531398447f21a93aff65e48c4")</f>
        <v>0xc2194a11d1d7a25531398447f21a93aff65e48c4</v>
      </c>
      <c r="J3315" s="18">
        <v>113.4683136722219</v>
      </c>
      <c r="K3315" s="4">
        <v>1418.3539209027738</v>
      </c>
      <c r="L3315" s="19">
        <v>1.4183539209027739E21</v>
      </c>
      <c r="M3315" s="20">
        <v>1.418353920902774E20</v>
      </c>
    </row>
    <row r="3316">
      <c r="A3316" s="6"/>
      <c r="B3316" s="6"/>
      <c r="C3316" s="4"/>
      <c r="D3316" s="4">
        <v>46.1554284931342</v>
      </c>
      <c r="E3316" s="4" t="s">
        <v>5099</v>
      </c>
      <c r="F3316" s="4"/>
      <c r="G3316" s="4"/>
      <c r="H3316" s="4"/>
      <c r="I3316" s="4" t="str">
        <f>IFERROR(__xludf.DUMMYFUNCTION("""COMPUTED_VALUE"""),"0xfc6e4a6945fb6d532e03c12dec18350168644b8b")</f>
        <v>0xfc6e4a6945fb6d532e03c12dec18350168644b8b</v>
      </c>
      <c r="J3316" s="18">
        <v>0.193456510398386</v>
      </c>
      <c r="K3316" s="4">
        <v>2.418206379979825</v>
      </c>
      <c r="L3316" s="19">
        <v>2.418206379979825E18</v>
      </c>
      <c r="M3316" s="20">
        <v>2.4182063799798253E17</v>
      </c>
    </row>
    <row r="3317">
      <c r="A3317" s="6"/>
      <c r="B3317" s="6"/>
      <c r="C3317" s="4"/>
      <c r="D3317" s="4">
        <v>9.672825519919328</v>
      </c>
      <c r="E3317" s="4" t="s">
        <v>5101</v>
      </c>
      <c r="F3317" s="4"/>
      <c r="G3317" s="4"/>
      <c r="H3317" s="4"/>
      <c r="I3317" s="4" t="str">
        <f>IFERROR(__xludf.DUMMYFUNCTION("""COMPUTED_VALUE"""),"0x8cffad5e02a7d55725e3e62c259f7ed2c8682c67")</f>
        <v>0x8cffad5e02a7d55725e3e62c259f7ed2c8682c67</v>
      </c>
      <c r="J3317" s="18">
        <v>45.5515989138602</v>
      </c>
      <c r="K3317" s="4">
        <v>569.3949864232525</v>
      </c>
      <c r="L3317" s="19">
        <v>5.693949864232525E20</v>
      </c>
      <c r="M3317" s="20">
        <v>5.693949864232525E19</v>
      </c>
    </row>
    <row r="3318">
      <c r="A3318" s="6"/>
      <c r="B3318" s="6"/>
      <c r="C3318" s="4"/>
      <c r="D3318" s="4">
        <v>48.3641275995966</v>
      </c>
      <c r="E3318" s="4" t="s">
        <v>5102</v>
      </c>
      <c r="F3318" s="4"/>
      <c r="G3318" s="4"/>
      <c r="H3318" s="4"/>
      <c r="I3318" s="4" t="str">
        <f>IFERROR(__xludf.DUMMYFUNCTION("""COMPUTED_VALUE"""),"0x7e1c1e11d1ed13c36f6b270f8001adabf39e4435")</f>
        <v>0x7e1c1e11d1ed13c36f6b270f8001adabf39e4435</v>
      </c>
      <c r="J3318" s="18">
        <v>9.672825519919328</v>
      </c>
      <c r="K3318" s="4">
        <v>120.9103189989916</v>
      </c>
      <c r="L3318" s="19">
        <v>1.209103189989916E20</v>
      </c>
      <c r="M3318" s="20">
        <v>1.209103189989916E19</v>
      </c>
    </row>
    <row r="3319">
      <c r="A3319" s="6"/>
      <c r="B3319" s="6"/>
      <c r="C3319" s="4"/>
      <c r="D3319" s="4">
        <v>4.758000355455501</v>
      </c>
      <c r="E3319" s="4" t="s">
        <v>5103</v>
      </c>
      <c r="F3319" s="4"/>
      <c r="G3319" s="4"/>
      <c r="H3319" s="4"/>
      <c r="I3319" s="4" t="str">
        <f>IFERROR(__xludf.DUMMYFUNCTION("""COMPUTED_VALUE"""),"0x1880e479cf991d88a539453183b1c27838bc9360")</f>
        <v>0x1880e479cf991d88a539453183b1c27838bc9360</v>
      </c>
      <c r="J3319" s="18">
        <v>4.63415157361014</v>
      </c>
      <c r="K3319" s="4">
        <v>57.92689467012675</v>
      </c>
      <c r="L3319" s="19">
        <v>5.792689467012675E19</v>
      </c>
      <c r="M3319" s="20">
        <v>5.792689467012676E18</v>
      </c>
    </row>
    <row r="3320">
      <c r="A3320" s="6"/>
      <c r="B3320" s="6"/>
      <c r="C3320" s="4"/>
      <c r="D3320" s="4">
        <v>6.30326210571953</v>
      </c>
      <c r="E3320" s="4" t="s">
        <v>5105</v>
      </c>
      <c r="F3320" s="4"/>
      <c r="G3320" s="4"/>
      <c r="H3320" s="4"/>
      <c r="I3320" s="4" t="str">
        <f>IFERROR(__xludf.DUMMYFUNCTION("""COMPUTED_VALUE"""),"0x7d5e216060a7cf43c6b88dc68fa7f5e2ac720740")</f>
        <v>0x7d5e216060a7cf43c6b88dc68fa7f5e2ac720740</v>
      </c>
      <c r="J3320" s="18">
        <v>16.993828702893</v>
      </c>
      <c r="K3320" s="4">
        <v>212.42285878616252</v>
      </c>
      <c r="L3320" s="19">
        <v>2.124228587861625E20</v>
      </c>
      <c r="M3320" s="20">
        <v>2.1242285878616252E19</v>
      </c>
    </row>
    <row r="3321">
      <c r="A3321" s="6"/>
      <c r="B3321" s="6"/>
      <c r="C3321" s="4"/>
      <c r="D3321" s="4">
        <v>48.3641275995966</v>
      </c>
      <c r="E3321" s="4" t="s">
        <v>5107</v>
      </c>
      <c r="F3321" s="4"/>
      <c r="G3321" s="4"/>
      <c r="H3321" s="4"/>
      <c r="I3321" s="4" t="str">
        <f>IFERROR(__xludf.DUMMYFUNCTION("""COMPUTED_VALUE"""),"0x9ee1761373ceb3226fe26f5500c3c9805d6d043b")</f>
        <v>0x9ee1761373ceb3226fe26f5500c3c9805d6d043b</v>
      </c>
      <c r="J3321" s="18">
        <v>57.783404209892936</v>
      </c>
      <c r="K3321" s="4">
        <v>722.2925526236617</v>
      </c>
      <c r="L3321" s="19">
        <v>7.222925526236616E20</v>
      </c>
      <c r="M3321" s="20">
        <v>7.222925526236617E19</v>
      </c>
    </row>
    <row r="3322">
      <c r="A3322" s="6"/>
      <c r="B3322" s="6"/>
      <c r="C3322" s="4"/>
      <c r="D3322" s="4">
        <v>9.672825519919328</v>
      </c>
      <c r="E3322" s="4" t="s">
        <v>5108</v>
      </c>
      <c r="F3322" s="4"/>
      <c r="G3322" s="4"/>
      <c r="H3322" s="4"/>
      <c r="I3322" s="4" t="str">
        <f>IFERROR(__xludf.DUMMYFUNCTION("""COMPUTED_VALUE"""),"0xb375e1fb98da538c4b49ba9a3a66351705549144")</f>
        <v>0xb375e1fb98da538c4b49ba9a3a66351705549144</v>
      </c>
      <c r="J3322" s="18">
        <v>19.391876457351596</v>
      </c>
      <c r="K3322" s="4">
        <v>242.39845571689494</v>
      </c>
      <c r="L3322" s="19">
        <v>2.4239845571689493E20</v>
      </c>
      <c r="M3322" s="20">
        <v>2.4239845571689497E19</v>
      </c>
    </row>
    <row r="3323">
      <c r="A3323" s="6"/>
      <c r="B3323" s="6"/>
      <c r="C3323" s="4"/>
      <c r="D3323" s="4">
        <v>42.364982188041104</v>
      </c>
      <c r="E3323" s="4" t="s">
        <v>417</v>
      </c>
      <c r="F3323" s="4"/>
      <c r="G3323" s="4"/>
      <c r="H3323" s="4"/>
      <c r="I3323" s="4" t="str">
        <f>IFERROR(__xludf.DUMMYFUNCTION("""COMPUTED_VALUE"""),"0x7be6320688a526f45b5e8a315d3f408df00a0933")</f>
        <v>0x7be6320688a526f45b5e8a315d3f408df00a0933</v>
      </c>
      <c r="J3323" s="18">
        <v>19.3456510398386</v>
      </c>
      <c r="K3323" s="4">
        <v>241.8206379979825</v>
      </c>
      <c r="L3323" s="19">
        <v>2.4182063799798248E20</v>
      </c>
      <c r="M3323" s="20">
        <v>2.418206379979825E19</v>
      </c>
    </row>
    <row r="3324">
      <c r="A3324" s="6"/>
      <c r="B3324" s="6"/>
      <c r="C3324" s="4"/>
      <c r="D3324" s="4">
        <v>33.0011623995355</v>
      </c>
      <c r="E3324" s="4" t="s">
        <v>5110</v>
      </c>
      <c r="F3324" s="4"/>
      <c r="G3324" s="4"/>
      <c r="H3324" s="4"/>
      <c r="I3324" s="4" t="str">
        <f>IFERROR(__xludf.DUMMYFUNCTION("""COMPUTED_VALUE"""),"0x160c316c3354db9d497ee958b2da5b72b5803a94")</f>
        <v>0x160c316c3354db9d497ee958b2da5b72b5803a94</v>
      </c>
      <c r="J3324" s="18">
        <v>10.2205681993472</v>
      </c>
      <c r="K3324" s="4">
        <v>127.75710249184</v>
      </c>
      <c r="L3324" s="19">
        <v>1.2775710249184E20</v>
      </c>
      <c r="M3324" s="20">
        <v>1.2775710249184002E19</v>
      </c>
    </row>
    <row r="3325">
      <c r="A3325" s="6"/>
      <c r="B3325" s="6"/>
      <c r="C3325" s="4"/>
      <c r="D3325" s="4">
        <v>9.672825519919328</v>
      </c>
      <c r="E3325" s="4" t="s">
        <v>5112</v>
      </c>
      <c r="F3325" s="4"/>
      <c r="G3325" s="4"/>
      <c r="H3325" s="4"/>
      <c r="I3325" s="4" t="str">
        <f>IFERROR(__xludf.DUMMYFUNCTION("""COMPUTED_VALUE"""),"0xf2b8e9c67e842db67c9d48346bf50c347b117a04")</f>
        <v>0xf2b8e9c67e842db67c9d48346bf50c347b117a04</v>
      </c>
      <c r="J3325" s="18">
        <v>10.1296682473216</v>
      </c>
      <c r="K3325" s="4">
        <v>126.62085309152</v>
      </c>
      <c r="L3325" s="19">
        <v>1.2662085309152E20</v>
      </c>
      <c r="M3325" s="20">
        <v>1.2662085309152002E19</v>
      </c>
    </row>
    <row r="3326">
      <c r="A3326" s="6"/>
      <c r="B3326" s="6"/>
      <c r="C3326" s="4"/>
      <c r="D3326" s="4">
        <v>48.3641275995966</v>
      </c>
      <c r="E3326" s="4" t="s">
        <v>5113</v>
      </c>
      <c r="F3326" s="4"/>
      <c r="G3326" s="4"/>
      <c r="H3326" s="4"/>
      <c r="I3326" s="4" t="str">
        <f>IFERROR(__xludf.DUMMYFUNCTION("""COMPUTED_VALUE"""),"0x3d42c725d9cbf782d1476cc704e7500f0cf58d8d")</f>
        <v>0x3d42c725d9cbf782d1476cc704e7500f0cf58d8d</v>
      </c>
      <c r="J3326" s="18">
        <v>106.0129543071052</v>
      </c>
      <c r="K3326" s="4">
        <v>1325.1619288388151</v>
      </c>
      <c r="L3326" s="19">
        <v>1.3251619288388152E21</v>
      </c>
      <c r="M3326" s="20">
        <v>1.3251619288388153E20</v>
      </c>
    </row>
    <row r="3327">
      <c r="A3327" s="6"/>
      <c r="B3327" s="6"/>
      <c r="C3327" s="4"/>
      <c r="D3327" s="4">
        <v>1.93456510398386</v>
      </c>
      <c r="E3327" s="4" t="s">
        <v>5114</v>
      </c>
      <c r="F3327" s="4"/>
      <c r="G3327" s="4"/>
      <c r="H3327" s="4"/>
      <c r="I3327" s="4" t="str">
        <f>IFERROR(__xludf.DUMMYFUNCTION("""COMPUTED_VALUE"""),"0xe8b912f186f71eb61a5edceb6e9ac62981bbd3da")</f>
        <v>0xe8b912f186f71eb61a5edceb6e9ac62981bbd3da</v>
      </c>
      <c r="J3327" s="18">
        <v>8.81184261575156</v>
      </c>
      <c r="K3327" s="4">
        <v>110.1480326968945</v>
      </c>
      <c r="L3327" s="19">
        <v>1.101480326968945E20</v>
      </c>
      <c r="M3327" s="20">
        <v>1.101480326968945E19</v>
      </c>
    </row>
    <row r="3328">
      <c r="A3328" s="6"/>
      <c r="B3328" s="6"/>
      <c r="C3328" s="4"/>
      <c r="D3328" s="4">
        <v>17.849680600530398</v>
      </c>
      <c r="E3328" s="4" t="s">
        <v>5115</v>
      </c>
      <c r="F3328" s="4"/>
      <c r="G3328" s="4"/>
      <c r="H3328" s="4"/>
      <c r="I3328" s="4" t="str">
        <f>IFERROR(__xludf.DUMMYFUNCTION("""COMPUTED_VALUE"""),"0x36e8d3a7dd6a8102179542d6cd2cb6f15c280194")</f>
        <v>0x36e8d3a7dd6a8102179542d6cd2cb6f15c280194</v>
      </c>
      <c r="J3328" s="18">
        <v>209.9568320738022</v>
      </c>
      <c r="K3328" s="4">
        <v>2624.4604009225272</v>
      </c>
      <c r="L3328" s="19">
        <v>2.6244604009225273E21</v>
      </c>
      <c r="M3328" s="20">
        <v>2.6244604009225273E20</v>
      </c>
    </row>
    <row r="3329">
      <c r="A3329" s="6"/>
      <c r="B3329" s="6"/>
      <c r="C3329" s="4"/>
      <c r="D3329" s="4">
        <v>48.3641275995966</v>
      </c>
      <c r="E3329" s="4" t="s">
        <v>291</v>
      </c>
      <c r="F3329" s="4"/>
      <c r="G3329" s="4"/>
      <c r="H3329" s="4"/>
      <c r="I3329" s="4" t="str">
        <f>IFERROR(__xludf.DUMMYFUNCTION("""COMPUTED_VALUE"""),"0xdafabd67d8b3593acb53e96ab70aea4bad3da9a2")</f>
        <v>0xdafabd67d8b3593acb53e96ab70aea4bad3da9a2</v>
      </c>
      <c r="J3329" s="18">
        <v>48.3641275995966</v>
      </c>
      <c r="K3329" s="4">
        <v>604.5515949949574</v>
      </c>
      <c r="L3329" s="19">
        <v>6.045515949949574E20</v>
      </c>
      <c r="M3329" s="20">
        <v>6.045515949949574E19</v>
      </c>
    </row>
    <row r="3330">
      <c r="A3330" s="6"/>
      <c r="B3330" s="6"/>
      <c r="C3330" s="4"/>
      <c r="D3330" s="4">
        <v>48.3641275995966</v>
      </c>
      <c r="E3330" s="4" t="s">
        <v>5117</v>
      </c>
      <c r="F3330" s="4"/>
      <c r="G3330" s="4"/>
      <c r="H3330" s="4"/>
      <c r="I3330" s="4" t="str">
        <f>IFERROR(__xludf.DUMMYFUNCTION("""COMPUTED_VALUE"""),"0x2a1389ceda12d40bab52f6d3c63805bcfdaa85d2")</f>
        <v>0x2a1389ceda12d40bab52f6d3c63805bcfdaa85d2</v>
      </c>
      <c r="J3330" s="18">
        <v>9.77301552828257</v>
      </c>
      <c r="K3330" s="4">
        <v>122.16269410353213</v>
      </c>
      <c r="L3330" s="19">
        <v>1.2216269410353213E20</v>
      </c>
      <c r="M3330" s="20">
        <v>1.2216269410353213E19</v>
      </c>
    </row>
    <row r="3331">
      <c r="A3331" s="6"/>
      <c r="B3331" s="6"/>
      <c r="C3331" s="4"/>
      <c r="D3331" s="4">
        <v>25.9874611216707</v>
      </c>
      <c r="E3331" s="4" t="s">
        <v>544</v>
      </c>
      <c r="F3331" s="4"/>
      <c r="G3331" s="4"/>
      <c r="H3331" s="4"/>
      <c r="I3331" s="4" t="str">
        <f>IFERROR(__xludf.DUMMYFUNCTION("""COMPUTED_VALUE"""),"0xf40dd96b1ce42f0a8fa4fa5e18052873d1391707")</f>
        <v>0xf40dd96b1ce42f0a8fa4fa5e18052873d1391707</v>
      </c>
      <c r="J3331" s="18">
        <v>4.845915327887</v>
      </c>
      <c r="K3331" s="4">
        <v>60.573941598587496</v>
      </c>
      <c r="L3331" s="19">
        <v>6.0573941598587494E19</v>
      </c>
      <c r="M3331" s="20">
        <v>6.057394159858749E18</v>
      </c>
    </row>
    <row r="3332">
      <c r="A3332" s="6"/>
      <c r="B3332" s="6"/>
      <c r="C3332" s="4"/>
      <c r="D3332" s="4">
        <v>9.672825519919328</v>
      </c>
      <c r="E3332" s="4" t="s">
        <v>5119</v>
      </c>
      <c r="F3332" s="4"/>
      <c r="G3332" s="4"/>
      <c r="H3332" s="4"/>
      <c r="I3332" s="4" t="str">
        <f>IFERROR(__xludf.DUMMYFUNCTION("""COMPUTED_VALUE"""),"0x833f173a7e05868f808d3ef6b60ef3b159d449ce")</f>
        <v>0x833f173a7e05868f808d3ef6b60ef3b159d449ce</v>
      </c>
      <c r="J3332" s="18">
        <v>48.3641275995966</v>
      </c>
      <c r="K3332" s="4">
        <v>604.5515949949574</v>
      </c>
      <c r="L3332" s="19">
        <v>6.045515949949574E20</v>
      </c>
      <c r="M3332" s="20">
        <v>6.045515949949574E19</v>
      </c>
    </row>
    <row r="3333">
      <c r="A3333" s="6"/>
      <c r="B3333" s="6"/>
      <c r="C3333" s="4"/>
      <c r="D3333" s="4">
        <v>7.00932375493496</v>
      </c>
      <c r="E3333" s="4" t="s">
        <v>5120</v>
      </c>
      <c r="F3333" s="4"/>
      <c r="G3333" s="4"/>
      <c r="H3333" s="4"/>
      <c r="I3333" s="4" t="str">
        <f>IFERROR(__xludf.DUMMYFUNCTION("""COMPUTED_VALUE"""),"0x3a051b2a13c98d5d900f3d83ada3baeb4bd8acbb")</f>
        <v>0x3a051b2a13c98d5d900f3d83ada3baeb4bd8acbb</v>
      </c>
      <c r="J3333" s="18">
        <v>57.66472560997164</v>
      </c>
      <c r="K3333" s="4">
        <v>720.8090701246455</v>
      </c>
      <c r="L3333" s="19">
        <v>7.208090701246455E20</v>
      </c>
      <c r="M3333" s="20">
        <v>7.208090701246455E19</v>
      </c>
    </row>
    <row r="3334">
      <c r="A3334" s="6"/>
      <c r="B3334" s="6"/>
      <c r="C3334" s="4"/>
      <c r="D3334" s="4">
        <v>27.1015000457965</v>
      </c>
      <c r="E3334" s="4" t="s">
        <v>5122</v>
      </c>
      <c r="F3334" s="4"/>
      <c r="G3334" s="4"/>
      <c r="H3334" s="4"/>
      <c r="I3334" s="4" t="str">
        <f>IFERROR(__xludf.DUMMYFUNCTION("""COMPUTED_VALUE"""),"0x9a8fbafaf36f7cb6ee1cf0197bb8cec37501219a")</f>
        <v>0x9a8fbafaf36f7cb6ee1cf0197bb8cec37501219a</v>
      </c>
      <c r="J3334" s="18">
        <v>48.3641275995966</v>
      </c>
      <c r="K3334" s="4">
        <v>604.5515949949574</v>
      </c>
      <c r="L3334" s="19">
        <v>6.045515949949574E20</v>
      </c>
      <c r="M3334" s="20">
        <v>6.045515949949574E19</v>
      </c>
    </row>
    <row r="3335">
      <c r="A3335" s="6"/>
      <c r="B3335" s="6"/>
      <c r="C3335" s="4"/>
      <c r="D3335" s="4">
        <v>48.022501875349704</v>
      </c>
      <c r="E3335" s="4" t="s">
        <v>5124</v>
      </c>
      <c r="F3335" s="4"/>
      <c r="G3335" s="4"/>
      <c r="H3335" s="4"/>
      <c r="I3335" s="4" t="str">
        <f>IFERROR(__xludf.DUMMYFUNCTION("""COMPUTED_VALUE"""),"0xa8d51951672bee9571f8b21f77b60c2433cee857")</f>
        <v>0xa8d51951672bee9571f8b21f77b60c2433cee857</v>
      </c>
      <c r="J3335" s="18">
        <v>24.1820637997983</v>
      </c>
      <c r="K3335" s="4">
        <v>302.2757974974787</v>
      </c>
      <c r="L3335" s="19">
        <v>3.022757974974787E20</v>
      </c>
      <c r="M3335" s="20">
        <v>3.022757974974787E19</v>
      </c>
    </row>
    <row r="3336">
      <c r="A3336" s="6"/>
      <c r="B3336" s="6"/>
      <c r="C3336" s="4"/>
      <c r="D3336" s="4">
        <v>45.927000870791204</v>
      </c>
      <c r="E3336" s="4" t="s">
        <v>5126</v>
      </c>
      <c r="F3336" s="4"/>
      <c r="G3336" s="4"/>
      <c r="H3336" s="4"/>
      <c r="I3336" s="4" t="str">
        <f>IFERROR(__xludf.DUMMYFUNCTION("""COMPUTED_VALUE"""),"0x8d3706e5c85b40a2588731e1e93eb99ddedda419")</f>
        <v>0x8d3706e5c85b40a2588731e1e93eb99ddedda419</v>
      </c>
      <c r="J3336" s="18">
        <v>9.81639997946313</v>
      </c>
      <c r="K3336" s="4">
        <v>122.70499974328912</v>
      </c>
      <c r="L3336" s="19">
        <v>1.2270499974328911E20</v>
      </c>
      <c r="M3336" s="20">
        <v>1.2270499974328912E19</v>
      </c>
    </row>
    <row r="3337">
      <c r="A3337" s="6"/>
      <c r="B3337" s="6"/>
      <c r="C3337" s="4"/>
      <c r="D3337" s="4">
        <v>15.1804547796089</v>
      </c>
      <c r="E3337" s="4" t="s">
        <v>5128</v>
      </c>
      <c r="F3337" s="4"/>
      <c r="G3337" s="4"/>
      <c r="H3337" s="4"/>
      <c r="I3337" s="4" t="str">
        <f>IFERROR(__xludf.DUMMYFUNCTION("""COMPUTED_VALUE"""),"0xcf139e2e5d0f6894c5e3b3bdf7f5abeaafe5f37f")</f>
        <v>0xcf139e2e5d0f6894c5e3b3bdf7f5abeaafe5f37f</v>
      </c>
      <c r="J3337" s="18">
        <v>234.37608780709658</v>
      </c>
      <c r="K3337" s="4">
        <v>2929.7010975887074</v>
      </c>
      <c r="L3337" s="19">
        <v>2.9297010975887076E21</v>
      </c>
      <c r="M3337" s="20">
        <v>2.9297010975887078E20</v>
      </c>
    </row>
    <row r="3338">
      <c r="A3338" s="6"/>
      <c r="B3338" s="6"/>
      <c r="C3338" s="4"/>
      <c r="D3338" s="4">
        <v>19.539107550237</v>
      </c>
      <c r="E3338" s="4" t="s">
        <v>5130</v>
      </c>
      <c r="F3338" s="4"/>
      <c r="G3338" s="4"/>
      <c r="H3338" s="4"/>
      <c r="I3338" s="4" t="str">
        <f>IFERROR(__xludf.DUMMYFUNCTION("""COMPUTED_VALUE"""),"0x6dcb373aeec6c47251fc296664ca2f7f74f2c19b")</f>
        <v>0x6dcb373aeec6c47251fc296664ca2f7f74f2c19b</v>
      </c>
      <c r="J3338" s="18">
        <v>57.66472560997164</v>
      </c>
      <c r="K3338" s="4">
        <v>720.8090701246455</v>
      </c>
      <c r="L3338" s="19">
        <v>7.208090701246455E20</v>
      </c>
      <c r="M3338" s="20">
        <v>7.208090701246455E19</v>
      </c>
    </row>
    <row r="3339">
      <c r="A3339" s="6"/>
      <c r="B3339" s="6"/>
      <c r="C3339" s="4"/>
      <c r="D3339" s="4">
        <v>48.3641275995966</v>
      </c>
      <c r="E3339" s="4" t="s">
        <v>5131</v>
      </c>
      <c r="F3339" s="4"/>
      <c r="G3339" s="4"/>
      <c r="H3339" s="4"/>
      <c r="I3339" s="4" t="str">
        <f>IFERROR(__xludf.DUMMYFUNCTION("""COMPUTED_VALUE"""),"0xc916074b8ffc623898a0c9da9d9b088d89c09ae5")</f>
        <v>0xc916074b8ffc623898a0c9da9d9b088d89c09ae5</v>
      </c>
      <c r="J3339" s="18">
        <v>48.3641275995966</v>
      </c>
      <c r="K3339" s="4">
        <v>604.5515949949574</v>
      </c>
      <c r="L3339" s="19">
        <v>6.045515949949574E20</v>
      </c>
      <c r="M3339" s="20">
        <v>6.045515949949574E19</v>
      </c>
    </row>
    <row r="3340">
      <c r="A3340" s="6"/>
      <c r="B3340" s="6"/>
      <c r="C3340" s="4"/>
      <c r="D3340" s="4">
        <v>9.672825519919328</v>
      </c>
      <c r="E3340" s="4" t="s">
        <v>5132</v>
      </c>
      <c r="F3340" s="4"/>
      <c r="G3340" s="4"/>
      <c r="H3340" s="4"/>
      <c r="I3340" s="4" t="str">
        <f>IFERROR(__xludf.DUMMYFUNCTION("""COMPUTED_VALUE"""),"0x6d79ade3f835cf7b24b74af9fda542fc941c0579")</f>
        <v>0x6d79ade3f835cf7b24b74af9fda542fc941c0579</v>
      </c>
      <c r="J3340" s="18">
        <v>31.9733773371181</v>
      </c>
      <c r="K3340" s="4">
        <v>399.66721671397625</v>
      </c>
      <c r="L3340" s="19">
        <v>3.9966721671397625E20</v>
      </c>
      <c r="M3340" s="20">
        <v>3.996672167139763E19</v>
      </c>
    </row>
    <row r="3341">
      <c r="A3341" s="6"/>
      <c r="B3341" s="6"/>
      <c r="C3341" s="4"/>
      <c r="D3341" s="4">
        <v>26.477699209666103</v>
      </c>
      <c r="E3341" s="4" t="s">
        <v>5133</v>
      </c>
      <c r="F3341" s="4"/>
      <c r="G3341" s="4"/>
      <c r="H3341" s="4"/>
      <c r="I3341" s="4" t="str">
        <f>IFERROR(__xludf.DUMMYFUNCTION("""COMPUTED_VALUE"""),"0xa09a4e0f859fa3ea48c9132a973ad39607fe9a87")</f>
        <v>0xa09a4e0f859fa3ea48c9132a973ad39607fe9a87</v>
      </c>
      <c r="J3341" s="18">
        <v>197.4093176459686</v>
      </c>
      <c r="K3341" s="4">
        <v>2467.6164705746073</v>
      </c>
      <c r="L3341" s="19">
        <v>2.4676164705746074E21</v>
      </c>
      <c r="M3341" s="20">
        <v>2.4676164705746076E20</v>
      </c>
    </row>
    <row r="3342">
      <c r="A3342" s="6"/>
      <c r="B3342" s="6"/>
      <c r="C3342" s="4"/>
      <c r="D3342" s="4">
        <v>43.81497466200081</v>
      </c>
      <c r="E3342" s="4" t="s">
        <v>5135</v>
      </c>
      <c r="F3342" s="4"/>
      <c r="G3342" s="4"/>
      <c r="H3342" s="4"/>
      <c r="I3342" s="4" t="str">
        <f>IFERROR(__xludf.DUMMYFUNCTION("""COMPUTED_VALUE"""),"0x1286b9a9378ad43492862adb46621b4c7ef29d4e")</f>
        <v>0x1286b9a9378ad43492862adb46621b4c7ef29d4e</v>
      </c>
      <c r="J3342" s="18">
        <v>57.66472560997164</v>
      </c>
      <c r="K3342" s="4">
        <v>720.8090701246455</v>
      </c>
      <c r="L3342" s="19">
        <v>7.208090701246455E20</v>
      </c>
      <c r="M3342" s="20">
        <v>7.208090701246455E19</v>
      </c>
    </row>
    <row r="3343">
      <c r="A3343" s="6"/>
      <c r="B3343" s="6"/>
      <c r="C3343" s="4"/>
      <c r="D3343" s="4">
        <v>44.0064870278749</v>
      </c>
      <c r="E3343" s="4" t="s">
        <v>5137</v>
      </c>
      <c r="F3343" s="4"/>
      <c r="G3343" s="4"/>
      <c r="H3343" s="4"/>
      <c r="I3343" s="4" t="str">
        <f>IFERROR(__xludf.DUMMYFUNCTION("""COMPUTED_VALUE"""),"0xead3f696b25da755060d51b77179fef8d907310a")</f>
        <v>0xead3f696b25da755060d51b77179fef8d907310a</v>
      </c>
      <c r="J3343" s="18">
        <v>38.777868852914004</v>
      </c>
      <c r="K3343" s="4">
        <v>484.72336066142503</v>
      </c>
      <c r="L3343" s="19">
        <v>4.84723360661425E20</v>
      </c>
      <c r="M3343" s="20">
        <v>4.84723360661425E19</v>
      </c>
    </row>
    <row r="3344">
      <c r="A3344" s="6"/>
      <c r="B3344" s="6"/>
      <c r="C3344" s="4"/>
      <c r="D3344" s="4">
        <v>14.7870047764633</v>
      </c>
      <c r="E3344" s="4" t="s">
        <v>5139</v>
      </c>
      <c r="F3344" s="4"/>
      <c r="G3344" s="4"/>
      <c r="H3344" s="4"/>
      <c r="I3344" s="4" t="str">
        <f>IFERROR(__xludf.DUMMYFUNCTION("""COMPUTED_VALUE"""),"0x8facb83aec9d41bda3c893a25fe7590237fd5dd8")</f>
        <v>0x8facb83aec9d41bda3c893a25fe7590237fd5dd8</v>
      </c>
      <c r="J3344" s="18">
        <v>43.165688052132005</v>
      </c>
      <c r="K3344" s="4">
        <v>539.57110065165</v>
      </c>
      <c r="L3344" s="19">
        <v>5.3957110065165E20</v>
      </c>
      <c r="M3344" s="20">
        <v>5.395711006516501E19</v>
      </c>
    </row>
    <row r="3345">
      <c r="A3345" s="6"/>
      <c r="B3345" s="6"/>
      <c r="C3345" s="4"/>
      <c r="D3345" s="4">
        <v>44.6762322016045</v>
      </c>
      <c r="E3345" s="4" t="s">
        <v>5141</v>
      </c>
      <c r="F3345" s="4"/>
      <c r="G3345" s="4"/>
      <c r="H3345" s="4"/>
      <c r="I3345" s="4" t="str">
        <f>IFERROR(__xludf.DUMMYFUNCTION("""COMPUTED_VALUE"""),"0x741b150a2d750c304401a569bad735e0cfc363d7")</f>
        <v>0x741b150a2d750c304401a569bad735e0cfc363d7</v>
      </c>
      <c r="J3345" s="18">
        <v>38.672094185477</v>
      </c>
      <c r="K3345" s="4">
        <v>483.4011773184625</v>
      </c>
      <c r="L3345" s="19">
        <v>4.8340117731846246E20</v>
      </c>
      <c r="M3345" s="20">
        <v>4.834011773184625E19</v>
      </c>
    </row>
    <row r="3346">
      <c r="A3346" s="6"/>
      <c r="B3346" s="6"/>
      <c r="C3346" s="4"/>
      <c r="D3346" s="4">
        <v>47.8437152520149</v>
      </c>
      <c r="E3346" s="4" t="s">
        <v>5143</v>
      </c>
      <c r="F3346" s="4"/>
      <c r="G3346" s="4"/>
      <c r="H3346" s="4"/>
      <c r="I3346" s="4" t="str">
        <f>IFERROR(__xludf.DUMMYFUNCTION("""COMPUTED_VALUE"""),"0x2f964de86487a50e44ec10be1703256ef811fe68")</f>
        <v>0x2f964de86487a50e44ec10be1703256ef811fe68</v>
      </c>
      <c r="J3346" s="18">
        <v>48.3641275995966</v>
      </c>
      <c r="K3346" s="4">
        <v>604.5515949949574</v>
      </c>
      <c r="L3346" s="19">
        <v>6.045515949949574E20</v>
      </c>
      <c r="M3346" s="20">
        <v>6.045515949949574E19</v>
      </c>
    </row>
    <row r="3347">
      <c r="A3347" s="6"/>
      <c r="B3347" s="6"/>
      <c r="C3347" s="4"/>
      <c r="D3347" s="4">
        <v>48.3641275995966</v>
      </c>
      <c r="E3347" s="4" t="s">
        <v>5145</v>
      </c>
      <c r="F3347" s="4"/>
      <c r="G3347" s="4"/>
      <c r="H3347" s="4"/>
      <c r="I3347" s="4" t="str">
        <f>IFERROR(__xludf.DUMMYFUNCTION("""COMPUTED_VALUE"""),"0x82f38a4cd3c327578656ca7052892db84d266c9f")</f>
        <v>0x82f38a4cd3c327578656ca7052892db84d266c9f</v>
      </c>
      <c r="J3347" s="18">
        <v>48.3641275995966</v>
      </c>
      <c r="K3347" s="4">
        <v>604.5515949949574</v>
      </c>
      <c r="L3347" s="19">
        <v>6.045515949949574E20</v>
      </c>
      <c r="M3347" s="20">
        <v>6.045515949949574E19</v>
      </c>
    </row>
    <row r="3348">
      <c r="A3348" s="6"/>
      <c r="B3348" s="6"/>
      <c r="C3348" s="4"/>
      <c r="D3348" s="4">
        <v>15.530070835541299</v>
      </c>
      <c r="E3348" s="4" t="s">
        <v>5146</v>
      </c>
      <c r="F3348" s="4"/>
      <c r="G3348" s="4"/>
      <c r="H3348" s="4"/>
      <c r="I3348" s="4" t="str">
        <f>IFERROR(__xludf.DUMMYFUNCTION("""COMPUTED_VALUE"""),"0xa38f0392853e37963f8f60f80d8661ac79214a81")</f>
        <v>0xa38f0392853e37963f8f60f80d8661ac79214a81</v>
      </c>
      <c r="J3348" s="18">
        <v>234.37608780709658</v>
      </c>
      <c r="K3348" s="4">
        <v>2929.7010975887074</v>
      </c>
      <c r="L3348" s="19">
        <v>2.9297010975887076E21</v>
      </c>
      <c r="M3348" s="20">
        <v>2.9297010975887078E20</v>
      </c>
    </row>
    <row r="3349">
      <c r="A3349" s="6"/>
      <c r="B3349" s="6"/>
      <c r="C3349" s="4"/>
      <c r="D3349" s="4">
        <v>37.870344512660395</v>
      </c>
      <c r="E3349" s="4" t="s">
        <v>5148</v>
      </c>
      <c r="F3349" s="4"/>
      <c r="G3349" s="4"/>
      <c r="H3349" s="4"/>
      <c r="I3349" s="4" t="str">
        <f>IFERROR(__xludf.DUMMYFUNCTION("""COMPUTED_VALUE"""),"0x3ddc6cf7b843d2653ab1cafa3004f2d55164cdf6")</f>
        <v>0x3ddc6cf7b843d2653ab1cafa3004f2d55164cdf6</v>
      </c>
      <c r="J3349" s="18">
        <v>9.672825519919328</v>
      </c>
      <c r="K3349" s="4">
        <v>120.9103189989916</v>
      </c>
      <c r="L3349" s="19">
        <v>1.209103189989916E20</v>
      </c>
      <c r="M3349" s="20">
        <v>1.209103189989916E19</v>
      </c>
    </row>
    <row r="3350">
      <c r="A3350" s="6"/>
      <c r="B3350" s="6"/>
      <c r="C3350" s="4"/>
      <c r="D3350" s="4">
        <v>9.672825519919328</v>
      </c>
      <c r="E3350" s="4" t="s">
        <v>5150</v>
      </c>
      <c r="F3350" s="4"/>
      <c r="G3350" s="4"/>
      <c r="H3350" s="4"/>
      <c r="I3350" s="4" t="str">
        <f>IFERROR(__xludf.DUMMYFUNCTION("""COMPUTED_VALUE"""),"0xce87d5250467b5e21219ddb9aa45dffa8df478e7")</f>
        <v>0xce87d5250467b5e21219ddb9aa45dffa8df478e7</v>
      </c>
      <c r="J3350" s="18">
        <v>8.63660732173715</v>
      </c>
      <c r="K3350" s="4">
        <v>107.95759152171438</v>
      </c>
      <c r="L3350" s="19">
        <v>1.0795759152171437E20</v>
      </c>
      <c r="M3350" s="20">
        <v>1.0795759152171438E19</v>
      </c>
    </row>
    <row r="3351">
      <c r="A3351" s="6"/>
      <c r="B3351" s="6"/>
      <c r="C3351" s="4"/>
      <c r="D3351" s="4">
        <v>27.7773271886043</v>
      </c>
      <c r="E3351" s="4" t="s">
        <v>5151</v>
      </c>
      <c r="F3351" s="4"/>
      <c r="G3351" s="4"/>
      <c r="H3351" s="4"/>
      <c r="I3351" s="4" t="str">
        <f>IFERROR(__xludf.DUMMYFUNCTION("""COMPUTED_VALUE"""),"0x602fbda816e9c95b03c4aab11dcc572595ced21e")</f>
        <v>0x602fbda816e9c95b03c4aab11dcc572595ced21e</v>
      </c>
      <c r="J3351" s="18">
        <v>13.8129870838781</v>
      </c>
      <c r="K3351" s="4">
        <v>172.66233854847624</v>
      </c>
      <c r="L3351" s="19">
        <v>1.7266233854847625E20</v>
      </c>
      <c r="M3351" s="20">
        <v>1.7266233854847625E19</v>
      </c>
    </row>
    <row r="3352">
      <c r="A3352" s="6"/>
      <c r="B3352" s="6"/>
      <c r="C3352" s="4"/>
      <c r="D3352" s="4">
        <v>19.3456510398386</v>
      </c>
      <c r="E3352" s="4" t="s">
        <v>5153</v>
      </c>
      <c r="F3352" s="4"/>
      <c r="G3352" s="4"/>
      <c r="H3352" s="4"/>
      <c r="I3352" s="4" t="str">
        <f>IFERROR(__xludf.DUMMYFUNCTION("""COMPUTED_VALUE"""),"0xe0ee3e8fc070d0fefbc17245dec04c79aa2e7818")</f>
        <v>0xe0ee3e8fc070d0fefbc17245dec04c79aa2e7818</v>
      </c>
      <c r="J3352" s="18">
        <v>45.1322813961771</v>
      </c>
      <c r="K3352" s="4">
        <v>564.1535174522137</v>
      </c>
      <c r="L3352" s="19">
        <v>5.641535174522137E20</v>
      </c>
      <c r="M3352" s="20">
        <v>5.641535174522137E19</v>
      </c>
    </row>
    <row r="3353">
      <c r="A3353" s="6"/>
      <c r="B3353" s="6"/>
      <c r="C3353" s="4"/>
      <c r="D3353" s="4">
        <v>4.77488398415206</v>
      </c>
      <c r="E3353" s="4" t="s">
        <v>5154</v>
      </c>
      <c r="F3353" s="4"/>
      <c r="G3353" s="4"/>
      <c r="H3353" s="4"/>
      <c r="I3353" s="4" t="str">
        <f>IFERROR(__xludf.DUMMYFUNCTION("""COMPUTED_VALUE"""),"0x39d702949866b558a8900ad513a0ab348ed64afe")</f>
        <v>0x39d702949866b558a8900ad513a0ab348ed64afe</v>
      </c>
      <c r="J3353" s="18">
        <v>59.5248452120466</v>
      </c>
      <c r="K3353" s="4">
        <v>744.0605651505825</v>
      </c>
      <c r="L3353" s="19">
        <v>7.440605651505826E20</v>
      </c>
      <c r="M3353" s="20">
        <v>7.440605651505825E19</v>
      </c>
    </row>
    <row r="3354">
      <c r="A3354" s="6"/>
      <c r="B3354" s="6"/>
      <c r="C3354" s="4"/>
      <c r="D3354" s="4">
        <v>12.5746731758951</v>
      </c>
      <c r="E3354" s="4" t="s">
        <v>5156</v>
      </c>
      <c r="F3354" s="4"/>
      <c r="G3354" s="4"/>
      <c r="H3354" s="4"/>
      <c r="I3354" s="4" t="str">
        <f>IFERROR(__xludf.DUMMYFUNCTION("""COMPUTED_VALUE"""),"0xe09be4c3952e9da63bcde61dff17f6aad7a11057")</f>
        <v>0xe09be4c3952e9da63bcde61dff17f6aad7a11057</v>
      </c>
      <c r="J3354" s="18">
        <v>29.018476559758</v>
      </c>
      <c r="K3354" s="4">
        <v>362.730956996975</v>
      </c>
      <c r="L3354" s="19">
        <v>3.62730956996975E20</v>
      </c>
      <c r="M3354" s="20">
        <v>3.62730956996975E19</v>
      </c>
    </row>
    <row r="3355">
      <c r="A3355" s="6"/>
      <c r="B3355" s="6"/>
      <c r="C3355" s="4"/>
      <c r="D3355" s="4">
        <v>48.3641275995966</v>
      </c>
      <c r="E3355" s="4" t="s">
        <v>5157</v>
      </c>
      <c r="F3355" s="4"/>
      <c r="G3355" s="4"/>
      <c r="H3355" s="4"/>
      <c r="I3355" s="4" t="str">
        <f>IFERROR(__xludf.DUMMYFUNCTION("""COMPUTED_VALUE"""),"0x0dd0da0bdd76da7ee19beabb47df2d3210a53692")</f>
        <v>0x0dd0da0bdd76da7ee19beabb47df2d3210a53692</v>
      </c>
      <c r="J3355" s="18">
        <v>9.88630905008333</v>
      </c>
      <c r="K3355" s="4">
        <v>123.57886312604163</v>
      </c>
      <c r="L3355" s="19">
        <v>1.2357886312604162E20</v>
      </c>
      <c r="M3355" s="20">
        <v>1.2357886312604164E19</v>
      </c>
    </row>
    <row r="3356">
      <c r="A3356" s="6"/>
      <c r="B3356" s="6"/>
      <c r="C3356" s="4"/>
      <c r="D3356" s="4">
        <v>48.3641275995966</v>
      </c>
      <c r="E3356" s="4" t="s">
        <v>5158</v>
      </c>
      <c r="F3356" s="4"/>
      <c r="G3356" s="4"/>
      <c r="H3356" s="4"/>
      <c r="I3356" s="4" t="str">
        <f>IFERROR(__xludf.DUMMYFUNCTION("""COMPUTED_VALUE"""),"0x9d7178c48617fcb2db3013147976df3f2b7d107d")</f>
        <v>0x9d7178c48617fcb2db3013147976df3f2b7d107d</v>
      </c>
      <c r="J3356" s="18">
        <v>0.88236150143429</v>
      </c>
      <c r="K3356" s="4">
        <v>11.029518767928625</v>
      </c>
      <c r="L3356" s="19">
        <v>1.1029518767928625E19</v>
      </c>
      <c r="M3356" s="20">
        <v>1.1029518767928626E18</v>
      </c>
    </row>
    <row r="3357">
      <c r="A3357" s="6"/>
      <c r="B3357" s="6"/>
      <c r="C3357" s="4"/>
      <c r="D3357" s="4">
        <v>48.3641275995966</v>
      </c>
      <c r="E3357" s="4" t="s">
        <v>610</v>
      </c>
      <c r="F3357" s="4"/>
      <c r="G3357" s="4"/>
      <c r="H3357" s="4"/>
      <c r="I3357" s="4" t="str">
        <f>IFERROR(__xludf.DUMMYFUNCTION("""COMPUTED_VALUE"""),"0x5498f0a139f932db84554867c9b19b7654746ac0")</f>
        <v>0x5498f0a139f932db84554867c9b19b7654746ac0</v>
      </c>
      <c r="J3357" s="18">
        <v>48.3641275995966</v>
      </c>
      <c r="K3357" s="4">
        <v>604.5515949949574</v>
      </c>
      <c r="L3357" s="19">
        <v>6.045515949949574E20</v>
      </c>
      <c r="M3357" s="20">
        <v>6.045515949949574E19</v>
      </c>
    </row>
    <row r="3358">
      <c r="A3358" s="6"/>
      <c r="B3358" s="6"/>
      <c r="C3358" s="4"/>
      <c r="D3358" s="4">
        <v>48.3641275995966</v>
      </c>
      <c r="E3358" s="4" t="s">
        <v>1069</v>
      </c>
      <c r="F3358" s="4"/>
      <c r="G3358" s="4"/>
      <c r="H3358" s="4"/>
      <c r="I3358" s="4" t="str">
        <f>IFERROR(__xludf.DUMMYFUNCTION("""COMPUTED_VALUE"""),"0xfa472b0e0b3b98f966051c6512dfa71efa0242b5")</f>
        <v>0xfa472b0e0b3b98f966051c6512dfa71efa0242b5</v>
      </c>
      <c r="J3358" s="18">
        <v>19.3456510398386</v>
      </c>
      <c r="K3358" s="4">
        <v>241.8206379979825</v>
      </c>
      <c r="L3358" s="19">
        <v>2.4182063799798248E20</v>
      </c>
      <c r="M3358" s="20">
        <v>2.418206379979825E19</v>
      </c>
    </row>
    <row r="3359">
      <c r="A3359" s="6"/>
      <c r="B3359" s="6"/>
      <c r="C3359" s="4"/>
      <c r="D3359" s="4">
        <v>47.087768292670106</v>
      </c>
      <c r="E3359" s="4" t="s">
        <v>5159</v>
      </c>
      <c r="F3359" s="4"/>
      <c r="G3359" s="4"/>
      <c r="H3359" s="4"/>
      <c r="I3359" s="4" t="str">
        <f>IFERROR(__xludf.DUMMYFUNCTION("""COMPUTED_VALUE"""),"0x7a859183a99ec1347555063cf10147e7f83e2708")</f>
        <v>0x7a859183a99ec1347555063cf10147e7f83e2708</v>
      </c>
      <c r="J3359" s="18">
        <v>19.372180587735</v>
      </c>
      <c r="K3359" s="4">
        <v>242.1522573466875</v>
      </c>
      <c r="L3359" s="19">
        <v>2.421522573466875E20</v>
      </c>
      <c r="M3359" s="20">
        <v>2.421522573466875E19</v>
      </c>
    </row>
    <row r="3360">
      <c r="A3360" s="6"/>
      <c r="B3360" s="6"/>
      <c r="C3360" s="4"/>
      <c r="D3360" s="4">
        <v>42.6575105973699</v>
      </c>
      <c r="E3360" s="4" t="s">
        <v>5161</v>
      </c>
      <c r="F3360" s="4"/>
      <c r="G3360" s="4"/>
      <c r="H3360" s="4"/>
      <c r="I3360" s="4" t="str">
        <f>IFERROR(__xludf.DUMMYFUNCTION("""COMPUTED_VALUE"""),"0x1388caa4d8864fcb2a9bd5990d6a000a9e3b74ec")</f>
        <v>0x1388caa4d8864fcb2a9bd5990d6a000a9e3b74ec</v>
      </c>
      <c r="J3360" s="18">
        <v>48.3641275995966</v>
      </c>
      <c r="K3360" s="4">
        <v>604.5515949949574</v>
      </c>
      <c r="L3360" s="19">
        <v>6.045515949949574E20</v>
      </c>
      <c r="M3360" s="20">
        <v>6.045515949949574E19</v>
      </c>
    </row>
    <row r="3361">
      <c r="A3361" s="6"/>
      <c r="B3361" s="6"/>
      <c r="C3361" s="4"/>
      <c r="D3361" s="4">
        <v>48.3641275995966</v>
      </c>
      <c r="E3361" s="4" t="s">
        <v>5163</v>
      </c>
      <c r="F3361" s="4"/>
      <c r="G3361" s="4"/>
      <c r="H3361" s="4"/>
      <c r="I3361" s="4" t="str">
        <f>IFERROR(__xludf.DUMMYFUNCTION("""COMPUTED_VALUE"""),"0xcd09ba3890706f1247bab7f680171bcdb1ef7572")</f>
        <v>0xcd09ba3890706f1247bab7f680171bcdb1ef7572</v>
      </c>
      <c r="J3361" s="18">
        <v>5.39595388766116</v>
      </c>
      <c r="K3361" s="4">
        <v>67.4494235957645</v>
      </c>
      <c r="L3361" s="19">
        <v>6.74494235957645E19</v>
      </c>
      <c r="M3361" s="20">
        <v>6.74494235957645E18</v>
      </c>
    </row>
    <row r="3362">
      <c r="A3362" s="6"/>
      <c r="B3362" s="6"/>
      <c r="C3362" s="4"/>
      <c r="D3362" s="4">
        <v>48.3641275995966</v>
      </c>
      <c r="E3362" s="4" t="s">
        <v>5164</v>
      </c>
      <c r="F3362" s="4"/>
      <c r="G3362" s="4"/>
      <c r="H3362" s="4"/>
      <c r="I3362" s="4" t="str">
        <f>IFERROR(__xludf.DUMMYFUNCTION("""COMPUTED_VALUE"""),"0x26e4a4add9de6bebef1d5141ace1e07fc3aaceb1")</f>
        <v>0x26e4a4add9de6bebef1d5141ace1e07fc3aaceb1</v>
      </c>
      <c r="J3362" s="18">
        <v>19.439258973849302</v>
      </c>
      <c r="K3362" s="4">
        <v>242.9907371731163</v>
      </c>
      <c r="L3362" s="19">
        <v>2.429907371731163E20</v>
      </c>
      <c r="M3362" s="20">
        <v>2.429907371731163E19</v>
      </c>
    </row>
    <row r="3363">
      <c r="A3363" s="6"/>
      <c r="B3363" s="6"/>
      <c r="C3363" s="4"/>
      <c r="D3363" s="4">
        <v>48.3641275995966</v>
      </c>
      <c r="E3363" s="4" t="s">
        <v>457</v>
      </c>
      <c r="F3363" s="4"/>
      <c r="G3363" s="4"/>
      <c r="H3363" s="4"/>
      <c r="I3363" s="4" t="str">
        <f>IFERROR(__xludf.DUMMYFUNCTION("""COMPUTED_VALUE"""),"0xb71b0e38adefe343344295ead5befe793578046c")</f>
        <v>0xb71b0e38adefe343344295ead5befe793578046c</v>
      </c>
      <c r="J3363" s="18">
        <v>9.672825519919328</v>
      </c>
      <c r="K3363" s="4">
        <v>120.9103189989916</v>
      </c>
      <c r="L3363" s="19">
        <v>1.209103189989916E20</v>
      </c>
      <c r="M3363" s="20">
        <v>1.209103189989916E19</v>
      </c>
    </row>
    <row r="3364">
      <c r="A3364" s="6"/>
      <c r="B3364" s="6"/>
      <c r="C3364" s="4"/>
      <c r="D3364" s="4">
        <v>15.1319822639684</v>
      </c>
      <c r="E3364" s="4" t="s">
        <v>5165</v>
      </c>
      <c r="F3364" s="4"/>
      <c r="G3364" s="4"/>
      <c r="H3364" s="4"/>
      <c r="I3364" s="4" t="str">
        <f>IFERROR(__xludf.DUMMYFUNCTION("""COMPUTED_VALUE"""),"0x1cf79079bf669c65b2bb2fdac958973b0089b03e")</f>
        <v>0x1cf79079bf669c65b2bb2fdac958973b0089b03e</v>
      </c>
      <c r="J3364" s="18">
        <v>48.3641275995966</v>
      </c>
      <c r="K3364" s="4">
        <v>604.5515949949574</v>
      </c>
      <c r="L3364" s="19">
        <v>6.045515949949574E20</v>
      </c>
      <c r="M3364" s="20">
        <v>6.045515949949574E19</v>
      </c>
    </row>
    <row r="3365">
      <c r="A3365" s="6"/>
      <c r="B3365" s="6"/>
      <c r="C3365" s="4"/>
      <c r="D3365" s="4">
        <v>48.3641275995966</v>
      </c>
      <c r="E3365" s="4" t="s">
        <v>5167</v>
      </c>
      <c r="F3365" s="4"/>
      <c r="G3365" s="4"/>
      <c r="H3365" s="4"/>
      <c r="I3365" s="4" t="str">
        <f>IFERROR(__xludf.DUMMYFUNCTION("""COMPUTED_VALUE"""),"0xb840ee91a9d52fc6cfcad18e620140162a3f7c78")</f>
        <v>0xb840ee91a9d52fc6cfcad18e620140162a3f7c78</v>
      </c>
      <c r="J3365" s="18">
        <v>48.3641275995966</v>
      </c>
      <c r="K3365" s="4">
        <v>604.5515949949574</v>
      </c>
      <c r="L3365" s="19">
        <v>6.045515949949574E20</v>
      </c>
      <c r="M3365" s="20">
        <v>6.045515949949574E19</v>
      </c>
    </row>
    <row r="3366">
      <c r="A3366" s="6"/>
      <c r="B3366" s="6"/>
      <c r="C3366" s="4"/>
      <c r="D3366" s="4">
        <v>45.8391367216287</v>
      </c>
      <c r="E3366" s="4" t="s">
        <v>5168</v>
      </c>
      <c r="F3366" s="4"/>
      <c r="G3366" s="4"/>
      <c r="H3366" s="4"/>
      <c r="I3366" s="4" t="str">
        <f>IFERROR(__xludf.DUMMYFUNCTION("""COMPUTED_VALUE"""),"0x33d85afedad839129a487da2c012d83dfe02d5b7")</f>
        <v>0x33d85afedad839129a487da2c012d83dfe02d5b7</v>
      </c>
      <c r="J3366" s="18">
        <v>46.8550189392348</v>
      </c>
      <c r="K3366" s="4">
        <v>585.6877367404351</v>
      </c>
      <c r="L3366" s="19">
        <v>5.8568773674043507E20</v>
      </c>
      <c r="M3366" s="20">
        <v>5.856877367404351E19</v>
      </c>
    </row>
    <row r="3367">
      <c r="A3367" s="6"/>
      <c r="B3367" s="6"/>
      <c r="C3367" s="4"/>
      <c r="D3367" s="4">
        <v>4.77338518136755</v>
      </c>
      <c r="E3367" s="4" t="s">
        <v>5170</v>
      </c>
      <c r="F3367" s="4"/>
      <c r="G3367" s="4"/>
      <c r="H3367" s="4"/>
      <c r="I3367" s="4" t="str">
        <f>IFERROR(__xludf.DUMMYFUNCTION("""COMPUTED_VALUE"""),"0x0308677ffe2a3c1aa8524f9babc94b8baec9b0ea")</f>
        <v>0x0308677ffe2a3c1aa8524f9babc94b8baec9b0ea</v>
      </c>
      <c r="J3367" s="18">
        <v>48.3641275995966</v>
      </c>
      <c r="K3367" s="4">
        <v>604.5515949949574</v>
      </c>
      <c r="L3367" s="19">
        <v>6.045515949949574E20</v>
      </c>
      <c r="M3367" s="20">
        <v>6.045515949949574E19</v>
      </c>
    </row>
    <row r="3368">
      <c r="A3368" s="6"/>
      <c r="B3368" s="6"/>
      <c r="C3368" s="4"/>
      <c r="D3368" s="4">
        <v>9.672825519919328</v>
      </c>
      <c r="E3368" s="4" t="s">
        <v>5172</v>
      </c>
      <c r="F3368" s="4"/>
      <c r="G3368" s="4"/>
      <c r="H3368" s="4"/>
      <c r="I3368" s="4" t="str">
        <f>IFERROR(__xludf.DUMMYFUNCTION("""COMPUTED_VALUE"""),"0x3af047f3a14895a005469d8a614bf3e353d336f0")</f>
        <v>0x3af047f3a14895a005469d8a614bf3e353d336f0</v>
      </c>
      <c r="J3368" s="18">
        <v>48.3641275995966</v>
      </c>
      <c r="K3368" s="4">
        <v>604.5515949949574</v>
      </c>
      <c r="L3368" s="19">
        <v>6.045515949949574E20</v>
      </c>
      <c r="M3368" s="20">
        <v>6.045515949949574E19</v>
      </c>
    </row>
    <row r="3369">
      <c r="A3369" s="6"/>
      <c r="B3369" s="6"/>
      <c r="C3369" s="4"/>
      <c r="D3369" s="4">
        <v>48.3641275995966</v>
      </c>
      <c r="E3369" s="4" t="s">
        <v>5173</v>
      </c>
      <c r="F3369" s="4"/>
      <c r="G3369" s="4"/>
      <c r="H3369" s="4"/>
      <c r="I3369" s="4" t="str">
        <f>IFERROR(__xludf.DUMMYFUNCTION("""COMPUTED_VALUE"""),"0x7d1fdb070e3f6b3eca88ee10a526a41e1a6a74b8")</f>
        <v>0x7d1fdb070e3f6b3eca88ee10a526a41e1a6a74b8</v>
      </c>
      <c r="J3369" s="18">
        <v>31.0142449976269</v>
      </c>
      <c r="K3369" s="4">
        <v>387.6780624703362</v>
      </c>
      <c r="L3369" s="19">
        <v>3.876780624703362E20</v>
      </c>
      <c r="M3369" s="20">
        <v>3.876780624703363E19</v>
      </c>
    </row>
    <row r="3370">
      <c r="A3370" s="6"/>
      <c r="B3370" s="6"/>
      <c r="C3370" s="4"/>
      <c r="D3370" s="4">
        <v>48.3641275995966</v>
      </c>
      <c r="E3370" s="4" t="s">
        <v>5174</v>
      </c>
      <c r="F3370" s="4"/>
      <c r="G3370" s="4"/>
      <c r="H3370" s="4"/>
      <c r="I3370" s="4" t="str">
        <f>IFERROR(__xludf.DUMMYFUNCTION("""COMPUTED_VALUE"""),"0x1aa163026844388c3289dddc1f158129cfa130ab")</f>
        <v>0x1aa163026844388c3289dddc1f158129cfa130ab</v>
      </c>
      <c r="J3370" s="18">
        <v>5.94002125850699</v>
      </c>
      <c r="K3370" s="4">
        <v>74.25026573133736</v>
      </c>
      <c r="L3370" s="19">
        <v>7.425026573133737E19</v>
      </c>
      <c r="M3370" s="20">
        <v>7.425026573133738E18</v>
      </c>
    </row>
    <row r="3371">
      <c r="A3371" s="6"/>
      <c r="B3371" s="6"/>
      <c r="C3371" s="4"/>
      <c r="D3371" s="4">
        <v>9.92111452453017</v>
      </c>
      <c r="E3371" s="4" t="s">
        <v>5175</v>
      </c>
      <c r="F3371" s="4"/>
      <c r="G3371" s="4"/>
      <c r="H3371" s="4"/>
      <c r="I3371" s="4" t="str">
        <f>IFERROR(__xludf.DUMMYFUNCTION("""COMPUTED_VALUE"""),"0x8cbf3bc2bad71b68e297ec9ae0c05d62cadbe25c")</f>
        <v>0x8cbf3bc2bad71b68e297ec9ae0c05d62cadbe25c</v>
      </c>
      <c r="J3371" s="18">
        <v>9.22959231420055</v>
      </c>
      <c r="K3371" s="4">
        <v>115.36990392750688</v>
      </c>
      <c r="L3371" s="19">
        <v>1.1536990392750688E20</v>
      </c>
      <c r="M3371" s="20">
        <v>1.1536990392750688E19</v>
      </c>
    </row>
    <row r="3372">
      <c r="A3372" s="6"/>
      <c r="B3372" s="6"/>
      <c r="C3372" s="4"/>
      <c r="D3372" s="4">
        <v>42.0047030188921</v>
      </c>
      <c r="E3372" s="4" t="s">
        <v>5177</v>
      </c>
      <c r="F3372" s="4"/>
      <c r="G3372" s="4"/>
      <c r="H3372" s="4"/>
      <c r="I3372" s="4" t="str">
        <f>IFERROR(__xludf.DUMMYFUNCTION("""COMPUTED_VALUE"""),"0xe717ed92443970239b13a7e6b201de67a456e2d8")</f>
        <v>0xe717ed92443970239b13a7e6b201de67a456e2d8</v>
      </c>
      <c r="J3372" s="18">
        <v>48.3641275995966</v>
      </c>
      <c r="K3372" s="4">
        <v>604.5515949949574</v>
      </c>
      <c r="L3372" s="19">
        <v>6.045515949949574E20</v>
      </c>
      <c r="M3372" s="20">
        <v>6.045515949949574E19</v>
      </c>
    </row>
    <row r="3373">
      <c r="A3373" s="6"/>
      <c r="B3373" s="6"/>
      <c r="C3373" s="4"/>
      <c r="D3373" s="4">
        <v>48.3641275995966</v>
      </c>
      <c r="E3373" s="4" t="s">
        <v>1613</v>
      </c>
      <c r="F3373" s="4"/>
      <c r="G3373" s="4"/>
      <c r="H3373" s="4"/>
      <c r="I3373" s="4" t="str">
        <f>IFERROR(__xludf.DUMMYFUNCTION("""COMPUTED_VALUE"""),"0xe41a255890116cefa1e917d7d09ceb39b7d3247e")</f>
        <v>0xe41a255890116cefa1e917d7d09ceb39b7d3247e</v>
      </c>
      <c r="J3373" s="18">
        <v>28.003397862468898</v>
      </c>
      <c r="K3373" s="4">
        <v>350.0424732808612</v>
      </c>
      <c r="L3373" s="19">
        <v>3.500424732808612E20</v>
      </c>
      <c r="M3373" s="20">
        <v>3.500424732808612E19</v>
      </c>
    </row>
    <row r="3374">
      <c r="A3374" s="6"/>
      <c r="B3374" s="6"/>
      <c r="C3374" s="4"/>
      <c r="D3374" s="4">
        <v>48.3641275995966</v>
      </c>
      <c r="E3374" s="4" t="s">
        <v>5179</v>
      </c>
      <c r="F3374" s="4"/>
      <c r="G3374" s="4"/>
      <c r="H3374" s="4"/>
      <c r="I3374" s="4" t="str">
        <f>IFERROR(__xludf.DUMMYFUNCTION("""COMPUTED_VALUE"""),"0x8f1ac2abe5f6b438dd0a7ef84f8ff49674a2755d")</f>
        <v>0x8f1ac2abe5f6b438dd0a7ef84f8ff49674a2755d</v>
      </c>
      <c r="J3374" s="18">
        <v>19.440575369166798</v>
      </c>
      <c r="K3374" s="4">
        <v>243.00719211458497</v>
      </c>
      <c r="L3374" s="19">
        <v>2.4300719211458498E20</v>
      </c>
      <c r="M3374" s="20">
        <v>2.43007192114585E19</v>
      </c>
    </row>
    <row r="3375">
      <c r="A3375" s="6"/>
      <c r="B3375" s="6"/>
      <c r="C3375" s="4"/>
      <c r="D3375" s="4">
        <v>7.58531422161199</v>
      </c>
      <c r="E3375" s="4" t="s">
        <v>5180</v>
      </c>
      <c r="F3375" s="4"/>
      <c r="G3375" s="4"/>
      <c r="H3375" s="4"/>
      <c r="I3375" s="4" t="str">
        <f>IFERROR(__xludf.DUMMYFUNCTION("""COMPUTED_VALUE"""),"0xac4340f99e557bb7bfbf5cd0751ea1cb0a51f0bd")</f>
        <v>0xac4340f99e557bb7bfbf5cd0751ea1cb0a51f0bd</v>
      </c>
      <c r="J3375" s="18">
        <v>6.34061853921937</v>
      </c>
      <c r="K3375" s="4">
        <v>79.25773174024212</v>
      </c>
      <c r="L3375" s="19">
        <v>7.925773174024212E19</v>
      </c>
      <c r="M3375" s="20">
        <v>7.925773174024212E18</v>
      </c>
    </row>
    <row r="3376">
      <c r="A3376" s="6"/>
      <c r="B3376" s="6"/>
      <c r="C3376" s="4"/>
      <c r="D3376" s="4">
        <v>11.6073906239032</v>
      </c>
      <c r="E3376" s="4" t="s">
        <v>5182</v>
      </c>
      <c r="F3376" s="4"/>
      <c r="G3376" s="4"/>
      <c r="H3376" s="4"/>
      <c r="I3376" s="4" t="str">
        <f>IFERROR(__xludf.DUMMYFUNCTION("""COMPUTED_VALUE"""),"0xe9bd0ab4bc46e0465e0b7d14a1b3f2f6839fb998")</f>
        <v>0xe9bd0ab4bc46e0465e0b7d14a1b3f2f6839fb998</v>
      </c>
      <c r="J3376" s="18">
        <v>33.862525622838696</v>
      </c>
      <c r="K3376" s="4">
        <v>423.28157028548367</v>
      </c>
      <c r="L3376" s="19">
        <v>4.2328157028548366E20</v>
      </c>
      <c r="M3376" s="20">
        <v>4.232815702854837E19</v>
      </c>
    </row>
    <row r="3377">
      <c r="A3377" s="6"/>
      <c r="B3377" s="6"/>
      <c r="C3377" s="4"/>
      <c r="D3377" s="4">
        <v>12.9280408769008</v>
      </c>
      <c r="E3377" s="4" t="s">
        <v>5183</v>
      </c>
      <c r="F3377" s="4"/>
      <c r="G3377" s="4"/>
      <c r="H3377" s="4"/>
      <c r="I3377" s="4" t="str">
        <f>IFERROR(__xludf.DUMMYFUNCTION("""COMPUTED_VALUE"""),"0xdbc5bd0822f1eb61557b13bbba0c604665d5444e")</f>
        <v>0xdbc5bd0822f1eb61557b13bbba0c604665d5444e</v>
      </c>
      <c r="J3377" s="18">
        <v>20.2672015567092</v>
      </c>
      <c r="K3377" s="4">
        <v>253.340019458865</v>
      </c>
      <c r="L3377" s="19">
        <v>2.5334001945886497E20</v>
      </c>
      <c r="M3377" s="20">
        <v>2.53340019458865E19</v>
      </c>
    </row>
    <row r="3378">
      <c r="A3378" s="6"/>
      <c r="B3378" s="6"/>
      <c r="C3378" s="4"/>
      <c r="D3378" s="4">
        <v>48.3641275995966</v>
      </c>
      <c r="E3378" s="4" t="s">
        <v>5185</v>
      </c>
      <c r="F3378" s="4"/>
      <c r="G3378" s="4"/>
      <c r="H3378" s="4"/>
      <c r="I3378" s="4" t="str">
        <f>IFERROR(__xludf.DUMMYFUNCTION("""COMPUTED_VALUE"""),"0x23b6e0b1b38e039715ca25f93867f49e12912ce7")</f>
        <v>0x23b6e0b1b38e039715ca25f93867f49e12912ce7</v>
      </c>
      <c r="J3378" s="18">
        <v>9.672825519919328</v>
      </c>
      <c r="K3378" s="4">
        <v>120.9103189989916</v>
      </c>
      <c r="L3378" s="19">
        <v>1.209103189989916E20</v>
      </c>
      <c r="M3378" s="20">
        <v>1.209103189989916E19</v>
      </c>
    </row>
    <row r="3379">
      <c r="A3379" s="6"/>
      <c r="B3379" s="6"/>
      <c r="C3379" s="4"/>
      <c r="D3379" s="4">
        <v>11.5929345461615</v>
      </c>
      <c r="E3379" s="4" t="s">
        <v>5186</v>
      </c>
      <c r="F3379" s="4"/>
      <c r="G3379" s="4"/>
      <c r="H3379" s="4"/>
      <c r="I3379" s="4" t="str">
        <f>IFERROR(__xludf.DUMMYFUNCTION("""COMPUTED_VALUE"""),"0xd4388e6c9274ade042b33f5b863b1303ce090e3d")</f>
        <v>0xd4388e6c9274ade042b33f5b863b1303ce090e3d</v>
      </c>
      <c r="J3379" s="18">
        <v>9.672825519919328</v>
      </c>
      <c r="K3379" s="4">
        <v>120.9103189989916</v>
      </c>
      <c r="L3379" s="19">
        <v>1.209103189989916E20</v>
      </c>
      <c r="M3379" s="20">
        <v>1.209103189989916E19</v>
      </c>
    </row>
    <row r="3380">
      <c r="A3380" s="6"/>
      <c r="B3380" s="6"/>
      <c r="C3380" s="4"/>
      <c r="D3380" s="4">
        <v>19.3456510398386</v>
      </c>
      <c r="E3380" s="4" t="s">
        <v>5188</v>
      </c>
      <c r="F3380" s="4"/>
      <c r="G3380" s="4"/>
      <c r="H3380" s="4"/>
      <c r="I3380" s="4" t="str">
        <f>IFERROR(__xludf.DUMMYFUNCTION("""COMPUTED_VALUE"""),"0x35499d887fd7c479d6e949bbb42d8cc4b445a1a2")</f>
        <v>0x35499d887fd7c479d6e949bbb42d8cc4b445a1a2</v>
      </c>
      <c r="J3380" s="18">
        <v>19.4820659634374</v>
      </c>
      <c r="K3380" s="4">
        <v>243.52582454296748</v>
      </c>
      <c r="L3380" s="19">
        <v>2.435258245429675E20</v>
      </c>
      <c r="M3380" s="20">
        <v>2.4352582454296752E19</v>
      </c>
    </row>
    <row r="3381">
      <c r="A3381" s="6"/>
      <c r="B3381" s="6"/>
      <c r="C3381" s="4"/>
      <c r="D3381" s="4">
        <v>48.3641275995966</v>
      </c>
      <c r="E3381" s="4" t="s">
        <v>5189</v>
      </c>
      <c r="F3381" s="4"/>
      <c r="G3381" s="4"/>
      <c r="H3381" s="4"/>
      <c r="I3381" s="4" t="str">
        <f>IFERROR(__xludf.DUMMYFUNCTION("""COMPUTED_VALUE"""),"0x29d6d6d84c9662486198667b5a9fbda3e698b23f")</f>
        <v>0x29d6d6d84c9662486198667b5a9fbda3e698b23f</v>
      </c>
      <c r="J3381" s="18">
        <v>212.1372476280784</v>
      </c>
      <c r="K3381" s="4">
        <v>2651.71559535098</v>
      </c>
      <c r="L3381" s="19">
        <v>2.65171559535098E21</v>
      </c>
      <c r="M3381" s="20">
        <v>2.65171559535098E20</v>
      </c>
    </row>
    <row r="3382">
      <c r="A3382" s="6"/>
      <c r="B3382" s="6"/>
      <c r="C3382" s="4"/>
      <c r="D3382" s="4">
        <v>48.3641275995966</v>
      </c>
      <c r="E3382" s="4" t="s">
        <v>5190</v>
      </c>
      <c r="F3382" s="4"/>
      <c r="G3382" s="4"/>
      <c r="H3382" s="4"/>
      <c r="I3382" s="4" t="str">
        <f>IFERROR(__xludf.DUMMYFUNCTION("""COMPUTED_VALUE"""),"0x07266611a9000c0225cf1501020ff0b058f0e6cb")</f>
        <v>0x07266611a9000c0225cf1501020ff0b058f0e6cb</v>
      </c>
      <c r="J3382" s="18">
        <v>48.3641275995966</v>
      </c>
      <c r="K3382" s="4">
        <v>604.5515949949574</v>
      </c>
      <c r="L3382" s="19">
        <v>6.045515949949574E20</v>
      </c>
      <c r="M3382" s="20">
        <v>6.045515949949574E19</v>
      </c>
    </row>
    <row r="3383">
      <c r="A3383" s="6"/>
      <c r="B3383" s="6"/>
      <c r="C3383" s="4"/>
      <c r="D3383" s="4">
        <v>48.3641275995966</v>
      </c>
      <c r="E3383" s="4" t="s">
        <v>5191</v>
      </c>
      <c r="F3383" s="4"/>
      <c r="G3383" s="4"/>
      <c r="H3383" s="4"/>
      <c r="I3383" s="4" t="str">
        <f>IFERROR(__xludf.DUMMYFUNCTION("""COMPUTED_VALUE"""),"0xdec8797370570dc933d8c0dab3c293ed35c040c5")</f>
        <v>0xdec8797370570dc933d8c0dab3c293ed35c040c5</v>
      </c>
      <c r="J3383" s="18">
        <v>19.3456510398386</v>
      </c>
      <c r="K3383" s="4">
        <v>241.8206379979825</v>
      </c>
      <c r="L3383" s="19">
        <v>2.4182063799798248E20</v>
      </c>
      <c r="M3383" s="20">
        <v>2.418206379979825E19</v>
      </c>
    </row>
    <row r="3384">
      <c r="A3384" s="6"/>
      <c r="B3384" s="6"/>
      <c r="C3384" s="4"/>
      <c r="D3384" s="4">
        <v>14.1272831072021</v>
      </c>
      <c r="E3384" s="4" t="s">
        <v>5192</v>
      </c>
      <c r="F3384" s="4"/>
      <c r="G3384" s="4"/>
      <c r="H3384" s="4"/>
      <c r="I3384" s="4" t="str">
        <f>IFERROR(__xludf.DUMMYFUNCTION("""COMPUTED_VALUE"""),"0xe997db0da62a4065eed19c8432f6bc8288e38e61")</f>
        <v>0xe997db0da62a4065eed19c8432f6bc8288e38e61</v>
      </c>
      <c r="J3384" s="18">
        <v>62.9667643124901</v>
      </c>
      <c r="K3384" s="4">
        <v>787.0845539061262</v>
      </c>
      <c r="L3384" s="19">
        <v>7.870845539061262E20</v>
      </c>
      <c r="M3384" s="20">
        <v>7.870845539061262E19</v>
      </c>
    </row>
    <row r="3385">
      <c r="A3385" s="6"/>
      <c r="B3385" s="6"/>
      <c r="C3385" s="4"/>
      <c r="D3385" s="4">
        <v>35.4412372343557</v>
      </c>
      <c r="E3385" s="4" t="s">
        <v>5194</v>
      </c>
      <c r="F3385" s="4"/>
      <c r="G3385" s="4"/>
      <c r="H3385" s="4"/>
      <c r="I3385" s="4" t="str">
        <f>IFERROR(__xludf.DUMMYFUNCTION("""COMPUTED_VALUE"""),"0x73b88413ada5088c86eff8c6c826e231c69435c9")</f>
        <v>0x73b88413ada5088c86eff8c6c826e231c69435c9</v>
      </c>
      <c r="J3385" s="18">
        <v>48.3641275995966</v>
      </c>
      <c r="K3385" s="4">
        <v>604.5515949949574</v>
      </c>
      <c r="L3385" s="19">
        <v>6.045515949949574E20</v>
      </c>
      <c r="M3385" s="20">
        <v>6.045515949949574E19</v>
      </c>
    </row>
    <row r="3386">
      <c r="A3386" s="6"/>
      <c r="B3386" s="6"/>
      <c r="C3386" s="4"/>
      <c r="D3386" s="4">
        <v>48.3641275995966</v>
      </c>
      <c r="E3386" s="4" t="s">
        <v>5196</v>
      </c>
      <c r="F3386" s="4"/>
      <c r="G3386" s="4"/>
      <c r="H3386" s="4"/>
      <c r="I3386" s="4" t="str">
        <f>IFERROR(__xludf.DUMMYFUNCTION("""COMPUTED_VALUE"""),"0xd69ce1bc0d0ffc44d6a751f39833fbe5ac94b0e1")</f>
        <v>0xd69ce1bc0d0ffc44d6a751f39833fbe5ac94b0e1</v>
      </c>
      <c r="J3386" s="18">
        <v>57.66472560997164</v>
      </c>
      <c r="K3386" s="4">
        <v>720.8090701246455</v>
      </c>
      <c r="L3386" s="19">
        <v>7.208090701246455E20</v>
      </c>
      <c r="M3386" s="20">
        <v>7.208090701246455E19</v>
      </c>
    </row>
    <row r="3387">
      <c r="A3387" s="6"/>
      <c r="B3387" s="6"/>
      <c r="C3387" s="4"/>
      <c r="D3387" s="4">
        <v>1.57639810132401</v>
      </c>
      <c r="E3387" s="4" t="s">
        <v>1075</v>
      </c>
      <c r="F3387" s="4"/>
      <c r="G3387" s="4"/>
      <c r="H3387" s="4"/>
      <c r="I3387" s="4" t="str">
        <f>IFERROR(__xludf.DUMMYFUNCTION("""COMPUTED_VALUE"""),"0x28f7d35bd8e518e29c19f3274451b82f3c5623d8")</f>
        <v>0x28f7d35bd8e518e29c19f3274451b82f3c5623d8</v>
      </c>
      <c r="J3387" s="18">
        <v>2.74597423370116</v>
      </c>
      <c r="K3387" s="4">
        <v>34.3246779212645</v>
      </c>
      <c r="L3387" s="19">
        <v>3.43246779212645E19</v>
      </c>
      <c r="M3387" s="20">
        <v>3.43246779212645E18</v>
      </c>
    </row>
    <row r="3388">
      <c r="A3388" s="6"/>
      <c r="B3388" s="6"/>
      <c r="C3388" s="4"/>
      <c r="D3388" s="4">
        <v>6.951021283338511</v>
      </c>
      <c r="E3388" s="4" t="s">
        <v>5198</v>
      </c>
      <c r="F3388" s="4"/>
      <c r="G3388" s="4"/>
      <c r="H3388" s="4"/>
      <c r="I3388" s="4" t="str">
        <f>IFERROR(__xludf.DUMMYFUNCTION("""COMPUTED_VALUE"""),"0x6745288f82b5d48289f8740596241b761cb78b2c")</f>
        <v>0x6745288f82b5d48289f8740596241b761cb78b2c</v>
      </c>
      <c r="J3388" s="18">
        <v>48.3641275995966</v>
      </c>
      <c r="K3388" s="4">
        <v>604.5515949949574</v>
      </c>
      <c r="L3388" s="19">
        <v>6.045515949949574E20</v>
      </c>
      <c r="M3388" s="20">
        <v>6.045515949949574E19</v>
      </c>
    </row>
    <row r="3389">
      <c r="A3389" s="6"/>
      <c r="B3389" s="6"/>
      <c r="C3389" s="4"/>
      <c r="D3389" s="4">
        <v>6.362344483169689</v>
      </c>
      <c r="E3389" s="4" t="s">
        <v>5200</v>
      </c>
      <c r="F3389" s="4"/>
      <c r="G3389" s="4"/>
      <c r="H3389" s="4"/>
      <c r="I3389" s="4" t="str">
        <f>IFERROR(__xludf.DUMMYFUNCTION("""COMPUTED_VALUE"""),"0x685aa5ecec2700054945885ecb1aafb56ebbe386")</f>
        <v>0x685aa5ecec2700054945885ecb1aafb56ebbe386</v>
      </c>
      <c r="J3389" s="18">
        <v>55.137788844363754</v>
      </c>
      <c r="K3389" s="4">
        <v>689.2223605545469</v>
      </c>
      <c r="L3389" s="19">
        <v>6.892223605545469E20</v>
      </c>
      <c r="M3389" s="20">
        <v>6.8922236055454695E19</v>
      </c>
    </row>
    <row r="3390">
      <c r="A3390" s="6"/>
      <c r="B3390" s="6"/>
      <c r="C3390" s="4"/>
      <c r="D3390" s="4">
        <v>48.3641275995966</v>
      </c>
      <c r="E3390" s="4" t="s">
        <v>5202</v>
      </c>
      <c r="F3390" s="4"/>
      <c r="G3390" s="4"/>
      <c r="H3390" s="4"/>
      <c r="I3390" s="4" t="str">
        <f>IFERROR(__xludf.DUMMYFUNCTION("""COMPUTED_VALUE"""),"0x46609553fb9940ecee893ca810060b3ee4d8216f")</f>
        <v>0x46609553fb9940ecee893ca810060b3ee4d8216f</v>
      </c>
      <c r="J3390" s="18">
        <v>41.3919409757019</v>
      </c>
      <c r="K3390" s="4">
        <v>517.3992621962738</v>
      </c>
      <c r="L3390" s="19">
        <v>5.173992621962738E20</v>
      </c>
      <c r="M3390" s="20">
        <v>5.173992621962738E19</v>
      </c>
    </row>
    <row r="3391">
      <c r="A3391" s="6"/>
      <c r="B3391" s="6"/>
      <c r="C3391" s="4"/>
      <c r="D3391" s="4">
        <v>6.2610265025333804</v>
      </c>
      <c r="E3391" s="4" t="s">
        <v>5203</v>
      </c>
      <c r="F3391" s="4"/>
      <c r="G3391" s="4"/>
      <c r="H3391" s="4"/>
      <c r="I3391" s="4" t="str">
        <f>IFERROR(__xludf.DUMMYFUNCTION("""COMPUTED_VALUE"""),"0xd6d729166a2adc26f6a02beb105057b3f3066a19")</f>
        <v>0xd6d729166a2adc26f6a02beb105057b3f3066a19</v>
      </c>
      <c r="J3391" s="18">
        <v>40.213117160063305</v>
      </c>
      <c r="K3391" s="4">
        <v>502.6639645007913</v>
      </c>
      <c r="L3391" s="19">
        <v>5.0266396450079126E20</v>
      </c>
      <c r="M3391" s="20">
        <v>5.026639645007913E19</v>
      </c>
    </row>
    <row r="3392">
      <c r="A3392" s="6"/>
      <c r="B3392" s="6"/>
      <c r="C3392" s="4"/>
      <c r="D3392" s="4">
        <v>48.3641275995966</v>
      </c>
      <c r="E3392" s="4" t="s">
        <v>5205</v>
      </c>
      <c r="F3392" s="4"/>
      <c r="G3392" s="4"/>
      <c r="H3392" s="4"/>
      <c r="I3392" s="4" t="str">
        <f>IFERROR(__xludf.DUMMYFUNCTION("""COMPUTED_VALUE"""),"0x95d7ae61d7c6982e98b2a142b0074685b3a6057a")</f>
        <v>0x95d7ae61d7c6982e98b2a142b0074685b3a6057a</v>
      </c>
      <c r="J3392" s="18">
        <v>48.3641275995966</v>
      </c>
      <c r="K3392" s="4">
        <v>604.5515949949574</v>
      </c>
      <c r="L3392" s="19">
        <v>6.045515949949574E20</v>
      </c>
      <c r="M3392" s="20">
        <v>6.045515949949574E19</v>
      </c>
    </row>
    <row r="3393">
      <c r="A3393" s="6"/>
      <c r="B3393" s="6"/>
      <c r="C3393" s="4"/>
      <c r="D3393" s="4">
        <v>7.29555455344555</v>
      </c>
      <c r="E3393" s="4" t="s">
        <v>5206</v>
      </c>
      <c r="F3393" s="4"/>
      <c r="G3393" s="4"/>
      <c r="H3393" s="4"/>
      <c r="I3393" s="4" t="str">
        <f>IFERROR(__xludf.DUMMYFUNCTION("""COMPUTED_VALUE"""),"0x4e7b1f5d52889144eb73ed4aff7b2dbaa511c6f3")</f>
        <v>0x4e7b1f5d52889144eb73ed4aff7b2dbaa511c6f3</v>
      </c>
      <c r="J3393" s="18">
        <v>234.37608780709658</v>
      </c>
      <c r="K3393" s="4">
        <v>2929.7010975887074</v>
      </c>
      <c r="L3393" s="19">
        <v>2.9297010975887076E21</v>
      </c>
      <c r="M3393" s="20">
        <v>2.9297010975887078E20</v>
      </c>
    </row>
    <row r="3394">
      <c r="A3394" s="6"/>
      <c r="B3394" s="6"/>
      <c r="C3394" s="4"/>
      <c r="D3394" s="4">
        <v>36.7673851643252</v>
      </c>
      <c r="E3394" s="4" t="s">
        <v>5208</v>
      </c>
      <c r="F3394" s="4"/>
      <c r="G3394" s="4"/>
      <c r="H3394" s="4"/>
      <c r="I3394" s="4" t="str">
        <f>IFERROR(__xludf.DUMMYFUNCTION("""COMPUTED_VALUE"""),"0xe121bd1ae65971c7372915623ec31be98175d063")</f>
        <v>0xe121bd1ae65971c7372915623ec31be98175d063</v>
      </c>
      <c r="J3394" s="18">
        <v>46.7187230181871</v>
      </c>
      <c r="K3394" s="4">
        <v>583.9840377273388</v>
      </c>
      <c r="L3394" s="19">
        <v>5.8398403772733876E20</v>
      </c>
      <c r="M3394" s="20">
        <v>5.839840377273388E19</v>
      </c>
    </row>
    <row r="3395">
      <c r="A3395" s="6"/>
      <c r="B3395" s="6"/>
      <c r="C3395" s="4"/>
      <c r="D3395" s="4">
        <v>0.6534112732467869</v>
      </c>
      <c r="E3395" s="4" t="s">
        <v>5210</v>
      </c>
      <c r="F3395" s="4"/>
      <c r="G3395" s="4"/>
      <c r="H3395" s="4"/>
      <c r="I3395" s="4" t="str">
        <f>IFERROR(__xludf.DUMMYFUNCTION("""COMPUTED_VALUE"""),"0x2c0a751f0029048a43e70107e625b1282326beb9")</f>
        <v>0x2c0a751f0029048a43e70107e625b1282326beb9</v>
      </c>
      <c r="J3395" s="18">
        <v>9.7576360804454</v>
      </c>
      <c r="K3395" s="4">
        <v>121.9704510055675</v>
      </c>
      <c r="L3395" s="19">
        <v>1.219704510055675E20</v>
      </c>
      <c r="M3395" s="20">
        <v>1.219704510055675E19</v>
      </c>
    </row>
    <row r="3396">
      <c r="A3396" s="6"/>
      <c r="B3396" s="6"/>
      <c r="C3396" s="4"/>
      <c r="D3396" s="4">
        <v>3.8691302079677303</v>
      </c>
      <c r="E3396" s="4" t="s">
        <v>5212</v>
      </c>
      <c r="F3396" s="4"/>
      <c r="G3396" s="4"/>
      <c r="H3396" s="4"/>
      <c r="I3396" s="4" t="str">
        <f>IFERROR(__xludf.DUMMYFUNCTION("""COMPUTED_VALUE"""),"0x066579164d50119a1f47bf0f4f8adfabc0604745")</f>
        <v>0x066579164d50119a1f47bf0f4f8adfabc0604745</v>
      </c>
      <c r="J3396" s="18">
        <v>9.67282566868738</v>
      </c>
      <c r="K3396" s="4">
        <v>120.91032085859226</v>
      </c>
      <c r="L3396" s="19">
        <v>1.2091032085859226E20</v>
      </c>
      <c r="M3396" s="20">
        <v>1.2091032085859228E19</v>
      </c>
    </row>
    <row r="3397">
      <c r="A3397" s="6"/>
      <c r="B3397" s="6"/>
      <c r="C3397" s="4"/>
      <c r="D3397" s="4">
        <v>22.8472088289651</v>
      </c>
      <c r="E3397" s="4" t="s">
        <v>5213</v>
      </c>
      <c r="F3397" s="4"/>
      <c r="G3397" s="4"/>
      <c r="H3397" s="4"/>
      <c r="I3397" s="4" t="str">
        <f>IFERROR(__xludf.DUMMYFUNCTION("""COMPUTED_VALUE"""),"0x96b98abfa967193b0baa70a0c13953e252ace6ef")</f>
        <v>0x96b98abfa967193b0baa70a0c13953e252ace6ef</v>
      </c>
      <c r="J3397" s="18">
        <v>48.3641275995966</v>
      </c>
      <c r="K3397" s="4">
        <v>604.5515949949574</v>
      </c>
      <c r="L3397" s="19">
        <v>6.045515949949574E20</v>
      </c>
      <c r="M3397" s="20">
        <v>6.045515949949574E19</v>
      </c>
    </row>
    <row r="3398">
      <c r="A3398" s="6"/>
      <c r="B3398" s="6"/>
      <c r="C3398" s="4"/>
      <c r="D3398" s="4">
        <v>14.5914483927689</v>
      </c>
      <c r="E3398" s="4" t="s">
        <v>5215</v>
      </c>
      <c r="F3398" s="4"/>
      <c r="G3398" s="4"/>
      <c r="H3398" s="4"/>
      <c r="I3398" s="4" t="str">
        <f>IFERROR(__xludf.DUMMYFUNCTION("""COMPUTED_VALUE"""),"0x60a789530020f1df44a2e3592b66ef73a6ac33a8")</f>
        <v>0x60a789530020f1df44a2e3592b66ef73a6ac33a8</v>
      </c>
      <c r="J3398" s="18">
        <v>6.34896783303172</v>
      </c>
      <c r="K3398" s="4">
        <v>79.3620979128965</v>
      </c>
      <c r="L3398" s="19">
        <v>7.93620979128965E19</v>
      </c>
      <c r="M3398" s="20">
        <v>7.936209791289651E18</v>
      </c>
    </row>
    <row r="3399">
      <c r="A3399" s="6"/>
      <c r="B3399" s="6"/>
      <c r="C3399" s="4"/>
      <c r="D3399" s="4">
        <v>25.2183138629143</v>
      </c>
      <c r="E3399" s="4" t="s">
        <v>5217</v>
      </c>
      <c r="F3399" s="4"/>
      <c r="G3399" s="4"/>
      <c r="H3399" s="4"/>
      <c r="I3399" s="4" t="str">
        <f>IFERROR(__xludf.DUMMYFUNCTION("""COMPUTED_VALUE"""),"0x0b3d45f183ba7184fd4bbfa1f720a9863ad0ff40")</f>
        <v>0x0b3d45f183ba7184fd4bbfa1f720a9863ad0ff40</v>
      </c>
      <c r="J3399" s="18">
        <v>8.88404324741616</v>
      </c>
      <c r="K3399" s="4">
        <v>111.050540592702</v>
      </c>
      <c r="L3399" s="19">
        <v>1.1105054059270201E20</v>
      </c>
      <c r="M3399" s="20">
        <v>1.1105054059270201E19</v>
      </c>
    </row>
    <row r="3400">
      <c r="A3400" s="6"/>
      <c r="B3400" s="6"/>
      <c r="C3400" s="4"/>
      <c r="D3400" s="4">
        <v>48.3641275995966</v>
      </c>
      <c r="E3400" s="4" t="s">
        <v>5219</v>
      </c>
      <c r="F3400" s="4"/>
      <c r="G3400" s="4"/>
      <c r="H3400" s="4"/>
      <c r="I3400" s="4" t="str">
        <f>IFERROR(__xludf.DUMMYFUNCTION("""COMPUTED_VALUE"""),"0x3b9e8f764ecbe645f4bfec1a3c6fa1c8ee855106")</f>
        <v>0x3b9e8f764ecbe645f4bfec1a3c6fa1c8ee855106</v>
      </c>
      <c r="J3400" s="18">
        <v>108.0840058631033</v>
      </c>
      <c r="K3400" s="4">
        <v>1351.0500732887913</v>
      </c>
      <c r="L3400" s="19">
        <v>1.3510500732887913E21</v>
      </c>
      <c r="M3400" s="20">
        <v>1.3510500732887913E20</v>
      </c>
    </row>
    <row r="3401">
      <c r="A3401" s="6"/>
      <c r="B3401" s="6"/>
      <c r="C3401" s="4"/>
      <c r="D3401" s="4">
        <v>48.3641275995966</v>
      </c>
      <c r="E3401" s="4" t="s">
        <v>5220</v>
      </c>
      <c r="F3401" s="4"/>
      <c r="G3401" s="4"/>
      <c r="H3401" s="4"/>
      <c r="I3401" s="4" t="str">
        <f>IFERROR(__xludf.DUMMYFUNCTION("""COMPUTED_VALUE"""),"0x8dbba3bd4bddecd23dd68d1f1d5ecaf594082dd4")</f>
        <v>0x8dbba3bd4bddecd23dd68d1f1d5ecaf594082dd4</v>
      </c>
      <c r="J3401" s="18">
        <v>4.801141208346859</v>
      </c>
      <c r="K3401" s="4">
        <v>60.01426510433574</v>
      </c>
      <c r="L3401" s="19">
        <v>6.001426510433574E19</v>
      </c>
      <c r="M3401" s="20">
        <v>6.001426510433575E18</v>
      </c>
    </row>
    <row r="3402">
      <c r="A3402" s="6"/>
      <c r="B3402" s="6"/>
      <c r="C3402" s="4"/>
      <c r="D3402" s="4">
        <v>9.672825519919328</v>
      </c>
      <c r="E3402" s="4" t="s">
        <v>5221</v>
      </c>
      <c r="F3402" s="4"/>
      <c r="G3402" s="4"/>
      <c r="H3402" s="4"/>
      <c r="I3402" s="4" t="str">
        <f>IFERROR(__xludf.DUMMYFUNCTION("""COMPUTED_VALUE"""),"0xbc28f6bed5cf542af0d3e617b43a06d60208130a")</f>
        <v>0xbc28f6bed5cf542af0d3e617b43a06d60208130a</v>
      </c>
      <c r="J3402" s="18">
        <v>48.3641275995966</v>
      </c>
      <c r="K3402" s="4">
        <v>604.5515949949574</v>
      </c>
      <c r="L3402" s="19">
        <v>6.045515949949574E20</v>
      </c>
      <c r="M3402" s="20">
        <v>6.045515949949574E19</v>
      </c>
    </row>
    <row r="3403">
      <c r="A3403" s="6"/>
      <c r="B3403" s="6"/>
      <c r="C3403" s="4"/>
      <c r="D3403" s="4">
        <v>48.3641275995966</v>
      </c>
      <c r="E3403" s="4" t="s">
        <v>5222</v>
      </c>
      <c r="F3403" s="4"/>
      <c r="G3403" s="4"/>
      <c r="H3403" s="4"/>
      <c r="I3403" s="4" t="str">
        <f>IFERROR(__xludf.DUMMYFUNCTION("""COMPUTED_VALUE"""),"0x1a2cf16941505fed6a60ebbb339096cf4cac8b92")</f>
        <v>0x1a2cf16941505fed6a60ebbb339096cf4cac8b92</v>
      </c>
      <c r="J3403" s="18">
        <v>126.6977001098106</v>
      </c>
      <c r="K3403" s="4">
        <v>1583.7212513726324</v>
      </c>
      <c r="L3403" s="19">
        <v>1.5837212513726324E21</v>
      </c>
      <c r="M3403" s="20">
        <v>1.5837212513726323E20</v>
      </c>
    </row>
    <row r="3404">
      <c r="A3404" s="6"/>
      <c r="B3404" s="6"/>
      <c r="C3404" s="4"/>
      <c r="D3404" s="4">
        <v>9.86628203031772</v>
      </c>
      <c r="E3404" s="4" t="s">
        <v>5223</v>
      </c>
      <c r="F3404" s="4"/>
      <c r="G3404" s="4"/>
      <c r="H3404" s="4"/>
      <c r="I3404" s="4" t="str">
        <f>IFERROR(__xludf.DUMMYFUNCTION("""COMPUTED_VALUE"""),"0x9e9f1cc85fdf587bb485dee861e79c7d851e07ae")</f>
        <v>0x9e9f1cc85fdf587bb485dee861e79c7d851e07ae</v>
      </c>
      <c r="J3404" s="18">
        <v>180.1601809448436</v>
      </c>
      <c r="K3404" s="4">
        <v>2252.002261810545</v>
      </c>
      <c r="L3404" s="19">
        <v>2.252002261810545E21</v>
      </c>
      <c r="M3404" s="20">
        <v>2.252002261810545E20</v>
      </c>
    </row>
    <row r="3405">
      <c r="A3405" s="6"/>
      <c r="B3405" s="6"/>
      <c r="C3405" s="4"/>
      <c r="D3405" s="4">
        <v>29.018476559758</v>
      </c>
      <c r="E3405" s="4" t="s">
        <v>5224</v>
      </c>
      <c r="F3405" s="4"/>
      <c r="G3405" s="4"/>
      <c r="H3405" s="4"/>
      <c r="I3405" s="4" t="str">
        <f>IFERROR(__xludf.DUMMYFUNCTION("""COMPUTED_VALUE"""),"0xb55fe5fa41d6a4b1b9b9c95747a22300c665da99")</f>
        <v>0xb55fe5fa41d6a4b1b9b9c95747a22300c665da99</v>
      </c>
      <c r="J3405" s="18">
        <v>74.0761361050881</v>
      </c>
      <c r="K3405" s="4">
        <v>925.9517013136012</v>
      </c>
      <c r="L3405" s="19">
        <v>9.259517013136013E20</v>
      </c>
      <c r="M3405" s="20">
        <v>9.259517013136014E19</v>
      </c>
    </row>
    <row r="3406">
      <c r="A3406" s="6"/>
      <c r="B3406" s="6"/>
      <c r="C3406" s="4"/>
      <c r="D3406" s="4">
        <v>19.745699521287598</v>
      </c>
      <c r="E3406" s="4" t="s">
        <v>5225</v>
      </c>
      <c r="F3406" s="4"/>
      <c r="G3406" s="4"/>
      <c r="H3406" s="4"/>
      <c r="I3406" s="4" t="str">
        <f>IFERROR(__xludf.DUMMYFUNCTION("""COMPUTED_VALUE"""),"0xa1cd4902aba7c32fa5e046f289bee880936f223f")</f>
        <v>0xa1cd4902aba7c32fa5e046f289bee880936f223f</v>
      </c>
      <c r="J3406" s="18">
        <v>48.3641275995966</v>
      </c>
      <c r="K3406" s="4">
        <v>604.5515949949574</v>
      </c>
      <c r="L3406" s="19">
        <v>6.045515949949574E20</v>
      </c>
      <c r="M3406" s="20">
        <v>6.045515949949574E19</v>
      </c>
    </row>
    <row r="3407">
      <c r="A3407" s="6"/>
      <c r="B3407" s="6"/>
      <c r="C3407" s="4"/>
      <c r="D3407" s="4">
        <v>19.3456510398386</v>
      </c>
      <c r="E3407" s="4" t="s">
        <v>5227</v>
      </c>
      <c r="F3407" s="4"/>
      <c r="G3407" s="4"/>
      <c r="H3407" s="4"/>
      <c r="I3407" s="4" t="str">
        <f>IFERROR(__xludf.DUMMYFUNCTION("""COMPUTED_VALUE"""),"0xfba0a4c751cdd93fd4c1a932af495edf0eafa1b5")</f>
        <v>0xfba0a4c751cdd93fd4c1a932af495edf0eafa1b5</v>
      </c>
      <c r="J3407" s="18">
        <v>48.3641275995966</v>
      </c>
      <c r="K3407" s="4">
        <v>604.5515949949574</v>
      </c>
      <c r="L3407" s="19">
        <v>6.045515949949574E20</v>
      </c>
      <c r="M3407" s="20">
        <v>6.045515949949574E19</v>
      </c>
    </row>
    <row r="3408">
      <c r="A3408" s="6"/>
      <c r="B3408" s="6"/>
      <c r="C3408" s="4"/>
      <c r="D3408" s="4">
        <v>3.43202804309943</v>
      </c>
      <c r="E3408" s="4" t="s">
        <v>5228</v>
      </c>
      <c r="F3408" s="4"/>
      <c r="G3408" s="4"/>
      <c r="H3408" s="4"/>
      <c r="I3408" s="4" t="str">
        <f>IFERROR(__xludf.DUMMYFUNCTION("""COMPUTED_VALUE"""),"0x7a0f05b15624f2c6047fad7381a93be58b410bc0")</f>
        <v>0x7a0f05b15624f2c6047fad7381a93be58b410bc0</v>
      </c>
      <c r="J3408" s="18">
        <v>9.672825519919328</v>
      </c>
      <c r="K3408" s="4">
        <v>120.9103189989916</v>
      </c>
      <c r="L3408" s="19">
        <v>1.209103189989916E20</v>
      </c>
      <c r="M3408" s="20">
        <v>1.209103189989916E19</v>
      </c>
    </row>
    <row r="3409">
      <c r="A3409" s="6"/>
      <c r="B3409" s="6"/>
      <c r="C3409" s="4"/>
      <c r="D3409" s="4">
        <v>48.3641275995966</v>
      </c>
      <c r="E3409" s="4" t="s">
        <v>5230</v>
      </c>
      <c r="F3409" s="4"/>
      <c r="G3409" s="4"/>
      <c r="H3409" s="4"/>
      <c r="I3409" s="4" t="str">
        <f>IFERROR(__xludf.DUMMYFUNCTION("""COMPUTED_VALUE"""),"0xa10d89d792378e651e67899ad7600e9f7e3eb429")</f>
        <v>0xa10d89d792378e651e67899ad7600e9f7e3eb429</v>
      </c>
      <c r="J3409" s="18">
        <v>3.5199496248490902</v>
      </c>
      <c r="K3409" s="4">
        <v>43.99937031061363</v>
      </c>
      <c r="L3409" s="19">
        <v>4.399937031061363E19</v>
      </c>
      <c r="M3409" s="20">
        <v>4.399937031061363E18</v>
      </c>
    </row>
    <row r="3410">
      <c r="A3410" s="6"/>
      <c r="B3410" s="6"/>
      <c r="C3410" s="4"/>
      <c r="D3410" s="4">
        <v>14.9691566274286</v>
      </c>
      <c r="E3410" s="4" t="s">
        <v>5231</v>
      </c>
      <c r="F3410" s="4"/>
      <c r="G3410" s="4"/>
      <c r="H3410" s="4"/>
      <c r="I3410" s="4" t="str">
        <f>IFERROR(__xludf.DUMMYFUNCTION("""COMPUTED_VALUE"""),"0x9852d62f01953f7b421912067c38da346571c453")</f>
        <v>0x9852d62f01953f7b421912067c38da346571c453</v>
      </c>
      <c r="J3410" s="18">
        <v>7.1650062643361005</v>
      </c>
      <c r="K3410" s="4">
        <v>89.56257830420125</v>
      </c>
      <c r="L3410" s="19">
        <v>8.956257830420126E19</v>
      </c>
      <c r="M3410" s="20">
        <v>8.956257830420127E18</v>
      </c>
    </row>
    <row r="3411">
      <c r="A3411" s="6"/>
      <c r="B3411" s="6"/>
      <c r="C3411" s="4"/>
      <c r="D3411" s="4">
        <v>48.3641275995966</v>
      </c>
      <c r="E3411" s="4" t="s">
        <v>5233</v>
      </c>
      <c r="F3411" s="4"/>
      <c r="G3411" s="4"/>
      <c r="H3411" s="4"/>
      <c r="I3411" s="4" t="str">
        <f>IFERROR(__xludf.DUMMYFUNCTION("""COMPUTED_VALUE"""),"0xf4835f23cb4391a4fc6b1139041284e7eaeb9fe4")</f>
        <v>0xf4835f23cb4391a4fc6b1139041284e7eaeb9fe4</v>
      </c>
      <c r="J3411" s="18">
        <v>26.0168023707481</v>
      </c>
      <c r="K3411" s="4">
        <v>325.21002963435126</v>
      </c>
      <c r="L3411" s="19">
        <v>3.252100296343513E20</v>
      </c>
      <c r="M3411" s="20">
        <v>3.2521002963435127E19</v>
      </c>
    </row>
    <row r="3412">
      <c r="A3412" s="6"/>
      <c r="B3412" s="6"/>
      <c r="C3412" s="4"/>
      <c r="D3412" s="4">
        <v>7.475899874217911</v>
      </c>
      <c r="E3412" s="4" t="s">
        <v>5234</v>
      </c>
      <c r="F3412" s="4"/>
      <c r="G3412" s="4"/>
      <c r="H3412" s="4"/>
      <c r="I3412" s="4" t="str">
        <f>IFERROR(__xludf.DUMMYFUNCTION("""COMPUTED_VALUE"""),"0x82c55f206e3c919e2e35f9a34ae3559d3ec608d2")</f>
        <v>0x82c55f206e3c919e2e35f9a34ae3559d3ec608d2</v>
      </c>
      <c r="J3412" s="18">
        <v>42.512585317373116</v>
      </c>
      <c r="K3412" s="4">
        <v>531.4073164671639</v>
      </c>
      <c r="L3412" s="19">
        <v>5.314073164671639E20</v>
      </c>
      <c r="M3412" s="20">
        <v>5.3140731646716396E19</v>
      </c>
    </row>
    <row r="3413">
      <c r="A3413" s="6"/>
      <c r="B3413" s="6"/>
      <c r="C3413" s="4"/>
      <c r="D3413" s="4">
        <v>48.3641275995966</v>
      </c>
      <c r="E3413" s="4" t="s">
        <v>5236</v>
      </c>
      <c r="F3413" s="4"/>
      <c r="G3413" s="4"/>
      <c r="H3413" s="4"/>
      <c r="I3413" s="4" t="str">
        <f>IFERROR(__xludf.DUMMYFUNCTION("""COMPUTED_VALUE"""),"0x6d5f1a6f03956c0d0c2a92d0a9f7ebb91c0aceb1")</f>
        <v>0x6d5f1a6f03956c0d0c2a92d0a9f7ebb91c0aceb1</v>
      </c>
      <c r="J3413" s="18">
        <v>234.37608780709658</v>
      </c>
      <c r="K3413" s="4">
        <v>2929.7010975887074</v>
      </c>
      <c r="L3413" s="19">
        <v>2.9297010975887076E21</v>
      </c>
      <c r="M3413" s="20">
        <v>2.9297010975887078E20</v>
      </c>
    </row>
    <row r="3414">
      <c r="A3414" s="6"/>
      <c r="B3414" s="6"/>
      <c r="C3414" s="4"/>
      <c r="D3414" s="4">
        <v>2.8845760644925997</v>
      </c>
      <c r="E3414" s="4" t="s">
        <v>5237</v>
      </c>
      <c r="F3414" s="4"/>
      <c r="G3414" s="4"/>
      <c r="H3414" s="4"/>
      <c r="I3414" s="4" t="str">
        <f>IFERROR(__xludf.DUMMYFUNCTION("""COMPUTED_VALUE"""),"0x18f97de35feed44b02bb8ce55fc324c7d31a3731")</f>
        <v>0x18f97de35feed44b02bb8ce55fc324c7d31a3731</v>
      </c>
      <c r="J3414" s="18">
        <v>19.778661123236</v>
      </c>
      <c r="K3414" s="4">
        <v>247.23326404044997</v>
      </c>
      <c r="L3414" s="19">
        <v>2.4723326404044997E20</v>
      </c>
      <c r="M3414" s="20">
        <v>2.4723326404044997E19</v>
      </c>
    </row>
    <row r="3415">
      <c r="A3415" s="6"/>
      <c r="B3415" s="6"/>
      <c r="C3415" s="4"/>
      <c r="D3415" s="4">
        <v>38.1442452817474</v>
      </c>
      <c r="E3415" s="4" t="s">
        <v>5239</v>
      </c>
      <c r="F3415" s="4"/>
      <c r="G3415" s="4"/>
      <c r="H3415" s="4"/>
      <c r="I3415" s="4" t="str">
        <f>IFERROR(__xludf.DUMMYFUNCTION("""COMPUTED_VALUE"""),"0x07696e726470a2bce928ad2abe50824aaeadceac")</f>
        <v>0x07696e726470a2bce928ad2abe50824aaeadceac</v>
      </c>
      <c r="J3415" s="18">
        <v>2.81894369137052</v>
      </c>
      <c r="K3415" s="4">
        <v>35.236796142131496</v>
      </c>
      <c r="L3415" s="19">
        <v>3.5236796142131495E19</v>
      </c>
      <c r="M3415" s="20">
        <v>3.5236796142131497E18</v>
      </c>
    </row>
    <row r="3416">
      <c r="A3416" s="6"/>
      <c r="B3416" s="6"/>
      <c r="C3416" s="4"/>
      <c r="D3416" s="4">
        <v>8.31994785151761</v>
      </c>
      <c r="E3416" s="4" t="s">
        <v>5241</v>
      </c>
      <c r="F3416" s="4"/>
      <c r="G3416" s="4"/>
      <c r="H3416" s="4"/>
      <c r="I3416" s="4" t="str">
        <f>IFERROR(__xludf.DUMMYFUNCTION("""COMPUTED_VALUE"""),"0x6159475f9817a01d1bd4489d7ee925926d22d7a0")</f>
        <v>0x6159475f9817a01d1bd4489d7ee925926d22d7a0</v>
      </c>
      <c r="J3416" s="18">
        <v>4.31439593719886</v>
      </c>
      <c r="K3416" s="4">
        <v>53.92994921498575</v>
      </c>
      <c r="L3416" s="19">
        <v>5.392994921498575E19</v>
      </c>
      <c r="M3416" s="20">
        <v>5.392994921498575E18</v>
      </c>
    </row>
    <row r="3417">
      <c r="A3417" s="6"/>
      <c r="B3417" s="6"/>
      <c r="C3417" s="4"/>
      <c r="D3417" s="4">
        <v>48.3641275995966</v>
      </c>
      <c r="E3417" s="4" t="s">
        <v>1027</v>
      </c>
      <c r="F3417" s="4"/>
      <c r="G3417" s="4"/>
      <c r="H3417" s="4"/>
      <c r="I3417" s="4" t="str">
        <f>IFERROR(__xludf.DUMMYFUNCTION("""COMPUTED_VALUE"""),"0x8ef7ce19e2e3b9582d3f1c056c92038806ff8eb5")</f>
        <v>0x8ef7ce19e2e3b9582d3f1c056c92038806ff8eb5</v>
      </c>
      <c r="J3417" s="18">
        <v>10.236243500225699</v>
      </c>
      <c r="K3417" s="4">
        <v>127.95304375282123</v>
      </c>
      <c r="L3417" s="19">
        <v>1.2795304375282123E20</v>
      </c>
      <c r="M3417" s="20">
        <v>1.2795304375282123E19</v>
      </c>
    </row>
    <row r="3418">
      <c r="A3418" s="6"/>
      <c r="B3418" s="6"/>
      <c r="C3418" s="4"/>
      <c r="D3418" s="4">
        <v>9.672825519919328</v>
      </c>
      <c r="E3418" s="4" t="s">
        <v>5243</v>
      </c>
      <c r="F3418" s="4"/>
      <c r="G3418" s="4"/>
      <c r="H3418" s="4"/>
      <c r="I3418" s="4" t="str">
        <f>IFERROR(__xludf.DUMMYFUNCTION("""COMPUTED_VALUE"""),"0x285c782c4e1cbd2f2bed1b01abd0c8f27dd1ffb4")</f>
        <v>0x285c782c4e1cbd2f2bed1b01abd0c8f27dd1ffb4</v>
      </c>
      <c r="J3418" s="18">
        <v>48.3641275995966</v>
      </c>
      <c r="K3418" s="4">
        <v>604.5515949949574</v>
      </c>
      <c r="L3418" s="19">
        <v>6.045515949949574E20</v>
      </c>
      <c r="M3418" s="20">
        <v>6.045515949949574E19</v>
      </c>
    </row>
    <row r="3419">
      <c r="A3419" s="6"/>
      <c r="B3419" s="6"/>
      <c r="C3419" s="4"/>
      <c r="D3419" s="4">
        <v>48.3641275995966</v>
      </c>
      <c r="E3419" s="4" t="s">
        <v>5244</v>
      </c>
      <c r="F3419" s="4"/>
      <c r="G3419" s="4"/>
      <c r="H3419" s="4"/>
      <c r="I3419" s="4" t="str">
        <f>IFERROR(__xludf.DUMMYFUNCTION("""COMPUTED_VALUE"""),"0x6d3b65fe59885bca1e690f22d54b3d1d1ee0f1aa")</f>
        <v>0x6d3b65fe59885bca1e690f22d54b3d1d1ee0f1aa</v>
      </c>
      <c r="J3419" s="18">
        <v>38.300116917748596</v>
      </c>
      <c r="K3419" s="4">
        <v>478.75146147185745</v>
      </c>
      <c r="L3419" s="19">
        <v>4.787514614718575E20</v>
      </c>
      <c r="M3419" s="20">
        <v>4.7875146147185754E19</v>
      </c>
    </row>
    <row r="3420">
      <c r="A3420" s="6"/>
      <c r="B3420" s="6"/>
      <c r="C3420" s="4"/>
      <c r="D3420" s="4">
        <v>48.3641275995966</v>
      </c>
      <c r="E3420" s="4" t="s">
        <v>27</v>
      </c>
      <c r="F3420" s="4"/>
      <c r="G3420" s="4"/>
      <c r="H3420" s="4"/>
      <c r="I3420" s="4" t="str">
        <f>IFERROR(__xludf.DUMMYFUNCTION("""COMPUTED_VALUE"""),"0xa0c498b11caf35b38af174ce11a1432502ba7722")</f>
        <v>0xa0c498b11caf35b38af174ce11a1432502ba7722</v>
      </c>
      <c r="J3420" s="18">
        <v>9.672825519919328</v>
      </c>
      <c r="K3420" s="4">
        <v>120.9103189989916</v>
      </c>
      <c r="L3420" s="19">
        <v>1.209103189989916E20</v>
      </c>
      <c r="M3420" s="20">
        <v>1.209103189989916E19</v>
      </c>
    </row>
    <row r="3421">
      <c r="A3421" s="6"/>
      <c r="B3421" s="6"/>
      <c r="C3421" s="4"/>
      <c r="D3421" s="4">
        <v>20.941667584531203</v>
      </c>
      <c r="E3421" s="4" t="s">
        <v>5245</v>
      </c>
      <c r="F3421" s="4"/>
      <c r="G3421" s="4"/>
      <c r="H3421" s="4"/>
      <c r="I3421" s="4" t="str">
        <f>IFERROR(__xludf.DUMMYFUNCTION("""COMPUTED_VALUE"""),"0x661de65b066b1783ff18f54c73f7b21ea3f1d2e4")</f>
        <v>0x661de65b066b1783ff18f54c73f7b21ea3f1d2e4</v>
      </c>
      <c r="J3421" s="18">
        <v>9.672825519919328</v>
      </c>
      <c r="K3421" s="4">
        <v>120.9103189989916</v>
      </c>
      <c r="L3421" s="19">
        <v>1.209103189989916E20</v>
      </c>
      <c r="M3421" s="20">
        <v>1.209103189989916E19</v>
      </c>
    </row>
    <row r="3422">
      <c r="A3422" s="6"/>
      <c r="B3422" s="6"/>
      <c r="C3422" s="4"/>
      <c r="D3422" s="4">
        <v>19.3456510398386</v>
      </c>
      <c r="E3422" s="4" t="s">
        <v>5247</v>
      </c>
      <c r="F3422" s="4"/>
      <c r="G3422" s="4"/>
      <c r="H3422" s="4"/>
      <c r="I3422" s="4" t="str">
        <f>IFERROR(__xludf.DUMMYFUNCTION("""COMPUTED_VALUE"""),"0x0b6eefc92a0c5ae35beca92df541b363035c9a32")</f>
        <v>0x0b6eefc92a0c5ae35beca92df541b363035c9a32</v>
      </c>
      <c r="J3422" s="18">
        <v>47.2832155985446</v>
      </c>
      <c r="K3422" s="4">
        <v>591.0401949818075</v>
      </c>
      <c r="L3422" s="19">
        <v>5.910401949818075E20</v>
      </c>
      <c r="M3422" s="20">
        <v>5.9104019498180755E19</v>
      </c>
    </row>
    <row r="3423">
      <c r="A3423" s="6"/>
      <c r="B3423" s="6"/>
      <c r="C3423" s="4"/>
      <c r="D3423" s="4">
        <v>48.3641275995966</v>
      </c>
      <c r="E3423" s="4" t="s">
        <v>5248</v>
      </c>
      <c r="F3423" s="4"/>
      <c r="G3423" s="4"/>
      <c r="H3423" s="4"/>
      <c r="I3423" s="4" t="str">
        <f>IFERROR(__xludf.DUMMYFUNCTION("""COMPUTED_VALUE"""),"0xe602c0b88d151de946930ff863f2149d1cc59125")</f>
        <v>0xe602c0b88d151de946930ff863f2149d1cc59125</v>
      </c>
      <c r="J3423" s="18">
        <v>103.0763439334053</v>
      </c>
      <c r="K3423" s="4">
        <v>1288.4542991675662</v>
      </c>
      <c r="L3423" s="19">
        <v>1.2884542991675663E21</v>
      </c>
      <c r="M3423" s="20">
        <v>1.2884542991675664E20</v>
      </c>
    </row>
    <row r="3424">
      <c r="A3424" s="6"/>
      <c r="B3424" s="6"/>
      <c r="C3424" s="4"/>
      <c r="D3424" s="4">
        <v>10.271648853325601</v>
      </c>
      <c r="E3424" s="4" t="s">
        <v>5249</v>
      </c>
      <c r="F3424" s="4"/>
      <c r="G3424" s="4"/>
      <c r="H3424" s="4"/>
      <c r="I3424" s="4" t="str">
        <f>IFERROR(__xludf.DUMMYFUNCTION("""COMPUTED_VALUE"""),"0x589056d5f3d4665f7e9a76869a68dc85eabc5a53")</f>
        <v>0x589056d5f3d4665f7e9a76869a68dc85eabc5a53</v>
      </c>
      <c r="J3424" s="18">
        <v>48.3641275995966</v>
      </c>
      <c r="K3424" s="4">
        <v>604.5515949949574</v>
      </c>
      <c r="L3424" s="19">
        <v>6.045515949949574E20</v>
      </c>
      <c r="M3424" s="20">
        <v>6.045515949949574E19</v>
      </c>
    </row>
    <row r="3425">
      <c r="A3425" s="6"/>
      <c r="B3425" s="6"/>
      <c r="C3425" s="4"/>
      <c r="D3425" s="4">
        <v>9.672825519919328</v>
      </c>
      <c r="E3425" s="4" t="s">
        <v>5251</v>
      </c>
      <c r="F3425" s="4"/>
      <c r="G3425" s="4"/>
      <c r="H3425" s="4"/>
      <c r="I3425" s="4" t="str">
        <f>IFERROR(__xludf.DUMMYFUNCTION("""COMPUTED_VALUE"""),"0xfc6f290f92ff0aa9c1f0f54b75ebe385219ca310")</f>
        <v>0xfc6f290f92ff0aa9c1f0f54b75ebe385219ca310</v>
      </c>
      <c r="J3425" s="18">
        <v>10.4084643815575</v>
      </c>
      <c r="K3425" s="4">
        <v>130.10580476946876</v>
      </c>
      <c r="L3425" s="19">
        <v>1.3010580476946876E20</v>
      </c>
      <c r="M3425" s="20">
        <v>1.3010580476946876E19</v>
      </c>
    </row>
    <row r="3426">
      <c r="A3426" s="6"/>
      <c r="B3426" s="6"/>
      <c r="C3426" s="4"/>
      <c r="D3426" s="4">
        <v>48.3641275995966</v>
      </c>
      <c r="E3426" s="4" t="s">
        <v>5252</v>
      </c>
      <c r="F3426" s="4"/>
      <c r="G3426" s="4"/>
      <c r="H3426" s="4"/>
      <c r="I3426" s="4" t="str">
        <f>IFERROR(__xludf.DUMMYFUNCTION("""COMPUTED_VALUE"""),"0x33b8dedf5a7ecadbe58d0c7e1badd56ddf37e6b5")</f>
        <v>0x33b8dedf5a7ecadbe58d0c7e1badd56ddf37e6b5</v>
      </c>
      <c r="J3426" s="18">
        <v>10.0036321462162</v>
      </c>
      <c r="K3426" s="4">
        <v>125.04540182770249</v>
      </c>
      <c r="L3426" s="19">
        <v>1.2504540182770249E20</v>
      </c>
      <c r="M3426" s="20">
        <v>1.250454018277025E19</v>
      </c>
    </row>
    <row r="3427">
      <c r="A3427" s="6"/>
      <c r="B3427" s="6"/>
      <c r="C3427" s="4"/>
      <c r="D3427" s="4">
        <v>20.434051206821103</v>
      </c>
      <c r="E3427" s="4" t="s">
        <v>5253</v>
      </c>
      <c r="F3427" s="4"/>
      <c r="G3427" s="4"/>
      <c r="H3427" s="4"/>
      <c r="I3427" s="4" t="str">
        <f>IFERROR(__xludf.DUMMYFUNCTION("""COMPUTED_VALUE"""),"0x81ba05f49f2df0f4fb605da8e0bc607c4e0d7eb7")</f>
        <v>0x81ba05f49f2df0f4fb605da8e0bc607c4e0d7eb7</v>
      </c>
      <c r="J3427" s="18">
        <v>26.784250530417</v>
      </c>
      <c r="K3427" s="4">
        <v>334.80313163021253</v>
      </c>
      <c r="L3427" s="19">
        <v>3.3480313163021255E20</v>
      </c>
      <c r="M3427" s="20">
        <v>3.3480313163021255E19</v>
      </c>
    </row>
    <row r="3428">
      <c r="A3428" s="6"/>
      <c r="B3428" s="6"/>
      <c r="C3428" s="4"/>
      <c r="D3428" s="4">
        <v>1.74110859358548</v>
      </c>
      <c r="E3428" s="4" t="s">
        <v>5255</v>
      </c>
      <c r="F3428" s="4"/>
      <c r="G3428" s="4"/>
      <c r="H3428" s="4"/>
      <c r="I3428" s="4" t="str">
        <f>IFERROR(__xludf.DUMMYFUNCTION("""COMPUTED_VALUE"""),"0xaebe6883ab8b5c56c14956229497b38dd1531c75")</f>
        <v>0xaebe6883ab8b5c56c14956229497b38dd1531c75</v>
      </c>
      <c r="J3428" s="18">
        <v>76.4715765984584</v>
      </c>
      <c r="K3428" s="4">
        <v>955.89470748073</v>
      </c>
      <c r="L3428" s="19">
        <v>9.5589470748073E20</v>
      </c>
      <c r="M3428" s="20">
        <v>9.5589470748073E19</v>
      </c>
    </row>
    <row r="3429">
      <c r="A3429" s="6"/>
      <c r="B3429" s="6"/>
      <c r="C3429" s="4"/>
      <c r="D3429" s="4">
        <v>48.3641275995966</v>
      </c>
      <c r="E3429" s="4" t="s">
        <v>5257</v>
      </c>
      <c r="F3429" s="4"/>
      <c r="G3429" s="4"/>
      <c r="H3429" s="4"/>
      <c r="I3429" s="4" t="str">
        <f>IFERROR(__xludf.DUMMYFUNCTION("""COMPUTED_VALUE"""),"0xa016ccf9b75e432254579c1f4056603106b193ea")</f>
        <v>0xa016ccf9b75e432254579c1f4056603106b193ea</v>
      </c>
      <c r="J3429" s="18">
        <v>9.998923674758691</v>
      </c>
      <c r="K3429" s="4">
        <v>124.98654593448364</v>
      </c>
      <c r="L3429" s="19">
        <v>1.2498654593448364E20</v>
      </c>
      <c r="M3429" s="20">
        <v>1.2498654593448364E19</v>
      </c>
    </row>
    <row r="3430">
      <c r="A3430" s="6"/>
      <c r="B3430" s="6"/>
      <c r="C3430" s="4"/>
      <c r="D3430" s="4">
        <v>48.3641275995966</v>
      </c>
      <c r="E3430" s="4" t="s">
        <v>5258</v>
      </c>
      <c r="F3430" s="4"/>
      <c r="G3430" s="4"/>
      <c r="H3430" s="4"/>
      <c r="I3430" s="4" t="str">
        <f>IFERROR(__xludf.DUMMYFUNCTION("""COMPUTED_VALUE"""),"0xa2c8e2b42648d65aae25ab2a8b8777772560918e")</f>
        <v>0xa2c8e2b42648d65aae25ab2a8b8777772560918e</v>
      </c>
      <c r="J3430" s="18">
        <v>45.3674255199822</v>
      </c>
      <c r="K3430" s="4">
        <v>567.0928189997775</v>
      </c>
      <c r="L3430" s="19">
        <v>5.670928189997775E20</v>
      </c>
      <c r="M3430" s="20">
        <v>5.670928189997775E19</v>
      </c>
    </row>
    <row r="3431">
      <c r="A3431" s="6"/>
      <c r="B3431" s="6"/>
      <c r="C3431" s="4"/>
      <c r="D3431" s="4">
        <v>48.3641275995966</v>
      </c>
      <c r="E3431" s="4" t="s">
        <v>1142</v>
      </c>
      <c r="F3431" s="4"/>
      <c r="G3431" s="4"/>
      <c r="H3431" s="4"/>
      <c r="I3431" s="4" t="str">
        <f>IFERROR(__xludf.DUMMYFUNCTION("""COMPUTED_VALUE"""),"0xc3c76633936f0cd35bf40137ac1aab2ad4186661")</f>
        <v>0xc3c76633936f0cd35bf40137ac1aab2ad4186661</v>
      </c>
      <c r="J3431" s="18">
        <v>6.755136885984499</v>
      </c>
      <c r="K3431" s="4">
        <v>84.43921107480624</v>
      </c>
      <c r="L3431" s="19">
        <v>8.443921107480624E19</v>
      </c>
      <c r="M3431" s="20">
        <v>8.443921107480624E18</v>
      </c>
    </row>
    <row r="3432">
      <c r="A3432" s="6"/>
      <c r="B3432" s="6"/>
      <c r="C3432" s="4"/>
      <c r="D3432" s="4">
        <v>3.75619920379981</v>
      </c>
      <c r="E3432" s="4" t="s">
        <v>5259</v>
      </c>
      <c r="F3432" s="4"/>
      <c r="G3432" s="4"/>
      <c r="H3432" s="4"/>
      <c r="I3432" s="4" t="str">
        <f>IFERROR(__xludf.DUMMYFUNCTION("""COMPUTED_VALUE"""),"0xd9c33e32c7db8d97521b14ec918c8598115635dc")</f>
        <v>0xd9c33e32c7db8d97521b14ec918c8598115635dc</v>
      </c>
      <c r="J3432" s="18">
        <v>30.4668996547531</v>
      </c>
      <c r="K3432" s="4">
        <v>380.8362456844137</v>
      </c>
      <c r="L3432" s="19">
        <v>3.808362456844137E20</v>
      </c>
      <c r="M3432" s="20">
        <v>3.808362456844137E19</v>
      </c>
    </row>
    <row r="3433">
      <c r="A3433" s="6"/>
      <c r="B3433" s="6"/>
      <c r="C3433" s="4"/>
      <c r="D3433" s="4">
        <v>48.3641275995966</v>
      </c>
      <c r="E3433" s="4" t="s">
        <v>5261</v>
      </c>
      <c r="F3433" s="4"/>
      <c r="G3433" s="4"/>
      <c r="H3433" s="4"/>
      <c r="I3433" s="4" t="str">
        <f>IFERROR(__xludf.DUMMYFUNCTION("""COMPUTED_VALUE"""),"0x87c97b87d14dc8d50d80ad65c3fe23555306766f")</f>
        <v>0x87c97b87d14dc8d50d80ad65c3fe23555306766f</v>
      </c>
      <c r="J3433" s="18">
        <v>48.3641275995966</v>
      </c>
      <c r="K3433" s="4">
        <v>604.5515949949574</v>
      </c>
      <c r="L3433" s="19">
        <v>6.045515949949574E20</v>
      </c>
      <c r="M3433" s="20">
        <v>6.045515949949574E19</v>
      </c>
    </row>
    <row r="3434">
      <c r="A3434" s="6"/>
      <c r="B3434" s="6"/>
      <c r="C3434" s="4"/>
      <c r="D3434" s="4">
        <v>48.350568320998995</v>
      </c>
      <c r="E3434" s="4" t="s">
        <v>5262</v>
      </c>
      <c r="F3434" s="4"/>
      <c r="G3434" s="4"/>
      <c r="H3434" s="4"/>
      <c r="I3434" s="4" t="str">
        <f>IFERROR(__xludf.DUMMYFUNCTION("""COMPUTED_VALUE"""),"0xfedcc6ea3d083b2d85546176931ec28291a784d0")</f>
        <v>0xfedcc6ea3d083b2d85546176931ec28291a784d0</v>
      </c>
      <c r="J3434" s="18">
        <v>5.4189400541989</v>
      </c>
      <c r="K3434" s="4">
        <v>67.73675067748624</v>
      </c>
      <c r="L3434" s="19">
        <v>6.773675067748624E19</v>
      </c>
      <c r="M3434" s="20">
        <v>6.773675067748624E18</v>
      </c>
    </row>
    <row r="3435">
      <c r="A3435" s="6"/>
      <c r="B3435" s="6"/>
      <c r="C3435" s="4"/>
      <c r="D3435" s="4">
        <v>48.3641275995966</v>
      </c>
      <c r="E3435" s="4" t="s">
        <v>5264</v>
      </c>
      <c r="F3435" s="4"/>
      <c r="G3435" s="4"/>
      <c r="H3435" s="4"/>
      <c r="I3435" s="4" t="str">
        <f>IFERROR(__xludf.DUMMYFUNCTION("""COMPUTED_VALUE"""),"0xbb929a095b0228c34f79ba9931488ec9c5d392a2")</f>
        <v>0xbb929a095b0228c34f79ba9931488ec9c5d392a2</v>
      </c>
      <c r="J3435" s="18">
        <v>19.9260205710338</v>
      </c>
      <c r="K3435" s="4">
        <v>249.07525713792248</v>
      </c>
      <c r="L3435" s="19">
        <v>2.4907525713792247E20</v>
      </c>
      <c r="M3435" s="20">
        <v>2.490752571379225E19</v>
      </c>
    </row>
    <row r="3436">
      <c r="A3436" s="6"/>
      <c r="B3436" s="6"/>
      <c r="C3436" s="4"/>
      <c r="D3436" s="4">
        <v>11.2912619398295</v>
      </c>
      <c r="E3436" s="4" t="s">
        <v>5265</v>
      </c>
      <c r="F3436" s="4"/>
      <c r="G3436" s="4"/>
      <c r="H3436" s="4"/>
      <c r="I3436" s="4" t="str">
        <f>IFERROR(__xludf.DUMMYFUNCTION("""COMPUTED_VALUE"""),"0x0819a882be0d59b40e34d798cfe3754341674c83")</f>
        <v>0x0819a882be0d59b40e34d798cfe3754341674c83</v>
      </c>
      <c r="J3436" s="18">
        <v>111.3650362241035</v>
      </c>
      <c r="K3436" s="4">
        <v>1392.0629528012937</v>
      </c>
      <c r="L3436" s="19">
        <v>1.3920629528012938E21</v>
      </c>
      <c r="M3436" s="20">
        <v>1.392062952801294E20</v>
      </c>
    </row>
    <row r="3437">
      <c r="A3437" s="6"/>
      <c r="B3437" s="6"/>
      <c r="C3437" s="4"/>
      <c r="D3437" s="4">
        <v>9.672825519919328</v>
      </c>
      <c r="E3437" s="4" t="s">
        <v>5267</v>
      </c>
      <c r="F3437" s="4"/>
      <c r="G3437" s="4"/>
      <c r="H3437" s="4"/>
      <c r="I3437" s="4" t="str">
        <f>IFERROR(__xludf.DUMMYFUNCTION("""COMPUTED_VALUE"""),"0x147dcae893b73d19d4d0e4054208d3a35df03f6b")</f>
        <v>0x147dcae893b73d19d4d0e4054208d3a35df03f6b</v>
      </c>
      <c r="J3437" s="18">
        <v>74.49521499662941</v>
      </c>
      <c r="K3437" s="4">
        <v>931.1901874578676</v>
      </c>
      <c r="L3437" s="19">
        <v>9.311901874578677E20</v>
      </c>
      <c r="M3437" s="20">
        <v>9.311901874578678E19</v>
      </c>
    </row>
    <row r="3438">
      <c r="A3438" s="6"/>
      <c r="B3438" s="6"/>
      <c r="C3438" s="4"/>
      <c r="D3438" s="4">
        <v>37.6427817167888</v>
      </c>
      <c r="E3438" s="4" t="s">
        <v>5268</v>
      </c>
      <c r="F3438" s="4"/>
      <c r="G3438" s="4"/>
      <c r="H3438" s="4"/>
      <c r="I3438" s="4" t="str">
        <f>IFERROR(__xludf.DUMMYFUNCTION("""COMPUTED_VALUE"""),"0x2c1271e61e1d4afd54a1cde802003f04bf8c3e82")</f>
        <v>0x2c1271e61e1d4afd54a1cde802003f04bf8c3e82</v>
      </c>
      <c r="J3438" s="18">
        <v>0.54788501474144</v>
      </c>
      <c r="K3438" s="4">
        <v>6.848562684268</v>
      </c>
      <c r="L3438" s="19">
        <v>6.848562684268E18</v>
      </c>
      <c r="M3438" s="20">
        <v>6.848562684268E17</v>
      </c>
    </row>
    <row r="3439">
      <c r="A3439" s="6"/>
      <c r="B3439" s="6"/>
      <c r="C3439" s="4"/>
      <c r="D3439" s="4">
        <v>48.3641275995966</v>
      </c>
      <c r="E3439" s="4" t="s">
        <v>5270</v>
      </c>
      <c r="F3439" s="4"/>
      <c r="G3439" s="4"/>
      <c r="H3439" s="4"/>
      <c r="I3439" s="4" t="str">
        <f>IFERROR(__xludf.DUMMYFUNCTION("""COMPUTED_VALUE"""),"0xc7aebe92fded3107f69319952b307ee8d92a607a")</f>
        <v>0xc7aebe92fded3107f69319952b307ee8d92a607a</v>
      </c>
      <c r="J3439" s="18">
        <v>234.18452840784798</v>
      </c>
      <c r="K3439" s="4">
        <v>2927.3066050980997</v>
      </c>
      <c r="L3439" s="19">
        <v>2.9273066050980995E21</v>
      </c>
      <c r="M3439" s="20">
        <v>2.9273066050980997E20</v>
      </c>
    </row>
    <row r="3440">
      <c r="A3440" s="6"/>
      <c r="B3440" s="6"/>
      <c r="C3440" s="4"/>
      <c r="D3440" s="4">
        <v>19.6091474841061</v>
      </c>
      <c r="E3440" s="4" t="s">
        <v>5271</v>
      </c>
      <c r="F3440" s="4"/>
      <c r="G3440" s="4"/>
      <c r="H3440" s="4"/>
      <c r="I3440" s="4" t="str">
        <f>IFERROR(__xludf.DUMMYFUNCTION("""COMPUTED_VALUE"""),"0x63c839b6b8c94204a0560c9dcb3f6849e6e61ead")</f>
        <v>0x63c839b6b8c94204a0560c9dcb3f6849e6e61ead</v>
      </c>
      <c r="J3440" s="18">
        <v>48.3641275995966</v>
      </c>
      <c r="K3440" s="4">
        <v>604.5515949949574</v>
      </c>
      <c r="L3440" s="19">
        <v>6.045515949949574E20</v>
      </c>
      <c r="M3440" s="20">
        <v>6.045515949949574E19</v>
      </c>
    </row>
    <row r="3441">
      <c r="A3441" s="6"/>
      <c r="B3441" s="6"/>
      <c r="C3441" s="4"/>
      <c r="D3441" s="4">
        <v>48.3641275995966</v>
      </c>
      <c r="E3441" s="4" t="s">
        <v>1495</v>
      </c>
      <c r="F3441" s="4"/>
      <c r="G3441" s="4"/>
      <c r="H3441" s="4"/>
      <c r="I3441" s="4" t="str">
        <f>IFERROR(__xludf.DUMMYFUNCTION("""COMPUTED_VALUE"""),"0x07b293d2fc0e61544674ca4b2fb0ff4cf9c6e984")</f>
        <v>0x07b293d2fc0e61544674ca4b2fb0ff4cf9c6e984</v>
      </c>
      <c r="J3441" s="18">
        <v>62.8652032013056</v>
      </c>
      <c r="K3441" s="4">
        <v>785.8150400163199</v>
      </c>
      <c r="L3441" s="19">
        <v>7.858150400163199E20</v>
      </c>
      <c r="M3441" s="20">
        <v>7.8581504001632E19</v>
      </c>
    </row>
    <row r="3442">
      <c r="A3442" s="6"/>
      <c r="B3442" s="6"/>
      <c r="C3442" s="4"/>
      <c r="D3442" s="4">
        <v>10.1175897502428</v>
      </c>
      <c r="E3442" s="4" t="s">
        <v>5273</v>
      </c>
      <c r="F3442" s="4"/>
      <c r="G3442" s="4"/>
      <c r="H3442" s="4"/>
      <c r="I3442" s="4" t="str">
        <f>IFERROR(__xludf.DUMMYFUNCTION("""COMPUTED_VALUE"""),"0x78658734e685ce5d15ed3d4cff523471269ad759")</f>
        <v>0x78658734e685ce5d15ed3d4cff523471269ad759</v>
      </c>
      <c r="J3442" s="18">
        <v>9.86628203031772</v>
      </c>
      <c r="K3442" s="4">
        <v>123.32852537897149</v>
      </c>
      <c r="L3442" s="19">
        <v>1.2332852537897148E20</v>
      </c>
      <c r="M3442" s="20">
        <v>1.2332852537897148E19</v>
      </c>
    </row>
    <row r="3443">
      <c r="A3443" s="6"/>
      <c r="B3443" s="6"/>
      <c r="C3443" s="4"/>
      <c r="D3443" s="4">
        <v>36.5546160317148</v>
      </c>
      <c r="E3443" s="4" t="s">
        <v>5275</v>
      </c>
      <c r="F3443" s="4"/>
      <c r="G3443" s="4"/>
      <c r="H3443" s="4"/>
      <c r="I3443" s="4" t="str">
        <f>IFERROR(__xludf.DUMMYFUNCTION("""COMPUTED_VALUE"""),"0x400a5df31cbfca7e8483c3b230af4ec64647cc32")</f>
        <v>0x400a5df31cbfca7e8483c3b230af4ec64647cc32</v>
      </c>
      <c r="J3443" s="18">
        <v>5.81765582526807</v>
      </c>
      <c r="K3443" s="4">
        <v>72.72069781585087</v>
      </c>
      <c r="L3443" s="19">
        <v>7.272069781585087E19</v>
      </c>
      <c r="M3443" s="20">
        <v>7.272069781585087E18</v>
      </c>
    </row>
    <row r="3444">
      <c r="A3444" s="6"/>
      <c r="B3444" s="6"/>
      <c r="C3444" s="4"/>
      <c r="D3444" s="4">
        <v>48.3641275995966</v>
      </c>
      <c r="E3444" s="4" t="s">
        <v>5277</v>
      </c>
      <c r="F3444" s="4"/>
      <c r="G3444" s="4"/>
      <c r="H3444" s="4"/>
      <c r="I3444" s="4" t="str">
        <f>IFERROR(__xludf.DUMMYFUNCTION("""COMPUTED_VALUE"""),"0xb658acc06762cf26e47e4e2776b1855cf1554938")</f>
        <v>0xb658acc06762cf26e47e4e2776b1855cf1554938</v>
      </c>
      <c r="J3444" s="18">
        <v>167.6787593806217</v>
      </c>
      <c r="K3444" s="4">
        <v>2095.9844922577713</v>
      </c>
      <c r="L3444" s="19">
        <v>2.0959844922577713E21</v>
      </c>
      <c r="M3444" s="20">
        <v>2.0959844922577715E20</v>
      </c>
    </row>
    <row r="3445">
      <c r="A3445" s="6"/>
      <c r="B3445" s="6"/>
      <c r="C3445" s="4"/>
      <c r="D3445" s="4">
        <v>9.297549250732501</v>
      </c>
      <c r="E3445" s="4" t="s">
        <v>5278</v>
      </c>
      <c r="F3445" s="4"/>
      <c r="G3445" s="4"/>
      <c r="H3445" s="4"/>
      <c r="I3445" s="4" t="str">
        <f>IFERROR(__xludf.DUMMYFUNCTION("""COMPUTED_VALUE"""),"0x830ddeb2a2e6eb5ef2b0f964e475d36693c27726")</f>
        <v>0x830ddeb2a2e6eb5ef2b0f964e475d36693c27726</v>
      </c>
      <c r="J3445" s="18">
        <v>34.7039449866854</v>
      </c>
      <c r="K3445" s="4">
        <v>433.7993123335675</v>
      </c>
      <c r="L3445" s="19">
        <v>4.337993123335675E20</v>
      </c>
      <c r="M3445" s="20">
        <v>4.337993123335675E19</v>
      </c>
    </row>
    <row r="3446">
      <c r="A3446" s="6"/>
      <c r="B3446" s="6"/>
      <c r="C3446" s="4"/>
      <c r="D3446" s="4">
        <v>0.0731764279404839</v>
      </c>
      <c r="E3446" s="4" t="s">
        <v>5280</v>
      </c>
      <c r="F3446" s="4"/>
      <c r="G3446" s="4"/>
      <c r="H3446" s="4"/>
      <c r="I3446" s="4" t="str">
        <f>IFERROR(__xludf.DUMMYFUNCTION("""COMPUTED_VALUE"""),"0x189917b58b3832625fd0a429aa14e49d5e39a68b")</f>
        <v>0x189917b58b3832625fd0a429aa14e49d5e39a68b</v>
      </c>
      <c r="J3446" s="18">
        <v>10.0123416956685</v>
      </c>
      <c r="K3446" s="4">
        <v>125.15427119585624</v>
      </c>
      <c r="L3446" s="19">
        <v>1.2515427119585624E20</v>
      </c>
      <c r="M3446" s="20">
        <v>1.2515427119585624E19</v>
      </c>
    </row>
    <row r="3447">
      <c r="A3447" s="6"/>
      <c r="B3447" s="6"/>
      <c r="C3447" s="4"/>
      <c r="D3447" s="4">
        <v>48.3641275995966</v>
      </c>
      <c r="E3447" s="4" t="s">
        <v>5282</v>
      </c>
      <c r="F3447" s="4"/>
      <c r="G3447" s="4"/>
      <c r="H3447" s="4"/>
      <c r="I3447" s="4" t="str">
        <f>IFERROR(__xludf.DUMMYFUNCTION("""COMPUTED_VALUE"""),"0x02396790f97bd4d403f4a3ba9865095fcbb0a0ce")</f>
        <v>0x02396790f97bd4d403f4a3ba9865095fcbb0a0ce</v>
      </c>
      <c r="J3447" s="18">
        <v>48.3641275995966</v>
      </c>
      <c r="K3447" s="4">
        <v>604.5515949949574</v>
      </c>
      <c r="L3447" s="19">
        <v>6.045515949949574E20</v>
      </c>
      <c r="M3447" s="20">
        <v>6.045515949949574E19</v>
      </c>
    </row>
    <row r="3448">
      <c r="A3448" s="6"/>
      <c r="B3448" s="6"/>
      <c r="C3448" s="4"/>
      <c r="D3448" s="4">
        <v>9.672825519919328</v>
      </c>
      <c r="E3448" s="4" t="s">
        <v>5283</v>
      </c>
      <c r="F3448" s="4"/>
      <c r="G3448" s="4"/>
      <c r="H3448" s="4"/>
      <c r="I3448" s="4" t="str">
        <f>IFERROR(__xludf.DUMMYFUNCTION("""COMPUTED_VALUE"""),"0x638322ed2deeb76cb10f02d7a31a0303264e5bd2")</f>
        <v>0x638322ed2deeb76cb10f02d7a31a0303264e5bd2</v>
      </c>
      <c r="J3448" s="18">
        <v>7.1578908847403</v>
      </c>
      <c r="K3448" s="4">
        <v>89.47363605925375</v>
      </c>
      <c r="L3448" s="19">
        <v>8.947363605925375E19</v>
      </c>
      <c r="M3448" s="20">
        <v>8.947363605925376E18</v>
      </c>
    </row>
    <row r="3449">
      <c r="A3449" s="6"/>
      <c r="B3449" s="6"/>
      <c r="C3449" s="4"/>
      <c r="D3449" s="4">
        <v>27.5224051237367</v>
      </c>
      <c r="E3449" s="4" t="s">
        <v>5284</v>
      </c>
      <c r="F3449" s="4"/>
      <c r="G3449" s="4"/>
      <c r="H3449" s="4"/>
      <c r="I3449" s="4" t="str">
        <f>IFERROR(__xludf.DUMMYFUNCTION("""COMPUTED_VALUE"""),"0xcd12fe10c9112a2d1792decd0fc747d28b7d96f4")</f>
        <v>0xcd12fe10c9112a2d1792decd0fc747d28b7d96f4</v>
      </c>
      <c r="J3449" s="18">
        <v>48.3641275995966</v>
      </c>
      <c r="K3449" s="4">
        <v>604.5515949949574</v>
      </c>
      <c r="L3449" s="19">
        <v>6.045515949949574E20</v>
      </c>
      <c r="M3449" s="20">
        <v>6.045515949949574E19</v>
      </c>
    </row>
    <row r="3450">
      <c r="A3450" s="6"/>
      <c r="B3450" s="6"/>
      <c r="C3450" s="4"/>
      <c r="D3450" s="4">
        <v>48.3641275995966</v>
      </c>
      <c r="E3450" s="4" t="s">
        <v>5286</v>
      </c>
      <c r="F3450" s="4"/>
      <c r="G3450" s="4"/>
      <c r="H3450" s="4"/>
      <c r="I3450" s="4" t="str">
        <f>IFERROR(__xludf.DUMMYFUNCTION("""COMPUTED_VALUE"""),"0x88ee837d310515bcbceb582fce181136eb119dad")</f>
        <v>0x88ee837d310515bcbceb582fce181136eb119dad</v>
      </c>
      <c r="J3450" s="18">
        <v>44.286334890245996</v>
      </c>
      <c r="K3450" s="4">
        <v>553.579186128075</v>
      </c>
      <c r="L3450" s="19">
        <v>5.5357918612807496E20</v>
      </c>
      <c r="M3450" s="20">
        <v>5.53579186128075E19</v>
      </c>
    </row>
    <row r="3451">
      <c r="A3451" s="6"/>
      <c r="B3451" s="6"/>
      <c r="C3451" s="4"/>
      <c r="D3451" s="4">
        <v>48.3641275995966</v>
      </c>
      <c r="E3451" s="4" t="s">
        <v>5287</v>
      </c>
      <c r="F3451" s="4"/>
      <c r="G3451" s="4"/>
      <c r="H3451" s="4"/>
      <c r="I3451" s="4" t="str">
        <f>IFERROR(__xludf.DUMMYFUNCTION("""COMPUTED_VALUE"""),"0x14664504f79e2ade8fb64ad8c46f4e4936421e3f")</f>
        <v>0x14664504f79e2ade8fb64ad8c46f4e4936421e3f</v>
      </c>
      <c r="J3451" s="18">
        <v>0.8656761762948469</v>
      </c>
      <c r="K3451" s="4">
        <v>10.820952203685586</v>
      </c>
      <c r="L3451" s="19">
        <v>1.0820952203685585E19</v>
      </c>
      <c r="M3451" s="20">
        <v>1.0820952203685586E18</v>
      </c>
    </row>
    <row r="3452">
      <c r="A3452" s="6"/>
      <c r="B3452" s="6"/>
      <c r="C3452" s="4"/>
      <c r="D3452" s="4">
        <v>48.3641275995966</v>
      </c>
      <c r="E3452" s="4" t="s">
        <v>5288</v>
      </c>
      <c r="F3452" s="4"/>
      <c r="G3452" s="4"/>
      <c r="H3452" s="4"/>
      <c r="I3452" s="4" t="str">
        <f>IFERROR(__xludf.DUMMYFUNCTION("""COMPUTED_VALUE"""),"0x9cebf76164ca50d40fc50600c71ed95366d975d5")</f>
        <v>0x9cebf76164ca50d40fc50600c71ed95366d975d5</v>
      </c>
      <c r="J3452" s="18">
        <v>19.539107550237</v>
      </c>
      <c r="K3452" s="4">
        <v>244.23884437796247</v>
      </c>
      <c r="L3452" s="19">
        <v>2.4423884437796248E20</v>
      </c>
      <c r="M3452" s="20">
        <v>2.442388443779625E19</v>
      </c>
    </row>
    <row r="3453">
      <c r="A3453" s="6"/>
      <c r="B3453" s="6"/>
      <c r="C3453" s="4"/>
      <c r="D3453" s="4">
        <v>27.0953682045217</v>
      </c>
      <c r="E3453" s="4" t="s">
        <v>5289</v>
      </c>
      <c r="F3453" s="4"/>
      <c r="G3453" s="4"/>
      <c r="H3453" s="4"/>
      <c r="I3453" s="4" t="str">
        <f>IFERROR(__xludf.DUMMYFUNCTION("""COMPUTED_VALUE"""),"0x818f0e05be38f947cd33492e61cb3b32492270b6")</f>
        <v>0x818f0e05be38f947cd33492e61cb3b32492270b6</v>
      </c>
      <c r="J3453" s="18">
        <v>45.4085529034948</v>
      </c>
      <c r="K3453" s="4">
        <v>567.606911293685</v>
      </c>
      <c r="L3453" s="19">
        <v>5.6760691129368504E20</v>
      </c>
      <c r="M3453" s="20">
        <v>5.676069112936851E19</v>
      </c>
    </row>
    <row r="3454">
      <c r="A3454" s="6"/>
      <c r="B3454" s="6"/>
      <c r="C3454" s="4"/>
      <c r="D3454" s="4">
        <v>48.358134005246</v>
      </c>
      <c r="E3454" s="4" t="s">
        <v>5291</v>
      </c>
      <c r="F3454" s="4"/>
      <c r="G3454" s="4"/>
      <c r="H3454" s="4"/>
      <c r="I3454" s="4" t="str">
        <f>IFERROR(__xludf.DUMMYFUNCTION("""COMPUTED_VALUE"""),"0xbf3389d58174410681edea70fd8cac3b8c272f44")</f>
        <v>0xbf3389d58174410681edea70fd8cac3b8c272f44</v>
      </c>
      <c r="J3454" s="18">
        <v>2.36510929423117</v>
      </c>
      <c r="K3454" s="4">
        <v>29.563866177889626</v>
      </c>
      <c r="L3454" s="19">
        <v>2.9563866177889624E19</v>
      </c>
      <c r="M3454" s="20">
        <v>2.956386617788963E18</v>
      </c>
    </row>
    <row r="3455">
      <c r="A3455" s="6"/>
      <c r="B3455" s="6"/>
      <c r="C3455" s="4"/>
      <c r="D3455" s="4">
        <v>9.672825519919328</v>
      </c>
      <c r="E3455" s="4" t="s">
        <v>5293</v>
      </c>
      <c r="F3455" s="4"/>
      <c r="G3455" s="4"/>
      <c r="H3455" s="4"/>
      <c r="I3455" s="4" t="str">
        <f>IFERROR(__xludf.DUMMYFUNCTION("""COMPUTED_VALUE"""),"0x90652f684a6cdc75e7e6f4df6c8f08b6347012e7")</f>
        <v>0x90652f684a6cdc75e7e6f4df6c8f08b6347012e7</v>
      </c>
      <c r="J3455" s="18">
        <v>9.672825519919328</v>
      </c>
      <c r="K3455" s="4">
        <v>120.9103189989916</v>
      </c>
      <c r="L3455" s="19">
        <v>1.209103189989916E20</v>
      </c>
      <c r="M3455" s="20">
        <v>1.209103189989916E19</v>
      </c>
    </row>
    <row r="3456">
      <c r="A3456" s="6"/>
      <c r="B3456" s="6"/>
      <c r="C3456" s="4"/>
      <c r="D3456" s="4">
        <v>35.7379013839532</v>
      </c>
      <c r="E3456" s="4" t="s">
        <v>204</v>
      </c>
      <c r="F3456" s="4"/>
      <c r="G3456" s="4"/>
      <c r="H3456" s="4"/>
      <c r="I3456" s="4" t="str">
        <f>IFERROR(__xludf.DUMMYFUNCTION("""COMPUTED_VALUE"""),"0xb87399074b6583dfb27790caefac4cfb62752f02")</f>
        <v>0xb87399074b6583dfb27790caefac4cfb62752f02</v>
      </c>
      <c r="J3456" s="18">
        <v>234.37608780709658</v>
      </c>
      <c r="K3456" s="4">
        <v>2929.7010975887074</v>
      </c>
      <c r="L3456" s="19">
        <v>2.9297010975887076E21</v>
      </c>
      <c r="M3456" s="20">
        <v>2.9297010975887078E20</v>
      </c>
    </row>
    <row r="3457">
      <c r="A3457" s="6"/>
      <c r="B3457" s="6"/>
      <c r="C3457" s="4"/>
      <c r="D3457" s="4">
        <v>9.672825519919328</v>
      </c>
      <c r="E3457" s="4" t="s">
        <v>5295</v>
      </c>
      <c r="F3457" s="4"/>
      <c r="G3457" s="4"/>
      <c r="H3457" s="4"/>
      <c r="I3457" s="4" t="str">
        <f>IFERROR(__xludf.DUMMYFUNCTION("""COMPUTED_VALUE"""),"0x53e9c9850d1120b85b2c20564d44c9eb6e1fd1a4")</f>
        <v>0x53e9c9850d1120b85b2c20564d44c9eb6e1fd1a4</v>
      </c>
      <c r="J3457" s="18">
        <v>11.5867737283469</v>
      </c>
      <c r="K3457" s="4">
        <v>144.83467160433625</v>
      </c>
      <c r="L3457" s="19">
        <v>1.4483467160433625E20</v>
      </c>
      <c r="M3457" s="20">
        <v>1.4483467160433625E19</v>
      </c>
    </row>
    <row r="3458">
      <c r="A3458" s="6"/>
      <c r="B3458" s="6"/>
      <c r="C3458" s="4"/>
      <c r="D3458" s="4">
        <v>22.247498695814397</v>
      </c>
      <c r="E3458" s="4" t="s">
        <v>5296</v>
      </c>
      <c r="F3458" s="4"/>
      <c r="G3458" s="4"/>
      <c r="H3458" s="4"/>
      <c r="I3458" s="4" t="str">
        <f>IFERROR(__xludf.DUMMYFUNCTION("""COMPUTED_VALUE"""),"0xde11b75525a09c4d444ea8ee57921a4d5fbf702e")</f>
        <v>0xde11b75525a09c4d444ea8ee57921a4d5fbf702e</v>
      </c>
      <c r="J3458" s="18">
        <v>57.66472560997164</v>
      </c>
      <c r="K3458" s="4">
        <v>720.8090701246455</v>
      </c>
      <c r="L3458" s="19">
        <v>7.208090701246455E20</v>
      </c>
      <c r="M3458" s="20">
        <v>7.208090701246455E19</v>
      </c>
    </row>
    <row r="3459">
      <c r="A3459" s="6"/>
      <c r="B3459" s="6"/>
      <c r="C3459" s="4"/>
      <c r="D3459" s="4">
        <v>48.3641275995966</v>
      </c>
      <c r="E3459" s="4" t="s">
        <v>5297</v>
      </c>
      <c r="F3459" s="4"/>
      <c r="G3459" s="4"/>
      <c r="H3459" s="4"/>
      <c r="I3459" s="4" t="str">
        <f>IFERROR(__xludf.DUMMYFUNCTION("""COMPUTED_VALUE"""),"0x0b4fe6bab6ecbe7e120ea256cfc2ceec99075be1")</f>
        <v>0x0b4fe6bab6ecbe7e120ea256cfc2ceec99075be1</v>
      </c>
      <c r="J3459" s="18">
        <v>5.8036953119516</v>
      </c>
      <c r="K3459" s="4">
        <v>72.546191399395</v>
      </c>
      <c r="L3459" s="19">
        <v>7.2546191399395E19</v>
      </c>
      <c r="M3459" s="20">
        <v>7.2546191399395E18</v>
      </c>
    </row>
    <row r="3460">
      <c r="A3460" s="6"/>
      <c r="B3460" s="6"/>
      <c r="C3460" s="4"/>
      <c r="D3460" s="4">
        <v>9.86628203031772</v>
      </c>
      <c r="E3460" s="4" t="s">
        <v>5298</v>
      </c>
      <c r="F3460" s="4"/>
      <c r="G3460" s="4"/>
      <c r="H3460" s="4"/>
      <c r="I3460" s="4" t="str">
        <f>IFERROR(__xludf.DUMMYFUNCTION("""COMPUTED_VALUE"""),"0xe7683823297d6922f5daf1ca93914713014be08d")</f>
        <v>0xe7683823297d6922f5daf1ca93914713014be08d</v>
      </c>
      <c r="J3460" s="18">
        <v>9.91600118148396</v>
      </c>
      <c r="K3460" s="4">
        <v>123.9500147685495</v>
      </c>
      <c r="L3460" s="19">
        <v>1.239500147685495E20</v>
      </c>
      <c r="M3460" s="20">
        <v>1.239500147685495E19</v>
      </c>
    </row>
    <row r="3461">
      <c r="A3461" s="6"/>
      <c r="B3461" s="6"/>
      <c r="C3461" s="4"/>
      <c r="D3461" s="4">
        <v>48.3641275995966</v>
      </c>
      <c r="E3461" s="4" t="s">
        <v>5299</v>
      </c>
      <c r="F3461" s="4"/>
      <c r="G3461" s="4"/>
      <c r="H3461" s="4"/>
      <c r="I3461" s="4" t="str">
        <f>IFERROR(__xludf.DUMMYFUNCTION("""COMPUTED_VALUE"""),"0xf484c7ae1b29f00518f875350302cb92329891be")</f>
        <v>0xf484c7ae1b29f00518f875350302cb92329891be</v>
      </c>
      <c r="J3461" s="18">
        <v>43.313492075494196</v>
      </c>
      <c r="K3461" s="4">
        <v>541.4186509436774</v>
      </c>
      <c r="L3461" s="19">
        <v>5.4141865094367746E20</v>
      </c>
      <c r="M3461" s="20">
        <v>5.414186509436775E19</v>
      </c>
    </row>
    <row r="3462">
      <c r="A3462" s="6"/>
      <c r="B3462" s="6"/>
      <c r="C3462" s="4"/>
      <c r="D3462" s="4">
        <v>9.838351341531009</v>
      </c>
      <c r="E3462" s="4" t="s">
        <v>5300</v>
      </c>
      <c r="F3462" s="4"/>
      <c r="G3462" s="4"/>
      <c r="H3462" s="4"/>
      <c r="I3462" s="4" t="str">
        <f>IFERROR(__xludf.DUMMYFUNCTION("""COMPUTED_VALUE"""),"0xc22fa161047135dd0a0bad933e85c20020b69023")</f>
        <v>0xc22fa161047135dd0a0bad933e85c20020b69023</v>
      </c>
      <c r="J3462" s="18">
        <v>0.5933895583559651</v>
      </c>
      <c r="K3462" s="4">
        <v>7.4173694794495635</v>
      </c>
      <c r="L3462" s="19">
        <v>7.417369479449563E18</v>
      </c>
      <c r="M3462" s="20">
        <v>7.417369479449564E17</v>
      </c>
    </row>
    <row r="3463">
      <c r="A3463" s="6"/>
      <c r="B3463" s="6"/>
      <c r="C3463" s="4"/>
      <c r="D3463" s="4">
        <v>19.3456510398386</v>
      </c>
      <c r="E3463" s="4" t="s">
        <v>5302</v>
      </c>
      <c r="F3463" s="4"/>
      <c r="G3463" s="4"/>
      <c r="H3463" s="4"/>
      <c r="I3463" s="4" t="str">
        <f>IFERROR(__xludf.DUMMYFUNCTION("""COMPUTED_VALUE"""),"0x63e713196b0e71f1e182c9d78799260622bb2e6e")</f>
        <v>0x63e713196b0e71f1e182c9d78799260622bb2e6e</v>
      </c>
      <c r="J3463" s="18">
        <v>9.672825519919328</v>
      </c>
      <c r="K3463" s="4">
        <v>120.9103189989916</v>
      </c>
      <c r="L3463" s="19">
        <v>1.209103189989916E20</v>
      </c>
      <c r="M3463" s="20">
        <v>1.209103189989916E19</v>
      </c>
    </row>
    <row r="3464">
      <c r="A3464" s="6"/>
      <c r="B3464" s="6"/>
      <c r="C3464" s="4"/>
      <c r="D3464" s="4">
        <v>18.718926134556597</v>
      </c>
      <c r="E3464" s="4" t="s">
        <v>5303</v>
      </c>
      <c r="F3464" s="4"/>
      <c r="G3464" s="4"/>
      <c r="H3464" s="4"/>
      <c r="I3464" s="4" t="str">
        <f>IFERROR(__xludf.DUMMYFUNCTION("""COMPUTED_VALUE"""),"0x5de0aa66d5a07b9fe1147f83eb0a78e3749c3ee1")</f>
        <v>0x5de0aa66d5a07b9fe1147f83eb0a78e3749c3ee1</v>
      </c>
      <c r="J3464" s="18">
        <v>9.672825519919328</v>
      </c>
      <c r="K3464" s="4">
        <v>120.9103189989916</v>
      </c>
      <c r="L3464" s="19">
        <v>1.209103189989916E20</v>
      </c>
      <c r="M3464" s="20">
        <v>1.209103189989916E19</v>
      </c>
    </row>
    <row r="3465">
      <c r="A3465" s="6"/>
      <c r="B3465" s="6"/>
      <c r="C3465" s="4"/>
      <c r="D3465" s="4">
        <v>14.6553093268566</v>
      </c>
      <c r="E3465" s="4" t="s">
        <v>5305</v>
      </c>
      <c r="F3465" s="4"/>
      <c r="G3465" s="4"/>
      <c r="H3465" s="4"/>
      <c r="I3465" s="4" t="str">
        <f>IFERROR(__xludf.DUMMYFUNCTION("""COMPUTED_VALUE"""),"0xbab3a8177cb8e91b51e84c4c9a1b4ee78cf3cec6")</f>
        <v>0xbab3a8177cb8e91b51e84c4c9a1b4ee78cf3cec6</v>
      </c>
      <c r="J3465" s="18">
        <v>0.140588488352578</v>
      </c>
      <c r="K3465" s="4">
        <v>1.757356104407225</v>
      </c>
      <c r="L3465" s="19">
        <v>1.757356104407225E18</v>
      </c>
      <c r="M3465" s="20">
        <v>1.7573561044072253E17</v>
      </c>
    </row>
    <row r="3466">
      <c r="A3466" s="6"/>
      <c r="B3466" s="6"/>
      <c r="C3466" s="4"/>
      <c r="D3466" s="4">
        <v>48.3641275995966</v>
      </c>
      <c r="E3466" s="4" t="s">
        <v>5307</v>
      </c>
      <c r="F3466" s="4"/>
      <c r="G3466" s="4"/>
      <c r="H3466" s="4"/>
      <c r="I3466" s="4" t="str">
        <f>IFERROR(__xludf.DUMMYFUNCTION("""COMPUTED_VALUE"""),"0xe98dbb3f44fb106b7cb3aad4296f659e3fbffc2e")</f>
        <v>0xe98dbb3f44fb106b7cb3aad4296f659e3fbffc2e</v>
      </c>
      <c r="J3466" s="18">
        <v>18.681061131003602</v>
      </c>
      <c r="K3466" s="4">
        <v>233.51326413754504</v>
      </c>
      <c r="L3466" s="19">
        <v>2.3351326413754502E20</v>
      </c>
      <c r="M3466" s="20">
        <v>2.3351326413754503E19</v>
      </c>
    </row>
    <row r="3467">
      <c r="A3467" s="6"/>
      <c r="B3467" s="6"/>
      <c r="C3467" s="4"/>
      <c r="D3467" s="4">
        <v>48.3641275995966</v>
      </c>
      <c r="E3467" s="4" t="s">
        <v>789</v>
      </c>
      <c r="F3467" s="4"/>
      <c r="G3467" s="4"/>
      <c r="H3467" s="4"/>
      <c r="I3467" s="4" t="str">
        <f>IFERROR(__xludf.DUMMYFUNCTION("""COMPUTED_VALUE"""),"0x0c7c1102c7559a4919769bd93f2cdbdbc792a7f3")</f>
        <v>0x0c7c1102c7559a4919769bd93f2cdbdbc792a7f3</v>
      </c>
      <c r="J3467" s="18">
        <v>20.1500532142916</v>
      </c>
      <c r="K3467" s="4">
        <v>251.875665178645</v>
      </c>
      <c r="L3467" s="19">
        <v>2.51875665178645E20</v>
      </c>
      <c r="M3467" s="20">
        <v>2.51875665178645E19</v>
      </c>
    </row>
    <row r="3468">
      <c r="A3468" s="6"/>
      <c r="B3468" s="6"/>
      <c r="C3468" s="4"/>
      <c r="D3468" s="4">
        <v>8.61474952083482</v>
      </c>
      <c r="E3468" s="4" t="s">
        <v>5308</v>
      </c>
      <c r="F3468" s="4"/>
      <c r="G3468" s="4"/>
      <c r="H3468" s="4"/>
      <c r="I3468" s="4" t="str">
        <f>IFERROR(__xludf.DUMMYFUNCTION("""COMPUTED_VALUE"""),"0xc5a651c5e83d5de93ed8de3eb0d000d4bdf61713")</f>
        <v>0xc5a651c5e83d5de93ed8de3eb0d000d4bdf61713</v>
      </c>
      <c r="J3468" s="18">
        <v>234.37608780709658</v>
      </c>
      <c r="K3468" s="4">
        <v>2929.7010975887074</v>
      </c>
      <c r="L3468" s="19">
        <v>2.9297010975887076E21</v>
      </c>
      <c r="M3468" s="20">
        <v>2.9297010975887078E20</v>
      </c>
    </row>
    <row r="3469">
      <c r="A3469" s="6"/>
      <c r="B3469" s="6"/>
      <c r="C3469" s="4"/>
      <c r="D3469" s="4">
        <v>9.90339989144122</v>
      </c>
      <c r="E3469" s="4" t="s">
        <v>5310</v>
      </c>
      <c r="F3469" s="4"/>
      <c r="G3469" s="4"/>
      <c r="H3469" s="4"/>
      <c r="I3469" s="4" t="str">
        <f>IFERROR(__xludf.DUMMYFUNCTION("""COMPUTED_VALUE"""),"0x57492f91e97ba5744482863eea1c93e87d9cb06c")</f>
        <v>0x57492f91e97ba5744482863eea1c93e87d9cb06c</v>
      </c>
      <c r="J3469" s="18">
        <v>48.3641275995966</v>
      </c>
      <c r="K3469" s="4">
        <v>604.5515949949574</v>
      </c>
      <c r="L3469" s="19">
        <v>6.045515949949574E20</v>
      </c>
      <c r="M3469" s="20">
        <v>6.045515949949574E19</v>
      </c>
    </row>
    <row r="3470">
      <c r="A3470" s="6"/>
      <c r="B3470" s="6"/>
      <c r="C3470" s="4"/>
      <c r="D3470" s="4">
        <v>25.1493463517902</v>
      </c>
      <c r="E3470" s="4" t="s">
        <v>5312</v>
      </c>
      <c r="F3470" s="4"/>
      <c r="G3470" s="4"/>
      <c r="H3470" s="4"/>
      <c r="I3470" s="4" t="str">
        <f>IFERROR(__xludf.DUMMYFUNCTION("""COMPUTED_VALUE"""),"0xb5209168e10d55db12339ef110917fe584d7b13e")</f>
        <v>0xb5209168e10d55db12339ef110917fe584d7b13e</v>
      </c>
      <c r="J3470" s="18">
        <v>4.08566152895323</v>
      </c>
      <c r="K3470" s="4">
        <v>51.07076911191537</v>
      </c>
      <c r="L3470" s="19">
        <v>5.1070769111915364E19</v>
      </c>
      <c r="M3470" s="20">
        <v>5.107076911191537E18</v>
      </c>
    </row>
    <row r="3471">
      <c r="A3471" s="6"/>
      <c r="B3471" s="6"/>
      <c r="C3471" s="4"/>
      <c r="D3471" s="4">
        <v>6.30230286295326</v>
      </c>
      <c r="E3471" s="4" t="s">
        <v>5314</v>
      </c>
      <c r="F3471" s="4"/>
      <c r="G3471" s="4"/>
      <c r="H3471" s="4"/>
      <c r="I3471" s="4" t="str">
        <f>IFERROR(__xludf.DUMMYFUNCTION("""COMPUTED_VALUE"""),"0x6a551d451ebb019bf66c94d31f4d5d0fe03d7cf2")</f>
        <v>0x6a551d451ebb019bf66c94d31f4d5d0fe03d7cf2</v>
      </c>
      <c r="J3471" s="18">
        <v>13.5369602134475</v>
      </c>
      <c r="K3471" s="4">
        <v>169.21200266809376</v>
      </c>
      <c r="L3471" s="19">
        <v>1.6921200266809377E20</v>
      </c>
      <c r="M3471" s="20">
        <v>1.6921200266809377E19</v>
      </c>
    </row>
    <row r="3472">
      <c r="A3472" s="6"/>
      <c r="B3472" s="6"/>
      <c r="C3472" s="4"/>
      <c r="D3472" s="4">
        <v>48.3641275995966</v>
      </c>
      <c r="E3472" s="4" t="s">
        <v>5316</v>
      </c>
      <c r="F3472" s="4"/>
      <c r="G3472" s="4"/>
      <c r="H3472" s="4"/>
      <c r="I3472" s="4" t="str">
        <f>IFERROR(__xludf.DUMMYFUNCTION("""COMPUTED_VALUE"""),"0x864e1d6b3ca5abfc5577ee49a77c9e26329a22f1")</f>
        <v>0x864e1d6b3ca5abfc5577ee49a77c9e26329a22f1</v>
      </c>
      <c r="J3472" s="18">
        <v>5.75278478586428</v>
      </c>
      <c r="K3472" s="4">
        <v>71.9098098233035</v>
      </c>
      <c r="L3472" s="19">
        <v>7.190980982330351E19</v>
      </c>
      <c r="M3472" s="20">
        <v>7.190980982330352E18</v>
      </c>
    </row>
    <row r="3473">
      <c r="A3473" s="6"/>
      <c r="B3473" s="6"/>
      <c r="C3473" s="4"/>
      <c r="D3473" s="4">
        <v>3.8691302079677303</v>
      </c>
      <c r="E3473" s="4" t="s">
        <v>5317</v>
      </c>
      <c r="F3473" s="4"/>
      <c r="G3473" s="4"/>
      <c r="H3473" s="4"/>
      <c r="I3473" s="4" t="str">
        <f>IFERROR(__xludf.DUMMYFUNCTION("""COMPUTED_VALUE"""),"0x7d2e2eb561565babcc31e116d66ab568d6a3b0f4")</f>
        <v>0x7d2e2eb561565babcc31e116d66ab568d6a3b0f4</v>
      </c>
      <c r="J3473" s="18">
        <v>48.3641275995966</v>
      </c>
      <c r="K3473" s="4">
        <v>604.5515949949574</v>
      </c>
      <c r="L3473" s="19">
        <v>6.045515949949574E20</v>
      </c>
      <c r="M3473" s="20">
        <v>6.045515949949574E19</v>
      </c>
    </row>
    <row r="3474">
      <c r="A3474" s="6"/>
      <c r="B3474" s="6"/>
      <c r="C3474" s="4"/>
      <c r="D3474" s="4">
        <v>48.3641275995966</v>
      </c>
      <c r="E3474" s="4" t="s">
        <v>5318</v>
      </c>
      <c r="F3474" s="4"/>
      <c r="G3474" s="4"/>
      <c r="H3474" s="4"/>
      <c r="I3474" s="4" t="str">
        <f>IFERROR(__xludf.DUMMYFUNCTION("""COMPUTED_VALUE"""),"0x5bca1651c6216811c5ea7da40d070e8e2e7058b1")</f>
        <v>0x5bca1651c6216811c5ea7da40d070e8e2e7058b1</v>
      </c>
      <c r="J3474" s="18">
        <v>95.8008288486869</v>
      </c>
      <c r="K3474" s="4">
        <v>1197.5103606085863</v>
      </c>
      <c r="L3474" s="19">
        <v>1.1975103606085863E21</v>
      </c>
      <c r="M3474" s="20">
        <v>1.1975103606085865E20</v>
      </c>
    </row>
    <row r="3475">
      <c r="A3475" s="6"/>
      <c r="B3475" s="6"/>
      <c r="C3475" s="4"/>
      <c r="D3475" s="4">
        <v>13.0063950045689</v>
      </c>
      <c r="E3475" s="4" t="s">
        <v>5319</v>
      </c>
      <c r="F3475" s="4"/>
      <c r="G3475" s="4"/>
      <c r="H3475" s="4"/>
      <c r="I3475" s="4" t="str">
        <f>IFERROR(__xludf.DUMMYFUNCTION("""COMPUTED_VALUE"""),"0x716aa2ead00881360f7ea6876b91ee629fff5ba8")</f>
        <v>0x716aa2ead00881360f7ea6876b91ee629fff5ba8</v>
      </c>
      <c r="J3475" s="18">
        <v>38.6913020796773</v>
      </c>
      <c r="K3475" s="4">
        <v>483.6412759959662</v>
      </c>
      <c r="L3475" s="19">
        <v>4.836412759959662E20</v>
      </c>
      <c r="M3475" s="20">
        <v>4.836412759959663E19</v>
      </c>
    </row>
    <row r="3476">
      <c r="A3476" s="6"/>
      <c r="B3476" s="6"/>
      <c r="C3476" s="4"/>
      <c r="D3476" s="4">
        <v>34.4352588509128</v>
      </c>
      <c r="E3476" s="4" t="s">
        <v>5321</v>
      </c>
      <c r="F3476" s="4"/>
      <c r="G3476" s="4"/>
      <c r="H3476" s="4"/>
      <c r="I3476" s="4" t="str">
        <f>IFERROR(__xludf.DUMMYFUNCTION("""COMPUTED_VALUE"""),"0x053e4d7d32d7e1fe5ae36727795893a06fdc9fb8")</f>
        <v>0x053e4d7d32d7e1fe5ae36727795893a06fdc9fb8</v>
      </c>
      <c r="J3476" s="18">
        <v>9.60808299259571</v>
      </c>
      <c r="K3476" s="4">
        <v>120.10103740744637</v>
      </c>
      <c r="L3476" s="19">
        <v>1.2010103740744637E20</v>
      </c>
      <c r="M3476" s="20">
        <v>1.2010103740744638E19</v>
      </c>
    </row>
    <row r="3477">
      <c r="A3477" s="6"/>
      <c r="B3477" s="6"/>
      <c r="C3477" s="4"/>
      <c r="D3477" s="4">
        <v>46.3398492372741</v>
      </c>
      <c r="E3477" s="4" t="s">
        <v>5323</v>
      </c>
      <c r="F3477" s="4"/>
      <c r="G3477" s="4"/>
      <c r="H3477" s="4"/>
      <c r="I3477" s="4" t="str">
        <f>IFERROR(__xludf.DUMMYFUNCTION("""COMPUTED_VALUE"""),"0x57858bdcf73bf5ba253452cf24ea6fa35e4410fc")</f>
        <v>0x57858bdcf73bf5ba253452cf24ea6fa35e4410fc</v>
      </c>
      <c r="J3477" s="18">
        <v>30.809198184116</v>
      </c>
      <c r="K3477" s="4">
        <v>385.11497730145</v>
      </c>
      <c r="L3477" s="19">
        <v>3.8511497730145E20</v>
      </c>
      <c r="M3477" s="20">
        <v>3.8511497730145E19</v>
      </c>
    </row>
    <row r="3478">
      <c r="A3478" s="6"/>
      <c r="B3478" s="6"/>
      <c r="C3478" s="4"/>
      <c r="D3478" s="4">
        <v>19.539107550237</v>
      </c>
      <c r="E3478" s="4" t="s">
        <v>5325</v>
      </c>
      <c r="F3478" s="4"/>
      <c r="G3478" s="4"/>
      <c r="H3478" s="4"/>
      <c r="I3478" s="4" t="str">
        <f>IFERROR(__xludf.DUMMYFUNCTION("""COMPUTED_VALUE"""),"0x1e6a8be8f1b448c0b77c05a8f8d37e0816aaed7e")</f>
        <v>0x1e6a8be8f1b448c0b77c05a8f8d37e0816aaed7e</v>
      </c>
      <c r="J3478" s="18">
        <v>48.3641275995966</v>
      </c>
      <c r="K3478" s="4">
        <v>604.5515949949574</v>
      </c>
      <c r="L3478" s="19">
        <v>6.045515949949574E20</v>
      </c>
      <c r="M3478" s="20">
        <v>6.045515949949574E19</v>
      </c>
    </row>
    <row r="3479">
      <c r="A3479" s="6"/>
      <c r="B3479" s="6"/>
      <c r="C3479" s="4"/>
      <c r="D3479" s="4">
        <v>8.62408291939622</v>
      </c>
      <c r="E3479" s="4" t="s">
        <v>5326</v>
      </c>
      <c r="F3479" s="4"/>
      <c r="G3479" s="4"/>
      <c r="H3479" s="4"/>
      <c r="I3479" s="4" t="str">
        <f>IFERROR(__xludf.DUMMYFUNCTION("""COMPUTED_VALUE"""),"0xa38fdee1fa8d71248fd50575e69dabb317c69ba8")</f>
        <v>0xa38fdee1fa8d71248fd50575e69dabb317c69ba8</v>
      </c>
      <c r="J3479" s="18">
        <v>48.3641275995966</v>
      </c>
      <c r="K3479" s="4">
        <v>604.5515949949574</v>
      </c>
      <c r="L3479" s="19">
        <v>6.045515949949574E20</v>
      </c>
      <c r="M3479" s="20">
        <v>6.045515949949574E19</v>
      </c>
    </row>
    <row r="3480">
      <c r="A3480" s="6"/>
      <c r="B3480" s="6"/>
      <c r="C3480" s="4"/>
      <c r="D3480" s="4">
        <v>48.3641275995966</v>
      </c>
      <c r="E3480" s="4" t="s">
        <v>5328</v>
      </c>
      <c r="F3480" s="4"/>
      <c r="G3480" s="4"/>
      <c r="H3480" s="4"/>
      <c r="I3480" s="4" t="str">
        <f>IFERROR(__xludf.DUMMYFUNCTION("""COMPUTED_VALUE"""),"0x577fe43b8c2296a342d8fb7b43f69ed40f626e08")</f>
        <v>0x577fe43b8c2296a342d8fb7b43f69ed40f626e08</v>
      </c>
      <c r="J3480" s="18">
        <v>20.9155984551979</v>
      </c>
      <c r="K3480" s="4">
        <v>261.44498068997376</v>
      </c>
      <c r="L3480" s="19">
        <v>2.6144498068997377E20</v>
      </c>
      <c r="M3480" s="20">
        <v>2.614449806899738E19</v>
      </c>
    </row>
    <row r="3481">
      <c r="A3481" s="6"/>
      <c r="B3481" s="6"/>
      <c r="C3481" s="4"/>
      <c r="D3481" s="4">
        <v>4.58312705117017</v>
      </c>
      <c r="E3481" s="4" t="s">
        <v>5329</v>
      </c>
      <c r="F3481" s="4"/>
      <c r="G3481" s="4"/>
      <c r="H3481" s="4"/>
      <c r="I3481" s="4" t="str">
        <f>IFERROR(__xludf.DUMMYFUNCTION("""COMPUTED_VALUE"""),"0x5079ee60800af716a1159b41f47551f6e72a7ac2")</f>
        <v>0x5079ee60800af716a1159b41f47551f6e72a7ac2</v>
      </c>
      <c r="J3481" s="18">
        <v>2.23164296707465</v>
      </c>
      <c r="K3481" s="4">
        <v>27.895537088433127</v>
      </c>
      <c r="L3481" s="19">
        <v>2.7895537088433127E19</v>
      </c>
      <c r="M3481" s="20">
        <v>2.789553708843313E18</v>
      </c>
    </row>
    <row r="3482">
      <c r="A3482" s="6"/>
      <c r="B3482" s="6"/>
      <c r="C3482" s="4"/>
      <c r="D3482" s="4">
        <v>44.7365601660274</v>
      </c>
      <c r="E3482" s="4" t="s">
        <v>5331</v>
      </c>
      <c r="F3482" s="4"/>
      <c r="G3482" s="4"/>
      <c r="H3482" s="4"/>
      <c r="I3482" s="4" t="str">
        <f>IFERROR(__xludf.DUMMYFUNCTION("""COMPUTED_VALUE"""),"0x0428aa2f220a037178d6599aea500287478e4f72")</f>
        <v>0x0428aa2f220a037178d6599aea500287478e4f72</v>
      </c>
      <c r="J3482" s="18">
        <v>19.3456510398386</v>
      </c>
      <c r="K3482" s="4">
        <v>241.8206379979825</v>
      </c>
      <c r="L3482" s="19">
        <v>2.4182063799798248E20</v>
      </c>
      <c r="M3482" s="20">
        <v>2.418206379979825E19</v>
      </c>
    </row>
    <row r="3483">
      <c r="A3483" s="6"/>
      <c r="B3483" s="6"/>
      <c r="C3483" s="4"/>
      <c r="D3483" s="4">
        <v>25.7231845952229</v>
      </c>
      <c r="E3483" s="4" t="s">
        <v>5333</v>
      </c>
      <c r="F3483" s="4"/>
      <c r="G3483" s="4"/>
      <c r="H3483" s="4"/>
      <c r="I3483" s="4" t="str">
        <f>IFERROR(__xludf.DUMMYFUNCTION("""COMPUTED_VALUE"""),"0x61f4e0111ca69a2547b56ce9e6a93d38b02175d3")</f>
        <v>0x61f4e0111ca69a2547b56ce9e6a93d38b02175d3</v>
      </c>
      <c r="J3483" s="18">
        <v>234.37608780709658</v>
      </c>
      <c r="K3483" s="4">
        <v>2929.7010975887074</v>
      </c>
      <c r="L3483" s="19">
        <v>2.9297010975887076E21</v>
      </c>
      <c r="M3483" s="20">
        <v>2.9297010975887078E20</v>
      </c>
    </row>
    <row r="3484">
      <c r="A3484" s="6"/>
      <c r="B3484" s="6"/>
      <c r="C3484" s="4"/>
      <c r="D3484" s="4">
        <v>48.3641275995966</v>
      </c>
      <c r="E3484" s="4" t="s">
        <v>5335</v>
      </c>
      <c r="F3484" s="4"/>
      <c r="G3484" s="4"/>
      <c r="H3484" s="4"/>
      <c r="I3484" s="4" t="str">
        <f>IFERROR(__xludf.DUMMYFUNCTION("""COMPUTED_VALUE"""),"0x8fbfd7a58e4fb05b5c949fe477e07e2ee5901b9f")</f>
        <v>0x8fbfd7a58e4fb05b5c949fe477e07e2ee5901b9f</v>
      </c>
      <c r="J3484" s="18">
        <v>8.81642569317977</v>
      </c>
      <c r="K3484" s="4">
        <v>110.20532116474712</v>
      </c>
      <c r="L3484" s="19">
        <v>1.1020532116474711E20</v>
      </c>
      <c r="M3484" s="20">
        <v>1.1020532116474712E19</v>
      </c>
    </row>
    <row r="3485">
      <c r="A3485" s="6"/>
      <c r="B3485" s="6"/>
      <c r="C3485" s="4"/>
      <c r="D3485" s="4">
        <v>48.3641275995966</v>
      </c>
      <c r="E3485" s="4" t="s">
        <v>5336</v>
      </c>
      <c r="F3485" s="4"/>
      <c r="G3485" s="4"/>
      <c r="H3485" s="4"/>
      <c r="I3485" s="4" t="str">
        <f>IFERROR(__xludf.DUMMYFUNCTION("""COMPUTED_VALUE"""),"0x1dc429c8f37019f560a7bbfe7a2b7f4bc1569db5")</f>
        <v>0x1dc429c8f37019f560a7bbfe7a2b7f4bc1569db5</v>
      </c>
      <c r="J3485" s="18">
        <v>48.3641275995966</v>
      </c>
      <c r="K3485" s="4">
        <v>604.5515949949574</v>
      </c>
      <c r="L3485" s="19">
        <v>6.045515949949574E20</v>
      </c>
      <c r="M3485" s="20">
        <v>6.045515949949574E19</v>
      </c>
    </row>
    <row r="3486">
      <c r="A3486" s="6"/>
      <c r="B3486" s="6"/>
      <c r="C3486" s="4"/>
      <c r="D3486" s="4">
        <v>9.672825519919328</v>
      </c>
      <c r="E3486" s="4" t="s">
        <v>5337</v>
      </c>
      <c r="F3486" s="4"/>
      <c r="G3486" s="4"/>
      <c r="H3486" s="4"/>
      <c r="I3486" s="4" t="str">
        <f>IFERROR(__xludf.DUMMYFUNCTION("""COMPUTED_VALUE"""),"0xed07099f72fcd570f0e5a5b81719553eb986294f")</f>
        <v>0xed07099f72fcd570f0e5a5b81719553eb986294f</v>
      </c>
      <c r="J3486" s="18">
        <v>38.014196296646304</v>
      </c>
      <c r="K3486" s="4">
        <v>475.1774537080788</v>
      </c>
      <c r="L3486" s="19">
        <v>4.751774537080788E20</v>
      </c>
      <c r="M3486" s="20">
        <v>4.7517745370807886E19</v>
      </c>
    </row>
    <row r="3487">
      <c r="A3487" s="6"/>
      <c r="B3487" s="6"/>
      <c r="C3487" s="4"/>
      <c r="D3487" s="4">
        <v>9.71151682199901</v>
      </c>
      <c r="E3487" s="4" t="s">
        <v>5338</v>
      </c>
      <c r="F3487" s="4"/>
      <c r="G3487" s="4"/>
      <c r="H3487" s="4"/>
      <c r="I3487" s="4" t="str">
        <f>IFERROR(__xludf.DUMMYFUNCTION("""COMPUTED_VALUE"""),"0x49d1978dce1a788a0e33ac59c004e5fee4093e95")</f>
        <v>0x49d1978dce1a788a0e33ac59c004e5fee4093e95</v>
      </c>
      <c r="J3487" s="18">
        <v>34.000313928863896</v>
      </c>
      <c r="K3487" s="4">
        <v>425.0039241107987</v>
      </c>
      <c r="L3487" s="19">
        <v>4.2500392411079875E20</v>
      </c>
      <c r="M3487" s="20">
        <v>4.250039241107988E19</v>
      </c>
    </row>
    <row r="3488">
      <c r="A3488" s="6"/>
      <c r="B3488" s="6"/>
      <c r="C3488" s="4"/>
      <c r="D3488" s="4">
        <v>48.3641275995966</v>
      </c>
      <c r="E3488" s="4" t="s">
        <v>5340</v>
      </c>
      <c r="F3488" s="4"/>
      <c r="G3488" s="4"/>
      <c r="H3488" s="4"/>
      <c r="I3488" s="4" t="str">
        <f>IFERROR(__xludf.DUMMYFUNCTION("""COMPUTED_VALUE"""),"0x4b827d673ce4fe2b1b1f1daac409fbe6f1211313")</f>
        <v>0x4b827d673ce4fe2b1b1f1daac409fbe6f1211313</v>
      </c>
      <c r="J3488" s="18">
        <v>39.828459868294395</v>
      </c>
      <c r="K3488" s="4">
        <v>497.8557483536799</v>
      </c>
      <c r="L3488" s="19">
        <v>4.9785574835367995E20</v>
      </c>
      <c r="M3488" s="20">
        <v>4.9785574835368E19</v>
      </c>
    </row>
    <row r="3489">
      <c r="A3489" s="6"/>
      <c r="B3489" s="6"/>
      <c r="C3489" s="4"/>
      <c r="D3489" s="4">
        <v>38.7109272326208</v>
      </c>
      <c r="E3489" s="4" t="s">
        <v>5341</v>
      </c>
      <c r="F3489" s="4"/>
      <c r="G3489" s="4"/>
      <c r="H3489" s="4"/>
      <c r="I3489" s="4" t="str">
        <f>IFERROR(__xludf.DUMMYFUNCTION("""COMPUTED_VALUE"""),"0x3cea62add13c034cccee6ff6bfa4f0fd6d6727f0")</f>
        <v>0x3cea62add13c034cccee6ff6bfa4f0fd6d6727f0</v>
      </c>
      <c r="J3489" s="18">
        <v>19.34330012866</v>
      </c>
      <c r="K3489" s="4">
        <v>241.79125160825</v>
      </c>
      <c r="L3489" s="19">
        <v>2.4179125160825002E20</v>
      </c>
      <c r="M3489" s="20">
        <v>2.4179125160825004E19</v>
      </c>
    </row>
    <row r="3490">
      <c r="A3490" s="6"/>
      <c r="B3490" s="6"/>
      <c r="C3490" s="4"/>
      <c r="D3490" s="4">
        <v>1.8113443749294</v>
      </c>
      <c r="E3490" s="4" t="s">
        <v>5343</v>
      </c>
      <c r="F3490" s="4"/>
      <c r="G3490" s="4"/>
      <c r="H3490" s="4"/>
      <c r="I3490" s="4" t="str">
        <f>IFERROR(__xludf.DUMMYFUNCTION("""COMPUTED_VALUE"""),"0xb41d30c1a700843f12e49adf1c6c3a8260e86dd3")</f>
        <v>0xb41d30c1a700843f12e49adf1c6c3a8260e86dd3</v>
      </c>
      <c r="J3490" s="18">
        <v>0.169177296404841</v>
      </c>
      <c r="K3490" s="4">
        <v>2.1147162050605126</v>
      </c>
      <c r="L3490" s="19">
        <v>2.1147162050605125E18</v>
      </c>
      <c r="M3490" s="20">
        <v>2.1147162050605126E17</v>
      </c>
    </row>
    <row r="3491">
      <c r="A3491" s="6"/>
      <c r="B3491" s="6"/>
      <c r="C3491" s="4"/>
      <c r="D3491" s="4">
        <v>46.7486180029498</v>
      </c>
      <c r="E3491" s="4" t="s">
        <v>5345</v>
      </c>
      <c r="F3491" s="4"/>
      <c r="G3491" s="4"/>
      <c r="H3491" s="4"/>
      <c r="I3491" s="4" t="str">
        <f>IFERROR(__xludf.DUMMYFUNCTION("""COMPUTED_VALUE"""),"0x3c63bde97bd6757c372b1a3c55c8033c3ef13f9b")</f>
        <v>0x3c63bde97bd6757c372b1a3c55c8033c3ef13f9b</v>
      </c>
      <c r="J3491" s="18">
        <v>2.29179234278993</v>
      </c>
      <c r="K3491" s="4">
        <v>28.64740428487412</v>
      </c>
      <c r="L3491" s="19">
        <v>2.864740428487412E19</v>
      </c>
      <c r="M3491" s="20">
        <v>2.864740428487412E18</v>
      </c>
    </row>
    <row r="3492">
      <c r="A3492" s="6"/>
      <c r="B3492" s="6"/>
      <c r="C3492" s="4"/>
      <c r="D3492" s="4">
        <v>44.0936466883502</v>
      </c>
      <c r="E3492" s="4" t="s">
        <v>5347</v>
      </c>
      <c r="F3492" s="4"/>
      <c r="G3492" s="4"/>
      <c r="H3492" s="4"/>
      <c r="I3492" s="4" t="str">
        <f>IFERROR(__xludf.DUMMYFUNCTION("""COMPUTED_VALUE"""),"0xcaf15b443812b88155d896353df4dee5036eea61")</f>
        <v>0xcaf15b443812b88155d896353df4dee5036eea61</v>
      </c>
      <c r="J3492" s="18">
        <v>113.8403375926369</v>
      </c>
      <c r="K3492" s="4">
        <v>1423.0042199079612</v>
      </c>
      <c r="L3492" s="19">
        <v>1.4230042199079613E21</v>
      </c>
      <c r="M3492" s="20">
        <v>1.4230042199079613E20</v>
      </c>
    </row>
    <row r="3493">
      <c r="A3493" s="6"/>
      <c r="B3493" s="6"/>
      <c r="C3493" s="4"/>
      <c r="D3493" s="4">
        <v>48.3641275995966</v>
      </c>
      <c r="E3493" s="4" t="s">
        <v>744</v>
      </c>
      <c r="F3493" s="4"/>
      <c r="G3493" s="4"/>
      <c r="H3493" s="4"/>
      <c r="I3493" s="4" t="str">
        <f>IFERROR(__xludf.DUMMYFUNCTION("""COMPUTED_VALUE"""),"0x74a1b835529d251637b4e48562abbea146f913d7")</f>
        <v>0x74a1b835529d251637b4e48562abbea146f913d7</v>
      </c>
      <c r="J3493" s="18">
        <v>234.37608780709658</v>
      </c>
      <c r="K3493" s="4">
        <v>2929.7010975887074</v>
      </c>
      <c r="L3493" s="19">
        <v>2.9297010975887076E21</v>
      </c>
      <c r="M3493" s="20">
        <v>2.9297010975887078E20</v>
      </c>
    </row>
    <row r="3494">
      <c r="A3494" s="6"/>
      <c r="B3494" s="6"/>
      <c r="C3494" s="4"/>
      <c r="D3494" s="4">
        <v>48.3641275995966</v>
      </c>
      <c r="E3494" s="4" t="s">
        <v>5349</v>
      </c>
      <c r="F3494" s="4"/>
      <c r="G3494" s="4"/>
      <c r="H3494" s="4"/>
      <c r="I3494" s="4" t="str">
        <f>IFERROR(__xludf.DUMMYFUNCTION("""COMPUTED_VALUE"""),"0xdc1f22f1c2f671fefa88afe4e4f28ca7acdb8f77")</f>
        <v>0xdc1f22f1c2f671fefa88afe4e4f28ca7acdb8f77</v>
      </c>
      <c r="J3494" s="18">
        <v>48.3641275995966</v>
      </c>
      <c r="K3494" s="4">
        <v>604.5515949949574</v>
      </c>
      <c r="L3494" s="19">
        <v>6.045515949949574E20</v>
      </c>
      <c r="M3494" s="20">
        <v>6.045515949949574E19</v>
      </c>
    </row>
    <row r="3495">
      <c r="A3495" s="6"/>
      <c r="B3495" s="6"/>
      <c r="C3495" s="4"/>
      <c r="D3495" s="4">
        <v>48.3641275995966</v>
      </c>
      <c r="E3495" s="4" t="s">
        <v>5350</v>
      </c>
      <c r="F3495" s="4"/>
      <c r="G3495" s="4"/>
      <c r="H3495" s="4"/>
      <c r="I3495" s="4" t="str">
        <f>IFERROR(__xludf.DUMMYFUNCTION("""COMPUTED_VALUE"""),"0x5595c66580a6c7c3a4c52c444174679ff3384e9f")</f>
        <v>0x5595c66580a6c7c3a4c52c444174679ff3384e9f</v>
      </c>
      <c r="J3495" s="18">
        <v>113.4683136722219</v>
      </c>
      <c r="K3495" s="4">
        <v>1418.3539209027738</v>
      </c>
      <c r="L3495" s="19">
        <v>1.4183539209027739E21</v>
      </c>
      <c r="M3495" s="20">
        <v>1.418353920902774E20</v>
      </c>
    </row>
    <row r="3496">
      <c r="A3496" s="6"/>
      <c r="B3496" s="6"/>
      <c r="C3496" s="4"/>
      <c r="D3496" s="4">
        <v>48.3641275995966</v>
      </c>
      <c r="E3496" s="4" t="s">
        <v>5351</v>
      </c>
      <c r="F3496" s="4"/>
      <c r="G3496" s="4"/>
      <c r="H3496" s="4"/>
      <c r="I3496" s="4" t="str">
        <f>IFERROR(__xludf.DUMMYFUNCTION("""COMPUTED_VALUE"""),"0xe4e001a3bce89eeb53e5e7e8361a59c28731b807")</f>
        <v>0xe4e001a3bce89eeb53e5e7e8361a59c28731b807</v>
      </c>
      <c r="J3496" s="18">
        <v>126.48120212935531</v>
      </c>
      <c r="K3496" s="4">
        <v>1581.0150266169414</v>
      </c>
      <c r="L3496" s="19">
        <v>1.5810150266169414E21</v>
      </c>
      <c r="M3496" s="20">
        <v>1.5810150266169416E20</v>
      </c>
    </row>
    <row r="3497">
      <c r="A3497" s="6"/>
      <c r="B3497" s="6"/>
      <c r="C3497" s="4"/>
      <c r="D3497" s="4">
        <v>48.3641275995966</v>
      </c>
      <c r="E3497" s="4" t="s">
        <v>5352</v>
      </c>
      <c r="F3497" s="4"/>
      <c r="G3497" s="4"/>
      <c r="H3497" s="4"/>
      <c r="I3497" s="4" t="str">
        <f>IFERROR(__xludf.DUMMYFUNCTION("""COMPUTED_VALUE"""),"0xe38c101875e034bc5ff90d8d77c81e646aa207ba")</f>
        <v>0xe38c101875e034bc5ff90d8d77c81e646aa207ba</v>
      </c>
      <c r="J3497" s="18">
        <v>94.8671176514718</v>
      </c>
      <c r="K3497" s="4">
        <v>1185.8389706433975</v>
      </c>
      <c r="L3497" s="19">
        <v>1.1858389706433975E21</v>
      </c>
      <c r="M3497" s="20">
        <v>1.1858389706433975E20</v>
      </c>
    </row>
    <row r="3498">
      <c r="A3498" s="6"/>
      <c r="B3498" s="6"/>
      <c r="C3498" s="4"/>
      <c r="D3498" s="4">
        <v>48.3641275995966</v>
      </c>
      <c r="E3498" s="4" t="s">
        <v>5353</v>
      </c>
      <c r="F3498" s="4"/>
      <c r="G3498" s="4"/>
      <c r="H3498" s="4"/>
      <c r="I3498" s="4" t="str">
        <f>IFERROR(__xludf.DUMMYFUNCTION("""COMPUTED_VALUE"""),"0x1f91c515d14ef38367336b1d04513c02956605b9")</f>
        <v>0x1f91c515d14ef38367336b1d04513c02956605b9</v>
      </c>
      <c r="J3498" s="18">
        <v>40.7046485325536</v>
      </c>
      <c r="K3498" s="4">
        <v>508.80810665691996</v>
      </c>
      <c r="L3498" s="19">
        <v>5.0880810665692E20</v>
      </c>
      <c r="M3498" s="20">
        <v>5.0880810665692004E19</v>
      </c>
    </row>
    <row r="3499">
      <c r="A3499" s="6"/>
      <c r="B3499" s="6"/>
      <c r="C3499" s="4"/>
      <c r="D3499" s="4">
        <v>6.46441546018395</v>
      </c>
      <c r="E3499" s="4" t="s">
        <v>5354</v>
      </c>
      <c r="F3499" s="4"/>
      <c r="G3499" s="4"/>
      <c r="H3499" s="4"/>
      <c r="I3499" s="4" t="str">
        <f>IFERROR(__xludf.DUMMYFUNCTION("""COMPUTED_VALUE"""),"0x86e295eb76b8188f76b1a4c71e74463d0ecf2eff")</f>
        <v>0x86e295eb76b8188f76b1a4c71e74463d0ecf2eff</v>
      </c>
      <c r="J3499" s="18">
        <v>9.672825519919328</v>
      </c>
      <c r="K3499" s="4">
        <v>120.9103189989916</v>
      </c>
      <c r="L3499" s="19">
        <v>1.209103189989916E20</v>
      </c>
      <c r="M3499" s="20">
        <v>1.209103189989916E19</v>
      </c>
    </row>
    <row r="3500">
      <c r="A3500" s="6"/>
      <c r="B3500" s="6"/>
      <c r="C3500" s="4"/>
      <c r="D3500" s="4">
        <v>34.8773380014068</v>
      </c>
      <c r="E3500" s="4" t="s">
        <v>5356</v>
      </c>
      <c r="F3500" s="4"/>
      <c r="G3500" s="4"/>
      <c r="H3500" s="4"/>
      <c r="I3500" s="4" t="str">
        <f>IFERROR(__xludf.DUMMYFUNCTION("""COMPUTED_VALUE"""),"0x6c7ce82710166e5e7f18b5ff9f62097625a1eec4")</f>
        <v>0x6c7ce82710166e5e7f18b5ff9f62097625a1eec4</v>
      </c>
      <c r="J3500" s="18">
        <v>48.3641275995966</v>
      </c>
      <c r="K3500" s="4">
        <v>604.5515949949574</v>
      </c>
      <c r="L3500" s="19">
        <v>6.045515949949574E20</v>
      </c>
      <c r="M3500" s="20">
        <v>6.045515949949574E19</v>
      </c>
    </row>
    <row r="3501">
      <c r="A3501" s="6"/>
      <c r="B3501" s="6"/>
      <c r="C3501" s="4"/>
      <c r="D3501" s="4">
        <v>9.68180869870939</v>
      </c>
      <c r="E3501" s="4" t="s">
        <v>5358</v>
      </c>
      <c r="F3501" s="4"/>
      <c r="G3501" s="4"/>
      <c r="H3501" s="4"/>
      <c r="I3501" s="4" t="str">
        <f>IFERROR(__xludf.DUMMYFUNCTION("""COMPUTED_VALUE"""),"0x83b1dc67de9d719868018e3fd13478ff0d63c3c7")</f>
        <v>0x83b1dc67de9d719868018e3fd13478ff0d63c3c7</v>
      </c>
      <c r="J3501" s="18">
        <v>94.967107287117</v>
      </c>
      <c r="K3501" s="4">
        <v>1187.0888410889625</v>
      </c>
      <c r="L3501" s="19">
        <v>1.1870888410889624E21</v>
      </c>
      <c r="M3501" s="20">
        <v>1.1870888410889624E20</v>
      </c>
    </row>
    <row r="3502">
      <c r="A3502" s="6"/>
      <c r="B3502" s="6"/>
      <c r="C3502" s="4"/>
      <c r="D3502" s="4">
        <v>6.84422396182995</v>
      </c>
      <c r="E3502" s="4" t="s">
        <v>5360</v>
      </c>
      <c r="F3502" s="4"/>
      <c r="G3502" s="4"/>
      <c r="H3502" s="4"/>
      <c r="I3502" s="4" t="str">
        <f>IFERROR(__xludf.DUMMYFUNCTION("""COMPUTED_VALUE"""),"0x4d173d22e11884b9729e819af36d0ed0117d0969")</f>
        <v>0x4d173d22e11884b9729e819af36d0ed0117d0969</v>
      </c>
      <c r="J3502" s="18">
        <v>234.37608780709658</v>
      </c>
      <c r="K3502" s="4">
        <v>2929.7010975887074</v>
      </c>
      <c r="L3502" s="19">
        <v>2.9297010975887076E21</v>
      </c>
      <c r="M3502" s="20">
        <v>2.9297010975887078E20</v>
      </c>
    </row>
    <row r="3503">
      <c r="A3503" s="6"/>
      <c r="B3503" s="6"/>
      <c r="C3503" s="4"/>
      <c r="D3503" s="4">
        <v>48.3641275995966</v>
      </c>
      <c r="E3503" s="4" t="s">
        <v>1121</v>
      </c>
      <c r="F3503" s="4"/>
      <c r="G3503" s="4"/>
      <c r="H3503" s="4"/>
      <c r="I3503" s="4" t="str">
        <f>IFERROR(__xludf.DUMMYFUNCTION("""COMPUTED_VALUE"""),"0x910ae078d8dc7bb7a3ccb280f25655a74fa1aa5e")</f>
        <v>0x910ae078d8dc7bb7a3ccb280f25655a74fa1aa5e</v>
      </c>
      <c r="J3503" s="18">
        <v>9.672825519919328</v>
      </c>
      <c r="K3503" s="4">
        <v>120.9103189989916</v>
      </c>
      <c r="L3503" s="19">
        <v>1.209103189989916E20</v>
      </c>
      <c r="M3503" s="20">
        <v>1.209103189989916E19</v>
      </c>
    </row>
    <row r="3504">
      <c r="A3504" s="6"/>
      <c r="B3504" s="6"/>
      <c r="C3504" s="4"/>
      <c r="D3504" s="4">
        <v>29.3026485977692</v>
      </c>
      <c r="E3504" s="4" t="s">
        <v>5362</v>
      </c>
      <c r="F3504" s="4"/>
      <c r="G3504" s="4"/>
      <c r="H3504" s="4"/>
      <c r="I3504" s="4" t="str">
        <f>IFERROR(__xludf.DUMMYFUNCTION("""COMPUTED_VALUE"""),"0xed3aae337d3ea60d07c9984330895fcfa5cce647")</f>
        <v>0xed3aae337d3ea60d07c9984330895fcfa5cce647</v>
      </c>
      <c r="J3504" s="18">
        <v>47.2593097091009</v>
      </c>
      <c r="K3504" s="4">
        <v>590.7413713637612</v>
      </c>
      <c r="L3504" s="19">
        <v>5.907413713637612E20</v>
      </c>
      <c r="M3504" s="20">
        <v>5.907413713637612E19</v>
      </c>
    </row>
    <row r="3505">
      <c r="A3505" s="6"/>
      <c r="B3505" s="6"/>
      <c r="C3505" s="4"/>
      <c r="D3505" s="4">
        <v>48.3641275995966</v>
      </c>
      <c r="E3505" s="4" t="s">
        <v>5364</v>
      </c>
      <c r="F3505" s="4"/>
      <c r="G3505" s="4"/>
      <c r="H3505" s="4"/>
      <c r="I3505" s="4" t="str">
        <f>IFERROR(__xludf.DUMMYFUNCTION("""COMPUTED_VALUE"""),"0x31d4dcc55abf901ace6e18188151113b9971740c")</f>
        <v>0x31d4dcc55abf901ace6e18188151113b9971740c</v>
      </c>
      <c r="J3505" s="18">
        <v>48.3641275995966</v>
      </c>
      <c r="K3505" s="4">
        <v>604.5515949949574</v>
      </c>
      <c r="L3505" s="19">
        <v>6.045515949949574E20</v>
      </c>
      <c r="M3505" s="20">
        <v>6.045515949949574E19</v>
      </c>
    </row>
    <row r="3506">
      <c r="A3506" s="6"/>
      <c r="B3506" s="6"/>
      <c r="C3506" s="4"/>
      <c r="D3506" s="4">
        <v>9.76955377511852</v>
      </c>
      <c r="E3506" s="4" t="s">
        <v>5365</v>
      </c>
      <c r="F3506" s="4"/>
      <c r="G3506" s="4"/>
      <c r="H3506" s="4"/>
      <c r="I3506" s="4" t="str">
        <f>IFERROR(__xludf.DUMMYFUNCTION("""COMPUTED_VALUE"""),"0x80d082852bb1e1fdca41130afcb0469b6b8a66b3")</f>
        <v>0x80d082852bb1e1fdca41130afcb0469b6b8a66b3</v>
      </c>
      <c r="J3506" s="18">
        <v>234.37608780709658</v>
      </c>
      <c r="K3506" s="4">
        <v>2929.7010975887074</v>
      </c>
      <c r="L3506" s="19">
        <v>2.9297010975887076E21</v>
      </c>
      <c r="M3506" s="20">
        <v>2.9297010975887078E20</v>
      </c>
    </row>
    <row r="3507">
      <c r="A3507" s="6"/>
      <c r="B3507" s="6"/>
      <c r="C3507" s="4"/>
      <c r="D3507" s="4">
        <v>16.7412853248552</v>
      </c>
      <c r="E3507" s="4" t="s">
        <v>5367</v>
      </c>
      <c r="F3507" s="4"/>
      <c r="G3507" s="4"/>
      <c r="H3507" s="4"/>
      <c r="I3507" s="4" t="str">
        <f>IFERROR(__xludf.DUMMYFUNCTION("""COMPUTED_VALUE"""),"0x906cab131ccc983b5b88101e977dfac8bcf8fe92")</f>
        <v>0x906cab131ccc983b5b88101e977dfac8bcf8fe92</v>
      </c>
      <c r="J3507" s="18">
        <v>22.1034944201854</v>
      </c>
      <c r="K3507" s="4">
        <v>276.2936802523175</v>
      </c>
      <c r="L3507" s="19">
        <v>2.7629368025231747E20</v>
      </c>
      <c r="M3507" s="20">
        <v>2.762936802523175E19</v>
      </c>
    </row>
    <row r="3508">
      <c r="A3508" s="6"/>
      <c r="B3508" s="6"/>
      <c r="C3508" s="4"/>
      <c r="D3508" s="4">
        <v>10.4234593502918</v>
      </c>
      <c r="E3508" s="4" t="s">
        <v>5369</v>
      </c>
      <c r="F3508" s="4"/>
      <c r="G3508" s="4"/>
      <c r="H3508" s="4"/>
      <c r="I3508" s="4" t="str">
        <f>IFERROR(__xludf.DUMMYFUNCTION("""COMPUTED_VALUE"""),"0xba8dbeac3ef86309eb65ad85aa85a19bf25f5e7e")</f>
        <v>0xba8dbeac3ef86309eb65ad85aa85a19bf25f5e7e</v>
      </c>
      <c r="J3508" s="18">
        <v>42.6654854999089</v>
      </c>
      <c r="K3508" s="4">
        <v>533.3185687488613</v>
      </c>
      <c r="L3508" s="19">
        <v>5.333185687488612E20</v>
      </c>
      <c r="M3508" s="20">
        <v>5.333185687488613E19</v>
      </c>
    </row>
    <row r="3509">
      <c r="A3509" s="6"/>
      <c r="B3509" s="6"/>
      <c r="C3509" s="4"/>
      <c r="D3509" s="4">
        <v>8.02174378165726</v>
      </c>
      <c r="E3509" s="4" t="s">
        <v>5371</v>
      </c>
      <c r="F3509" s="4"/>
      <c r="G3509" s="4"/>
      <c r="H3509" s="4"/>
      <c r="I3509" s="4" t="str">
        <f>IFERROR(__xludf.DUMMYFUNCTION("""COMPUTED_VALUE"""),"0xbc5304367510592e9b908218acc3544ae1668678")</f>
        <v>0xbc5304367510592e9b908218acc3544ae1668678</v>
      </c>
      <c r="J3509" s="18">
        <v>43.0364302385253</v>
      </c>
      <c r="K3509" s="4">
        <v>537.9553779815662</v>
      </c>
      <c r="L3509" s="19">
        <v>5.379553779815662E20</v>
      </c>
      <c r="M3509" s="20">
        <v>5.379553779815662E19</v>
      </c>
    </row>
    <row r="3510">
      <c r="A3510" s="6"/>
      <c r="B3510" s="6"/>
      <c r="C3510" s="4"/>
      <c r="D3510" s="4">
        <v>9.7645576231899</v>
      </c>
      <c r="E3510" s="4" t="s">
        <v>5373</v>
      </c>
      <c r="F3510" s="4"/>
      <c r="G3510" s="4"/>
      <c r="H3510" s="4"/>
      <c r="I3510" s="4" t="str">
        <f>IFERROR(__xludf.DUMMYFUNCTION("""COMPUTED_VALUE"""),"0x757056e3ab3c65c6c8c710f7e6f9a8327cc6bae7")</f>
        <v>0x757056e3ab3c65c6c8c710f7e6f9a8327cc6bae7</v>
      </c>
      <c r="J3510" s="18">
        <v>33.8247741184678</v>
      </c>
      <c r="K3510" s="4">
        <v>422.8096764808475</v>
      </c>
      <c r="L3510" s="19">
        <v>4.228096764808475E20</v>
      </c>
      <c r="M3510" s="20">
        <v>4.228096764808475E19</v>
      </c>
    </row>
    <row r="3511">
      <c r="A3511" s="6"/>
      <c r="B3511" s="6"/>
      <c r="C3511" s="4"/>
      <c r="D3511" s="4">
        <v>4.94694595743473</v>
      </c>
      <c r="E3511" s="4" t="s">
        <v>5375</v>
      </c>
      <c r="F3511" s="4"/>
      <c r="G3511" s="4"/>
      <c r="H3511" s="4"/>
      <c r="I3511" s="4" t="str">
        <f>IFERROR(__xludf.DUMMYFUNCTION("""COMPUTED_VALUE"""),"0xcd30daa8e00b04d3110b35e27f98d1c35ebe4aab")</f>
        <v>0xcd30daa8e00b04d3110b35e27f98d1c35ebe4aab</v>
      </c>
      <c r="J3511" s="18">
        <v>9.672825519919328</v>
      </c>
      <c r="K3511" s="4">
        <v>120.9103189989916</v>
      </c>
      <c r="L3511" s="19">
        <v>1.209103189989916E20</v>
      </c>
      <c r="M3511" s="20">
        <v>1.209103189989916E19</v>
      </c>
    </row>
    <row r="3512">
      <c r="A3512" s="6"/>
      <c r="B3512" s="6"/>
      <c r="C3512" s="4"/>
      <c r="D3512" s="4">
        <v>48.3641275995966</v>
      </c>
      <c r="E3512" s="4" t="s">
        <v>401</v>
      </c>
      <c r="F3512" s="4"/>
      <c r="G3512" s="4"/>
      <c r="H3512" s="4"/>
      <c r="I3512" s="4" t="str">
        <f>IFERROR(__xludf.DUMMYFUNCTION("""COMPUTED_VALUE"""),"0x846ca5a624575398dd8d306833055f9f549cd6d0")</f>
        <v>0x846ca5a624575398dd8d306833055f9f549cd6d0</v>
      </c>
      <c r="J3512" s="18">
        <v>9.86330121294037</v>
      </c>
      <c r="K3512" s="4">
        <v>123.29126516175461</v>
      </c>
      <c r="L3512" s="19">
        <v>1.232912651617546E20</v>
      </c>
      <c r="M3512" s="20">
        <v>1.2329126516175462E19</v>
      </c>
    </row>
    <row r="3513">
      <c r="A3513" s="6"/>
      <c r="B3513" s="6"/>
      <c r="C3513" s="4"/>
      <c r="D3513" s="4">
        <v>45.079096898615596</v>
      </c>
      <c r="E3513" s="4" t="s">
        <v>5377</v>
      </c>
      <c r="F3513" s="4"/>
      <c r="G3513" s="4"/>
      <c r="H3513" s="4"/>
      <c r="I3513" s="4" t="str">
        <f>IFERROR(__xludf.DUMMYFUNCTION("""COMPUTED_VALUE"""),"0x91c6ca908c789f272d8b398cf2c596c29a92d6f9")</f>
        <v>0x91c6ca908c789f272d8b398cf2c596c29a92d6f9</v>
      </c>
      <c r="J3513" s="18">
        <v>9.672825519919328</v>
      </c>
      <c r="K3513" s="4">
        <v>120.9103189989916</v>
      </c>
      <c r="L3513" s="19">
        <v>1.209103189989916E20</v>
      </c>
      <c r="M3513" s="20">
        <v>1.209103189989916E19</v>
      </c>
    </row>
    <row r="3514">
      <c r="A3514" s="6"/>
      <c r="B3514" s="6"/>
      <c r="C3514" s="4"/>
      <c r="D3514" s="4">
        <v>9.731276842761789</v>
      </c>
      <c r="E3514" s="4" t="s">
        <v>5379</v>
      </c>
      <c r="F3514" s="4"/>
      <c r="G3514" s="4"/>
      <c r="H3514" s="4"/>
      <c r="I3514" s="4" t="str">
        <f>IFERROR(__xludf.DUMMYFUNCTION("""COMPUTED_VALUE"""),"0x1370397b54518b0d68e9c42d50186b004f3aafc3")</f>
        <v>0x1370397b54518b0d68e9c42d50186b004f3aafc3</v>
      </c>
      <c r="J3514" s="18">
        <v>48.3641275995966</v>
      </c>
      <c r="K3514" s="4">
        <v>604.5515949949574</v>
      </c>
      <c r="L3514" s="19">
        <v>6.045515949949574E20</v>
      </c>
      <c r="M3514" s="20">
        <v>6.045515949949574E19</v>
      </c>
    </row>
    <row r="3515">
      <c r="A3515" s="6"/>
      <c r="B3515" s="6"/>
      <c r="C3515" s="4"/>
      <c r="D3515" s="4">
        <v>48.3641275995966</v>
      </c>
      <c r="E3515" s="4" t="s">
        <v>489</v>
      </c>
      <c r="F3515" s="4"/>
      <c r="G3515" s="4"/>
      <c r="H3515" s="4"/>
      <c r="I3515" s="4" t="str">
        <f>IFERROR(__xludf.DUMMYFUNCTION("""COMPUTED_VALUE"""),"0x7751961c9273846f163c9e74323fd89b679a9b47")</f>
        <v>0x7751961c9273846f163c9e74323fd89b679a9b47</v>
      </c>
      <c r="J3515" s="18">
        <v>32.257231204449</v>
      </c>
      <c r="K3515" s="4">
        <v>403.2153900556125</v>
      </c>
      <c r="L3515" s="19">
        <v>4.032153900556125E20</v>
      </c>
      <c r="M3515" s="20">
        <v>4.032153900556125E19</v>
      </c>
    </row>
    <row r="3516">
      <c r="A3516" s="6"/>
      <c r="B3516" s="6"/>
      <c r="C3516" s="4"/>
      <c r="D3516" s="4">
        <v>48.3641275995966</v>
      </c>
      <c r="E3516" s="4" t="s">
        <v>5381</v>
      </c>
      <c r="F3516" s="4"/>
      <c r="G3516" s="4"/>
      <c r="H3516" s="4"/>
      <c r="I3516" s="4" t="str">
        <f>IFERROR(__xludf.DUMMYFUNCTION("""COMPUTED_VALUE"""),"0x356bb0ef666f4dd7b23122d20553a973d6c467ae")</f>
        <v>0x356bb0ef666f4dd7b23122d20553a973d6c467ae</v>
      </c>
      <c r="J3516" s="18">
        <v>48.3641275995966</v>
      </c>
      <c r="K3516" s="4">
        <v>604.5515949949574</v>
      </c>
      <c r="L3516" s="19">
        <v>6.045515949949574E20</v>
      </c>
      <c r="M3516" s="20">
        <v>6.045515949949574E19</v>
      </c>
    </row>
    <row r="3517">
      <c r="A3517" s="6"/>
      <c r="B3517" s="6"/>
      <c r="C3517" s="4"/>
      <c r="D3517" s="4">
        <v>48.3641275995966</v>
      </c>
      <c r="E3517" s="4" t="s">
        <v>5382</v>
      </c>
      <c r="F3517" s="4"/>
      <c r="G3517" s="4"/>
      <c r="H3517" s="4"/>
      <c r="I3517" s="4" t="str">
        <f>IFERROR(__xludf.DUMMYFUNCTION("""COMPUTED_VALUE"""),"0xa46460abe381f2d55ed5379893253bc3ea06226a")</f>
        <v>0xa46460abe381f2d55ed5379893253bc3ea06226a</v>
      </c>
      <c r="J3517" s="18">
        <v>48.3641275995966</v>
      </c>
      <c r="K3517" s="4">
        <v>604.5515949949574</v>
      </c>
      <c r="L3517" s="19">
        <v>6.045515949949574E20</v>
      </c>
      <c r="M3517" s="20">
        <v>6.045515949949574E19</v>
      </c>
    </row>
    <row r="3518">
      <c r="A3518" s="6"/>
      <c r="B3518" s="6"/>
      <c r="C3518" s="4"/>
      <c r="D3518" s="4">
        <v>48.3641275995966</v>
      </c>
      <c r="E3518" s="4" t="s">
        <v>5383</v>
      </c>
      <c r="F3518" s="4"/>
      <c r="G3518" s="4"/>
      <c r="H3518" s="4"/>
      <c r="I3518" s="4" t="str">
        <f>IFERROR(__xludf.DUMMYFUNCTION("""COMPUTED_VALUE"""),"0x76fa5876ecef7cecfbe8f94566a1e7252c20bf39")</f>
        <v>0x76fa5876ecef7cecfbe8f94566a1e7252c20bf39</v>
      </c>
      <c r="J3518" s="18">
        <v>31.9605066760566</v>
      </c>
      <c r="K3518" s="4">
        <v>399.5063334507075</v>
      </c>
      <c r="L3518" s="19">
        <v>3.995063334507075E20</v>
      </c>
      <c r="M3518" s="20">
        <v>3.995063334507075E19</v>
      </c>
    </row>
    <row r="3519">
      <c r="A3519" s="6"/>
      <c r="B3519" s="6"/>
      <c r="C3519" s="4"/>
      <c r="D3519" s="4">
        <v>48.3641275995966</v>
      </c>
      <c r="E3519" s="4" t="s">
        <v>5384</v>
      </c>
      <c r="F3519" s="4"/>
      <c r="G3519" s="4"/>
      <c r="H3519" s="4"/>
      <c r="I3519" s="4" t="str">
        <f>IFERROR(__xludf.DUMMYFUNCTION("""COMPUTED_VALUE"""),"0x156601031ab627685ba9a8fae96e7a2fae632cc7")</f>
        <v>0x156601031ab627685ba9a8fae96e7a2fae632cc7</v>
      </c>
      <c r="J3519" s="18">
        <v>9.672825519919328</v>
      </c>
      <c r="K3519" s="4">
        <v>120.9103189989916</v>
      </c>
      <c r="L3519" s="19">
        <v>1.209103189989916E20</v>
      </c>
      <c r="M3519" s="20">
        <v>1.209103189989916E19</v>
      </c>
    </row>
    <row r="3520">
      <c r="A3520" s="6"/>
      <c r="B3520" s="6"/>
      <c r="C3520" s="4"/>
      <c r="D3520" s="4">
        <v>27.1871859776529</v>
      </c>
      <c r="E3520" s="4" t="s">
        <v>5385</v>
      </c>
      <c r="F3520" s="4"/>
      <c r="G3520" s="4"/>
      <c r="H3520" s="4"/>
      <c r="I3520" s="4" t="str">
        <f>IFERROR(__xludf.DUMMYFUNCTION("""COMPUTED_VALUE"""),"0x3890122dcaa314ba8afc72025d5a08e472cdb468")</f>
        <v>0x3890122dcaa314ba8afc72025d5a08e472cdb468</v>
      </c>
      <c r="J3520" s="18">
        <v>9.672825519919328</v>
      </c>
      <c r="K3520" s="4">
        <v>120.9103189989916</v>
      </c>
      <c r="L3520" s="19">
        <v>1.209103189989916E20</v>
      </c>
      <c r="M3520" s="20">
        <v>1.209103189989916E19</v>
      </c>
    </row>
    <row r="3521">
      <c r="A3521" s="6"/>
      <c r="B3521" s="6"/>
      <c r="C3521" s="4"/>
      <c r="D3521" s="4">
        <v>48.3641275995966</v>
      </c>
      <c r="E3521" s="4" t="s">
        <v>455</v>
      </c>
      <c r="F3521" s="4"/>
      <c r="G3521" s="4"/>
      <c r="H3521" s="4"/>
      <c r="I3521" s="4" t="str">
        <f>IFERROR(__xludf.DUMMYFUNCTION("""COMPUTED_VALUE"""),"0x9edd20c6264e219917653c51f0779707df8d71d1")</f>
        <v>0x9edd20c6264e219917653c51f0779707df8d71d1</v>
      </c>
      <c r="J3521" s="18">
        <v>48.3641275995966</v>
      </c>
      <c r="K3521" s="4">
        <v>604.5515949949574</v>
      </c>
      <c r="L3521" s="19">
        <v>6.045515949949574E20</v>
      </c>
      <c r="M3521" s="20">
        <v>6.045515949949574E19</v>
      </c>
    </row>
    <row r="3522">
      <c r="A3522" s="6"/>
      <c r="B3522" s="6"/>
      <c r="C3522" s="4"/>
      <c r="D3522" s="4">
        <v>48.3641275995966</v>
      </c>
      <c r="E3522" s="4" t="s">
        <v>1095</v>
      </c>
      <c r="F3522" s="4"/>
      <c r="G3522" s="4"/>
      <c r="H3522" s="4"/>
      <c r="I3522" s="4" t="str">
        <f>IFERROR(__xludf.DUMMYFUNCTION("""COMPUTED_VALUE"""),"0xdc63f3e37973573b95014da147e10efb249462f3")</f>
        <v>0xdc63f3e37973573b95014da147e10efb249462f3</v>
      </c>
      <c r="J3522" s="18">
        <v>9.39280954486289</v>
      </c>
      <c r="K3522" s="4">
        <v>117.41011931078613</v>
      </c>
      <c r="L3522" s="19">
        <v>1.1741011931078613E20</v>
      </c>
      <c r="M3522" s="20">
        <v>1.1741011931078615E19</v>
      </c>
    </row>
    <row r="3523">
      <c r="A3523" s="6"/>
      <c r="B3523" s="6"/>
      <c r="C3523" s="4"/>
      <c r="D3523" s="4">
        <v>10.908291317738</v>
      </c>
      <c r="E3523" s="4" t="s">
        <v>5387</v>
      </c>
      <c r="F3523" s="4"/>
      <c r="G3523" s="4"/>
      <c r="H3523" s="4"/>
      <c r="I3523" s="4" t="str">
        <f>IFERROR(__xludf.DUMMYFUNCTION("""COMPUTED_VALUE"""),"0x4c4dfe2b2b2c065cc5491180965414e24ba157e6")</f>
        <v>0x4c4dfe2b2b2c065cc5491180965414e24ba157e6</v>
      </c>
      <c r="J3523" s="18">
        <v>9.60278124422033</v>
      </c>
      <c r="K3523" s="4">
        <v>120.03476555275412</v>
      </c>
      <c r="L3523" s="19">
        <v>1.2003476555275413E20</v>
      </c>
      <c r="M3523" s="20">
        <v>1.2003476555275414E19</v>
      </c>
    </row>
    <row r="3524">
      <c r="A3524" s="6"/>
      <c r="B3524" s="6"/>
      <c r="C3524" s="4"/>
      <c r="D3524" s="4">
        <v>13.069737743987401</v>
      </c>
      <c r="E3524" s="4" t="s">
        <v>5389</v>
      </c>
      <c r="F3524" s="4"/>
      <c r="G3524" s="4"/>
      <c r="H3524" s="4"/>
      <c r="I3524" s="4" t="str">
        <f>IFERROR(__xludf.DUMMYFUNCTION("""COMPUTED_VALUE"""),"0x37c6b34fbdfab2fc3f544b86647b6d120172eabe")</f>
        <v>0x37c6b34fbdfab2fc3f544b86647b6d120172eabe</v>
      </c>
      <c r="J3524" s="18">
        <v>40.179193461165724</v>
      </c>
      <c r="K3524" s="4">
        <v>502.23991826457154</v>
      </c>
      <c r="L3524" s="19">
        <v>5.022399182645715E20</v>
      </c>
      <c r="M3524" s="20">
        <v>5.022399182645716E19</v>
      </c>
    </row>
    <row r="3525">
      <c r="A3525" s="6"/>
      <c r="B3525" s="6"/>
      <c r="C3525" s="4"/>
      <c r="D3525" s="4">
        <v>14.1279961278905</v>
      </c>
      <c r="E3525" s="4" t="s">
        <v>5391</v>
      </c>
      <c r="F3525" s="4"/>
      <c r="G3525" s="4"/>
      <c r="H3525" s="4"/>
      <c r="I3525" s="4" t="str">
        <f>IFERROR(__xludf.DUMMYFUNCTION("""COMPUTED_VALUE"""),"0x4a66315e01dbd8cad93a8959b0eabe856c8a355b")</f>
        <v>0x4a66315e01dbd8cad93a8959b0eabe856c8a355b</v>
      </c>
      <c r="J3525" s="18">
        <v>24.3157469514113</v>
      </c>
      <c r="K3525" s="4">
        <v>303.9468368926412</v>
      </c>
      <c r="L3525" s="19">
        <v>3.039468368926412E20</v>
      </c>
      <c r="M3525" s="20">
        <v>3.039468368926412E19</v>
      </c>
    </row>
    <row r="3526">
      <c r="A3526" s="6"/>
      <c r="B3526" s="6"/>
      <c r="C3526" s="4"/>
      <c r="D3526" s="4">
        <v>48.3641275995966</v>
      </c>
      <c r="E3526" s="4" t="s">
        <v>244</v>
      </c>
      <c r="F3526" s="4"/>
      <c r="G3526" s="4"/>
      <c r="H3526" s="4"/>
      <c r="I3526" s="4" t="str">
        <f>IFERROR(__xludf.DUMMYFUNCTION("""COMPUTED_VALUE"""),"0x979c3c30100ac584e16490776f306d66a08cb0b0")</f>
        <v>0x979c3c30100ac584e16490776f306d66a08cb0b0</v>
      </c>
      <c r="J3526" s="18">
        <v>56.378806184185095</v>
      </c>
      <c r="K3526" s="4">
        <v>704.7350773023137</v>
      </c>
      <c r="L3526" s="19">
        <v>7.047350773023137E20</v>
      </c>
      <c r="M3526" s="20">
        <v>7.047350773023137E19</v>
      </c>
    </row>
    <row r="3527">
      <c r="A3527" s="6"/>
      <c r="B3527" s="6"/>
      <c r="C3527" s="4"/>
      <c r="D3527" s="4">
        <v>48.3641275995966</v>
      </c>
      <c r="E3527" s="4" t="s">
        <v>5393</v>
      </c>
      <c r="F3527" s="4"/>
      <c r="G3527" s="4"/>
      <c r="H3527" s="4"/>
      <c r="I3527" s="4" t="str">
        <f>IFERROR(__xludf.DUMMYFUNCTION("""COMPUTED_VALUE"""),"0x5047e5498d0f0ba753bc057e0f478394175fe291")</f>
        <v>0x5047e5498d0f0ba753bc057e0f478394175fe291</v>
      </c>
      <c r="J3527" s="18">
        <v>57.66472560997164</v>
      </c>
      <c r="K3527" s="4">
        <v>720.8090701246455</v>
      </c>
      <c r="L3527" s="19">
        <v>7.208090701246455E20</v>
      </c>
      <c r="M3527" s="20">
        <v>7.208090701246455E19</v>
      </c>
    </row>
    <row r="3528">
      <c r="A3528" s="6"/>
      <c r="B3528" s="6"/>
      <c r="C3528" s="4"/>
      <c r="D3528" s="4">
        <v>48.3641275995966</v>
      </c>
      <c r="E3528" s="4" t="s">
        <v>5394</v>
      </c>
      <c r="F3528" s="4"/>
      <c r="G3528" s="4"/>
      <c r="H3528" s="4"/>
      <c r="I3528" s="4" t="str">
        <f>IFERROR(__xludf.DUMMYFUNCTION("""COMPUTED_VALUE"""),"0x801b8553739902eca91708587c49f797e0809e81")</f>
        <v>0x801b8553739902eca91708587c49f797e0809e81</v>
      </c>
      <c r="J3528" s="18">
        <v>9.672825519919328</v>
      </c>
      <c r="K3528" s="4">
        <v>120.9103189989916</v>
      </c>
      <c r="L3528" s="19">
        <v>1.209103189989916E20</v>
      </c>
      <c r="M3528" s="20">
        <v>1.209103189989916E19</v>
      </c>
    </row>
    <row r="3529">
      <c r="A3529" s="6"/>
      <c r="B3529" s="6"/>
      <c r="C3529" s="4"/>
      <c r="D3529" s="4">
        <v>48.3641275995966</v>
      </c>
      <c r="E3529" s="4" t="s">
        <v>5395</v>
      </c>
      <c r="F3529" s="4"/>
      <c r="G3529" s="4"/>
      <c r="H3529" s="4"/>
      <c r="I3529" s="4" t="str">
        <f>IFERROR(__xludf.DUMMYFUNCTION("""COMPUTED_VALUE"""),"0x97009b0daf396e90e37dc71518942497ab2ad8c7")</f>
        <v>0x97009b0daf396e90e37dc71518942497ab2ad8c7</v>
      </c>
      <c r="J3529" s="18">
        <v>57.66472560997164</v>
      </c>
      <c r="K3529" s="4">
        <v>720.8090701246455</v>
      </c>
      <c r="L3529" s="19">
        <v>7.208090701246455E20</v>
      </c>
      <c r="M3529" s="20">
        <v>7.208090701246455E19</v>
      </c>
    </row>
    <row r="3530">
      <c r="A3530" s="6"/>
      <c r="B3530" s="6"/>
      <c r="C3530" s="4"/>
      <c r="D3530" s="4">
        <v>33.5762497903816</v>
      </c>
      <c r="E3530" s="4" t="s">
        <v>5396</v>
      </c>
      <c r="F3530" s="4"/>
      <c r="G3530" s="4"/>
      <c r="H3530" s="4"/>
      <c r="I3530" s="4" t="str">
        <f>IFERROR(__xludf.DUMMYFUNCTION("""COMPUTED_VALUE"""),"0xd9d40c602f8ad4f01656a3196e573eaea2095a99")</f>
        <v>0xd9d40c602f8ad4f01656a3196e573eaea2095a99</v>
      </c>
      <c r="J3530" s="18">
        <v>8.30339847998195</v>
      </c>
      <c r="K3530" s="4">
        <v>103.79248099977438</v>
      </c>
      <c r="L3530" s="19">
        <v>1.0379248099977439E20</v>
      </c>
      <c r="M3530" s="20">
        <v>1.037924809997744E19</v>
      </c>
    </row>
    <row r="3531">
      <c r="A3531" s="6"/>
      <c r="B3531" s="6"/>
      <c r="C3531" s="4"/>
      <c r="D3531" s="4">
        <v>9.672825519919328</v>
      </c>
      <c r="E3531" s="4" t="s">
        <v>5398</v>
      </c>
      <c r="F3531" s="4"/>
      <c r="G3531" s="4"/>
      <c r="H3531" s="4"/>
      <c r="I3531" s="4" t="str">
        <f>IFERROR(__xludf.DUMMYFUNCTION("""COMPUTED_VALUE"""),"0x6eb51af850c21dc02d996599f3342fff22356ef7")</f>
        <v>0x6eb51af850c21dc02d996599f3342fff22356ef7</v>
      </c>
      <c r="J3531" s="18">
        <v>234.37608780709658</v>
      </c>
      <c r="K3531" s="4">
        <v>2929.7010975887074</v>
      </c>
      <c r="L3531" s="19">
        <v>2.9297010975887076E21</v>
      </c>
      <c r="M3531" s="20">
        <v>2.9297010975887078E20</v>
      </c>
    </row>
    <row r="3532">
      <c r="A3532" s="6"/>
      <c r="B3532" s="6"/>
      <c r="C3532" s="4"/>
      <c r="D3532" s="4">
        <v>33.3082271288552</v>
      </c>
      <c r="E3532" s="4" t="s">
        <v>5399</v>
      </c>
      <c r="F3532" s="4"/>
      <c r="G3532" s="4"/>
      <c r="H3532" s="4"/>
      <c r="I3532" s="4" t="str">
        <f>IFERROR(__xludf.DUMMYFUNCTION("""COMPUTED_VALUE"""),"0x89b5e0d9626f6e48e5c76a27cd4d28e0449325a9")</f>
        <v>0x89b5e0d9626f6e48e5c76a27cd4d28e0449325a9</v>
      </c>
      <c r="J3532" s="18">
        <v>9.86628203031772</v>
      </c>
      <c r="K3532" s="4">
        <v>123.32852537897149</v>
      </c>
      <c r="L3532" s="19">
        <v>1.2332852537897148E20</v>
      </c>
      <c r="M3532" s="20">
        <v>1.2332852537897148E19</v>
      </c>
    </row>
    <row r="3533">
      <c r="A3533" s="6"/>
      <c r="B3533" s="6"/>
      <c r="C3533" s="4"/>
      <c r="D3533" s="4">
        <v>27.191867379697097</v>
      </c>
      <c r="E3533" s="4" t="s">
        <v>5401</v>
      </c>
      <c r="F3533" s="4"/>
      <c r="G3533" s="4"/>
      <c r="H3533" s="4"/>
      <c r="I3533" s="4" t="str">
        <f>IFERROR(__xludf.DUMMYFUNCTION("""COMPUTED_VALUE"""),"0x569953a637c56599bef622ab70e2dc67379a4df7")</f>
        <v>0x569953a637c56599bef622ab70e2dc67379a4df7</v>
      </c>
      <c r="J3533" s="18">
        <v>38.6913020796773</v>
      </c>
      <c r="K3533" s="4">
        <v>483.6412759959662</v>
      </c>
      <c r="L3533" s="19">
        <v>4.836412759959662E20</v>
      </c>
      <c r="M3533" s="20">
        <v>4.836412759959663E19</v>
      </c>
    </row>
    <row r="3534">
      <c r="A3534" s="6"/>
      <c r="B3534" s="6"/>
      <c r="C3534" s="4"/>
      <c r="D3534" s="4">
        <v>10.059738540716099</v>
      </c>
      <c r="E3534" s="4" t="s">
        <v>5403</v>
      </c>
      <c r="F3534" s="4"/>
      <c r="G3534" s="4"/>
      <c r="H3534" s="4"/>
      <c r="I3534" s="4" t="str">
        <f>IFERROR(__xludf.DUMMYFUNCTION("""COMPUTED_VALUE"""),"0xe71214e80b1fdaaf7b312882063d8a81412f526a")</f>
        <v>0xe71214e80b1fdaaf7b312882063d8a81412f526a</v>
      </c>
      <c r="J3534" s="18">
        <v>119.8901781518981</v>
      </c>
      <c r="K3534" s="4">
        <v>1498.6272268987261</v>
      </c>
      <c r="L3534" s="19">
        <v>1.498627226898726E21</v>
      </c>
      <c r="M3534" s="20">
        <v>1.4986272268987263E20</v>
      </c>
    </row>
    <row r="3535">
      <c r="A3535" s="6"/>
      <c r="B3535" s="6"/>
      <c r="C3535" s="4"/>
      <c r="D3535" s="4">
        <v>19.4859208969596</v>
      </c>
      <c r="E3535" s="4" t="s">
        <v>5404</v>
      </c>
      <c r="F3535" s="4"/>
      <c r="G3535" s="4"/>
      <c r="H3535" s="4"/>
      <c r="I3535" s="4" t="str">
        <f>IFERROR(__xludf.DUMMYFUNCTION("""COMPUTED_VALUE"""),"0x7b07f9ecbc9f43ad337af04274f0adc179208174")</f>
        <v>0x7b07f9ecbc9f43ad337af04274f0adc179208174</v>
      </c>
      <c r="J3535" s="18">
        <v>7.6217874052887105</v>
      </c>
      <c r="K3535" s="4">
        <v>95.27234256610888</v>
      </c>
      <c r="L3535" s="19">
        <v>9.527234256610887E19</v>
      </c>
      <c r="M3535" s="20">
        <v>9.527234256610888E18</v>
      </c>
    </row>
    <row r="3536">
      <c r="A3536" s="6"/>
      <c r="B3536" s="6"/>
      <c r="C3536" s="4"/>
      <c r="D3536" s="4">
        <v>29.1702041895919</v>
      </c>
      <c r="E3536" s="4" t="s">
        <v>5406</v>
      </c>
      <c r="F3536" s="4"/>
      <c r="G3536" s="4"/>
      <c r="H3536" s="4"/>
      <c r="I3536" s="4" t="str">
        <f>IFERROR(__xludf.DUMMYFUNCTION("""COMPUTED_VALUE"""),"0xf2be1fa1c0b8c2dd5fc6a6a855eec46d1037e2cd")</f>
        <v>0xf2be1fa1c0b8c2dd5fc6a6a855eec46d1037e2cd</v>
      </c>
      <c r="J3536" s="18">
        <v>48.3641275995966</v>
      </c>
      <c r="K3536" s="4">
        <v>604.5515949949574</v>
      </c>
      <c r="L3536" s="19">
        <v>6.045515949949574E20</v>
      </c>
      <c r="M3536" s="20">
        <v>6.045515949949574E19</v>
      </c>
    </row>
    <row r="3537">
      <c r="A3537" s="6"/>
      <c r="B3537" s="6"/>
      <c r="C3537" s="4"/>
      <c r="D3537" s="4">
        <v>48.3641275995966</v>
      </c>
      <c r="E3537" s="4" t="s">
        <v>5408</v>
      </c>
      <c r="F3537" s="4"/>
      <c r="G3537" s="4"/>
      <c r="H3537" s="4"/>
      <c r="I3537" s="4" t="str">
        <f>IFERROR(__xludf.DUMMYFUNCTION("""COMPUTED_VALUE"""),"0xfa8c812338717a2e769ba1c7e1623925b670a9d5")</f>
        <v>0xfa8c812338717a2e769ba1c7e1623925b670a9d5</v>
      </c>
      <c r="J3537" s="18">
        <v>44.082981334036496</v>
      </c>
      <c r="K3537" s="4">
        <v>551.0372666754562</v>
      </c>
      <c r="L3537" s="19">
        <v>5.510372666754562E20</v>
      </c>
      <c r="M3537" s="20">
        <v>5.5103726667545625E19</v>
      </c>
    </row>
    <row r="3538">
      <c r="A3538" s="6"/>
      <c r="B3538" s="6"/>
      <c r="C3538" s="4"/>
      <c r="D3538" s="4">
        <v>48.3641275995966</v>
      </c>
      <c r="E3538" s="4" t="s">
        <v>5409</v>
      </c>
      <c r="F3538" s="4"/>
      <c r="G3538" s="4"/>
      <c r="H3538" s="4"/>
      <c r="I3538" s="4" t="str">
        <f>IFERROR(__xludf.DUMMYFUNCTION("""COMPUTED_VALUE"""),"0x87216a450287b9ac8da80019bf8a141cb84e5084")</f>
        <v>0x87216a450287b9ac8da80019bf8a141cb84e5084</v>
      </c>
      <c r="J3538" s="18">
        <v>9.86628203031772</v>
      </c>
      <c r="K3538" s="4">
        <v>123.32852537897149</v>
      </c>
      <c r="L3538" s="19">
        <v>1.2332852537897148E20</v>
      </c>
      <c r="M3538" s="20">
        <v>1.2332852537897148E19</v>
      </c>
    </row>
    <row r="3539">
      <c r="A3539" s="6"/>
      <c r="B3539" s="6"/>
      <c r="C3539" s="4"/>
      <c r="D3539" s="4">
        <v>19.3456510398386</v>
      </c>
      <c r="E3539" s="4" t="s">
        <v>5410</v>
      </c>
      <c r="F3539" s="4"/>
      <c r="G3539" s="4"/>
      <c r="H3539" s="4"/>
      <c r="I3539" s="4" t="str">
        <f>IFERROR(__xludf.DUMMYFUNCTION("""COMPUTED_VALUE"""),"0x5c6433d8bd9a36e05b9b3d999a665b07ca513227")</f>
        <v>0x5c6433d8bd9a36e05b9b3d999a665b07ca513227</v>
      </c>
      <c r="J3539" s="18">
        <v>26.7888498318508</v>
      </c>
      <c r="K3539" s="4">
        <v>334.860622898135</v>
      </c>
      <c r="L3539" s="19">
        <v>3.34860622898135E20</v>
      </c>
      <c r="M3539" s="20">
        <v>3.34860622898135E19</v>
      </c>
    </row>
    <row r="3540">
      <c r="A3540" s="6"/>
      <c r="B3540" s="6"/>
      <c r="C3540" s="4"/>
      <c r="D3540" s="4">
        <v>4.22100310779617</v>
      </c>
      <c r="E3540" s="4" t="s">
        <v>5411</v>
      </c>
      <c r="F3540" s="4"/>
      <c r="G3540" s="4"/>
      <c r="H3540" s="4"/>
      <c r="I3540" s="4" t="str">
        <f>IFERROR(__xludf.DUMMYFUNCTION("""COMPUTED_VALUE"""),"0xb801be394fe985b5e75ebc54b01f5f14a80435ef")</f>
        <v>0xb801be394fe985b5e75ebc54b01f5f14a80435ef</v>
      </c>
      <c r="J3540" s="18">
        <v>66.9653236203466</v>
      </c>
      <c r="K3540" s="4">
        <v>837.0665452543324</v>
      </c>
      <c r="L3540" s="19">
        <v>8.370665452543324E20</v>
      </c>
      <c r="M3540" s="20">
        <v>8.370665452543323E19</v>
      </c>
    </row>
    <row r="3541">
      <c r="A3541" s="6"/>
      <c r="B3541" s="6"/>
      <c r="C3541" s="4"/>
      <c r="D3541" s="4">
        <v>19.7073475239357</v>
      </c>
      <c r="E3541" s="4" t="s">
        <v>5413</v>
      </c>
      <c r="F3541" s="4"/>
      <c r="G3541" s="4"/>
      <c r="H3541" s="4"/>
      <c r="I3541" s="4" t="str">
        <f>IFERROR(__xludf.DUMMYFUNCTION("""COMPUTED_VALUE"""),"0x1352baef8dd149889c8d4255fc4831fc25ab5b40")</f>
        <v>0x1352baef8dd149889c8d4255fc4831fc25ab5b40</v>
      </c>
      <c r="J3541" s="18">
        <v>9.672825519919328</v>
      </c>
      <c r="K3541" s="4">
        <v>120.9103189989916</v>
      </c>
      <c r="L3541" s="19">
        <v>1.209103189989916E20</v>
      </c>
      <c r="M3541" s="20">
        <v>1.209103189989916E19</v>
      </c>
    </row>
    <row r="3542">
      <c r="A3542" s="6"/>
      <c r="B3542" s="6"/>
      <c r="C3542" s="4"/>
      <c r="D3542" s="4">
        <v>12.187760155098301</v>
      </c>
      <c r="E3542" s="4" t="s">
        <v>5415</v>
      </c>
      <c r="F3542" s="4"/>
      <c r="G3542" s="4"/>
      <c r="H3542" s="4"/>
      <c r="I3542" s="4" t="str">
        <f>IFERROR(__xludf.DUMMYFUNCTION("""COMPUTED_VALUE"""),"0x0fd28aedb6bd2336ac17e19b4e6cb4daa1dc58ce")</f>
        <v>0x0fd28aedb6bd2336ac17e19b4e6cb4daa1dc58ce</v>
      </c>
      <c r="J3542" s="18">
        <v>50.6591635151823</v>
      </c>
      <c r="K3542" s="4">
        <v>633.2395439397787</v>
      </c>
      <c r="L3542" s="19">
        <v>6.332395439397787E20</v>
      </c>
      <c r="M3542" s="20">
        <v>6.332395439397788E19</v>
      </c>
    </row>
    <row r="3543">
      <c r="A3543" s="6"/>
      <c r="B3543" s="6"/>
      <c r="C3543" s="4"/>
      <c r="D3543" s="4">
        <v>48.3641275995966</v>
      </c>
      <c r="E3543" s="4" t="s">
        <v>5416</v>
      </c>
      <c r="F3543" s="4"/>
      <c r="G3543" s="4"/>
      <c r="H3543" s="4"/>
      <c r="I3543" s="4" t="str">
        <f>IFERROR(__xludf.DUMMYFUNCTION("""COMPUTED_VALUE"""),"0x97b498aaec1fe815c01c71a78998179d214c6659")</f>
        <v>0x97b498aaec1fe815c01c71a78998179d214c6659</v>
      </c>
      <c r="J3543" s="18">
        <v>43.2791938550813</v>
      </c>
      <c r="K3543" s="4">
        <v>540.9899231885163</v>
      </c>
      <c r="L3543" s="19">
        <v>5.4098992318851626E20</v>
      </c>
      <c r="M3543" s="20">
        <v>5.409899231885163E19</v>
      </c>
    </row>
    <row r="3544">
      <c r="A3544" s="6"/>
      <c r="B3544" s="6"/>
      <c r="C3544" s="4"/>
      <c r="D3544" s="4">
        <v>5.16761549736061</v>
      </c>
      <c r="E3544" s="4" t="s">
        <v>5417</v>
      </c>
      <c r="F3544" s="4"/>
      <c r="G3544" s="4"/>
      <c r="H3544" s="4"/>
      <c r="I3544" s="4" t="str">
        <f>IFERROR(__xludf.DUMMYFUNCTION("""COMPUTED_VALUE"""),"0xb01bcc2c7b6f8b852866ce59fcded3981a9fb95d")</f>
        <v>0xb01bcc2c7b6f8b852866ce59fcded3981a9fb95d</v>
      </c>
      <c r="J3544" s="18">
        <v>10.8562292105768</v>
      </c>
      <c r="K3544" s="4">
        <v>135.70286513220998</v>
      </c>
      <c r="L3544" s="19">
        <v>1.3570286513220998E20</v>
      </c>
      <c r="M3544" s="20">
        <v>1.3570286513221E19</v>
      </c>
    </row>
    <row r="3545">
      <c r="A3545" s="6"/>
      <c r="B3545" s="6"/>
      <c r="C3545" s="4"/>
      <c r="D3545" s="4">
        <v>9.672825519919328</v>
      </c>
      <c r="E3545" s="4" t="s">
        <v>5419</v>
      </c>
      <c r="F3545" s="4"/>
      <c r="G3545" s="4"/>
      <c r="H3545" s="4"/>
      <c r="I3545" s="4" t="str">
        <f>IFERROR(__xludf.DUMMYFUNCTION("""COMPUTED_VALUE"""),"0x5b26c872bcdab99afd6dcf073803640a930d142d")</f>
        <v>0x5b26c872bcdab99afd6dcf073803640a930d142d</v>
      </c>
      <c r="J3545" s="18">
        <v>9.672825519919328</v>
      </c>
      <c r="K3545" s="4">
        <v>120.9103189989916</v>
      </c>
      <c r="L3545" s="19">
        <v>1.209103189989916E20</v>
      </c>
      <c r="M3545" s="20">
        <v>1.209103189989916E19</v>
      </c>
    </row>
    <row r="3546">
      <c r="A3546" s="6"/>
      <c r="B3546" s="6"/>
      <c r="C3546" s="4"/>
      <c r="D3546" s="4">
        <v>24.3569028800129</v>
      </c>
      <c r="E3546" s="4" t="s">
        <v>5420</v>
      </c>
      <c r="F3546" s="4"/>
      <c r="G3546" s="4"/>
      <c r="H3546" s="4"/>
      <c r="I3546" s="4" t="str">
        <f>IFERROR(__xludf.DUMMYFUNCTION("""COMPUTED_VALUE"""),"0x7c29ee5d2f8772e16bdb1db19d6f1376571bed3b")</f>
        <v>0x7c29ee5d2f8772e16bdb1db19d6f1376571bed3b</v>
      </c>
      <c r="J3546" s="18">
        <v>9.76955377511852</v>
      </c>
      <c r="K3546" s="4">
        <v>122.1194221889815</v>
      </c>
      <c r="L3546" s="19">
        <v>1.221194221889815E20</v>
      </c>
      <c r="M3546" s="20">
        <v>1.2211942218898151E19</v>
      </c>
    </row>
    <row r="3547">
      <c r="A3547" s="6"/>
      <c r="B3547" s="6"/>
      <c r="C3547" s="4"/>
      <c r="D3547" s="4">
        <v>6.76595598195784</v>
      </c>
      <c r="E3547" s="4" t="s">
        <v>5422</v>
      </c>
      <c r="F3547" s="4"/>
      <c r="G3547" s="4"/>
      <c r="H3547" s="4"/>
      <c r="I3547" s="4" t="str">
        <f>IFERROR(__xludf.DUMMYFUNCTION("""COMPUTED_VALUE"""),"0x1053f4b74a78342ed5708dc96482f37bcab5a8b2")</f>
        <v>0x1053f4b74a78342ed5708dc96482f37bcab5a8b2</v>
      </c>
      <c r="J3547" s="18">
        <v>104.1677156618468</v>
      </c>
      <c r="K3547" s="4">
        <v>1302.096445773085</v>
      </c>
      <c r="L3547" s="19">
        <v>1.302096445773085E21</v>
      </c>
      <c r="M3547" s="20">
        <v>1.3020964457730849E20</v>
      </c>
    </row>
    <row r="3548">
      <c r="A3548" s="6"/>
      <c r="B3548" s="6"/>
      <c r="C3548" s="4"/>
      <c r="D3548" s="4">
        <v>47.784815842341395</v>
      </c>
      <c r="E3548" s="4" t="s">
        <v>5424</v>
      </c>
      <c r="F3548" s="4"/>
      <c r="G3548" s="4"/>
      <c r="H3548" s="4"/>
      <c r="I3548" s="4" t="str">
        <f>IFERROR(__xludf.DUMMYFUNCTION("""COMPUTED_VALUE"""),"0x26862ce3b25608b3a0a1a4851e0bf7b39b8b9e8f")</f>
        <v>0x26862ce3b25608b3a0a1a4851e0bf7b39b8b9e8f</v>
      </c>
      <c r="J3548" s="18">
        <v>150.6707057137216</v>
      </c>
      <c r="K3548" s="4">
        <v>1883.3838214215198</v>
      </c>
      <c r="L3548" s="19">
        <v>1.8833838214215198E21</v>
      </c>
      <c r="M3548" s="20">
        <v>1.8833838214215198E20</v>
      </c>
    </row>
    <row r="3549">
      <c r="A3549" s="6"/>
      <c r="B3549" s="6"/>
      <c r="C3549" s="4"/>
      <c r="D3549" s="4">
        <v>48.3641275995966</v>
      </c>
      <c r="E3549" s="4" t="s">
        <v>5426</v>
      </c>
      <c r="F3549" s="4"/>
      <c r="G3549" s="4"/>
      <c r="H3549" s="4"/>
      <c r="I3549" s="4" t="str">
        <f>IFERROR(__xludf.DUMMYFUNCTION("""COMPUTED_VALUE"""),"0xcc3d75e0a2acd887315e8f3f2dd6b51ccca2a935")</f>
        <v>0xcc3d75e0a2acd887315e8f3f2dd6b51ccca2a935</v>
      </c>
      <c r="J3549" s="18">
        <v>234.37608780709658</v>
      </c>
      <c r="K3549" s="4">
        <v>2929.7010975887074</v>
      </c>
      <c r="L3549" s="19">
        <v>2.9297010975887076E21</v>
      </c>
      <c r="M3549" s="20">
        <v>2.9297010975887078E20</v>
      </c>
    </row>
    <row r="3550">
      <c r="A3550" s="6"/>
      <c r="B3550" s="6"/>
      <c r="C3550" s="4"/>
      <c r="D3550" s="4">
        <v>38.133654434627005</v>
      </c>
      <c r="E3550" s="4" t="s">
        <v>5427</v>
      </c>
      <c r="F3550" s="4"/>
      <c r="G3550" s="4"/>
      <c r="H3550" s="4"/>
      <c r="I3550" s="4" t="str">
        <f>IFERROR(__xludf.DUMMYFUNCTION("""COMPUTED_VALUE"""),"0xf8f2b20a1ecbf962627b21b539c12b9463abf29c")</f>
        <v>0xf8f2b20a1ecbf962627b21b539c12b9463abf29c</v>
      </c>
      <c r="J3550" s="18">
        <v>234.37608780709658</v>
      </c>
      <c r="K3550" s="4">
        <v>2929.7010975887074</v>
      </c>
      <c r="L3550" s="19">
        <v>2.9297010975887076E21</v>
      </c>
      <c r="M3550" s="20">
        <v>2.9297010975887078E20</v>
      </c>
    </row>
    <row r="3551">
      <c r="A3551" s="6"/>
      <c r="B3551" s="6"/>
      <c r="C3551" s="4"/>
      <c r="D3551" s="4">
        <v>48.3641275995966</v>
      </c>
      <c r="E3551" s="4" t="s">
        <v>5429</v>
      </c>
      <c r="F3551" s="4"/>
      <c r="G3551" s="4"/>
      <c r="H3551" s="4"/>
      <c r="I3551" s="4" t="str">
        <f>IFERROR(__xludf.DUMMYFUNCTION("""COMPUTED_VALUE"""),"0x3f00b5ab3e3a6a7d3a4f74f37fcdda87db74209e")</f>
        <v>0x3f00b5ab3e3a6a7d3a4f74f37fcdda87db74209e</v>
      </c>
      <c r="J3551" s="18">
        <v>26.8244460859006</v>
      </c>
      <c r="K3551" s="4">
        <v>335.3055760737575</v>
      </c>
      <c r="L3551" s="19">
        <v>3.353055760737575E20</v>
      </c>
      <c r="M3551" s="20">
        <v>3.3530557607375753E19</v>
      </c>
    </row>
    <row r="3552">
      <c r="A3552" s="6"/>
      <c r="B3552" s="6"/>
      <c r="C3552" s="4"/>
      <c r="D3552" s="4">
        <v>18.6504676717121</v>
      </c>
      <c r="E3552" s="4" t="s">
        <v>5430</v>
      </c>
      <c r="F3552" s="4"/>
      <c r="G3552" s="4"/>
      <c r="H3552" s="4"/>
      <c r="I3552" s="4" t="str">
        <f>IFERROR(__xludf.DUMMYFUNCTION("""COMPUTED_VALUE"""),"0x3b0d9366335176075ab6b4c484759ae4eaf7e4ea")</f>
        <v>0x3b0d9366335176075ab6b4c484759ae4eaf7e4ea</v>
      </c>
      <c r="J3552" s="18">
        <v>234.37608780709658</v>
      </c>
      <c r="K3552" s="4">
        <v>2929.7010975887074</v>
      </c>
      <c r="L3552" s="19">
        <v>2.9297010975887076E21</v>
      </c>
      <c r="M3552" s="20">
        <v>2.9297010975887078E20</v>
      </c>
    </row>
    <row r="3553">
      <c r="A3553" s="6"/>
      <c r="B3553" s="6"/>
      <c r="C3553" s="4"/>
      <c r="D3553" s="4">
        <v>11.689463428969098</v>
      </c>
      <c r="E3553" s="4" t="s">
        <v>5432</v>
      </c>
      <c r="F3553" s="4"/>
      <c r="G3553" s="4"/>
      <c r="H3553" s="4"/>
      <c r="I3553" s="4" t="str">
        <f>IFERROR(__xludf.DUMMYFUNCTION("""COMPUTED_VALUE"""),"0xc845ceca77b3761f79a8b2112025efe4ea06c0e8")</f>
        <v>0xc845ceca77b3761f79a8b2112025efe4ea06c0e8</v>
      </c>
      <c r="J3553" s="18">
        <v>115.3092598762826</v>
      </c>
      <c r="K3553" s="4">
        <v>1441.3657484535324</v>
      </c>
      <c r="L3553" s="19">
        <v>1.4413657484535325E21</v>
      </c>
      <c r="M3553" s="20">
        <v>1.4413657484535326E20</v>
      </c>
    </row>
    <row r="3554">
      <c r="A3554" s="6"/>
      <c r="B3554" s="6"/>
      <c r="C3554" s="4"/>
      <c r="D3554" s="4">
        <v>45.7928898776835</v>
      </c>
      <c r="E3554" s="4" t="s">
        <v>1424</v>
      </c>
      <c r="F3554" s="4"/>
      <c r="G3554" s="4"/>
      <c r="H3554" s="4"/>
      <c r="I3554" s="4" t="str">
        <f>IFERROR(__xludf.DUMMYFUNCTION("""COMPUTED_VALUE"""),"0x27f4128205122af0ce0b87190d7986814969c494")</f>
        <v>0x27f4128205122af0ce0b87190d7986814969c494</v>
      </c>
      <c r="J3554" s="18">
        <v>8.92941407030804</v>
      </c>
      <c r="K3554" s="4">
        <v>111.61767587885049</v>
      </c>
      <c r="L3554" s="19">
        <v>1.116176758788505E20</v>
      </c>
      <c r="M3554" s="20">
        <v>1.116176758788505E19</v>
      </c>
    </row>
    <row r="3555">
      <c r="A3555" s="6"/>
      <c r="B3555" s="6"/>
      <c r="C3555" s="4"/>
      <c r="D3555" s="4">
        <v>48.296820423301</v>
      </c>
      <c r="E3555" s="4" t="s">
        <v>5435</v>
      </c>
      <c r="F3555" s="4"/>
      <c r="G3555" s="4"/>
      <c r="H3555" s="4"/>
      <c r="I3555" s="4" t="str">
        <f>IFERROR(__xludf.DUMMYFUNCTION("""COMPUTED_VALUE"""),"0x52085ad91dbfd61e38f43aeb23f8e8ff43a88896")</f>
        <v>0x52085ad91dbfd61e38f43aeb23f8e8ff43a88896</v>
      </c>
      <c r="J3555" s="18">
        <v>9.46971339792197</v>
      </c>
      <c r="K3555" s="4">
        <v>118.37141747402462</v>
      </c>
      <c r="L3555" s="19">
        <v>1.1837141747402462E20</v>
      </c>
      <c r="M3555" s="20">
        <v>1.1837141747402463E19</v>
      </c>
    </row>
    <row r="3556">
      <c r="A3556" s="6"/>
      <c r="B3556" s="6"/>
      <c r="C3556" s="4"/>
      <c r="D3556" s="4">
        <v>30.297700923536297</v>
      </c>
      <c r="E3556" s="4" t="s">
        <v>5437</v>
      </c>
      <c r="F3556" s="4"/>
      <c r="G3556" s="4"/>
      <c r="H3556" s="4"/>
      <c r="I3556" s="4" t="str">
        <f>IFERROR(__xludf.DUMMYFUNCTION("""COMPUTED_VALUE"""),"0xfddccfbcad12cb291511855a8681d30c03ffd045")</f>
        <v>0xfddccfbcad12cb291511855a8681d30c03ffd045</v>
      </c>
      <c r="J3556" s="18">
        <v>234.37608780709658</v>
      </c>
      <c r="K3556" s="4">
        <v>2929.7010975887074</v>
      </c>
      <c r="L3556" s="19">
        <v>2.9297010975887076E21</v>
      </c>
      <c r="M3556" s="20">
        <v>2.9297010975887078E20</v>
      </c>
    </row>
    <row r="3557">
      <c r="A3557" s="6"/>
      <c r="B3557" s="6"/>
      <c r="C3557" s="4"/>
      <c r="D3557" s="4">
        <v>48.3641275995966</v>
      </c>
      <c r="E3557" s="4" t="s">
        <v>5439</v>
      </c>
      <c r="F3557" s="4"/>
      <c r="G3557" s="4"/>
      <c r="H3557" s="4"/>
      <c r="I3557" s="4" t="str">
        <f>IFERROR(__xludf.DUMMYFUNCTION("""COMPUTED_VALUE"""),"0xfb9e958aff710978306723b1f1a28e7a93361f05")</f>
        <v>0xfb9e958aff710978306723b1f1a28e7a93361f05</v>
      </c>
      <c r="J3557" s="18">
        <v>9.71109944613535</v>
      </c>
      <c r="K3557" s="4">
        <v>121.38874307669187</v>
      </c>
      <c r="L3557" s="19">
        <v>1.2138874307669187E20</v>
      </c>
      <c r="M3557" s="20">
        <v>1.2138874307669189E19</v>
      </c>
    </row>
    <row r="3558">
      <c r="A3558" s="6"/>
      <c r="B3558" s="6"/>
      <c r="C3558" s="4"/>
      <c r="D3558" s="4">
        <v>48.3641275995966</v>
      </c>
      <c r="E3558" s="4" t="s">
        <v>5440</v>
      </c>
      <c r="F3558" s="4"/>
      <c r="G3558" s="4"/>
      <c r="H3558" s="4"/>
      <c r="I3558" s="4" t="str">
        <f>IFERROR(__xludf.DUMMYFUNCTION("""COMPUTED_VALUE"""),"0x0d2812ae72f7dc324f85dd74fcb847fae9923b73")</f>
        <v>0x0d2812ae72f7dc324f85dd74fcb847fae9923b73</v>
      </c>
      <c r="J3558" s="18">
        <v>20.6305282756046</v>
      </c>
      <c r="K3558" s="4">
        <v>257.8816034450575</v>
      </c>
      <c r="L3558" s="19">
        <v>2.5788160344505752E20</v>
      </c>
      <c r="M3558" s="20">
        <v>2.5788160344505754E19</v>
      </c>
    </row>
    <row r="3559">
      <c r="A3559" s="6"/>
      <c r="B3559" s="6"/>
      <c r="C3559" s="4"/>
      <c r="D3559" s="4">
        <v>1.15043460629456</v>
      </c>
      <c r="E3559" s="4" t="s">
        <v>5441</v>
      </c>
      <c r="F3559" s="4"/>
      <c r="G3559" s="4"/>
      <c r="H3559" s="4"/>
      <c r="I3559" s="4" t="str">
        <f>IFERROR(__xludf.DUMMYFUNCTION("""COMPUTED_VALUE"""),"0xe63f63b53fe1e1c1fb3979d1271f95d8027941d9")</f>
        <v>0xe63f63b53fe1e1c1fb3979d1271f95d8027941d9</v>
      </c>
      <c r="J3559" s="18">
        <v>2.4107685842722897</v>
      </c>
      <c r="K3559" s="4">
        <v>30.13460730340362</v>
      </c>
      <c r="L3559" s="19">
        <v>3.013460730340362E19</v>
      </c>
      <c r="M3559" s="20">
        <v>3.013460730340362E18</v>
      </c>
    </row>
    <row r="3560">
      <c r="A3560" s="6"/>
      <c r="B3560" s="6"/>
      <c r="C3560" s="4"/>
      <c r="D3560" s="4">
        <v>48.3641275995966</v>
      </c>
      <c r="E3560" s="4" t="s">
        <v>5443</v>
      </c>
      <c r="F3560" s="4"/>
      <c r="G3560" s="4"/>
      <c r="H3560" s="4"/>
      <c r="I3560" s="4" t="str">
        <f>IFERROR(__xludf.DUMMYFUNCTION("""COMPUTED_VALUE"""),"0xe161c1c2c0204cf1331499cc257b7e60366fa6d3")</f>
        <v>0xe161c1c2c0204cf1331499cc257b7e60366fa6d3</v>
      </c>
      <c r="J3560" s="18">
        <v>16.0174522184045</v>
      </c>
      <c r="K3560" s="4">
        <v>200.21815273005626</v>
      </c>
      <c r="L3560" s="19">
        <v>2.0021815273005626E20</v>
      </c>
      <c r="M3560" s="20">
        <v>2.0021815273005625E19</v>
      </c>
    </row>
    <row r="3561">
      <c r="A3561" s="6"/>
      <c r="B3561" s="6"/>
      <c r="C3561" s="4"/>
      <c r="D3561" s="4">
        <v>0.193456510398386</v>
      </c>
      <c r="E3561" s="4" t="s">
        <v>5444</v>
      </c>
      <c r="F3561" s="4"/>
      <c r="G3561" s="4"/>
      <c r="H3561" s="4"/>
      <c r="I3561" s="4" t="str">
        <f>IFERROR(__xludf.DUMMYFUNCTION("""COMPUTED_VALUE"""),"0x9dbcc76199de962d35e3db9b133563f28178227f")</f>
        <v>0x9dbcc76199de962d35e3db9b133563f28178227f</v>
      </c>
      <c r="J3561" s="18">
        <v>98.7268658257774</v>
      </c>
      <c r="K3561" s="4">
        <v>1234.0858228222173</v>
      </c>
      <c r="L3561" s="19">
        <v>1.2340858228222174E21</v>
      </c>
      <c r="M3561" s="20">
        <v>1.2340858228222175E20</v>
      </c>
    </row>
    <row r="3562">
      <c r="A3562" s="6"/>
      <c r="B3562" s="6"/>
      <c r="C3562" s="4"/>
      <c r="D3562" s="4">
        <v>45.5515989138602</v>
      </c>
      <c r="E3562" s="4" t="s">
        <v>5445</v>
      </c>
      <c r="F3562" s="4"/>
      <c r="G3562" s="4"/>
      <c r="H3562" s="4"/>
      <c r="I3562" s="4" t="str">
        <f>IFERROR(__xludf.DUMMYFUNCTION("""COMPUTED_VALUE"""),"0x68db7041927ec08e5a18a4d6b4f94e064a37798b")</f>
        <v>0x68db7041927ec08e5a18a4d6b4f94e064a37798b</v>
      </c>
      <c r="J3562" s="18">
        <v>48.3641275995966</v>
      </c>
      <c r="K3562" s="4">
        <v>604.5515949949574</v>
      </c>
      <c r="L3562" s="19">
        <v>6.045515949949574E20</v>
      </c>
      <c r="M3562" s="20">
        <v>6.045515949949574E19</v>
      </c>
    </row>
    <row r="3563">
      <c r="A3563" s="6"/>
      <c r="B3563" s="6"/>
      <c r="C3563" s="4"/>
      <c r="D3563" s="4">
        <v>0.464857074918061</v>
      </c>
      <c r="E3563" s="4" t="s">
        <v>350</v>
      </c>
      <c r="F3563" s="4"/>
      <c r="G3563" s="4"/>
      <c r="H3563" s="4"/>
      <c r="I3563" s="4" t="str">
        <f>IFERROR(__xludf.DUMMYFUNCTION("""COMPUTED_VALUE"""),"0xf4587184bef1a6dd28eea829ba379233e71e8cec")</f>
        <v>0xf4587184bef1a6dd28eea829ba379233e71e8cec</v>
      </c>
      <c r="J3563" s="18">
        <v>32.996456235047</v>
      </c>
      <c r="K3563" s="4">
        <v>412.4557029380875</v>
      </c>
      <c r="L3563" s="19">
        <v>4.1245570293808746E20</v>
      </c>
      <c r="M3563" s="20">
        <v>4.124557029380875E19</v>
      </c>
    </row>
    <row r="3564">
      <c r="A3564" s="6"/>
      <c r="B3564" s="6"/>
      <c r="C3564" s="4"/>
      <c r="D3564" s="4">
        <v>9.672825519919328</v>
      </c>
      <c r="E3564" s="4" t="s">
        <v>5448</v>
      </c>
      <c r="F3564" s="4"/>
      <c r="G3564" s="4"/>
      <c r="H3564" s="4"/>
      <c r="I3564" s="4" t="str">
        <f>IFERROR(__xludf.DUMMYFUNCTION("""COMPUTED_VALUE"""),"0xf6844b491e75215372d5419ec0b45899be806d5d")</f>
        <v>0xf6844b491e75215372d5419ec0b45899be806d5d</v>
      </c>
      <c r="J3564" s="18">
        <v>48.3641275995966</v>
      </c>
      <c r="K3564" s="4">
        <v>604.5515949949574</v>
      </c>
      <c r="L3564" s="19">
        <v>6.045515949949574E20</v>
      </c>
      <c r="M3564" s="20">
        <v>6.045515949949574E19</v>
      </c>
    </row>
    <row r="3565">
      <c r="A3565" s="6"/>
      <c r="B3565" s="6"/>
      <c r="C3565" s="4"/>
      <c r="D3565" s="4">
        <v>4.63415157361014</v>
      </c>
      <c r="E3565" s="4" t="s">
        <v>5449</v>
      </c>
      <c r="F3565" s="4"/>
      <c r="G3565" s="4"/>
      <c r="H3565" s="4"/>
      <c r="I3565" s="4" t="str">
        <f>IFERROR(__xludf.DUMMYFUNCTION("""COMPUTED_VALUE"""),"0x29748fe73b8653db6a97b47f3623b6b4687c5112")</f>
        <v>0x29748fe73b8653db6a97b47f3623b6b4687c5112</v>
      </c>
      <c r="J3565" s="18">
        <v>9.672825519919328</v>
      </c>
      <c r="K3565" s="4">
        <v>120.9103189989916</v>
      </c>
      <c r="L3565" s="19">
        <v>1.209103189989916E20</v>
      </c>
      <c r="M3565" s="20">
        <v>1.209103189989916E19</v>
      </c>
    </row>
    <row r="3566">
      <c r="A3566" s="6"/>
      <c r="B3566" s="6"/>
      <c r="C3566" s="4"/>
      <c r="D3566" s="4">
        <v>16.993828702893</v>
      </c>
      <c r="E3566" s="4" t="s">
        <v>5451</v>
      </c>
      <c r="F3566" s="4"/>
      <c r="G3566" s="4"/>
      <c r="H3566" s="4"/>
      <c r="I3566" s="4" t="str">
        <f>IFERROR(__xludf.DUMMYFUNCTION("""COMPUTED_VALUE"""),"0x0583f167360c7d6a3f534b9eb52cc9dc3bced93e")</f>
        <v>0x0583f167360c7d6a3f534b9eb52cc9dc3bced93e</v>
      </c>
      <c r="J3566" s="18">
        <v>57.66472560997164</v>
      </c>
      <c r="K3566" s="4">
        <v>720.8090701246455</v>
      </c>
      <c r="L3566" s="19">
        <v>7.208090701246455E20</v>
      </c>
      <c r="M3566" s="20">
        <v>7.208090701246455E19</v>
      </c>
    </row>
    <row r="3567">
      <c r="A3567" s="6"/>
      <c r="B3567" s="6"/>
      <c r="C3567" s="4"/>
      <c r="D3567" s="4">
        <v>48.3641275995966</v>
      </c>
      <c r="E3567" s="4" t="s">
        <v>5453</v>
      </c>
      <c r="F3567" s="4"/>
      <c r="G3567" s="4"/>
      <c r="H3567" s="4"/>
      <c r="I3567" s="4" t="str">
        <f>IFERROR(__xludf.DUMMYFUNCTION("""COMPUTED_VALUE"""),"0xc7b08db1a19dfe82d2be5fc7c70c95583d2edf5b")</f>
        <v>0xc7b08db1a19dfe82d2be5fc7c70c95583d2edf5b</v>
      </c>
      <c r="J3567" s="18">
        <v>16.8469032872933</v>
      </c>
      <c r="K3567" s="4">
        <v>210.58629109116626</v>
      </c>
      <c r="L3567" s="19">
        <v>2.1058629109116627E20</v>
      </c>
      <c r="M3567" s="20">
        <v>2.105862910911663E19</v>
      </c>
    </row>
    <row r="3568">
      <c r="A3568" s="6"/>
      <c r="B3568" s="6"/>
      <c r="C3568" s="4"/>
      <c r="D3568" s="4">
        <v>19.391876457351596</v>
      </c>
      <c r="E3568" s="4" t="s">
        <v>5454</v>
      </c>
      <c r="F3568" s="4"/>
      <c r="G3568" s="4"/>
      <c r="H3568" s="4"/>
      <c r="I3568" s="4" t="str">
        <f>IFERROR(__xludf.DUMMYFUNCTION("""COMPUTED_VALUE"""),"0x39592f004b111a777e7634f033afb350f0565812")</f>
        <v>0x39592f004b111a777e7634f033afb350f0565812</v>
      </c>
      <c r="J3568" s="18">
        <v>48.3641275995966</v>
      </c>
      <c r="K3568" s="4">
        <v>604.5515949949574</v>
      </c>
      <c r="L3568" s="19">
        <v>6.045515949949574E20</v>
      </c>
      <c r="M3568" s="20">
        <v>6.045515949949574E19</v>
      </c>
    </row>
    <row r="3569">
      <c r="A3569" s="6"/>
      <c r="B3569" s="6"/>
      <c r="C3569" s="4"/>
      <c r="D3569" s="4">
        <v>19.3456510398386</v>
      </c>
      <c r="E3569" s="4" t="s">
        <v>5456</v>
      </c>
      <c r="F3569" s="4"/>
      <c r="G3569" s="4"/>
      <c r="H3569" s="4"/>
      <c r="I3569" s="4" t="str">
        <f>IFERROR(__xludf.DUMMYFUNCTION("""COMPUTED_VALUE"""),"0xde0cd5b6829dd1f8dbce268f390d6938660f3a74")</f>
        <v>0xde0cd5b6829dd1f8dbce268f390d6938660f3a74</v>
      </c>
      <c r="J3569" s="18">
        <v>5.16987789827053</v>
      </c>
      <c r="K3569" s="4">
        <v>64.62347372838161</v>
      </c>
      <c r="L3569" s="19">
        <v>6.462347372838161E19</v>
      </c>
      <c r="M3569" s="20">
        <v>6.462347372838161E18</v>
      </c>
    </row>
    <row r="3570">
      <c r="A3570" s="6"/>
      <c r="B3570" s="6"/>
      <c r="C3570" s="4"/>
      <c r="D3570" s="4">
        <v>10.2205681993472</v>
      </c>
      <c r="E3570" s="4" t="s">
        <v>5457</v>
      </c>
      <c r="F3570" s="4"/>
      <c r="G3570" s="4"/>
      <c r="H3570" s="4"/>
      <c r="I3570" s="4" t="str">
        <f>IFERROR(__xludf.DUMMYFUNCTION("""COMPUTED_VALUE"""),"0x99b3e0fd67df7e57e377f1a46f2b1915196a844a")</f>
        <v>0x99b3e0fd67df7e57e377f1a46f2b1915196a844a</v>
      </c>
      <c r="J3570" s="18">
        <v>57.66472560997164</v>
      </c>
      <c r="K3570" s="4">
        <v>720.8090701246455</v>
      </c>
      <c r="L3570" s="19">
        <v>7.208090701246455E20</v>
      </c>
      <c r="M3570" s="20">
        <v>7.208090701246455E19</v>
      </c>
    </row>
    <row r="3571">
      <c r="A3571" s="6"/>
      <c r="B3571" s="6"/>
      <c r="C3571" s="4"/>
      <c r="D3571" s="4">
        <v>10.1296682473216</v>
      </c>
      <c r="E3571" s="4" t="s">
        <v>5459</v>
      </c>
      <c r="F3571" s="4"/>
      <c r="G3571" s="4"/>
      <c r="H3571" s="4"/>
      <c r="I3571" s="4" t="str">
        <f>IFERROR(__xludf.DUMMYFUNCTION("""COMPUTED_VALUE"""),"0xa5bca55cd53fb00558b49c552f41f2a9436d0667")</f>
        <v>0xa5bca55cd53fb00558b49c552f41f2a9436d0667</v>
      </c>
      <c r="J3571" s="18">
        <v>48.3641275995966</v>
      </c>
      <c r="K3571" s="4">
        <v>604.5515949949574</v>
      </c>
      <c r="L3571" s="19">
        <v>6.045515949949574E20</v>
      </c>
      <c r="M3571" s="20">
        <v>6.045515949949574E19</v>
      </c>
    </row>
    <row r="3572">
      <c r="A3572" s="6"/>
      <c r="B3572" s="6"/>
      <c r="C3572" s="4"/>
      <c r="D3572" s="4">
        <v>48.3641275995966</v>
      </c>
      <c r="E3572" s="4" t="s">
        <v>5461</v>
      </c>
      <c r="F3572" s="4"/>
      <c r="G3572" s="4"/>
      <c r="H3572" s="4"/>
      <c r="I3572" s="4" t="str">
        <f>IFERROR(__xludf.DUMMYFUNCTION("""COMPUTED_VALUE"""),"0x8e217bb4205b77f335e4ae778c1b4c30ae57ae3f")</f>
        <v>0x8e217bb4205b77f335e4ae778c1b4c30ae57ae3f</v>
      </c>
      <c r="J3572" s="18">
        <v>28.623666772701903</v>
      </c>
      <c r="K3572" s="4">
        <v>357.7958346587738</v>
      </c>
      <c r="L3572" s="19">
        <v>3.577958346587738E20</v>
      </c>
      <c r="M3572" s="20">
        <v>3.577958346587738E19</v>
      </c>
    </row>
    <row r="3573">
      <c r="A3573" s="6"/>
      <c r="B3573" s="6"/>
      <c r="C3573" s="4"/>
      <c r="D3573" s="4">
        <v>8.81184261575156</v>
      </c>
      <c r="E3573" s="4" t="s">
        <v>5462</v>
      </c>
      <c r="F3573" s="4"/>
      <c r="G3573" s="4"/>
      <c r="H3573" s="4"/>
      <c r="I3573" s="4" t="str">
        <f>IFERROR(__xludf.DUMMYFUNCTION("""COMPUTED_VALUE"""),"0x34e5bc20982c47160a77ee376490904984d817d9")</f>
        <v>0x34e5bc20982c47160a77ee376490904984d817d9</v>
      </c>
      <c r="J3573" s="18">
        <v>15.4146727299787</v>
      </c>
      <c r="K3573" s="4">
        <v>192.68340912473374</v>
      </c>
      <c r="L3573" s="19">
        <v>1.9268340912473375E20</v>
      </c>
      <c r="M3573" s="20">
        <v>1.9268340912473375E19</v>
      </c>
    </row>
    <row r="3574">
      <c r="A3574" s="6"/>
      <c r="B3574" s="6"/>
      <c r="C3574" s="4"/>
      <c r="D3574" s="4">
        <v>23.9448718663022</v>
      </c>
      <c r="E3574" s="4" t="s">
        <v>5464</v>
      </c>
      <c r="F3574" s="4"/>
      <c r="G3574" s="4"/>
      <c r="H3574" s="4"/>
      <c r="I3574" s="4" t="str">
        <f>IFERROR(__xludf.DUMMYFUNCTION("""COMPUTED_VALUE"""),"0x880a0d65ac7935490a78210b64676a0bfbd7d146")</f>
        <v>0x880a0d65ac7935490a78210b64676a0bfbd7d146</v>
      </c>
      <c r="J3574" s="18">
        <v>48.3641275995966</v>
      </c>
      <c r="K3574" s="4">
        <v>604.5515949949574</v>
      </c>
      <c r="L3574" s="19">
        <v>6.045515949949574E20</v>
      </c>
      <c r="M3574" s="20">
        <v>6.045515949949574E19</v>
      </c>
    </row>
    <row r="3575">
      <c r="A3575" s="6"/>
      <c r="B3575" s="6"/>
      <c r="C3575" s="4"/>
      <c r="D3575" s="4">
        <v>48.3641275995966</v>
      </c>
      <c r="E3575" s="4" t="s">
        <v>5466</v>
      </c>
      <c r="F3575" s="4"/>
      <c r="G3575" s="4"/>
      <c r="H3575" s="4"/>
      <c r="I3575" s="4" t="str">
        <f>IFERROR(__xludf.DUMMYFUNCTION("""COMPUTED_VALUE"""),"0xbaddc83e3c4d7ccfc1d7559696054afeaa13d7c4")</f>
        <v>0xbaddc83e3c4d7ccfc1d7559696054afeaa13d7c4</v>
      </c>
      <c r="J3575" s="18">
        <v>30.411428537734903</v>
      </c>
      <c r="K3575" s="4">
        <v>380.14285672168626</v>
      </c>
      <c r="L3575" s="19">
        <v>3.8014285672168627E20</v>
      </c>
      <c r="M3575" s="20">
        <v>3.801428567216863E19</v>
      </c>
    </row>
    <row r="3576">
      <c r="A3576" s="6"/>
      <c r="B3576" s="6"/>
      <c r="C3576" s="4"/>
      <c r="D3576" s="4">
        <v>9.77301552828257</v>
      </c>
      <c r="E3576" s="4" t="s">
        <v>5467</v>
      </c>
      <c r="F3576" s="4"/>
      <c r="G3576" s="4"/>
      <c r="H3576" s="4"/>
      <c r="I3576" s="4" t="str">
        <f>IFERROR(__xludf.DUMMYFUNCTION("""COMPUTED_VALUE"""),"0xa511c040a5f2d8be672d248a375d3e1d37c63b29")</f>
        <v>0xa511c040a5f2d8be672d248a375d3e1d37c63b29</v>
      </c>
      <c r="J3576" s="18">
        <v>8.68688950708176</v>
      </c>
      <c r="K3576" s="4">
        <v>108.586118838522</v>
      </c>
      <c r="L3576" s="19">
        <v>1.08586118838522E20</v>
      </c>
      <c r="M3576" s="20">
        <v>1.08586118838522E19</v>
      </c>
    </row>
    <row r="3577">
      <c r="A3577" s="6"/>
      <c r="B3577" s="6"/>
      <c r="C3577" s="4"/>
      <c r="D3577" s="4">
        <v>4.845915327887</v>
      </c>
      <c r="E3577" s="4" t="s">
        <v>5469</v>
      </c>
      <c r="F3577" s="4"/>
      <c r="G3577" s="4"/>
      <c r="H3577" s="4"/>
      <c r="I3577" s="4" t="str">
        <f>IFERROR(__xludf.DUMMYFUNCTION("""COMPUTED_VALUE"""),"0x431e36445f0836806dfca42646b89b30092eef53")</f>
        <v>0x431e36445f0836806dfca42646b89b30092eef53</v>
      </c>
      <c r="J3577" s="18">
        <v>48.3641275995966</v>
      </c>
      <c r="K3577" s="4">
        <v>604.5515949949574</v>
      </c>
      <c r="L3577" s="19">
        <v>6.045515949949574E20</v>
      </c>
      <c r="M3577" s="20">
        <v>6.045515949949574E19</v>
      </c>
    </row>
    <row r="3578">
      <c r="A3578" s="6"/>
      <c r="B3578" s="6"/>
      <c r="C3578" s="4"/>
      <c r="D3578" s="4">
        <v>48.3641275995966</v>
      </c>
      <c r="E3578" s="4" t="s">
        <v>5471</v>
      </c>
      <c r="F3578" s="4"/>
      <c r="G3578" s="4"/>
      <c r="H3578" s="4"/>
      <c r="I3578" s="4" t="str">
        <f>IFERROR(__xludf.DUMMYFUNCTION("""COMPUTED_VALUE"""),"0x7dae15d82a0c05e9c8e1dbc322ff8b075a4481c3")</f>
        <v>0x7dae15d82a0c05e9c8e1dbc322ff8b075a4481c3</v>
      </c>
      <c r="J3578" s="18">
        <v>0.26425713223139297</v>
      </c>
      <c r="K3578" s="4">
        <v>3.303214152892412</v>
      </c>
      <c r="L3578" s="19">
        <v>3.303214152892412E18</v>
      </c>
      <c r="M3578" s="20">
        <v>3.303214152892412E17</v>
      </c>
    </row>
    <row r="3579">
      <c r="A3579" s="6"/>
      <c r="B3579" s="6"/>
      <c r="C3579" s="4"/>
      <c r="D3579" s="4">
        <v>41.0591861619032</v>
      </c>
      <c r="E3579" s="4" t="s">
        <v>598</v>
      </c>
      <c r="F3579" s="4"/>
      <c r="G3579" s="4"/>
      <c r="H3579" s="4"/>
      <c r="I3579" s="4" t="str">
        <f>IFERROR(__xludf.DUMMYFUNCTION("""COMPUTED_VALUE"""),"0x4be969726cfc1ec4c538c732bd80f3ca8d3ca6f0")</f>
        <v>0x4be969726cfc1ec4c538c732bd80f3ca8d3ca6f0</v>
      </c>
      <c r="J3579" s="18">
        <v>9.672825519919328</v>
      </c>
      <c r="K3579" s="4">
        <v>120.9103189989916</v>
      </c>
      <c r="L3579" s="19">
        <v>1.209103189989916E20</v>
      </c>
      <c r="M3579" s="20">
        <v>1.209103189989916E19</v>
      </c>
    </row>
    <row r="3580">
      <c r="A3580" s="6"/>
      <c r="B3580" s="6"/>
      <c r="C3580" s="4"/>
      <c r="D3580" s="4">
        <v>48.3641275995966</v>
      </c>
      <c r="E3580" s="4" t="s">
        <v>5473</v>
      </c>
      <c r="F3580" s="4"/>
      <c r="G3580" s="4"/>
      <c r="H3580" s="4"/>
      <c r="I3580" s="4" t="str">
        <f>IFERROR(__xludf.DUMMYFUNCTION("""COMPUTED_VALUE"""),"0xc6aa2032720c7dab1a4e146a8dd57b394c934987")</f>
        <v>0xc6aa2032720c7dab1a4e146a8dd57b394c934987</v>
      </c>
      <c r="J3580" s="18">
        <v>7.53415737312845</v>
      </c>
      <c r="K3580" s="4">
        <v>94.17696716410563</v>
      </c>
      <c r="L3580" s="19">
        <v>9.417696716410564E19</v>
      </c>
      <c r="M3580" s="20">
        <v>9.417696716410565E18</v>
      </c>
    </row>
    <row r="3581">
      <c r="A3581" s="6"/>
      <c r="B3581" s="6"/>
      <c r="C3581" s="4"/>
      <c r="D3581" s="4">
        <v>48.3641275995966</v>
      </c>
      <c r="E3581" s="4" t="s">
        <v>5474</v>
      </c>
      <c r="F3581" s="4"/>
      <c r="G3581" s="4"/>
      <c r="H3581" s="4"/>
      <c r="I3581" s="4" t="str">
        <f>IFERROR(__xludf.DUMMYFUNCTION("""COMPUTED_VALUE"""),"0x2f59f7f6a4bd1c17f9477f7ae13ce2af444c3e27")</f>
        <v>0x2f59f7f6a4bd1c17f9477f7ae13ce2af444c3e27</v>
      </c>
      <c r="J3581" s="18">
        <v>8.25272263742376</v>
      </c>
      <c r="K3581" s="4">
        <v>103.159032967797</v>
      </c>
      <c r="L3581" s="19">
        <v>1.03159032967797E20</v>
      </c>
      <c r="M3581" s="20">
        <v>1.03159032967797E19</v>
      </c>
    </row>
    <row r="3582">
      <c r="A3582" s="6"/>
      <c r="B3582" s="6"/>
      <c r="C3582" s="4"/>
      <c r="D3582" s="4">
        <v>48.3641275995966</v>
      </c>
      <c r="E3582" s="4" t="s">
        <v>1701</v>
      </c>
      <c r="F3582" s="4"/>
      <c r="G3582" s="4"/>
      <c r="H3582" s="4"/>
      <c r="I3582" s="4" t="str">
        <f>IFERROR(__xludf.DUMMYFUNCTION("""COMPUTED_VALUE"""),"0x7d092b21ad6207bfa5304c8bcb4995f5503f31ca")</f>
        <v>0x7d092b21ad6207bfa5304c8bcb4995f5503f31ca</v>
      </c>
      <c r="J3582" s="18">
        <v>33.1311199239796</v>
      </c>
      <c r="K3582" s="4">
        <v>414.13899904974494</v>
      </c>
      <c r="L3582" s="19">
        <v>4.1413899904974494E20</v>
      </c>
      <c r="M3582" s="20">
        <v>4.1413899904974496E19</v>
      </c>
    </row>
    <row r="3583">
      <c r="A3583" s="6"/>
      <c r="B3583" s="6"/>
      <c r="C3583" s="4"/>
      <c r="D3583" s="4">
        <v>24.1820637997983</v>
      </c>
      <c r="E3583" s="4" t="s">
        <v>5475</v>
      </c>
      <c r="F3583" s="4"/>
      <c r="G3583" s="4"/>
      <c r="H3583" s="4"/>
      <c r="I3583" s="4" t="str">
        <f>IFERROR(__xludf.DUMMYFUNCTION("""COMPUTED_VALUE"""),"0xb28f4251753aa4f983e4a566ad1999ee2282cb1f")</f>
        <v>0xb28f4251753aa4f983e4a566ad1999ee2282cb1f</v>
      </c>
      <c r="J3583" s="18">
        <v>9.672825519919328</v>
      </c>
      <c r="K3583" s="4">
        <v>120.9103189989916</v>
      </c>
      <c r="L3583" s="19">
        <v>1.209103189989916E20</v>
      </c>
      <c r="M3583" s="20">
        <v>1.209103189989916E19</v>
      </c>
    </row>
    <row r="3584">
      <c r="A3584" s="6"/>
      <c r="B3584" s="6"/>
      <c r="C3584" s="4"/>
      <c r="D3584" s="4">
        <v>9.81639997946313</v>
      </c>
      <c r="E3584" s="4" t="s">
        <v>5476</v>
      </c>
      <c r="F3584" s="4"/>
      <c r="G3584" s="4"/>
      <c r="H3584" s="4"/>
      <c r="I3584" s="4" t="str">
        <f>IFERROR(__xludf.DUMMYFUNCTION("""COMPUTED_VALUE"""),"0x73ae5b993038aa91df76866ef71cfb248b2bc75f")</f>
        <v>0x73ae5b993038aa91df76866ef71cfb248b2bc75f</v>
      </c>
      <c r="J3584" s="18">
        <v>113.32361279928111</v>
      </c>
      <c r="K3584" s="4">
        <v>1416.5451599910139</v>
      </c>
      <c r="L3584" s="19">
        <v>1.416545159991014E21</v>
      </c>
      <c r="M3584" s="20">
        <v>1.416545159991014E20</v>
      </c>
    </row>
    <row r="3585">
      <c r="A3585" s="6"/>
      <c r="B3585" s="6"/>
      <c r="C3585" s="4"/>
      <c r="D3585" s="4">
        <v>48.3641275995966</v>
      </c>
      <c r="E3585" s="4" t="s">
        <v>5478</v>
      </c>
      <c r="F3585" s="4"/>
      <c r="G3585" s="4"/>
      <c r="H3585" s="4"/>
      <c r="I3585" s="4" t="str">
        <f>IFERROR(__xludf.DUMMYFUNCTION("""COMPUTED_VALUE"""),"0xf764960ed96c9f093cee460e48fc45ecf31b45a1")</f>
        <v>0xf764960ed96c9f093cee460e48fc45ecf31b45a1</v>
      </c>
      <c r="J3585" s="18">
        <v>57.66472560997164</v>
      </c>
      <c r="K3585" s="4">
        <v>720.8090701246455</v>
      </c>
      <c r="L3585" s="19">
        <v>7.208090701246455E20</v>
      </c>
      <c r="M3585" s="20">
        <v>7.208090701246455E19</v>
      </c>
    </row>
    <row r="3586">
      <c r="A3586" s="6"/>
      <c r="B3586" s="6"/>
      <c r="C3586" s="4"/>
      <c r="D3586" s="4">
        <v>48.3641275995966</v>
      </c>
      <c r="E3586" s="4" t="s">
        <v>5479</v>
      </c>
      <c r="F3586" s="4"/>
      <c r="G3586" s="4"/>
      <c r="H3586" s="4"/>
      <c r="I3586" s="4" t="str">
        <f>IFERROR(__xludf.DUMMYFUNCTION("""COMPUTED_VALUE"""),"0x5fdedc3f3f211f15c8a0c2d8330e2affc49e3157")</f>
        <v>0x5fdedc3f3f211f15c8a0c2d8330e2affc49e3157</v>
      </c>
      <c r="J3586" s="18">
        <v>113.4683136722219</v>
      </c>
      <c r="K3586" s="4">
        <v>1418.3539209027738</v>
      </c>
      <c r="L3586" s="19">
        <v>1.4183539209027739E21</v>
      </c>
      <c r="M3586" s="20">
        <v>1.418353920902774E20</v>
      </c>
    </row>
    <row r="3587">
      <c r="A3587" s="6"/>
      <c r="B3587" s="6"/>
      <c r="C3587" s="4"/>
      <c r="D3587" s="4">
        <v>48.3641275995966</v>
      </c>
      <c r="E3587" s="4" t="s">
        <v>5480</v>
      </c>
      <c r="F3587" s="4"/>
      <c r="G3587" s="4"/>
      <c r="H3587" s="4"/>
      <c r="I3587" s="4" t="str">
        <f>IFERROR(__xludf.DUMMYFUNCTION("""COMPUTED_VALUE"""),"0xcb87186061c7afbdc45141f43f24c736f861641e")</f>
        <v>0xcb87186061c7afbdc45141f43f24c736f861641e</v>
      </c>
      <c r="J3587" s="18">
        <v>48.3641275995966</v>
      </c>
      <c r="K3587" s="4">
        <v>604.5515949949574</v>
      </c>
      <c r="L3587" s="19">
        <v>6.045515949949574E20</v>
      </c>
      <c r="M3587" s="20">
        <v>6.045515949949574E19</v>
      </c>
    </row>
    <row r="3588">
      <c r="A3588" s="6"/>
      <c r="B3588" s="6"/>
      <c r="C3588" s="4"/>
      <c r="D3588" s="4">
        <v>31.9733773371181</v>
      </c>
      <c r="E3588" s="4" t="s">
        <v>5481</v>
      </c>
      <c r="F3588" s="4"/>
      <c r="G3588" s="4"/>
      <c r="H3588" s="4"/>
      <c r="I3588" s="4" t="str">
        <f>IFERROR(__xludf.DUMMYFUNCTION("""COMPUTED_VALUE"""),"0xd71b6997d95320499db6871e4a6bcb2c89e4aa90")</f>
        <v>0xd71b6997d95320499db6871e4a6bcb2c89e4aa90</v>
      </c>
      <c r="J3588" s="18">
        <v>79.9151623983442</v>
      </c>
      <c r="K3588" s="4">
        <v>998.9395299793024</v>
      </c>
      <c r="L3588" s="19">
        <v>9.989395299793024E20</v>
      </c>
      <c r="M3588" s="20">
        <v>9.989395299793024E19</v>
      </c>
    </row>
    <row r="3589">
      <c r="A3589" s="6"/>
      <c r="B3589" s="6"/>
      <c r="C3589" s="4"/>
      <c r="D3589" s="4">
        <v>48.3641275995966</v>
      </c>
      <c r="E3589" s="4" t="s">
        <v>5483</v>
      </c>
      <c r="F3589" s="4"/>
      <c r="G3589" s="4"/>
      <c r="H3589" s="4"/>
      <c r="I3589" s="4" t="str">
        <f>IFERROR(__xludf.DUMMYFUNCTION("""COMPUTED_VALUE"""),"0xe6e34a80d4d08a711cbc65755586a3b486a70925")</f>
        <v>0xe6e34a80d4d08a711cbc65755586a3b486a70925</v>
      </c>
      <c r="J3589" s="18">
        <v>48.3641275995966</v>
      </c>
      <c r="K3589" s="4">
        <v>604.5515949949574</v>
      </c>
      <c r="L3589" s="19">
        <v>6.045515949949574E20</v>
      </c>
      <c r="M3589" s="20">
        <v>6.045515949949574E19</v>
      </c>
    </row>
    <row r="3590">
      <c r="A3590" s="6"/>
      <c r="B3590" s="6"/>
      <c r="C3590" s="4"/>
      <c r="D3590" s="4">
        <v>0.0839669844534575</v>
      </c>
      <c r="E3590" s="4" t="s">
        <v>1723</v>
      </c>
      <c r="F3590" s="4"/>
      <c r="G3590" s="4"/>
      <c r="H3590" s="4"/>
      <c r="I3590" s="4" t="str">
        <f>IFERROR(__xludf.DUMMYFUNCTION("""COMPUTED_VALUE"""),"0x25428936c904a9d86001214cbc440d3d087751ac")</f>
        <v>0x25428936c904a9d86001214cbc440d3d087751ac</v>
      </c>
      <c r="J3590" s="18">
        <v>29.018476559758</v>
      </c>
      <c r="K3590" s="4">
        <v>362.730956996975</v>
      </c>
      <c r="L3590" s="19">
        <v>3.62730956996975E20</v>
      </c>
      <c r="M3590" s="20">
        <v>3.62730956996975E19</v>
      </c>
    </row>
    <row r="3591">
      <c r="A3591" s="6"/>
      <c r="B3591" s="6"/>
      <c r="C3591" s="4"/>
      <c r="D3591" s="4">
        <v>48.3641275995966</v>
      </c>
      <c r="E3591" s="4" t="s">
        <v>5485</v>
      </c>
      <c r="F3591" s="4"/>
      <c r="G3591" s="4"/>
      <c r="H3591" s="4"/>
      <c r="I3591" s="4" t="str">
        <f>IFERROR(__xludf.DUMMYFUNCTION("""COMPUTED_VALUE"""),"0x89a8a9f77c4c47e1c3f44cc7a03cf8ea73b61015")</f>
        <v>0x89a8a9f77c4c47e1c3f44cc7a03cf8ea73b61015</v>
      </c>
      <c r="J3591" s="18">
        <v>18.4663079701214</v>
      </c>
      <c r="K3591" s="4">
        <v>230.82884962651747</v>
      </c>
      <c r="L3591" s="19">
        <v>2.3082884962651747E20</v>
      </c>
      <c r="M3591" s="20">
        <v>2.308288496265175E19</v>
      </c>
    </row>
    <row r="3592">
      <c r="A3592" s="6"/>
      <c r="B3592" s="6"/>
      <c r="C3592" s="4"/>
      <c r="D3592" s="4">
        <v>38.777868852914004</v>
      </c>
      <c r="E3592" s="4" t="s">
        <v>5486</v>
      </c>
      <c r="F3592" s="4"/>
      <c r="G3592" s="4"/>
      <c r="H3592" s="4"/>
      <c r="I3592" s="4" t="str">
        <f>IFERROR(__xludf.DUMMYFUNCTION("""COMPUTED_VALUE"""),"0xc428cdcd901a78f00d41e2029b3b78e3906470ce")</f>
        <v>0xc428cdcd901a78f00d41e2029b3b78e3906470ce</v>
      </c>
      <c r="J3592" s="18">
        <v>57.88354311213772</v>
      </c>
      <c r="K3592" s="4">
        <v>723.5442889017215</v>
      </c>
      <c r="L3592" s="19">
        <v>7.235442889017215E20</v>
      </c>
      <c r="M3592" s="20">
        <v>7.235442889017215E19</v>
      </c>
    </row>
    <row r="3593">
      <c r="A3593" s="6"/>
      <c r="B3593" s="6"/>
      <c r="C3593" s="4"/>
      <c r="D3593" s="4">
        <v>43.165688052132005</v>
      </c>
      <c r="E3593" s="4" t="s">
        <v>5488</v>
      </c>
      <c r="F3593" s="4"/>
      <c r="G3593" s="4"/>
      <c r="H3593" s="4"/>
      <c r="I3593" s="4" t="str">
        <f>IFERROR(__xludf.DUMMYFUNCTION("""COMPUTED_VALUE"""),"0xf0ea671afa2d8ad24ed5f4cd97b7a84140f5bc43")</f>
        <v>0xf0ea671afa2d8ad24ed5f4cd97b7a84140f5bc43</v>
      </c>
      <c r="J3593" s="18">
        <v>18.1482043987392</v>
      </c>
      <c r="K3593" s="4">
        <v>226.85255498424</v>
      </c>
      <c r="L3593" s="19">
        <v>2.2685255498424E20</v>
      </c>
      <c r="M3593" s="20">
        <v>2.2685255498424E19</v>
      </c>
    </row>
    <row r="3594">
      <c r="A3594" s="6"/>
      <c r="B3594" s="6"/>
      <c r="C3594" s="4"/>
      <c r="D3594" s="4">
        <v>38.672094185477</v>
      </c>
      <c r="E3594" s="4" t="s">
        <v>5490</v>
      </c>
      <c r="F3594" s="4"/>
      <c r="G3594" s="4"/>
      <c r="H3594" s="4"/>
      <c r="I3594" s="4" t="str">
        <f>IFERROR(__xludf.DUMMYFUNCTION("""COMPUTED_VALUE"""),"0xce968df5424e2864feead96197aeb7a93c2bd353")</f>
        <v>0xce968df5424e2864feead96197aeb7a93c2bd353</v>
      </c>
      <c r="J3594" s="18">
        <v>48.3641275995966</v>
      </c>
      <c r="K3594" s="4">
        <v>604.5515949949574</v>
      </c>
      <c r="L3594" s="19">
        <v>6.045515949949574E20</v>
      </c>
      <c r="M3594" s="20">
        <v>6.045515949949574E19</v>
      </c>
    </row>
    <row r="3595">
      <c r="A3595" s="6"/>
      <c r="B3595" s="6"/>
      <c r="C3595" s="4"/>
      <c r="D3595" s="4">
        <v>48.3641275995966</v>
      </c>
      <c r="E3595" s="4" t="s">
        <v>649</v>
      </c>
      <c r="F3595" s="4"/>
      <c r="G3595" s="4"/>
      <c r="H3595" s="4"/>
      <c r="I3595" s="4" t="str">
        <f>IFERROR(__xludf.DUMMYFUNCTION("""COMPUTED_VALUE"""),"0x6902f57365dd5c6bfa03cccf76dac46b1a16c861")</f>
        <v>0x6902f57365dd5c6bfa03cccf76dac46b1a16c861</v>
      </c>
      <c r="J3595" s="18">
        <v>48.3641275995966</v>
      </c>
      <c r="K3595" s="4">
        <v>604.5515949949574</v>
      </c>
      <c r="L3595" s="19">
        <v>6.045515949949574E20</v>
      </c>
      <c r="M3595" s="20">
        <v>6.045515949949574E19</v>
      </c>
    </row>
    <row r="3596">
      <c r="A3596" s="6"/>
      <c r="B3596" s="6"/>
      <c r="C3596" s="4"/>
      <c r="D3596" s="4">
        <v>48.3641275995966</v>
      </c>
      <c r="E3596" s="4" t="s">
        <v>5492</v>
      </c>
      <c r="F3596" s="4"/>
      <c r="G3596" s="4"/>
      <c r="H3596" s="4"/>
      <c r="I3596" s="4" t="str">
        <f>IFERROR(__xludf.DUMMYFUNCTION("""COMPUTED_VALUE"""),"0x397f69108e9fc3ebdeb3a4c6e33e09eb8f2b6a97")</f>
        <v>0x397f69108e9fc3ebdeb3a4c6e33e09eb8f2b6a97</v>
      </c>
      <c r="J3596" s="18">
        <v>3.1925424353818963</v>
      </c>
      <c r="K3596" s="4">
        <v>39.9067804422737</v>
      </c>
      <c r="L3596" s="19">
        <v>3.99067804422737E19</v>
      </c>
      <c r="M3596" s="20">
        <v>3.9906780442273705E18</v>
      </c>
    </row>
    <row r="3597">
      <c r="A3597" s="6"/>
      <c r="B3597" s="6"/>
      <c r="C3597" s="4"/>
      <c r="D3597" s="4">
        <v>48.3641275995966</v>
      </c>
      <c r="E3597" s="4" t="s">
        <v>5493</v>
      </c>
      <c r="F3597" s="4"/>
      <c r="G3597" s="4"/>
      <c r="H3597" s="4"/>
      <c r="I3597" s="4" t="str">
        <f>IFERROR(__xludf.DUMMYFUNCTION("""COMPUTED_VALUE"""),"0x2b4dfa9e368340242666d9acb2a865d78fa22951")</f>
        <v>0x2b4dfa9e368340242666d9acb2a865d78fa22951</v>
      </c>
      <c r="J3597" s="18">
        <v>41.89617939737434</v>
      </c>
      <c r="K3597" s="4">
        <v>523.7022424671792</v>
      </c>
      <c r="L3597" s="19">
        <v>5.237022424671792E20</v>
      </c>
      <c r="M3597" s="20">
        <v>5.237022424671792E19</v>
      </c>
    </row>
    <row r="3598">
      <c r="A3598" s="6"/>
      <c r="B3598" s="6"/>
      <c r="C3598" s="4"/>
      <c r="D3598" s="4">
        <v>48.3641275995966</v>
      </c>
      <c r="E3598" s="4" t="s">
        <v>5494</v>
      </c>
      <c r="F3598" s="4"/>
      <c r="G3598" s="4"/>
      <c r="H3598" s="4"/>
      <c r="I3598" s="4" t="str">
        <f>IFERROR(__xludf.DUMMYFUNCTION("""COMPUTED_VALUE"""),"0x758464a75724ee46e64c194849a625516dd84fa2")</f>
        <v>0x758464a75724ee46e64c194849a625516dd84fa2</v>
      </c>
      <c r="J3598" s="18">
        <v>0.321793820373944</v>
      </c>
      <c r="K3598" s="4">
        <v>4.0224227546743</v>
      </c>
      <c r="L3598" s="19">
        <v>4.0224227546743E18</v>
      </c>
      <c r="M3598" s="20">
        <v>4.0224227546743E17</v>
      </c>
    </row>
    <row r="3599">
      <c r="A3599" s="6"/>
      <c r="B3599" s="6"/>
      <c r="C3599" s="4"/>
      <c r="D3599" s="4">
        <v>9.672825519919328</v>
      </c>
      <c r="E3599" s="4" t="s">
        <v>5495</v>
      </c>
      <c r="F3599" s="4"/>
      <c r="G3599" s="4"/>
      <c r="H3599" s="4"/>
      <c r="I3599" s="4" t="str">
        <f>IFERROR(__xludf.DUMMYFUNCTION("""COMPUTED_VALUE"""),"0x9c927c10341291016850294a643886ff6e4622d9")</f>
        <v>0x9c927c10341291016850294a643886ff6e4622d9</v>
      </c>
      <c r="J3599" s="18">
        <v>64.7718836867742</v>
      </c>
      <c r="K3599" s="4">
        <v>809.6485460846775</v>
      </c>
      <c r="L3599" s="19">
        <v>8.096485460846775E20</v>
      </c>
      <c r="M3599" s="20">
        <v>8.096485460846776E19</v>
      </c>
    </row>
    <row r="3600">
      <c r="A3600" s="6"/>
      <c r="B3600" s="6"/>
      <c r="C3600" s="4"/>
      <c r="D3600" s="4">
        <v>8.63660732173715</v>
      </c>
      <c r="E3600" s="4" t="s">
        <v>5496</v>
      </c>
      <c r="F3600" s="4"/>
      <c r="G3600" s="4"/>
      <c r="H3600" s="4"/>
      <c r="I3600" s="4" t="str">
        <f>IFERROR(__xludf.DUMMYFUNCTION("""COMPUTED_VALUE"""),"0x72eabfc25ee8c1547d5b146204c97e2b37e21ace")</f>
        <v>0x72eabfc25ee8c1547d5b146204c97e2b37e21ace</v>
      </c>
      <c r="J3600" s="18">
        <v>57.99806660404966</v>
      </c>
      <c r="K3600" s="4">
        <v>724.9758325506208</v>
      </c>
      <c r="L3600" s="19">
        <v>7.249758325506208E20</v>
      </c>
      <c r="M3600" s="20">
        <v>7.2497583255062086E19</v>
      </c>
    </row>
    <row r="3601">
      <c r="A3601" s="6"/>
      <c r="B3601" s="6"/>
      <c r="C3601" s="4"/>
      <c r="D3601" s="4">
        <v>13.8129870838781</v>
      </c>
      <c r="E3601" s="4" t="s">
        <v>5498</v>
      </c>
      <c r="F3601" s="4"/>
      <c r="G3601" s="4"/>
      <c r="H3601" s="4"/>
      <c r="I3601" s="4" t="str">
        <f>IFERROR(__xludf.DUMMYFUNCTION("""COMPUTED_VALUE"""),"0x5fd430e770a91e41ff852e453033e314500a3a21")</f>
        <v>0x5fd430e770a91e41ff852e453033e314500a3a21</v>
      </c>
      <c r="J3601" s="18">
        <v>94.8671176514718</v>
      </c>
      <c r="K3601" s="4">
        <v>1185.8389706433975</v>
      </c>
      <c r="L3601" s="19">
        <v>1.1858389706433975E21</v>
      </c>
      <c r="M3601" s="20">
        <v>1.1858389706433975E20</v>
      </c>
    </row>
    <row r="3602">
      <c r="A3602" s="6"/>
      <c r="B3602" s="6"/>
      <c r="C3602" s="4"/>
      <c r="D3602" s="4">
        <v>45.1322813961771</v>
      </c>
      <c r="E3602" s="4" t="s">
        <v>5500</v>
      </c>
      <c r="F3602" s="4"/>
      <c r="G3602" s="4"/>
      <c r="H3602" s="4"/>
      <c r="I3602" s="4" t="str">
        <f>IFERROR(__xludf.DUMMYFUNCTION("""COMPUTED_VALUE"""),"0xef36ea86a20389a0f635d3b76efe27e1b9a46619")</f>
        <v>0xef36ea86a20389a0f635d3b76efe27e1b9a46619</v>
      </c>
      <c r="J3602" s="18">
        <v>18.803640704726</v>
      </c>
      <c r="K3602" s="4">
        <v>235.045508809075</v>
      </c>
      <c r="L3602" s="19">
        <v>2.35045508809075E20</v>
      </c>
      <c r="M3602" s="20">
        <v>2.35045508809075E19</v>
      </c>
    </row>
    <row r="3603">
      <c r="A3603" s="6"/>
      <c r="B3603" s="6"/>
      <c r="C3603" s="4"/>
      <c r="D3603" s="4">
        <v>48.3641275995966</v>
      </c>
      <c r="E3603" s="4" t="s">
        <v>5502</v>
      </c>
      <c r="F3603" s="4"/>
      <c r="G3603" s="4"/>
      <c r="H3603" s="4"/>
      <c r="I3603" s="4" t="str">
        <f>IFERROR(__xludf.DUMMYFUNCTION("""COMPUTED_VALUE"""),"0x7e72322e84f9f3a0a94e9464b7065234733976da")</f>
        <v>0x7e72322e84f9f3a0a94e9464b7065234733976da</v>
      </c>
      <c r="J3603" s="18">
        <v>9.75559550484939</v>
      </c>
      <c r="K3603" s="4">
        <v>121.94494381061737</v>
      </c>
      <c r="L3603" s="19">
        <v>1.2194494381061738E20</v>
      </c>
      <c r="M3603" s="20">
        <v>1.2194494381061738E19</v>
      </c>
    </row>
    <row r="3604">
      <c r="A3604" s="6"/>
      <c r="B3604" s="6"/>
      <c r="C3604" s="4"/>
      <c r="D3604" s="4">
        <v>29.018476559758</v>
      </c>
      <c r="E3604" s="4" t="s">
        <v>5503</v>
      </c>
      <c r="F3604" s="4"/>
      <c r="G3604" s="4"/>
      <c r="H3604" s="4"/>
      <c r="I3604" s="4" t="str">
        <f>IFERROR(__xludf.DUMMYFUNCTION("""COMPUTED_VALUE"""),"0xb19ba9ec5065791fe627d4c62526f2da5d923380")</f>
        <v>0xb19ba9ec5065791fe627d4c62526f2da5d923380</v>
      </c>
      <c r="J3604" s="18">
        <v>46.376971166111495</v>
      </c>
      <c r="K3604" s="4">
        <v>579.7121395763937</v>
      </c>
      <c r="L3604" s="19">
        <v>5.797121395763937E20</v>
      </c>
      <c r="M3604" s="20">
        <v>5.797121395763937E19</v>
      </c>
    </row>
    <row r="3605">
      <c r="A3605" s="6"/>
      <c r="B3605" s="6"/>
      <c r="C3605" s="4"/>
      <c r="D3605" s="4">
        <v>9.88630905008333</v>
      </c>
      <c r="E3605" s="4" t="s">
        <v>5504</v>
      </c>
      <c r="F3605" s="4"/>
      <c r="G3605" s="4"/>
      <c r="H3605" s="4"/>
      <c r="I3605" s="4" t="str">
        <f>IFERROR(__xludf.DUMMYFUNCTION("""COMPUTED_VALUE"""),"0x574f7be4b33f7a0f8384592c8740b0e9a91036b6")</f>
        <v>0x574f7be4b33f7a0f8384592c8740b0e9a91036b6</v>
      </c>
      <c r="J3605" s="18">
        <v>154.9449596713656</v>
      </c>
      <c r="K3605" s="4">
        <v>1936.8119958920702</v>
      </c>
      <c r="L3605" s="19">
        <v>1.9368119958920702E21</v>
      </c>
      <c r="M3605" s="20">
        <v>1.9368119958920705E20</v>
      </c>
    </row>
    <row r="3606">
      <c r="A3606" s="6"/>
      <c r="B3606" s="6"/>
      <c r="C3606" s="4"/>
      <c r="D3606" s="4">
        <v>0.88236150143429</v>
      </c>
      <c r="E3606" s="4" t="s">
        <v>5506</v>
      </c>
      <c r="F3606" s="4"/>
      <c r="G3606" s="4"/>
      <c r="H3606" s="4"/>
      <c r="I3606" s="4" t="str">
        <f>IFERROR(__xludf.DUMMYFUNCTION("""COMPUTED_VALUE"""),"0xca618709bb757c9c440a64c4f337b7a9970a058b")</f>
        <v>0xca618709bb757c9c440a64c4f337b7a9970a058b</v>
      </c>
      <c r="J3606" s="18">
        <v>71.4075563195262</v>
      </c>
      <c r="K3606" s="4">
        <v>892.5944539940774</v>
      </c>
      <c r="L3606" s="19">
        <v>8.925944539940774E20</v>
      </c>
      <c r="M3606" s="20">
        <v>8.925944539940776E19</v>
      </c>
    </row>
    <row r="3607">
      <c r="A3607" s="6"/>
      <c r="B3607" s="6"/>
      <c r="C3607" s="4"/>
      <c r="D3607" s="4">
        <v>48.3641275995966</v>
      </c>
      <c r="E3607" s="4" t="s">
        <v>5508</v>
      </c>
      <c r="F3607" s="4"/>
      <c r="G3607" s="4"/>
      <c r="H3607" s="4"/>
      <c r="I3607" s="4" t="str">
        <f>IFERROR(__xludf.DUMMYFUNCTION("""COMPUTED_VALUE"""),"0x58515bbb177b14fcabd2134a494c67f38534f9c6")</f>
        <v>0x58515bbb177b14fcabd2134a494c67f38534f9c6</v>
      </c>
      <c r="J3607" s="18">
        <v>19.7887227882166</v>
      </c>
      <c r="K3607" s="4">
        <v>247.35903485270748</v>
      </c>
      <c r="L3607" s="19">
        <v>2.4735903485270747E20</v>
      </c>
      <c r="M3607" s="20">
        <v>2.473590348527075E19</v>
      </c>
    </row>
    <row r="3608">
      <c r="A3608" s="6"/>
      <c r="B3608" s="6"/>
      <c r="C3608" s="4"/>
      <c r="D3608" s="4">
        <v>19.3456510398386</v>
      </c>
      <c r="E3608" s="4" t="s">
        <v>5509</v>
      </c>
      <c r="F3608" s="4"/>
      <c r="G3608" s="4"/>
      <c r="H3608" s="4"/>
      <c r="I3608" s="4" t="str">
        <f>IFERROR(__xludf.DUMMYFUNCTION("""COMPUTED_VALUE"""),"0x4d5705117805cab0336a84f8014416bffa1e50f1")</f>
        <v>0x4d5705117805cab0336a84f8014416bffa1e50f1</v>
      </c>
      <c r="J3608" s="18">
        <v>55.00440388493737</v>
      </c>
      <c r="K3608" s="4">
        <v>687.5550485617171</v>
      </c>
      <c r="L3608" s="19">
        <v>6.87555048561717E20</v>
      </c>
      <c r="M3608" s="20">
        <v>6.875550485617171E19</v>
      </c>
    </row>
    <row r="3609">
      <c r="A3609" s="6"/>
      <c r="B3609" s="6"/>
      <c r="C3609" s="4"/>
      <c r="D3609" s="4">
        <v>19.372180587735</v>
      </c>
      <c r="E3609" s="4" t="s">
        <v>5510</v>
      </c>
      <c r="F3609" s="4"/>
      <c r="G3609" s="4"/>
      <c r="H3609" s="4"/>
      <c r="I3609" s="4" t="str">
        <f>IFERROR(__xludf.DUMMYFUNCTION("""COMPUTED_VALUE"""),"0x6f2e882986885ca1d59ce92377a3ac617535470b")</f>
        <v>0x6f2e882986885ca1d59ce92377a3ac617535470b</v>
      </c>
      <c r="J3609" s="18">
        <v>234.37608780709658</v>
      </c>
      <c r="K3609" s="4">
        <v>2929.7010975887074</v>
      </c>
      <c r="L3609" s="19">
        <v>2.9297010975887076E21</v>
      </c>
      <c r="M3609" s="20">
        <v>2.9297010975887078E20</v>
      </c>
    </row>
    <row r="3610">
      <c r="A3610" s="6"/>
      <c r="B3610" s="6"/>
      <c r="C3610" s="4"/>
      <c r="D3610" s="4">
        <v>48.3641275995966</v>
      </c>
      <c r="E3610" s="4" t="s">
        <v>5512</v>
      </c>
      <c r="F3610" s="4"/>
      <c r="G3610" s="4"/>
      <c r="H3610" s="4"/>
      <c r="I3610" s="4" t="str">
        <f>IFERROR(__xludf.DUMMYFUNCTION("""COMPUTED_VALUE"""),"0x376b8dd251b30679d6f0fb1fd7c0fe69640116f4")</f>
        <v>0x376b8dd251b30679d6f0fb1fd7c0fe69640116f4</v>
      </c>
      <c r="J3610" s="18">
        <v>8.26496120828494</v>
      </c>
      <c r="K3610" s="4">
        <v>103.31201510356176</v>
      </c>
      <c r="L3610" s="19">
        <v>1.0331201510356176E20</v>
      </c>
      <c r="M3610" s="20">
        <v>1.0331201510356177E19</v>
      </c>
    </row>
    <row r="3611">
      <c r="A3611" s="6"/>
      <c r="B3611" s="6"/>
      <c r="C3611" s="4"/>
      <c r="D3611" s="4">
        <v>5.39595388766116</v>
      </c>
      <c r="E3611" s="4" t="s">
        <v>5513</v>
      </c>
      <c r="F3611" s="4"/>
      <c r="G3611" s="4"/>
      <c r="H3611" s="4"/>
      <c r="I3611" s="4" t="str">
        <f>IFERROR(__xludf.DUMMYFUNCTION("""COMPUTED_VALUE"""),"0x3c93cdb6e5f3e57b621ff60ded5187d713cef8ab")</f>
        <v>0x3c93cdb6e5f3e57b621ff60ded5187d713cef8ab</v>
      </c>
      <c r="J3611" s="18">
        <v>9.672825519919328</v>
      </c>
      <c r="K3611" s="4">
        <v>120.9103189989916</v>
      </c>
      <c r="L3611" s="19">
        <v>1.209103189989916E20</v>
      </c>
      <c r="M3611" s="20">
        <v>1.209103189989916E19</v>
      </c>
    </row>
    <row r="3612">
      <c r="A3612" s="6"/>
      <c r="B3612" s="6"/>
      <c r="C3612" s="4"/>
      <c r="D3612" s="4">
        <v>19.439258973849302</v>
      </c>
      <c r="E3612" s="4" t="s">
        <v>5515</v>
      </c>
      <c r="F3612" s="4"/>
      <c r="G3612" s="4"/>
      <c r="H3612" s="4"/>
      <c r="I3612" s="4" t="str">
        <f>IFERROR(__xludf.DUMMYFUNCTION("""COMPUTED_VALUE"""),"0x6a78ebe124d0d60da62b90190f1c6a59b8aa1d86")</f>
        <v>0x6a78ebe124d0d60da62b90190f1c6a59b8aa1d86</v>
      </c>
      <c r="J3612" s="18">
        <v>16.4720050527939</v>
      </c>
      <c r="K3612" s="4">
        <v>205.90006315992375</v>
      </c>
      <c r="L3612" s="19">
        <v>2.0590006315992374E20</v>
      </c>
      <c r="M3612" s="20">
        <v>2.0590006315992375E19</v>
      </c>
    </row>
    <row r="3613">
      <c r="A3613" s="6"/>
      <c r="B3613" s="6"/>
      <c r="C3613" s="4"/>
      <c r="D3613" s="4">
        <v>9.672825519919328</v>
      </c>
      <c r="E3613" s="4" t="s">
        <v>5517</v>
      </c>
      <c r="F3613" s="4"/>
      <c r="G3613" s="4"/>
      <c r="H3613" s="4"/>
      <c r="I3613" s="4" t="str">
        <f>IFERROR(__xludf.DUMMYFUNCTION("""COMPUTED_VALUE"""),"0x7d893631120b6b4041b63ca52a1d5418aaf3593b")</f>
        <v>0x7d893631120b6b4041b63ca52a1d5418aaf3593b</v>
      </c>
      <c r="J3613" s="18">
        <v>28.5659172676554</v>
      </c>
      <c r="K3613" s="4">
        <v>357.0739658456925</v>
      </c>
      <c r="L3613" s="19">
        <v>3.570739658456925E20</v>
      </c>
      <c r="M3613" s="20">
        <v>3.570739658456925E19</v>
      </c>
    </row>
    <row r="3614">
      <c r="A3614" s="6"/>
      <c r="B3614" s="6"/>
      <c r="C3614" s="4"/>
      <c r="D3614" s="4">
        <v>30.3471007042987</v>
      </c>
      <c r="E3614" s="4" t="s">
        <v>1541</v>
      </c>
      <c r="F3614" s="4"/>
      <c r="G3614" s="4"/>
      <c r="H3614" s="4"/>
      <c r="I3614" s="4" t="str">
        <f>IFERROR(__xludf.DUMMYFUNCTION("""COMPUTED_VALUE"""),"0x64e374b543113452db0edb2a737f5b7b459fba79")</f>
        <v>0x64e374b543113452db0edb2a737f5b7b459fba79</v>
      </c>
      <c r="J3614" s="18">
        <v>58.03674953038664</v>
      </c>
      <c r="K3614" s="4">
        <v>725.459369129833</v>
      </c>
      <c r="L3614" s="19">
        <v>7.25459369129833E20</v>
      </c>
      <c r="M3614" s="20">
        <v>7.25459369129833E19</v>
      </c>
    </row>
    <row r="3615">
      <c r="A3615" s="6"/>
      <c r="B3615" s="6"/>
      <c r="C3615" s="4"/>
      <c r="D3615" s="4">
        <v>48.3641275995966</v>
      </c>
      <c r="E3615" s="4" t="s">
        <v>5519</v>
      </c>
      <c r="F3615" s="4"/>
      <c r="G3615" s="4"/>
      <c r="H3615" s="4"/>
      <c r="I3615" s="4" t="str">
        <f>IFERROR(__xludf.DUMMYFUNCTION("""COMPUTED_VALUE"""),"0x239dae7f59a24ff2bc188235a38f9650c823ad3d")</f>
        <v>0x239dae7f59a24ff2bc188235a38f9650c823ad3d</v>
      </c>
      <c r="J3615" s="18">
        <v>48.3641275995966</v>
      </c>
      <c r="K3615" s="4">
        <v>604.5515949949574</v>
      </c>
      <c r="L3615" s="19">
        <v>6.045515949949574E20</v>
      </c>
      <c r="M3615" s="20">
        <v>6.045515949949574E19</v>
      </c>
    </row>
    <row r="3616">
      <c r="A3616" s="6"/>
      <c r="B3616" s="6"/>
      <c r="C3616" s="4"/>
      <c r="D3616" s="4">
        <v>48.3641275995966</v>
      </c>
      <c r="E3616" s="4" t="s">
        <v>5520</v>
      </c>
      <c r="F3616" s="4"/>
      <c r="G3616" s="4"/>
      <c r="H3616" s="4"/>
      <c r="I3616" s="4" t="str">
        <f>IFERROR(__xludf.DUMMYFUNCTION("""COMPUTED_VALUE"""),"0xa6fed69411e4ed4982d0502be631644b547d8e21")</f>
        <v>0xa6fed69411e4ed4982d0502be631644b547d8e21</v>
      </c>
      <c r="J3616" s="18">
        <v>7.738260415935461</v>
      </c>
      <c r="K3616" s="4">
        <v>96.72825519919326</v>
      </c>
      <c r="L3616" s="19">
        <v>9.672825519919325E19</v>
      </c>
      <c r="M3616" s="20">
        <v>9.672825519919325E18</v>
      </c>
    </row>
    <row r="3617">
      <c r="A3617" s="6"/>
      <c r="B3617" s="6"/>
      <c r="C3617" s="4"/>
      <c r="D3617" s="4">
        <v>46.8550189392348</v>
      </c>
      <c r="E3617" s="4" t="s">
        <v>5521</v>
      </c>
      <c r="F3617" s="4"/>
      <c r="G3617" s="4"/>
      <c r="H3617" s="4"/>
      <c r="I3617" s="4" t="str">
        <f>IFERROR(__xludf.DUMMYFUNCTION("""COMPUTED_VALUE"""),"0x9f3f66da80bb8101f6c770f6cf5d9023d7819da4")</f>
        <v>0x9f3f66da80bb8101f6c770f6cf5d9023d7819da4</v>
      </c>
      <c r="J3617" s="18">
        <v>38.6913020796773</v>
      </c>
      <c r="K3617" s="4">
        <v>483.6412759959662</v>
      </c>
      <c r="L3617" s="19">
        <v>4.836412759959662E20</v>
      </c>
      <c r="M3617" s="20">
        <v>4.836412759959663E19</v>
      </c>
    </row>
    <row r="3618">
      <c r="A3618" s="6"/>
      <c r="B3618" s="6"/>
      <c r="C3618" s="4"/>
      <c r="D3618" s="4">
        <v>48.3641275995966</v>
      </c>
      <c r="E3618" s="4" t="s">
        <v>5523</v>
      </c>
      <c r="F3618" s="4"/>
      <c r="G3618" s="4"/>
      <c r="H3618" s="4"/>
      <c r="I3618" s="4" t="str">
        <f>IFERROR(__xludf.DUMMYFUNCTION("""COMPUTED_VALUE"""),"0x25904c20f1cd3c74befefed3d2ab6566d845c8b5")</f>
        <v>0x25904c20f1cd3c74befefed3d2ab6566d845c8b5</v>
      </c>
      <c r="J3618" s="18">
        <v>86.5301491519173</v>
      </c>
      <c r="K3618" s="4">
        <v>1081.6268643989663</v>
      </c>
      <c r="L3618" s="19">
        <v>1.0816268643989663E21</v>
      </c>
      <c r="M3618" s="20">
        <v>1.0816268643989665E20</v>
      </c>
    </row>
    <row r="3619">
      <c r="A3619" s="6"/>
      <c r="B3619" s="6"/>
      <c r="C3619" s="4"/>
      <c r="D3619" s="4">
        <v>48.3641275995966</v>
      </c>
      <c r="E3619" s="4" t="s">
        <v>5524</v>
      </c>
      <c r="F3619" s="4"/>
      <c r="G3619" s="4"/>
      <c r="H3619" s="4"/>
      <c r="I3619" s="4" t="str">
        <f>IFERROR(__xludf.DUMMYFUNCTION("""COMPUTED_VALUE"""),"0xa9261d817c4288eade46d714b62edea6534a27ae")</f>
        <v>0xa9261d817c4288eade46d714b62edea6534a27ae</v>
      </c>
      <c r="J3619" s="18">
        <v>44.5792600934372</v>
      </c>
      <c r="K3619" s="4">
        <v>557.240751167965</v>
      </c>
      <c r="L3619" s="19">
        <v>5.57240751167965E20</v>
      </c>
      <c r="M3619" s="20">
        <v>5.57240751167965E19</v>
      </c>
    </row>
    <row r="3620">
      <c r="A3620" s="6"/>
      <c r="B3620" s="6"/>
      <c r="C3620" s="4"/>
      <c r="D3620" s="4">
        <v>31.0142449976269</v>
      </c>
      <c r="E3620" s="4" t="s">
        <v>5525</v>
      </c>
      <c r="F3620" s="4"/>
      <c r="G3620" s="4"/>
      <c r="H3620" s="4"/>
      <c r="I3620" s="4" t="str">
        <f>IFERROR(__xludf.DUMMYFUNCTION("""COMPUTED_VALUE"""),"0x6dcc89e362b3a15caa9175b24b27f83ce561cbd8")</f>
        <v>0x6dcc89e362b3a15caa9175b24b27f83ce561cbd8</v>
      </c>
      <c r="J3620" s="18">
        <v>36.054252788971404</v>
      </c>
      <c r="K3620" s="4">
        <v>450.67815986214254</v>
      </c>
      <c r="L3620" s="19">
        <v>4.5067815986214253E20</v>
      </c>
      <c r="M3620" s="20">
        <v>4.506781598621426E19</v>
      </c>
    </row>
    <row r="3621">
      <c r="A3621" s="6"/>
      <c r="B3621" s="6"/>
      <c r="C3621" s="4"/>
      <c r="D3621" s="4">
        <v>5.94002125850699</v>
      </c>
      <c r="E3621" s="4" t="s">
        <v>5527</v>
      </c>
      <c r="F3621" s="4"/>
      <c r="G3621" s="4"/>
      <c r="H3621" s="4"/>
      <c r="I3621" s="4" t="str">
        <f>IFERROR(__xludf.DUMMYFUNCTION("""COMPUTED_VALUE"""),"0x30d98087b8a937891412778ec54a5eecb85e9f4c")</f>
        <v>0x30d98087b8a937891412778ec54a5eecb85e9f4c</v>
      </c>
      <c r="J3621" s="18">
        <v>6.30119612522406</v>
      </c>
      <c r="K3621" s="4">
        <v>78.76495156530075</v>
      </c>
      <c r="L3621" s="19">
        <v>7.876495156530074E19</v>
      </c>
      <c r="M3621" s="20">
        <v>7.876495156530075E18</v>
      </c>
    </row>
    <row r="3622">
      <c r="A3622" s="6"/>
      <c r="B3622" s="6"/>
      <c r="C3622" s="4"/>
      <c r="D3622" s="4">
        <v>9.22959231420055</v>
      </c>
      <c r="E3622" s="4" t="s">
        <v>5529</v>
      </c>
      <c r="F3622" s="4"/>
      <c r="G3622" s="4"/>
      <c r="H3622" s="4"/>
      <c r="I3622" s="4" t="str">
        <f>IFERROR(__xludf.DUMMYFUNCTION("""COMPUTED_VALUE"""),"0x0563ab7bb8e5ea5fff8c959cfd2e0c8f09d75232")</f>
        <v>0x0563ab7bb8e5ea5fff8c959cfd2e0c8f09d75232</v>
      </c>
      <c r="J3622" s="18">
        <v>45.4753529849633</v>
      </c>
      <c r="K3622" s="4">
        <v>568.4419123120413</v>
      </c>
      <c r="L3622" s="19">
        <v>5.6844191231204124E20</v>
      </c>
      <c r="M3622" s="20">
        <v>5.684419123120413E19</v>
      </c>
    </row>
    <row r="3623">
      <c r="A3623" s="6"/>
      <c r="B3623" s="6"/>
      <c r="C3623" s="4"/>
      <c r="D3623" s="4">
        <v>48.3641275995966</v>
      </c>
      <c r="E3623" s="4" t="s">
        <v>5531</v>
      </c>
      <c r="F3623" s="4"/>
      <c r="G3623" s="4"/>
      <c r="H3623" s="4"/>
      <c r="I3623" s="4" t="str">
        <f>IFERROR(__xludf.DUMMYFUNCTION("""COMPUTED_VALUE"""),"0xe30af4b01e08defeabbc695eb8afb9b44d0a1235")</f>
        <v>0xe30af4b01e08defeabbc695eb8afb9b44d0a1235</v>
      </c>
      <c r="J3623" s="18">
        <v>48.3641275995966</v>
      </c>
      <c r="K3623" s="4">
        <v>604.5515949949574</v>
      </c>
      <c r="L3623" s="19">
        <v>6.045515949949574E20</v>
      </c>
      <c r="M3623" s="20">
        <v>6.045515949949574E19</v>
      </c>
    </row>
    <row r="3624">
      <c r="A3624" s="6"/>
      <c r="B3624" s="6"/>
      <c r="C3624" s="4"/>
      <c r="D3624" s="4">
        <v>28.003397862468898</v>
      </c>
      <c r="E3624" s="4" t="s">
        <v>5532</v>
      </c>
      <c r="F3624" s="4"/>
      <c r="G3624" s="4"/>
      <c r="H3624" s="4"/>
      <c r="I3624" s="4" t="str">
        <f>IFERROR(__xludf.DUMMYFUNCTION("""COMPUTED_VALUE"""),"0x45d41d080355163c032836ef3446c08c0dd8ad3c")</f>
        <v>0x45d41d080355163c032836ef3446c08c0dd8ad3c</v>
      </c>
      <c r="J3624" s="18">
        <v>19.3456510398386</v>
      </c>
      <c r="K3624" s="4">
        <v>241.8206379979825</v>
      </c>
      <c r="L3624" s="19">
        <v>2.4182063799798248E20</v>
      </c>
      <c r="M3624" s="20">
        <v>2.418206379979825E19</v>
      </c>
    </row>
    <row r="3625">
      <c r="A3625" s="6"/>
      <c r="B3625" s="6"/>
      <c r="C3625" s="4"/>
      <c r="D3625" s="4">
        <v>19.440575369166798</v>
      </c>
      <c r="E3625" s="4" t="s">
        <v>5534</v>
      </c>
      <c r="F3625" s="4"/>
      <c r="G3625" s="4"/>
      <c r="H3625" s="4"/>
      <c r="I3625" s="4" t="str">
        <f>IFERROR(__xludf.DUMMYFUNCTION("""COMPUTED_VALUE"""),"0x61c4095318de87447e03d36defd7d180747f5fe4")</f>
        <v>0x61c4095318de87447e03d36defd7d180747f5fe4</v>
      </c>
      <c r="J3625" s="18">
        <v>45.578974645398006</v>
      </c>
      <c r="K3625" s="4">
        <v>569.737183067475</v>
      </c>
      <c r="L3625" s="19">
        <v>5.69737183067475E20</v>
      </c>
      <c r="M3625" s="20">
        <v>5.697371830674751E19</v>
      </c>
    </row>
    <row r="3626">
      <c r="A3626" s="6"/>
      <c r="B3626" s="6"/>
      <c r="C3626" s="4"/>
      <c r="D3626" s="4">
        <v>6.34061853921937</v>
      </c>
      <c r="E3626" s="4" t="s">
        <v>5536</v>
      </c>
      <c r="F3626" s="4"/>
      <c r="G3626" s="4"/>
      <c r="H3626" s="4"/>
      <c r="I3626" s="4" t="str">
        <f>IFERROR(__xludf.DUMMYFUNCTION("""COMPUTED_VALUE"""),"0xe2f34657f86ba21aa771b10caa32cdd320e659cd")</f>
        <v>0xe2f34657f86ba21aa771b10caa32cdd320e659cd</v>
      </c>
      <c r="J3626" s="18">
        <v>48.3641275995966</v>
      </c>
      <c r="K3626" s="4">
        <v>604.5515949949574</v>
      </c>
      <c r="L3626" s="19">
        <v>6.045515949949574E20</v>
      </c>
      <c r="M3626" s="20">
        <v>6.045515949949574E19</v>
      </c>
    </row>
    <row r="3627">
      <c r="A3627" s="6"/>
      <c r="B3627" s="6"/>
      <c r="C3627" s="4"/>
      <c r="D3627" s="4">
        <v>33.862525622838696</v>
      </c>
      <c r="E3627" s="4" t="s">
        <v>5538</v>
      </c>
      <c r="F3627" s="4"/>
      <c r="G3627" s="4"/>
      <c r="H3627" s="4"/>
      <c r="I3627" s="4" t="str">
        <f>IFERROR(__xludf.DUMMYFUNCTION("""COMPUTED_VALUE"""),"0xcbad4515a274c50f6a32dc241d45645e1b9141a0")</f>
        <v>0xcbad4515a274c50f6a32dc241d45645e1b9141a0</v>
      </c>
      <c r="J3627" s="18">
        <v>9.54440527461726</v>
      </c>
      <c r="K3627" s="4">
        <v>119.30506593271575</v>
      </c>
      <c r="L3627" s="19">
        <v>1.1930506593271575E20</v>
      </c>
      <c r="M3627" s="20">
        <v>1.1930506593271577E19</v>
      </c>
    </row>
    <row r="3628">
      <c r="A3628" s="6"/>
      <c r="B3628" s="6"/>
      <c r="C3628" s="4"/>
      <c r="D3628" s="4">
        <v>20.2672015567092</v>
      </c>
      <c r="E3628" s="4" t="s">
        <v>5540</v>
      </c>
      <c r="F3628" s="4"/>
      <c r="G3628" s="4"/>
      <c r="H3628" s="4"/>
      <c r="I3628" s="4" t="str">
        <f>IFERROR(__xludf.DUMMYFUNCTION("""COMPUTED_VALUE"""),"0x7a2777c22466de3e20eb3b3952114d45faf454f3")</f>
        <v>0x7a2777c22466de3e20eb3b3952114d45faf454f3</v>
      </c>
      <c r="J3628" s="18">
        <v>48.3641275995966</v>
      </c>
      <c r="K3628" s="4">
        <v>604.5515949949574</v>
      </c>
      <c r="L3628" s="19">
        <v>6.045515949949574E20</v>
      </c>
      <c r="M3628" s="20">
        <v>6.045515949949574E19</v>
      </c>
    </row>
    <row r="3629">
      <c r="A3629" s="6"/>
      <c r="B3629" s="6"/>
      <c r="C3629" s="4"/>
      <c r="D3629" s="4">
        <v>9.672825519919328</v>
      </c>
      <c r="E3629" s="4" t="s">
        <v>5542</v>
      </c>
      <c r="F3629" s="4"/>
      <c r="G3629" s="4"/>
      <c r="H3629" s="4"/>
      <c r="I3629" s="4" t="str">
        <f>IFERROR(__xludf.DUMMYFUNCTION("""COMPUTED_VALUE"""),"0x00e6f8d8fb80b0c302a6bd849b79982dc9945b15")</f>
        <v>0x00e6f8d8fb80b0c302a6bd849b79982dc9945b15</v>
      </c>
      <c r="J3629" s="18">
        <v>9.19453991156655</v>
      </c>
      <c r="K3629" s="4">
        <v>114.93174889458186</v>
      </c>
      <c r="L3629" s="19">
        <v>1.1493174889458185E20</v>
      </c>
      <c r="M3629" s="20">
        <v>1.1493174889458186E19</v>
      </c>
    </row>
    <row r="3630">
      <c r="A3630" s="6"/>
      <c r="B3630" s="6"/>
      <c r="C3630" s="4"/>
      <c r="D3630" s="4">
        <v>9.672825519919328</v>
      </c>
      <c r="E3630" s="4" t="s">
        <v>5543</v>
      </c>
      <c r="F3630" s="4"/>
      <c r="G3630" s="4"/>
      <c r="H3630" s="4"/>
      <c r="I3630" s="4" t="str">
        <f>IFERROR(__xludf.DUMMYFUNCTION("""COMPUTED_VALUE"""),"0xd686fbf2b6127532c039f298edc3b588a3a12ce4")</f>
        <v>0xd686fbf2b6127532c039f298edc3b588a3a12ce4</v>
      </c>
      <c r="J3630" s="18">
        <v>44.4558341558119</v>
      </c>
      <c r="K3630" s="4">
        <v>555.6979269476487</v>
      </c>
      <c r="L3630" s="19">
        <v>5.5569792694764877E20</v>
      </c>
      <c r="M3630" s="20">
        <v>5.556979269476488E19</v>
      </c>
    </row>
    <row r="3631">
      <c r="A3631" s="6"/>
      <c r="B3631" s="6"/>
      <c r="C3631" s="4"/>
      <c r="D3631" s="4">
        <v>48.3641275995966</v>
      </c>
      <c r="E3631" s="4" t="s">
        <v>1763</v>
      </c>
      <c r="F3631" s="4"/>
      <c r="G3631" s="4"/>
      <c r="H3631" s="4"/>
      <c r="I3631" s="4" t="str">
        <f>IFERROR(__xludf.DUMMYFUNCTION("""COMPUTED_VALUE"""),"0x6c7c4ccdef88529e34f3cf494335bced753afa5c")</f>
        <v>0x6c7c4ccdef88529e34f3cf494335bced753afa5c</v>
      </c>
      <c r="J3631" s="18">
        <v>10.932166183182899</v>
      </c>
      <c r="K3631" s="4">
        <v>136.65207728978623</v>
      </c>
      <c r="L3631" s="19">
        <v>1.3665207728978623E20</v>
      </c>
      <c r="M3631" s="20">
        <v>1.3665207728978625E19</v>
      </c>
    </row>
    <row r="3632">
      <c r="A3632" s="6"/>
      <c r="B3632" s="6"/>
      <c r="C3632" s="4"/>
      <c r="D3632" s="4">
        <v>19.4820659634374</v>
      </c>
      <c r="E3632" s="4" t="s">
        <v>5544</v>
      </c>
      <c r="F3632" s="4"/>
      <c r="G3632" s="4"/>
      <c r="H3632" s="4"/>
      <c r="I3632" s="4" t="str">
        <f>IFERROR(__xludf.DUMMYFUNCTION("""COMPUTED_VALUE"""),"0xb1b3f9c0aa17d4a2bd41784e160290390ac3ae15")</f>
        <v>0xb1b3f9c0aa17d4a2bd41784e160290390ac3ae15</v>
      </c>
      <c r="J3632" s="18">
        <v>234.19008135842358</v>
      </c>
      <c r="K3632" s="4">
        <v>2927.376016980295</v>
      </c>
      <c r="L3632" s="19">
        <v>2.927376016980295E21</v>
      </c>
      <c r="M3632" s="20">
        <v>2.927376016980295E20</v>
      </c>
    </row>
    <row r="3633">
      <c r="A3633" s="6"/>
      <c r="B3633" s="6"/>
      <c r="C3633" s="4"/>
      <c r="D3633" s="4">
        <v>43.6631510659294</v>
      </c>
      <c r="E3633" s="4" t="s">
        <v>5546</v>
      </c>
      <c r="F3633" s="4"/>
      <c r="G3633" s="4"/>
      <c r="H3633" s="4"/>
      <c r="I3633" s="4" t="str">
        <f>IFERROR(__xludf.DUMMYFUNCTION("""COMPUTED_VALUE"""),"0x29056dec88452e59bbc91dcdf884ef321a280583")</f>
        <v>0x29056dec88452e59bbc91dcdf884ef321a280583</v>
      </c>
      <c r="J3633" s="18">
        <v>234.37608780709658</v>
      </c>
      <c r="K3633" s="4">
        <v>2929.7010975887074</v>
      </c>
      <c r="L3633" s="19">
        <v>2.9297010975887076E21</v>
      </c>
      <c r="M3633" s="20">
        <v>2.9297010975887078E20</v>
      </c>
    </row>
    <row r="3634">
      <c r="A3634" s="6"/>
      <c r="B3634" s="6"/>
      <c r="C3634" s="4"/>
      <c r="D3634" s="4">
        <v>48.3641275995966</v>
      </c>
      <c r="E3634" s="4" t="s">
        <v>5548</v>
      </c>
      <c r="F3634" s="4"/>
      <c r="G3634" s="4"/>
      <c r="H3634" s="4"/>
      <c r="I3634" s="4" t="str">
        <f>IFERROR(__xludf.DUMMYFUNCTION("""COMPUTED_VALUE"""),"0xdaa99f35210323634e090170905a1bdb4011a9df")</f>
        <v>0xdaa99f35210323634e090170905a1bdb4011a9df</v>
      </c>
      <c r="J3634" s="18">
        <v>50.59355570630906</v>
      </c>
      <c r="K3634" s="4">
        <v>632.4194463288633</v>
      </c>
      <c r="L3634" s="19">
        <v>6.324194463288632E20</v>
      </c>
      <c r="M3634" s="20">
        <v>6.324194463288633E19</v>
      </c>
    </row>
    <row r="3635">
      <c r="A3635" s="6"/>
      <c r="B3635" s="6"/>
      <c r="C3635" s="4"/>
      <c r="D3635" s="4">
        <v>19.3456510398386</v>
      </c>
      <c r="E3635" s="4" t="s">
        <v>5549</v>
      </c>
      <c r="F3635" s="4"/>
      <c r="G3635" s="4"/>
      <c r="H3635" s="4"/>
      <c r="I3635" s="4" t="str">
        <f>IFERROR(__xludf.DUMMYFUNCTION("""COMPUTED_VALUE"""),"0x4e33fc3c4522cab7823c4602c4973e77eed49fa3")</f>
        <v>0x4e33fc3c4522cab7823c4602c4973e77eed49fa3</v>
      </c>
      <c r="J3635" s="18">
        <v>48.3641275995966</v>
      </c>
      <c r="K3635" s="4">
        <v>604.5515949949574</v>
      </c>
      <c r="L3635" s="19">
        <v>6.045515949949574E20</v>
      </c>
      <c r="M3635" s="20">
        <v>6.045515949949574E19</v>
      </c>
    </row>
    <row r="3636">
      <c r="A3636" s="6"/>
      <c r="B3636" s="6"/>
      <c r="C3636" s="4"/>
      <c r="D3636" s="4">
        <v>38.7201301086831</v>
      </c>
      <c r="E3636" s="4" t="s">
        <v>5550</v>
      </c>
      <c r="F3636" s="4"/>
      <c r="G3636" s="4"/>
      <c r="H3636" s="4"/>
      <c r="I3636" s="4" t="str">
        <f>IFERROR(__xludf.DUMMYFUNCTION("""COMPUTED_VALUE"""),"0x46d6b8271ee4e254d595315f99920c617e13940d")</f>
        <v>0x46d6b8271ee4e254d595315f99920c617e13940d</v>
      </c>
      <c r="J3636" s="18">
        <v>48.3641275995966</v>
      </c>
      <c r="K3636" s="4">
        <v>604.5515949949574</v>
      </c>
      <c r="L3636" s="19">
        <v>6.045515949949574E20</v>
      </c>
      <c r="M3636" s="20">
        <v>6.045515949949574E19</v>
      </c>
    </row>
    <row r="3637">
      <c r="A3637" s="6"/>
      <c r="B3637" s="6"/>
      <c r="C3637" s="4"/>
      <c r="D3637" s="4">
        <v>21.7048269993353</v>
      </c>
      <c r="E3637" s="4" t="s">
        <v>1105</v>
      </c>
      <c r="F3637" s="4"/>
      <c r="G3637" s="4"/>
      <c r="H3637" s="4"/>
      <c r="I3637" s="4" t="str">
        <f>IFERROR(__xludf.DUMMYFUNCTION("""COMPUTED_VALUE"""),"0xd42beb9bc73d808f8c97211b225326ea6d9f654b")</f>
        <v>0xd42beb9bc73d808f8c97211b225326ea6d9f654b</v>
      </c>
      <c r="J3637" s="18">
        <v>40.061886758149605</v>
      </c>
      <c r="K3637" s="4">
        <v>500.77358447687004</v>
      </c>
      <c r="L3637" s="19">
        <v>5.0077358447687E20</v>
      </c>
      <c r="M3637" s="20">
        <v>5.007735844768701E19</v>
      </c>
    </row>
    <row r="3638">
      <c r="A3638" s="6"/>
      <c r="B3638" s="6"/>
      <c r="C3638" s="4"/>
      <c r="D3638" s="4">
        <v>48.3641275995966</v>
      </c>
      <c r="E3638" s="4" t="s">
        <v>56</v>
      </c>
      <c r="F3638" s="4"/>
      <c r="G3638" s="4"/>
      <c r="H3638" s="4"/>
      <c r="I3638" s="4" t="str">
        <f>IFERROR(__xludf.DUMMYFUNCTION("""COMPUTED_VALUE"""),"0x4ac44fcf4e54c4ef916a1c21e790d61f430dd6bb")</f>
        <v>0x4ac44fcf4e54c4ef916a1c21e790d61f430dd6bb</v>
      </c>
      <c r="J3638" s="18">
        <v>48.3641275995966</v>
      </c>
      <c r="K3638" s="4">
        <v>604.5515949949574</v>
      </c>
      <c r="L3638" s="19">
        <v>6.045515949949574E20</v>
      </c>
      <c r="M3638" s="20">
        <v>6.045515949949574E19</v>
      </c>
    </row>
    <row r="3639">
      <c r="A3639" s="6"/>
      <c r="B3639" s="6"/>
      <c r="C3639" s="4"/>
      <c r="D3639" s="4">
        <v>48.3641275995966</v>
      </c>
      <c r="E3639" s="4" t="s">
        <v>5553</v>
      </c>
      <c r="F3639" s="4"/>
      <c r="G3639" s="4"/>
      <c r="H3639" s="4"/>
      <c r="I3639" s="4" t="str">
        <f>IFERROR(__xludf.DUMMYFUNCTION("""COMPUTED_VALUE"""),"0x1bb502f420e619bf83609034ffaf17cbdbf53346")</f>
        <v>0x1bb502f420e619bf83609034ffaf17cbdbf53346</v>
      </c>
      <c r="J3639" s="18">
        <v>9.672825519919328</v>
      </c>
      <c r="K3639" s="4">
        <v>120.9103189989916</v>
      </c>
      <c r="L3639" s="19">
        <v>1.209103189989916E20</v>
      </c>
      <c r="M3639" s="20">
        <v>1.209103189989916E19</v>
      </c>
    </row>
    <row r="3640">
      <c r="A3640" s="6"/>
      <c r="B3640" s="6"/>
      <c r="C3640" s="4"/>
      <c r="D3640" s="4">
        <v>48.3641275995966</v>
      </c>
      <c r="E3640" s="4" t="s">
        <v>5554</v>
      </c>
      <c r="F3640" s="4"/>
      <c r="G3640" s="4"/>
      <c r="H3640" s="4"/>
      <c r="I3640" s="4" t="str">
        <f>IFERROR(__xludf.DUMMYFUNCTION("""COMPUTED_VALUE"""),"0xd051f58458bb9bdbd3949198d434172fd7574f67")</f>
        <v>0xd051f58458bb9bdbd3949198d434172fd7574f67</v>
      </c>
      <c r="J3640" s="18">
        <v>34.7297101089959</v>
      </c>
      <c r="K3640" s="4">
        <v>434.12137636244876</v>
      </c>
      <c r="L3640" s="19">
        <v>4.3412137636244875E20</v>
      </c>
      <c r="M3640" s="20">
        <v>4.341213763624487E19</v>
      </c>
    </row>
    <row r="3641">
      <c r="A3641" s="6"/>
      <c r="B3641" s="6"/>
      <c r="C3641" s="4"/>
      <c r="D3641" s="4">
        <v>2.74597423370116</v>
      </c>
      <c r="E3641" s="4" t="s">
        <v>5555</v>
      </c>
      <c r="F3641" s="4"/>
      <c r="G3641" s="4"/>
      <c r="H3641" s="4"/>
      <c r="I3641" s="4" t="str">
        <f>IFERROR(__xludf.DUMMYFUNCTION("""COMPUTED_VALUE"""),"0x35da32b2539ea48388a2824c16355ad13f5d25f7")</f>
        <v>0x35da32b2539ea48388a2824c16355ad13f5d25f7</v>
      </c>
      <c r="J3641" s="18">
        <v>187.8730977552216</v>
      </c>
      <c r="K3641" s="4">
        <v>2348.41372194027</v>
      </c>
      <c r="L3641" s="19">
        <v>2.34841372194027E21</v>
      </c>
      <c r="M3641" s="20">
        <v>2.34841372194027E20</v>
      </c>
    </row>
    <row r="3642">
      <c r="A3642" s="6"/>
      <c r="B3642" s="6"/>
      <c r="C3642" s="4"/>
      <c r="D3642" s="4">
        <v>48.3641275995966</v>
      </c>
      <c r="E3642" s="4" t="s">
        <v>5557</v>
      </c>
      <c r="F3642" s="4"/>
      <c r="G3642" s="4"/>
      <c r="H3642" s="4"/>
      <c r="I3642" s="4" t="str">
        <f>IFERROR(__xludf.DUMMYFUNCTION("""COMPUTED_VALUE"""),"0xa5ce2fd284c3b31c45861f82558080bb5458c6db")</f>
        <v>0xa5ce2fd284c3b31c45861f82558080bb5458c6db</v>
      </c>
      <c r="J3642" s="18">
        <v>48.3641275995966</v>
      </c>
      <c r="K3642" s="4">
        <v>604.5515949949574</v>
      </c>
      <c r="L3642" s="19">
        <v>6.045515949949574E20</v>
      </c>
      <c r="M3642" s="20">
        <v>6.045515949949574E19</v>
      </c>
    </row>
    <row r="3643">
      <c r="A3643" s="6"/>
      <c r="B3643" s="6"/>
      <c r="C3643" s="4"/>
      <c r="D3643" s="4">
        <v>46.2346199496244</v>
      </c>
      <c r="E3643" s="4" t="s">
        <v>5558</v>
      </c>
      <c r="F3643" s="4"/>
      <c r="G3643" s="4"/>
      <c r="H3643" s="4"/>
      <c r="I3643" s="4" t="str">
        <f>IFERROR(__xludf.DUMMYFUNCTION("""COMPUTED_VALUE"""),"0x2a5e72f7dc1b03624a0644279731f2deb760887d")</f>
        <v>0x2a5e72f7dc1b03624a0644279731f2deb760887d</v>
      </c>
      <c r="J3643" s="18">
        <v>10.102698788412999</v>
      </c>
      <c r="K3643" s="4">
        <v>126.28373485516249</v>
      </c>
      <c r="L3643" s="19">
        <v>1.262837348551625E20</v>
      </c>
      <c r="M3643" s="20">
        <v>1.2628373485516251E19</v>
      </c>
    </row>
    <row r="3644">
      <c r="A3644" s="6"/>
      <c r="B3644" s="6"/>
      <c r="C3644" s="4"/>
      <c r="D3644" s="4">
        <v>41.3919409757019</v>
      </c>
      <c r="E3644" s="4" t="s">
        <v>5560</v>
      </c>
      <c r="F3644" s="4"/>
      <c r="G3644" s="4"/>
      <c r="H3644" s="4"/>
      <c r="I3644" s="4" t="str">
        <f>IFERROR(__xludf.DUMMYFUNCTION("""COMPUTED_VALUE"""),"0x773307c55800faf5e5c0cd708e35e6aa78f5d45b")</f>
        <v>0x773307c55800faf5e5c0cd708e35e6aa78f5d45b</v>
      </c>
      <c r="J3644" s="18">
        <v>24.1566371791871</v>
      </c>
      <c r="K3644" s="4">
        <v>301.95796473983876</v>
      </c>
      <c r="L3644" s="19">
        <v>3.0195796473983874E20</v>
      </c>
      <c r="M3644" s="20">
        <v>3.0195796473983877E19</v>
      </c>
    </row>
    <row r="3645">
      <c r="A3645" s="6"/>
      <c r="B3645" s="6"/>
      <c r="C3645" s="4"/>
      <c r="D3645" s="4">
        <v>40.213117160063305</v>
      </c>
      <c r="E3645" s="4" t="s">
        <v>5562</v>
      </c>
      <c r="F3645" s="4"/>
      <c r="G3645" s="4"/>
      <c r="H3645" s="4"/>
      <c r="I3645" s="4" t="str">
        <f>IFERROR(__xludf.DUMMYFUNCTION("""COMPUTED_VALUE"""),"0x36146341531e0570106f7a5ea3e0a5cda8f94b8d")</f>
        <v>0x36146341531e0570106f7a5ea3e0a5cda8f94b8d</v>
      </c>
      <c r="J3645" s="18">
        <v>94.8671176514718</v>
      </c>
      <c r="K3645" s="4">
        <v>1185.8389706433975</v>
      </c>
      <c r="L3645" s="19">
        <v>1.1858389706433975E21</v>
      </c>
      <c r="M3645" s="20">
        <v>1.1858389706433975E20</v>
      </c>
    </row>
    <row r="3646">
      <c r="A3646" s="6"/>
      <c r="B3646" s="6"/>
      <c r="C3646" s="4"/>
      <c r="D3646" s="4">
        <v>48.3641275995966</v>
      </c>
      <c r="E3646" s="4" t="s">
        <v>5564</v>
      </c>
      <c r="F3646" s="4"/>
      <c r="G3646" s="4"/>
      <c r="H3646" s="4"/>
      <c r="I3646" s="4" t="str">
        <f>IFERROR(__xludf.DUMMYFUNCTION("""COMPUTED_VALUE"""),"0xf5c241b407e45377d1b4b83a93ec58baed76fdbf")</f>
        <v>0xf5c241b407e45377d1b4b83a93ec58baed76fdbf</v>
      </c>
      <c r="J3646" s="18">
        <v>44.6884539020273</v>
      </c>
      <c r="K3646" s="4">
        <v>558.6056737753412</v>
      </c>
      <c r="L3646" s="19">
        <v>5.586056737753412E20</v>
      </c>
      <c r="M3646" s="20">
        <v>5.586056737753412E19</v>
      </c>
    </row>
    <row r="3647">
      <c r="A3647" s="6"/>
      <c r="B3647" s="6"/>
      <c r="C3647" s="4"/>
      <c r="D3647" s="4">
        <v>48.3641275995966</v>
      </c>
      <c r="E3647" s="4" t="s">
        <v>5565</v>
      </c>
      <c r="F3647" s="4"/>
      <c r="G3647" s="4"/>
      <c r="H3647" s="4"/>
      <c r="I3647" s="4" t="str">
        <f>IFERROR(__xludf.DUMMYFUNCTION("""COMPUTED_VALUE"""),"0xd069b9562ff8b20ecd1883dc0bc38438ef36298f")</f>
        <v>0xd069b9562ff8b20ecd1883dc0bc38438ef36298f</v>
      </c>
      <c r="J3647" s="18">
        <v>104.1677156618468</v>
      </c>
      <c r="K3647" s="4">
        <v>1302.096445773085</v>
      </c>
      <c r="L3647" s="19">
        <v>1.302096445773085E21</v>
      </c>
      <c r="M3647" s="20">
        <v>1.3020964457730849E20</v>
      </c>
    </row>
    <row r="3648">
      <c r="A3648" s="6"/>
      <c r="B3648" s="6"/>
      <c r="C3648" s="4"/>
      <c r="D3648" s="4">
        <v>46.7187230181871</v>
      </c>
      <c r="E3648" s="4" t="s">
        <v>5566</v>
      </c>
      <c r="F3648" s="4"/>
      <c r="G3648" s="4"/>
      <c r="H3648" s="4"/>
      <c r="I3648" s="4" t="str">
        <f>IFERROR(__xludf.DUMMYFUNCTION("""COMPUTED_VALUE"""),"0x4186506f8dabdd59db7ebc6644e348407cf89e0a")</f>
        <v>0x4186506f8dabdd59db7ebc6644e348407cf89e0a</v>
      </c>
      <c r="J3648" s="18">
        <v>48.3641275995966</v>
      </c>
      <c r="K3648" s="4">
        <v>604.5515949949574</v>
      </c>
      <c r="L3648" s="19">
        <v>6.045515949949574E20</v>
      </c>
      <c r="M3648" s="20">
        <v>6.045515949949574E19</v>
      </c>
    </row>
    <row r="3649">
      <c r="A3649" s="6"/>
      <c r="B3649" s="6"/>
      <c r="C3649" s="4"/>
      <c r="D3649" s="4">
        <v>9.7576360804454</v>
      </c>
      <c r="E3649" s="4" t="s">
        <v>5568</v>
      </c>
      <c r="F3649" s="4"/>
      <c r="G3649" s="4"/>
      <c r="H3649" s="4"/>
      <c r="I3649" s="4" t="str">
        <f>IFERROR(__xludf.DUMMYFUNCTION("""COMPUTED_VALUE"""),"0xabef1692fdf0e6daef8d368dd9faa1a9bb8ae112")</f>
        <v>0xabef1692fdf0e6daef8d368dd9faa1a9bb8ae112</v>
      </c>
      <c r="J3649" s="18">
        <v>8.65991845175488</v>
      </c>
      <c r="K3649" s="4">
        <v>108.24898064693599</v>
      </c>
      <c r="L3649" s="19">
        <v>1.0824898064693599E20</v>
      </c>
      <c r="M3649" s="20">
        <v>1.0824898064693598E19</v>
      </c>
    </row>
    <row r="3650">
      <c r="A3650" s="6"/>
      <c r="B3650" s="6"/>
      <c r="C3650" s="4"/>
      <c r="D3650" s="4">
        <v>9.67282566868738</v>
      </c>
      <c r="E3650" s="4" t="s">
        <v>5570</v>
      </c>
      <c r="F3650" s="4"/>
      <c r="G3650" s="4"/>
      <c r="H3650" s="4"/>
      <c r="I3650" s="4" t="str">
        <f>IFERROR(__xludf.DUMMYFUNCTION("""COMPUTED_VALUE"""),"0x30a6a0931195ec35aeea531e74015a959ca73f9e")</f>
        <v>0x30a6a0931195ec35aeea531e74015a959ca73f9e</v>
      </c>
      <c r="J3650" s="18">
        <v>104.5573726391518</v>
      </c>
      <c r="K3650" s="4">
        <v>1306.9671579893975</v>
      </c>
      <c r="L3650" s="19">
        <v>1.3069671579893975E21</v>
      </c>
      <c r="M3650" s="20">
        <v>1.3069671579893976E20</v>
      </c>
    </row>
    <row r="3651">
      <c r="A3651" s="6"/>
      <c r="B3651" s="6"/>
      <c r="C3651" s="4"/>
      <c r="D3651" s="4">
        <v>48.3641275995966</v>
      </c>
      <c r="E3651" s="4" t="s">
        <v>5572</v>
      </c>
      <c r="F3651" s="4"/>
      <c r="G3651" s="4"/>
      <c r="H3651" s="4"/>
      <c r="I3651" s="4" t="str">
        <f>IFERROR(__xludf.DUMMYFUNCTION("""COMPUTED_VALUE"""),"0x3fe591e8d69953400944a9c60327fa04c3666981")</f>
        <v>0x3fe591e8d69953400944a9c60327fa04c3666981</v>
      </c>
      <c r="J3651" s="18">
        <v>19.133842493428602</v>
      </c>
      <c r="K3651" s="4">
        <v>239.17303116785752</v>
      </c>
      <c r="L3651" s="19">
        <v>2.3917303116785752E20</v>
      </c>
      <c r="M3651" s="20">
        <v>2.3917303116785754E19</v>
      </c>
    </row>
    <row r="3652">
      <c r="A3652" s="6"/>
      <c r="B3652" s="6"/>
      <c r="C3652" s="4"/>
      <c r="D3652" s="4">
        <v>6.34896783303172</v>
      </c>
      <c r="E3652" s="4" t="s">
        <v>5573</v>
      </c>
      <c r="F3652" s="4"/>
      <c r="G3652" s="4"/>
      <c r="H3652" s="4"/>
      <c r="I3652" s="4" t="str">
        <f>IFERROR(__xludf.DUMMYFUNCTION("""COMPUTED_VALUE"""),"0x4dd8c6390382bd56d646ecf8c1ff8ebdcd883516")</f>
        <v>0x4dd8c6390382bd56d646ecf8c1ff8ebdcd883516</v>
      </c>
      <c r="J3652" s="18">
        <v>113.4683136722219</v>
      </c>
      <c r="K3652" s="4">
        <v>1418.3539209027738</v>
      </c>
      <c r="L3652" s="19">
        <v>1.4183539209027739E21</v>
      </c>
      <c r="M3652" s="20">
        <v>1.418353920902774E20</v>
      </c>
    </row>
    <row r="3653">
      <c r="A3653" s="6"/>
      <c r="B3653" s="6"/>
      <c r="C3653" s="4"/>
      <c r="D3653" s="4">
        <v>8.88404324741616</v>
      </c>
      <c r="E3653" s="4" t="s">
        <v>5575</v>
      </c>
      <c r="F3653" s="4"/>
      <c r="G3653" s="4"/>
      <c r="H3653" s="4"/>
      <c r="I3653" s="4" t="str">
        <f>IFERROR(__xludf.DUMMYFUNCTION("""COMPUTED_VALUE"""),"0x9a10bd16a98c613c327343fb49488f9358641188")</f>
        <v>0x9a10bd16a98c613c327343fb49488f9358641188</v>
      </c>
      <c r="J3653" s="18">
        <v>29.018476559758</v>
      </c>
      <c r="K3653" s="4">
        <v>362.730956996975</v>
      </c>
      <c r="L3653" s="19">
        <v>3.62730956996975E20</v>
      </c>
      <c r="M3653" s="20">
        <v>3.62730956996975E19</v>
      </c>
    </row>
    <row r="3654">
      <c r="A3654" s="6"/>
      <c r="B3654" s="6"/>
      <c r="C3654" s="4"/>
      <c r="D3654" s="4">
        <v>46.02671719249221</v>
      </c>
      <c r="E3654" s="4" t="s">
        <v>5577</v>
      </c>
      <c r="F3654" s="4"/>
      <c r="G3654" s="4"/>
      <c r="H3654" s="4"/>
      <c r="I3654" s="4" t="str">
        <f>IFERROR(__xludf.DUMMYFUNCTION("""COMPUTED_VALUE"""),"0x1c178b2aa546a720095abe7e9cd405cc25b7309a")</f>
        <v>0x1c178b2aa546a720095abe7e9cd405cc25b7309a</v>
      </c>
      <c r="J3654" s="18">
        <v>9.672825519919328</v>
      </c>
      <c r="K3654" s="4">
        <v>120.9103189989916</v>
      </c>
      <c r="L3654" s="19">
        <v>1.209103189989916E20</v>
      </c>
      <c r="M3654" s="20">
        <v>1.209103189989916E19</v>
      </c>
    </row>
    <row r="3655">
      <c r="A3655" s="6"/>
      <c r="B3655" s="6"/>
      <c r="C3655" s="4"/>
      <c r="D3655" s="4">
        <v>4.801141208346859</v>
      </c>
      <c r="E3655" s="4" t="s">
        <v>5579</v>
      </c>
      <c r="F3655" s="4"/>
      <c r="G3655" s="4"/>
      <c r="H3655" s="4"/>
      <c r="I3655" s="4" t="str">
        <f>IFERROR(__xludf.DUMMYFUNCTION("""COMPUTED_VALUE"""),"0x4471e943482ad34a8c1e47fa2f0f68b7506e5348")</f>
        <v>0x4471e943482ad34a8c1e47fa2f0f68b7506e5348</v>
      </c>
      <c r="J3655" s="18">
        <v>234.37608780709658</v>
      </c>
      <c r="K3655" s="4">
        <v>2929.7010975887074</v>
      </c>
      <c r="L3655" s="19">
        <v>2.9297010975887076E21</v>
      </c>
      <c r="M3655" s="20">
        <v>2.9297010975887078E20</v>
      </c>
    </row>
    <row r="3656">
      <c r="A3656" s="6"/>
      <c r="B3656" s="6"/>
      <c r="C3656" s="4"/>
      <c r="D3656" s="4">
        <v>48.3641275995966</v>
      </c>
      <c r="E3656" s="4" t="s">
        <v>5581</v>
      </c>
      <c r="F3656" s="4"/>
      <c r="G3656" s="4"/>
      <c r="H3656" s="4"/>
      <c r="I3656" s="4" t="str">
        <f>IFERROR(__xludf.DUMMYFUNCTION("""COMPUTED_VALUE"""),"0x3829b339c3ae386025630fb32f515a17ecb879fa")</f>
        <v>0x3829b339c3ae386025630fb32f515a17ecb879fa</v>
      </c>
      <c r="J3656" s="18">
        <v>10.0425197483194</v>
      </c>
      <c r="K3656" s="4">
        <v>125.5314968539925</v>
      </c>
      <c r="L3656" s="19">
        <v>1.2553149685399249E20</v>
      </c>
      <c r="M3656" s="20">
        <v>1.2553149685399249E19</v>
      </c>
    </row>
    <row r="3657">
      <c r="A3657" s="6"/>
      <c r="B3657" s="6"/>
      <c r="C3657" s="4"/>
      <c r="D3657" s="4">
        <v>48.3641275995966</v>
      </c>
      <c r="E3657" s="4" t="s">
        <v>5582</v>
      </c>
      <c r="F3657" s="4"/>
      <c r="G3657" s="4"/>
      <c r="H3657" s="4"/>
      <c r="I3657" s="4" t="str">
        <f>IFERROR(__xludf.DUMMYFUNCTION("""COMPUTED_VALUE"""),"0xd4f285b998738eae80c377518afc073116bddb6b")</f>
        <v>0xd4f285b998738eae80c377518afc073116bddb6b</v>
      </c>
      <c r="J3657" s="18">
        <v>7.55613474656606</v>
      </c>
      <c r="K3657" s="4">
        <v>94.45168433207574</v>
      </c>
      <c r="L3657" s="19">
        <v>9.445168433207575E19</v>
      </c>
      <c r="M3657" s="20">
        <v>9.445168433207575E18</v>
      </c>
    </row>
    <row r="3658">
      <c r="A3658" s="6"/>
      <c r="B3658" s="6"/>
      <c r="C3658" s="4"/>
      <c r="D3658" s="4">
        <v>48.3641275995966</v>
      </c>
      <c r="E3658" s="4" t="s">
        <v>5583</v>
      </c>
      <c r="F3658" s="4"/>
      <c r="G3658" s="4"/>
      <c r="H3658" s="4"/>
      <c r="I3658" s="4" t="str">
        <f>IFERROR(__xludf.DUMMYFUNCTION("""COMPUTED_VALUE"""),"0x4565d6220927d442c0c2ef22886f848eff82d240")</f>
        <v>0x4565d6220927d442c0c2ef22886f848eff82d240</v>
      </c>
      <c r="J3658" s="18">
        <v>37.946847060588595</v>
      </c>
      <c r="K3658" s="4">
        <v>474.3355882573574</v>
      </c>
      <c r="L3658" s="19">
        <v>4.743355882573574E20</v>
      </c>
      <c r="M3658" s="20">
        <v>4.743355882573575E19</v>
      </c>
    </row>
    <row r="3659">
      <c r="A3659" s="6"/>
      <c r="B3659" s="6"/>
      <c r="C3659" s="4"/>
      <c r="D3659" s="4">
        <v>48.1517441745467</v>
      </c>
      <c r="E3659" s="4" t="s">
        <v>5584</v>
      </c>
      <c r="F3659" s="4"/>
      <c r="G3659" s="4"/>
      <c r="H3659" s="4"/>
      <c r="I3659" s="4" t="str">
        <f>IFERROR(__xludf.DUMMYFUNCTION("""COMPUTED_VALUE"""),"0x693d13ea1da23c914abb60d2c96941f8a03574db")</f>
        <v>0x693d13ea1da23c914abb60d2c96941f8a03574db</v>
      </c>
      <c r="J3659" s="18">
        <v>5.3838190617066095</v>
      </c>
      <c r="K3659" s="4">
        <v>67.29773827133262</v>
      </c>
      <c r="L3659" s="19">
        <v>6.729773827133262E19</v>
      </c>
      <c r="M3659" s="20">
        <v>6.729773827133263E18</v>
      </c>
    </row>
    <row r="3660">
      <c r="A3660" s="6"/>
      <c r="B3660" s="6"/>
      <c r="C3660" s="4"/>
      <c r="D3660" s="4">
        <v>48.3641275995966</v>
      </c>
      <c r="E3660" s="4" t="s">
        <v>5586</v>
      </c>
      <c r="F3660" s="4"/>
      <c r="G3660" s="4"/>
      <c r="H3660" s="4"/>
      <c r="I3660" s="4" t="str">
        <f>IFERROR(__xludf.DUMMYFUNCTION("""COMPUTED_VALUE"""),"0x48f4600e2b2912ad6643eb87397825d3b35cc41b")</f>
        <v>0x48f4600e2b2912ad6643eb87397825d3b35cc41b</v>
      </c>
      <c r="J3660" s="18">
        <v>234.37608780709658</v>
      </c>
      <c r="K3660" s="4">
        <v>2929.7010975887074</v>
      </c>
      <c r="L3660" s="19">
        <v>2.9297010975887076E21</v>
      </c>
      <c r="M3660" s="20">
        <v>2.9297010975887078E20</v>
      </c>
    </row>
    <row r="3661">
      <c r="A3661" s="6"/>
      <c r="B3661" s="6"/>
      <c r="C3661" s="4"/>
      <c r="D3661" s="4">
        <v>48.3641275995966</v>
      </c>
      <c r="E3661" s="4" t="s">
        <v>5587</v>
      </c>
      <c r="F3661" s="4"/>
      <c r="G3661" s="4"/>
      <c r="H3661" s="4"/>
      <c r="I3661" s="4" t="str">
        <f>IFERROR(__xludf.DUMMYFUNCTION("""COMPUTED_VALUE"""),"0xfcfc98d6a309750fa779a68e27ae9b695e11afda")</f>
        <v>0xfcfc98d6a309750fa779a68e27ae9b695e11afda</v>
      </c>
      <c r="J3661" s="18">
        <v>120.539346902505</v>
      </c>
      <c r="K3661" s="4">
        <v>1506.7418362813125</v>
      </c>
      <c r="L3661" s="19">
        <v>1.5067418362813124E21</v>
      </c>
      <c r="M3661" s="20">
        <v>1.5067418362813124E20</v>
      </c>
    </row>
    <row r="3662">
      <c r="A3662" s="6"/>
      <c r="B3662" s="6"/>
      <c r="C3662" s="4"/>
      <c r="D3662" s="4">
        <v>9.672825519919328</v>
      </c>
      <c r="E3662" s="4" t="s">
        <v>5588</v>
      </c>
      <c r="F3662" s="4"/>
      <c r="G3662" s="4"/>
      <c r="H3662" s="4"/>
      <c r="I3662" s="4" t="str">
        <f>IFERROR(__xludf.DUMMYFUNCTION("""COMPUTED_VALUE"""),"0xaf75a6806495060cb4ce03b04ab0a3a4668f2867")</f>
        <v>0xaf75a6806495060cb4ce03b04ab0a3a4668f2867</v>
      </c>
      <c r="J3662" s="18">
        <v>112.3513269038657</v>
      </c>
      <c r="K3662" s="4">
        <v>1404.3915862983213</v>
      </c>
      <c r="L3662" s="19">
        <v>1.4043915862983212E21</v>
      </c>
      <c r="M3662" s="20">
        <v>1.4043915862983213E20</v>
      </c>
    </row>
    <row r="3663">
      <c r="A3663" s="6"/>
      <c r="B3663" s="6"/>
      <c r="C3663" s="4"/>
      <c r="D3663" s="4">
        <v>3.5199496248490902</v>
      </c>
      <c r="E3663" s="4" t="s">
        <v>5589</v>
      </c>
      <c r="F3663" s="4"/>
      <c r="G3663" s="4"/>
      <c r="H3663" s="4"/>
      <c r="I3663" s="4" t="str">
        <f>IFERROR(__xludf.DUMMYFUNCTION("""COMPUTED_VALUE"""),"0x1ce4e4ea21cf83d9606bd13eee5febc3aa910cb3")</f>
        <v>0x1ce4e4ea21cf83d9606bd13eee5febc3aa910cb3</v>
      </c>
      <c r="J3663" s="18">
        <v>38.6913020796773</v>
      </c>
      <c r="K3663" s="4">
        <v>483.6412759959662</v>
      </c>
      <c r="L3663" s="19">
        <v>4.836412759959662E20</v>
      </c>
      <c r="M3663" s="20">
        <v>4.836412759959663E19</v>
      </c>
    </row>
    <row r="3664">
      <c r="A3664" s="6"/>
      <c r="B3664" s="6"/>
      <c r="C3664" s="4"/>
      <c r="D3664" s="4">
        <v>7.1650062643361005</v>
      </c>
      <c r="E3664" s="4" t="s">
        <v>5591</v>
      </c>
      <c r="F3664" s="4"/>
      <c r="G3664" s="4"/>
      <c r="H3664" s="4"/>
      <c r="I3664" s="4" t="str">
        <f>IFERROR(__xludf.DUMMYFUNCTION("""COMPUTED_VALUE"""),"0x9ed03d2b4aa53c6c3a0f0cfd00ba65be4820b013")</f>
        <v>0x9ed03d2b4aa53c6c3a0f0cfd00ba65be4820b013</v>
      </c>
      <c r="J3664" s="18">
        <v>40.760056476316194</v>
      </c>
      <c r="K3664" s="4">
        <v>509.50070595395243</v>
      </c>
      <c r="L3664" s="19">
        <v>5.095007059539524E20</v>
      </c>
      <c r="M3664" s="20">
        <v>5.095007059539525E19</v>
      </c>
    </row>
    <row r="3665">
      <c r="A3665" s="6"/>
      <c r="B3665" s="6"/>
      <c r="C3665" s="4"/>
      <c r="D3665" s="4">
        <v>26.0168023707481</v>
      </c>
      <c r="E3665" s="4" t="s">
        <v>5593</v>
      </c>
      <c r="F3665" s="4"/>
      <c r="G3665" s="4"/>
      <c r="H3665" s="4"/>
      <c r="I3665" s="4" t="str">
        <f>IFERROR(__xludf.DUMMYFUNCTION("""COMPUTED_VALUE"""),"0x4673d2b69e6a095f1941d17516d869136168f3e2")</f>
        <v>0x4673d2b69e6a095f1941d17516d869136168f3e2</v>
      </c>
      <c r="J3665" s="18">
        <v>0.47024594700183897</v>
      </c>
      <c r="K3665" s="4">
        <v>5.878074337522987</v>
      </c>
      <c r="L3665" s="19">
        <v>5.878074337522987E18</v>
      </c>
      <c r="M3665" s="20">
        <v>5.878074337522988E17</v>
      </c>
    </row>
    <row r="3666">
      <c r="A3666" s="6"/>
      <c r="B3666" s="6"/>
      <c r="C3666" s="4"/>
      <c r="D3666" s="4">
        <v>48.3641275995966</v>
      </c>
      <c r="E3666" s="4" t="s">
        <v>210</v>
      </c>
      <c r="F3666" s="4"/>
      <c r="G3666" s="4"/>
      <c r="H3666" s="4"/>
      <c r="I3666" s="4" t="str">
        <f>IFERROR(__xludf.DUMMYFUNCTION("""COMPUTED_VALUE"""),"0xf86687774af678986f803409f2502c315292e751")</f>
        <v>0xf86687774af678986f803409f2502c315292e751</v>
      </c>
      <c r="J3666" s="18">
        <v>19.3456510398386</v>
      </c>
      <c r="K3666" s="4">
        <v>241.8206379979825</v>
      </c>
      <c r="L3666" s="19">
        <v>2.4182063799798248E20</v>
      </c>
      <c r="M3666" s="20">
        <v>2.418206379979825E19</v>
      </c>
    </row>
    <row r="3667">
      <c r="A3667" s="6"/>
      <c r="B3667" s="6"/>
      <c r="C3667" s="4"/>
      <c r="D3667" s="4">
        <v>35.6173427316149</v>
      </c>
      <c r="E3667" s="4" t="s">
        <v>5595</v>
      </c>
      <c r="F3667" s="4"/>
      <c r="G3667" s="4"/>
      <c r="H3667" s="4"/>
      <c r="I3667" s="4" t="str">
        <f>IFERROR(__xludf.DUMMYFUNCTION("""COMPUTED_VALUE"""),"0x78d2c438fdf933a4f02858973e34dd647718e2f9")</f>
        <v>0x78d2c438fdf933a4f02858973e34dd647718e2f9</v>
      </c>
      <c r="J3667" s="18">
        <v>14.3157817694806</v>
      </c>
      <c r="K3667" s="4">
        <v>178.9472721185075</v>
      </c>
      <c r="L3667" s="19">
        <v>1.789472721185075E20</v>
      </c>
      <c r="M3667" s="20">
        <v>1.7894727211850752E19</v>
      </c>
    </row>
    <row r="3668">
      <c r="A3668" s="6"/>
      <c r="B3668" s="6"/>
      <c r="C3668" s="4"/>
      <c r="D3668" s="4">
        <v>48.3641275995966</v>
      </c>
      <c r="E3668" s="4" t="s">
        <v>5597</v>
      </c>
      <c r="F3668" s="4"/>
      <c r="G3668" s="4"/>
      <c r="H3668" s="4"/>
      <c r="I3668" s="4" t="str">
        <f>IFERROR(__xludf.DUMMYFUNCTION("""COMPUTED_VALUE"""),"0x547307f7376756283b9b8730a39fe91a54e712f1")</f>
        <v>0x547307f7376756283b9b8730a39fe91a54e712f1</v>
      </c>
      <c r="J3668" s="18">
        <v>22.214373388631</v>
      </c>
      <c r="K3668" s="4">
        <v>277.67966735788747</v>
      </c>
      <c r="L3668" s="19">
        <v>2.7767966735788746E20</v>
      </c>
      <c r="M3668" s="20">
        <v>2.776796673578875E19</v>
      </c>
    </row>
    <row r="3669">
      <c r="A3669" s="6"/>
      <c r="B3669" s="6"/>
      <c r="C3669" s="4"/>
      <c r="D3669" s="4">
        <v>19.778661123236</v>
      </c>
      <c r="E3669" s="4" t="s">
        <v>5598</v>
      </c>
      <c r="F3669" s="4"/>
      <c r="G3669" s="4"/>
      <c r="H3669" s="4"/>
      <c r="I3669" s="4" t="str">
        <f>IFERROR(__xludf.DUMMYFUNCTION("""COMPUTED_VALUE"""),"0xc6b0431de7ffcd10a6f5d0010cd16b0c61c0d258")</f>
        <v>0xc6b0431de7ffcd10a6f5d0010cd16b0c61c0d258</v>
      </c>
      <c r="J3669" s="18">
        <v>48.3641275995966</v>
      </c>
      <c r="K3669" s="4">
        <v>604.5515949949574</v>
      </c>
      <c r="L3669" s="19">
        <v>6.045515949949574E20</v>
      </c>
      <c r="M3669" s="20">
        <v>6.045515949949574E19</v>
      </c>
    </row>
    <row r="3670">
      <c r="A3670" s="6"/>
      <c r="B3670" s="6"/>
      <c r="C3670" s="4"/>
      <c r="D3670" s="4">
        <v>13.3098941276392</v>
      </c>
      <c r="E3670" s="4" t="s">
        <v>298</v>
      </c>
      <c r="F3670" s="4"/>
      <c r="G3670" s="4"/>
      <c r="H3670" s="4"/>
      <c r="I3670" s="4" t="str">
        <f>IFERROR(__xludf.DUMMYFUNCTION("""COMPUTED_VALUE"""),"0xc95936215e32cd62c36c8e2bebdfdb7919e0008a")</f>
        <v>0xc95936215e32cd62c36c8e2bebdfdb7919e0008a</v>
      </c>
      <c r="J3670" s="18">
        <v>9.672825519919328</v>
      </c>
      <c r="K3670" s="4">
        <v>120.9103189989916</v>
      </c>
      <c r="L3670" s="19">
        <v>1.209103189989916E20</v>
      </c>
      <c r="M3670" s="20">
        <v>1.209103189989916E19</v>
      </c>
    </row>
    <row r="3671">
      <c r="A3671" s="6"/>
      <c r="B3671" s="6"/>
      <c r="C3671" s="4"/>
      <c r="D3671" s="4">
        <v>2.81894369137052</v>
      </c>
      <c r="E3671" s="4" t="s">
        <v>5601</v>
      </c>
      <c r="F3671" s="4"/>
      <c r="G3671" s="4"/>
      <c r="H3671" s="4"/>
      <c r="I3671" s="4" t="str">
        <f>IFERROR(__xludf.DUMMYFUNCTION("""COMPUTED_VALUE"""),"0x9cec33256b6d71021f14045ba1d101aa1c668a02")</f>
        <v>0x9cec33256b6d71021f14045ba1d101aa1c668a02</v>
      </c>
      <c r="J3671" s="18">
        <v>18.5372066609577</v>
      </c>
      <c r="K3671" s="4">
        <v>231.71508326197124</v>
      </c>
      <c r="L3671" s="19">
        <v>2.3171508326197123E20</v>
      </c>
      <c r="M3671" s="20">
        <v>2.3171508326197125E19</v>
      </c>
    </row>
    <row r="3672">
      <c r="A3672" s="6"/>
      <c r="B3672" s="6"/>
      <c r="C3672" s="4"/>
      <c r="D3672" s="4">
        <v>4.31439593719886</v>
      </c>
      <c r="E3672" s="4" t="s">
        <v>5603</v>
      </c>
      <c r="F3672" s="4"/>
      <c r="G3672" s="4"/>
      <c r="H3672" s="4"/>
      <c r="I3672" s="4" t="str">
        <f>IFERROR(__xludf.DUMMYFUNCTION("""COMPUTED_VALUE"""),"0xf63cab74b2c19b76a4db183f42135732b720adf2")</f>
        <v>0xf63cab74b2c19b76a4db183f42135732b720adf2</v>
      </c>
      <c r="J3672" s="18">
        <v>12.6126824538524</v>
      </c>
      <c r="K3672" s="4">
        <v>157.658530673155</v>
      </c>
      <c r="L3672" s="19">
        <v>1.57658530673155E20</v>
      </c>
      <c r="M3672" s="20">
        <v>1.5765853067315503E19</v>
      </c>
    </row>
    <row r="3673">
      <c r="A3673" s="6"/>
      <c r="B3673" s="6"/>
      <c r="C3673" s="4"/>
      <c r="D3673" s="4">
        <v>10.236243500225699</v>
      </c>
      <c r="E3673" s="4" t="s">
        <v>5605</v>
      </c>
      <c r="F3673" s="4"/>
      <c r="G3673" s="4"/>
      <c r="H3673" s="4"/>
      <c r="I3673" s="4" t="str">
        <f>IFERROR(__xludf.DUMMYFUNCTION("""COMPUTED_VALUE"""),"0x56358ec4635e7f75e92a0481f35ed40f5c144189")</f>
        <v>0x56358ec4635e7f75e92a0481f35ed40f5c144189</v>
      </c>
      <c r="J3673" s="18">
        <v>48.3641275995966</v>
      </c>
      <c r="K3673" s="4">
        <v>604.5515949949574</v>
      </c>
      <c r="L3673" s="19">
        <v>6.045515949949574E20</v>
      </c>
      <c r="M3673" s="20">
        <v>6.045515949949574E19</v>
      </c>
    </row>
    <row r="3674">
      <c r="A3674" s="6"/>
      <c r="B3674" s="6"/>
      <c r="C3674" s="4"/>
      <c r="D3674" s="4">
        <v>48.3641275995966</v>
      </c>
      <c r="E3674" s="4" t="s">
        <v>5607</v>
      </c>
      <c r="F3674" s="4"/>
      <c r="G3674" s="4"/>
      <c r="H3674" s="4"/>
      <c r="I3674" s="4" t="str">
        <f>IFERROR(__xludf.DUMMYFUNCTION("""COMPUTED_VALUE"""),"0xa54f4ee3f7e1fe255b1f607c029d9c3f952af3f2")</f>
        <v>0xa54f4ee3f7e1fe255b1f607c029d9c3f952af3f2</v>
      </c>
      <c r="J3674" s="18">
        <v>7.035790754421449</v>
      </c>
      <c r="K3674" s="4">
        <v>87.94738443026812</v>
      </c>
      <c r="L3674" s="19">
        <v>8.794738443026812E19</v>
      </c>
      <c r="M3674" s="20">
        <v>8.794738443026813E18</v>
      </c>
    </row>
    <row r="3675">
      <c r="A3675" s="6"/>
      <c r="B3675" s="6"/>
      <c r="C3675" s="4"/>
      <c r="D3675" s="4">
        <v>38.300116917748596</v>
      </c>
      <c r="E3675" s="4" t="s">
        <v>5608</v>
      </c>
      <c r="F3675" s="4"/>
      <c r="G3675" s="4"/>
      <c r="H3675" s="4"/>
      <c r="I3675" s="4" t="str">
        <f>IFERROR(__xludf.DUMMYFUNCTION("""COMPUTED_VALUE"""),"0xb51911c8c1e31912d28407f7fa415a9936220f70")</f>
        <v>0xb51911c8c1e31912d28407f7fa415a9936220f70</v>
      </c>
      <c r="J3675" s="18">
        <v>51.60095814030913</v>
      </c>
      <c r="K3675" s="4">
        <v>645.0119767538641</v>
      </c>
      <c r="L3675" s="19">
        <v>6.450119767538641E20</v>
      </c>
      <c r="M3675" s="20">
        <v>6.450119767538641E19</v>
      </c>
    </row>
    <row r="3676">
      <c r="A3676" s="6"/>
      <c r="B3676" s="6"/>
      <c r="C3676" s="4"/>
      <c r="D3676" s="4">
        <v>42.2477799415241</v>
      </c>
      <c r="E3676" s="4" t="s">
        <v>1732</v>
      </c>
      <c r="F3676" s="4"/>
      <c r="G3676" s="4"/>
      <c r="H3676" s="4"/>
      <c r="I3676" s="4" t="str">
        <f>IFERROR(__xludf.DUMMYFUNCTION("""COMPUTED_VALUE"""),"0xcbd10522a9ac6028dff12d31e8baff0a098fad44")</f>
        <v>0xcbd10522a9ac6028dff12d31e8baff0a098fad44</v>
      </c>
      <c r="J3676" s="18">
        <v>96.58118748688361</v>
      </c>
      <c r="K3676" s="4">
        <v>1207.2648435860451</v>
      </c>
      <c r="L3676" s="19">
        <v>1.2072648435860452E21</v>
      </c>
      <c r="M3676" s="20">
        <v>1.2072648435860452E20</v>
      </c>
    </row>
    <row r="3677">
      <c r="A3677" s="6"/>
      <c r="B3677" s="6"/>
      <c r="C3677" s="4"/>
      <c r="D3677" s="4">
        <v>9.672825519919328</v>
      </c>
      <c r="E3677" s="4" t="s">
        <v>5611</v>
      </c>
      <c r="F3677" s="4"/>
      <c r="G3677" s="4"/>
      <c r="H3677" s="4"/>
      <c r="I3677" s="4" t="str">
        <f>IFERROR(__xludf.DUMMYFUNCTION("""COMPUTED_VALUE"""),"0xa1a3331cc412fc9b4be1f6e8e0fe2db20775fe42")</f>
        <v>0xa1a3331cc412fc9b4be1f6e8e0fe2db20775fe42</v>
      </c>
      <c r="J3677" s="18">
        <v>113.4846082131652</v>
      </c>
      <c r="K3677" s="4">
        <v>1418.557602664565</v>
      </c>
      <c r="L3677" s="19">
        <v>1.418557602664565E21</v>
      </c>
      <c r="M3677" s="20">
        <v>1.418557602664565E20</v>
      </c>
    </row>
    <row r="3678">
      <c r="A3678" s="6"/>
      <c r="B3678" s="6"/>
      <c r="C3678" s="4"/>
      <c r="D3678" s="4">
        <v>9.672825519919328</v>
      </c>
      <c r="E3678" s="4" t="s">
        <v>5612</v>
      </c>
      <c r="F3678" s="4"/>
      <c r="G3678" s="4"/>
      <c r="H3678" s="4"/>
      <c r="I3678" s="4" t="str">
        <f>IFERROR(__xludf.DUMMYFUNCTION("""COMPUTED_VALUE"""),"0x80566fcd9071dec99906a0861a5259bc4076ac63")</f>
        <v>0x80566fcd9071dec99906a0861a5259bc4076ac63</v>
      </c>
      <c r="J3678" s="18">
        <v>48.3641275995966</v>
      </c>
      <c r="K3678" s="4">
        <v>604.5515949949574</v>
      </c>
      <c r="L3678" s="19">
        <v>6.045515949949574E20</v>
      </c>
      <c r="M3678" s="20">
        <v>6.045515949949574E19</v>
      </c>
    </row>
    <row r="3679">
      <c r="A3679" s="6"/>
      <c r="B3679" s="6"/>
      <c r="C3679" s="4"/>
      <c r="D3679" s="4">
        <v>47.2832155985446</v>
      </c>
      <c r="E3679" s="4" t="s">
        <v>5613</v>
      </c>
      <c r="F3679" s="4"/>
      <c r="G3679" s="4"/>
      <c r="H3679" s="4"/>
      <c r="I3679" s="4" t="str">
        <f>IFERROR(__xludf.DUMMYFUNCTION("""COMPUTED_VALUE"""),"0xdb883711c71376fd8c9521955ebad1ff2ee4534a")</f>
        <v>0xdb883711c71376fd8c9521955ebad1ff2ee4534a</v>
      </c>
      <c r="J3679" s="18">
        <v>8.70571592965508</v>
      </c>
      <c r="K3679" s="4">
        <v>108.8214491206885</v>
      </c>
      <c r="L3679" s="19">
        <v>1.088214491206885E20</v>
      </c>
      <c r="M3679" s="20">
        <v>1.0882144912068852E19</v>
      </c>
    </row>
    <row r="3680">
      <c r="A3680" s="6"/>
      <c r="B3680" s="6"/>
      <c r="C3680" s="4"/>
      <c r="D3680" s="4">
        <v>47.963026916649504</v>
      </c>
      <c r="E3680" s="4" t="s">
        <v>5615</v>
      </c>
      <c r="F3680" s="4"/>
      <c r="G3680" s="4"/>
      <c r="H3680" s="4"/>
      <c r="I3680" s="4" t="str">
        <f>IFERROR(__xludf.DUMMYFUNCTION("""COMPUTED_VALUE"""),"0x2ae42274c4e0a45b39c3934cfcc83a66776afc0b")</f>
        <v>0x2ae42274c4e0a45b39c3934cfcc83a66776afc0b</v>
      </c>
      <c r="J3680" s="18">
        <v>234.37608780709658</v>
      </c>
      <c r="K3680" s="4">
        <v>2929.7010975887074</v>
      </c>
      <c r="L3680" s="19">
        <v>2.9297010975887076E21</v>
      </c>
      <c r="M3680" s="20">
        <v>2.9297010975887078E20</v>
      </c>
    </row>
    <row r="3681">
      <c r="A3681" s="6"/>
      <c r="B3681" s="6"/>
      <c r="C3681" s="4"/>
      <c r="D3681" s="4">
        <v>48.3641275995966</v>
      </c>
      <c r="E3681" s="4" t="s">
        <v>5617</v>
      </c>
      <c r="F3681" s="4"/>
      <c r="G3681" s="4"/>
      <c r="H3681" s="4"/>
      <c r="I3681" s="4" t="str">
        <f>IFERROR(__xludf.DUMMYFUNCTION("""COMPUTED_VALUE"""),"0x2d7fdd49af7a0a15ba4859fd923d4f43bfe452aa")</f>
        <v>0x2d7fdd49af7a0a15ba4859fd923d4f43bfe452aa</v>
      </c>
      <c r="J3681" s="18">
        <v>38.6913020796773</v>
      </c>
      <c r="K3681" s="4">
        <v>483.6412759959662</v>
      </c>
      <c r="L3681" s="19">
        <v>4.836412759959662E20</v>
      </c>
      <c r="M3681" s="20">
        <v>4.836412759959663E19</v>
      </c>
    </row>
    <row r="3682">
      <c r="A3682" s="6"/>
      <c r="B3682" s="6"/>
      <c r="C3682" s="4"/>
      <c r="D3682" s="4">
        <v>10.4084643815575</v>
      </c>
      <c r="E3682" s="4" t="s">
        <v>5618</v>
      </c>
      <c r="F3682" s="4"/>
      <c r="G3682" s="4"/>
      <c r="H3682" s="4"/>
      <c r="I3682" s="4" t="str">
        <f>IFERROR(__xludf.DUMMYFUNCTION("""COMPUTED_VALUE"""),"0xe5adbfd8794e43f64f5802f3f91263da7cbd7afe")</f>
        <v>0xe5adbfd8794e43f64f5802f3f91263da7cbd7afe</v>
      </c>
      <c r="J3682" s="18">
        <v>10.8001726178032</v>
      </c>
      <c r="K3682" s="4">
        <v>135.00215772254</v>
      </c>
      <c r="L3682" s="19">
        <v>1.3500215772254E20</v>
      </c>
      <c r="M3682" s="20">
        <v>1.3500215772254001E19</v>
      </c>
    </row>
    <row r="3683">
      <c r="A3683" s="6"/>
      <c r="B3683" s="6"/>
      <c r="C3683" s="4"/>
      <c r="D3683" s="4">
        <v>10.0036321462162</v>
      </c>
      <c r="E3683" s="4" t="s">
        <v>5620</v>
      </c>
      <c r="F3683" s="4"/>
      <c r="G3683" s="4"/>
      <c r="H3683" s="4"/>
      <c r="I3683" s="4" t="str">
        <f>IFERROR(__xludf.DUMMYFUNCTION("""COMPUTED_VALUE"""),"0xa657789141ef46249a0df1ebb7cb499a4b150144")</f>
        <v>0xa657789141ef46249a0df1ebb7cb499a4b150144</v>
      </c>
      <c r="J3683" s="18">
        <v>57.66472560997164</v>
      </c>
      <c r="K3683" s="4">
        <v>720.8090701246455</v>
      </c>
      <c r="L3683" s="19">
        <v>7.208090701246455E20</v>
      </c>
      <c r="M3683" s="20">
        <v>7.208090701246455E19</v>
      </c>
    </row>
    <row r="3684">
      <c r="A3684" s="6"/>
      <c r="B3684" s="6"/>
      <c r="C3684" s="4"/>
      <c r="D3684" s="4">
        <v>26.784250530417</v>
      </c>
      <c r="E3684" s="4" t="s">
        <v>5622</v>
      </c>
      <c r="F3684" s="4"/>
      <c r="G3684" s="4"/>
      <c r="H3684" s="4"/>
      <c r="I3684" s="4" t="str">
        <f>IFERROR(__xludf.DUMMYFUNCTION("""COMPUTED_VALUE"""),"0x6b7429abb663fe03ab24485a40dee8bb50416ced")</f>
        <v>0x6b7429abb663fe03ab24485a40dee8bb50416ced</v>
      </c>
      <c r="J3684" s="18">
        <v>48.3641275995966</v>
      </c>
      <c r="K3684" s="4">
        <v>604.5515949949574</v>
      </c>
      <c r="L3684" s="19">
        <v>6.045515949949574E20</v>
      </c>
      <c r="M3684" s="20">
        <v>6.045515949949574E19</v>
      </c>
    </row>
    <row r="3685">
      <c r="A3685" s="6"/>
      <c r="B3685" s="6"/>
      <c r="C3685" s="4"/>
      <c r="D3685" s="4">
        <v>48.3641275995966</v>
      </c>
      <c r="E3685" s="4" t="s">
        <v>5624</v>
      </c>
      <c r="F3685" s="4"/>
      <c r="G3685" s="4"/>
      <c r="H3685" s="4"/>
      <c r="I3685" s="4" t="str">
        <f>IFERROR(__xludf.DUMMYFUNCTION("""COMPUTED_VALUE"""),"0xe5d5245dce768ef43f1c5fa9c96b7e1520d96dc8")</f>
        <v>0xe5d5245dce768ef43f1c5fa9c96b7e1520d96dc8</v>
      </c>
      <c r="J3685" s="18">
        <v>93.1392827277785</v>
      </c>
      <c r="K3685" s="4">
        <v>1164.2410340972312</v>
      </c>
      <c r="L3685" s="19">
        <v>1.1642410340972313E21</v>
      </c>
      <c r="M3685" s="20">
        <v>1.1642410340972313E20</v>
      </c>
    </row>
    <row r="3686">
      <c r="A3686" s="6"/>
      <c r="B3686" s="6"/>
      <c r="C3686" s="4"/>
      <c r="D3686" s="4">
        <v>9.998923674758691</v>
      </c>
      <c r="E3686" s="4" t="s">
        <v>5625</v>
      </c>
      <c r="F3686" s="4"/>
      <c r="G3686" s="4"/>
      <c r="H3686" s="4"/>
      <c r="I3686" s="4" t="str">
        <f>IFERROR(__xludf.DUMMYFUNCTION("""COMPUTED_VALUE"""),"0x4c9972a6d10810dfb861f57bb9905013b8e28079")</f>
        <v>0x4c9972a6d10810dfb861f57bb9905013b8e28079</v>
      </c>
      <c r="J3686" s="18">
        <v>105.52947711853571</v>
      </c>
      <c r="K3686" s="4">
        <v>1319.1184639816963</v>
      </c>
      <c r="L3686" s="19">
        <v>1.3191184639816963E21</v>
      </c>
      <c r="M3686" s="20">
        <v>1.3191184639816965E20</v>
      </c>
    </row>
    <row r="3687">
      <c r="A3687" s="6"/>
      <c r="B3687" s="6"/>
      <c r="C3687" s="4"/>
      <c r="D3687" s="4">
        <v>45.3674255199822</v>
      </c>
      <c r="E3687" s="4" t="s">
        <v>5627</v>
      </c>
      <c r="F3687" s="4"/>
      <c r="G3687" s="4"/>
      <c r="H3687" s="4"/>
      <c r="I3687" s="4" t="str">
        <f>IFERROR(__xludf.DUMMYFUNCTION("""COMPUTED_VALUE"""),"0x1916985f8b5c32836fc67428501c7e36e3f484be")</f>
        <v>0x1916985f8b5c32836fc67428501c7e36e3f484be</v>
      </c>
      <c r="J3687" s="18">
        <v>10.0556427115917</v>
      </c>
      <c r="K3687" s="4">
        <v>125.69553389489624</v>
      </c>
      <c r="L3687" s="19">
        <v>1.2569553389489624E20</v>
      </c>
      <c r="M3687" s="20">
        <v>1.2569553389489625E19</v>
      </c>
    </row>
    <row r="3688">
      <c r="A3688" s="6"/>
      <c r="B3688" s="6"/>
      <c r="C3688" s="4"/>
      <c r="D3688" s="4">
        <v>6.755136885984499</v>
      </c>
      <c r="E3688" s="4" t="s">
        <v>5629</v>
      </c>
      <c r="F3688" s="4"/>
      <c r="G3688" s="4"/>
      <c r="H3688" s="4"/>
      <c r="I3688" s="4" t="str">
        <f>IFERROR(__xludf.DUMMYFUNCTION("""COMPUTED_VALUE"""),"0x124bb07c62043944f95c31d1306e0266ab161c98")</f>
        <v>0x124bb07c62043944f95c31d1306e0266ab161c98</v>
      </c>
      <c r="J3688" s="18">
        <v>54.59036234975005</v>
      </c>
      <c r="K3688" s="4">
        <v>682.3795293718756</v>
      </c>
      <c r="L3688" s="19">
        <v>6.823795293718755E20</v>
      </c>
      <c r="M3688" s="20">
        <v>6.823795293718756E19</v>
      </c>
    </row>
    <row r="3689">
      <c r="A3689" s="6"/>
      <c r="B3689" s="6"/>
      <c r="C3689" s="4"/>
      <c r="D3689" s="4">
        <v>30.4668996547531</v>
      </c>
      <c r="E3689" s="4" t="s">
        <v>5631</v>
      </c>
      <c r="F3689" s="4"/>
      <c r="G3689" s="4"/>
      <c r="H3689" s="4"/>
      <c r="I3689" s="4" t="str">
        <f>IFERROR(__xludf.DUMMYFUNCTION("""COMPUTED_VALUE"""),"0x9ee56002095c5ae424c855d18b39228271bd98dc")</f>
        <v>0x9ee56002095c5ae424c855d18b39228271bd98dc</v>
      </c>
      <c r="J3689" s="18">
        <v>9.6885526160292</v>
      </c>
      <c r="K3689" s="4">
        <v>121.106907700365</v>
      </c>
      <c r="L3689" s="19">
        <v>1.21106907700365E20</v>
      </c>
      <c r="M3689" s="20">
        <v>1.21106907700365E19</v>
      </c>
    </row>
    <row r="3690">
      <c r="A3690" s="6"/>
      <c r="B3690" s="6"/>
      <c r="C3690" s="4"/>
      <c r="D3690" s="4">
        <v>48.3641275995966</v>
      </c>
      <c r="E3690" s="4" t="s">
        <v>5633</v>
      </c>
      <c r="F3690" s="4"/>
      <c r="G3690" s="4"/>
      <c r="H3690" s="4"/>
      <c r="I3690" s="4" t="str">
        <f>IFERROR(__xludf.DUMMYFUNCTION("""COMPUTED_VALUE"""),"0x6ead5b1eaddc3f2b72116228f66ca0347962fc87")</f>
        <v>0x6ead5b1eaddc3f2b72116228f66ca0347962fc87</v>
      </c>
      <c r="J3690" s="18">
        <v>113.4683136722219</v>
      </c>
      <c r="K3690" s="4">
        <v>1418.3539209027738</v>
      </c>
      <c r="L3690" s="19">
        <v>1.4183539209027739E21</v>
      </c>
      <c r="M3690" s="20">
        <v>1.418353920902774E20</v>
      </c>
    </row>
    <row r="3691">
      <c r="A3691" s="6"/>
      <c r="B3691" s="6"/>
      <c r="C3691" s="4"/>
      <c r="D3691" s="4">
        <v>48.3641275995966</v>
      </c>
      <c r="E3691" s="4" t="s">
        <v>133</v>
      </c>
      <c r="F3691" s="4"/>
      <c r="G3691" s="4"/>
      <c r="H3691" s="4"/>
      <c r="I3691" s="4" t="str">
        <f>IFERROR(__xludf.DUMMYFUNCTION("""COMPUTED_VALUE"""),"0xdde338eb7dbbc93a67bcf100c7c9f2354fdb0e21")</f>
        <v>0xdde338eb7dbbc93a67bcf100c7c9f2354fdb0e21</v>
      </c>
      <c r="J3691" s="18">
        <v>48.3641275995966</v>
      </c>
      <c r="K3691" s="4">
        <v>604.5515949949574</v>
      </c>
      <c r="L3691" s="19">
        <v>6.045515949949574E20</v>
      </c>
      <c r="M3691" s="20">
        <v>6.045515949949574E19</v>
      </c>
    </row>
    <row r="3692">
      <c r="A3692" s="6"/>
      <c r="B3692" s="6"/>
      <c r="C3692" s="4"/>
      <c r="D3692" s="4">
        <v>5.4189400541989</v>
      </c>
      <c r="E3692" s="4" t="s">
        <v>5634</v>
      </c>
      <c r="F3692" s="4"/>
      <c r="G3692" s="4"/>
      <c r="H3692" s="4"/>
      <c r="I3692" s="4" t="str">
        <f>IFERROR(__xludf.DUMMYFUNCTION("""COMPUTED_VALUE"""),"0x4f93ec88f91892fdc736d973cd14573027fc6127")</f>
        <v>0x4f93ec88f91892fdc736d973cd14573027fc6127</v>
      </c>
      <c r="J3692" s="18">
        <v>10.4466515615128</v>
      </c>
      <c r="K3692" s="4">
        <v>130.58314451891</v>
      </c>
      <c r="L3692" s="19">
        <v>1.3058314451890998E20</v>
      </c>
      <c r="M3692" s="20">
        <v>1.3058314451891E19</v>
      </c>
    </row>
    <row r="3693">
      <c r="A3693" s="6"/>
      <c r="B3693" s="6"/>
      <c r="C3693" s="4"/>
      <c r="D3693" s="4">
        <v>19.9260205710338</v>
      </c>
      <c r="E3693" s="4" t="s">
        <v>5636</v>
      </c>
      <c r="F3693" s="4"/>
      <c r="G3693" s="4"/>
      <c r="H3693" s="4"/>
      <c r="I3693" s="4" t="str">
        <f>IFERROR(__xludf.DUMMYFUNCTION("""COMPUTED_VALUE"""),"0x51ae498e73fb5c6706cc43c579fe481c2e6a290d")</f>
        <v>0x51ae498e73fb5c6706cc43c579fe481c2e6a290d</v>
      </c>
      <c r="J3693" s="18">
        <v>7.66139998892385</v>
      </c>
      <c r="K3693" s="4">
        <v>95.76749986154812</v>
      </c>
      <c r="L3693" s="19">
        <v>9.576749986154812E19</v>
      </c>
      <c r="M3693" s="20">
        <v>9.576749986154813E18</v>
      </c>
    </row>
    <row r="3694">
      <c r="A3694" s="6"/>
      <c r="B3694" s="6"/>
      <c r="C3694" s="4"/>
      <c r="D3694" s="4">
        <v>22.8673605770975</v>
      </c>
      <c r="E3694" s="4" t="s">
        <v>5638</v>
      </c>
      <c r="F3694" s="4"/>
      <c r="G3694" s="4"/>
      <c r="H3694" s="4"/>
      <c r="I3694" s="4" t="str">
        <f>IFERROR(__xludf.DUMMYFUNCTION("""COMPUTED_VALUE"""),"0x91e5f0e577a250c1b4a7ba47b914bf539c5d44ff")</f>
        <v>0x91e5f0e577a250c1b4a7ba47b914bf539c5d44ff</v>
      </c>
      <c r="J3694" s="18">
        <v>66.3265014512211</v>
      </c>
      <c r="K3694" s="4">
        <v>829.0812681402638</v>
      </c>
      <c r="L3694" s="19">
        <v>8.290812681402637E20</v>
      </c>
      <c r="M3694" s="20">
        <v>8.290812681402638E19</v>
      </c>
    </row>
    <row r="3695">
      <c r="A3695" s="6"/>
      <c r="B3695" s="6"/>
      <c r="C3695" s="4"/>
      <c r="D3695" s="4">
        <v>48.290680596808706</v>
      </c>
      <c r="E3695" s="4" t="s">
        <v>5640</v>
      </c>
      <c r="F3695" s="4"/>
      <c r="G3695" s="4"/>
      <c r="H3695" s="4"/>
      <c r="I3695" s="4" t="str">
        <f>IFERROR(__xludf.DUMMYFUNCTION("""COMPUTED_VALUE"""),"0x336ab40d41ecdb624a5c7f7050de30c525f95b09")</f>
        <v>0x336ab40d41ecdb624a5c7f7050de30c525f95b09</v>
      </c>
      <c r="J3695" s="18">
        <v>0.188902943775551</v>
      </c>
      <c r="K3695" s="4">
        <v>2.3612867971943876</v>
      </c>
      <c r="L3695" s="19">
        <v>2.3612867971943875E18</v>
      </c>
      <c r="M3695" s="20">
        <v>2.3612867971943875E17</v>
      </c>
    </row>
    <row r="3696">
      <c r="A3696" s="6"/>
      <c r="B3696" s="6"/>
      <c r="C3696" s="4"/>
      <c r="D3696" s="4">
        <v>0.54788501474144</v>
      </c>
      <c r="E3696" s="4" t="s">
        <v>5642</v>
      </c>
      <c r="F3696" s="4"/>
      <c r="G3696" s="4"/>
      <c r="H3696" s="4"/>
      <c r="I3696" s="4" t="str">
        <f>IFERROR(__xludf.DUMMYFUNCTION("""COMPUTED_VALUE"""),"0xd8cc31d10992804e21a4aa516bd8ac317a7cf681")</f>
        <v>0xd8cc31d10992804e21a4aa516bd8ac317a7cf681</v>
      </c>
      <c r="J3696" s="18">
        <v>151.0704083788076</v>
      </c>
      <c r="K3696" s="4">
        <v>1888.3801047350948</v>
      </c>
      <c r="L3696" s="19">
        <v>1.8883801047350947E21</v>
      </c>
      <c r="M3696" s="20">
        <v>1.888380104735095E20</v>
      </c>
    </row>
    <row r="3697">
      <c r="A3697" s="6"/>
      <c r="B3697" s="6"/>
      <c r="C3697" s="4"/>
      <c r="D3697" s="4">
        <v>48.172568200348</v>
      </c>
      <c r="E3697" s="4" t="s">
        <v>5644</v>
      </c>
      <c r="F3697" s="4"/>
      <c r="G3697" s="4"/>
      <c r="H3697" s="4"/>
      <c r="I3697" s="4" t="str">
        <f>IFERROR(__xludf.DUMMYFUNCTION("""COMPUTED_VALUE"""),"0x5d1d7e4bbcf96222704ae5c1f80397ab5b6a9d81")</f>
        <v>0x5d1d7e4bbcf96222704ae5c1f80397ab5b6a9d81</v>
      </c>
      <c r="J3697" s="18">
        <v>63.9247441900291</v>
      </c>
      <c r="K3697" s="4">
        <v>799.0593023753638</v>
      </c>
      <c r="L3697" s="19">
        <v>7.990593023753638E20</v>
      </c>
      <c r="M3697" s="20">
        <v>7.990593023753639E19</v>
      </c>
    </row>
    <row r="3698">
      <c r="A3698" s="6"/>
      <c r="B3698" s="6"/>
      <c r="C3698" s="4"/>
      <c r="D3698" s="4">
        <v>48.3641275995966</v>
      </c>
      <c r="E3698" s="4" t="s">
        <v>5646</v>
      </c>
      <c r="F3698" s="4"/>
      <c r="G3698" s="4"/>
      <c r="H3698" s="4"/>
      <c r="I3698" s="4" t="str">
        <f>IFERROR(__xludf.DUMMYFUNCTION("""COMPUTED_VALUE"""),"0xacfa2ca885dac378f6c4d83eeac63bbf10e2552e")</f>
        <v>0xacfa2ca885dac378f6c4d83eeac63bbf10e2552e</v>
      </c>
      <c r="J3698" s="18">
        <v>111.0501581895243</v>
      </c>
      <c r="K3698" s="4">
        <v>1388.1269773690537</v>
      </c>
      <c r="L3698" s="19">
        <v>1.3881269773690539E21</v>
      </c>
      <c r="M3698" s="20">
        <v>1.388126977369054E20</v>
      </c>
    </row>
    <row r="3699">
      <c r="A3699" s="6"/>
      <c r="B3699" s="6"/>
      <c r="C3699" s="4"/>
      <c r="D3699" s="4">
        <v>48.0656608660158</v>
      </c>
      <c r="E3699" s="4" t="s">
        <v>5647</v>
      </c>
      <c r="F3699" s="4"/>
      <c r="G3699" s="4"/>
      <c r="H3699" s="4"/>
      <c r="I3699" s="4" t="str">
        <f>IFERROR(__xludf.DUMMYFUNCTION("""COMPUTED_VALUE"""),"0xa07134bc1a31a27e635b50aed4fb70924b39fc35")</f>
        <v>0xa07134bc1a31a27e635b50aed4fb70924b39fc35</v>
      </c>
      <c r="J3699" s="18">
        <v>9.86628203031772</v>
      </c>
      <c r="K3699" s="4">
        <v>123.32852537897149</v>
      </c>
      <c r="L3699" s="19">
        <v>1.2332852537897148E20</v>
      </c>
      <c r="M3699" s="20">
        <v>1.2332852537897148E19</v>
      </c>
    </row>
    <row r="3700">
      <c r="A3700" s="6"/>
      <c r="B3700" s="6"/>
      <c r="C3700" s="4"/>
      <c r="D3700" s="4">
        <v>47.2158274980628</v>
      </c>
      <c r="E3700" s="4" t="s">
        <v>1739</v>
      </c>
      <c r="F3700" s="4"/>
      <c r="G3700" s="4"/>
      <c r="H3700" s="4"/>
      <c r="I3700" s="4" t="str">
        <f>IFERROR(__xludf.DUMMYFUNCTION("""COMPUTED_VALUE"""),"0x2c02f4e22b9737c93ab83b4e479893d53b492fd0")</f>
        <v>0x2c02f4e22b9737c93ab83b4e479893d53b492fd0</v>
      </c>
      <c r="J3700" s="18">
        <v>66.9653236203466</v>
      </c>
      <c r="K3700" s="4">
        <v>837.0665452543324</v>
      </c>
      <c r="L3700" s="19">
        <v>8.370665452543324E20</v>
      </c>
      <c r="M3700" s="20">
        <v>8.370665452543323E19</v>
      </c>
    </row>
    <row r="3701">
      <c r="A3701" s="6"/>
      <c r="B3701" s="6"/>
      <c r="C3701" s="4"/>
      <c r="D3701" s="4">
        <v>9.86628203031772</v>
      </c>
      <c r="E3701" s="4" t="s">
        <v>5650</v>
      </c>
      <c r="F3701" s="4"/>
      <c r="G3701" s="4"/>
      <c r="H3701" s="4"/>
      <c r="I3701" s="4" t="str">
        <f>IFERROR(__xludf.DUMMYFUNCTION("""COMPUTED_VALUE"""),"0xf11d632d9e3fc469adb3230e6cfa4a90354d2f11")</f>
        <v>0xf11d632d9e3fc469adb3230e6cfa4a90354d2f11</v>
      </c>
      <c r="J3701" s="18">
        <v>232.2816369985464</v>
      </c>
      <c r="K3701" s="4">
        <v>2903.52046248183</v>
      </c>
      <c r="L3701" s="19">
        <v>2.90352046248183E21</v>
      </c>
      <c r="M3701" s="20">
        <v>2.90352046248183E20</v>
      </c>
    </row>
    <row r="3702">
      <c r="A3702" s="6"/>
      <c r="B3702" s="6"/>
      <c r="C3702" s="4"/>
      <c r="D3702" s="4">
        <v>5.81765582526807</v>
      </c>
      <c r="E3702" s="4" t="s">
        <v>5651</v>
      </c>
      <c r="F3702" s="4"/>
      <c r="G3702" s="4"/>
      <c r="H3702" s="4"/>
      <c r="I3702" s="4" t="str">
        <f>IFERROR(__xludf.DUMMYFUNCTION("""COMPUTED_VALUE"""),"0xe032b8759f2603e90f1ef73796a0bfdf10c9236a")</f>
        <v>0xe032b8759f2603e90f1ef73796a0bfdf10c9236a</v>
      </c>
      <c r="J3702" s="18">
        <v>57.78311367185991</v>
      </c>
      <c r="K3702" s="4">
        <v>722.2889208982489</v>
      </c>
      <c r="L3702" s="19">
        <v>7.222889208982489E20</v>
      </c>
      <c r="M3702" s="20">
        <v>7.2228892089824895E19</v>
      </c>
    </row>
    <row r="3703">
      <c r="A3703" s="6"/>
      <c r="B3703" s="6"/>
      <c r="C3703" s="4"/>
      <c r="D3703" s="4">
        <v>34.464088082108695</v>
      </c>
      <c r="E3703" s="4" t="s">
        <v>5653</v>
      </c>
      <c r="F3703" s="4"/>
      <c r="G3703" s="4"/>
      <c r="H3703" s="4"/>
      <c r="I3703" s="4" t="str">
        <f>IFERROR(__xludf.DUMMYFUNCTION("""COMPUTED_VALUE"""),"0xcae67bf10836cbd8baf24dc7ed310211dac6b756")</f>
        <v>0xcae67bf10836cbd8baf24dc7ed310211dac6b756</v>
      </c>
      <c r="J3703" s="18">
        <v>19.3456510398386</v>
      </c>
      <c r="K3703" s="4">
        <v>241.8206379979825</v>
      </c>
      <c r="L3703" s="19">
        <v>2.4182063799798248E20</v>
      </c>
      <c r="M3703" s="20">
        <v>2.418206379979825E19</v>
      </c>
    </row>
    <row r="3704">
      <c r="A3704" s="6"/>
      <c r="B3704" s="6"/>
      <c r="C3704" s="4"/>
      <c r="D3704" s="4">
        <v>34.7039449866854</v>
      </c>
      <c r="E3704" s="4" t="s">
        <v>5655</v>
      </c>
      <c r="F3704" s="4"/>
      <c r="G3704" s="4"/>
      <c r="H3704" s="4"/>
      <c r="I3704" s="4" t="str">
        <f>IFERROR(__xludf.DUMMYFUNCTION("""COMPUTED_VALUE"""),"0x8ecaa513aa4d2f0cc804836a189a204b6ebe2490")</f>
        <v>0x8ecaa513aa4d2f0cc804836a189a204b6ebe2490</v>
      </c>
      <c r="J3704" s="18">
        <v>9.672825519919328</v>
      </c>
      <c r="K3704" s="4">
        <v>120.9103189989916</v>
      </c>
      <c r="L3704" s="19">
        <v>1.209103189989916E20</v>
      </c>
      <c r="M3704" s="20">
        <v>1.209103189989916E19</v>
      </c>
    </row>
    <row r="3705">
      <c r="A3705" s="6"/>
      <c r="B3705" s="6"/>
      <c r="C3705" s="4"/>
      <c r="D3705" s="4">
        <v>10.0123416956685</v>
      </c>
      <c r="E3705" s="4" t="s">
        <v>5657</v>
      </c>
      <c r="F3705" s="4"/>
      <c r="G3705" s="4"/>
      <c r="H3705" s="4"/>
      <c r="I3705" s="4" t="str">
        <f>IFERROR(__xludf.DUMMYFUNCTION("""COMPUTED_VALUE"""),"0xcfebc32b78e7aa20e990a4e993ea6553ee7e515c")</f>
        <v>0xcfebc32b78e7aa20e990a4e993ea6553ee7e515c</v>
      </c>
      <c r="J3705" s="18">
        <v>48.3641275995966</v>
      </c>
      <c r="K3705" s="4">
        <v>604.5515949949574</v>
      </c>
      <c r="L3705" s="19">
        <v>6.045515949949574E20</v>
      </c>
      <c r="M3705" s="20">
        <v>6.045515949949574E19</v>
      </c>
    </row>
    <row r="3706">
      <c r="A3706" s="6"/>
      <c r="B3706" s="6"/>
      <c r="C3706" s="4"/>
      <c r="D3706" s="4">
        <v>48.3641275995966</v>
      </c>
      <c r="E3706" s="4" t="s">
        <v>5659</v>
      </c>
      <c r="F3706" s="4"/>
      <c r="G3706" s="4"/>
      <c r="H3706" s="4"/>
      <c r="I3706" s="4" t="str">
        <f>IFERROR(__xludf.DUMMYFUNCTION("""COMPUTED_VALUE"""),"0x8c2415af4afa2de9501016399f045620afa3b18c")</f>
        <v>0x8c2415af4afa2de9501016399f045620afa3b18c</v>
      </c>
      <c r="J3706" s="18">
        <v>19.5173570682069</v>
      </c>
      <c r="K3706" s="4">
        <v>243.96696335258622</v>
      </c>
      <c r="L3706" s="19">
        <v>2.4396696335258622E20</v>
      </c>
      <c r="M3706" s="20">
        <v>2.4396696335258624E19</v>
      </c>
    </row>
    <row r="3707">
      <c r="A3707" s="6"/>
      <c r="B3707" s="6"/>
      <c r="C3707" s="4"/>
      <c r="D3707" s="4">
        <v>7.1578908847403</v>
      </c>
      <c r="E3707" s="4" t="s">
        <v>5660</v>
      </c>
      <c r="F3707" s="4"/>
      <c r="G3707" s="4"/>
      <c r="H3707" s="4"/>
      <c r="I3707" s="4" t="str">
        <f>IFERROR(__xludf.DUMMYFUNCTION("""COMPUTED_VALUE"""),"0x5dcca38cd0631da422c98751b354baa5b416f198")</f>
        <v>0x5dcca38cd0631da422c98751b354baa5b416f198</v>
      </c>
      <c r="J3707" s="18">
        <v>7.14819331441012</v>
      </c>
      <c r="K3707" s="4">
        <v>89.3524164301265</v>
      </c>
      <c r="L3707" s="19">
        <v>8.93524164301265E19</v>
      </c>
      <c r="M3707" s="20">
        <v>8.93524164301265E18</v>
      </c>
    </row>
    <row r="3708">
      <c r="A3708" s="6"/>
      <c r="B3708" s="6"/>
      <c r="C3708" s="4"/>
      <c r="D3708" s="4">
        <v>48.3562158604776</v>
      </c>
      <c r="E3708" s="4" t="s">
        <v>1370</v>
      </c>
      <c r="F3708" s="4"/>
      <c r="G3708" s="4"/>
      <c r="H3708" s="4"/>
      <c r="I3708" s="4" t="str">
        <f>IFERROR(__xludf.DUMMYFUNCTION("""COMPUTED_VALUE"""),"0xb0c72b8b8d1b6d185bd35f459a46ffa4efa50f3d")</f>
        <v>0xb0c72b8b8d1b6d185bd35f459a46ffa4efa50f3d</v>
      </c>
      <c r="J3708" s="18">
        <v>48.3641275995966</v>
      </c>
      <c r="K3708" s="4">
        <v>604.5515949949574</v>
      </c>
      <c r="L3708" s="19">
        <v>6.045515949949574E20</v>
      </c>
      <c r="M3708" s="20">
        <v>6.045515949949574E19</v>
      </c>
    </row>
    <row r="3709">
      <c r="A3709" s="6"/>
      <c r="B3709" s="6"/>
      <c r="C3709" s="4"/>
      <c r="D3709" s="4">
        <v>26.723381140350398</v>
      </c>
      <c r="E3709" s="4" t="s">
        <v>1457</v>
      </c>
      <c r="F3709" s="4"/>
      <c r="G3709" s="4"/>
      <c r="H3709" s="4"/>
      <c r="I3709" s="4" t="str">
        <f>IFERROR(__xludf.DUMMYFUNCTION("""COMPUTED_VALUE"""),"0xf5594488eb525d07d0d61124117e03a46ea24472")</f>
        <v>0xf5594488eb525d07d0d61124117e03a46ea24472</v>
      </c>
      <c r="J3709" s="18">
        <v>48.3641275995966</v>
      </c>
      <c r="K3709" s="4">
        <v>604.5515949949574</v>
      </c>
      <c r="L3709" s="19">
        <v>6.045515949949574E20</v>
      </c>
      <c r="M3709" s="20">
        <v>6.045515949949574E19</v>
      </c>
    </row>
    <row r="3710">
      <c r="A3710" s="6"/>
      <c r="B3710" s="6"/>
      <c r="C3710" s="4"/>
      <c r="D3710" s="4">
        <v>48.3641275995966</v>
      </c>
      <c r="E3710" s="4" t="s">
        <v>5664</v>
      </c>
      <c r="F3710" s="4"/>
      <c r="G3710" s="4"/>
      <c r="H3710" s="4"/>
      <c r="I3710" s="4" t="str">
        <f>IFERROR(__xludf.DUMMYFUNCTION("""COMPUTED_VALUE"""),"0x7c9b6f529664af5c8ac813432db78956369cdc16")</f>
        <v>0x7c9b6f529664af5c8ac813432db78956369cdc16</v>
      </c>
      <c r="J3710" s="18">
        <v>66.9653236203466</v>
      </c>
      <c r="K3710" s="4">
        <v>837.0665452543324</v>
      </c>
      <c r="L3710" s="19">
        <v>8.370665452543324E20</v>
      </c>
      <c r="M3710" s="20">
        <v>8.370665452543323E19</v>
      </c>
    </row>
    <row r="3711">
      <c r="A3711" s="6"/>
      <c r="B3711" s="6"/>
      <c r="C3711" s="4"/>
      <c r="D3711" s="4">
        <v>44.286334890245996</v>
      </c>
      <c r="E3711" s="4" t="s">
        <v>5665</v>
      </c>
      <c r="F3711" s="4"/>
      <c r="G3711" s="4"/>
      <c r="H3711" s="4"/>
      <c r="I3711" s="4" t="str">
        <f>IFERROR(__xludf.DUMMYFUNCTION("""COMPUTED_VALUE"""),"0x591943d3f9a0aeb3e349d386aa7a87a2f6556a1b")</f>
        <v>0x591943d3f9a0aeb3e349d386aa7a87a2f6556a1b</v>
      </c>
      <c r="J3711" s="18">
        <v>24.8284514690982</v>
      </c>
      <c r="K3711" s="4">
        <v>310.3556433637275</v>
      </c>
      <c r="L3711" s="19">
        <v>3.103556433637275E20</v>
      </c>
      <c r="M3711" s="20">
        <v>3.1035564336372752E19</v>
      </c>
    </row>
    <row r="3712">
      <c r="A3712" s="6"/>
      <c r="B3712" s="6"/>
      <c r="C3712" s="4"/>
      <c r="D3712" s="4">
        <v>0.8656761762948469</v>
      </c>
      <c r="E3712" s="4" t="s">
        <v>5667</v>
      </c>
      <c r="F3712" s="4"/>
      <c r="G3712" s="4"/>
      <c r="H3712" s="4"/>
      <c r="I3712" s="4" t="str">
        <f>IFERROR(__xludf.DUMMYFUNCTION("""COMPUTED_VALUE"""),"0x03a3c3b2b45ec668d263ef0b058719a289eb7d49")</f>
        <v>0x03a3c3b2b45ec668d263ef0b058719a289eb7d49</v>
      </c>
      <c r="J3712" s="18">
        <v>48.3641275995966</v>
      </c>
      <c r="K3712" s="4">
        <v>604.5515949949574</v>
      </c>
      <c r="L3712" s="19">
        <v>6.045515949949574E20</v>
      </c>
      <c r="M3712" s="20">
        <v>6.045515949949574E19</v>
      </c>
    </row>
    <row r="3713">
      <c r="A3713" s="6"/>
      <c r="B3713" s="6"/>
      <c r="C3713" s="4"/>
      <c r="D3713" s="4">
        <v>48.3641275995966</v>
      </c>
      <c r="E3713" s="4" t="s">
        <v>562</v>
      </c>
      <c r="F3713" s="4"/>
      <c r="G3713" s="4"/>
      <c r="H3713" s="4"/>
      <c r="I3713" s="4" t="str">
        <f>IFERROR(__xludf.DUMMYFUNCTION("""COMPUTED_VALUE"""),"0x48d326d5244b14ece6495adbddff8fdb44128e01")</f>
        <v>0x48d326d5244b14ece6495adbddff8fdb44128e01</v>
      </c>
      <c r="J3713" s="18">
        <v>9.750927185097119</v>
      </c>
      <c r="K3713" s="4">
        <v>121.88658981371398</v>
      </c>
      <c r="L3713" s="19">
        <v>1.2188658981371398E20</v>
      </c>
      <c r="M3713" s="20">
        <v>1.2188658981371398E19</v>
      </c>
    </row>
    <row r="3714">
      <c r="A3714" s="6"/>
      <c r="B3714" s="6"/>
      <c r="C3714" s="4"/>
      <c r="D3714" s="4">
        <v>19.539107550237</v>
      </c>
      <c r="E3714" s="4" t="s">
        <v>5669</v>
      </c>
      <c r="F3714" s="4"/>
      <c r="G3714" s="4"/>
      <c r="H3714" s="4"/>
      <c r="I3714" s="4" t="str">
        <f>IFERROR(__xludf.DUMMYFUNCTION("""COMPUTED_VALUE"""),"0x1e962bd250fc7494c96f886a4e37109cd082da91")</f>
        <v>0x1e962bd250fc7494c96f886a4e37109cd082da91</v>
      </c>
      <c r="J3714" s="18">
        <v>1.4270593636795899</v>
      </c>
      <c r="K3714" s="4">
        <v>17.83824204599487</v>
      </c>
      <c r="L3714" s="19">
        <v>1.783824204599487E19</v>
      </c>
      <c r="M3714" s="20">
        <v>1.7838242045994872E18</v>
      </c>
    </row>
    <row r="3715">
      <c r="A3715" s="6"/>
      <c r="B3715" s="6"/>
      <c r="C3715" s="4"/>
      <c r="D3715" s="4">
        <v>45.4085529034948</v>
      </c>
      <c r="E3715" s="4" t="s">
        <v>5670</v>
      </c>
      <c r="F3715" s="4"/>
      <c r="G3715" s="4"/>
      <c r="H3715" s="4"/>
      <c r="I3715" s="4" t="str">
        <f>IFERROR(__xludf.DUMMYFUNCTION("""COMPUTED_VALUE"""),"0x40409954cb878a6384ec099e65106ad17b80fced")</f>
        <v>0x40409954cb878a6384ec099e65106ad17b80fced</v>
      </c>
      <c r="J3715" s="18">
        <v>113.4683136722219</v>
      </c>
      <c r="K3715" s="4">
        <v>1418.3539209027738</v>
      </c>
      <c r="L3715" s="19">
        <v>1.4183539209027739E21</v>
      </c>
      <c r="M3715" s="20">
        <v>1.418353920902774E20</v>
      </c>
    </row>
    <row r="3716">
      <c r="A3716" s="6"/>
      <c r="B3716" s="6"/>
      <c r="C3716" s="4"/>
      <c r="D3716" s="4">
        <v>44.674073553500506</v>
      </c>
      <c r="E3716" s="4" t="s">
        <v>1442</v>
      </c>
      <c r="F3716" s="4"/>
      <c r="G3716" s="4"/>
      <c r="H3716" s="4"/>
      <c r="I3716" s="4" t="str">
        <f>IFERROR(__xludf.DUMMYFUNCTION("""COMPUTED_VALUE"""),"0xb47a2b457d4c3dad00b620a6e13675be67a21953")</f>
        <v>0xb47a2b457d4c3dad00b620a6e13675be67a21953</v>
      </c>
      <c r="J3716" s="18">
        <v>43.2292625303078</v>
      </c>
      <c r="K3716" s="4">
        <v>540.3657816288475</v>
      </c>
      <c r="L3716" s="19">
        <v>5.4036578162884746E20</v>
      </c>
      <c r="M3716" s="20">
        <v>5.403657816288475E19</v>
      </c>
    </row>
    <row r="3717">
      <c r="A3717" s="6"/>
      <c r="B3717" s="6"/>
      <c r="C3717" s="4"/>
      <c r="D3717" s="4">
        <v>2.36510929423117</v>
      </c>
      <c r="E3717" s="4" t="s">
        <v>5673</v>
      </c>
      <c r="F3717" s="4"/>
      <c r="G3717" s="4"/>
      <c r="H3717" s="4"/>
      <c r="I3717" s="4" t="str">
        <f>IFERROR(__xludf.DUMMYFUNCTION("""COMPUTED_VALUE"""),"0x74786169961a8bac3695861f82c652bfe816d9b5")</f>
        <v>0x74786169961a8bac3695861f82c652bfe816d9b5</v>
      </c>
      <c r="J3717" s="18">
        <v>9.75812995092784</v>
      </c>
      <c r="K3717" s="4">
        <v>121.97662438659799</v>
      </c>
      <c r="L3717" s="19">
        <v>1.21976624386598E20</v>
      </c>
      <c r="M3717" s="20">
        <v>1.2197662438659801E19</v>
      </c>
    </row>
    <row r="3718">
      <c r="A3718" s="6"/>
      <c r="B3718" s="6"/>
      <c r="C3718" s="4"/>
      <c r="D3718" s="4">
        <v>9.672825519919328</v>
      </c>
      <c r="E3718" s="4" t="s">
        <v>5675</v>
      </c>
      <c r="F3718" s="4"/>
      <c r="G3718" s="4"/>
      <c r="H3718" s="4"/>
      <c r="I3718" s="4" t="str">
        <f>IFERROR(__xludf.DUMMYFUNCTION("""COMPUTED_VALUE"""),"0x1e12bbfd54397f37a7abfbf0208a0d4f50b438ef")</f>
        <v>0x1e12bbfd54397f37a7abfbf0208a0d4f50b438ef</v>
      </c>
      <c r="J3718" s="18">
        <v>3.3099897044073</v>
      </c>
      <c r="K3718" s="4">
        <v>41.37487130509125</v>
      </c>
      <c r="L3718" s="19">
        <v>4.137487130509124E19</v>
      </c>
      <c r="M3718" s="20">
        <v>4.1374871305091246E18</v>
      </c>
    </row>
    <row r="3719">
      <c r="A3719" s="6"/>
      <c r="B3719" s="6"/>
      <c r="C3719" s="4"/>
      <c r="D3719" s="4">
        <v>48.3641275995966</v>
      </c>
      <c r="E3719" s="4" t="s">
        <v>5676</v>
      </c>
      <c r="F3719" s="4"/>
      <c r="G3719" s="4"/>
      <c r="H3719" s="4"/>
      <c r="I3719" s="4" t="str">
        <f>IFERROR(__xludf.DUMMYFUNCTION("""COMPUTED_VALUE"""),"0xffc1f0b5ca16b09746d4b0b5113a0f9006175a3a")</f>
        <v>0xffc1f0b5ca16b09746d4b0b5113a0f9006175a3a</v>
      </c>
      <c r="J3719" s="18">
        <v>19.3456510398386</v>
      </c>
      <c r="K3719" s="4">
        <v>241.8206379979825</v>
      </c>
      <c r="L3719" s="19">
        <v>2.4182063799798248E20</v>
      </c>
      <c r="M3719" s="20">
        <v>2.418206379979825E19</v>
      </c>
    </row>
    <row r="3720">
      <c r="A3720" s="6"/>
      <c r="B3720" s="6"/>
      <c r="C3720" s="4"/>
      <c r="D3720" s="4">
        <v>11.5867737283469</v>
      </c>
      <c r="E3720" s="4" t="s">
        <v>5677</v>
      </c>
      <c r="F3720" s="4"/>
      <c r="G3720" s="4"/>
      <c r="H3720" s="4"/>
      <c r="I3720" s="4" t="str">
        <f>IFERROR(__xludf.DUMMYFUNCTION("""COMPUTED_VALUE"""),"0xdf9902ceb5403094bacbb5d1e5fe56b7e10dc298")</f>
        <v>0xdf9902ceb5403094bacbb5d1e5fe56b7e10dc298</v>
      </c>
      <c r="J3720" s="18">
        <v>44.6969656552602</v>
      </c>
      <c r="K3720" s="4">
        <v>558.7120706907525</v>
      </c>
      <c r="L3720" s="19">
        <v>5.587120706907525E20</v>
      </c>
      <c r="M3720" s="20">
        <v>5.587120706907525E19</v>
      </c>
    </row>
    <row r="3721">
      <c r="A3721" s="6"/>
      <c r="B3721" s="6"/>
      <c r="C3721" s="4"/>
      <c r="D3721" s="4">
        <v>48.3641275995966</v>
      </c>
      <c r="E3721" s="4" t="s">
        <v>226</v>
      </c>
      <c r="F3721" s="4"/>
      <c r="G3721" s="4"/>
      <c r="H3721" s="4"/>
      <c r="I3721" s="4" t="str">
        <f>IFERROR(__xludf.DUMMYFUNCTION("""COMPUTED_VALUE"""),"0x059ee7446ebdab11ae742d4511dea933e36232b6")</f>
        <v>0x059ee7446ebdab11ae742d4511dea933e36232b6</v>
      </c>
      <c r="J3721" s="18">
        <v>9.672825519919328</v>
      </c>
      <c r="K3721" s="4">
        <v>120.9103189989916</v>
      </c>
      <c r="L3721" s="19">
        <v>1.209103189989916E20</v>
      </c>
      <c r="M3721" s="20">
        <v>1.209103189989916E19</v>
      </c>
    </row>
    <row r="3722">
      <c r="A3722" s="6"/>
      <c r="B3722" s="6"/>
      <c r="C3722" s="4"/>
      <c r="D3722" s="4">
        <v>48.3641275995966</v>
      </c>
      <c r="E3722" s="4" t="s">
        <v>5679</v>
      </c>
      <c r="F3722" s="4"/>
      <c r="G3722" s="4"/>
      <c r="H3722" s="4"/>
      <c r="I3722" s="4" t="str">
        <f>IFERROR(__xludf.DUMMYFUNCTION("""COMPUTED_VALUE"""),"0xfbdd4856fa64917c3d6744b2178f0d73e0fc626b")</f>
        <v>0xfbdd4856fa64917c3d6744b2178f0d73e0fc626b</v>
      </c>
      <c r="J3722" s="18">
        <v>1.74110859358548</v>
      </c>
      <c r="K3722" s="4">
        <v>21.7638574198185</v>
      </c>
      <c r="L3722" s="19">
        <v>2.17638574198185E19</v>
      </c>
      <c r="M3722" s="20">
        <v>2.17638574198185E18</v>
      </c>
    </row>
    <row r="3723">
      <c r="A3723" s="6"/>
      <c r="B3723" s="6"/>
      <c r="C3723" s="4"/>
      <c r="D3723" s="4">
        <v>48.3641275995966</v>
      </c>
      <c r="E3723" s="4" t="s">
        <v>163</v>
      </c>
      <c r="F3723" s="4"/>
      <c r="G3723" s="4"/>
      <c r="H3723" s="4"/>
      <c r="I3723" s="4" t="str">
        <f>IFERROR(__xludf.DUMMYFUNCTION("""COMPUTED_VALUE"""),"0xc54811265dcad52cff755557859716fe8916e6fb")</f>
        <v>0xc54811265dcad52cff755557859716fe8916e6fb</v>
      </c>
      <c r="J3723" s="18">
        <v>48.332634584636</v>
      </c>
      <c r="K3723" s="4">
        <v>604.15793230795</v>
      </c>
      <c r="L3723" s="19">
        <v>6.0415793230795E20</v>
      </c>
      <c r="M3723" s="20">
        <v>6.0415793230795E19</v>
      </c>
    </row>
    <row r="3724">
      <c r="A3724" s="6"/>
      <c r="B3724" s="6"/>
      <c r="C3724" s="4"/>
      <c r="D3724" s="4">
        <v>5.8036953119516</v>
      </c>
      <c r="E3724" s="4" t="s">
        <v>5680</v>
      </c>
      <c r="F3724" s="4"/>
      <c r="G3724" s="4"/>
      <c r="H3724" s="4"/>
      <c r="I3724" s="4" t="str">
        <f>IFERROR(__xludf.DUMMYFUNCTION("""COMPUTED_VALUE"""),"0xa1d8c93ac4d7154eeab4a29760f3f6a8a9f9e5ae")</f>
        <v>0xa1d8c93ac4d7154eeab4a29760f3f6a8a9f9e5ae</v>
      </c>
      <c r="J3724" s="18">
        <v>57.66472560997164</v>
      </c>
      <c r="K3724" s="4">
        <v>720.8090701246455</v>
      </c>
      <c r="L3724" s="19">
        <v>7.208090701246455E20</v>
      </c>
      <c r="M3724" s="20">
        <v>7.208090701246455E19</v>
      </c>
    </row>
    <row r="3725">
      <c r="A3725" s="6"/>
      <c r="B3725" s="6"/>
      <c r="C3725" s="4"/>
      <c r="D3725" s="4">
        <v>9.91600118148396</v>
      </c>
      <c r="E3725" s="4" t="s">
        <v>5681</v>
      </c>
      <c r="F3725" s="4"/>
      <c r="G3725" s="4"/>
      <c r="H3725" s="4"/>
      <c r="I3725" s="4" t="str">
        <f>IFERROR(__xludf.DUMMYFUNCTION("""COMPUTED_VALUE"""),"0x39b3d42f6ad42f8322ccc6fdf594572797443020")</f>
        <v>0x39b3d42f6ad42f8322ccc6fdf594572797443020</v>
      </c>
      <c r="J3725" s="18">
        <v>5.951396860504129</v>
      </c>
      <c r="K3725" s="4">
        <v>74.39246075630162</v>
      </c>
      <c r="L3725" s="19">
        <v>7.439246075630161E19</v>
      </c>
      <c r="M3725" s="20">
        <v>7.439246075630162E18</v>
      </c>
    </row>
    <row r="3726">
      <c r="A3726" s="6"/>
      <c r="B3726" s="6"/>
      <c r="C3726" s="4"/>
      <c r="D3726" s="4">
        <v>18.8291652009281</v>
      </c>
      <c r="E3726" s="4" t="s">
        <v>5683</v>
      </c>
      <c r="F3726" s="4"/>
      <c r="G3726" s="4"/>
      <c r="H3726" s="4"/>
      <c r="I3726" s="4" t="str">
        <f>IFERROR(__xludf.DUMMYFUNCTION("""COMPUTED_VALUE"""),"0xeaa1253e6c4c693536556dd6c155c11d3d470bf2")</f>
        <v>0xeaa1253e6c4c693536556dd6c155c11d3d470bf2</v>
      </c>
      <c r="J3726" s="18">
        <v>24.9140695904995</v>
      </c>
      <c r="K3726" s="4">
        <v>311.4258698812438</v>
      </c>
      <c r="L3726" s="19">
        <v>3.114258698812438E20</v>
      </c>
      <c r="M3726" s="20">
        <v>3.114258698812438E19</v>
      </c>
    </row>
    <row r="3727">
      <c r="A3727" s="6"/>
      <c r="B3727" s="6"/>
      <c r="C3727" s="4"/>
      <c r="D3727" s="4">
        <v>0.5933895583559651</v>
      </c>
      <c r="E3727" s="4" t="s">
        <v>5685</v>
      </c>
      <c r="F3727" s="4"/>
      <c r="G3727" s="4"/>
      <c r="H3727" s="4"/>
      <c r="I3727" s="4" t="str">
        <f>IFERROR(__xludf.DUMMYFUNCTION("""COMPUTED_VALUE"""),"0xc8f30dcde9cea81547faaa890314126e687a12e3")</f>
        <v>0xc8f30dcde9cea81547faaa890314126e687a12e3</v>
      </c>
      <c r="J3727" s="18">
        <v>112.29336698512171</v>
      </c>
      <c r="K3727" s="4">
        <v>1403.6670873140213</v>
      </c>
      <c r="L3727" s="19">
        <v>1.4036670873140213E21</v>
      </c>
      <c r="M3727" s="20">
        <v>1.4036670873140213E20</v>
      </c>
    </row>
    <row r="3728">
      <c r="A3728" s="6"/>
      <c r="B3728" s="6"/>
      <c r="C3728" s="4"/>
      <c r="D3728" s="4">
        <v>9.672825519919328</v>
      </c>
      <c r="E3728" s="4" t="s">
        <v>5687</v>
      </c>
      <c r="F3728" s="4"/>
      <c r="G3728" s="4"/>
      <c r="H3728" s="4"/>
      <c r="I3728" s="4" t="str">
        <f>IFERROR(__xludf.DUMMYFUNCTION("""COMPUTED_VALUE"""),"0x4a36031c83d413a0108c606d2b6b176c469ad224")</f>
        <v>0x4a36031c83d413a0108c606d2b6b176c469ad224</v>
      </c>
      <c r="J3728" s="18">
        <v>9.672825519919328</v>
      </c>
      <c r="K3728" s="4">
        <v>120.9103189989916</v>
      </c>
      <c r="L3728" s="19">
        <v>1.209103189989916E20</v>
      </c>
      <c r="M3728" s="20">
        <v>1.209103189989916E19</v>
      </c>
    </row>
    <row r="3729">
      <c r="A3729" s="6"/>
      <c r="B3729" s="6"/>
      <c r="C3729" s="4"/>
      <c r="D3729" s="4">
        <v>48.3641275995966</v>
      </c>
      <c r="E3729" s="4" t="s">
        <v>169</v>
      </c>
      <c r="F3729" s="4"/>
      <c r="G3729" s="4"/>
      <c r="H3729" s="4"/>
      <c r="I3729" s="4" t="str">
        <f>IFERROR(__xludf.DUMMYFUNCTION("""COMPUTED_VALUE"""),"0xcef03a51e79368bdc031d4af95e79fc3a270e072")</f>
        <v>0xcef03a51e79368bdc031d4af95e79fc3a270e072</v>
      </c>
      <c r="J3729" s="18">
        <v>48.3641275995966</v>
      </c>
      <c r="K3729" s="4">
        <v>604.5515949949574</v>
      </c>
      <c r="L3729" s="19">
        <v>6.045515949949574E20</v>
      </c>
      <c r="M3729" s="20">
        <v>6.045515949949574E19</v>
      </c>
    </row>
    <row r="3730">
      <c r="A3730" s="6"/>
      <c r="B3730" s="6"/>
      <c r="C3730" s="4"/>
      <c r="D3730" s="4">
        <v>9.672825519919328</v>
      </c>
      <c r="E3730" s="4" t="s">
        <v>5688</v>
      </c>
      <c r="F3730" s="4"/>
      <c r="G3730" s="4"/>
      <c r="H3730" s="4"/>
      <c r="I3730" s="4" t="str">
        <f>IFERROR(__xludf.DUMMYFUNCTION("""COMPUTED_VALUE"""),"0x4c3db51769e2a4356cc908c0c32f9abc2d882dc4")</f>
        <v>0x4c3db51769e2a4356cc908c0c32f9abc2d882dc4</v>
      </c>
      <c r="J3730" s="18">
        <v>19.2667465566462</v>
      </c>
      <c r="K3730" s="4">
        <v>240.8343319580775</v>
      </c>
      <c r="L3730" s="19">
        <v>2.4083433195807752E20</v>
      </c>
      <c r="M3730" s="20">
        <v>2.4083433195807752E19</v>
      </c>
    </row>
    <row r="3731">
      <c r="A3731" s="6"/>
      <c r="B3731" s="6"/>
      <c r="C3731" s="4"/>
      <c r="D3731" s="4">
        <v>0.140588488352578</v>
      </c>
      <c r="E3731" s="4" t="s">
        <v>5689</v>
      </c>
      <c r="F3731" s="4"/>
      <c r="G3731" s="4"/>
      <c r="H3731" s="4"/>
      <c r="I3731" s="4" t="str">
        <f>IFERROR(__xludf.DUMMYFUNCTION("""COMPUTED_VALUE"""),"0x057e951678c8344f95628da6b5f3827daf8589b3")</f>
        <v>0x057e951678c8344f95628da6b5f3827daf8589b3</v>
      </c>
      <c r="J3731" s="18">
        <v>48.3641275995966</v>
      </c>
      <c r="K3731" s="4">
        <v>604.5515949949574</v>
      </c>
      <c r="L3731" s="19">
        <v>6.045515949949574E20</v>
      </c>
      <c r="M3731" s="20">
        <v>6.045515949949574E19</v>
      </c>
    </row>
    <row r="3732">
      <c r="A3732" s="6"/>
      <c r="B3732" s="6"/>
      <c r="C3732" s="4"/>
      <c r="D3732" s="4">
        <v>18.681061131003602</v>
      </c>
      <c r="E3732" s="4" t="s">
        <v>5691</v>
      </c>
      <c r="F3732" s="4"/>
      <c r="G3732" s="4"/>
      <c r="H3732" s="4"/>
      <c r="I3732" s="4" t="str">
        <f>IFERROR(__xludf.DUMMYFUNCTION("""COMPUTED_VALUE"""),"0xb771283a6a8827dbdd0aac2c8782d76f2bbdf854")</f>
        <v>0xb771283a6a8827dbdd0aac2c8782d76f2bbdf854</v>
      </c>
      <c r="J3732" s="18">
        <v>28.690643900897</v>
      </c>
      <c r="K3732" s="4">
        <v>358.6330487612125</v>
      </c>
      <c r="L3732" s="19">
        <v>3.586330487612125E20</v>
      </c>
      <c r="M3732" s="20">
        <v>3.5863304876121248E19</v>
      </c>
    </row>
    <row r="3733">
      <c r="A3733" s="6"/>
      <c r="B3733" s="6"/>
      <c r="C3733" s="4"/>
      <c r="D3733" s="4">
        <v>20.1500532142916</v>
      </c>
      <c r="E3733" s="4" t="s">
        <v>5693</v>
      </c>
      <c r="F3733" s="4"/>
      <c r="G3733" s="4"/>
      <c r="H3733" s="4"/>
      <c r="I3733" s="4" t="str">
        <f>IFERROR(__xludf.DUMMYFUNCTION("""COMPUTED_VALUE"""),"0xa71875cff5eb4062510ad6637ca3ea1d055ffc3f")</f>
        <v>0xa71875cff5eb4062510ad6637ca3ea1d055ffc3f</v>
      </c>
      <c r="J3733" s="18">
        <v>4.623219812924909</v>
      </c>
      <c r="K3733" s="4">
        <v>57.79024766156137</v>
      </c>
      <c r="L3733" s="19">
        <v>5.7790247661561364E19</v>
      </c>
      <c r="M3733" s="20">
        <v>5.779024766156136E18</v>
      </c>
    </row>
    <row r="3734">
      <c r="A3734" s="6"/>
      <c r="B3734" s="6"/>
      <c r="C3734" s="4"/>
      <c r="D3734" s="4">
        <v>48.3641275995966</v>
      </c>
      <c r="E3734" s="4" t="s">
        <v>5695</v>
      </c>
      <c r="F3734" s="4"/>
      <c r="G3734" s="4"/>
      <c r="H3734" s="4"/>
      <c r="I3734" s="4" t="str">
        <f>IFERROR(__xludf.DUMMYFUNCTION("""COMPUTED_VALUE"""),"0x8bc0fc5b31fa30266a3dd81753be66ee4b62a7f9")</f>
        <v>0x8bc0fc5b31fa30266a3dd81753be66ee4b62a7f9</v>
      </c>
      <c r="J3734" s="18">
        <v>234.37608780709658</v>
      </c>
      <c r="K3734" s="4">
        <v>2929.7010975887074</v>
      </c>
      <c r="L3734" s="19">
        <v>2.9297010975887076E21</v>
      </c>
      <c r="M3734" s="20">
        <v>2.9297010975887078E20</v>
      </c>
    </row>
    <row r="3735">
      <c r="A3735" s="6"/>
      <c r="B3735" s="6"/>
      <c r="C3735" s="4"/>
      <c r="D3735" s="4">
        <v>48.3641275995966</v>
      </c>
      <c r="E3735" s="4" t="s">
        <v>5696</v>
      </c>
      <c r="F3735" s="4"/>
      <c r="G3735" s="4"/>
      <c r="H3735" s="4"/>
      <c r="I3735" s="4" t="str">
        <f>IFERROR(__xludf.DUMMYFUNCTION("""COMPUTED_VALUE"""),"0xb3965025ea9d6268a49357e8876d9acc23f4e911")</f>
        <v>0xb3965025ea9d6268a49357e8876d9acc23f4e911</v>
      </c>
      <c r="J3735" s="18">
        <v>44.9636690024633</v>
      </c>
      <c r="K3735" s="4">
        <v>562.0458625307912</v>
      </c>
      <c r="L3735" s="19">
        <v>5.620458625307912E20</v>
      </c>
      <c r="M3735" s="20">
        <v>5.620458625307912E19</v>
      </c>
    </row>
    <row r="3736">
      <c r="A3736" s="6"/>
      <c r="B3736" s="6"/>
      <c r="C3736" s="4"/>
      <c r="D3736" s="4">
        <v>4.08566152895323</v>
      </c>
      <c r="E3736" s="4" t="s">
        <v>5697</v>
      </c>
      <c r="F3736" s="4"/>
      <c r="G3736" s="4"/>
      <c r="H3736" s="4"/>
      <c r="I3736" s="4" t="str">
        <f>IFERROR(__xludf.DUMMYFUNCTION("""COMPUTED_VALUE"""),"0xe0c47b4e9155301eb95532de99901b58cb3ec14e")</f>
        <v>0xe0c47b4e9155301eb95532de99901b58cb3ec14e</v>
      </c>
      <c r="J3736" s="18">
        <v>8.71973998510334</v>
      </c>
      <c r="K3736" s="4">
        <v>108.99674981379175</v>
      </c>
      <c r="L3736" s="19">
        <v>1.0899674981379175E20</v>
      </c>
      <c r="M3736" s="20">
        <v>1.0899674981379176E19</v>
      </c>
    </row>
    <row r="3737">
      <c r="A3737" s="6"/>
      <c r="B3737" s="6"/>
      <c r="C3737" s="4"/>
      <c r="D3737" s="4">
        <v>48.3641275995966</v>
      </c>
      <c r="E3737" s="4" t="s">
        <v>1356</v>
      </c>
      <c r="F3737" s="4"/>
      <c r="G3737" s="4"/>
      <c r="H3737" s="4"/>
      <c r="I3737" s="4" t="str">
        <f>IFERROR(__xludf.DUMMYFUNCTION("""COMPUTED_VALUE"""),"0x4c21ec9fe8cb8e106c3dde4af9e6294957d5f31e")</f>
        <v>0x4c21ec9fe8cb8e106c3dde4af9e6294957d5f31e</v>
      </c>
      <c r="J3737" s="18">
        <v>48.3641275995966</v>
      </c>
      <c r="K3737" s="4">
        <v>604.5515949949574</v>
      </c>
      <c r="L3737" s="19">
        <v>6.045515949949574E20</v>
      </c>
      <c r="M3737" s="20">
        <v>6.045515949949574E19</v>
      </c>
    </row>
    <row r="3738">
      <c r="A3738" s="6"/>
      <c r="B3738" s="6"/>
      <c r="C3738" s="4"/>
      <c r="D3738" s="4">
        <v>13.5369602134475</v>
      </c>
      <c r="E3738" s="4" t="s">
        <v>5699</v>
      </c>
      <c r="F3738" s="4"/>
      <c r="G3738" s="4"/>
      <c r="H3738" s="4"/>
      <c r="I3738" s="4" t="str">
        <f>IFERROR(__xludf.DUMMYFUNCTION("""COMPUTED_VALUE"""),"0x32ca0a78d8fb4a59703dd88d26e402e59f46f805")</f>
        <v>0x32ca0a78d8fb4a59703dd88d26e402e59f46f805</v>
      </c>
      <c r="J3738" s="18">
        <v>48.3641275995966</v>
      </c>
      <c r="K3738" s="4">
        <v>604.5515949949574</v>
      </c>
      <c r="L3738" s="19">
        <v>6.045515949949574E20</v>
      </c>
      <c r="M3738" s="20">
        <v>6.045515949949574E19</v>
      </c>
    </row>
    <row r="3739">
      <c r="A3739" s="6"/>
      <c r="B3739" s="6"/>
      <c r="C3739" s="4"/>
      <c r="D3739" s="4">
        <v>5.75278478586428</v>
      </c>
      <c r="E3739" s="4" t="s">
        <v>5701</v>
      </c>
      <c r="F3739" s="4"/>
      <c r="G3739" s="4"/>
      <c r="H3739" s="4"/>
      <c r="I3739" s="4" t="str">
        <f>IFERROR(__xludf.DUMMYFUNCTION("""COMPUTED_VALUE"""),"0x48dc2ec7ba244959ea42fa46a454bb4891a36b1d")</f>
        <v>0x48dc2ec7ba244959ea42fa46a454bb4891a36b1d</v>
      </c>
      <c r="J3739" s="18">
        <v>29.90252320510739</v>
      </c>
      <c r="K3739" s="4">
        <v>373.7815400638424</v>
      </c>
      <c r="L3739" s="19">
        <v>3.737815400638424E20</v>
      </c>
      <c r="M3739" s="20">
        <v>3.737815400638424E19</v>
      </c>
    </row>
    <row r="3740">
      <c r="A3740" s="6"/>
      <c r="B3740" s="6"/>
      <c r="C3740" s="4"/>
      <c r="D3740" s="4">
        <v>48.3641275995966</v>
      </c>
      <c r="E3740" s="4" t="s">
        <v>5703</v>
      </c>
      <c r="F3740" s="4"/>
      <c r="G3740" s="4"/>
      <c r="H3740" s="4"/>
      <c r="I3740" s="4" t="str">
        <f>IFERROR(__xludf.DUMMYFUNCTION("""COMPUTED_VALUE"""),"0xab761445c3e52ee5820234eb68e0cbd3876a72a0")</f>
        <v>0xab761445c3e52ee5820234eb68e0cbd3876a72a0</v>
      </c>
      <c r="J3740" s="18">
        <v>48.3641275995966</v>
      </c>
      <c r="K3740" s="4">
        <v>604.5515949949574</v>
      </c>
      <c r="L3740" s="19">
        <v>6.045515949949574E20</v>
      </c>
      <c r="M3740" s="20">
        <v>6.045515949949574E19</v>
      </c>
    </row>
    <row r="3741">
      <c r="A3741" s="6"/>
      <c r="B3741" s="6"/>
      <c r="C3741" s="4"/>
      <c r="D3741" s="4">
        <v>48.3641275995966</v>
      </c>
      <c r="E3741" s="4" t="s">
        <v>5704</v>
      </c>
      <c r="F3741" s="4"/>
      <c r="G3741" s="4"/>
      <c r="H3741" s="4"/>
      <c r="I3741" s="4" t="str">
        <f>IFERROR(__xludf.DUMMYFUNCTION("""COMPUTED_VALUE"""),"0xc41578868e8709a080fed6cef518dfc44189b24a")</f>
        <v>0xc41578868e8709a080fed6cef518dfc44189b24a</v>
      </c>
      <c r="J3741" s="18">
        <v>48.3641275995966</v>
      </c>
      <c r="K3741" s="4">
        <v>604.5515949949574</v>
      </c>
      <c r="L3741" s="19">
        <v>6.045515949949574E20</v>
      </c>
      <c r="M3741" s="20">
        <v>6.045515949949574E19</v>
      </c>
    </row>
    <row r="3742">
      <c r="A3742" s="6"/>
      <c r="B3742" s="6"/>
      <c r="C3742" s="4"/>
      <c r="D3742" s="4">
        <v>38.6913020796773</v>
      </c>
      <c r="E3742" s="4" t="s">
        <v>5705</v>
      </c>
      <c r="F3742" s="4"/>
      <c r="G3742" s="4"/>
      <c r="H3742" s="4"/>
      <c r="I3742" s="4" t="str">
        <f>IFERROR(__xludf.DUMMYFUNCTION("""COMPUTED_VALUE"""),"0x80a1ab6b5ef75c49b27be853e53b72366c38537f")</f>
        <v>0x80a1ab6b5ef75c49b27be853e53b72366c38537f</v>
      </c>
      <c r="J3742" s="18">
        <v>48.3641275995966</v>
      </c>
      <c r="K3742" s="4">
        <v>604.5515949949574</v>
      </c>
      <c r="L3742" s="19">
        <v>6.045515949949574E20</v>
      </c>
      <c r="M3742" s="20">
        <v>6.045515949949574E19</v>
      </c>
    </row>
    <row r="3743">
      <c r="A3743" s="6"/>
      <c r="B3743" s="6"/>
      <c r="C3743" s="4"/>
      <c r="D3743" s="4">
        <v>9.60808299259571</v>
      </c>
      <c r="E3743" s="4" t="s">
        <v>5706</v>
      </c>
      <c r="F3743" s="4"/>
      <c r="G3743" s="4"/>
      <c r="H3743" s="4"/>
      <c r="I3743" s="4" t="str">
        <f>IFERROR(__xludf.DUMMYFUNCTION("""COMPUTED_VALUE"""),"0x8b5499bd896e0fe70ceca8fe05a1906b54995d6f")</f>
        <v>0x8b5499bd896e0fe70ceca8fe05a1906b54995d6f</v>
      </c>
      <c r="J3743" s="18">
        <v>48.3641275995966</v>
      </c>
      <c r="K3743" s="4">
        <v>604.5515949949574</v>
      </c>
      <c r="L3743" s="19">
        <v>6.045515949949574E20</v>
      </c>
      <c r="M3743" s="20">
        <v>6.045515949949574E19</v>
      </c>
    </row>
    <row r="3744">
      <c r="A3744" s="6"/>
      <c r="B3744" s="6"/>
      <c r="C3744" s="4"/>
      <c r="D3744" s="4">
        <v>30.809198184116</v>
      </c>
      <c r="E3744" s="4" t="s">
        <v>5708</v>
      </c>
      <c r="F3744" s="4"/>
      <c r="G3744" s="4"/>
      <c r="H3744" s="4"/>
      <c r="I3744" s="4" t="str">
        <f>IFERROR(__xludf.DUMMYFUNCTION("""COMPUTED_VALUE"""),"0xe53959fa51f8136e31382263c5ca73504fc25708")</f>
        <v>0xe53959fa51f8136e31382263c5ca73504fc25708</v>
      </c>
      <c r="J3744" s="18">
        <v>78.8188286230794</v>
      </c>
      <c r="K3744" s="4">
        <v>985.2353577884925</v>
      </c>
      <c r="L3744" s="19">
        <v>9.852353577884925E20</v>
      </c>
      <c r="M3744" s="20">
        <v>9.852353577884926E19</v>
      </c>
    </row>
    <row r="3745">
      <c r="A3745" s="6"/>
      <c r="B3745" s="6"/>
      <c r="C3745" s="4"/>
      <c r="D3745" s="4">
        <v>48.3641275995966</v>
      </c>
      <c r="E3745" s="4" t="s">
        <v>1218</v>
      </c>
      <c r="F3745" s="4"/>
      <c r="G3745" s="4"/>
      <c r="H3745" s="4"/>
      <c r="I3745" s="4" t="str">
        <f>IFERROR(__xludf.DUMMYFUNCTION("""COMPUTED_VALUE"""),"0x0a7e465c1a354de9a6a51ccce84a50fe1a210eb3")</f>
        <v>0x0a7e465c1a354de9a6a51ccce84a50fe1a210eb3</v>
      </c>
      <c r="J3745" s="18">
        <v>46.767621903793106</v>
      </c>
      <c r="K3745" s="4">
        <v>584.5952737974138</v>
      </c>
      <c r="L3745" s="19">
        <v>5.845952737974138E20</v>
      </c>
      <c r="M3745" s="20">
        <v>5.8459527379741385E19</v>
      </c>
    </row>
    <row r="3746">
      <c r="A3746" s="6"/>
      <c r="B3746" s="6"/>
      <c r="C3746" s="4"/>
      <c r="D3746" s="4">
        <v>48.3641275995966</v>
      </c>
      <c r="E3746" s="4" t="s">
        <v>5710</v>
      </c>
      <c r="F3746" s="4"/>
      <c r="G3746" s="4"/>
      <c r="H3746" s="4"/>
      <c r="I3746" s="4" t="str">
        <f>IFERROR(__xludf.DUMMYFUNCTION("""COMPUTED_VALUE"""),"0x0f3d2106ea9e94cca7355a113d658c125a7fc3ca")</f>
        <v>0x0f3d2106ea9e94cca7355a113d658c125a7fc3ca</v>
      </c>
      <c r="J3746" s="18">
        <v>19.3456510398386</v>
      </c>
      <c r="K3746" s="4">
        <v>241.8206379979825</v>
      </c>
      <c r="L3746" s="19">
        <v>2.4182063799798248E20</v>
      </c>
      <c r="M3746" s="20">
        <v>2.418206379979825E19</v>
      </c>
    </row>
    <row r="3747">
      <c r="A3747" s="6"/>
      <c r="B3747" s="6"/>
      <c r="C3747" s="4"/>
      <c r="D3747" s="4">
        <v>48.3641275995966</v>
      </c>
      <c r="E3747" s="4" t="s">
        <v>5711</v>
      </c>
      <c r="F3747" s="4"/>
      <c r="G3747" s="4"/>
      <c r="H3747" s="4"/>
      <c r="I3747" s="4" t="str">
        <f>IFERROR(__xludf.DUMMYFUNCTION("""COMPUTED_VALUE"""),"0x767c991fdcdafab04c8e80c4eb45a95ac5b35c2b")</f>
        <v>0x767c991fdcdafab04c8e80c4eb45a95ac5b35c2b</v>
      </c>
      <c r="J3747" s="18">
        <v>9.672825519919328</v>
      </c>
      <c r="K3747" s="4">
        <v>120.9103189989916</v>
      </c>
      <c r="L3747" s="19">
        <v>1.209103189989916E20</v>
      </c>
      <c r="M3747" s="20">
        <v>1.209103189989916E19</v>
      </c>
    </row>
    <row r="3748">
      <c r="A3748" s="6"/>
      <c r="B3748" s="6"/>
      <c r="C3748" s="4"/>
      <c r="D3748" s="4">
        <v>20.9155984551979</v>
      </c>
      <c r="E3748" s="4" t="s">
        <v>5712</v>
      </c>
      <c r="F3748" s="4"/>
      <c r="G3748" s="4"/>
      <c r="H3748" s="4"/>
      <c r="I3748" s="4" t="str">
        <f>IFERROR(__xludf.DUMMYFUNCTION("""COMPUTED_VALUE"""),"0x6cdf99bfda8849df28cd81763ec8032b08bd6396")</f>
        <v>0x6cdf99bfda8849df28cd81763ec8032b08bd6396</v>
      </c>
      <c r="J3748" s="18">
        <v>0.44103933238068405</v>
      </c>
      <c r="K3748" s="4">
        <v>5.51299165475855</v>
      </c>
      <c r="L3748" s="19">
        <v>5.512991654758551E18</v>
      </c>
      <c r="M3748" s="20">
        <v>5.512991654758551E17</v>
      </c>
    </row>
    <row r="3749">
      <c r="A3749" s="6"/>
      <c r="B3749" s="6"/>
      <c r="C3749" s="4"/>
      <c r="D3749" s="4">
        <v>2.23164296707465</v>
      </c>
      <c r="E3749" s="4" t="s">
        <v>5714</v>
      </c>
      <c r="F3749" s="4"/>
      <c r="G3749" s="4"/>
      <c r="H3749" s="4"/>
      <c r="I3749" s="4" t="str">
        <f>IFERROR(__xludf.DUMMYFUNCTION("""COMPUTED_VALUE"""),"0xa612489ec01ea9fcd106acd2077f90bd855f3da2")</f>
        <v>0xa612489ec01ea9fcd106acd2077f90bd855f3da2</v>
      </c>
      <c r="J3749" s="18">
        <v>2.05063901022289</v>
      </c>
      <c r="K3749" s="4">
        <v>25.632987627786125</v>
      </c>
      <c r="L3749" s="19">
        <v>2.5632987627786125E19</v>
      </c>
      <c r="M3749" s="20">
        <v>2.5632987627786127E18</v>
      </c>
    </row>
    <row r="3750">
      <c r="A3750" s="6"/>
      <c r="B3750" s="6"/>
      <c r="C3750" s="4"/>
      <c r="D3750" s="4">
        <v>19.3456510398386</v>
      </c>
      <c r="E3750" s="4" t="s">
        <v>5716</v>
      </c>
      <c r="F3750" s="4"/>
      <c r="G3750" s="4"/>
      <c r="H3750" s="4"/>
      <c r="I3750" s="4" t="str">
        <f>IFERROR(__xludf.DUMMYFUNCTION("""COMPUTED_VALUE"""),"0x7bc01d2a051374e731bf03e7e7a88a4d3a738b39")</f>
        <v>0x7bc01d2a051374e731bf03e7e7a88a4d3a738b39</v>
      </c>
      <c r="J3750" s="18">
        <v>47.4073752406518</v>
      </c>
      <c r="K3750" s="4">
        <v>592.5921905081475</v>
      </c>
      <c r="L3750" s="19">
        <v>5.925921905081475E20</v>
      </c>
      <c r="M3750" s="20">
        <v>5.925921905081476E19</v>
      </c>
    </row>
    <row r="3751">
      <c r="A3751" s="6"/>
      <c r="B3751" s="6"/>
      <c r="C3751" s="4"/>
      <c r="D3751" s="4">
        <v>48.3641275995966</v>
      </c>
      <c r="E3751" s="4" t="s">
        <v>5717</v>
      </c>
      <c r="F3751" s="4"/>
      <c r="G3751" s="4"/>
      <c r="H3751" s="4"/>
      <c r="I3751" s="4" t="str">
        <f>IFERROR(__xludf.DUMMYFUNCTION("""COMPUTED_VALUE"""),"0xc62daea51057bf3635b80d1dfca349cf36c9aab7")</f>
        <v>0xc62daea51057bf3635b80d1dfca349cf36c9aab7</v>
      </c>
      <c r="J3751" s="18">
        <v>0.17699839249041</v>
      </c>
      <c r="K3751" s="4">
        <v>2.212479906130125</v>
      </c>
      <c r="L3751" s="19">
        <v>2.2124799061301248E18</v>
      </c>
      <c r="M3751" s="20">
        <v>2.2124799061301248E17</v>
      </c>
    </row>
    <row r="3752">
      <c r="A3752" s="6"/>
      <c r="B3752" s="6"/>
      <c r="C3752" s="4"/>
      <c r="D3752" s="4">
        <v>8.81642569317977</v>
      </c>
      <c r="E3752" s="4" t="s">
        <v>5718</v>
      </c>
      <c r="F3752" s="4"/>
      <c r="G3752" s="4"/>
      <c r="H3752" s="4"/>
      <c r="I3752" s="4" t="str">
        <f>IFERROR(__xludf.DUMMYFUNCTION("""COMPUTED_VALUE"""),"0xd8e94b908d7dbd3f460d4c1e88017b424251c9fd")</f>
        <v>0xd8e94b908d7dbd3f460d4c1e88017b424251c9fd</v>
      </c>
      <c r="J3752" s="18">
        <v>36.269670813915</v>
      </c>
      <c r="K3752" s="4">
        <v>453.3708851739375</v>
      </c>
      <c r="L3752" s="19">
        <v>4.533708851739375E20</v>
      </c>
      <c r="M3752" s="20">
        <v>4.533708851739375E19</v>
      </c>
    </row>
    <row r="3753">
      <c r="A3753" s="6"/>
      <c r="B3753" s="6"/>
      <c r="C3753" s="4"/>
      <c r="D3753" s="4">
        <v>48.3641275995966</v>
      </c>
      <c r="E3753" s="4" t="s">
        <v>5720</v>
      </c>
      <c r="F3753" s="4"/>
      <c r="G3753" s="4"/>
      <c r="H3753" s="4"/>
      <c r="I3753" s="4" t="str">
        <f>IFERROR(__xludf.DUMMYFUNCTION("""COMPUTED_VALUE"""),"0xd4db4f92539dbf9f2a480f09f3b6a322b651be01")</f>
        <v>0xd4db4f92539dbf9f2a480f09f3b6a322b651be01</v>
      </c>
      <c r="J3753" s="18">
        <v>16.1200268709877</v>
      </c>
      <c r="K3753" s="4">
        <v>201.50033588734627</v>
      </c>
      <c r="L3753" s="19">
        <v>2.0150033588734627E20</v>
      </c>
      <c r="M3753" s="20">
        <v>2.0150033588734628E19</v>
      </c>
    </row>
    <row r="3754">
      <c r="A3754" s="6"/>
      <c r="B3754" s="6"/>
      <c r="C3754" s="4"/>
      <c r="D3754" s="4">
        <v>38.014196296646304</v>
      </c>
      <c r="E3754" s="4" t="s">
        <v>5721</v>
      </c>
      <c r="F3754" s="4"/>
      <c r="G3754" s="4"/>
      <c r="H3754" s="4"/>
      <c r="I3754" s="4" t="str">
        <f>IFERROR(__xludf.DUMMYFUNCTION("""COMPUTED_VALUE"""),"0x87bc45ff566bee75d0e5d0bbc0496b228f11de8e")</f>
        <v>0x87bc45ff566bee75d0e5d0bbc0496b228f11de8e</v>
      </c>
      <c r="J3754" s="18">
        <v>7.145205656748909</v>
      </c>
      <c r="K3754" s="4">
        <v>89.31507070936136</v>
      </c>
      <c r="L3754" s="19">
        <v>8.931507070936136E19</v>
      </c>
      <c r="M3754" s="20">
        <v>8.931507070936137E18</v>
      </c>
    </row>
    <row r="3755">
      <c r="A3755" s="6"/>
      <c r="B3755" s="6"/>
      <c r="C3755" s="4"/>
      <c r="D3755" s="4">
        <v>34.000313928863896</v>
      </c>
      <c r="E3755" s="4" t="s">
        <v>5723</v>
      </c>
      <c r="F3755" s="4"/>
      <c r="G3755" s="4"/>
      <c r="H3755" s="4"/>
      <c r="I3755" s="4" t="str">
        <f>IFERROR(__xludf.DUMMYFUNCTION("""COMPUTED_VALUE"""),"0x3e2a569b883bbcd5fae68a20e9d23495bce9a35f")</f>
        <v>0x3e2a569b883bbcd5fae68a20e9d23495bce9a35f</v>
      </c>
      <c r="J3755" s="18">
        <v>130.1543529510335</v>
      </c>
      <c r="K3755" s="4">
        <v>1626.9294118879188</v>
      </c>
      <c r="L3755" s="19">
        <v>1.6269294118879187E21</v>
      </c>
      <c r="M3755" s="20">
        <v>1.626929411887919E20</v>
      </c>
    </row>
    <row r="3756">
      <c r="A3756" s="6"/>
      <c r="B3756" s="6"/>
      <c r="C3756" s="4"/>
      <c r="D3756" s="4">
        <v>39.828459868294395</v>
      </c>
      <c r="E3756" s="4" t="s">
        <v>5725</v>
      </c>
      <c r="F3756" s="4"/>
      <c r="G3756" s="4"/>
      <c r="H3756" s="4"/>
      <c r="I3756" s="4" t="str">
        <f>IFERROR(__xludf.DUMMYFUNCTION("""COMPUTED_VALUE"""),"0x59b0a956ad8d566d0a2d723ecd63dca0966e1889")</f>
        <v>0x59b0a956ad8d566d0a2d723ecd63dca0966e1889</v>
      </c>
      <c r="J3756" s="18">
        <v>48.3641275995966</v>
      </c>
      <c r="K3756" s="4">
        <v>604.5515949949574</v>
      </c>
      <c r="L3756" s="19">
        <v>6.045515949949574E20</v>
      </c>
      <c r="M3756" s="20">
        <v>6.045515949949574E19</v>
      </c>
    </row>
    <row r="3757">
      <c r="A3757" s="6"/>
      <c r="B3757" s="6"/>
      <c r="C3757" s="4"/>
      <c r="D3757" s="4">
        <v>19.34330012866</v>
      </c>
      <c r="E3757" s="4" t="s">
        <v>5727</v>
      </c>
      <c r="F3757" s="4"/>
      <c r="G3757" s="4"/>
      <c r="H3757" s="4"/>
      <c r="I3757" s="4" t="str">
        <f>IFERROR(__xludf.DUMMYFUNCTION("""COMPUTED_VALUE"""),"0x625904627d5060c0422d2e123748f4f49d149e1e")</f>
        <v>0x625904627d5060c0422d2e123748f4f49d149e1e</v>
      </c>
      <c r="J3757" s="18">
        <v>48.3641275995966</v>
      </c>
      <c r="K3757" s="4">
        <v>604.5515949949574</v>
      </c>
      <c r="L3757" s="19">
        <v>6.045515949949574E20</v>
      </c>
      <c r="M3757" s="20">
        <v>6.045515949949574E19</v>
      </c>
    </row>
    <row r="3758">
      <c r="A3758" s="6"/>
      <c r="B3758" s="6"/>
      <c r="C3758" s="4"/>
      <c r="D3758" s="4">
        <v>0.169177296404841</v>
      </c>
      <c r="E3758" s="4" t="s">
        <v>5729</v>
      </c>
      <c r="F3758" s="4"/>
      <c r="G3758" s="4"/>
      <c r="H3758" s="4"/>
      <c r="I3758" s="4" t="str">
        <f>IFERROR(__xludf.DUMMYFUNCTION("""COMPUTED_VALUE"""),"0x353651a9e88ac04dc0aaffbc24c7770e85adf36d")</f>
        <v>0x353651a9e88ac04dc0aaffbc24c7770e85adf36d</v>
      </c>
      <c r="J3758" s="18">
        <v>5.62197120840346</v>
      </c>
      <c r="K3758" s="4">
        <v>70.27464010504325</v>
      </c>
      <c r="L3758" s="19">
        <v>7.027464010504325E19</v>
      </c>
      <c r="M3758" s="20">
        <v>7.027464010504325E18</v>
      </c>
    </row>
    <row r="3759">
      <c r="A3759" s="6"/>
      <c r="B3759" s="6"/>
      <c r="C3759" s="4"/>
      <c r="D3759" s="4">
        <v>46.1545296382715</v>
      </c>
      <c r="E3759" s="4" t="s">
        <v>505</v>
      </c>
      <c r="F3759" s="4"/>
      <c r="G3759" s="4"/>
      <c r="H3759" s="4"/>
      <c r="I3759" s="4" t="str">
        <f>IFERROR(__xludf.DUMMYFUNCTION("""COMPUTED_VALUE"""),"0xe6256805cb2025f5d2e5551b39060379d77bcbd2")</f>
        <v>0xe6256805cb2025f5d2e5551b39060379d77bcbd2</v>
      </c>
      <c r="J3759" s="18">
        <v>48.3641275995966</v>
      </c>
      <c r="K3759" s="4">
        <v>604.5515949949574</v>
      </c>
      <c r="L3759" s="19">
        <v>6.045515949949574E20</v>
      </c>
      <c r="M3759" s="20">
        <v>6.045515949949574E19</v>
      </c>
    </row>
    <row r="3760">
      <c r="A3760" s="6"/>
      <c r="B3760" s="6"/>
      <c r="C3760" s="4"/>
      <c r="D3760" s="4">
        <v>2.29179234278993</v>
      </c>
      <c r="E3760" s="4" t="s">
        <v>5732</v>
      </c>
      <c r="F3760" s="4"/>
      <c r="G3760" s="4"/>
      <c r="H3760" s="4"/>
      <c r="I3760" s="4" t="str">
        <f>IFERROR(__xludf.DUMMYFUNCTION("""COMPUTED_VALUE"""),"0xcfde678747a4e706f33e717d59dfa95f9245c007")</f>
        <v>0xcfde678747a4e706f33e717d59dfa95f9245c007</v>
      </c>
      <c r="J3760" s="18">
        <v>14.5248078707918</v>
      </c>
      <c r="K3760" s="4">
        <v>181.56009838489751</v>
      </c>
      <c r="L3760" s="19">
        <v>1.815600983848975E20</v>
      </c>
      <c r="M3760" s="20">
        <v>1.8156009838489752E19</v>
      </c>
    </row>
    <row r="3761">
      <c r="A3761" s="6"/>
      <c r="B3761" s="6"/>
      <c r="C3761" s="4"/>
      <c r="D3761" s="4">
        <v>48.3641275995966</v>
      </c>
      <c r="E3761" s="4" t="s">
        <v>5734</v>
      </c>
      <c r="F3761" s="4"/>
      <c r="G3761" s="4"/>
      <c r="H3761" s="4"/>
      <c r="I3761" s="4" t="str">
        <f>IFERROR(__xludf.DUMMYFUNCTION("""COMPUTED_VALUE"""),"0x59ffeb875eed65e2ac079a8904c6a9f936dfea03")</f>
        <v>0x59ffeb875eed65e2ac079a8904c6a9f936dfea03</v>
      </c>
      <c r="J3761" s="18">
        <v>9.81973291208559</v>
      </c>
      <c r="K3761" s="4">
        <v>122.74666140106987</v>
      </c>
      <c r="L3761" s="19">
        <v>1.2274666140106988E20</v>
      </c>
      <c r="M3761" s="20">
        <v>1.227466614010699E19</v>
      </c>
    </row>
    <row r="3762">
      <c r="A3762" s="6"/>
      <c r="B3762" s="6"/>
      <c r="C3762" s="4"/>
      <c r="D3762" s="4">
        <v>48.3641275995966</v>
      </c>
      <c r="E3762" s="4" t="s">
        <v>5735</v>
      </c>
      <c r="F3762" s="4"/>
      <c r="G3762" s="4"/>
      <c r="H3762" s="4"/>
      <c r="I3762" s="4" t="str">
        <f>IFERROR(__xludf.DUMMYFUNCTION("""COMPUTED_VALUE"""),"0xa25e868888b18921ee54d3d5d5d8ce22c86b5c95")</f>
        <v>0xa25e868888b18921ee54d3d5d5d8ce22c86b5c95</v>
      </c>
      <c r="J3762" s="18">
        <v>19.3456510398386</v>
      </c>
      <c r="K3762" s="4">
        <v>241.8206379979825</v>
      </c>
      <c r="L3762" s="19">
        <v>2.4182063799798248E20</v>
      </c>
      <c r="M3762" s="20">
        <v>2.418206379979825E19</v>
      </c>
    </row>
    <row r="3763">
      <c r="A3763" s="6"/>
      <c r="B3763" s="6"/>
      <c r="C3763" s="4"/>
      <c r="D3763" s="4">
        <v>48.3641275995966</v>
      </c>
      <c r="E3763" s="4" t="s">
        <v>5736</v>
      </c>
      <c r="F3763" s="4"/>
      <c r="G3763" s="4"/>
      <c r="H3763" s="4"/>
      <c r="I3763" s="4" t="str">
        <f>IFERROR(__xludf.DUMMYFUNCTION("""COMPUTED_VALUE"""),"0xfd523ced07e00f0621159162f30b015b0a268e2f")</f>
        <v>0xfd523ced07e00f0621159162f30b015b0a268e2f</v>
      </c>
      <c r="J3763" s="18">
        <v>9.672825519919328</v>
      </c>
      <c r="K3763" s="4">
        <v>120.9103189989916</v>
      </c>
      <c r="L3763" s="19">
        <v>1.209103189989916E20</v>
      </c>
      <c r="M3763" s="20">
        <v>1.209103189989916E19</v>
      </c>
    </row>
    <row r="3764">
      <c r="A3764" s="6"/>
      <c r="B3764" s="6"/>
      <c r="C3764" s="4"/>
      <c r="D3764" s="4">
        <v>0.816970070179153</v>
      </c>
      <c r="E3764" s="4" t="s">
        <v>592</v>
      </c>
      <c r="F3764" s="4"/>
      <c r="G3764" s="4"/>
      <c r="H3764" s="4"/>
      <c r="I3764" s="4" t="str">
        <f>IFERROR(__xludf.DUMMYFUNCTION("""COMPUTED_VALUE"""),"0xf7fc3197398521003b67ba09433d739991b7c88c")</f>
        <v>0xf7fc3197398521003b67ba09433d739991b7c88c</v>
      </c>
      <c r="J3764" s="18">
        <v>8.81549476990327</v>
      </c>
      <c r="K3764" s="4">
        <v>110.19368462379086</v>
      </c>
      <c r="L3764" s="19">
        <v>1.1019368462379087E20</v>
      </c>
      <c r="M3764" s="20">
        <v>1.1019368462379088E19</v>
      </c>
    </row>
    <row r="3765">
      <c r="A3765" s="6"/>
      <c r="B3765" s="6"/>
      <c r="C3765" s="4"/>
      <c r="D3765" s="4">
        <v>48.3641275995966</v>
      </c>
      <c r="E3765" s="4" t="s">
        <v>5738</v>
      </c>
      <c r="F3765" s="4"/>
      <c r="G3765" s="4"/>
      <c r="H3765" s="4"/>
      <c r="I3765" s="4" t="str">
        <f>IFERROR(__xludf.DUMMYFUNCTION("""COMPUTED_VALUE"""),"0xdaefa32cb3db4be83c57b64d8b022dfab9ad75cb")</f>
        <v>0xdaefa32cb3db4be83c57b64d8b022dfab9ad75cb</v>
      </c>
      <c r="J3765" s="18">
        <v>25.346570101560097</v>
      </c>
      <c r="K3765" s="4">
        <v>316.8321262695012</v>
      </c>
      <c r="L3765" s="19">
        <v>3.168321262695012E20</v>
      </c>
      <c r="M3765" s="20">
        <v>3.1683212626950124E19</v>
      </c>
    </row>
    <row r="3766">
      <c r="A3766" s="6"/>
      <c r="B3766" s="6"/>
      <c r="C3766" s="4"/>
      <c r="D3766" s="4">
        <v>48.3641275995966</v>
      </c>
      <c r="E3766" s="4" t="s">
        <v>662</v>
      </c>
      <c r="F3766" s="4"/>
      <c r="G3766" s="4"/>
      <c r="H3766" s="4"/>
      <c r="I3766" s="4" t="str">
        <f>IFERROR(__xludf.DUMMYFUNCTION("""COMPUTED_VALUE"""),"0xe84c4394c61aa4d5b0c379adfb569537448d6f40")</f>
        <v>0xe84c4394c61aa4d5b0c379adfb569537448d6f40</v>
      </c>
      <c r="J3766" s="18">
        <v>9.670635273985662</v>
      </c>
      <c r="K3766" s="4">
        <v>120.88294092482077</v>
      </c>
      <c r="L3766" s="19">
        <v>1.2088294092482077E20</v>
      </c>
      <c r="M3766" s="20">
        <v>1.2088294092482077E19</v>
      </c>
    </row>
    <row r="3767">
      <c r="A3767" s="6"/>
      <c r="B3767" s="6"/>
      <c r="C3767" s="4"/>
      <c r="D3767" s="4">
        <v>48.3641275995966</v>
      </c>
      <c r="E3767" s="4" t="s">
        <v>5739</v>
      </c>
      <c r="F3767" s="4"/>
      <c r="G3767" s="4"/>
      <c r="H3767" s="4"/>
      <c r="I3767" s="4" t="str">
        <f>IFERROR(__xludf.DUMMYFUNCTION("""COMPUTED_VALUE"""),"0x4855fc9ff0a07a17d688cd945af8cdb810ae2d28")</f>
        <v>0x4855fc9ff0a07a17d688cd945af8cdb810ae2d28</v>
      </c>
      <c r="J3767" s="18">
        <v>24.87107222213</v>
      </c>
      <c r="K3767" s="4">
        <v>310.888402776625</v>
      </c>
      <c r="L3767" s="19">
        <v>3.10888402776625E20</v>
      </c>
      <c r="M3767" s="20">
        <v>3.10888402776625E19</v>
      </c>
    </row>
    <row r="3768">
      <c r="A3768" s="6"/>
      <c r="B3768" s="6"/>
      <c r="C3768" s="4"/>
      <c r="D3768" s="4">
        <v>48.3641275995966</v>
      </c>
      <c r="E3768" s="4" t="s">
        <v>5740</v>
      </c>
      <c r="F3768" s="4"/>
      <c r="G3768" s="4"/>
      <c r="H3768" s="4"/>
      <c r="I3768" s="4" t="str">
        <f>IFERROR(__xludf.DUMMYFUNCTION("""COMPUTED_VALUE"""),"0x2962ee43ae82d4dee0eb667bee5cf46b215d75e5")</f>
        <v>0x2962ee43ae82d4dee0eb667bee5cf46b215d75e5</v>
      </c>
      <c r="J3768" s="18">
        <v>7.70335490474018</v>
      </c>
      <c r="K3768" s="4">
        <v>96.29193630925225</v>
      </c>
      <c r="L3768" s="19">
        <v>9.629193630925224E19</v>
      </c>
      <c r="M3768" s="20">
        <v>9.629193630925224E18</v>
      </c>
    </row>
    <row r="3769">
      <c r="A3769" s="6"/>
      <c r="B3769" s="6"/>
      <c r="C3769" s="4"/>
      <c r="D3769" s="4">
        <v>46.6710471967696</v>
      </c>
      <c r="E3769" s="4" t="s">
        <v>1050</v>
      </c>
      <c r="F3769" s="4"/>
      <c r="G3769" s="4"/>
      <c r="H3769" s="4"/>
      <c r="I3769" s="4" t="str">
        <f>IFERROR(__xludf.DUMMYFUNCTION("""COMPUTED_VALUE"""),"0x1e735b48a234542c711f076e5c70d7d92fb9ae9f")</f>
        <v>0x1e735b48a234542c711f076e5c70d7d92fb9ae9f</v>
      </c>
      <c r="J3769" s="18">
        <v>36.872518697658</v>
      </c>
      <c r="K3769" s="4">
        <v>460.906483720725</v>
      </c>
      <c r="L3769" s="19">
        <v>4.60906483720725E20</v>
      </c>
      <c r="M3769" s="20">
        <v>4.6090648372072505E19</v>
      </c>
    </row>
    <row r="3770">
      <c r="A3770" s="6"/>
      <c r="B3770" s="6"/>
      <c r="C3770" s="4"/>
      <c r="D3770" s="4">
        <v>40.7046485325536</v>
      </c>
      <c r="E3770" s="4" t="s">
        <v>5742</v>
      </c>
      <c r="F3770" s="4"/>
      <c r="G3770" s="4"/>
      <c r="H3770" s="4"/>
      <c r="I3770" s="4" t="str">
        <f>IFERROR(__xludf.DUMMYFUNCTION("""COMPUTED_VALUE"""),"0x7de48bbb8384cb0a5f605b82963522bc1f875ee5")</f>
        <v>0x7de48bbb8384cb0a5f605b82963522bc1f875ee5</v>
      </c>
      <c r="J3770" s="18">
        <v>26.538603304458498</v>
      </c>
      <c r="K3770" s="4">
        <v>331.7325413057312</v>
      </c>
      <c r="L3770" s="19">
        <v>3.317325413057312E20</v>
      </c>
      <c r="M3770" s="20">
        <v>3.3173254130573124E19</v>
      </c>
    </row>
    <row r="3771">
      <c r="A3771" s="6"/>
      <c r="B3771" s="6"/>
      <c r="C3771" s="4"/>
      <c r="D3771" s="4">
        <v>9.672825519919328</v>
      </c>
      <c r="E3771" s="4" t="s">
        <v>5744</v>
      </c>
      <c r="F3771" s="4"/>
      <c r="G3771" s="4"/>
      <c r="H3771" s="4"/>
      <c r="I3771" s="4" t="str">
        <f>IFERROR(__xludf.DUMMYFUNCTION("""COMPUTED_VALUE"""),"0x0de7f3001a2e3874ab450910c1829a125a2be4f1")</f>
        <v>0x0de7f3001a2e3874ab450910c1829a125a2be4f1</v>
      </c>
      <c r="J3771" s="18">
        <v>108.82149363123321</v>
      </c>
      <c r="K3771" s="4">
        <v>1360.268670390415</v>
      </c>
      <c r="L3771" s="19">
        <v>1.360268670390415E21</v>
      </c>
      <c r="M3771" s="20">
        <v>1.3602686703904152E20</v>
      </c>
    </row>
    <row r="3772">
      <c r="A3772" s="6"/>
      <c r="B3772" s="6"/>
      <c r="C3772" s="4"/>
      <c r="D3772" s="4">
        <v>48.3641275995966</v>
      </c>
      <c r="E3772" s="4" t="s">
        <v>5745</v>
      </c>
      <c r="F3772" s="4"/>
      <c r="G3772" s="4"/>
      <c r="H3772" s="4"/>
      <c r="I3772" s="4" t="str">
        <f>IFERROR(__xludf.DUMMYFUNCTION("""COMPUTED_VALUE"""),"0x01ed673b8a71d160d79f840b704b3c6a832c2452")</f>
        <v>0x01ed673b8a71d160d79f840b704b3c6a832c2452</v>
      </c>
      <c r="J3772" s="18">
        <v>37.1064652711976</v>
      </c>
      <c r="K3772" s="4">
        <v>463.83081588997</v>
      </c>
      <c r="L3772" s="19">
        <v>4.6383081588997E20</v>
      </c>
      <c r="M3772" s="20">
        <v>4.6383081588997E19</v>
      </c>
    </row>
    <row r="3773">
      <c r="A3773" s="6"/>
      <c r="B3773" s="6"/>
      <c r="C3773" s="4"/>
      <c r="D3773" s="4">
        <v>48.3641275995966</v>
      </c>
      <c r="E3773" s="4" t="s">
        <v>5746</v>
      </c>
      <c r="F3773" s="4"/>
      <c r="G3773" s="4"/>
      <c r="H3773" s="4"/>
      <c r="I3773" s="4" t="str">
        <f>IFERROR(__xludf.DUMMYFUNCTION("""COMPUTED_VALUE"""),"0xc923ad21f767a6d0d3adc5adac1b78bc86e46f8d")</f>
        <v>0xc923ad21f767a6d0d3adc5adac1b78bc86e46f8d</v>
      </c>
      <c r="J3773" s="18">
        <v>25.598525736154897</v>
      </c>
      <c r="K3773" s="4">
        <v>319.9815717019362</v>
      </c>
      <c r="L3773" s="19">
        <v>3.199815717019362E20</v>
      </c>
      <c r="M3773" s="20">
        <v>3.1998157170193625E19</v>
      </c>
    </row>
    <row r="3774">
      <c r="A3774" s="6"/>
      <c r="B3774" s="6"/>
      <c r="C3774" s="4"/>
      <c r="D3774" s="4">
        <v>48.3641275995966</v>
      </c>
      <c r="E3774" s="4" t="s">
        <v>1576</v>
      </c>
      <c r="F3774" s="4"/>
      <c r="G3774" s="4"/>
      <c r="H3774" s="4"/>
      <c r="I3774" s="4" t="str">
        <f>IFERROR(__xludf.DUMMYFUNCTION("""COMPUTED_VALUE"""),"0xb8ef3b0a34711f9c3b4c0aa6eb9c98169c178396")</f>
        <v>0xb8ef3b0a34711f9c3b4c0aa6eb9c98169c178396</v>
      </c>
      <c r="J3774" s="18">
        <v>16.8041746271415</v>
      </c>
      <c r="K3774" s="4">
        <v>210.05218283926874</v>
      </c>
      <c r="L3774" s="19">
        <v>2.1005218283926874E20</v>
      </c>
      <c r="M3774" s="20">
        <v>2.1005218283926876E19</v>
      </c>
    </row>
    <row r="3775">
      <c r="A3775" s="6"/>
      <c r="B3775" s="6"/>
      <c r="C3775" s="4"/>
      <c r="D3775" s="4">
        <v>48.3641275995966</v>
      </c>
      <c r="E3775" s="4" t="s">
        <v>5747</v>
      </c>
      <c r="F3775" s="4"/>
      <c r="G3775" s="4"/>
      <c r="H3775" s="4"/>
      <c r="I3775" s="4" t="str">
        <f>IFERROR(__xludf.DUMMYFUNCTION("""COMPUTED_VALUE"""),"0x4d466cc015a2493bb0dcaacbdf50aa541e671b34")</f>
        <v>0x4d466cc015a2493bb0dcaacbdf50aa541e671b34</v>
      </c>
      <c r="J3775" s="18">
        <v>234.37608780709658</v>
      </c>
      <c r="K3775" s="4">
        <v>2929.7010975887074</v>
      </c>
      <c r="L3775" s="19">
        <v>2.9297010975887076E21</v>
      </c>
      <c r="M3775" s="20">
        <v>2.9297010975887078E20</v>
      </c>
    </row>
    <row r="3776">
      <c r="A3776" s="6"/>
      <c r="B3776" s="6"/>
      <c r="C3776" s="4"/>
      <c r="D3776" s="4">
        <v>9.672825519919328</v>
      </c>
      <c r="E3776" s="4" t="s">
        <v>5748</v>
      </c>
      <c r="F3776" s="4"/>
      <c r="G3776" s="4"/>
      <c r="H3776" s="4"/>
      <c r="I3776" s="4" t="str">
        <f>IFERROR(__xludf.DUMMYFUNCTION("""COMPUTED_VALUE"""),"0x930ecd451252fdb1660a2a342b92a03e1a26f869")</f>
        <v>0x930ecd451252fdb1660a2a342b92a03e1a26f869</v>
      </c>
      <c r="J3776" s="18">
        <v>110.0719370045561</v>
      </c>
      <c r="K3776" s="4">
        <v>1375.8992125569512</v>
      </c>
      <c r="L3776" s="19">
        <v>1.375899212556951E21</v>
      </c>
      <c r="M3776" s="20">
        <v>1.3758992125569512E20</v>
      </c>
    </row>
    <row r="3777">
      <c r="A3777" s="6"/>
      <c r="B3777" s="6"/>
      <c r="C3777" s="4"/>
      <c r="D3777" s="4">
        <v>47.2593097091009</v>
      </c>
      <c r="E3777" s="4" t="s">
        <v>5749</v>
      </c>
      <c r="F3777" s="4"/>
      <c r="G3777" s="4"/>
      <c r="H3777" s="4"/>
      <c r="I3777" s="4" t="str">
        <f>IFERROR(__xludf.DUMMYFUNCTION("""COMPUTED_VALUE"""),"0xfd1ae745ecf9b147deb6539f8a7d99670838e114")</f>
        <v>0xfd1ae745ecf9b147deb6539f8a7d99670838e114</v>
      </c>
      <c r="J3777" s="18">
        <v>48.3641275995966</v>
      </c>
      <c r="K3777" s="4">
        <v>604.5515949949574</v>
      </c>
      <c r="L3777" s="19">
        <v>6.045515949949574E20</v>
      </c>
      <c r="M3777" s="20">
        <v>6.045515949949574E19</v>
      </c>
    </row>
    <row r="3778">
      <c r="A3778" s="6"/>
      <c r="B3778" s="6"/>
      <c r="C3778" s="4"/>
      <c r="D3778" s="4">
        <v>48.3641275995966</v>
      </c>
      <c r="E3778" s="4" t="s">
        <v>5751</v>
      </c>
      <c r="F3778" s="4"/>
      <c r="G3778" s="4"/>
      <c r="H3778" s="4"/>
      <c r="I3778" s="4" t="str">
        <f>IFERROR(__xludf.DUMMYFUNCTION("""COMPUTED_VALUE"""),"0x14d7b36c220dce6a8aad540a78adf9d96a30d331")</f>
        <v>0x14d7b36c220dce6a8aad540a78adf9d96a30d331</v>
      </c>
      <c r="J3778" s="18">
        <v>141.370107703347</v>
      </c>
      <c r="K3778" s="4">
        <v>1767.1263462918375</v>
      </c>
      <c r="L3778" s="19">
        <v>1.7671263462918377E21</v>
      </c>
      <c r="M3778" s="20">
        <v>1.7671263462918377E20</v>
      </c>
    </row>
    <row r="3779">
      <c r="A3779" s="6"/>
      <c r="B3779" s="6"/>
      <c r="C3779" s="4"/>
      <c r="D3779" s="4">
        <v>48.3641275995966</v>
      </c>
      <c r="E3779" s="4" t="s">
        <v>5752</v>
      </c>
      <c r="F3779" s="4"/>
      <c r="G3779" s="4"/>
      <c r="H3779" s="4"/>
      <c r="I3779" s="4" t="str">
        <f>IFERROR(__xludf.DUMMYFUNCTION("""COMPUTED_VALUE"""),"0x9d8f02c333646d5982d8a31289f0545034d0eee6")</f>
        <v>0x9d8f02c333646d5982d8a31289f0545034d0eee6</v>
      </c>
      <c r="J3779" s="18">
        <v>17.4110859358548</v>
      </c>
      <c r="K3779" s="4">
        <v>217.63857419818498</v>
      </c>
      <c r="L3779" s="19">
        <v>2.1763857419818497E20</v>
      </c>
      <c r="M3779" s="20">
        <v>2.1763857419818496E19</v>
      </c>
    </row>
    <row r="3780">
      <c r="A3780" s="6"/>
      <c r="B3780" s="6"/>
      <c r="C3780" s="4"/>
      <c r="D3780" s="4">
        <v>22.1034944201854</v>
      </c>
      <c r="E3780" s="4" t="s">
        <v>5753</v>
      </c>
      <c r="F3780" s="4"/>
      <c r="G3780" s="4"/>
      <c r="H3780" s="4"/>
      <c r="I3780" s="4" t="str">
        <f>IFERROR(__xludf.DUMMYFUNCTION("""COMPUTED_VALUE"""),"0xde641713a0079c98036577fff3a786eab893f41b")</f>
        <v>0xde641713a0079c98036577fff3a786eab893f41b</v>
      </c>
      <c r="J3780" s="18">
        <v>29.1817202944726</v>
      </c>
      <c r="K3780" s="4">
        <v>364.77150368090753</v>
      </c>
      <c r="L3780" s="19">
        <v>3.647715036809075E20</v>
      </c>
      <c r="M3780" s="20">
        <v>3.647715036809075E19</v>
      </c>
    </row>
    <row r="3781">
      <c r="A3781" s="6"/>
      <c r="B3781" s="6"/>
      <c r="C3781" s="4"/>
      <c r="D3781" s="4">
        <v>42.6654854999089</v>
      </c>
      <c r="E3781" s="4" t="s">
        <v>5755</v>
      </c>
      <c r="F3781" s="4"/>
      <c r="G3781" s="4"/>
      <c r="H3781" s="4"/>
      <c r="I3781" s="4" t="str">
        <f>IFERROR(__xludf.DUMMYFUNCTION("""COMPUTED_VALUE"""),"0x3e58ff811123978669da22c0c36069d2a0fc8a1c")</f>
        <v>0x3e58ff811123978669da22c0c36069d2a0fc8a1c</v>
      </c>
      <c r="J3781" s="18">
        <v>57.74582110791653</v>
      </c>
      <c r="K3781" s="4">
        <v>721.8227638489566</v>
      </c>
      <c r="L3781" s="19">
        <v>7.218227638489566E20</v>
      </c>
      <c r="M3781" s="20">
        <v>7.2182276384895664E19</v>
      </c>
    </row>
    <row r="3782">
      <c r="A3782" s="6"/>
      <c r="B3782" s="6"/>
      <c r="C3782" s="4"/>
      <c r="D3782" s="4">
        <v>43.0364302385253</v>
      </c>
      <c r="E3782" s="4" t="s">
        <v>5757</v>
      </c>
      <c r="F3782" s="4"/>
      <c r="G3782" s="4"/>
      <c r="H3782" s="4"/>
      <c r="I3782" s="4" t="str">
        <f>IFERROR(__xludf.DUMMYFUNCTION("""COMPUTED_VALUE"""),"0x68cf73e6020670e1bf23bf6fb42246a2c18dce5f")</f>
        <v>0x68cf73e6020670e1bf23bf6fb42246a2c18dce5f</v>
      </c>
      <c r="J3782" s="18">
        <v>43.042755315483305</v>
      </c>
      <c r="K3782" s="4">
        <v>538.0344414435413</v>
      </c>
      <c r="L3782" s="19">
        <v>5.3803444144354125E20</v>
      </c>
      <c r="M3782" s="20">
        <v>5.380344414435413E19</v>
      </c>
    </row>
    <row r="3783">
      <c r="A3783" s="6"/>
      <c r="B3783" s="6"/>
      <c r="C3783" s="4"/>
      <c r="D3783" s="4">
        <v>33.8247741184678</v>
      </c>
      <c r="E3783" s="4" t="s">
        <v>5759</v>
      </c>
      <c r="F3783" s="4"/>
      <c r="G3783" s="4"/>
      <c r="H3783" s="4"/>
      <c r="I3783" s="4" t="str">
        <f>IFERROR(__xludf.DUMMYFUNCTION("""COMPUTED_VALUE"""),"0xfa934996ab5e05017861345bfdaf1ea1e1d67999")</f>
        <v>0xfa934996ab5e05017861345bfdaf1ea1e1d67999</v>
      </c>
      <c r="J3783" s="18">
        <v>48.3641275995966</v>
      </c>
      <c r="K3783" s="4">
        <v>604.5515949949574</v>
      </c>
      <c r="L3783" s="19">
        <v>6.045515949949574E20</v>
      </c>
      <c r="M3783" s="20">
        <v>6.045515949949574E19</v>
      </c>
    </row>
    <row r="3784">
      <c r="A3784" s="6"/>
      <c r="B3784" s="6"/>
      <c r="C3784" s="4"/>
      <c r="D3784" s="4">
        <v>9.672825519919328</v>
      </c>
      <c r="E3784" s="4" t="s">
        <v>5761</v>
      </c>
      <c r="F3784" s="4"/>
      <c r="G3784" s="4"/>
      <c r="H3784" s="4"/>
      <c r="I3784" s="4" t="str">
        <f>IFERROR(__xludf.DUMMYFUNCTION("""COMPUTED_VALUE"""),"0xd79edb3a7df2c259dc63079740d3c59c5515d66d")</f>
        <v>0xd79edb3a7df2c259dc63079740d3c59c5515d66d</v>
      </c>
      <c r="J3784" s="18">
        <v>9.70002890392532</v>
      </c>
      <c r="K3784" s="4">
        <v>121.2503612990665</v>
      </c>
      <c r="L3784" s="19">
        <v>1.212503612990665E20</v>
      </c>
      <c r="M3784" s="20">
        <v>1.2125036129906651E19</v>
      </c>
    </row>
    <row r="3785">
      <c r="A3785" s="6"/>
      <c r="B3785" s="6"/>
      <c r="C3785" s="4"/>
      <c r="D3785" s="4">
        <v>9.86330121294037</v>
      </c>
      <c r="E3785" s="4" t="s">
        <v>5762</v>
      </c>
      <c r="F3785" s="4"/>
      <c r="G3785" s="4"/>
      <c r="H3785" s="4"/>
      <c r="I3785" s="4" t="str">
        <f>IFERROR(__xludf.DUMMYFUNCTION("""COMPUTED_VALUE"""),"0xe15e9d002aee4ab3a76d11c5d55b9a4a8dce28e0")</f>
        <v>0xe15e9d002aee4ab3a76d11c5d55b9a4a8dce28e0</v>
      </c>
      <c r="J3785" s="18">
        <v>10.031258943466701</v>
      </c>
      <c r="K3785" s="4">
        <v>125.39073679333377</v>
      </c>
      <c r="L3785" s="19">
        <v>1.2539073679333378E20</v>
      </c>
      <c r="M3785" s="20">
        <v>1.2539073679333378E19</v>
      </c>
    </row>
    <row r="3786">
      <c r="A3786" s="6"/>
      <c r="B3786" s="6"/>
      <c r="C3786" s="4"/>
      <c r="D3786" s="4">
        <v>9.672825519919328</v>
      </c>
      <c r="E3786" s="4" t="s">
        <v>5764</v>
      </c>
      <c r="F3786" s="4"/>
      <c r="G3786" s="4"/>
      <c r="H3786" s="4"/>
      <c r="I3786" s="4" t="str">
        <f>IFERROR(__xludf.DUMMYFUNCTION("""COMPUTED_VALUE"""),"0x02f0b0d2ec427a926c3cd2cf7c036ed342dcd3d8")</f>
        <v>0x02f0b0d2ec427a926c3cd2cf7c036ed342dcd3d8</v>
      </c>
      <c r="J3786" s="18">
        <v>48.3641275995966</v>
      </c>
      <c r="K3786" s="4">
        <v>604.5515949949574</v>
      </c>
      <c r="L3786" s="19">
        <v>6.045515949949574E20</v>
      </c>
      <c r="M3786" s="20">
        <v>6.045515949949574E19</v>
      </c>
    </row>
    <row r="3787">
      <c r="A3787" s="6"/>
      <c r="B3787" s="6"/>
      <c r="C3787" s="4"/>
      <c r="D3787" s="4">
        <v>48.3641275995966</v>
      </c>
      <c r="E3787" s="4" t="s">
        <v>5765</v>
      </c>
      <c r="F3787" s="4"/>
      <c r="G3787" s="4"/>
      <c r="H3787" s="4"/>
      <c r="I3787" s="4" t="str">
        <f>IFERROR(__xludf.DUMMYFUNCTION("""COMPUTED_VALUE"""),"0x5db8eff3bd353f7f676f3444d4da359c97f554f5")</f>
        <v>0x5db8eff3bd353f7f676f3444d4da359c97f554f5</v>
      </c>
      <c r="J3787" s="18">
        <v>234.37608780709658</v>
      </c>
      <c r="K3787" s="4">
        <v>2929.7010975887074</v>
      </c>
      <c r="L3787" s="19">
        <v>2.9297010975887076E21</v>
      </c>
      <c r="M3787" s="20">
        <v>2.9297010975887078E20</v>
      </c>
    </row>
    <row r="3788">
      <c r="A3788" s="6"/>
      <c r="B3788" s="6"/>
      <c r="C3788" s="4"/>
      <c r="D3788" s="4">
        <v>32.257231204449</v>
      </c>
      <c r="E3788" s="4" t="s">
        <v>5766</v>
      </c>
      <c r="F3788" s="4"/>
      <c r="G3788" s="4"/>
      <c r="H3788" s="4"/>
      <c r="I3788" s="4" t="str">
        <f>IFERROR(__xludf.DUMMYFUNCTION("""COMPUTED_VALUE"""),"0x9163da45159025623b5b8e3aaff222842c18e505")</f>
        <v>0x9163da45159025623b5b8e3aaff222842c18e505</v>
      </c>
      <c r="J3788" s="18">
        <v>9.672825519919328</v>
      </c>
      <c r="K3788" s="4">
        <v>120.9103189989916</v>
      </c>
      <c r="L3788" s="19">
        <v>1.209103189989916E20</v>
      </c>
      <c r="M3788" s="20">
        <v>1.209103189989916E19</v>
      </c>
    </row>
    <row r="3789">
      <c r="A3789" s="6"/>
      <c r="B3789" s="6"/>
      <c r="C3789" s="4"/>
      <c r="D3789" s="4">
        <v>48.3641275995966</v>
      </c>
      <c r="E3789" s="4" t="s">
        <v>5768</v>
      </c>
      <c r="F3789" s="4"/>
      <c r="G3789" s="4"/>
      <c r="H3789" s="4"/>
      <c r="I3789" s="4" t="str">
        <f>IFERROR(__xludf.DUMMYFUNCTION("""COMPUTED_VALUE"""),"0xce606e23a364d7fe76bca9d8ed86df60b724cd64")</f>
        <v>0xce606e23a364d7fe76bca9d8ed86df60b724cd64</v>
      </c>
      <c r="J3789" s="18">
        <v>9.672825519919328</v>
      </c>
      <c r="K3789" s="4">
        <v>120.9103189989916</v>
      </c>
      <c r="L3789" s="19">
        <v>1.209103189989916E20</v>
      </c>
      <c r="M3789" s="20">
        <v>1.209103189989916E19</v>
      </c>
    </row>
    <row r="3790">
      <c r="A3790" s="6"/>
      <c r="B3790" s="6"/>
      <c r="C3790" s="4"/>
      <c r="D3790" s="4">
        <v>48.3641275995966</v>
      </c>
      <c r="E3790" s="4" t="s">
        <v>5769</v>
      </c>
      <c r="F3790" s="4"/>
      <c r="G3790" s="4"/>
      <c r="H3790" s="4"/>
      <c r="I3790" s="4" t="str">
        <f>IFERROR(__xludf.DUMMYFUNCTION("""COMPUTED_VALUE"""),"0x8fc87c199203332c1cc43430b9fad2b1868e44d0")</f>
        <v>0x8fc87c199203332c1cc43430b9fad2b1868e44d0</v>
      </c>
      <c r="J3790" s="18">
        <v>30.6612252200559</v>
      </c>
      <c r="K3790" s="4">
        <v>383.26531525069873</v>
      </c>
      <c r="L3790" s="19">
        <v>3.832653152506987E20</v>
      </c>
      <c r="M3790" s="20">
        <v>3.832653152506987E19</v>
      </c>
    </row>
    <row r="3791">
      <c r="A3791" s="6"/>
      <c r="B3791" s="6"/>
      <c r="C3791" s="4"/>
      <c r="D3791" s="4">
        <v>31.9605066760566</v>
      </c>
      <c r="E3791" s="4" t="s">
        <v>5770</v>
      </c>
      <c r="F3791" s="4"/>
      <c r="G3791" s="4"/>
      <c r="H3791" s="4"/>
      <c r="I3791" s="4" t="str">
        <f>IFERROR(__xludf.DUMMYFUNCTION("""COMPUTED_VALUE"""),"0xc7fa401d9d520c540ad0dacd275b67ae6aec91de")</f>
        <v>0xc7fa401d9d520c540ad0dacd275b67ae6aec91de</v>
      </c>
      <c r="J3791" s="18">
        <v>48.3641275995966</v>
      </c>
      <c r="K3791" s="4">
        <v>604.5515949949574</v>
      </c>
      <c r="L3791" s="19">
        <v>6.045515949949574E20</v>
      </c>
      <c r="M3791" s="20">
        <v>6.045515949949574E19</v>
      </c>
    </row>
    <row r="3792">
      <c r="A3792" s="6"/>
      <c r="B3792" s="6"/>
      <c r="C3792" s="4"/>
      <c r="D3792" s="4">
        <v>9.672825519919328</v>
      </c>
      <c r="E3792" s="4" t="s">
        <v>5772</v>
      </c>
      <c r="F3792" s="4"/>
      <c r="G3792" s="4"/>
      <c r="H3792" s="4"/>
      <c r="I3792" s="4" t="str">
        <f>IFERROR(__xludf.DUMMYFUNCTION("""COMPUTED_VALUE"""),"0xa4c08ad3ddf9e74d22442a4f245d0a977eee02b3")</f>
        <v>0xa4c08ad3ddf9e74d22442a4f245d0a977eee02b3</v>
      </c>
      <c r="J3792" s="18">
        <v>48.3641275995966</v>
      </c>
      <c r="K3792" s="4">
        <v>604.5515949949574</v>
      </c>
      <c r="L3792" s="19">
        <v>6.045515949949574E20</v>
      </c>
      <c r="M3792" s="20">
        <v>6.045515949949574E19</v>
      </c>
    </row>
    <row r="3793">
      <c r="A3793" s="6"/>
      <c r="B3793" s="6"/>
      <c r="C3793" s="4"/>
      <c r="D3793" s="4">
        <v>9.672825519919328</v>
      </c>
      <c r="E3793" s="4" t="s">
        <v>5773</v>
      </c>
      <c r="F3793" s="4"/>
      <c r="G3793" s="4"/>
      <c r="H3793" s="4"/>
      <c r="I3793" s="4" t="str">
        <f>IFERROR(__xludf.DUMMYFUNCTION("""COMPUTED_VALUE"""),"0xc90955d4b4c8a6e432ec66c5b1af856b6aaa3fb9")</f>
        <v>0xc90955d4b4c8a6e432ec66c5b1af856b6aaa3fb9</v>
      </c>
      <c r="J3793" s="18">
        <v>234.37608780709658</v>
      </c>
      <c r="K3793" s="4">
        <v>2929.7010975887074</v>
      </c>
      <c r="L3793" s="19">
        <v>2.9297010975887076E21</v>
      </c>
      <c r="M3793" s="20">
        <v>2.9297010975887078E20</v>
      </c>
    </row>
    <row r="3794">
      <c r="A3794" s="6"/>
      <c r="B3794" s="6"/>
      <c r="C3794" s="4"/>
      <c r="D3794" s="4">
        <v>28.2546784603677</v>
      </c>
      <c r="E3794" s="4" t="s">
        <v>306</v>
      </c>
      <c r="F3794" s="4"/>
      <c r="G3794" s="4"/>
      <c r="H3794" s="4"/>
      <c r="I3794" s="4" t="str">
        <f>IFERROR(__xludf.DUMMYFUNCTION("""COMPUTED_VALUE"""),"0x2e623542b37da0369071b278c643f472b9d8e255")</f>
        <v>0x2e623542b37da0369071b278c643f472b9d8e255</v>
      </c>
      <c r="J3794" s="18">
        <v>48.3641275995966</v>
      </c>
      <c r="K3794" s="4">
        <v>604.5515949949574</v>
      </c>
      <c r="L3794" s="19">
        <v>6.045515949949574E20</v>
      </c>
      <c r="M3794" s="20">
        <v>6.045515949949574E19</v>
      </c>
    </row>
    <row r="3795">
      <c r="A3795" s="6"/>
      <c r="B3795" s="6"/>
      <c r="C3795" s="4"/>
      <c r="D3795" s="4">
        <v>48.3641275995966</v>
      </c>
      <c r="E3795" s="4" t="s">
        <v>5775</v>
      </c>
      <c r="F3795" s="4"/>
      <c r="G3795" s="4"/>
      <c r="H3795" s="4"/>
      <c r="I3795" s="4" t="str">
        <f>IFERROR(__xludf.DUMMYFUNCTION("""COMPUTED_VALUE"""),"0x47ec3ac2799180ee634d4217a37efc1826e631b0")</f>
        <v>0x47ec3ac2799180ee634d4217a37efc1826e631b0</v>
      </c>
      <c r="J3795" s="18">
        <v>28.0624259071631</v>
      </c>
      <c r="K3795" s="4">
        <v>350.7803238395387</v>
      </c>
      <c r="L3795" s="19">
        <v>3.507803238395387E20</v>
      </c>
      <c r="M3795" s="20">
        <v>3.507803238395387E19</v>
      </c>
    </row>
    <row r="3796">
      <c r="A3796" s="6"/>
      <c r="B3796" s="6"/>
      <c r="C3796" s="4"/>
      <c r="D3796" s="4">
        <v>9.39280954486289</v>
      </c>
      <c r="E3796" s="4" t="s">
        <v>5776</v>
      </c>
      <c r="F3796" s="4"/>
      <c r="G3796" s="4"/>
      <c r="H3796" s="4"/>
      <c r="I3796" s="4" t="str">
        <f>IFERROR(__xludf.DUMMYFUNCTION("""COMPUTED_VALUE"""),"0x8ce1610a7eaec73413b2392d4694248b6f8f8b4e")</f>
        <v>0x8ce1610a7eaec73413b2392d4694248b6f8f8b4e</v>
      </c>
      <c r="J3796" s="18">
        <v>48.3641275995966</v>
      </c>
      <c r="K3796" s="4">
        <v>604.5515949949574</v>
      </c>
      <c r="L3796" s="19">
        <v>6.045515949949574E20</v>
      </c>
      <c r="M3796" s="20">
        <v>6.045515949949574E19</v>
      </c>
    </row>
    <row r="3797">
      <c r="A3797" s="6"/>
      <c r="B3797" s="6"/>
      <c r="C3797" s="4"/>
      <c r="D3797" s="4">
        <v>9.60278124422033</v>
      </c>
      <c r="E3797" s="4" t="s">
        <v>5778</v>
      </c>
      <c r="F3797" s="4"/>
      <c r="G3797" s="4"/>
      <c r="H3797" s="4"/>
      <c r="I3797" s="4" t="str">
        <f>IFERROR(__xludf.DUMMYFUNCTION("""COMPUTED_VALUE"""),"0x0aa020f95456bb6d331aef9fdf038b02274483f6")</f>
        <v>0x0aa020f95456bb6d331aef9fdf038b02274483f6</v>
      </c>
      <c r="J3797" s="18">
        <v>57.72616440042045</v>
      </c>
      <c r="K3797" s="4">
        <v>721.5770550052556</v>
      </c>
      <c r="L3797" s="19">
        <v>7.215770550052557E20</v>
      </c>
      <c r="M3797" s="20">
        <v>7.215770550052557E19</v>
      </c>
    </row>
    <row r="3798">
      <c r="A3798" s="6"/>
      <c r="B3798" s="6"/>
      <c r="C3798" s="4"/>
      <c r="D3798" s="4">
        <v>33.6597224573158</v>
      </c>
      <c r="E3798" s="4" t="s">
        <v>5780</v>
      </c>
      <c r="F3798" s="4"/>
      <c r="G3798" s="4"/>
      <c r="H3798" s="4"/>
      <c r="I3798" s="4" t="str">
        <f>IFERROR(__xludf.DUMMYFUNCTION("""COMPUTED_VALUE"""),"0x9458c54a975e7d61c9fb7103553692a590c28e08")</f>
        <v>0x9458c54a975e7d61c9fb7103553692a590c28e08</v>
      </c>
      <c r="J3798" s="18">
        <v>48.3641275995966</v>
      </c>
      <c r="K3798" s="4">
        <v>604.5515949949574</v>
      </c>
      <c r="L3798" s="19">
        <v>6.045515949949574E20</v>
      </c>
      <c r="M3798" s="20">
        <v>6.045515949949574E19</v>
      </c>
    </row>
    <row r="3799">
      <c r="A3799" s="6"/>
      <c r="B3799" s="6"/>
      <c r="C3799" s="4"/>
      <c r="D3799" s="4">
        <v>24.3157469514113</v>
      </c>
      <c r="E3799" s="4" t="s">
        <v>5782</v>
      </c>
      <c r="F3799" s="4"/>
      <c r="G3799" s="4"/>
      <c r="H3799" s="4"/>
      <c r="I3799" s="4" t="str">
        <f>IFERROR(__xludf.DUMMYFUNCTION("""COMPUTED_VALUE"""),"0x26a6e51d6c6420ab357328bb7900eada49b74b5a")</f>
        <v>0x26a6e51d6c6420ab357328bb7900eada49b74b5a</v>
      </c>
      <c r="J3799" s="18">
        <v>48.3641275995966</v>
      </c>
      <c r="K3799" s="4">
        <v>604.5515949949574</v>
      </c>
      <c r="L3799" s="19">
        <v>6.045515949949574E20</v>
      </c>
      <c r="M3799" s="20">
        <v>6.045515949949574E19</v>
      </c>
    </row>
    <row r="3800">
      <c r="A3800" s="6"/>
      <c r="B3800" s="6"/>
      <c r="C3800" s="4"/>
      <c r="D3800" s="4">
        <v>46.5947883559428</v>
      </c>
      <c r="E3800" s="4" t="s">
        <v>5784</v>
      </c>
      <c r="F3800" s="4"/>
      <c r="G3800" s="4"/>
      <c r="H3800" s="4"/>
      <c r="I3800" s="4" t="str">
        <f>IFERROR(__xludf.DUMMYFUNCTION("""COMPUTED_VALUE"""),"0x14ec250424ab2ab0f47c11f80b217cc1a3f3f4a6")</f>
        <v>0x14ec250424ab2ab0f47c11f80b217cc1a3f3f4a6</v>
      </c>
      <c r="J3800" s="18">
        <v>57.66545849430468</v>
      </c>
      <c r="K3800" s="4">
        <v>720.8182311788084</v>
      </c>
      <c r="L3800" s="19">
        <v>7.208182311788084E20</v>
      </c>
      <c r="M3800" s="20">
        <v>7.2081823117880844E19</v>
      </c>
    </row>
    <row r="3801">
      <c r="A3801" s="6"/>
      <c r="B3801" s="6"/>
      <c r="C3801" s="4"/>
      <c r="D3801" s="4">
        <v>48.3641275995966</v>
      </c>
      <c r="E3801" s="4" t="s">
        <v>1184</v>
      </c>
      <c r="F3801" s="4"/>
      <c r="G3801" s="4"/>
      <c r="H3801" s="4"/>
      <c r="I3801" s="4" t="str">
        <f>IFERROR(__xludf.DUMMYFUNCTION("""COMPUTED_VALUE"""),"0x2cbe99fb1c7f71e5cf88e2994201320df47a56c4")</f>
        <v>0x2cbe99fb1c7f71e5cf88e2994201320df47a56c4</v>
      </c>
      <c r="J3801" s="18">
        <v>138.33688991845293</v>
      </c>
      <c r="K3801" s="4">
        <v>1729.2111239806616</v>
      </c>
      <c r="L3801" s="19">
        <v>1.7292111239806617E21</v>
      </c>
      <c r="M3801" s="20">
        <v>1.729211123980662E20</v>
      </c>
    </row>
    <row r="3802">
      <c r="A3802" s="6"/>
      <c r="B3802" s="6"/>
      <c r="C3802" s="4"/>
      <c r="D3802" s="4">
        <v>48.3641275995966</v>
      </c>
      <c r="E3802" s="4" t="s">
        <v>5786</v>
      </c>
      <c r="F3802" s="4"/>
      <c r="G3802" s="4"/>
      <c r="H3802" s="4"/>
      <c r="I3802" s="4" t="str">
        <f>IFERROR(__xludf.DUMMYFUNCTION("""COMPUTED_VALUE"""),"0xed939d35c857415c5c4ec419c06c67e5e0db7ba7")</f>
        <v>0xed939d35c857415c5c4ec419c06c67e5e0db7ba7</v>
      </c>
      <c r="J3802" s="18">
        <v>19.3456510398386</v>
      </c>
      <c r="K3802" s="4">
        <v>241.8206379979825</v>
      </c>
      <c r="L3802" s="19">
        <v>2.4182063799798248E20</v>
      </c>
      <c r="M3802" s="20">
        <v>2.418206379979825E19</v>
      </c>
    </row>
    <row r="3803">
      <c r="A3803" s="6"/>
      <c r="B3803" s="6"/>
      <c r="C3803" s="4"/>
      <c r="D3803" s="4">
        <v>9.672825519919328</v>
      </c>
      <c r="E3803" s="4" t="s">
        <v>5787</v>
      </c>
      <c r="F3803" s="4"/>
      <c r="G3803" s="4"/>
      <c r="H3803" s="4"/>
      <c r="I3803" s="4" t="str">
        <f>IFERROR(__xludf.DUMMYFUNCTION("""COMPUTED_VALUE"""),"0x33fc7256413f201da553dc2768960b91919ded02")</f>
        <v>0x33fc7256413f201da553dc2768960b91919ded02</v>
      </c>
      <c r="J3803" s="18">
        <v>18.766663597743197</v>
      </c>
      <c r="K3803" s="4">
        <v>234.58329497178994</v>
      </c>
      <c r="L3803" s="19">
        <v>2.3458329497178993E20</v>
      </c>
      <c r="M3803" s="20">
        <v>2.3458329497178997E19</v>
      </c>
    </row>
    <row r="3804">
      <c r="A3804" s="6"/>
      <c r="B3804" s="6"/>
      <c r="C3804" s="4"/>
      <c r="D3804" s="4">
        <v>48.3641275995966</v>
      </c>
      <c r="E3804" s="4" t="s">
        <v>5788</v>
      </c>
      <c r="F3804" s="4"/>
      <c r="G3804" s="4"/>
      <c r="H3804" s="4"/>
      <c r="I3804" s="4" t="str">
        <f>IFERROR(__xludf.DUMMYFUNCTION("""COMPUTED_VALUE"""),"0xf2bdcb0020167a05f4e57e8ca0d6e4ba422edfd4")</f>
        <v>0xf2bdcb0020167a05f4e57e8ca0d6e4ba422edfd4</v>
      </c>
      <c r="J3804" s="18">
        <v>56.550545753587706</v>
      </c>
      <c r="K3804" s="4">
        <v>706.8818219198463</v>
      </c>
      <c r="L3804" s="19">
        <v>7.068818219198463E20</v>
      </c>
      <c r="M3804" s="20">
        <v>7.068818219198464E19</v>
      </c>
    </row>
    <row r="3805">
      <c r="A3805" s="6"/>
      <c r="B3805" s="6"/>
      <c r="C3805" s="4"/>
      <c r="D3805" s="4">
        <v>8.30339847998195</v>
      </c>
      <c r="E3805" s="4" t="s">
        <v>5789</v>
      </c>
      <c r="F3805" s="4"/>
      <c r="G3805" s="4"/>
      <c r="H3805" s="4"/>
      <c r="I3805" s="4" t="str">
        <f>IFERROR(__xludf.DUMMYFUNCTION("""COMPUTED_VALUE"""),"0xb060b0b7b450753766bad0a746115a291d85e1b1")</f>
        <v>0xb060b0b7b450753766bad0a746115a291d85e1b1</v>
      </c>
      <c r="J3805" s="18">
        <v>23.5500296003092</v>
      </c>
      <c r="K3805" s="4">
        <v>294.375370003865</v>
      </c>
      <c r="L3805" s="19">
        <v>2.9437537000386498E20</v>
      </c>
      <c r="M3805" s="20">
        <v>2.94375370003865E19</v>
      </c>
    </row>
    <row r="3806">
      <c r="A3806" s="6"/>
      <c r="B3806" s="6"/>
      <c r="C3806" s="4"/>
      <c r="D3806" s="4">
        <v>48.3641275995966</v>
      </c>
      <c r="E3806" s="4" t="s">
        <v>495</v>
      </c>
      <c r="F3806" s="4"/>
      <c r="G3806" s="4"/>
      <c r="H3806" s="4"/>
      <c r="I3806" s="4" t="str">
        <f>IFERROR(__xludf.DUMMYFUNCTION("""COMPUTED_VALUE"""),"0x72a0298d4c377c6399cc7c33d3c960c18b8508db")</f>
        <v>0x72a0298d4c377c6399cc7c33d3c960c18b8508db</v>
      </c>
      <c r="J3806" s="18">
        <v>6.295537212131739</v>
      </c>
      <c r="K3806" s="4">
        <v>78.69421515164674</v>
      </c>
      <c r="L3806" s="19">
        <v>7.869421515164675E19</v>
      </c>
      <c r="M3806" s="20">
        <v>7.869421515164676E18</v>
      </c>
    </row>
    <row r="3807">
      <c r="A3807" s="6"/>
      <c r="B3807" s="6"/>
      <c r="C3807" s="4"/>
      <c r="D3807" s="4">
        <v>48.3641275995966</v>
      </c>
      <c r="E3807" s="4" t="s">
        <v>5791</v>
      </c>
      <c r="F3807" s="4"/>
      <c r="G3807" s="4"/>
      <c r="H3807" s="4"/>
      <c r="I3807" s="4" t="str">
        <f>IFERROR(__xludf.DUMMYFUNCTION("""COMPUTED_VALUE"""),"0x53351c4d485b790f43acd33ec42bdab80736636b")</f>
        <v>0x53351c4d485b790f43acd33ec42bdab80736636b</v>
      </c>
      <c r="J3807" s="18">
        <v>48.3641275995966</v>
      </c>
      <c r="K3807" s="4">
        <v>604.5515949949574</v>
      </c>
      <c r="L3807" s="19">
        <v>6.045515949949574E20</v>
      </c>
      <c r="M3807" s="20">
        <v>6.045515949949574E19</v>
      </c>
    </row>
    <row r="3808">
      <c r="A3808" s="6"/>
      <c r="B3808" s="6"/>
      <c r="C3808" s="4"/>
      <c r="D3808" s="4">
        <v>9.86628203031772</v>
      </c>
      <c r="E3808" s="4" t="s">
        <v>5792</v>
      </c>
      <c r="F3808" s="4"/>
      <c r="G3808" s="4"/>
      <c r="H3808" s="4"/>
      <c r="I3808" s="4" t="str">
        <f>IFERROR(__xludf.DUMMYFUNCTION("""COMPUTED_VALUE"""),"0x0bddcdff554f68d5cdb41b88f613918581969e23")</f>
        <v>0x0bddcdff554f68d5cdb41b88f613918581969e23</v>
      </c>
      <c r="J3808" s="18">
        <v>19.3456510398386</v>
      </c>
      <c r="K3808" s="4">
        <v>241.8206379979825</v>
      </c>
      <c r="L3808" s="19">
        <v>2.4182063799798248E20</v>
      </c>
      <c r="M3808" s="20">
        <v>2.418206379979825E19</v>
      </c>
    </row>
    <row r="3809">
      <c r="A3809" s="6"/>
      <c r="B3809" s="6"/>
      <c r="C3809" s="4"/>
      <c r="D3809" s="4">
        <v>38.6913020796773</v>
      </c>
      <c r="E3809" s="4" t="s">
        <v>5793</v>
      </c>
      <c r="F3809" s="4"/>
      <c r="G3809" s="4"/>
      <c r="H3809" s="4"/>
      <c r="I3809" s="4" t="str">
        <f>IFERROR(__xludf.DUMMYFUNCTION("""COMPUTED_VALUE"""),"0x0b00370899faed6adcf83b242167498151ccd344")</f>
        <v>0x0b00370899faed6adcf83b242167498151ccd344</v>
      </c>
      <c r="J3809" s="18">
        <v>57.66605892603127</v>
      </c>
      <c r="K3809" s="4">
        <v>720.8257365753908</v>
      </c>
      <c r="L3809" s="19">
        <v>7.208257365753908E20</v>
      </c>
      <c r="M3809" s="20">
        <v>7.2082573657539084E19</v>
      </c>
    </row>
    <row r="3810">
      <c r="A3810" s="6"/>
      <c r="B3810" s="6"/>
      <c r="C3810" s="4"/>
      <c r="D3810" s="4">
        <v>48.3641275995966</v>
      </c>
      <c r="E3810" s="4" t="s">
        <v>5794</v>
      </c>
      <c r="F3810" s="4"/>
      <c r="G3810" s="4"/>
      <c r="H3810" s="4"/>
      <c r="I3810" s="4" t="str">
        <f>IFERROR(__xludf.DUMMYFUNCTION("""COMPUTED_VALUE"""),"0x8f58d700de13fcba9fdbe7e9cabc437305b12a7a")</f>
        <v>0x8f58d700de13fcba9fdbe7e9cabc437305b12a7a</v>
      </c>
      <c r="J3810" s="18">
        <v>19.770599829139</v>
      </c>
      <c r="K3810" s="4">
        <v>247.1324978642375</v>
      </c>
      <c r="L3810" s="19">
        <v>2.471324978642375E20</v>
      </c>
      <c r="M3810" s="20">
        <v>2.4713249786423755E19</v>
      </c>
    </row>
    <row r="3811">
      <c r="A3811" s="6"/>
      <c r="B3811" s="6"/>
      <c r="C3811" s="4"/>
      <c r="D3811" s="4">
        <v>7.6217874052887105</v>
      </c>
      <c r="E3811" s="4" t="s">
        <v>5795</v>
      </c>
      <c r="F3811" s="4"/>
      <c r="G3811" s="4"/>
      <c r="H3811" s="4"/>
      <c r="I3811" s="4" t="str">
        <f>IFERROR(__xludf.DUMMYFUNCTION("""COMPUTED_VALUE"""),"0x6998c2549b959531a1f0384063037e854e82d688")</f>
        <v>0x6998c2549b959531a1f0384063037e854e82d688</v>
      </c>
      <c r="J3811" s="18">
        <v>48.3641275995966</v>
      </c>
      <c r="K3811" s="4">
        <v>604.5515949949574</v>
      </c>
      <c r="L3811" s="19">
        <v>6.045515949949574E20</v>
      </c>
      <c r="M3811" s="20">
        <v>6.045515949949574E19</v>
      </c>
    </row>
    <row r="3812">
      <c r="A3812" s="6"/>
      <c r="B3812" s="6"/>
      <c r="C3812" s="4"/>
      <c r="D3812" s="4">
        <v>48.3641275995966</v>
      </c>
      <c r="E3812" s="4" t="s">
        <v>5797</v>
      </c>
      <c r="F3812" s="4"/>
      <c r="G3812" s="4"/>
      <c r="H3812" s="4"/>
      <c r="I3812" s="4" t="str">
        <f>IFERROR(__xludf.DUMMYFUNCTION("""COMPUTED_VALUE"""),"0xbd8c049f779d1772f21af150aefaece8bcd145c0")</f>
        <v>0xbd8c049f779d1772f21af150aefaece8bcd145c0</v>
      </c>
      <c r="J3812" s="18">
        <v>10.263603664483101</v>
      </c>
      <c r="K3812" s="4">
        <v>128.29504580603876</v>
      </c>
      <c r="L3812" s="19">
        <v>1.2829504580603876E20</v>
      </c>
      <c r="M3812" s="20">
        <v>1.2829504580603877E19</v>
      </c>
    </row>
    <row r="3813">
      <c r="A3813" s="6"/>
      <c r="B3813" s="6"/>
      <c r="C3813" s="4"/>
      <c r="D3813" s="4">
        <v>5.75834043612824</v>
      </c>
      <c r="E3813" s="4" t="s">
        <v>882</v>
      </c>
      <c r="F3813" s="4"/>
      <c r="G3813" s="4"/>
      <c r="H3813" s="4"/>
      <c r="I3813" s="4" t="str">
        <f>IFERROR(__xludf.DUMMYFUNCTION("""COMPUTED_VALUE"""),"0x1fdc53a3497c4e3b28b594ae05ab17bf4c5e7e5a")</f>
        <v>0x1fdc53a3497c4e3b28b594ae05ab17bf4c5e7e5a</v>
      </c>
      <c r="J3813" s="18">
        <v>22.823473397106902</v>
      </c>
      <c r="K3813" s="4">
        <v>285.29341746383625</v>
      </c>
      <c r="L3813" s="19">
        <v>2.8529341746383625E20</v>
      </c>
      <c r="M3813" s="20">
        <v>2.8529341746383626E19</v>
      </c>
    </row>
    <row r="3814">
      <c r="A3814" s="6"/>
      <c r="B3814" s="6"/>
      <c r="C3814" s="4"/>
      <c r="D3814" s="4">
        <v>44.082981334036496</v>
      </c>
      <c r="E3814" s="4" t="s">
        <v>5799</v>
      </c>
      <c r="F3814" s="4"/>
      <c r="G3814" s="4"/>
      <c r="H3814" s="4"/>
      <c r="I3814" s="4" t="str">
        <f>IFERROR(__xludf.DUMMYFUNCTION("""COMPUTED_VALUE"""),"0x3cbd3d635ebfc6dc3dc3e3a71e2b36123b66e891")</f>
        <v>0x3cbd3d635ebfc6dc3dc3e3a71e2b36123b66e891</v>
      </c>
      <c r="J3814" s="18">
        <v>0.336458153141258</v>
      </c>
      <c r="K3814" s="4">
        <v>4.205726914265725</v>
      </c>
      <c r="L3814" s="19">
        <v>4.205726914265725E18</v>
      </c>
      <c r="M3814" s="20">
        <v>4.2057269142657254E17</v>
      </c>
    </row>
    <row r="3815">
      <c r="A3815" s="6"/>
      <c r="B3815" s="6"/>
      <c r="C3815" s="4"/>
      <c r="D3815" s="4">
        <v>9.86628203031772</v>
      </c>
      <c r="E3815" s="4" t="s">
        <v>5801</v>
      </c>
      <c r="F3815" s="4"/>
      <c r="G3815" s="4"/>
      <c r="H3815" s="4"/>
      <c r="I3815" s="4" t="str">
        <f>IFERROR(__xludf.DUMMYFUNCTION("""COMPUTED_VALUE"""),"0xa0c3a02f4ca395e887a9809f2cfdb9f52d6f348a")</f>
        <v>0xa0c3a02f4ca395e887a9809f2cfdb9f52d6f348a</v>
      </c>
      <c r="J3815" s="18">
        <v>28.5677476996282</v>
      </c>
      <c r="K3815" s="4">
        <v>357.0968462453525</v>
      </c>
      <c r="L3815" s="19">
        <v>3.570968462453525E20</v>
      </c>
      <c r="M3815" s="20">
        <v>3.5709684624535253E19</v>
      </c>
    </row>
    <row r="3816">
      <c r="A3816" s="6"/>
      <c r="B3816" s="6"/>
      <c r="C3816" s="4"/>
      <c r="D3816" s="4">
        <v>26.7888498318508</v>
      </c>
      <c r="E3816" s="4" t="s">
        <v>5802</v>
      </c>
      <c r="F3816" s="4"/>
      <c r="G3816" s="4"/>
      <c r="H3816" s="4"/>
      <c r="I3816" s="4" t="str">
        <f>IFERROR(__xludf.DUMMYFUNCTION("""COMPUTED_VALUE"""),"0x5e3b6574552ccc71a2aeefff83c534f4b2be65e8")</f>
        <v>0x5e3b6574552ccc71a2aeefff83c534f4b2be65e8</v>
      </c>
      <c r="J3816" s="18">
        <v>48.029287465766004</v>
      </c>
      <c r="K3816" s="4">
        <v>600.366093322075</v>
      </c>
      <c r="L3816" s="19">
        <v>6.00366093322075E20</v>
      </c>
      <c r="M3816" s="20">
        <v>6.00366093322075E19</v>
      </c>
    </row>
    <row r="3817">
      <c r="A3817" s="6"/>
      <c r="B3817" s="6"/>
      <c r="C3817" s="4"/>
      <c r="D3817" s="4">
        <v>48.3641275995966</v>
      </c>
      <c r="E3817" s="4" t="s">
        <v>5804</v>
      </c>
      <c r="F3817" s="4"/>
      <c r="G3817" s="4"/>
      <c r="H3817" s="4"/>
      <c r="I3817" s="4" t="str">
        <f>IFERROR(__xludf.DUMMYFUNCTION("""COMPUTED_VALUE"""),"0x3f4e56e627950982ded80fe41d6ad871c79e80a7")</f>
        <v>0x3f4e56e627950982ded80fe41d6ad871c79e80a7</v>
      </c>
      <c r="J3817" s="18">
        <v>29.82823074422079</v>
      </c>
      <c r="K3817" s="4">
        <v>372.85288430275983</v>
      </c>
      <c r="L3817" s="19">
        <v>3.7285288430275985E20</v>
      </c>
      <c r="M3817" s="20">
        <v>3.7285288430275985E19</v>
      </c>
    </row>
    <row r="3818">
      <c r="A3818" s="6"/>
      <c r="B3818" s="6"/>
      <c r="C3818" s="4"/>
      <c r="D3818" s="4">
        <v>9.672825519919328</v>
      </c>
      <c r="E3818" s="4" t="s">
        <v>5805</v>
      </c>
      <c r="F3818" s="4"/>
      <c r="G3818" s="4"/>
      <c r="H3818" s="4"/>
      <c r="I3818" s="4" t="str">
        <f>IFERROR(__xludf.DUMMYFUNCTION("""COMPUTED_VALUE"""),"0xc0077c0b3a11f0569b2aa2d1e08dd7588dccf38a")</f>
        <v>0xc0077c0b3a11f0569b2aa2d1e08dd7588dccf38a</v>
      </c>
      <c r="J3818" s="18">
        <v>9.672825519919328</v>
      </c>
      <c r="K3818" s="4">
        <v>120.9103189989916</v>
      </c>
      <c r="L3818" s="19">
        <v>1.209103189989916E20</v>
      </c>
      <c r="M3818" s="20">
        <v>1.209103189989916E19</v>
      </c>
    </row>
    <row r="3819">
      <c r="A3819" s="6"/>
      <c r="B3819" s="6"/>
      <c r="C3819" s="4"/>
      <c r="D3819" s="4">
        <v>47.5026326603912</v>
      </c>
      <c r="E3819" s="4" t="s">
        <v>1240</v>
      </c>
      <c r="F3819" s="4"/>
      <c r="G3819" s="4"/>
      <c r="H3819" s="4"/>
      <c r="I3819" s="4" t="str">
        <f>IFERROR(__xludf.DUMMYFUNCTION("""COMPUTED_VALUE"""),"0x7bcbdf34d07213060b0bb31eb7962e8d4b85d780")</f>
        <v>0x7bcbdf34d07213060b0bb31eb7962e8d4b85d780</v>
      </c>
      <c r="J3819" s="18">
        <v>9.672825519919328</v>
      </c>
      <c r="K3819" s="4">
        <v>120.9103189989916</v>
      </c>
      <c r="L3819" s="19">
        <v>1.209103189989916E20</v>
      </c>
      <c r="M3819" s="20">
        <v>1.209103189989916E19</v>
      </c>
    </row>
    <row r="3820">
      <c r="A3820" s="6"/>
      <c r="B3820" s="6"/>
      <c r="C3820" s="4"/>
      <c r="D3820" s="4">
        <v>42.4627016068737</v>
      </c>
      <c r="E3820" s="4" t="s">
        <v>5807</v>
      </c>
      <c r="F3820" s="4"/>
      <c r="G3820" s="4"/>
      <c r="H3820" s="4"/>
      <c r="I3820" s="4" t="str">
        <f>IFERROR(__xludf.DUMMYFUNCTION("""COMPUTED_VALUE"""),"0xc0c41a90e838cdbf43798b4ccaa19d2d46ce97f6")</f>
        <v>0xc0c41a90e838cdbf43798b4ccaa19d2d46ce97f6</v>
      </c>
      <c r="J3820" s="18">
        <v>48.3641275995966</v>
      </c>
      <c r="K3820" s="4">
        <v>604.5515949949574</v>
      </c>
      <c r="L3820" s="19">
        <v>6.045515949949574E20</v>
      </c>
      <c r="M3820" s="20">
        <v>6.045515949949574E19</v>
      </c>
    </row>
    <row r="3821">
      <c r="A3821" s="6"/>
      <c r="B3821" s="6"/>
      <c r="C3821" s="4"/>
      <c r="D3821" s="4">
        <v>43.2791938550813</v>
      </c>
      <c r="E3821" s="4" t="s">
        <v>5809</v>
      </c>
      <c r="F3821" s="4"/>
      <c r="G3821" s="4"/>
      <c r="H3821" s="4"/>
      <c r="I3821" s="4" t="str">
        <f>IFERROR(__xludf.DUMMYFUNCTION("""COMPUTED_VALUE"""),"0xb04d92190a3dc00ae5bb821399776ed644eddb2d")</f>
        <v>0xb04d92190a3dc00ae5bb821399776ed644eddb2d</v>
      </c>
      <c r="J3821" s="18">
        <v>48.3641275995966</v>
      </c>
      <c r="K3821" s="4">
        <v>604.5515949949574</v>
      </c>
      <c r="L3821" s="19">
        <v>6.045515949949574E20</v>
      </c>
      <c r="M3821" s="20">
        <v>6.045515949949574E19</v>
      </c>
    </row>
    <row r="3822">
      <c r="A3822" s="6"/>
      <c r="B3822" s="6"/>
      <c r="C3822" s="4"/>
      <c r="D3822" s="4">
        <v>10.8562292105768</v>
      </c>
      <c r="E3822" s="4" t="s">
        <v>5811</v>
      </c>
      <c r="F3822" s="4"/>
      <c r="G3822" s="4"/>
      <c r="H3822" s="4"/>
      <c r="I3822" s="4" t="str">
        <f>IFERROR(__xludf.DUMMYFUNCTION("""COMPUTED_VALUE"""),"0x035c2e014257d40692fd3a65c74915096162432c")</f>
        <v>0x035c2e014257d40692fd3a65c74915096162432c</v>
      </c>
      <c r="J3822" s="18">
        <v>113.4683136722219</v>
      </c>
      <c r="K3822" s="4">
        <v>1418.3539209027738</v>
      </c>
      <c r="L3822" s="19">
        <v>1.4183539209027739E21</v>
      </c>
      <c r="M3822" s="20">
        <v>1.418353920902774E20</v>
      </c>
    </row>
    <row r="3823">
      <c r="A3823" s="6"/>
      <c r="B3823" s="6"/>
      <c r="C3823" s="4"/>
      <c r="D3823" s="4">
        <v>9.672825519919328</v>
      </c>
      <c r="E3823" s="4" t="s">
        <v>5813</v>
      </c>
      <c r="F3823" s="4"/>
      <c r="G3823" s="4"/>
      <c r="H3823" s="4"/>
      <c r="I3823" s="4" t="str">
        <f>IFERROR(__xludf.DUMMYFUNCTION("""COMPUTED_VALUE"""),"0xef73993b750da7062908897b3663821bf4744829")</f>
        <v>0xef73993b750da7062908897b3663821bf4744829</v>
      </c>
      <c r="J3823" s="18">
        <v>10.0787726240487</v>
      </c>
      <c r="K3823" s="4">
        <v>125.98465780060874</v>
      </c>
      <c r="L3823" s="19">
        <v>1.2598465780060874E20</v>
      </c>
      <c r="M3823" s="20">
        <v>1.2598465780060875E19</v>
      </c>
    </row>
    <row r="3824">
      <c r="A3824" s="6"/>
      <c r="B3824" s="6"/>
      <c r="C3824" s="4"/>
      <c r="D3824" s="4">
        <v>9.76955377511852</v>
      </c>
      <c r="E3824" s="4" t="s">
        <v>5814</v>
      </c>
      <c r="F3824" s="4"/>
      <c r="G3824" s="4"/>
      <c r="H3824" s="4"/>
      <c r="I3824" s="4" t="str">
        <f>IFERROR(__xludf.DUMMYFUNCTION("""COMPUTED_VALUE"""),"0x74662221adab366a36dfe6d0e7bb4836659a270a")</f>
        <v>0x74662221adab366a36dfe6d0e7bb4836659a270a</v>
      </c>
      <c r="J3824" s="18">
        <v>14.786658064035601</v>
      </c>
      <c r="K3824" s="4">
        <v>184.833225800445</v>
      </c>
      <c r="L3824" s="19">
        <v>1.84833225800445E20</v>
      </c>
      <c r="M3824" s="20">
        <v>1.84833225800445E19</v>
      </c>
    </row>
    <row r="3825">
      <c r="A3825" s="6"/>
      <c r="B3825" s="6"/>
      <c r="C3825" s="4"/>
      <c r="D3825" s="4">
        <v>48.3641275995966</v>
      </c>
      <c r="E3825" s="4" t="s">
        <v>5815</v>
      </c>
      <c r="F3825" s="4"/>
      <c r="G3825" s="4"/>
      <c r="H3825" s="4"/>
      <c r="I3825" s="4" t="str">
        <f>IFERROR(__xludf.DUMMYFUNCTION("""COMPUTED_VALUE"""),"0xa9d13062a8645c1e9f06d0377307fcbf217d2248")</f>
        <v>0xa9d13062a8645c1e9f06d0377307fcbf217d2248</v>
      </c>
      <c r="J3825" s="18">
        <v>28.5356454058602</v>
      </c>
      <c r="K3825" s="4">
        <v>356.6955675732525</v>
      </c>
      <c r="L3825" s="19">
        <v>3.566955675732525E20</v>
      </c>
      <c r="M3825" s="20">
        <v>3.566955675732525E19</v>
      </c>
    </row>
    <row r="3826">
      <c r="A3826" s="6"/>
      <c r="B3826" s="6"/>
      <c r="C3826" s="4"/>
      <c r="D3826" s="4">
        <v>48.3641275995966</v>
      </c>
      <c r="E3826" s="4" t="s">
        <v>5816</v>
      </c>
      <c r="F3826" s="4"/>
      <c r="G3826" s="4"/>
      <c r="H3826" s="4"/>
      <c r="I3826" s="4" t="str">
        <f>IFERROR(__xludf.DUMMYFUNCTION("""COMPUTED_VALUE"""),"0x9c33a189601760f27e51f052c2489b8438aa6d59")</f>
        <v>0x9c33a189601760f27e51f052c2489b8438aa6d59</v>
      </c>
      <c r="J3826" s="18">
        <v>8.341690843946301</v>
      </c>
      <c r="K3826" s="4">
        <v>104.27113554932876</v>
      </c>
      <c r="L3826" s="19">
        <v>1.0427113554932877E20</v>
      </c>
      <c r="M3826" s="20">
        <v>1.0427113554932877E19</v>
      </c>
    </row>
    <row r="3827">
      <c r="A3827" s="6"/>
      <c r="B3827" s="6"/>
      <c r="C3827" s="4"/>
      <c r="D3827" s="4">
        <v>48.3641275995966</v>
      </c>
      <c r="E3827" s="4" t="s">
        <v>5817</v>
      </c>
      <c r="F3827" s="4"/>
      <c r="G3827" s="4"/>
      <c r="H3827" s="4"/>
      <c r="I3827" s="4" t="str">
        <f>IFERROR(__xludf.DUMMYFUNCTION("""COMPUTED_VALUE"""),"0x42b67b11a97c048851a2b24c67af8f31b9087703")</f>
        <v>0x42b67b11a97c048851a2b24c67af8f31b9087703</v>
      </c>
      <c r="J3827" s="18">
        <v>48.3641275995966</v>
      </c>
      <c r="K3827" s="4">
        <v>604.5515949949574</v>
      </c>
      <c r="L3827" s="19">
        <v>6.045515949949574E20</v>
      </c>
      <c r="M3827" s="20">
        <v>6.045515949949574E19</v>
      </c>
    </row>
    <row r="3828">
      <c r="A3828" s="6"/>
      <c r="B3828" s="6"/>
      <c r="C3828" s="4"/>
      <c r="D3828" s="4">
        <v>48.3641275995966</v>
      </c>
      <c r="E3828" s="4" t="s">
        <v>5818</v>
      </c>
      <c r="F3828" s="4"/>
      <c r="G3828" s="4"/>
      <c r="H3828" s="4"/>
      <c r="I3828" s="4" t="str">
        <f>IFERROR(__xludf.DUMMYFUNCTION("""COMPUTED_VALUE"""),"0x42ac7152713d4a6a52a74057babcf20b2da412f0")</f>
        <v>0x42ac7152713d4a6a52a74057babcf20b2da412f0</v>
      </c>
      <c r="J3828" s="18">
        <v>9.392244152825649</v>
      </c>
      <c r="K3828" s="4">
        <v>117.40305191032061</v>
      </c>
      <c r="L3828" s="19">
        <v>1.1740305191032062E20</v>
      </c>
      <c r="M3828" s="20">
        <v>1.1740305191032062E19</v>
      </c>
    </row>
    <row r="3829">
      <c r="A3829" s="6"/>
      <c r="B3829" s="6"/>
      <c r="C3829" s="4"/>
      <c r="D3829" s="4">
        <v>26.8244460859006</v>
      </c>
      <c r="E3829" s="4" t="s">
        <v>5819</v>
      </c>
      <c r="F3829" s="4"/>
      <c r="G3829" s="4"/>
      <c r="H3829" s="4"/>
      <c r="I3829" s="4" t="str">
        <f>IFERROR(__xludf.DUMMYFUNCTION("""COMPUTED_VALUE"""),"0x6f00c406d32c6bb09d48e78d7cfb7ff96875cb57")</f>
        <v>0x6f00c406d32c6bb09d48e78d7cfb7ff96875cb57</v>
      </c>
      <c r="J3829" s="18">
        <v>29.018476559758</v>
      </c>
      <c r="K3829" s="4">
        <v>362.730956996975</v>
      </c>
      <c r="L3829" s="19">
        <v>3.62730956996975E20</v>
      </c>
      <c r="M3829" s="20">
        <v>3.62730956996975E19</v>
      </c>
    </row>
    <row r="3830">
      <c r="A3830" s="6"/>
      <c r="B3830" s="6"/>
      <c r="C3830" s="4"/>
      <c r="D3830" s="4">
        <v>48.3641275995966</v>
      </c>
      <c r="E3830" s="4" t="s">
        <v>5821</v>
      </c>
      <c r="F3830" s="4"/>
      <c r="G3830" s="4"/>
      <c r="H3830" s="4"/>
      <c r="I3830" s="4" t="str">
        <f>IFERROR(__xludf.DUMMYFUNCTION("""COMPUTED_VALUE"""),"0x90f82c993161331f51ff9946f01762cff5f15d09")</f>
        <v>0x90f82c993161331f51ff9946f01762cff5f15d09</v>
      </c>
      <c r="J3830" s="18">
        <v>58.563332325005604</v>
      </c>
      <c r="K3830" s="4">
        <v>732.04165406257</v>
      </c>
      <c r="L3830" s="19">
        <v>7.3204165406257E20</v>
      </c>
      <c r="M3830" s="20">
        <v>7.3204165406257005E19</v>
      </c>
    </row>
    <row r="3831">
      <c r="A3831" s="6"/>
      <c r="B3831" s="6"/>
      <c r="C3831" s="4"/>
      <c r="D3831" s="4">
        <v>48.3641275995966</v>
      </c>
      <c r="E3831" s="4" t="s">
        <v>5822</v>
      </c>
      <c r="F3831" s="4"/>
      <c r="G3831" s="4"/>
      <c r="H3831" s="4"/>
      <c r="I3831" s="4" t="str">
        <f>IFERROR(__xludf.DUMMYFUNCTION("""COMPUTED_VALUE"""),"0x25c9af57507c67966edd16e54b5784b7845fc889")</f>
        <v>0x25c9af57507c67966edd16e54b5784b7845fc889</v>
      </c>
      <c r="J3831" s="18">
        <v>105.6125790253748</v>
      </c>
      <c r="K3831" s="4">
        <v>1320.157237817185</v>
      </c>
      <c r="L3831" s="19">
        <v>1.320157237817185E21</v>
      </c>
      <c r="M3831" s="20">
        <v>1.3201572378171849E20</v>
      </c>
    </row>
    <row r="3832">
      <c r="A3832" s="6"/>
      <c r="B3832" s="6"/>
      <c r="C3832" s="4"/>
      <c r="D3832" s="4">
        <v>48.3641275995966</v>
      </c>
      <c r="E3832" s="4" t="s">
        <v>804</v>
      </c>
      <c r="F3832" s="4"/>
      <c r="G3832" s="4"/>
      <c r="H3832" s="4"/>
      <c r="I3832" s="4" t="str">
        <f>IFERROR(__xludf.DUMMYFUNCTION("""COMPUTED_VALUE"""),"0xeafe4538d8fc2f4d908595e968aaaf703fd2026d")</f>
        <v>0xeafe4538d8fc2f4d908595e968aaaf703fd2026d</v>
      </c>
      <c r="J3832" s="18">
        <v>32.3072372365305</v>
      </c>
      <c r="K3832" s="4">
        <v>403.8404654566312</v>
      </c>
      <c r="L3832" s="19">
        <v>4.038404654566312E20</v>
      </c>
      <c r="M3832" s="20">
        <v>4.038404654566312E19</v>
      </c>
    </row>
    <row r="3833">
      <c r="A3833" s="6"/>
      <c r="B3833" s="6"/>
      <c r="C3833" s="4"/>
      <c r="D3833" s="4">
        <v>8.92941407030804</v>
      </c>
      <c r="E3833" s="4" t="s">
        <v>5823</v>
      </c>
      <c r="F3833" s="4"/>
      <c r="G3833" s="4"/>
      <c r="H3833" s="4"/>
      <c r="I3833" s="4" t="str">
        <f>IFERROR(__xludf.DUMMYFUNCTION("""COMPUTED_VALUE"""),"0x934a166dcbb8d6cb5a2102879d5f2495dc035e59")</f>
        <v>0x934a166dcbb8d6cb5a2102879d5f2495dc035e59</v>
      </c>
      <c r="J3833" s="18">
        <v>9.672825519919328</v>
      </c>
      <c r="K3833" s="4">
        <v>120.9103189989916</v>
      </c>
      <c r="L3833" s="19">
        <v>1.209103189989916E20</v>
      </c>
      <c r="M3833" s="20">
        <v>1.209103189989916E19</v>
      </c>
    </row>
    <row r="3834">
      <c r="A3834" s="6"/>
      <c r="B3834" s="6"/>
      <c r="C3834" s="4"/>
      <c r="D3834" s="4">
        <v>9.46971339792197</v>
      </c>
      <c r="E3834" s="4" t="s">
        <v>5825</v>
      </c>
      <c r="F3834" s="4"/>
      <c r="G3834" s="4"/>
      <c r="H3834" s="4"/>
      <c r="I3834" s="4" t="str">
        <f>IFERROR(__xludf.DUMMYFUNCTION("""COMPUTED_VALUE"""),"0xf251e53df16b48c0eb00d3e589d862fb7807c324")</f>
        <v>0xf251e53df16b48c0eb00d3e589d862fb7807c324</v>
      </c>
      <c r="J3834" s="18">
        <v>33.6108908315119</v>
      </c>
      <c r="K3834" s="4">
        <v>420.13613539389877</v>
      </c>
      <c r="L3834" s="19">
        <v>4.201361353938988E20</v>
      </c>
      <c r="M3834" s="20">
        <v>4.201361353938988E19</v>
      </c>
    </row>
    <row r="3835">
      <c r="A3835" s="6"/>
      <c r="B3835" s="6"/>
      <c r="C3835" s="4"/>
      <c r="D3835" s="4">
        <v>48.3641275995966</v>
      </c>
      <c r="E3835" s="4" t="s">
        <v>5827</v>
      </c>
      <c r="F3835" s="4"/>
      <c r="G3835" s="4"/>
      <c r="H3835" s="4"/>
      <c r="I3835" s="4" t="str">
        <f>IFERROR(__xludf.DUMMYFUNCTION("""COMPUTED_VALUE"""),"0xe1e26bda7723bc5f63adc3cd54eb4db1e3f3f918")</f>
        <v>0xe1e26bda7723bc5f63adc3cd54eb4db1e3f3f918</v>
      </c>
      <c r="J3835" s="18">
        <v>48.3641275995966</v>
      </c>
      <c r="K3835" s="4">
        <v>604.5515949949574</v>
      </c>
      <c r="L3835" s="19">
        <v>6.045515949949574E20</v>
      </c>
      <c r="M3835" s="20">
        <v>6.045515949949574E19</v>
      </c>
    </row>
    <row r="3836">
      <c r="A3836" s="6"/>
      <c r="B3836" s="6"/>
      <c r="C3836" s="4"/>
      <c r="D3836" s="4">
        <v>9.71109944613535</v>
      </c>
      <c r="E3836" s="4" t="s">
        <v>5828</v>
      </c>
      <c r="F3836" s="4"/>
      <c r="G3836" s="4"/>
      <c r="H3836" s="4"/>
      <c r="I3836" s="4" t="str">
        <f>IFERROR(__xludf.DUMMYFUNCTION("""COMPUTED_VALUE"""),"0x01888ff9106f0675b7e8d2741083343afb713fac")</f>
        <v>0x01888ff9106f0675b7e8d2741083343afb713fac</v>
      </c>
      <c r="J3836" s="18">
        <v>9.47527199712612</v>
      </c>
      <c r="K3836" s="4">
        <v>118.4408999640765</v>
      </c>
      <c r="L3836" s="19">
        <v>1.1844089996407649E20</v>
      </c>
      <c r="M3836" s="20">
        <v>1.184408999640765E19</v>
      </c>
    </row>
    <row r="3837">
      <c r="A3837" s="6"/>
      <c r="B3837" s="6"/>
      <c r="C3837" s="4"/>
      <c r="D3837" s="4">
        <v>20.6305282756046</v>
      </c>
      <c r="E3837" s="4" t="s">
        <v>5830</v>
      </c>
      <c r="F3837" s="4"/>
      <c r="G3837" s="4"/>
      <c r="H3837" s="4"/>
      <c r="I3837" s="4" t="str">
        <f>IFERROR(__xludf.DUMMYFUNCTION("""COMPUTED_VALUE"""),"0x412d2f2723daf4c6952e6b402827220bbbb8b9b1")</f>
        <v>0x412d2f2723daf4c6952e6b402827220bbbb8b9b1</v>
      </c>
      <c r="J3837" s="18">
        <v>9.76799546803111</v>
      </c>
      <c r="K3837" s="4">
        <v>122.09994335038887</v>
      </c>
      <c r="L3837" s="19">
        <v>1.2209994335038887E20</v>
      </c>
      <c r="M3837" s="20">
        <v>1.2209994335038888E19</v>
      </c>
    </row>
    <row r="3838">
      <c r="A3838" s="6"/>
      <c r="B3838" s="6"/>
      <c r="C3838" s="4"/>
      <c r="D3838" s="4">
        <v>48.3641275995966</v>
      </c>
      <c r="E3838" s="4" t="s">
        <v>753</v>
      </c>
      <c r="F3838" s="4"/>
      <c r="G3838" s="4"/>
      <c r="H3838" s="4"/>
      <c r="I3838" s="4" t="str">
        <f>IFERROR(__xludf.DUMMYFUNCTION("""COMPUTED_VALUE"""),"0x5e19eac3b3e0077e1dc39846a900a2f199cfd686")</f>
        <v>0x5e19eac3b3e0077e1dc39846a900a2f199cfd686</v>
      </c>
      <c r="J3838" s="18">
        <v>29.018476559758</v>
      </c>
      <c r="K3838" s="4">
        <v>362.730956996975</v>
      </c>
      <c r="L3838" s="19">
        <v>3.62730956996975E20</v>
      </c>
      <c r="M3838" s="20">
        <v>3.62730956996975E19</v>
      </c>
    </row>
    <row r="3839">
      <c r="A3839" s="6"/>
      <c r="B3839" s="6"/>
      <c r="C3839" s="4"/>
      <c r="D3839" s="4">
        <v>2.4107685842722897</v>
      </c>
      <c r="E3839" s="4" t="s">
        <v>5832</v>
      </c>
      <c r="F3839" s="4"/>
      <c r="G3839" s="4"/>
      <c r="H3839" s="4"/>
      <c r="I3839" s="4" t="str">
        <f>IFERROR(__xludf.DUMMYFUNCTION("""COMPUTED_VALUE"""),"0xa9b08068af5a6f9603ec302327f6b5c3480776a7")</f>
        <v>0xa9b08068af5a6f9603ec302327f6b5c3480776a7</v>
      </c>
      <c r="J3839" s="18">
        <v>9.672825519919328</v>
      </c>
      <c r="K3839" s="4">
        <v>120.9103189989916</v>
      </c>
      <c r="L3839" s="19">
        <v>1.209103189989916E20</v>
      </c>
      <c r="M3839" s="20">
        <v>1.209103189989916E19</v>
      </c>
    </row>
    <row r="3840">
      <c r="A3840" s="6"/>
      <c r="B3840" s="6"/>
      <c r="C3840" s="4"/>
      <c r="D3840" s="4">
        <v>16.0174522184045</v>
      </c>
      <c r="E3840" s="4" t="s">
        <v>5834</v>
      </c>
      <c r="F3840" s="4"/>
      <c r="G3840" s="4"/>
      <c r="H3840" s="4"/>
      <c r="I3840" s="4" t="str">
        <f>IFERROR(__xludf.DUMMYFUNCTION("""COMPUTED_VALUE"""),"0xa4fd04d54c4904a4d3a4b94b2aeb3eca07303fb9")</f>
        <v>0xa4fd04d54c4904a4d3a4b94b2aeb3eca07303fb9</v>
      </c>
      <c r="J3840" s="18">
        <v>39.67235320713153</v>
      </c>
      <c r="K3840" s="4">
        <v>495.9044150891441</v>
      </c>
      <c r="L3840" s="19">
        <v>4.959044150891441E20</v>
      </c>
      <c r="M3840" s="20">
        <v>4.959044150891441E19</v>
      </c>
    </row>
    <row r="3841">
      <c r="A3841" s="6"/>
      <c r="B3841" s="6"/>
      <c r="C3841" s="4"/>
      <c r="D3841" s="4">
        <v>48.3641275995966</v>
      </c>
      <c r="E3841" s="4" t="s">
        <v>5836</v>
      </c>
      <c r="F3841" s="4"/>
      <c r="G3841" s="4"/>
      <c r="H3841" s="4"/>
      <c r="I3841" s="4" t="str">
        <f>IFERROR(__xludf.DUMMYFUNCTION("""COMPUTED_VALUE"""),"0x90ab58258b58ff184c5de55b1c25bcfa37c33864")</f>
        <v>0x90ab58258b58ff184c5de55b1c25bcfa37c33864</v>
      </c>
      <c r="J3841" s="18">
        <v>48.3641275995966</v>
      </c>
      <c r="K3841" s="4">
        <v>604.5515949949574</v>
      </c>
      <c r="L3841" s="19">
        <v>6.045515949949574E20</v>
      </c>
      <c r="M3841" s="20">
        <v>6.045515949949574E19</v>
      </c>
    </row>
    <row r="3842">
      <c r="A3842" s="6"/>
      <c r="B3842" s="6"/>
      <c r="C3842" s="4"/>
      <c r="D3842" s="4">
        <v>48.3641275995966</v>
      </c>
      <c r="E3842" s="4" t="s">
        <v>5837</v>
      </c>
      <c r="F3842" s="4"/>
      <c r="G3842" s="4"/>
      <c r="H3842" s="4"/>
      <c r="I3842" s="4" t="str">
        <f>IFERROR(__xludf.DUMMYFUNCTION("""COMPUTED_VALUE"""),"0x09712cf5be51eb286f89dd38fc5d84f72743bb49")</f>
        <v>0x09712cf5be51eb286f89dd38fc5d84f72743bb49</v>
      </c>
      <c r="J3842" s="18">
        <v>6.84915903655936</v>
      </c>
      <c r="K3842" s="4">
        <v>85.614487956992</v>
      </c>
      <c r="L3842" s="19">
        <v>8.5614487956992E19</v>
      </c>
      <c r="M3842" s="20">
        <v>8.5614487956992E18</v>
      </c>
    </row>
    <row r="3843">
      <c r="A3843" s="6"/>
      <c r="B3843" s="6"/>
      <c r="C3843" s="4"/>
      <c r="D3843" s="4">
        <v>48.3641275995966</v>
      </c>
      <c r="E3843" s="4" t="s">
        <v>1444</v>
      </c>
      <c r="F3843" s="4"/>
      <c r="G3843" s="4"/>
      <c r="H3843" s="4"/>
      <c r="I3843" s="4" t="str">
        <f>IFERROR(__xludf.DUMMYFUNCTION("""COMPUTED_VALUE"""),"0x3f3ace99743c65f3e2821b4d20176eca01e7cd70")</f>
        <v>0x3f3ace99743c65f3e2821b4d20176eca01e7cd70</v>
      </c>
      <c r="J3843" s="18">
        <v>58.6266640017985</v>
      </c>
      <c r="K3843" s="4">
        <v>732.8333000224812</v>
      </c>
      <c r="L3843" s="19">
        <v>7.328333000224813E20</v>
      </c>
      <c r="M3843" s="20">
        <v>7.328333000224813E19</v>
      </c>
    </row>
    <row r="3844">
      <c r="A3844" s="6"/>
      <c r="B3844" s="6"/>
      <c r="C3844" s="4"/>
      <c r="D3844" s="4">
        <v>32.996456235047</v>
      </c>
      <c r="E3844" s="4" t="s">
        <v>5838</v>
      </c>
      <c r="F3844" s="4"/>
      <c r="G3844" s="4"/>
      <c r="H3844" s="4"/>
      <c r="I3844" s="4" t="str">
        <f>IFERROR(__xludf.DUMMYFUNCTION("""COMPUTED_VALUE"""),"0xd6d57029b2792294df85d560120eea7e6ac8e873")</f>
        <v>0xd6d57029b2792294df85d560120eea7e6ac8e873</v>
      </c>
      <c r="J3844" s="18">
        <v>6.3584273221778105</v>
      </c>
      <c r="K3844" s="4">
        <v>79.48034152722263</v>
      </c>
      <c r="L3844" s="19">
        <v>7.948034152722263E19</v>
      </c>
      <c r="M3844" s="20">
        <v>7.948034152722264E18</v>
      </c>
    </row>
    <row r="3845">
      <c r="A3845" s="6"/>
      <c r="B3845" s="6"/>
      <c r="C3845" s="4"/>
      <c r="D3845" s="4">
        <v>48.3641275995966</v>
      </c>
      <c r="E3845" s="4" t="s">
        <v>923</v>
      </c>
      <c r="F3845" s="4"/>
      <c r="G3845" s="4"/>
      <c r="H3845" s="4"/>
      <c r="I3845" s="4" t="str">
        <f>IFERROR(__xludf.DUMMYFUNCTION("""COMPUTED_VALUE"""),"0xbe925cab4bd940a91987657a1cf5c231fae9c586")</f>
        <v>0xbe925cab4bd940a91987657a1cf5c231fae9c586</v>
      </c>
      <c r="J3845" s="18">
        <v>30.3870133820032</v>
      </c>
      <c r="K3845" s="4">
        <v>379.83766727504</v>
      </c>
      <c r="L3845" s="19">
        <v>3.7983766727504E20</v>
      </c>
      <c r="M3845" s="20">
        <v>3.7983766727504E19</v>
      </c>
    </row>
    <row r="3846">
      <c r="A3846" s="6"/>
      <c r="B3846" s="6"/>
      <c r="C3846" s="4"/>
      <c r="D3846" s="4">
        <v>48.3641275995966</v>
      </c>
      <c r="E3846" s="4" t="s">
        <v>5840</v>
      </c>
      <c r="F3846" s="4"/>
      <c r="G3846" s="4"/>
      <c r="H3846" s="4"/>
      <c r="I3846" s="4" t="str">
        <f>IFERROR(__xludf.DUMMYFUNCTION("""COMPUTED_VALUE"""),"0x779df50a790d0a74780e689d0e8035e0a524c159")</f>
        <v>0x779df50a790d0a74780e689d0e8035e0a524c159</v>
      </c>
      <c r="J3846" s="18">
        <v>41.0010842943247</v>
      </c>
      <c r="K3846" s="4">
        <v>512.5135536790588</v>
      </c>
      <c r="L3846" s="19">
        <v>5.125135536790587E20</v>
      </c>
      <c r="M3846" s="20">
        <v>5.125135536790588E19</v>
      </c>
    </row>
    <row r="3847">
      <c r="A3847" s="6"/>
      <c r="B3847" s="6"/>
      <c r="C3847" s="4"/>
      <c r="D3847" s="4">
        <v>9.672825519919328</v>
      </c>
      <c r="E3847" s="4" t="s">
        <v>5841</v>
      </c>
      <c r="F3847" s="4"/>
      <c r="G3847" s="4"/>
      <c r="H3847" s="4"/>
      <c r="I3847" s="4" t="str">
        <f>IFERROR(__xludf.DUMMYFUNCTION("""COMPUTED_VALUE"""),"0x2dff9c79ca2442d31cdcf4fab8c004175209fa45")</f>
        <v>0x2dff9c79ca2442d31cdcf4fab8c004175209fa45</v>
      </c>
      <c r="J3847" s="18">
        <v>35.6881276932704</v>
      </c>
      <c r="K3847" s="4">
        <v>446.10159616588004</v>
      </c>
      <c r="L3847" s="19">
        <v>4.4610159616588E20</v>
      </c>
      <c r="M3847" s="20">
        <v>4.4610159616588005E19</v>
      </c>
    </row>
    <row r="3848">
      <c r="A3848" s="6"/>
      <c r="B3848" s="6"/>
      <c r="C3848" s="4"/>
      <c r="D3848" s="4">
        <v>48.3641275995966</v>
      </c>
      <c r="E3848" s="4" t="s">
        <v>5842</v>
      </c>
      <c r="F3848" s="4"/>
      <c r="G3848" s="4"/>
      <c r="H3848" s="4"/>
      <c r="I3848" s="4" t="str">
        <f>IFERROR(__xludf.DUMMYFUNCTION("""COMPUTED_VALUE"""),"0x84a2615c81c240cc6f84b5a2fee5ac7d454eddbe")</f>
        <v>0x84a2615c81c240cc6f84b5a2fee5ac7d454eddbe</v>
      </c>
      <c r="J3848" s="18">
        <v>26.8513789296823</v>
      </c>
      <c r="K3848" s="4">
        <v>335.64223662102876</v>
      </c>
      <c r="L3848" s="19">
        <v>3.356422366210288E20</v>
      </c>
      <c r="M3848" s="20">
        <v>3.356422366210288E19</v>
      </c>
    </row>
    <row r="3849">
      <c r="A3849" s="6"/>
      <c r="B3849" s="6"/>
      <c r="C3849" s="4"/>
      <c r="D3849" s="4">
        <v>16.8469032872933</v>
      </c>
      <c r="E3849" s="4" t="s">
        <v>5843</v>
      </c>
      <c r="F3849" s="4"/>
      <c r="G3849" s="4"/>
      <c r="H3849" s="4"/>
      <c r="I3849" s="4" t="str">
        <f>IFERROR(__xludf.DUMMYFUNCTION("""COMPUTED_VALUE"""),"0xbbe37fea07196abc0611da4e95cc0bfe52fcc6d2")</f>
        <v>0xbbe37fea07196abc0611da4e95cc0bfe52fcc6d2</v>
      </c>
      <c r="J3849" s="18">
        <v>4.73060987413734</v>
      </c>
      <c r="K3849" s="4">
        <v>59.13262342671675</v>
      </c>
      <c r="L3849" s="19">
        <v>5.9132623426716746E19</v>
      </c>
      <c r="M3849" s="20">
        <v>5.913262342671675E18</v>
      </c>
    </row>
    <row r="3850">
      <c r="A3850" s="6"/>
      <c r="B3850" s="6"/>
      <c r="C3850" s="4"/>
      <c r="D3850" s="4">
        <v>48.3641275995966</v>
      </c>
      <c r="E3850" s="4" t="s">
        <v>5845</v>
      </c>
      <c r="F3850" s="4"/>
      <c r="G3850" s="4"/>
      <c r="H3850" s="4"/>
      <c r="I3850" s="4" t="str">
        <f>IFERROR(__xludf.DUMMYFUNCTION("""COMPUTED_VALUE"""),"0xd883782e181ff170a5364968ab7278a3169026a3")</f>
        <v>0xd883782e181ff170a5364968ab7278a3169026a3</v>
      </c>
      <c r="J3850" s="18">
        <v>10.6794939010733</v>
      </c>
      <c r="K3850" s="4">
        <v>133.49367376341624</v>
      </c>
      <c r="L3850" s="19">
        <v>1.3349367376341624E20</v>
      </c>
      <c r="M3850" s="20">
        <v>1.3349367376341625E19</v>
      </c>
    </row>
    <row r="3851">
      <c r="A3851" s="6"/>
      <c r="B3851" s="6"/>
      <c r="C3851" s="4"/>
      <c r="D3851" s="4">
        <v>5.16987789827053</v>
      </c>
      <c r="E3851" s="4" t="s">
        <v>5846</v>
      </c>
      <c r="F3851" s="4"/>
      <c r="G3851" s="4"/>
      <c r="H3851" s="4"/>
      <c r="I3851" s="4" t="str">
        <f>IFERROR(__xludf.DUMMYFUNCTION("""COMPUTED_VALUE"""),"0xc205125419a346408476bb332ddbf85ec89b1bda")</f>
        <v>0xc205125419a346408476bb332ddbf85ec89b1bda</v>
      </c>
      <c r="J3851" s="18">
        <v>57.66472560997164</v>
      </c>
      <c r="K3851" s="4">
        <v>720.8090701246455</v>
      </c>
      <c r="L3851" s="19">
        <v>7.208090701246455E20</v>
      </c>
      <c r="M3851" s="20">
        <v>7.208090701246455E19</v>
      </c>
    </row>
    <row r="3852">
      <c r="A3852" s="6"/>
      <c r="B3852" s="6"/>
      <c r="C3852" s="4"/>
      <c r="D3852" s="4">
        <v>48.3641275995966</v>
      </c>
      <c r="E3852" s="4" t="s">
        <v>5848</v>
      </c>
      <c r="F3852" s="4"/>
      <c r="G3852" s="4"/>
      <c r="H3852" s="4"/>
      <c r="I3852" s="4" t="str">
        <f>IFERROR(__xludf.DUMMYFUNCTION("""COMPUTED_VALUE"""),"0x0cd19e445b232bdb22b44448ca805419cbd1db73")</f>
        <v>0x0cd19e445b232bdb22b44448ca805419cbd1db73</v>
      </c>
      <c r="J3852" s="18">
        <v>57.73527014885637</v>
      </c>
      <c r="K3852" s="4">
        <v>721.6908768607046</v>
      </c>
      <c r="L3852" s="19">
        <v>7.216908768607046E20</v>
      </c>
      <c r="M3852" s="20">
        <v>7.216908768607047E19</v>
      </c>
    </row>
    <row r="3853">
      <c r="A3853" s="6"/>
      <c r="B3853" s="6"/>
      <c r="C3853" s="4"/>
      <c r="D3853" s="4">
        <v>48.3641275995966</v>
      </c>
      <c r="E3853" s="4" t="s">
        <v>5849</v>
      </c>
      <c r="F3853" s="4"/>
      <c r="G3853" s="4"/>
      <c r="H3853" s="4"/>
      <c r="I3853" s="4" t="str">
        <f>IFERROR(__xludf.DUMMYFUNCTION("""COMPUTED_VALUE"""),"0x1d47143347ed3d4e494fa8bb3bf7aa5688a58e7d")</f>
        <v>0x1d47143347ed3d4e494fa8bb3bf7aa5688a58e7d</v>
      </c>
      <c r="J3853" s="18">
        <v>48.3641275995966</v>
      </c>
      <c r="K3853" s="4">
        <v>604.5515949949574</v>
      </c>
      <c r="L3853" s="19">
        <v>6.045515949949574E20</v>
      </c>
      <c r="M3853" s="20">
        <v>6.045515949949574E19</v>
      </c>
    </row>
    <row r="3854">
      <c r="A3854" s="6"/>
      <c r="B3854" s="6"/>
      <c r="C3854" s="4"/>
      <c r="D3854" s="4">
        <v>28.623666772701903</v>
      </c>
      <c r="E3854" s="4" t="s">
        <v>5850</v>
      </c>
      <c r="F3854" s="4"/>
      <c r="G3854" s="4"/>
      <c r="H3854" s="4"/>
      <c r="I3854" s="4" t="str">
        <f>IFERROR(__xludf.DUMMYFUNCTION("""COMPUTED_VALUE"""),"0x5dbfdfb52b9b9cb4107a3b8c430c00e7c722ff07")</f>
        <v>0x5dbfdfb52b9b9cb4107a3b8c430c00e7c722ff07</v>
      </c>
      <c r="J3854" s="18">
        <v>19.5813707104767</v>
      </c>
      <c r="K3854" s="4">
        <v>244.76713388095877</v>
      </c>
      <c r="L3854" s="19">
        <v>2.4476713388095878E20</v>
      </c>
      <c r="M3854" s="20">
        <v>2.447671338809588E19</v>
      </c>
    </row>
    <row r="3855">
      <c r="A3855" s="6"/>
      <c r="B3855" s="6"/>
      <c r="C3855" s="4"/>
      <c r="D3855" s="4">
        <v>15.4146727299787</v>
      </c>
      <c r="E3855" s="4" t="s">
        <v>5852</v>
      </c>
      <c r="F3855" s="4"/>
      <c r="G3855" s="4"/>
      <c r="H3855" s="4"/>
      <c r="I3855" s="4" t="str">
        <f>IFERROR(__xludf.DUMMYFUNCTION("""COMPUTED_VALUE"""),"0xe1e73cd29ac4782f8f62ffa7f5d191ffa25f71af")</f>
        <v>0xe1e73cd29ac4782f8f62ffa7f5d191ffa25f71af</v>
      </c>
      <c r="J3855" s="18">
        <v>48.3641275995966</v>
      </c>
      <c r="K3855" s="4">
        <v>604.5515949949574</v>
      </c>
      <c r="L3855" s="19">
        <v>6.045515949949574E20</v>
      </c>
      <c r="M3855" s="20">
        <v>6.045515949949574E19</v>
      </c>
    </row>
    <row r="3856">
      <c r="A3856" s="6"/>
      <c r="B3856" s="6"/>
      <c r="C3856" s="4"/>
      <c r="D3856" s="4">
        <v>48.3641275995966</v>
      </c>
      <c r="E3856" s="4" t="s">
        <v>5854</v>
      </c>
      <c r="F3856" s="4"/>
      <c r="G3856" s="4"/>
      <c r="H3856" s="4"/>
      <c r="I3856" s="4" t="str">
        <f>IFERROR(__xludf.DUMMYFUNCTION("""COMPUTED_VALUE"""),"0x1bc7698c93a23c5956484313aa2998e6d9ec3e38")</f>
        <v>0x1bc7698c93a23c5956484313aa2998e6d9ec3e38</v>
      </c>
      <c r="J3856" s="18">
        <v>113.4683136722219</v>
      </c>
      <c r="K3856" s="4">
        <v>1418.3539209027738</v>
      </c>
      <c r="L3856" s="19">
        <v>1.4183539209027739E21</v>
      </c>
      <c r="M3856" s="20">
        <v>1.418353920902774E20</v>
      </c>
    </row>
    <row r="3857">
      <c r="A3857" s="6"/>
      <c r="B3857" s="6"/>
      <c r="C3857" s="4"/>
      <c r="D3857" s="4">
        <v>25.383545109461902</v>
      </c>
      <c r="E3857" s="4" t="s">
        <v>5855</v>
      </c>
      <c r="F3857" s="4"/>
      <c r="G3857" s="4"/>
      <c r="H3857" s="4"/>
      <c r="I3857" s="4" t="str">
        <f>IFERROR(__xludf.DUMMYFUNCTION("""COMPUTED_VALUE"""),"0x1596ebcd5cfac8e21ebc6d28ad5b86b355ee53fc")</f>
        <v>0x1596ebcd5cfac8e21ebc6d28ad5b86b355ee53fc</v>
      </c>
      <c r="J3857" s="18">
        <v>9.672825519919328</v>
      </c>
      <c r="K3857" s="4">
        <v>120.9103189989916</v>
      </c>
      <c r="L3857" s="19">
        <v>1.209103189989916E20</v>
      </c>
      <c r="M3857" s="20">
        <v>1.209103189989916E19</v>
      </c>
    </row>
    <row r="3858">
      <c r="A3858" s="6"/>
      <c r="B3858" s="6"/>
      <c r="C3858" s="4"/>
      <c r="D3858" s="4">
        <v>8.68688950708176</v>
      </c>
      <c r="E3858" s="4" t="s">
        <v>5857</v>
      </c>
      <c r="F3858" s="4"/>
      <c r="G3858" s="4"/>
      <c r="H3858" s="4"/>
      <c r="I3858" s="4" t="str">
        <f>IFERROR(__xludf.DUMMYFUNCTION("""COMPUTED_VALUE"""),"0xd2202a70dfe5c12a3d601ce54bd402f63c8c8e9e")</f>
        <v>0xd2202a70dfe5c12a3d601ce54bd402f63c8c8e9e</v>
      </c>
      <c r="J3858" s="18">
        <v>113.4683136722219</v>
      </c>
      <c r="K3858" s="4">
        <v>1418.3539209027738</v>
      </c>
      <c r="L3858" s="19">
        <v>1.4183539209027739E21</v>
      </c>
      <c r="M3858" s="20">
        <v>1.418353920902774E20</v>
      </c>
    </row>
    <row r="3859">
      <c r="A3859" s="6"/>
      <c r="B3859" s="6"/>
      <c r="C3859" s="4"/>
      <c r="D3859" s="4">
        <v>48.3641275995966</v>
      </c>
      <c r="E3859" s="4" t="s">
        <v>5859</v>
      </c>
      <c r="F3859" s="4"/>
      <c r="G3859" s="4"/>
      <c r="H3859" s="4"/>
      <c r="I3859" s="4" t="str">
        <f>IFERROR(__xludf.DUMMYFUNCTION("""COMPUTED_VALUE"""),"0x53caa569f29920c77e6b84f47e299c729b2040a1")</f>
        <v>0x53caa569f29920c77e6b84f47e299c729b2040a1</v>
      </c>
      <c r="J3859" s="18">
        <v>48.3641275995966</v>
      </c>
      <c r="K3859" s="4">
        <v>604.5515949949574</v>
      </c>
      <c r="L3859" s="19">
        <v>6.045515949949574E20</v>
      </c>
      <c r="M3859" s="20">
        <v>6.045515949949574E19</v>
      </c>
    </row>
    <row r="3860">
      <c r="A3860" s="6"/>
      <c r="B3860" s="6"/>
      <c r="C3860" s="4"/>
      <c r="D3860" s="4">
        <v>0.26425713223139297</v>
      </c>
      <c r="E3860" s="4" t="s">
        <v>5860</v>
      </c>
      <c r="F3860" s="4"/>
      <c r="G3860" s="4"/>
      <c r="H3860" s="4"/>
      <c r="I3860" s="4" t="str">
        <f>IFERROR(__xludf.DUMMYFUNCTION("""COMPUTED_VALUE"""),"0x95c17ff0ba2e03f2adcc0696f619aaba333e2563")</f>
        <v>0x95c17ff0ba2e03f2adcc0696f619aaba333e2563</v>
      </c>
      <c r="J3860" s="18">
        <v>46.6962303127787</v>
      </c>
      <c r="K3860" s="4">
        <v>583.7028789097337</v>
      </c>
      <c r="L3860" s="19">
        <v>5.837028789097337E20</v>
      </c>
      <c r="M3860" s="20">
        <v>5.837028789097338E19</v>
      </c>
    </row>
    <row r="3861">
      <c r="A3861" s="6"/>
      <c r="B3861" s="6"/>
      <c r="C3861" s="4"/>
      <c r="D3861" s="4">
        <v>9.672825519919328</v>
      </c>
      <c r="E3861" s="4" t="s">
        <v>5862</v>
      </c>
      <c r="F3861" s="4"/>
      <c r="G3861" s="4"/>
      <c r="H3861" s="4"/>
      <c r="I3861" s="4" t="str">
        <f>IFERROR(__xludf.DUMMYFUNCTION("""COMPUTED_VALUE"""),"0xc5c932c47e6d6b43f254256d8be9e3321672a6c6")</f>
        <v>0xc5c932c47e6d6b43f254256d8be9e3321672a6c6</v>
      </c>
      <c r="J3861" s="18">
        <v>47.8705441416169</v>
      </c>
      <c r="K3861" s="4">
        <v>598.3818017702112</v>
      </c>
      <c r="L3861" s="19">
        <v>5.983818017702112E20</v>
      </c>
      <c r="M3861" s="20">
        <v>5.9838180177021125E19</v>
      </c>
    </row>
    <row r="3862">
      <c r="A3862" s="6"/>
      <c r="B3862" s="6"/>
      <c r="C3862" s="4"/>
      <c r="D3862" s="4">
        <v>7.53415737312845</v>
      </c>
      <c r="E3862" s="4" t="s">
        <v>5863</v>
      </c>
      <c r="F3862" s="4"/>
      <c r="G3862" s="4"/>
      <c r="H3862" s="4"/>
      <c r="I3862" s="4" t="str">
        <f>IFERROR(__xludf.DUMMYFUNCTION("""COMPUTED_VALUE"""),"0x55eaffe3c1c1e1eb4b613a70beaed1157d74c312")</f>
        <v>0x55eaffe3c1c1e1eb4b613a70beaed1157d74c312</v>
      </c>
      <c r="J3862" s="18">
        <v>48.3641275995966</v>
      </c>
      <c r="K3862" s="4">
        <v>604.5515949949574</v>
      </c>
      <c r="L3862" s="19">
        <v>6.045515949949574E20</v>
      </c>
      <c r="M3862" s="20">
        <v>6.045515949949574E19</v>
      </c>
    </row>
    <row r="3863">
      <c r="A3863" s="6"/>
      <c r="B3863" s="6"/>
      <c r="C3863" s="4"/>
      <c r="D3863" s="4">
        <v>8.25272263742376</v>
      </c>
      <c r="E3863" s="4" t="s">
        <v>5865</v>
      </c>
      <c r="F3863" s="4"/>
      <c r="G3863" s="4"/>
      <c r="H3863" s="4"/>
      <c r="I3863" s="4" t="str">
        <f>IFERROR(__xludf.DUMMYFUNCTION("""COMPUTED_VALUE"""),"0x3b8ebf0f799d3ae4b3fa3408f5f549a9c8e3f9e6")</f>
        <v>0x3b8ebf0f799d3ae4b3fa3408f5f549a9c8e3f9e6</v>
      </c>
      <c r="J3863" s="18">
        <v>57.66472560997164</v>
      </c>
      <c r="K3863" s="4">
        <v>720.8090701246455</v>
      </c>
      <c r="L3863" s="19">
        <v>7.208090701246455E20</v>
      </c>
      <c r="M3863" s="20">
        <v>7.208090701246455E19</v>
      </c>
    </row>
    <row r="3864">
      <c r="A3864" s="6"/>
      <c r="B3864" s="6"/>
      <c r="C3864" s="4"/>
      <c r="D3864" s="4">
        <v>48.3641275995966</v>
      </c>
      <c r="E3864" s="4" t="s">
        <v>338</v>
      </c>
      <c r="F3864" s="4"/>
      <c r="G3864" s="4"/>
      <c r="H3864" s="4"/>
      <c r="I3864" s="4" t="str">
        <f>IFERROR(__xludf.DUMMYFUNCTION("""COMPUTED_VALUE"""),"0x338d47cca1ede4995c943cb2006645e1b0369a5e")</f>
        <v>0x338d47cca1ede4995c943cb2006645e1b0369a5e</v>
      </c>
      <c r="J3864" s="18">
        <v>46.7159663385951</v>
      </c>
      <c r="K3864" s="4">
        <v>583.9495792324387</v>
      </c>
      <c r="L3864" s="19">
        <v>5.839495792324387E20</v>
      </c>
      <c r="M3864" s="20">
        <v>5.839495792324388E19</v>
      </c>
    </row>
    <row r="3865">
      <c r="A3865" s="6"/>
      <c r="B3865" s="6"/>
      <c r="C3865" s="4"/>
      <c r="D3865" s="4">
        <v>33.1311199239796</v>
      </c>
      <c r="E3865" s="4" t="s">
        <v>5867</v>
      </c>
      <c r="F3865" s="4"/>
      <c r="G3865" s="4"/>
      <c r="H3865" s="4"/>
      <c r="I3865" s="4" t="str">
        <f>IFERROR(__xludf.DUMMYFUNCTION("""COMPUTED_VALUE"""),"0xfb1e10d7f99013c9d5402c29c9ed93308257baf6")</f>
        <v>0xfb1e10d7f99013c9d5402c29c9ed93308257baf6</v>
      </c>
      <c r="J3865" s="18">
        <v>67.9396399634078</v>
      </c>
      <c r="K3865" s="4">
        <v>849.2454995425975</v>
      </c>
      <c r="L3865" s="19">
        <v>8.492454995425975E20</v>
      </c>
      <c r="M3865" s="20">
        <v>8.492454995425976E19</v>
      </c>
    </row>
    <row r="3866">
      <c r="A3866" s="6"/>
      <c r="B3866" s="6"/>
      <c r="C3866" s="4"/>
      <c r="D3866" s="4">
        <v>9.672825519919328</v>
      </c>
      <c r="E3866" s="4" t="s">
        <v>5869</v>
      </c>
      <c r="F3866" s="4"/>
      <c r="G3866" s="4"/>
      <c r="H3866" s="4"/>
      <c r="I3866" s="4" t="str">
        <f>IFERROR(__xludf.DUMMYFUNCTION("""COMPUTED_VALUE"""),"0x8b50fd20f04165bd3f35088fb601ff3ec0d513c0")</f>
        <v>0x8b50fd20f04165bd3f35088fb601ff3ec0d513c0</v>
      </c>
      <c r="J3866" s="18">
        <v>9.08551546660173</v>
      </c>
      <c r="K3866" s="4">
        <v>113.56894333252163</v>
      </c>
      <c r="L3866" s="19">
        <v>1.1356894333252162E20</v>
      </c>
      <c r="M3866" s="20">
        <v>1.1356894333252164E19</v>
      </c>
    </row>
    <row r="3867">
      <c r="A3867" s="6"/>
      <c r="B3867" s="6"/>
      <c r="C3867" s="4"/>
      <c r="D3867" s="4">
        <v>48.3641275995966</v>
      </c>
      <c r="E3867" s="4" t="s">
        <v>5870</v>
      </c>
      <c r="F3867" s="4"/>
      <c r="G3867" s="4"/>
      <c r="H3867" s="4"/>
      <c r="I3867" s="4" t="str">
        <f>IFERROR(__xludf.DUMMYFUNCTION("""COMPUTED_VALUE"""),"0x194e7762bade50ddce0d0c94928298448ba80583")</f>
        <v>0x194e7762bade50ddce0d0c94928298448ba80583</v>
      </c>
      <c r="J3867" s="18">
        <v>9.808736149719131</v>
      </c>
      <c r="K3867" s="4">
        <v>122.60920187148913</v>
      </c>
      <c r="L3867" s="19">
        <v>1.2260920187148914E20</v>
      </c>
      <c r="M3867" s="20">
        <v>1.2260920187148915E19</v>
      </c>
    </row>
    <row r="3868">
      <c r="A3868" s="6"/>
      <c r="B3868" s="6"/>
      <c r="C3868" s="4"/>
      <c r="D3868" s="4">
        <v>48.3641275995966</v>
      </c>
      <c r="E3868" s="4" t="s">
        <v>5871</v>
      </c>
      <c r="F3868" s="4"/>
      <c r="G3868" s="4"/>
      <c r="H3868" s="4"/>
      <c r="I3868" s="4" t="str">
        <f>IFERROR(__xludf.DUMMYFUNCTION("""COMPUTED_VALUE"""),"0x3670b4f79591789115ceaea77e7ebb46a55426f3")</f>
        <v>0x3670b4f79591789115ceaea77e7ebb46a55426f3</v>
      </c>
      <c r="J3868" s="18">
        <v>111.4221821099393</v>
      </c>
      <c r="K3868" s="4">
        <v>1392.7772763742412</v>
      </c>
      <c r="L3868" s="19">
        <v>1.3927772763742412E21</v>
      </c>
      <c r="M3868" s="20">
        <v>1.3927772763742413E20</v>
      </c>
    </row>
    <row r="3869">
      <c r="A3869" s="6"/>
      <c r="B3869" s="6"/>
      <c r="C3869" s="4"/>
      <c r="D3869" s="4">
        <v>48.3641275995966</v>
      </c>
      <c r="E3869" s="4" t="s">
        <v>5872</v>
      </c>
      <c r="F3869" s="4"/>
      <c r="G3869" s="4"/>
      <c r="H3869" s="4"/>
      <c r="I3869" s="4" t="str">
        <f>IFERROR(__xludf.DUMMYFUNCTION("""COMPUTED_VALUE"""),"0x79a4a55a7a6333cab4a9896f6383e788438de6b1")</f>
        <v>0x79a4a55a7a6333cab4a9896f6383e788438de6b1</v>
      </c>
      <c r="J3869" s="18">
        <v>48.3641275995966</v>
      </c>
      <c r="K3869" s="4">
        <v>604.5515949949574</v>
      </c>
      <c r="L3869" s="19">
        <v>6.045515949949574E20</v>
      </c>
      <c r="M3869" s="20">
        <v>6.045515949949574E19</v>
      </c>
    </row>
    <row r="3870">
      <c r="A3870" s="6"/>
      <c r="B3870" s="6"/>
      <c r="C3870" s="4"/>
      <c r="D3870" s="4">
        <v>48.3641275995966</v>
      </c>
      <c r="E3870" s="4" t="s">
        <v>5873</v>
      </c>
      <c r="F3870" s="4"/>
      <c r="G3870" s="4"/>
      <c r="H3870" s="4"/>
      <c r="I3870" s="4" t="str">
        <f>IFERROR(__xludf.DUMMYFUNCTION("""COMPUTED_VALUE"""),"0x8a46d36be6e2618438d1e0b58fe7df2ffcff49e1")</f>
        <v>0x8a46d36be6e2618438d1e0b58fe7df2ffcff49e1</v>
      </c>
      <c r="J3870" s="18">
        <v>5.58822542353936</v>
      </c>
      <c r="K3870" s="4">
        <v>69.852817794242</v>
      </c>
      <c r="L3870" s="19">
        <v>6.9852817794242E19</v>
      </c>
      <c r="M3870" s="20">
        <v>6.985281779424201E18</v>
      </c>
    </row>
    <row r="3871">
      <c r="A3871" s="6"/>
      <c r="B3871" s="6"/>
      <c r="C3871" s="4"/>
      <c r="D3871" s="4">
        <v>48.3641275995966</v>
      </c>
      <c r="E3871" s="4" t="s">
        <v>5874</v>
      </c>
      <c r="F3871" s="4"/>
      <c r="G3871" s="4"/>
      <c r="H3871" s="4"/>
      <c r="I3871" s="4" t="str">
        <f>IFERROR(__xludf.DUMMYFUNCTION("""COMPUTED_VALUE"""),"0x4237ed57e11f80fb98d095b775308cb37b5d2d54")</f>
        <v>0x4237ed57e11f80fb98d095b775308cb37b5d2d54</v>
      </c>
      <c r="J3871" s="18">
        <v>49.140064873226045</v>
      </c>
      <c r="K3871" s="4">
        <v>614.2508109153256</v>
      </c>
      <c r="L3871" s="19">
        <v>6.142508109153256E20</v>
      </c>
      <c r="M3871" s="20">
        <v>6.142508109153256E19</v>
      </c>
    </row>
    <row r="3872">
      <c r="A3872" s="6"/>
      <c r="B3872" s="6"/>
      <c r="C3872" s="4"/>
      <c r="D3872" s="4">
        <v>48.3641275995966</v>
      </c>
      <c r="E3872" s="4" t="s">
        <v>5875</v>
      </c>
      <c r="F3872" s="4"/>
      <c r="G3872" s="4"/>
      <c r="H3872" s="4"/>
      <c r="I3872" s="4" t="str">
        <f>IFERROR(__xludf.DUMMYFUNCTION("""COMPUTED_VALUE"""),"0x022d6358f7d4e045679305ef136b1db1261cbbb4")</f>
        <v>0x022d6358f7d4e045679305ef136b1db1261cbbb4</v>
      </c>
      <c r="J3872" s="18">
        <v>9.20812282764315</v>
      </c>
      <c r="K3872" s="4">
        <v>115.10153534553938</v>
      </c>
      <c r="L3872" s="19">
        <v>1.1510153534553937E20</v>
      </c>
      <c r="M3872" s="20">
        <v>1.1510153534553938E19</v>
      </c>
    </row>
    <row r="3873">
      <c r="A3873" s="6"/>
      <c r="B3873" s="6"/>
      <c r="C3873" s="4"/>
      <c r="D3873" s="4">
        <v>29.018476559758</v>
      </c>
      <c r="E3873" s="4" t="s">
        <v>5876</v>
      </c>
      <c r="F3873" s="4"/>
      <c r="G3873" s="4"/>
      <c r="H3873" s="4"/>
      <c r="I3873" s="4" t="str">
        <f>IFERROR(__xludf.DUMMYFUNCTION("""COMPUTED_VALUE"""),"0xb0751816e1da74bf295fa4e86f34189b6f9efcf2")</f>
        <v>0xb0751816e1da74bf295fa4e86f34189b6f9efcf2</v>
      </c>
      <c r="J3873" s="18">
        <v>41.289898696276</v>
      </c>
      <c r="K3873" s="4">
        <v>516.12373370345</v>
      </c>
      <c r="L3873" s="19">
        <v>5.1612373370345E20</v>
      </c>
      <c r="M3873" s="20">
        <v>5.1612373370345E19</v>
      </c>
    </row>
    <row r="3874">
      <c r="A3874" s="6"/>
      <c r="B3874" s="6"/>
      <c r="C3874" s="4"/>
      <c r="D3874" s="4">
        <v>18.4663079701214</v>
      </c>
      <c r="E3874" s="4" t="s">
        <v>5877</v>
      </c>
      <c r="F3874" s="4"/>
      <c r="G3874" s="4"/>
      <c r="H3874" s="4"/>
      <c r="I3874" s="4" t="str">
        <f>IFERROR(__xludf.DUMMYFUNCTION("""COMPUTED_VALUE"""),"0xb272a96281fd55248932d778f06ee0d7c8cb472a")</f>
        <v>0xb272a96281fd55248932d778f06ee0d7c8cb472a</v>
      </c>
      <c r="J3874" s="18">
        <v>11.48078391684</v>
      </c>
      <c r="K3874" s="4">
        <v>143.5097989605</v>
      </c>
      <c r="L3874" s="19">
        <v>1.435097989605E20</v>
      </c>
      <c r="M3874" s="20">
        <v>1.435097989605E19</v>
      </c>
    </row>
    <row r="3875">
      <c r="A3875" s="6"/>
      <c r="B3875" s="6"/>
      <c r="C3875" s="4"/>
      <c r="D3875" s="4">
        <v>48.3641275995966</v>
      </c>
      <c r="E3875" s="4" t="s">
        <v>5879</v>
      </c>
      <c r="F3875" s="4"/>
      <c r="G3875" s="4"/>
      <c r="H3875" s="4"/>
      <c r="I3875" s="4" t="str">
        <f>IFERROR(__xludf.DUMMYFUNCTION("""COMPUTED_VALUE"""),"0xc034fa414d58d61bd97111633071c7594ec5bb7e")</f>
        <v>0xc034fa414d58d61bd97111633071c7594ec5bb7e</v>
      </c>
      <c r="J3875" s="18">
        <v>4.82044975624438</v>
      </c>
      <c r="K3875" s="4">
        <v>60.25562195305475</v>
      </c>
      <c r="L3875" s="19">
        <v>6.025562195305475E19</v>
      </c>
      <c r="M3875" s="20">
        <v>6.025562195305476E18</v>
      </c>
    </row>
    <row r="3876">
      <c r="A3876" s="6"/>
      <c r="B3876" s="6"/>
      <c r="C3876" s="4"/>
      <c r="D3876" s="4">
        <v>18.1482043987392</v>
      </c>
      <c r="E3876" s="4" t="s">
        <v>5880</v>
      </c>
      <c r="F3876" s="4"/>
      <c r="G3876" s="4"/>
      <c r="H3876" s="4"/>
      <c r="I3876" s="4" t="str">
        <f>IFERROR(__xludf.DUMMYFUNCTION("""COMPUTED_VALUE"""),"0xdbf821527d9cd682a290a8723dfc53c7d8a4f770")</f>
        <v>0xdbf821527d9cd682a290a8723dfc53c7d8a4f770</v>
      </c>
      <c r="J3876" s="18">
        <v>48.0718940214117</v>
      </c>
      <c r="K3876" s="4">
        <v>600.8986752676462</v>
      </c>
      <c r="L3876" s="19">
        <v>6.008986752676463E20</v>
      </c>
      <c r="M3876" s="20">
        <v>6.008986752676463E19</v>
      </c>
    </row>
    <row r="3877">
      <c r="A3877" s="6"/>
      <c r="B3877" s="6"/>
      <c r="C3877" s="4"/>
      <c r="D3877" s="4">
        <v>48.3641275995966</v>
      </c>
      <c r="E3877" s="4" t="s">
        <v>5882</v>
      </c>
      <c r="F3877" s="4"/>
      <c r="G3877" s="4"/>
      <c r="H3877" s="4"/>
      <c r="I3877" s="4" t="str">
        <f>IFERROR(__xludf.DUMMYFUNCTION("""COMPUTED_VALUE"""),"0xb9bd9f952a844a0efc3eeeb09f6ed814ae56b226")</f>
        <v>0xb9bd9f952a844a0efc3eeeb09f6ed814ae56b226</v>
      </c>
      <c r="J3877" s="18">
        <v>26.433657578372003</v>
      </c>
      <c r="K3877" s="4">
        <v>330.42071972965005</v>
      </c>
      <c r="L3877" s="19">
        <v>3.3042071972965004E20</v>
      </c>
      <c r="M3877" s="20">
        <v>3.3042071972965007E19</v>
      </c>
    </row>
    <row r="3878">
      <c r="A3878" s="6"/>
      <c r="B3878" s="6"/>
      <c r="C3878" s="4"/>
      <c r="D3878" s="4">
        <v>48.3641275995966</v>
      </c>
      <c r="E3878" s="4" t="s">
        <v>5883</v>
      </c>
      <c r="F3878" s="4"/>
      <c r="G3878" s="4"/>
      <c r="H3878" s="4"/>
      <c r="I3878" s="4" t="str">
        <f>IFERROR(__xludf.DUMMYFUNCTION("""COMPUTED_VALUE"""),"0x0158f00a084b59b6705d6da468afd270f6f7e396")</f>
        <v>0x0158f00a084b59b6705d6da468afd270f6f7e396</v>
      </c>
      <c r="J3878" s="18">
        <v>48.3641275995966</v>
      </c>
      <c r="K3878" s="4">
        <v>604.5515949949574</v>
      </c>
      <c r="L3878" s="19">
        <v>6.045515949949574E20</v>
      </c>
      <c r="M3878" s="20">
        <v>6.045515949949574E19</v>
      </c>
    </row>
    <row r="3879">
      <c r="A3879" s="6"/>
      <c r="B3879" s="6"/>
      <c r="C3879" s="4"/>
      <c r="D3879" s="4">
        <v>0.193456510398386</v>
      </c>
      <c r="E3879" s="4" t="s">
        <v>5884</v>
      </c>
      <c r="F3879" s="4"/>
      <c r="G3879" s="4"/>
      <c r="H3879" s="4"/>
      <c r="I3879" s="4" t="str">
        <f>IFERROR(__xludf.DUMMYFUNCTION("""COMPUTED_VALUE"""),"0x545df2958478cc6353ec0a6826ccbb978cb341c9")</f>
        <v>0x545df2958478cc6353ec0a6826ccbb978cb341c9</v>
      </c>
      <c r="J3879" s="18">
        <v>48.3641275995966</v>
      </c>
      <c r="K3879" s="4">
        <v>604.5515949949574</v>
      </c>
      <c r="L3879" s="19">
        <v>6.045515949949574E20</v>
      </c>
      <c r="M3879" s="20">
        <v>6.045515949949574E19</v>
      </c>
    </row>
    <row r="3880">
      <c r="A3880" s="6"/>
      <c r="B3880" s="6"/>
      <c r="C3880" s="4"/>
      <c r="D3880" s="4">
        <v>41.818110149717306</v>
      </c>
      <c r="E3880" s="4" t="s">
        <v>5885</v>
      </c>
      <c r="F3880" s="4"/>
      <c r="G3880" s="4"/>
      <c r="H3880" s="4"/>
      <c r="I3880" s="4" t="str">
        <f>IFERROR(__xludf.DUMMYFUNCTION("""COMPUTED_VALUE"""),"0xfca69afca44ef9b76dd9af6f19b67a4b8411b15a")</f>
        <v>0xfca69afca44ef9b76dd9af6f19b67a4b8411b15a</v>
      </c>
      <c r="J3880" s="18">
        <v>9.973531626381039</v>
      </c>
      <c r="K3880" s="4">
        <v>124.66914532976298</v>
      </c>
      <c r="L3880" s="19">
        <v>1.2466914532976298E20</v>
      </c>
      <c r="M3880" s="20">
        <v>1.2466914532976298E19</v>
      </c>
    </row>
    <row r="3881">
      <c r="A3881" s="6"/>
      <c r="B3881" s="6"/>
      <c r="C3881" s="4"/>
      <c r="D3881" s="4">
        <v>0.321793820373944</v>
      </c>
      <c r="E3881" s="4" t="s">
        <v>5887</v>
      </c>
      <c r="F3881" s="4"/>
      <c r="G3881" s="4"/>
      <c r="H3881" s="4"/>
      <c r="I3881" s="4" t="str">
        <f>IFERROR(__xludf.DUMMYFUNCTION("""COMPUTED_VALUE"""),"0x5f7532b57cf7ebeccb17c165325e1279dddcc503")</f>
        <v>0x5f7532b57cf7ebeccb17c165325e1279dddcc503</v>
      </c>
      <c r="J3881" s="18">
        <v>38.6913020796773</v>
      </c>
      <c r="K3881" s="4">
        <v>483.6412759959662</v>
      </c>
      <c r="L3881" s="19">
        <v>4.836412759959662E20</v>
      </c>
      <c r="M3881" s="20">
        <v>4.836412759959663E19</v>
      </c>
    </row>
    <row r="3882">
      <c r="A3882" s="6"/>
      <c r="B3882" s="6"/>
      <c r="C3882" s="4"/>
      <c r="D3882" s="4">
        <v>48.3641275995966</v>
      </c>
      <c r="E3882" s="4" t="s">
        <v>5889</v>
      </c>
      <c r="F3882" s="4"/>
      <c r="G3882" s="4"/>
      <c r="H3882" s="4"/>
      <c r="I3882" s="4" t="str">
        <f>IFERROR(__xludf.DUMMYFUNCTION("""COMPUTED_VALUE"""),"0x6506f0e7a92546e21cfb9452e25e7cab1c761d9e")</f>
        <v>0x6506f0e7a92546e21cfb9452e25e7cab1c761d9e</v>
      </c>
      <c r="J3882" s="18">
        <v>24.8066162938808</v>
      </c>
      <c r="K3882" s="4">
        <v>310.08270367351</v>
      </c>
      <c r="L3882" s="19">
        <v>3.1008270367351E20</v>
      </c>
      <c r="M3882" s="20">
        <v>3.1008270367351E19</v>
      </c>
    </row>
    <row r="3883">
      <c r="A3883" s="6"/>
      <c r="B3883" s="6"/>
      <c r="C3883" s="4"/>
      <c r="D3883" s="4">
        <v>48.3641275995966</v>
      </c>
      <c r="E3883" s="4" t="s">
        <v>5890</v>
      </c>
      <c r="F3883" s="4"/>
      <c r="G3883" s="4"/>
      <c r="H3883" s="4"/>
      <c r="I3883" s="4" t="str">
        <f>IFERROR(__xludf.DUMMYFUNCTION("""COMPUTED_VALUE"""),"0x40e434d64b8b1799b47d2a07fdcb5ca154ca26ac")</f>
        <v>0x40e434d64b8b1799b47d2a07fdcb5ca154ca26ac</v>
      </c>
      <c r="J3883" s="18">
        <v>19.4322167976221</v>
      </c>
      <c r="K3883" s="4">
        <v>242.90270997027625</v>
      </c>
      <c r="L3883" s="19">
        <v>2.4290270997027625E20</v>
      </c>
      <c r="M3883" s="20">
        <v>2.4290270997027627E19</v>
      </c>
    </row>
    <row r="3884">
      <c r="A3884" s="6"/>
      <c r="B3884" s="6"/>
      <c r="C3884" s="4"/>
      <c r="D3884" s="4">
        <v>48.3641275995966</v>
      </c>
      <c r="E3884" s="4" t="s">
        <v>5891</v>
      </c>
      <c r="F3884" s="4"/>
      <c r="G3884" s="4"/>
      <c r="H3884" s="4"/>
      <c r="I3884" s="4" t="str">
        <f>IFERROR(__xludf.DUMMYFUNCTION("""COMPUTED_VALUE"""),"0x78b3fa847af550ba0d25673b4fd05c267cfb442c")</f>
        <v>0x78b3fa847af550ba0d25673b4fd05c267cfb442c</v>
      </c>
      <c r="J3884" s="18">
        <v>71.6074803796176</v>
      </c>
      <c r="K3884" s="4">
        <v>895.09350474522</v>
      </c>
      <c r="L3884" s="19">
        <v>8.9509350474522E20</v>
      </c>
      <c r="M3884" s="20">
        <v>8.9509350474522E19</v>
      </c>
    </row>
    <row r="3885">
      <c r="A3885" s="6"/>
      <c r="B3885" s="6"/>
      <c r="C3885" s="4"/>
      <c r="D3885" s="4">
        <v>18.803640704726</v>
      </c>
      <c r="E3885" s="4" t="s">
        <v>5892</v>
      </c>
      <c r="F3885" s="4"/>
      <c r="G3885" s="4"/>
      <c r="H3885" s="4"/>
      <c r="I3885" s="4" t="str">
        <f>IFERROR(__xludf.DUMMYFUNCTION("""COMPUTED_VALUE"""),"0xb13ba2d35f3f79ce3259178ba4858ed684821a45")</f>
        <v>0xb13ba2d35f3f79ce3259178ba4858ed684821a45</v>
      </c>
      <c r="J3885" s="18">
        <v>6.38406484314676</v>
      </c>
      <c r="K3885" s="4">
        <v>79.80081053933449</v>
      </c>
      <c r="L3885" s="19">
        <v>7.980081053933448E19</v>
      </c>
      <c r="M3885" s="20">
        <v>7.980081053933449E18</v>
      </c>
    </row>
    <row r="3886">
      <c r="A3886" s="6"/>
      <c r="B3886" s="6"/>
      <c r="C3886" s="4"/>
      <c r="D3886" s="4">
        <v>48.3641275995966</v>
      </c>
      <c r="E3886" s="4" t="s">
        <v>1533</v>
      </c>
      <c r="F3886" s="4"/>
      <c r="G3886" s="4"/>
      <c r="H3886" s="4"/>
      <c r="I3886" s="4" t="str">
        <f>IFERROR(__xludf.DUMMYFUNCTION("""COMPUTED_VALUE"""),"0x12e2649a9d5dd63c97ed7b5afe9a7fe39e94b04f")</f>
        <v>0x12e2649a9d5dd63c97ed7b5afe9a7fe39e94b04f</v>
      </c>
      <c r="J3886" s="18">
        <v>48.3641275995966</v>
      </c>
      <c r="K3886" s="4">
        <v>604.5515949949574</v>
      </c>
      <c r="L3886" s="19">
        <v>6.045515949949574E20</v>
      </c>
      <c r="M3886" s="20">
        <v>6.045515949949574E19</v>
      </c>
    </row>
    <row r="3887">
      <c r="A3887" s="6"/>
      <c r="B3887" s="6"/>
      <c r="C3887" s="4"/>
      <c r="D3887" s="4">
        <v>9.75559550484939</v>
      </c>
      <c r="E3887" s="4" t="s">
        <v>5894</v>
      </c>
      <c r="F3887" s="4"/>
      <c r="G3887" s="4"/>
      <c r="H3887" s="4"/>
      <c r="I3887" s="4" t="str">
        <f>IFERROR(__xludf.DUMMYFUNCTION("""COMPUTED_VALUE"""),"0x0df2763078b4b5c714e0edf86fa33bc71127180f")</f>
        <v>0x0df2763078b4b5c714e0edf86fa33bc71127180f</v>
      </c>
      <c r="J3887" s="18">
        <v>222.1912452033249</v>
      </c>
      <c r="K3887" s="4">
        <v>2777.3905650415613</v>
      </c>
      <c r="L3887" s="19">
        <v>2.7773905650415614E21</v>
      </c>
      <c r="M3887" s="20">
        <v>2.7773905650415616E20</v>
      </c>
    </row>
    <row r="3888">
      <c r="A3888" s="6"/>
      <c r="B3888" s="6"/>
      <c r="C3888" s="4"/>
      <c r="D3888" s="4">
        <v>48.3641275995966</v>
      </c>
      <c r="E3888" s="4" t="s">
        <v>1334</v>
      </c>
      <c r="F3888" s="4"/>
      <c r="G3888" s="4"/>
      <c r="H3888" s="4"/>
      <c r="I3888" s="4" t="str">
        <f>IFERROR(__xludf.DUMMYFUNCTION("""COMPUTED_VALUE"""),"0x898f3dd9361b497eab41f96b286a1813e9b6bcd2")</f>
        <v>0x898f3dd9361b497eab41f96b286a1813e9b6bcd2</v>
      </c>
      <c r="J3888" s="18">
        <v>18.268739935409798</v>
      </c>
      <c r="K3888" s="4">
        <v>228.35924919262246</v>
      </c>
      <c r="L3888" s="19">
        <v>2.2835924919262246E20</v>
      </c>
      <c r="M3888" s="20">
        <v>2.283592491926225E19</v>
      </c>
    </row>
    <row r="3889">
      <c r="A3889" s="6"/>
      <c r="B3889" s="6"/>
      <c r="C3889" s="4"/>
      <c r="D3889" s="4">
        <v>45.267826226860095</v>
      </c>
      <c r="E3889" s="4" t="s">
        <v>1628</v>
      </c>
      <c r="F3889" s="4"/>
      <c r="G3889" s="4"/>
      <c r="H3889" s="4"/>
      <c r="I3889" s="4" t="str">
        <f>IFERROR(__xludf.DUMMYFUNCTION("""COMPUTED_VALUE"""),"0x686dbe128802561aca5445125f820015edcd9425")</f>
        <v>0x686dbe128802561aca5445125f820015edcd9425</v>
      </c>
      <c r="J3889" s="18">
        <v>13.123206870530199</v>
      </c>
      <c r="K3889" s="4">
        <v>164.04008588162748</v>
      </c>
      <c r="L3889" s="19">
        <v>1.6404008588162748E20</v>
      </c>
      <c r="M3889" s="20">
        <v>1.6404008588162748E19</v>
      </c>
    </row>
    <row r="3890">
      <c r="A3890" s="6"/>
      <c r="B3890" s="6"/>
      <c r="C3890" s="4"/>
      <c r="D3890" s="4">
        <v>46.376971166111495</v>
      </c>
      <c r="E3890" s="4" t="s">
        <v>5897</v>
      </c>
      <c r="F3890" s="4"/>
      <c r="G3890" s="4"/>
      <c r="H3890" s="4"/>
      <c r="I3890" s="4" t="str">
        <f>IFERROR(__xludf.DUMMYFUNCTION("""COMPUTED_VALUE"""),"0xc89a6347e873fb3d78d3ee49086cc1dfad2085b8")</f>
        <v>0xc89a6347e873fb3d78d3ee49086cc1dfad2085b8</v>
      </c>
      <c r="J3890" s="18">
        <v>8.57150093230763</v>
      </c>
      <c r="K3890" s="4">
        <v>107.14376165384537</v>
      </c>
      <c r="L3890" s="19">
        <v>1.0714376165384538E20</v>
      </c>
      <c r="M3890" s="20">
        <v>1.0714376165384538E19</v>
      </c>
    </row>
    <row r="3891">
      <c r="A3891" s="6"/>
      <c r="B3891" s="6"/>
      <c r="C3891" s="4"/>
      <c r="D3891" s="4">
        <v>48.3641275995966</v>
      </c>
      <c r="E3891" s="4" t="s">
        <v>367</v>
      </c>
      <c r="F3891" s="4"/>
      <c r="G3891" s="4"/>
      <c r="H3891" s="4"/>
      <c r="I3891" s="4" t="str">
        <f>IFERROR(__xludf.DUMMYFUNCTION("""COMPUTED_VALUE"""),"0x1fad5377181e3988aa194d2ee8f4ee887df85ac2")</f>
        <v>0x1fad5377181e3988aa194d2ee8f4ee887df85ac2</v>
      </c>
      <c r="J3891" s="18">
        <v>48.3641275995966</v>
      </c>
      <c r="K3891" s="4">
        <v>604.5515949949574</v>
      </c>
      <c r="L3891" s="19">
        <v>6.045515949949574E20</v>
      </c>
      <c r="M3891" s="20">
        <v>6.045515949949574E19</v>
      </c>
    </row>
    <row r="3892">
      <c r="A3892" s="6"/>
      <c r="B3892" s="6"/>
      <c r="C3892" s="4"/>
      <c r="D3892" s="4">
        <v>48.3641275995966</v>
      </c>
      <c r="E3892" s="4" t="s">
        <v>5899</v>
      </c>
      <c r="F3892" s="4"/>
      <c r="G3892" s="4"/>
      <c r="H3892" s="4"/>
      <c r="I3892" s="4" t="str">
        <f>IFERROR(__xludf.DUMMYFUNCTION("""COMPUTED_VALUE"""),"0x6e3c45bfd19cb6ddeb3e3ff690398fd74975151f")</f>
        <v>0x6e3c45bfd19cb6ddeb3e3ff690398fd74975151f</v>
      </c>
      <c r="J3892" s="18">
        <v>48.3641275995966</v>
      </c>
      <c r="K3892" s="4">
        <v>604.5515949949574</v>
      </c>
      <c r="L3892" s="19">
        <v>6.045515949949574E20</v>
      </c>
      <c r="M3892" s="20">
        <v>6.045515949949574E19</v>
      </c>
    </row>
    <row r="3893">
      <c r="A3893" s="6"/>
      <c r="B3893" s="6"/>
      <c r="C3893" s="4"/>
      <c r="D3893" s="4">
        <v>48.3641275995966</v>
      </c>
      <c r="E3893" s="4" t="s">
        <v>5900</v>
      </c>
      <c r="F3893" s="4"/>
      <c r="G3893" s="4"/>
      <c r="H3893" s="4"/>
      <c r="I3893" s="4" t="str">
        <f>IFERROR(__xludf.DUMMYFUNCTION("""COMPUTED_VALUE"""),"0x1a9356996d324f9519cae2c829905d5644cfcc2b")</f>
        <v>0x1a9356996d324f9519cae2c829905d5644cfcc2b</v>
      </c>
      <c r="J3893" s="18">
        <v>234.37608780709658</v>
      </c>
      <c r="K3893" s="4">
        <v>2929.7010975887074</v>
      </c>
      <c r="L3893" s="19">
        <v>2.9297010975887076E21</v>
      </c>
      <c r="M3893" s="20">
        <v>2.9297010975887078E20</v>
      </c>
    </row>
    <row r="3894">
      <c r="A3894" s="6"/>
      <c r="B3894" s="6"/>
      <c r="C3894" s="4"/>
      <c r="D3894" s="4">
        <v>48.3641275995966</v>
      </c>
      <c r="E3894" s="4" t="s">
        <v>977</v>
      </c>
      <c r="F3894" s="4"/>
      <c r="G3894" s="4"/>
      <c r="H3894" s="4"/>
      <c r="I3894" s="4" t="str">
        <f>IFERROR(__xludf.DUMMYFUNCTION("""COMPUTED_VALUE"""),"0xb28737a7186b7b037d4211978807b93e47cab07c")</f>
        <v>0xb28737a7186b7b037d4211978807b93e47cab07c</v>
      </c>
      <c r="J3894" s="18">
        <v>10.5111448321934</v>
      </c>
      <c r="K3894" s="4">
        <v>131.3893104024175</v>
      </c>
      <c r="L3894" s="19">
        <v>1.313893104024175E20</v>
      </c>
      <c r="M3894" s="20">
        <v>1.313893104024175E19</v>
      </c>
    </row>
    <row r="3895">
      <c r="A3895" s="6"/>
      <c r="B3895" s="6"/>
      <c r="C3895" s="4"/>
      <c r="D3895" s="4">
        <v>19.7887227882166</v>
      </c>
      <c r="E3895" s="4" t="s">
        <v>5901</v>
      </c>
      <c r="F3895" s="4"/>
      <c r="G3895" s="4"/>
      <c r="H3895" s="4"/>
      <c r="I3895" s="4" t="str">
        <f>IFERROR(__xludf.DUMMYFUNCTION("""COMPUTED_VALUE"""),"0xa3c45f347af64ea19c9f52694706254651faea9d")</f>
        <v>0xa3c45f347af64ea19c9f52694706254651faea9d</v>
      </c>
      <c r="J3895" s="18">
        <v>48.3641275995966</v>
      </c>
      <c r="K3895" s="4">
        <v>604.5515949949574</v>
      </c>
      <c r="L3895" s="19">
        <v>6.045515949949574E20</v>
      </c>
      <c r="M3895" s="20">
        <v>6.045515949949574E19</v>
      </c>
    </row>
    <row r="3896">
      <c r="A3896" s="6"/>
      <c r="B3896" s="6"/>
      <c r="C3896" s="4"/>
      <c r="D3896" s="4">
        <v>48.3641275995966</v>
      </c>
      <c r="E3896" s="4" t="s">
        <v>5903</v>
      </c>
      <c r="F3896" s="4"/>
      <c r="G3896" s="4"/>
      <c r="H3896" s="4"/>
      <c r="I3896" s="4" t="str">
        <f>IFERROR(__xludf.DUMMYFUNCTION("""COMPUTED_VALUE"""),"0xfa80bf0a6ff24df58881e6fe3ce56206e0dd6480")</f>
        <v>0xfa80bf0a6ff24df58881e6fe3ce56206e0dd6480</v>
      </c>
      <c r="J3896" s="18">
        <v>15.720882092192898</v>
      </c>
      <c r="K3896" s="4">
        <v>196.51102615241123</v>
      </c>
      <c r="L3896" s="19">
        <v>1.9651102615241123E20</v>
      </c>
      <c r="M3896" s="20">
        <v>1.9651102615241126E19</v>
      </c>
    </row>
    <row r="3897">
      <c r="A3897" s="6"/>
      <c r="B3897" s="6"/>
      <c r="C3897" s="4"/>
      <c r="D3897" s="4">
        <v>48.3641275995966</v>
      </c>
      <c r="E3897" s="4" t="s">
        <v>5904</v>
      </c>
      <c r="F3897" s="4"/>
      <c r="G3897" s="4"/>
      <c r="H3897" s="4"/>
      <c r="I3897" s="4" t="str">
        <f>IFERROR(__xludf.DUMMYFUNCTION("""COMPUTED_VALUE"""),"0x2bbc498714b39ccff61af532b2cb2fd2e44d7dfd")</f>
        <v>0x2bbc498714b39ccff61af532b2cb2fd2e44d7dfd</v>
      </c>
      <c r="J3897" s="18">
        <v>13.133660736883401</v>
      </c>
      <c r="K3897" s="4">
        <v>164.1707592110425</v>
      </c>
      <c r="L3897" s="19">
        <v>1.641707592110425E20</v>
      </c>
      <c r="M3897" s="20">
        <v>1.641707592110425E19</v>
      </c>
    </row>
    <row r="3898">
      <c r="A3898" s="6"/>
      <c r="B3898" s="6"/>
      <c r="C3898" s="4"/>
      <c r="D3898" s="4">
        <v>8.26496120828494</v>
      </c>
      <c r="E3898" s="4" t="s">
        <v>5905</v>
      </c>
      <c r="F3898" s="4"/>
      <c r="G3898" s="4"/>
      <c r="H3898" s="4"/>
      <c r="I3898" s="4" t="str">
        <f>IFERROR(__xludf.DUMMYFUNCTION("""COMPUTED_VALUE"""),"0xb0c5bbd91b9a288b21f3eac36a576da99dc6f59e")</f>
        <v>0xb0c5bbd91b9a288b21f3eac36a576da99dc6f59e</v>
      </c>
      <c r="J3898" s="18">
        <v>205.4140256027886</v>
      </c>
      <c r="K3898" s="4">
        <v>2567.6753200348576</v>
      </c>
      <c r="L3898" s="19">
        <v>2.5676753200348576E21</v>
      </c>
      <c r="M3898" s="20">
        <v>2.5676753200348578E20</v>
      </c>
    </row>
    <row r="3899">
      <c r="A3899" s="6"/>
      <c r="B3899" s="6"/>
      <c r="C3899" s="4"/>
      <c r="D3899" s="4">
        <v>9.672825519919328</v>
      </c>
      <c r="E3899" s="4" t="s">
        <v>5907</v>
      </c>
      <c r="F3899" s="4"/>
      <c r="G3899" s="4"/>
      <c r="H3899" s="4"/>
      <c r="I3899" s="4" t="str">
        <f>IFERROR(__xludf.DUMMYFUNCTION("""COMPUTED_VALUE"""),"0x7e6e004f6e22e310fdae7d16e2855bcf6ef69daa")</f>
        <v>0x7e6e004f6e22e310fdae7d16e2855bcf6ef69daa</v>
      </c>
      <c r="J3899" s="18">
        <v>38.6913020796773</v>
      </c>
      <c r="K3899" s="4">
        <v>483.6412759959662</v>
      </c>
      <c r="L3899" s="19">
        <v>4.836412759959662E20</v>
      </c>
      <c r="M3899" s="20">
        <v>4.836412759959663E19</v>
      </c>
    </row>
    <row r="3900">
      <c r="A3900" s="6"/>
      <c r="B3900" s="6"/>
      <c r="C3900" s="4"/>
      <c r="D3900" s="4">
        <v>16.4720050527939</v>
      </c>
      <c r="E3900" s="4" t="s">
        <v>5908</v>
      </c>
      <c r="F3900" s="4"/>
      <c r="G3900" s="4"/>
      <c r="H3900" s="4"/>
      <c r="I3900" s="4" t="str">
        <f>IFERROR(__xludf.DUMMYFUNCTION("""COMPUTED_VALUE"""),"0xf0769f107af6034901df8dfd5d37cdffdfd86d52")</f>
        <v>0xf0769f107af6034901df8dfd5d37cdffdfd86d52</v>
      </c>
      <c r="J3900" s="18">
        <v>94.8671176514718</v>
      </c>
      <c r="K3900" s="4">
        <v>1185.8389706433975</v>
      </c>
      <c r="L3900" s="19">
        <v>1.1858389706433975E21</v>
      </c>
      <c r="M3900" s="20">
        <v>1.1858389706433975E20</v>
      </c>
    </row>
    <row r="3901">
      <c r="A3901" s="6"/>
      <c r="B3901" s="6"/>
      <c r="C3901" s="4"/>
      <c r="D3901" s="4">
        <v>28.5659172676554</v>
      </c>
      <c r="E3901" s="4" t="s">
        <v>5910</v>
      </c>
      <c r="F3901" s="4"/>
      <c r="G3901" s="4"/>
      <c r="H3901" s="4"/>
      <c r="I3901" s="4" t="str">
        <f>IFERROR(__xludf.DUMMYFUNCTION("""COMPUTED_VALUE"""),"0x3050ded48a8f746b7f8d11a494a7df05fb7df1f5")</f>
        <v>0x3050ded48a8f746b7f8d11a494a7df05fb7df1f5</v>
      </c>
      <c r="J3901" s="18">
        <v>9.905794763374649</v>
      </c>
      <c r="K3901" s="4">
        <v>123.82243454218312</v>
      </c>
      <c r="L3901" s="19">
        <v>1.2382243454218312E20</v>
      </c>
      <c r="M3901" s="20">
        <v>1.2382243454218314E19</v>
      </c>
    </row>
    <row r="3902">
      <c r="A3902" s="6"/>
      <c r="B3902" s="6"/>
      <c r="C3902" s="4"/>
      <c r="D3902" s="4">
        <v>48.3641275995966</v>
      </c>
      <c r="E3902" s="4" t="s">
        <v>5912</v>
      </c>
      <c r="F3902" s="4"/>
      <c r="G3902" s="4"/>
      <c r="H3902" s="4"/>
      <c r="I3902" s="4" t="str">
        <f>IFERROR(__xludf.DUMMYFUNCTION("""COMPUTED_VALUE"""),"0x700fc264d3390e9b0e4658a07fd4cfda1e3dfb7d")</f>
        <v>0x700fc264d3390e9b0e4658a07fd4cfda1e3dfb7d</v>
      </c>
      <c r="J3902" s="18">
        <v>234.37608780709658</v>
      </c>
      <c r="K3902" s="4">
        <v>2929.7010975887074</v>
      </c>
      <c r="L3902" s="19">
        <v>2.9297010975887076E21</v>
      </c>
      <c r="M3902" s="20">
        <v>2.9297010975887078E20</v>
      </c>
    </row>
    <row r="3903">
      <c r="A3903" s="6"/>
      <c r="B3903" s="6"/>
      <c r="C3903" s="4"/>
      <c r="D3903" s="4">
        <v>48.3641275995966</v>
      </c>
      <c r="E3903" s="4" t="s">
        <v>5913</v>
      </c>
      <c r="F3903" s="4"/>
      <c r="G3903" s="4"/>
      <c r="H3903" s="4"/>
      <c r="I3903" s="4" t="str">
        <f>IFERROR(__xludf.DUMMYFUNCTION("""COMPUTED_VALUE"""),"0x529add906567312d0d4757e36f0e26fcaa1fd1b5")</f>
        <v>0x529add906567312d0d4757e36f0e26fcaa1fd1b5</v>
      </c>
      <c r="J3903" s="18">
        <v>57.66472560997164</v>
      </c>
      <c r="K3903" s="4">
        <v>720.8090701246455</v>
      </c>
      <c r="L3903" s="19">
        <v>7.208090701246455E20</v>
      </c>
      <c r="M3903" s="20">
        <v>7.208090701246455E19</v>
      </c>
    </row>
    <row r="3904">
      <c r="A3904" s="6"/>
      <c r="B3904" s="6"/>
      <c r="C3904" s="4"/>
      <c r="D3904" s="4">
        <v>48.3641275995966</v>
      </c>
      <c r="E3904" s="4" t="s">
        <v>1309</v>
      </c>
      <c r="F3904" s="4"/>
      <c r="G3904" s="4"/>
      <c r="H3904" s="4"/>
      <c r="I3904" s="4" t="str">
        <f>IFERROR(__xludf.DUMMYFUNCTION("""COMPUTED_VALUE"""),"0x550d19253fb509fdbd67e1eb8b114107058131ef")</f>
        <v>0x550d19253fb509fdbd67e1eb8b114107058131ef</v>
      </c>
      <c r="J3904" s="18">
        <v>48.3641275995966</v>
      </c>
      <c r="K3904" s="4">
        <v>604.5515949949574</v>
      </c>
      <c r="L3904" s="19">
        <v>6.045515949949574E20</v>
      </c>
      <c r="M3904" s="20">
        <v>6.045515949949574E19</v>
      </c>
    </row>
    <row r="3905">
      <c r="A3905" s="6"/>
      <c r="B3905" s="6"/>
      <c r="C3905" s="4"/>
      <c r="D3905" s="4">
        <v>7.738260415935461</v>
      </c>
      <c r="E3905" s="4" t="s">
        <v>5914</v>
      </c>
      <c r="F3905" s="4"/>
      <c r="G3905" s="4"/>
      <c r="H3905" s="4"/>
      <c r="I3905" s="4" t="str">
        <f>IFERROR(__xludf.DUMMYFUNCTION("""COMPUTED_VALUE"""),"0x394d8eae20bb0e58b60af620ae0b7df8863588a1")</f>
        <v>0x394d8eae20bb0e58b60af620ae0b7df8863588a1</v>
      </c>
      <c r="J3905" s="18">
        <v>3.13516593546975</v>
      </c>
      <c r="K3905" s="4">
        <v>39.189574193371875</v>
      </c>
      <c r="L3905" s="19">
        <v>3.918957419337187E19</v>
      </c>
      <c r="M3905" s="20">
        <v>3.9189574193371873E18</v>
      </c>
    </row>
    <row r="3906">
      <c r="A3906" s="6"/>
      <c r="B3906" s="6"/>
      <c r="C3906" s="4"/>
      <c r="D3906" s="4">
        <v>48.3641275995966</v>
      </c>
      <c r="E3906" s="4" t="s">
        <v>661</v>
      </c>
      <c r="F3906" s="4"/>
      <c r="G3906" s="4"/>
      <c r="H3906" s="4"/>
      <c r="I3906" s="4" t="str">
        <f>IFERROR(__xludf.DUMMYFUNCTION("""COMPUTED_VALUE"""),"0x80be56c60c66a06b4a9577fe66d92f128ff438e2")</f>
        <v>0x80be56c60c66a06b4a9577fe66d92f128ff438e2</v>
      </c>
      <c r="J3906" s="18">
        <v>58.4087734508016</v>
      </c>
      <c r="K3906" s="4">
        <v>730.10966813502</v>
      </c>
      <c r="L3906" s="19">
        <v>7.3010966813502E20</v>
      </c>
      <c r="M3906" s="20">
        <v>7.3010966813502005E19</v>
      </c>
    </row>
    <row r="3907">
      <c r="A3907" s="6"/>
      <c r="B3907" s="6"/>
      <c r="C3907" s="4"/>
      <c r="D3907" s="4">
        <v>38.6913020796773</v>
      </c>
      <c r="E3907" s="4" t="s">
        <v>5915</v>
      </c>
      <c r="F3907" s="4"/>
      <c r="G3907" s="4"/>
      <c r="H3907" s="4"/>
      <c r="I3907" s="4" t="str">
        <f>IFERROR(__xludf.DUMMYFUNCTION("""COMPUTED_VALUE"""),"0xbce30090b8acf13a713e9c7ffcdfdf464b1b1df7")</f>
        <v>0xbce30090b8acf13a713e9c7ffcdfdf464b1b1df7</v>
      </c>
      <c r="J3907" s="18">
        <v>36.1792523633965</v>
      </c>
      <c r="K3907" s="4">
        <v>452.24065454245624</v>
      </c>
      <c r="L3907" s="19">
        <v>4.522406545424562E20</v>
      </c>
      <c r="M3907" s="20">
        <v>4.5224065454245626E19</v>
      </c>
    </row>
    <row r="3908">
      <c r="A3908" s="6"/>
      <c r="B3908" s="6"/>
      <c r="C3908" s="4"/>
      <c r="D3908" s="4">
        <v>48.3641275995966</v>
      </c>
      <c r="E3908" s="4" t="s">
        <v>5916</v>
      </c>
      <c r="F3908" s="4"/>
      <c r="G3908" s="4"/>
      <c r="H3908" s="4"/>
      <c r="I3908" s="4" t="str">
        <f>IFERROR(__xludf.DUMMYFUNCTION("""COMPUTED_VALUE"""),"0x55f4b4197a9d6e93c70a32797d6c7f586a66ebb4")</f>
        <v>0x55f4b4197a9d6e93c70a32797d6c7f586a66ebb4</v>
      </c>
      <c r="J3908" s="18">
        <v>113.4683136722219</v>
      </c>
      <c r="K3908" s="4">
        <v>1418.3539209027738</v>
      </c>
      <c r="L3908" s="19">
        <v>1.4183539209027739E21</v>
      </c>
      <c r="M3908" s="20">
        <v>1.418353920902774E20</v>
      </c>
    </row>
    <row r="3909">
      <c r="A3909" s="6"/>
      <c r="B3909" s="6"/>
      <c r="C3909" s="4"/>
      <c r="D3909" s="4">
        <v>44.5792600934372</v>
      </c>
      <c r="E3909" s="4" t="s">
        <v>5917</v>
      </c>
      <c r="F3909" s="4"/>
      <c r="G3909" s="4"/>
      <c r="H3909" s="4"/>
      <c r="I3909" s="4" t="str">
        <f>IFERROR(__xludf.DUMMYFUNCTION("""COMPUTED_VALUE"""),"0x7e9a7a4511ef76f78daf06f3841ec61dea7bcfe1")</f>
        <v>0x7e9a7a4511ef76f78daf06f3841ec61dea7bcfe1</v>
      </c>
      <c r="J3909" s="18">
        <v>0.0090576328577209</v>
      </c>
      <c r="K3909" s="4">
        <v>0.11322041072151126</v>
      </c>
      <c r="L3909" s="19">
        <v>1.1322041072151126E17</v>
      </c>
      <c r="M3909" s="20">
        <v>1.1322041072151128E16</v>
      </c>
    </row>
    <row r="3910">
      <c r="A3910" s="6"/>
      <c r="B3910" s="6"/>
      <c r="C3910" s="4"/>
      <c r="D3910" s="4">
        <v>36.054252788971404</v>
      </c>
      <c r="E3910" s="4" t="s">
        <v>5919</v>
      </c>
      <c r="F3910" s="4"/>
      <c r="G3910" s="4"/>
      <c r="H3910" s="4"/>
      <c r="I3910" s="4" t="str">
        <f>IFERROR(__xludf.DUMMYFUNCTION("""COMPUTED_VALUE"""),"0xf972b0b69cd5b5647a9a0d174ba3f093aef8bd73")</f>
        <v>0xf972b0b69cd5b5647a9a0d174ba3f093aef8bd73</v>
      </c>
      <c r="J3910" s="18">
        <v>0.973317833782691</v>
      </c>
      <c r="K3910" s="4">
        <v>12.166472922283637</v>
      </c>
      <c r="L3910" s="19">
        <v>1.2166472922283637E19</v>
      </c>
      <c r="M3910" s="20">
        <v>1.2166472922283638E18</v>
      </c>
    </row>
    <row r="3911">
      <c r="A3911" s="6"/>
      <c r="B3911" s="6"/>
      <c r="C3911" s="4"/>
      <c r="D3911" s="4">
        <v>6.30119612522406</v>
      </c>
      <c r="E3911" s="4" t="s">
        <v>5921</v>
      </c>
      <c r="F3911" s="4"/>
      <c r="G3911" s="4"/>
      <c r="H3911" s="4"/>
      <c r="I3911" s="4" t="str">
        <f>IFERROR(__xludf.DUMMYFUNCTION("""COMPUTED_VALUE"""),"0xb17d3f53853cc9f7b207bb2509a50091bfb12110")</f>
        <v>0xb17d3f53853cc9f7b207bb2509a50091bfb12110</v>
      </c>
      <c r="J3911" s="18">
        <v>9.672825519919328</v>
      </c>
      <c r="K3911" s="4">
        <v>120.9103189989916</v>
      </c>
      <c r="L3911" s="19">
        <v>1.209103189989916E20</v>
      </c>
      <c r="M3911" s="20">
        <v>1.209103189989916E19</v>
      </c>
    </row>
    <row r="3912">
      <c r="A3912" s="6"/>
      <c r="B3912" s="6"/>
      <c r="C3912" s="4"/>
      <c r="D3912" s="4">
        <v>45.4753529849633</v>
      </c>
      <c r="E3912" s="4" t="s">
        <v>5923</v>
      </c>
      <c r="F3912" s="4"/>
      <c r="G3912" s="4"/>
      <c r="H3912" s="4"/>
      <c r="I3912" s="4" t="str">
        <f>IFERROR(__xludf.DUMMYFUNCTION("""COMPUTED_VALUE"""),"0x520a6e36c86d35996c9a1d7c73ed9f801ebbbf0f")</f>
        <v>0x520a6e36c86d35996c9a1d7c73ed9f801ebbbf0f</v>
      </c>
      <c r="J3912" s="18">
        <v>48.3641275995966</v>
      </c>
      <c r="K3912" s="4">
        <v>604.5515949949574</v>
      </c>
      <c r="L3912" s="19">
        <v>6.045515949949574E20</v>
      </c>
      <c r="M3912" s="20">
        <v>6.045515949949574E19</v>
      </c>
    </row>
    <row r="3913">
      <c r="A3913" s="6"/>
      <c r="B3913" s="6"/>
      <c r="C3913" s="4"/>
      <c r="D3913" s="4">
        <v>48.3641275995966</v>
      </c>
      <c r="E3913" s="4" t="s">
        <v>5925</v>
      </c>
      <c r="F3913" s="4"/>
      <c r="G3913" s="4"/>
      <c r="H3913" s="4"/>
      <c r="I3913" s="4" t="str">
        <f>IFERROR(__xludf.DUMMYFUNCTION("""COMPUTED_VALUE"""),"0xe8ca80790aeaf2a40596d57e183c9ffe6a47c06f")</f>
        <v>0xe8ca80790aeaf2a40596d57e183c9ffe6a47c06f</v>
      </c>
      <c r="J3913" s="18">
        <v>29.018476559758</v>
      </c>
      <c r="K3913" s="4">
        <v>362.730956996975</v>
      </c>
      <c r="L3913" s="19">
        <v>3.62730956996975E20</v>
      </c>
      <c r="M3913" s="20">
        <v>3.62730956996975E19</v>
      </c>
    </row>
    <row r="3914">
      <c r="A3914" s="6"/>
      <c r="B3914" s="6"/>
      <c r="C3914" s="4"/>
      <c r="D3914" s="4">
        <v>47.6537582196533</v>
      </c>
      <c r="E3914" s="4" t="s">
        <v>608</v>
      </c>
      <c r="F3914" s="4"/>
      <c r="G3914" s="4"/>
      <c r="H3914" s="4"/>
      <c r="I3914" s="4" t="str">
        <f>IFERROR(__xludf.DUMMYFUNCTION("""COMPUTED_VALUE"""),"0xecb314d4943127ab0cc55325bbfe033b8089a279")</f>
        <v>0xecb314d4943127ab0cc55325bbfe033b8089a279</v>
      </c>
      <c r="J3914" s="18">
        <v>10.7310156513467</v>
      </c>
      <c r="K3914" s="4">
        <v>134.13769564183374</v>
      </c>
      <c r="L3914" s="19">
        <v>1.3413769564183375E20</v>
      </c>
      <c r="M3914" s="20">
        <v>1.3413769564183376E19</v>
      </c>
    </row>
    <row r="3915">
      <c r="A3915" s="6"/>
      <c r="B3915" s="6"/>
      <c r="C3915" s="4"/>
      <c r="D3915" s="4">
        <v>19.3456510398386</v>
      </c>
      <c r="E3915" s="4" t="s">
        <v>5927</v>
      </c>
      <c r="F3915" s="4"/>
      <c r="G3915" s="4"/>
      <c r="H3915" s="4"/>
      <c r="I3915" s="4" t="str">
        <f>IFERROR(__xludf.DUMMYFUNCTION("""COMPUTED_VALUE"""),"0x7da7cead3bdf8bb374c9c210b16c43dd9ad80c46")</f>
        <v>0x7da7cead3bdf8bb374c9c210b16c43dd9ad80c46</v>
      </c>
      <c r="J3915" s="18">
        <v>234.37608780709658</v>
      </c>
      <c r="K3915" s="4">
        <v>2929.7010975887074</v>
      </c>
      <c r="L3915" s="19">
        <v>2.9297010975887076E21</v>
      </c>
      <c r="M3915" s="20">
        <v>2.9297010975887078E20</v>
      </c>
    </row>
    <row r="3916">
      <c r="A3916" s="6"/>
      <c r="B3916" s="6"/>
      <c r="C3916" s="4"/>
      <c r="D3916" s="4">
        <v>45.578974645398006</v>
      </c>
      <c r="E3916" s="4" t="s">
        <v>5928</v>
      </c>
      <c r="F3916" s="4"/>
      <c r="G3916" s="4"/>
      <c r="H3916" s="4"/>
      <c r="I3916" s="4" t="str">
        <f>IFERROR(__xludf.DUMMYFUNCTION("""COMPUTED_VALUE"""),"0xd5eb450d3e964cfcad90eaa9a2c34c51cafffb50")</f>
        <v>0xd5eb450d3e964cfcad90eaa9a2c34c51cafffb50</v>
      </c>
      <c r="J3916" s="18">
        <v>8.50489807796065</v>
      </c>
      <c r="K3916" s="4">
        <v>106.31122597450812</v>
      </c>
      <c r="L3916" s="19">
        <v>1.0631122597450813E20</v>
      </c>
      <c r="M3916" s="20">
        <v>1.0631122597450813E19</v>
      </c>
    </row>
    <row r="3917">
      <c r="A3917" s="6"/>
      <c r="B3917" s="6"/>
      <c r="C3917" s="4"/>
      <c r="D3917" s="4">
        <v>48.3641275995966</v>
      </c>
      <c r="E3917" s="4" t="s">
        <v>5930</v>
      </c>
      <c r="F3917" s="4"/>
      <c r="G3917" s="4"/>
      <c r="H3917" s="4"/>
      <c r="I3917" s="4" t="str">
        <f>IFERROR(__xludf.DUMMYFUNCTION("""COMPUTED_VALUE"""),"0xa68027f8dd3c8a7fe55059c890f82c28dc9fe3ec")</f>
        <v>0xa68027f8dd3c8a7fe55059c890f82c28dc9fe3ec</v>
      </c>
      <c r="J3917" s="18">
        <v>9.672825519919328</v>
      </c>
      <c r="K3917" s="4">
        <v>120.9103189989916</v>
      </c>
      <c r="L3917" s="19">
        <v>1.209103189989916E20</v>
      </c>
      <c r="M3917" s="20">
        <v>1.209103189989916E19</v>
      </c>
    </row>
    <row r="3918">
      <c r="A3918" s="6"/>
      <c r="B3918" s="6"/>
      <c r="C3918" s="4"/>
      <c r="D3918" s="4">
        <v>9.54440527461726</v>
      </c>
      <c r="E3918" s="4" t="s">
        <v>5931</v>
      </c>
      <c r="F3918" s="4"/>
      <c r="G3918" s="4"/>
      <c r="H3918" s="4"/>
      <c r="I3918" s="4" t="str">
        <f>IFERROR(__xludf.DUMMYFUNCTION("""COMPUTED_VALUE"""),"0x4e457011b6e337efa743f2bdbc557bf8b37adadb")</f>
        <v>0x4e457011b6e337efa743f2bdbc557bf8b37adadb</v>
      </c>
      <c r="J3918" s="18">
        <v>113.4683136722219</v>
      </c>
      <c r="K3918" s="4">
        <v>1418.3539209027738</v>
      </c>
      <c r="L3918" s="19">
        <v>1.4183539209027739E21</v>
      </c>
      <c r="M3918" s="20">
        <v>1.418353920902774E20</v>
      </c>
    </row>
    <row r="3919">
      <c r="A3919" s="6"/>
      <c r="B3919" s="6"/>
      <c r="C3919" s="4"/>
      <c r="D3919" s="4">
        <v>48.3641275995966</v>
      </c>
      <c r="E3919" s="4" t="s">
        <v>5933</v>
      </c>
      <c r="F3919" s="4"/>
      <c r="G3919" s="4"/>
      <c r="H3919" s="4"/>
      <c r="I3919" s="4" t="str">
        <f>IFERROR(__xludf.DUMMYFUNCTION("""COMPUTED_VALUE"""),"0x6dfd9a064ed3fe2adf3b2c96350921a14d648c83")</f>
        <v>0x6dfd9a064ed3fe2adf3b2c96350921a14d648c83</v>
      </c>
      <c r="J3919" s="18">
        <v>9.672825519919328</v>
      </c>
      <c r="K3919" s="4">
        <v>120.9103189989916</v>
      </c>
      <c r="L3919" s="19">
        <v>1.209103189989916E20</v>
      </c>
      <c r="M3919" s="20">
        <v>1.209103189989916E19</v>
      </c>
    </row>
    <row r="3920">
      <c r="A3920" s="6"/>
      <c r="B3920" s="6"/>
      <c r="C3920" s="4"/>
      <c r="D3920" s="4">
        <v>9.19453991156655</v>
      </c>
      <c r="E3920" s="4" t="s">
        <v>5934</v>
      </c>
      <c r="F3920" s="4"/>
      <c r="G3920" s="4"/>
      <c r="H3920" s="4"/>
      <c r="I3920" s="4" t="str">
        <f>IFERROR(__xludf.DUMMYFUNCTION("""COMPUTED_VALUE"""),"0xa6fa4bdd6b96a7b45bad16c3049a0ada6c0d0607")</f>
        <v>0xa6fa4bdd6b96a7b45bad16c3049a0ada6c0d0607</v>
      </c>
      <c r="J3920" s="18">
        <v>29.071126775349697</v>
      </c>
      <c r="K3920" s="4">
        <v>363.3890846918712</v>
      </c>
      <c r="L3920" s="19">
        <v>3.633890846918712E20</v>
      </c>
      <c r="M3920" s="20">
        <v>3.6338908469187117E19</v>
      </c>
    </row>
    <row r="3921">
      <c r="A3921" s="6"/>
      <c r="B3921" s="6"/>
      <c r="C3921" s="4"/>
      <c r="D3921" s="4">
        <v>44.4558341558119</v>
      </c>
      <c r="E3921" s="4" t="s">
        <v>5936</v>
      </c>
      <c r="F3921" s="4"/>
      <c r="G3921" s="4"/>
      <c r="H3921" s="4"/>
      <c r="I3921" s="4" t="str">
        <f>IFERROR(__xludf.DUMMYFUNCTION("""COMPUTED_VALUE"""),"0x3694995fbc41299f719f7bdae6accdc6d5c78574")</f>
        <v>0x3694995fbc41299f719f7bdae6accdc6d5c78574</v>
      </c>
      <c r="J3921" s="18">
        <v>6.278769544038259</v>
      </c>
      <c r="K3921" s="4">
        <v>78.48461930047824</v>
      </c>
      <c r="L3921" s="19">
        <v>7.848461930047824E19</v>
      </c>
      <c r="M3921" s="20">
        <v>7.848461930047824E18</v>
      </c>
    </row>
    <row r="3922">
      <c r="A3922" s="6"/>
      <c r="B3922" s="6"/>
      <c r="C3922" s="4"/>
      <c r="D3922" s="4">
        <v>10.932166183182899</v>
      </c>
      <c r="E3922" s="4" t="s">
        <v>5938</v>
      </c>
      <c r="F3922" s="4"/>
      <c r="G3922" s="4"/>
      <c r="H3922" s="4"/>
      <c r="I3922" s="4" t="str">
        <f>IFERROR(__xludf.DUMMYFUNCTION("""COMPUTED_VALUE"""),"0x8851eae1d2a2e23cd8bb3b969d8c4bf28b49b0e1")</f>
        <v>0x8851eae1d2a2e23cd8bb3b969d8c4bf28b49b0e1</v>
      </c>
      <c r="J3922" s="18">
        <v>48.3641275995966</v>
      </c>
      <c r="K3922" s="4">
        <v>604.5515949949574</v>
      </c>
      <c r="L3922" s="19">
        <v>6.045515949949574E20</v>
      </c>
      <c r="M3922" s="20">
        <v>6.045515949949574E19</v>
      </c>
    </row>
    <row r="3923">
      <c r="A3923" s="6"/>
      <c r="B3923" s="6"/>
      <c r="C3923" s="4"/>
      <c r="D3923" s="4">
        <v>48.3641275995966</v>
      </c>
      <c r="E3923" s="4" t="s">
        <v>5940</v>
      </c>
      <c r="F3923" s="4"/>
      <c r="G3923" s="4"/>
      <c r="H3923" s="4"/>
      <c r="I3923" s="4" t="str">
        <f>IFERROR(__xludf.DUMMYFUNCTION("""COMPUTED_VALUE"""),"0xd4fa52ff6ec7af3278467ff765560caaa0163711")</f>
        <v>0xd4fa52ff6ec7af3278467ff765560caaa0163711</v>
      </c>
      <c r="J3923" s="18">
        <v>152.2352156116107</v>
      </c>
      <c r="K3923" s="4">
        <v>1902.9401951451337</v>
      </c>
      <c r="L3923" s="19">
        <v>1.9029401951451336E21</v>
      </c>
      <c r="M3923" s="20">
        <v>1.9029401951451336E20</v>
      </c>
    </row>
    <row r="3924">
      <c r="A3924" s="6"/>
      <c r="B3924" s="6"/>
      <c r="C3924" s="4"/>
      <c r="D3924" s="4">
        <v>48.3641275995966</v>
      </c>
      <c r="E3924" s="4" t="s">
        <v>5941</v>
      </c>
      <c r="F3924" s="4"/>
      <c r="G3924" s="4"/>
      <c r="H3924" s="4"/>
      <c r="I3924" s="4" t="str">
        <f>IFERROR(__xludf.DUMMYFUNCTION("""COMPUTED_VALUE"""),"0xa33ab3c89182944db5a0741c153d2d71786649fd")</f>
        <v>0xa33ab3c89182944db5a0741c153d2d71786649fd</v>
      </c>
      <c r="J3924" s="18">
        <v>48.3641275995966</v>
      </c>
      <c r="K3924" s="4">
        <v>604.5515949949574</v>
      </c>
      <c r="L3924" s="19">
        <v>6.045515949949574E20</v>
      </c>
      <c r="M3924" s="20">
        <v>6.045515949949574E19</v>
      </c>
    </row>
    <row r="3925">
      <c r="A3925" s="6"/>
      <c r="B3925" s="6"/>
      <c r="C3925" s="4"/>
      <c r="D3925" s="4">
        <v>48.3641275995966</v>
      </c>
      <c r="E3925" s="4" t="s">
        <v>5942</v>
      </c>
      <c r="F3925" s="4"/>
      <c r="G3925" s="4"/>
      <c r="H3925" s="4"/>
      <c r="I3925" s="4" t="str">
        <f>IFERROR(__xludf.DUMMYFUNCTION("""COMPUTED_VALUE"""),"0xf7a7d18738b893f6b902a7947fb1afd219559a88")</f>
        <v>0xf7a7d18738b893f6b902a7947fb1afd219559a88</v>
      </c>
      <c r="J3925" s="18">
        <v>80.6060808442454</v>
      </c>
      <c r="K3925" s="4">
        <v>1007.5760105530675</v>
      </c>
      <c r="L3925" s="19">
        <v>1.0075760105530674E21</v>
      </c>
      <c r="M3925" s="20">
        <v>1.0075760105530674E20</v>
      </c>
    </row>
    <row r="3926">
      <c r="A3926" s="6"/>
      <c r="B3926" s="6"/>
      <c r="C3926" s="4"/>
      <c r="D3926" s="4">
        <v>48.3641275995966</v>
      </c>
      <c r="E3926" s="4" t="s">
        <v>5943</v>
      </c>
      <c r="F3926" s="4"/>
      <c r="G3926" s="4"/>
      <c r="H3926" s="4"/>
      <c r="I3926" s="4" t="str">
        <f>IFERROR(__xludf.DUMMYFUNCTION("""COMPUTED_VALUE"""),"0x76e8487bd21d7e9c062df72ff7e9aa448ee9ce20")</f>
        <v>0x76e8487bd21d7e9c062df72ff7e9aa448ee9ce20</v>
      </c>
      <c r="J3926" s="18">
        <v>9.672825519919328</v>
      </c>
      <c r="K3926" s="4">
        <v>120.9103189989916</v>
      </c>
      <c r="L3926" s="19">
        <v>1.209103189989916E20</v>
      </c>
      <c r="M3926" s="20">
        <v>1.209103189989916E19</v>
      </c>
    </row>
    <row r="3927">
      <c r="A3927" s="6"/>
      <c r="B3927" s="6"/>
      <c r="C3927" s="4"/>
      <c r="D3927" s="4">
        <v>48.3641275995966</v>
      </c>
      <c r="E3927" s="4" t="s">
        <v>5944</v>
      </c>
      <c r="F3927" s="4"/>
      <c r="G3927" s="4"/>
      <c r="H3927" s="4"/>
      <c r="I3927" s="4" t="str">
        <f>IFERROR(__xludf.DUMMYFUNCTION("""COMPUTED_VALUE"""),"0xf32370e856c4acc87634f9afebc2d7e0ad9ffa9c")</f>
        <v>0xf32370e856c4acc87634f9afebc2d7e0ad9ffa9c</v>
      </c>
      <c r="J3927" s="18">
        <v>16.127139457277</v>
      </c>
      <c r="K3927" s="4">
        <v>201.58924321596248</v>
      </c>
      <c r="L3927" s="19">
        <v>2.0158924321596247E20</v>
      </c>
      <c r="M3927" s="20">
        <v>2.015892432159625E19</v>
      </c>
    </row>
    <row r="3928">
      <c r="A3928" s="6"/>
      <c r="B3928" s="6"/>
      <c r="C3928" s="4"/>
      <c r="D3928" s="4">
        <v>40.061886758149605</v>
      </c>
      <c r="E3928" s="4" t="s">
        <v>5945</v>
      </c>
      <c r="F3928" s="4"/>
      <c r="G3928" s="4"/>
      <c r="H3928" s="4"/>
      <c r="I3928" s="4" t="str">
        <f>IFERROR(__xludf.DUMMYFUNCTION("""COMPUTED_VALUE"""),"0xd7bd50f9ee5755a214f36b0e7fd33f6a4e6cc16d")</f>
        <v>0xd7bd50f9ee5755a214f36b0e7fd33f6a4e6cc16d</v>
      </c>
      <c r="J3928" s="18">
        <v>9.49620899520084</v>
      </c>
      <c r="K3928" s="4">
        <v>118.7026124400105</v>
      </c>
      <c r="L3928" s="19">
        <v>1.1870261244001049E20</v>
      </c>
      <c r="M3928" s="20">
        <v>1.187026124400105E19</v>
      </c>
    </row>
    <row r="3929">
      <c r="A3929" s="6"/>
      <c r="B3929" s="6"/>
      <c r="C3929" s="4"/>
      <c r="D3929" s="4">
        <v>48.3641275995966</v>
      </c>
      <c r="E3929" s="4" t="s">
        <v>5947</v>
      </c>
      <c r="F3929" s="4"/>
      <c r="G3929" s="4"/>
      <c r="H3929" s="4"/>
      <c r="I3929" s="4" t="str">
        <f>IFERROR(__xludf.DUMMYFUNCTION("""COMPUTED_VALUE"""),"0x4308a2f6a22da36ea26bdc8e16c5e03792e06cb0")</f>
        <v>0x4308a2f6a22da36ea26bdc8e16c5e03792e06cb0</v>
      </c>
      <c r="J3929" s="18">
        <v>9.672825519919328</v>
      </c>
      <c r="K3929" s="4">
        <v>120.9103189989916</v>
      </c>
      <c r="L3929" s="19">
        <v>1.209103189989916E20</v>
      </c>
      <c r="M3929" s="20">
        <v>1.209103189989916E19</v>
      </c>
    </row>
    <row r="3930">
      <c r="A3930" s="6"/>
      <c r="B3930" s="6"/>
      <c r="C3930" s="4"/>
      <c r="D3930" s="4">
        <v>9.672825519919328</v>
      </c>
      <c r="E3930" s="4" t="s">
        <v>5948</v>
      </c>
      <c r="F3930" s="4"/>
      <c r="G3930" s="4"/>
      <c r="H3930" s="4"/>
      <c r="I3930" s="4" t="str">
        <f>IFERROR(__xludf.DUMMYFUNCTION("""COMPUTED_VALUE"""),"0xebf3d7798ef1c638991bff973eb8ced2fd6f17f0")</f>
        <v>0xebf3d7798ef1c638991bff973eb8ced2fd6f17f0</v>
      </c>
      <c r="J3930" s="18">
        <v>30.886296872993597</v>
      </c>
      <c r="K3930" s="4">
        <v>386.07871091242</v>
      </c>
      <c r="L3930" s="19">
        <v>3.8607871091241995E20</v>
      </c>
      <c r="M3930" s="20">
        <v>3.8607871091242E19</v>
      </c>
    </row>
    <row r="3931">
      <c r="A3931" s="6"/>
      <c r="B3931" s="6"/>
      <c r="C3931" s="4"/>
      <c r="D3931" s="4">
        <v>48.3641275995966</v>
      </c>
      <c r="E3931" s="4" t="s">
        <v>1319</v>
      </c>
      <c r="F3931" s="4"/>
      <c r="G3931" s="4"/>
      <c r="H3931" s="4"/>
      <c r="I3931" s="4" t="str">
        <f>IFERROR(__xludf.DUMMYFUNCTION("""COMPUTED_VALUE"""),"0x13337c897744039271573fd9dc81b1b317fb8ce7")</f>
        <v>0x13337c897744039271573fd9dc81b1b317fb8ce7</v>
      </c>
      <c r="J3931" s="18">
        <v>94.8671176514718</v>
      </c>
      <c r="K3931" s="4">
        <v>1185.8389706433975</v>
      </c>
      <c r="L3931" s="19">
        <v>1.1858389706433975E21</v>
      </c>
      <c r="M3931" s="20">
        <v>1.1858389706433975E20</v>
      </c>
    </row>
    <row r="3932">
      <c r="A3932" s="6"/>
      <c r="B3932" s="6"/>
      <c r="C3932" s="4"/>
      <c r="D3932" s="4">
        <v>34.7297101089959</v>
      </c>
      <c r="E3932" s="4" t="s">
        <v>5949</v>
      </c>
      <c r="F3932" s="4"/>
      <c r="G3932" s="4"/>
      <c r="H3932" s="4"/>
      <c r="I3932" s="4" t="str">
        <f>IFERROR(__xludf.DUMMYFUNCTION("""COMPUTED_VALUE"""),"0xc4d8456659364091424e14b49e086dc2f04cc111")</f>
        <v>0xc4d8456659364091424e14b49e086dc2f04cc111</v>
      </c>
      <c r="J3932" s="18">
        <v>7.37731695300878</v>
      </c>
      <c r="K3932" s="4">
        <v>92.21646191260974</v>
      </c>
      <c r="L3932" s="19">
        <v>9.221646191260975E19</v>
      </c>
      <c r="M3932" s="20">
        <v>9.221646191260975E18</v>
      </c>
    </row>
    <row r="3933">
      <c r="A3933" s="6"/>
      <c r="B3933" s="6"/>
      <c r="C3933" s="4"/>
      <c r="D3933" s="4">
        <v>48.3641275995966</v>
      </c>
      <c r="E3933" s="4" t="s">
        <v>5951</v>
      </c>
      <c r="F3933" s="4"/>
      <c r="G3933" s="4"/>
      <c r="H3933" s="4"/>
      <c r="I3933" s="4" t="str">
        <f>IFERROR(__xludf.DUMMYFUNCTION("""COMPUTED_VALUE"""),"0x35a5d20352b88a389badcd2f255b07e870c1a653")</f>
        <v>0x35a5d20352b88a389badcd2f255b07e870c1a653</v>
      </c>
      <c r="J3933" s="18">
        <v>45.6032780032527</v>
      </c>
      <c r="K3933" s="4">
        <v>570.0409750406587</v>
      </c>
      <c r="L3933" s="19">
        <v>5.7004097504065874E20</v>
      </c>
      <c r="M3933" s="20">
        <v>5.700409750406588E19</v>
      </c>
    </row>
    <row r="3934">
      <c r="A3934" s="6"/>
      <c r="B3934" s="6"/>
      <c r="C3934" s="4"/>
      <c r="D3934" s="4">
        <v>48.3641275995966</v>
      </c>
      <c r="E3934" s="4" t="s">
        <v>5952</v>
      </c>
      <c r="F3934" s="4"/>
      <c r="G3934" s="4"/>
      <c r="H3934" s="4"/>
      <c r="I3934" s="4" t="str">
        <f>IFERROR(__xludf.DUMMYFUNCTION("""COMPUTED_VALUE"""),"0x266e962b06e3358cbfd7904037fa8d305cf7769a")</f>
        <v>0x266e962b06e3358cbfd7904037fa8d305cf7769a</v>
      </c>
      <c r="J3934" s="18">
        <v>34.8221718717096</v>
      </c>
      <c r="K3934" s="4">
        <v>435.27714839636997</v>
      </c>
      <c r="L3934" s="19">
        <v>4.3527714839636994E20</v>
      </c>
      <c r="M3934" s="20">
        <v>4.352771483963699E19</v>
      </c>
    </row>
    <row r="3935">
      <c r="A3935" s="6"/>
      <c r="B3935" s="6"/>
      <c r="C3935" s="4"/>
      <c r="D3935" s="4">
        <v>10.102698788412999</v>
      </c>
      <c r="E3935" s="4" t="s">
        <v>5953</v>
      </c>
      <c r="F3935" s="4"/>
      <c r="G3935" s="4"/>
      <c r="H3935" s="4"/>
      <c r="I3935" s="4" t="str">
        <f>IFERROR(__xludf.DUMMYFUNCTION("""COMPUTED_VALUE"""),"0x614152e2e05e97b37c48825699915d8418f0fece")</f>
        <v>0x614152e2e05e97b37c48825699915d8418f0fece</v>
      </c>
      <c r="J3935" s="18">
        <v>48.3641275995966</v>
      </c>
      <c r="K3935" s="4">
        <v>604.5515949949574</v>
      </c>
      <c r="L3935" s="19">
        <v>6.045515949949574E20</v>
      </c>
      <c r="M3935" s="20">
        <v>6.045515949949574E19</v>
      </c>
    </row>
    <row r="3936">
      <c r="A3936" s="6"/>
      <c r="B3936" s="6"/>
      <c r="C3936" s="4"/>
      <c r="D3936" s="4">
        <v>11.697696945375501</v>
      </c>
      <c r="E3936" s="4" t="s">
        <v>1169</v>
      </c>
      <c r="F3936" s="4"/>
      <c r="G3936" s="4"/>
      <c r="H3936" s="4"/>
      <c r="I3936" s="4" t="str">
        <f>IFERROR(__xludf.DUMMYFUNCTION("""COMPUTED_VALUE"""),"0x20f57e5b4b321dd19615a725b535de4968f93aaf")</f>
        <v>0x20f57e5b4b321dd19615a725b535de4968f93aaf</v>
      </c>
      <c r="J3936" s="18">
        <v>45.747606495936104</v>
      </c>
      <c r="K3936" s="4">
        <v>571.8450811992013</v>
      </c>
      <c r="L3936" s="19">
        <v>5.7184508119920135E20</v>
      </c>
      <c r="M3936" s="20">
        <v>5.718450811992014E19</v>
      </c>
    </row>
    <row r="3937">
      <c r="A3937" s="6"/>
      <c r="B3937" s="6"/>
      <c r="C3937" s="4"/>
      <c r="D3937" s="4">
        <v>24.1566371791871</v>
      </c>
      <c r="E3937" s="4" t="s">
        <v>5956</v>
      </c>
      <c r="F3937" s="4"/>
      <c r="G3937" s="4"/>
      <c r="H3937" s="4"/>
      <c r="I3937" s="4" t="str">
        <f>IFERROR(__xludf.DUMMYFUNCTION("""COMPUTED_VALUE"""),"0x296c03a002fef14e80b7cca7294a7a3c6e9eadab")</f>
        <v>0x296c03a002fef14e80b7cca7294a7a3c6e9eadab</v>
      </c>
      <c r="J3937" s="18">
        <v>13.7153699425989</v>
      </c>
      <c r="K3937" s="4">
        <v>171.44212428248625</v>
      </c>
      <c r="L3937" s="19">
        <v>1.7144212428248626E20</v>
      </c>
      <c r="M3937" s="20">
        <v>1.7144212428248627E19</v>
      </c>
    </row>
    <row r="3938">
      <c r="A3938" s="6"/>
      <c r="B3938" s="6"/>
      <c r="C3938" s="4"/>
      <c r="D3938" s="4">
        <v>48.3641275995966</v>
      </c>
      <c r="E3938" s="4" t="s">
        <v>1129</v>
      </c>
      <c r="F3938" s="4"/>
      <c r="G3938" s="4"/>
      <c r="H3938" s="4"/>
      <c r="I3938" s="4" t="str">
        <f>IFERROR(__xludf.DUMMYFUNCTION("""COMPUTED_VALUE"""),"0x76b2e65407e9f24ce944b62db0c82e4b61850233")</f>
        <v>0x76b2e65407e9f24ce944b62db0c82e4b61850233</v>
      </c>
      <c r="J3938" s="18">
        <v>47.7523507206103</v>
      </c>
      <c r="K3938" s="4">
        <v>596.9043840076288</v>
      </c>
      <c r="L3938" s="19">
        <v>5.969043840076288E20</v>
      </c>
      <c r="M3938" s="20">
        <v>5.969043840076288E19</v>
      </c>
    </row>
    <row r="3939">
      <c r="A3939" s="6"/>
      <c r="B3939" s="6"/>
      <c r="C3939" s="4"/>
      <c r="D3939" s="4">
        <v>48.3641275995966</v>
      </c>
      <c r="E3939" s="4" t="s">
        <v>1194</v>
      </c>
      <c r="F3939" s="4"/>
      <c r="G3939" s="4"/>
      <c r="H3939" s="4"/>
      <c r="I3939" s="4" t="str">
        <f>IFERROR(__xludf.DUMMYFUNCTION("""COMPUTED_VALUE"""),"0x81df388b98753af4d0777bb1abac701ba28370cc")</f>
        <v>0x81df388b98753af4d0777bb1abac701ba28370cc</v>
      </c>
      <c r="J3939" s="18">
        <v>9.86628203031772</v>
      </c>
      <c r="K3939" s="4">
        <v>123.32852537897149</v>
      </c>
      <c r="L3939" s="19">
        <v>1.2332852537897148E20</v>
      </c>
      <c r="M3939" s="20">
        <v>1.2332852537897148E19</v>
      </c>
    </row>
    <row r="3940">
      <c r="A3940" s="6"/>
      <c r="B3940" s="6"/>
      <c r="C3940" s="4"/>
      <c r="D3940" s="4">
        <v>48.3641275995966</v>
      </c>
      <c r="E3940" s="4" t="s">
        <v>221</v>
      </c>
      <c r="F3940" s="4"/>
      <c r="G3940" s="4"/>
      <c r="H3940" s="4"/>
      <c r="I3940" s="4" t="str">
        <f>IFERROR(__xludf.DUMMYFUNCTION("""COMPUTED_VALUE"""),"0x8b69fd2530be0e8e4dbfe7de47a09ce41ea880d1")</f>
        <v>0x8b69fd2530be0e8e4dbfe7de47a09ce41ea880d1</v>
      </c>
      <c r="J3940" s="18">
        <v>48.3641275995966</v>
      </c>
      <c r="K3940" s="4">
        <v>604.5515949949574</v>
      </c>
      <c r="L3940" s="19">
        <v>6.045515949949574E20</v>
      </c>
      <c r="M3940" s="20">
        <v>6.045515949949574E19</v>
      </c>
    </row>
    <row r="3941">
      <c r="A3941" s="6"/>
      <c r="B3941" s="6"/>
      <c r="C3941" s="4"/>
      <c r="D3941" s="4">
        <v>48.3641275995966</v>
      </c>
      <c r="E3941" s="4" t="s">
        <v>5958</v>
      </c>
      <c r="F3941" s="4"/>
      <c r="G3941" s="4"/>
      <c r="H3941" s="4"/>
      <c r="I3941" s="4" t="str">
        <f>IFERROR(__xludf.DUMMYFUNCTION("""COMPUTED_VALUE"""),"0x655cbde5bff53258034f5a30dfd494e35f5f8510")</f>
        <v>0x655cbde5bff53258034f5a30dfd494e35f5f8510</v>
      </c>
      <c r="J3941" s="18">
        <v>216.05142250839242</v>
      </c>
      <c r="K3941" s="4">
        <v>2700.6427813549053</v>
      </c>
      <c r="L3941" s="19">
        <v>2.7006427813549053E21</v>
      </c>
      <c r="M3941" s="20">
        <v>2.7006427813549054E20</v>
      </c>
    </row>
    <row r="3942">
      <c r="A3942" s="6"/>
      <c r="B3942" s="6"/>
      <c r="C3942" s="4"/>
      <c r="D3942" s="4">
        <v>44.6884539020273</v>
      </c>
      <c r="E3942" s="4" t="s">
        <v>5959</v>
      </c>
      <c r="F3942" s="4"/>
      <c r="G3942" s="4"/>
      <c r="H3942" s="4"/>
      <c r="I3942" s="4" t="str">
        <f>IFERROR(__xludf.DUMMYFUNCTION("""COMPUTED_VALUE"""),"0x211c4e604dfb2c6b3f69d6632fa9cbf30ad5e3ab")</f>
        <v>0x211c4e604dfb2c6b3f69d6632fa9cbf30ad5e3ab</v>
      </c>
      <c r="J3942" s="18">
        <v>9.672825519919328</v>
      </c>
      <c r="K3942" s="4">
        <v>120.9103189989916</v>
      </c>
      <c r="L3942" s="19">
        <v>1.209103189989916E20</v>
      </c>
      <c r="M3942" s="20">
        <v>1.209103189989916E19</v>
      </c>
    </row>
    <row r="3943">
      <c r="A3943" s="6"/>
      <c r="B3943" s="6"/>
      <c r="C3943" s="4"/>
      <c r="D3943" s="4">
        <v>48.3641275995966</v>
      </c>
      <c r="E3943" s="4" t="s">
        <v>5961</v>
      </c>
      <c r="F3943" s="4"/>
      <c r="G3943" s="4"/>
      <c r="H3943" s="4"/>
      <c r="I3943" s="4" t="str">
        <f>IFERROR(__xludf.DUMMYFUNCTION("""COMPUTED_VALUE"""),"0x34ac3153e9a3288736a8dfdb0c4a929e5ef2a237")</f>
        <v>0x34ac3153e9a3288736a8dfdb0c4a929e5ef2a237</v>
      </c>
      <c r="J3943" s="18">
        <v>9.255823695633191</v>
      </c>
      <c r="K3943" s="4">
        <v>115.6977961954149</v>
      </c>
      <c r="L3943" s="19">
        <v>1.156977961954149E20</v>
      </c>
      <c r="M3943" s="20">
        <v>1.1569779619541492E19</v>
      </c>
    </row>
    <row r="3944">
      <c r="A3944" s="6"/>
      <c r="B3944" s="6"/>
      <c r="C3944" s="4"/>
      <c r="D3944" s="4">
        <v>48.3641275995966</v>
      </c>
      <c r="E3944" s="4" t="s">
        <v>5962</v>
      </c>
      <c r="F3944" s="4"/>
      <c r="G3944" s="4"/>
      <c r="H3944" s="4"/>
      <c r="I3944" s="4" t="str">
        <f>IFERROR(__xludf.DUMMYFUNCTION("""COMPUTED_VALUE"""),"0x53df2d70e4982d9b45a3fcb5cad07b9249211aaa")</f>
        <v>0x53df2d70e4982d9b45a3fcb5cad07b9249211aaa</v>
      </c>
      <c r="J3944" s="18">
        <v>48.3641275995966</v>
      </c>
      <c r="K3944" s="4">
        <v>604.5515949949574</v>
      </c>
      <c r="L3944" s="19">
        <v>6.045515949949574E20</v>
      </c>
      <c r="M3944" s="20">
        <v>6.045515949949574E19</v>
      </c>
    </row>
    <row r="3945">
      <c r="A3945" s="6"/>
      <c r="B3945" s="6"/>
      <c r="C3945" s="4"/>
      <c r="D3945" s="4">
        <v>8.65991845175488</v>
      </c>
      <c r="E3945" s="4" t="s">
        <v>5963</v>
      </c>
      <c r="F3945" s="4"/>
      <c r="G3945" s="4"/>
      <c r="H3945" s="4"/>
      <c r="I3945" s="4" t="str">
        <f>IFERROR(__xludf.DUMMYFUNCTION("""COMPUTED_VALUE"""),"0xd0d9c048e0809e4b7e586bfffc7f506b57409c37")</f>
        <v>0xd0d9c048e0809e4b7e586bfffc7f506b57409c37</v>
      </c>
      <c r="J3945" s="18">
        <v>23.7826706133904</v>
      </c>
      <c r="K3945" s="4">
        <v>297.28338266738</v>
      </c>
      <c r="L3945" s="19">
        <v>2.9728338266738E20</v>
      </c>
      <c r="M3945" s="20">
        <v>2.9728338266738E19</v>
      </c>
    </row>
    <row r="3946">
      <c r="A3946" s="6"/>
      <c r="B3946" s="6"/>
      <c r="C3946" s="4"/>
      <c r="D3946" s="4">
        <v>48.3641275995966</v>
      </c>
      <c r="E3946" s="4" t="s">
        <v>727</v>
      </c>
      <c r="F3946" s="4"/>
      <c r="G3946" s="4"/>
      <c r="H3946" s="4"/>
      <c r="I3946" s="4" t="str">
        <f>IFERROR(__xludf.DUMMYFUNCTION("""COMPUTED_VALUE"""),"0x4197985d6c34b5f189982db500af56597ac21430")</f>
        <v>0x4197985d6c34b5f189982db500af56597ac21430</v>
      </c>
      <c r="J3946" s="18">
        <v>56.58378497057294</v>
      </c>
      <c r="K3946" s="4">
        <v>707.2973121321618</v>
      </c>
      <c r="L3946" s="19">
        <v>7.072973121321617E20</v>
      </c>
      <c r="M3946" s="20">
        <v>7.072973121321618E19</v>
      </c>
    </row>
    <row r="3947">
      <c r="A3947" s="6"/>
      <c r="B3947" s="6"/>
      <c r="C3947" s="4"/>
      <c r="D3947" s="4">
        <v>48.3641275995966</v>
      </c>
      <c r="E3947" s="4" t="s">
        <v>5965</v>
      </c>
      <c r="F3947" s="4"/>
      <c r="G3947" s="4"/>
      <c r="H3947" s="4"/>
      <c r="I3947" s="4" t="str">
        <f>IFERROR(__xludf.DUMMYFUNCTION("""COMPUTED_VALUE"""),"0xaf7e436f333f2ea0c5004a166b7018394cf3a412")</f>
        <v>0xaf7e436f333f2ea0c5004a166b7018394cf3a412</v>
      </c>
      <c r="J3947" s="18">
        <v>48.3641275995966</v>
      </c>
      <c r="K3947" s="4">
        <v>604.5515949949574</v>
      </c>
      <c r="L3947" s="19">
        <v>6.045515949949574E20</v>
      </c>
      <c r="M3947" s="20">
        <v>6.045515949949574E19</v>
      </c>
    </row>
    <row r="3948">
      <c r="A3948" s="6"/>
      <c r="B3948" s="6"/>
      <c r="C3948" s="4"/>
      <c r="D3948" s="4">
        <v>19.133842493428602</v>
      </c>
      <c r="E3948" s="4" t="s">
        <v>5966</v>
      </c>
      <c r="F3948" s="4"/>
      <c r="G3948" s="4"/>
      <c r="H3948" s="4"/>
      <c r="I3948" s="4" t="str">
        <f>IFERROR(__xludf.DUMMYFUNCTION("""COMPUTED_VALUE"""),"0x5b083127ed43e2da3dfe233762da25255edea28e")</f>
        <v>0x5b083127ed43e2da3dfe233762da25255edea28e</v>
      </c>
      <c r="J3948" s="18">
        <v>6.49280117769098</v>
      </c>
      <c r="K3948" s="4">
        <v>81.16001472113724</v>
      </c>
      <c r="L3948" s="19">
        <v>8.116001472113725E19</v>
      </c>
      <c r="M3948" s="20">
        <v>8.116001472113725E18</v>
      </c>
    </row>
    <row r="3949">
      <c r="A3949" s="6"/>
      <c r="B3949" s="6"/>
      <c r="C3949" s="4"/>
      <c r="D3949" s="4">
        <v>47.537988989126</v>
      </c>
      <c r="E3949" s="4" t="s">
        <v>946</v>
      </c>
      <c r="F3949" s="4"/>
      <c r="G3949" s="4"/>
      <c r="H3949" s="4"/>
      <c r="I3949" s="4" t="str">
        <f>IFERROR(__xludf.DUMMYFUNCTION("""COMPUTED_VALUE"""),"0x87974550701780d0a6c6c934e054ef20a3a7c048")</f>
        <v>0x87974550701780d0a6c6c934e054ef20a3a7c048</v>
      </c>
      <c r="J3949" s="18">
        <v>23.174699268899</v>
      </c>
      <c r="K3949" s="4">
        <v>289.6837408612375</v>
      </c>
      <c r="L3949" s="19">
        <v>2.896837408612375E20</v>
      </c>
      <c r="M3949" s="20">
        <v>2.896837408612375E19</v>
      </c>
    </row>
    <row r="3950">
      <c r="A3950" s="6"/>
      <c r="B3950" s="6"/>
      <c r="C3950" s="4"/>
      <c r="D3950" s="4">
        <v>48.3641275995966</v>
      </c>
      <c r="E3950" s="4" t="s">
        <v>5968</v>
      </c>
      <c r="F3950" s="4"/>
      <c r="G3950" s="4"/>
      <c r="H3950" s="4"/>
      <c r="I3950" s="4" t="str">
        <f>IFERROR(__xludf.DUMMYFUNCTION("""COMPUTED_VALUE"""),"0xfed92adbdb87310d00088e1c7db8dfc28c3203b6")</f>
        <v>0xfed92adbdb87310d00088e1c7db8dfc28c3203b6</v>
      </c>
      <c r="J3950" s="18">
        <v>9.01303217057418</v>
      </c>
      <c r="K3950" s="4">
        <v>112.66290213217724</v>
      </c>
      <c r="L3950" s="19">
        <v>1.1266290213217724E20</v>
      </c>
      <c r="M3950" s="20">
        <v>1.1266290213217724E19</v>
      </c>
    </row>
    <row r="3951">
      <c r="A3951" s="6"/>
      <c r="B3951" s="6"/>
      <c r="C3951" s="4"/>
      <c r="D3951" s="4">
        <v>29.018476559758</v>
      </c>
      <c r="E3951" s="4" t="s">
        <v>5969</v>
      </c>
      <c r="F3951" s="4"/>
      <c r="G3951" s="4"/>
      <c r="H3951" s="4"/>
      <c r="I3951" s="4" t="str">
        <f>IFERROR(__xludf.DUMMYFUNCTION("""COMPUTED_VALUE"""),"0xcab5e8e3c5d87795fd6e059072afce951f128d63")</f>
        <v>0xcab5e8e3c5d87795fd6e059072afce951f128d63</v>
      </c>
      <c r="J3951" s="18">
        <v>48.3641275995966</v>
      </c>
      <c r="K3951" s="4">
        <v>604.5515949949574</v>
      </c>
      <c r="L3951" s="19">
        <v>6.045515949949574E20</v>
      </c>
      <c r="M3951" s="20">
        <v>6.045515949949574E19</v>
      </c>
    </row>
    <row r="3952">
      <c r="A3952" s="6"/>
      <c r="B3952" s="6"/>
      <c r="C3952" s="4"/>
      <c r="D3952" s="4">
        <v>9.672825519919328</v>
      </c>
      <c r="E3952" s="4" t="s">
        <v>5970</v>
      </c>
      <c r="F3952" s="4"/>
      <c r="G3952" s="4"/>
      <c r="H3952" s="4"/>
      <c r="I3952" s="4" t="str">
        <f>IFERROR(__xludf.DUMMYFUNCTION("""COMPUTED_VALUE"""),"0xc9c312cd03e05ba6209d2f5b17b04ba5f146c5b2")</f>
        <v>0xc9c312cd03e05ba6209d2f5b17b04ba5f146c5b2</v>
      </c>
      <c r="J3952" s="18">
        <v>14.2723768743269</v>
      </c>
      <c r="K3952" s="4">
        <v>178.40471092908624</v>
      </c>
      <c r="L3952" s="19">
        <v>1.7840471092908625E20</v>
      </c>
      <c r="M3952" s="20">
        <v>1.7840471092908626E19</v>
      </c>
    </row>
    <row r="3953">
      <c r="A3953" s="6"/>
      <c r="B3953" s="6"/>
      <c r="C3953" s="4"/>
      <c r="D3953" s="4">
        <v>48.3641275995966</v>
      </c>
      <c r="E3953" s="4" t="s">
        <v>5971</v>
      </c>
      <c r="F3953" s="4"/>
      <c r="G3953" s="4"/>
      <c r="H3953" s="4"/>
      <c r="I3953" s="4" t="str">
        <f>IFERROR(__xludf.DUMMYFUNCTION("""COMPUTED_VALUE"""),"0x350e9c2ebd57b1a66e4c0ef6574cae65d470d6de")</f>
        <v>0x350e9c2ebd57b1a66e4c0ef6574cae65d470d6de</v>
      </c>
      <c r="J3953" s="18">
        <v>24.3496296199252</v>
      </c>
      <c r="K3953" s="4">
        <v>304.370370249065</v>
      </c>
      <c r="L3953" s="19">
        <v>3.04370370249065E20</v>
      </c>
      <c r="M3953" s="20">
        <v>3.04370370249065E19</v>
      </c>
    </row>
    <row r="3954">
      <c r="A3954" s="6"/>
      <c r="B3954" s="6"/>
      <c r="C3954" s="4"/>
      <c r="D3954" s="4">
        <v>10.0425197483194</v>
      </c>
      <c r="E3954" s="4" t="s">
        <v>5972</v>
      </c>
      <c r="F3954" s="4"/>
      <c r="G3954" s="4"/>
      <c r="H3954" s="4"/>
      <c r="I3954" s="4" t="str">
        <f>IFERROR(__xludf.DUMMYFUNCTION("""COMPUTED_VALUE"""),"0x0212e2e77cb589c205be02e6bdf074dd208e78a2")</f>
        <v>0x0212e2e77cb589c205be02e6bdf074dd208e78a2</v>
      </c>
      <c r="J3954" s="18">
        <v>8.607753085376409</v>
      </c>
      <c r="K3954" s="4">
        <v>107.5969135672051</v>
      </c>
      <c r="L3954" s="19">
        <v>1.0759691356720511E20</v>
      </c>
      <c r="M3954" s="20">
        <v>1.075969135672051E19</v>
      </c>
    </row>
    <row r="3955">
      <c r="A3955" s="6"/>
      <c r="B3955" s="6"/>
      <c r="C3955" s="4"/>
      <c r="D3955" s="4">
        <v>38.2902994343526</v>
      </c>
      <c r="E3955" s="4" t="s">
        <v>21</v>
      </c>
      <c r="F3955" s="4"/>
      <c r="G3955" s="4"/>
      <c r="H3955" s="4"/>
      <c r="I3955" s="4" t="str">
        <f>IFERROR(__xludf.DUMMYFUNCTION("""COMPUTED_VALUE"""),"0x4b78607b89df3c61c94dae69c2c1290e8e3840c9")</f>
        <v>0x4b78607b89df3c61c94dae69c2c1290e8e3840c9</v>
      </c>
      <c r="J3955" s="18">
        <v>234.37608780709658</v>
      </c>
      <c r="K3955" s="4">
        <v>2929.7010975887074</v>
      </c>
      <c r="L3955" s="19">
        <v>2.9297010975887076E21</v>
      </c>
      <c r="M3955" s="20">
        <v>2.9297010975887078E20</v>
      </c>
    </row>
    <row r="3956">
      <c r="A3956" s="6"/>
      <c r="B3956" s="6"/>
      <c r="C3956" s="4"/>
      <c r="D3956" s="4">
        <v>7.55613474656606</v>
      </c>
      <c r="E3956" s="4" t="s">
        <v>5975</v>
      </c>
      <c r="F3956" s="4"/>
      <c r="G3956" s="4"/>
      <c r="H3956" s="4"/>
      <c r="I3956" s="4" t="str">
        <f>IFERROR(__xludf.DUMMYFUNCTION("""COMPUTED_VALUE"""),"0x5bfd3070f077a093af23e00526d4df320bdc563f")</f>
        <v>0x5bfd3070f077a093af23e00526d4df320bdc563f</v>
      </c>
      <c r="J3956" s="18">
        <v>48.3641275995966</v>
      </c>
      <c r="K3956" s="4">
        <v>604.5515949949574</v>
      </c>
      <c r="L3956" s="19">
        <v>6.045515949949574E20</v>
      </c>
      <c r="M3956" s="20">
        <v>6.045515949949574E19</v>
      </c>
    </row>
    <row r="3957">
      <c r="A3957" s="6"/>
      <c r="B3957" s="6"/>
      <c r="C3957" s="4"/>
      <c r="D3957" s="4">
        <v>19.3456510398386</v>
      </c>
      <c r="E3957" s="4" t="s">
        <v>5977</v>
      </c>
      <c r="F3957" s="4"/>
      <c r="G3957" s="4"/>
      <c r="H3957" s="4"/>
      <c r="I3957" s="4" t="str">
        <f>IFERROR(__xludf.DUMMYFUNCTION("""COMPUTED_VALUE"""),"0x6960d18cd4350d3ace56ba602cdb2ac904080c97")</f>
        <v>0x6960d18cd4350d3ace56ba602cdb2ac904080c97</v>
      </c>
      <c r="J3957" s="18">
        <v>6.384823781162219</v>
      </c>
      <c r="K3957" s="4">
        <v>79.81029726452773</v>
      </c>
      <c r="L3957" s="19">
        <v>7.981029726452774E19</v>
      </c>
      <c r="M3957" s="20">
        <v>7.981029726452774E18</v>
      </c>
    </row>
    <row r="3958">
      <c r="A3958" s="6"/>
      <c r="B3958" s="6"/>
      <c r="C3958" s="4"/>
      <c r="D3958" s="4">
        <v>5.3838190617066095</v>
      </c>
      <c r="E3958" s="4" t="s">
        <v>5978</v>
      </c>
      <c r="F3958" s="4"/>
      <c r="G3958" s="4"/>
      <c r="H3958" s="4"/>
      <c r="I3958" s="4" t="str">
        <f>IFERROR(__xludf.DUMMYFUNCTION("""COMPUTED_VALUE"""),"0x47b31791dc81bb1953fe897f8fd8e341804c28cf")</f>
        <v>0x47b31791dc81bb1953fe897f8fd8e341804c28cf</v>
      </c>
      <c r="J3958" s="18">
        <v>162.8250496115586</v>
      </c>
      <c r="K3958" s="4">
        <v>2035.3131201444824</v>
      </c>
      <c r="L3958" s="19">
        <v>2.0353131201444824E21</v>
      </c>
      <c r="M3958" s="20">
        <v>2.0353131201444826E20</v>
      </c>
    </row>
    <row r="3959">
      <c r="A3959" s="6"/>
      <c r="B3959" s="6"/>
      <c r="C3959" s="4"/>
      <c r="D3959" s="4">
        <v>48.3641275995966</v>
      </c>
      <c r="E3959" s="4" t="s">
        <v>5980</v>
      </c>
      <c r="F3959" s="4"/>
      <c r="G3959" s="4"/>
      <c r="H3959" s="4"/>
      <c r="I3959" s="4" t="str">
        <f>IFERROR(__xludf.DUMMYFUNCTION("""COMPUTED_VALUE"""),"0x941b902ffd52d5cf01f2949a0a742d2ddcf7be89")</f>
        <v>0x941b902ffd52d5cf01f2949a0a742d2ddcf7be89</v>
      </c>
      <c r="J3959" s="18">
        <v>188.0283686512066</v>
      </c>
      <c r="K3959" s="4">
        <v>2350.3546081400823</v>
      </c>
      <c r="L3959" s="19">
        <v>2.3503546081400822E21</v>
      </c>
      <c r="M3959" s="20">
        <v>2.3503546081400822E20</v>
      </c>
    </row>
    <row r="3960">
      <c r="A3960" s="6"/>
      <c r="B3960" s="6"/>
      <c r="C3960" s="4"/>
      <c r="D3960" s="4">
        <v>48.3641275995966</v>
      </c>
      <c r="E3960" s="4" t="s">
        <v>5981</v>
      </c>
      <c r="F3960" s="4"/>
      <c r="G3960" s="4"/>
      <c r="H3960" s="4"/>
      <c r="I3960" s="4" t="str">
        <f>IFERROR(__xludf.DUMMYFUNCTION("""COMPUTED_VALUE"""),"0xa103f72e8717b62813167cb58872722663346fcf")</f>
        <v>0xa103f72e8717b62813167cb58872722663346fcf</v>
      </c>
      <c r="J3960" s="18">
        <v>127.2331356745062</v>
      </c>
      <c r="K3960" s="4">
        <v>1590.4141959313274</v>
      </c>
      <c r="L3960" s="19">
        <v>1.5904141959313275E21</v>
      </c>
      <c r="M3960" s="20">
        <v>1.5904141959313277E20</v>
      </c>
    </row>
    <row r="3961">
      <c r="A3961" s="6"/>
      <c r="B3961" s="6"/>
      <c r="C3961" s="4"/>
      <c r="D3961" s="4">
        <v>48.3641275995966</v>
      </c>
      <c r="E3961" s="4" t="s">
        <v>5982</v>
      </c>
      <c r="F3961" s="4"/>
      <c r="G3961" s="4"/>
      <c r="H3961" s="4"/>
      <c r="I3961" s="4" t="str">
        <f>IFERROR(__xludf.DUMMYFUNCTION("""COMPUTED_VALUE"""),"0x2b4f2c9378c99a5f7928ac8e7cd439e6c4f0c101")</f>
        <v>0x2b4f2c9378c99a5f7928ac8e7cd439e6c4f0c101</v>
      </c>
      <c r="J3961" s="18">
        <v>48.3641275995966</v>
      </c>
      <c r="K3961" s="4">
        <v>604.5515949949574</v>
      </c>
      <c r="L3961" s="19">
        <v>6.045515949949574E20</v>
      </c>
      <c r="M3961" s="20">
        <v>6.045515949949574E19</v>
      </c>
    </row>
    <row r="3962">
      <c r="A3962" s="6"/>
      <c r="B3962" s="6"/>
      <c r="C3962" s="4"/>
      <c r="D3962" s="4">
        <v>38.6913020796773</v>
      </c>
      <c r="E3962" s="4" t="s">
        <v>5983</v>
      </c>
      <c r="F3962" s="4"/>
      <c r="G3962" s="4"/>
      <c r="H3962" s="4"/>
      <c r="I3962" s="4" t="str">
        <f>IFERROR(__xludf.DUMMYFUNCTION("""COMPUTED_VALUE"""),"0x0042a384a2e8e8aca48b5118cee225408d857037")</f>
        <v>0x0042a384a2e8e8aca48b5118cee225408d857037</v>
      </c>
      <c r="J3962" s="18">
        <v>34.799836526845</v>
      </c>
      <c r="K3962" s="4">
        <v>434.99795658556246</v>
      </c>
      <c r="L3962" s="19">
        <v>4.3499795658556244E20</v>
      </c>
      <c r="M3962" s="20">
        <v>4.349979565855624E19</v>
      </c>
    </row>
    <row r="3963">
      <c r="A3963" s="6"/>
      <c r="B3963" s="6"/>
      <c r="C3963" s="4"/>
      <c r="D3963" s="4">
        <v>48.3641275995966</v>
      </c>
      <c r="E3963" s="4" t="s">
        <v>1253</v>
      </c>
      <c r="F3963" s="4"/>
      <c r="G3963" s="4"/>
      <c r="H3963" s="4"/>
      <c r="I3963" s="4" t="str">
        <f>IFERROR(__xludf.DUMMYFUNCTION("""COMPUTED_VALUE"""),"0x012d0362f271fa40931c45c1f6d663391a16bdd7")</f>
        <v>0x012d0362f271fa40931c45c1f6d663391a16bdd7</v>
      </c>
      <c r="J3963" s="18">
        <v>18.2063475442155</v>
      </c>
      <c r="K3963" s="4">
        <v>227.57934430269376</v>
      </c>
      <c r="L3963" s="19">
        <v>2.2757934430269374E20</v>
      </c>
      <c r="M3963" s="20">
        <v>2.2757934430269374E19</v>
      </c>
    </row>
    <row r="3964">
      <c r="A3964" s="6"/>
      <c r="B3964" s="6"/>
      <c r="C3964" s="4"/>
      <c r="D3964" s="4">
        <v>40.760056476316194</v>
      </c>
      <c r="E3964" s="4" t="s">
        <v>5984</v>
      </c>
      <c r="F3964" s="4"/>
      <c r="G3964" s="4"/>
      <c r="H3964" s="4"/>
      <c r="I3964" s="4" t="str">
        <f>IFERROR(__xludf.DUMMYFUNCTION("""COMPUTED_VALUE"""),"0x0734756025b5f9240166c48c3313dcc714a22db6")</f>
        <v>0x0734756025b5f9240166c48c3313dcc714a22db6</v>
      </c>
      <c r="J3964" s="18">
        <v>187.8730977552216</v>
      </c>
      <c r="K3964" s="4">
        <v>2348.41372194027</v>
      </c>
      <c r="L3964" s="19">
        <v>2.34841372194027E21</v>
      </c>
      <c r="M3964" s="20">
        <v>2.34841372194027E20</v>
      </c>
    </row>
    <row r="3965">
      <c r="A3965" s="6"/>
      <c r="B3965" s="6"/>
      <c r="C3965" s="4"/>
      <c r="D3965" s="4">
        <v>48.3641275995966</v>
      </c>
      <c r="E3965" s="4" t="s">
        <v>1038</v>
      </c>
      <c r="F3965" s="4"/>
      <c r="G3965" s="4"/>
      <c r="H3965" s="4"/>
      <c r="I3965" s="4" t="str">
        <f>IFERROR(__xludf.DUMMYFUNCTION("""COMPUTED_VALUE"""),"0x9a6ab9fdcb2e3136228c0556336b931d5d5b04bb")</f>
        <v>0x9a6ab9fdcb2e3136228c0556336b931d5d5b04bb</v>
      </c>
      <c r="J3965" s="18">
        <v>29.018476559758</v>
      </c>
      <c r="K3965" s="4">
        <v>362.730956996975</v>
      </c>
      <c r="L3965" s="19">
        <v>3.62730956996975E20</v>
      </c>
      <c r="M3965" s="20">
        <v>3.62730956996975E19</v>
      </c>
    </row>
    <row r="3966">
      <c r="A3966" s="6"/>
      <c r="B3966" s="6"/>
      <c r="C3966" s="4"/>
      <c r="D3966" s="4">
        <v>0.47024594700183897</v>
      </c>
      <c r="E3966" s="4" t="s">
        <v>5986</v>
      </c>
      <c r="F3966" s="4"/>
      <c r="G3966" s="4"/>
      <c r="H3966" s="4"/>
      <c r="I3966" s="4" t="str">
        <f>IFERROR(__xludf.DUMMYFUNCTION("""COMPUTED_VALUE"""),"0x5e2492787a23419663c5fe7459c13e8240449e63")</f>
        <v>0x5e2492787a23419663c5fe7459c13e8240449e63</v>
      </c>
      <c r="J3966" s="18">
        <v>6.51910826586612</v>
      </c>
      <c r="K3966" s="4">
        <v>81.48885332332651</v>
      </c>
      <c r="L3966" s="19">
        <v>8.14888533233265E19</v>
      </c>
      <c r="M3966" s="20">
        <v>8.14888533233265E18</v>
      </c>
    </row>
    <row r="3967">
      <c r="A3967" s="6"/>
      <c r="B3967" s="6"/>
      <c r="C3967" s="4"/>
      <c r="D3967" s="4">
        <v>19.3456510398386</v>
      </c>
      <c r="E3967" s="4" t="s">
        <v>5988</v>
      </c>
      <c r="F3967" s="4"/>
      <c r="G3967" s="4"/>
      <c r="H3967" s="4"/>
      <c r="I3967" s="4" t="str">
        <f>IFERROR(__xludf.DUMMYFUNCTION("""COMPUTED_VALUE"""),"0x83c401803fff08e491964e9457ffe43ff8f5c602")</f>
        <v>0x83c401803fff08e491964e9457ffe43ff8f5c602</v>
      </c>
      <c r="J3967" s="18">
        <v>14.6184049763729</v>
      </c>
      <c r="K3967" s="4">
        <v>182.73006220466127</v>
      </c>
      <c r="L3967" s="19">
        <v>1.8273006220466127E20</v>
      </c>
      <c r="M3967" s="20">
        <v>1.8273006220466127E19</v>
      </c>
    </row>
    <row r="3968">
      <c r="A3968" s="6"/>
      <c r="B3968" s="6"/>
      <c r="C3968" s="4"/>
      <c r="D3968" s="4">
        <v>14.3157817694806</v>
      </c>
      <c r="E3968" s="4" t="s">
        <v>5989</v>
      </c>
      <c r="F3968" s="4"/>
      <c r="G3968" s="4"/>
      <c r="H3968" s="4"/>
      <c r="I3968" s="4" t="str">
        <f>IFERROR(__xludf.DUMMYFUNCTION("""COMPUTED_VALUE"""),"0x6afb5fc7ae34e7d7294163ff1fce247f7e2bf3ed")</f>
        <v>0x6afb5fc7ae34e7d7294163ff1fce247f7e2bf3ed</v>
      </c>
      <c r="J3968" s="18">
        <v>19.3456510398386</v>
      </c>
      <c r="K3968" s="4">
        <v>241.8206379979825</v>
      </c>
      <c r="L3968" s="19">
        <v>2.4182063799798248E20</v>
      </c>
      <c r="M3968" s="20">
        <v>2.418206379979825E19</v>
      </c>
    </row>
    <row r="3969">
      <c r="A3969" s="6"/>
      <c r="B3969" s="6"/>
      <c r="C3969" s="4"/>
      <c r="D3969" s="4">
        <v>22.214373388631</v>
      </c>
      <c r="E3969" s="4" t="s">
        <v>5991</v>
      </c>
      <c r="F3969" s="4"/>
      <c r="G3969" s="4"/>
      <c r="H3969" s="4"/>
      <c r="I3969" s="4" t="str">
        <f>IFERROR(__xludf.DUMMYFUNCTION("""COMPUTED_VALUE"""),"0x54ce93058f687411f880acf8213b57ab85ffa3bd")</f>
        <v>0x54ce93058f687411f880acf8213b57ab85ffa3bd</v>
      </c>
      <c r="J3969" s="18">
        <v>36.5569331531865</v>
      </c>
      <c r="K3969" s="4">
        <v>456.9616644148312</v>
      </c>
      <c r="L3969" s="19">
        <v>4.569616644148312E20</v>
      </c>
      <c r="M3969" s="20">
        <v>4.5696166441483125E19</v>
      </c>
    </row>
    <row r="3970">
      <c r="A3970" s="6"/>
      <c r="B3970" s="6"/>
      <c r="C3970" s="4"/>
      <c r="D3970" s="4">
        <v>48.3641275995966</v>
      </c>
      <c r="E3970" s="4" t="s">
        <v>5993</v>
      </c>
      <c r="F3970" s="4"/>
      <c r="G3970" s="4"/>
      <c r="H3970" s="4"/>
      <c r="I3970" s="4" t="str">
        <f>IFERROR(__xludf.DUMMYFUNCTION("""COMPUTED_VALUE"""),"0x53da33f96ecffe1cdf3842883c9ba3ba3b49c14b")</f>
        <v>0x53da33f96ecffe1cdf3842883c9ba3ba3b49c14b</v>
      </c>
      <c r="J3970" s="18">
        <v>0.0718784048158643</v>
      </c>
      <c r="K3970" s="4">
        <v>0.8984800601983037</v>
      </c>
      <c r="L3970" s="19">
        <v>8.984800601983037E17</v>
      </c>
      <c r="M3970" s="20">
        <v>8.984800601983038E16</v>
      </c>
    </row>
    <row r="3971">
      <c r="A3971" s="6"/>
      <c r="B3971" s="6"/>
      <c r="C3971" s="4"/>
      <c r="D3971" s="4">
        <v>9.672825519919328</v>
      </c>
      <c r="E3971" s="4" t="s">
        <v>5994</v>
      </c>
      <c r="F3971" s="4"/>
      <c r="G3971" s="4"/>
      <c r="H3971" s="4"/>
      <c r="I3971" s="4" t="str">
        <f>IFERROR(__xludf.DUMMYFUNCTION("""COMPUTED_VALUE"""),"0x55c4f55a0eb8abb154e72b01b02510415561a049")</f>
        <v>0x55c4f55a0eb8abb154e72b01b02510415561a049</v>
      </c>
      <c r="J3971" s="18">
        <v>1.5547720573016</v>
      </c>
      <c r="K3971" s="4">
        <v>19.43465071627</v>
      </c>
      <c r="L3971" s="19">
        <v>1.943465071627E19</v>
      </c>
      <c r="M3971" s="20">
        <v>1.9434650716269998E18</v>
      </c>
    </row>
    <row r="3972">
      <c r="A3972" s="6"/>
      <c r="B3972" s="6"/>
      <c r="C3972" s="4"/>
      <c r="D3972" s="4">
        <v>18.5372066609577</v>
      </c>
      <c r="E3972" s="4" t="s">
        <v>5995</v>
      </c>
      <c r="F3972" s="4"/>
      <c r="G3972" s="4"/>
      <c r="H3972" s="4"/>
      <c r="I3972" s="4" t="str">
        <f>IFERROR(__xludf.DUMMYFUNCTION("""COMPUTED_VALUE"""),"0xecbfde2691c780883eba0815fba545343e847277")</f>
        <v>0xecbfde2691c780883eba0815fba545343e847277</v>
      </c>
      <c r="J3972" s="18">
        <v>44.618887697495</v>
      </c>
      <c r="K3972" s="4">
        <v>557.7360962186874</v>
      </c>
      <c r="L3972" s="19">
        <v>5.577360962186874E20</v>
      </c>
      <c r="M3972" s="20">
        <v>5.577360962186874E19</v>
      </c>
    </row>
    <row r="3973">
      <c r="A3973" s="6"/>
      <c r="B3973" s="6"/>
      <c r="C3973" s="4"/>
      <c r="D3973" s="4">
        <v>12.6126824538524</v>
      </c>
      <c r="E3973" s="4" t="s">
        <v>5997</v>
      </c>
      <c r="F3973" s="4"/>
      <c r="G3973" s="4"/>
      <c r="H3973" s="4"/>
      <c r="I3973" s="4" t="str">
        <f>IFERROR(__xludf.DUMMYFUNCTION("""COMPUTED_VALUE"""),"0xe2155b15a8a422e4ce354be0bc1284b8385399be")</f>
        <v>0xe2155b15a8a422e4ce354be0bc1284b8385399be</v>
      </c>
      <c r="J3973" s="18">
        <v>233.69723293582652</v>
      </c>
      <c r="K3973" s="4">
        <v>2921.2154116978313</v>
      </c>
      <c r="L3973" s="19">
        <v>2.9212154116978314E21</v>
      </c>
      <c r="M3973" s="20">
        <v>2.9212154116978314E20</v>
      </c>
    </row>
    <row r="3974">
      <c r="A3974" s="6"/>
      <c r="B3974" s="6"/>
      <c r="C3974" s="4"/>
      <c r="D3974" s="4">
        <v>48.3641275995966</v>
      </c>
      <c r="E3974" s="4" t="s">
        <v>5999</v>
      </c>
      <c r="F3974" s="4"/>
      <c r="G3974" s="4"/>
      <c r="H3974" s="4"/>
      <c r="I3974" s="4" t="str">
        <f>IFERROR(__xludf.DUMMYFUNCTION("""COMPUTED_VALUE"""),"0x9b21238772083466472b50c3bf41a652691d31dc")</f>
        <v>0x9b21238772083466472b50c3bf41a652691d31dc</v>
      </c>
      <c r="J3974" s="18">
        <v>19.347858545962097</v>
      </c>
      <c r="K3974" s="4">
        <v>241.8482318245262</v>
      </c>
      <c r="L3974" s="19">
        <v>2.418482318245262E20</v>
      </c>
      <c r="M3974" s="20">
        <v>2.418482318245262E19</v>
      </c>
    </row>
    <row r="3975">
      <c r="A3975" s="6"/>
      <c r="B3975" s="6"/>
      <c r="C3975" s="4"/>
      <c r="D3975" s="4">
        <v>7.035790754421449</v>
      </c>
      <c r="E3975" s="4" t="s">
        <v>6000</v>
      </c>
      <c r="F3975" s="4"/>
      <c r="G3975" s="4"/>
      <c r="H3975" s="4"/>
      <c r="I3975" s="4" t="str">
        <f>IFERROR(__xludf.DUMMYFUNCTION("""COMPUTED_VALUE"""),"0x46b828575296d78052cd2c6886a33e64c96b199b")</f>
        <v>0x46b828575296d78052cd2c6886a33e64c96b199b</v>
      </c>
      <c r="J3975" s="18">
        <v>49.873696152151794</v>
      </c>
      <c r="K3975" s="4">
        <v>623.4212019018975</v>
      </c>
      <c r="L3975" s="19">
        <v>6.234212019018975E20</v>
      </c>
      <c r="M3975" s="20">
        <v>6.234212019018976E19</v>
      </c>
    </row>
    <row r="3976">
      <c r="A3976" s="6"/>
      <c r="B3976" s="6"/>
      <c r="C3976" s="4"/>
      <c r="D3976" s="4">
        <v>48.3641275995966</v>
      </c>
      <c r="E3976" s="4" t="s">
        <v>6002</v>
      </c>
      <c r="F3976" s="4"/>
      <c r="G3976" s="4"/>
      <c r="H3976" s="4"/>
      <c r="I3976" s="4" t="str">
        <f>IFERROR(__xludf.DUMMYFUNCTION("""COMPUTED_VALUE"""),"0x22adc81de50eb7f27d11653bb925507eee90c59a")</f>
        <v>0x22adc81de50eb7f27d11653bb925507eee90c59a</v>
      </c>
      <c r="J3976" s="18">
        <v>19.6039646967502</v>
      </c>
      <c r="K3976" s="4">
        <v>245.0495587093775</v>
      </c>
      <c r="L3976" s="19">
        <v>2.450495587093775E20</v>
      </c>
      <c r="M3976" s="20">
        <v>2.450495587093775E19</v>
      </c>
    </row>
    <row r="3977">
      <c r="A3977" s="6"/>
      <c r="B3977" s="6"/>
      <c r="C3977" s="4"/>
      <c r="D3977" s="4">
        <v>46.483197222782806</v>
      </c>
      <c r="E3977" s="4" t="s">
        <v>6003</v>
      </c>
      <c r="F3977" s="4"/>
      <c r="G3977" s="4"/>
      <c r="H3977" s="4"/>
      <c r="I3977" s="4" t="str">
        <f>IFERROR(__xludf.DUMMYFUNCTION("""COMPUTED_VALUE"""),"0x6d5ab9d173cc5547252ff478935c458f012557ff")</f>
        <v>0x6d5ab9d173cc5547252ff478935c458f012557ff</v>
      </c>
      <c r="J3977" s="18">
        <v>5.86931195827793</v>
      </c>
      <c r="K3977" s="4">
        <v>73.36639947847412</v>
      </c>
      <c r="L3977" s="19">
        <v>7.336639947847412E19</v>
      </c>
      <c r="M3977" s="20">
        <v>7.336639947847413E18</v>
      </c>
    </row>
    <row r="3978">
      <c r="A3978" s="6"/>
      <c r="B3978" s="6"/>
      <c r="C3978" s="4"/>
      <c r="D3978" s="4">
        <v>48.3641275995966</v>
      </c>
      <c r="E3978" s="4" t="s">
        <v>6005</v>
      </c>
      <c r="F3978" s="4"/>
      <c r="G3978" s="4"/>
      <c r="H3978" s="4"/>
      <c r="I3978" s="4" t="str">
        <f>IFERROR(__xludf.DUMMYFUNCTION("""COMPUTED_VALUE"""),"0xe5640785e22bd241cd3f87e1807550ba87d05a38")</f>
        <v>0xe5640785e22bd241cd3f87e1807550ba87d05a38</v>
      </c>
      <c r="J3978" s="18">
        <v>29.983549041894697</v>
      </c>
      <c r="K3978" s="4">
        <v>374.79436302368373</v>
      </c>
      <c r="L3978" s="19">
        <v>3.7479436302368375E20</v>
      </c>
      <c r="M3978" s="20">
        <v>3.7479436302368375E19</v>
      </c>
    </row>
    <row r="3979">
      <c r="A3979" s="6"/>
      <c r="B3979" s="6"/>
      <c r="C3979" s="4"/>
      <c r="D3979" s="4">
        <v>48.3641275995966</v>
      </c>
      <c r="E3979" s="4" t="s">
        <v>6006</v>
      </c>
      <c r="F3979" s="4"/>
      <c r="G3979" s="4"/>
      <c r="H3979" s="4"/>
      <c r="I3979" s="4" t="str">
        <f>IFERROR(__xludf.DUMMYFUNCTION("""COMPUTED_VALUE"""),"0x2dfbc3bca5b5521fad707d5ac997cf8dfd59090e")</f>
        <v>0x2dfbc3bca5b5521fad707d5ac997cf8dfd59090e</v>
      </c>
      <c r="J3979" s="18">
        <v>159.9713037240966</v>
      </c>
      <c r="K3979" s="4">
        <v>1999.6412965512075</v>
      </c>
      <c r="L3979" s="19">
        <v>1.9996412965512075E21</v>
      </c>
      <c r="M3979" s="20">
        <v>1.9996412965512076E20</v>
      </c>
    </row>
    <row r="3980">
      <c r="A3980" s="6"/>
      <c r="B3980" s="6"/>
      <c r="C3980" s="4"/>
      <c r="D3980" s="4">
        <v>8.70571592965508</v>
      </c>
      <c r="E3980" s="4" t="s">
        <v>6007</v>
      </c>
      <c r="F3980" s="4"/>
      <c r="G3980" s="4"/>
      <c r="H3980" s="4"/>
      <c r="I3980" s="4" t="str">
        <f>IFERROR(__xludf.DUMMYFUNCTION("""COMPUTED_VALUE"""),"0xb06d6113184ac92d37df6b5a20687505e4908920")</f>
        <v>0xb06d6113184ac92d37df6b5a20687505e4908920</v>
      </c>
      <c r="J3980" s="18">
        <v>186.52473460442312</v>
      </c>
      <c r="K3980" s="4">
        <v>2331.5591825552888</v>
      </c>
      <c r="L3980" s="19">
        <v>2.3315591825552887E21</v>
      </c>
      <c r="M3980" s="20">
        <v>2.3315591825552887E20</v>
      </c>
    </row>
    <row r="3981">
      <c r="A3981" s="6"/>
      <c r="B3981" s="6"/>
      <c r="C3981" s="4"/>
      <c r="D3981" s="4">
        <v>48.3641275995966</v>
      </c>
      <c r="E3981" s="4" t="s">
        <v>6009</v>
      </c>
      <c r="F3981" s="4"/>
      <c r="G3981" s="4"/>
      <c r="H3981" s="4"/>
      <c r="I3981" s="4" t="str">
        <f>IFERROR(__xludf.DUMMYFUNCTION("""COMPUTED_VALUE"""),"0x82d3602ae5224ec317d7ded9c919aa251bfc854c")</f>
        <v>0x82d3602ae5224ec317d7ded9c919aa251bfc854c</v>
      </c>
      <c r="J3981" s="18">
        <v>67.4156855834575</v>
      </c>
      <c r="K3981" s="4">
        <v>842.6960697932187</v>
      </c>
      <c r="L3981" s="19">
        <v>8.426960697932187E20</v>
      </c>
      <c r="M3981" s="20">
        <v>8.426960697932187E19</v>
      </c>
    </row>
    <row r="3982">
      <c r="A3982" s="6"/>
      <c r="B3982" s="6"/>
      <c r="C3982" s="4"/>
      <c r="D3982" s="4">
        <v>38.6913020796773</v>
      </c>
      <c r="E3982" s="4" t="s">
        <v>6010</v>
      </c>
      <c r="F3982" s="4"/>
      <c r="G3982" s="4"/>
      <c r="H3982" s="4"/>
      <c r="I3982" s="4" t="str">
        <f>IFERROR(__xludf.DUMMYFUNCTION("""COMPUTED_VALUE"""),"0xe7294495206c1f5223d7f0c59b004ce971760541")</f>
        <v>0xe7294495206c1f5223d7f0c59b004ce971760541</v>
      </c>
      <c r="J3982" s="18">
        <v>48.3641275995966</v>
      </c>
      <c r="K3982" s="4">
        <v>604.5515949949574</v>
      </c>
      <c r="L3982" s="19">
        <v>6.045515949949574E20</v>
      </c>
      <c r="M3982" s="20">
        <v>6.045515949949574E19</v>
      </c>
    </row>
    <row r="3983">
      <c r="A3983" s="6"/>
      <c r="B3983" s="6"/>
      <c r="C3983" s="4"/>
      <c r="D3983" s="4">
        <v>10.8001726178032</v>
      </c>
      <c r="E3983" s="4" t="s">
        <v>6011</v>
      </c>
      <c r="F3983" s="4"/>
      <c r="G3983" s="4"/>
      <c r="H3983" s="4"/>
      <c r="I3983" s="4" t="str">
        <f>IFERROR(__xludf.DUMMYFUNCTION("""COMPUTED_VALUE"""),"0x8308c26c6b9261f5382b94abf4c1f6d1c614d36f")</f>
        <v>0x8308c26c6b9261f5382b94abf4c1f6d1c614d36f</v>
      </c>
      <c r="J3983" s="18">
        <v>33.305006724882695</v>
      </c>
      <c r="K3983" s="4">
        <v>416.3125840610337</v>
      </c>
      <c r="L3983" s="19">
        <v>4.163125840610337E20</v>
      </c>
      <c r="M3983" s="20">
        <v>4.1631258406103376E19</v>
      </c>
    </row>
    <row r="3984">
      <c r="A3984" s="6"/>
      <c r="B3984" s="6"/>
      <c r="C3984" s="4"/>
      <c r="D3984" s="4">
        <v>48.3641275995966</v>
      </c>
      <c r="E3984" s="4" t="s">
        <v>6013</v>
      </c>
      <c r="F3984" s="4"/>
      <c r="G3984" s="4"/>
      <c r="H3984" s="4"/>
      <c r="I3984" s="4" t="str">
        <f>IFERROR(__xludf.DUMMYFUNCTION("""COMPUTED_VALUE"""),"0x8706c9ee50e12f0b35b011c853fd1b5131cec2a4")</f>
        <v>0x8706c9ee50e12f0b35b011c853fd1b5131cec2a4</v>
      </c>
      <c r="J3984" s="18">
        <v>29.1325712757831</v>
      </c>
      <c r="K3984" s="4">
        <v>364.1571409472887</v>
      </c>
      <c r="L3984" s="19">
        <v>3.641571409472887E20</v>
      </c>
      <c r="M3984" s="20">
        <v>3.641571409472887E19</v>
      </c>
    </row>
    <row r="3985">
      <c r="A3985" s="6"/>
      <c r="B3985" s="6"/>
      <c r="C3985" s="4"/>
      <c r="D3985" s="4">
        <v>48.3641275995966</v>
      </c>
      <c r="E3985" s="4" t="s">
        <v>6014</v>
      </c>
      <c r="F3985" s="4"/>
      <c r="G3985" s="4"/>
      <c r="H3985" s="4"/>
      <c r="I3985" s="4" t="str">
        <f>IFERROR(__xludf.DUMMYFUNCTION("""COMPUTED_VALUE"""),"0x1c1d4e3b6a20e04ac5f343c5358051a22ebc344a")</f>
        <v>0x1c1d4e3b6a20e04ac5f343c5358051a22ebc344a</v>
      </c>
      <c r="J3985" s="18">
        <v>48.3641275995966</v>
      </c>
      <c r="K3985" s="4">
        <v>604.5515949949574</v>
      </c>
      <c r="L3985" s="19">
        <v>6.045515949949574E20</v>
      </c>
      <c r="M3985" s="20">
        <v>6.045515949949574E19</v>
      </c>
    </row>
    <row r="3986">
      <c r="A3986" s="6"/>
      <c r="B3986" s="6"/>
      <c r="C3986" s="4"/>
      <c r="D3986" s="4">
        <v>48.3641275995966</v>
      </c>
      <c r="E3986" s="4" t="s">
        <v>6015</v>
      </c>
      <c r="F3986" s="4"/>
      <c r="G3986" s="4"/>
      <c r="H3986" s="4"/>
      <c r="I3986" s="4" t="str">
        <f>IFERROR(__xludf.DUMMYFUNCTION("""COMPUTED_VALUE"""),"0x89967857dd60633cd4e34c597a5e2ccc6da58b7d")</f>
        <v>0x89967857dd60633cd4e34c597a5e2ccc6da58b7d</v>
      </c>
      <c r="J3986" s="18">
        <v>234.37608780709658</v>
      </c>
      <c r="K3986" s="4">
        <v>2929.7010975887074</v>
      </c>
      <c r="L3986" s="19">
        <v>2.9297010975887076E21</v>
      </c>
      <c r="M3986" s="20">
        <v>2.9297010975887078E20</v>
      </c>
    </row>
    <row r="3987">
      <c r="A3987" s="6"/>
      <c r="B3987" s="6"/>
      <c r="C3987" s="4"/>
      <c r="D3987" s="4">
        <v>48.3641275995966</v>
      </c>
      <c r="E3987" s="4" t="s">
        <v>6016</v>
      </c>
      <c r="F3987" s="4"/>
      <c r="G3987" s="4"/>
      <c r="H3987" s="4"/>
      <c r="I3987" s="4" t="str">
        <f>IFERROR(__xludf.DUMMYFUNCTION("""COMPUTED_VALUE"""),"0xe05f881b8c614dc087defc670745c4fdd03a2800")</f>
        <v>0xe05f881b8c614dc087defc670745c4fdd03a2800</v>
      </c>
      <c r="J3987" s="18">
        <v>17.8084161676524</v>
      </c>
      <c r="K3987" s="4">
        <v>222.605202095655</v>
      </c>
      <c r="L3987" s="19">
        <v>2.22605202095655E20</v>
      </c>
      <c r="M3987" s="20">
        <v>2.22605202095655E19</v>
      </c>
    </row>
    <row r="3988">
      <c r="A3988" s="6"/>
      <c r="B3988" s="6"/>
      <c r="C3988" s="4"/>
      <c r="D3988" s="4">
        <v>10.0556427115917</v>
      </c>
      <c r="E3988" s="4" t="s">
        <v>6017</v>
      </c>
      <c r="F3988" s="4"/>
      <c r="G3988" s="4"/>
      <c r="H3988" s="4"/>
      <c r="I3988" s="4" t="str">
        <f>IFERROR(__xludf.DUMMYFUNCTION("""COMPUTED_VALUE"""),"0xbd062e5034ecbe61b024029d32f537890715bc92")</f>
        <v>0xbd062e5034ecbe61b024029d32f537890715bc92</v>
      </c>
      <c r="J3988" s="18">
        <v>32.726468764447304</v>
      </c>
      <c r="K3988" s="4">
        <v>409.0808595555913</v>
      </c>
      <c r="L3988" s="19">
        <v>4.090808595555913E20</v>
      </c>
      <c r="M3988" s="20">
        <v>4.090808595555913E19</v>
      </c>
    </row>
    <row r="3989">
      <c r="A3989" s="6"/>
      <c r="B3989" s="6"/>
      <c r="C3989" s="4"/>
      <c r="D3989" s="4">
        <v>48.3641275995966</v>
      </c>
      <c r="E3989" s="4" t="s">
        <v>6019</v>
      </c>
      <c r="F3989" s="4"/>
      <c r="G3989" s="4"/>
      <c r="H3989" s="4"/>
      <c r="I3989" s="4" t="str">
        <f>IFERROR(__xludf.DUMMYFUNCTION("""COMPUTED_VALUE"""),"0xf8928f7101e78a3ea19c294529020ff25033e827")</f>
        <v>0xf8928f7101e78a3ea19c294529020ff25033e827</v>
      </c>
      <c r="J3989" s="18">
        <v>9.672825519919328</v>
      </c>
      <c r="K3989" s="4">
        <v>120.9103189989916</v>
      </c>
      <c r="L3989" s="19">
        <v>1.209103189989916E20</v>
      </c>
      <c r="M3989" s="20">
        <v>1.209103189989916E19</v>
      </c>
    </row>
    <row r="3990">
      <c r="A3990" s="6"/>
      <c r="B3990" s="6"/>
      <c r="C3990" s="4"/>
      <c r="D3990" s="4">
        <v>9.6885526160292</v>
      </c>
      <c r="E3990" s="4" t="s">
        <v>6020</v>
      </c>
      <c r="F3990" s="4"/>
      <c r="G3990" s="4"/>
      <c r="H3990" s="4"/>
      <c r="I3990" s="4" t="str">
        <f>IFERROR(__xludf.DUMMYFUNCTION("""COMPUTED_VALUE"""),"0x14ae6e26a828d2cc90383bef04a5df3857cc4cff")</f>
        <v>0x14ae6e26a828d2cc90383bef04a5df3857cc4cff</v>
      </c>
      <c r="J3990" s="18">
        <v>16.2777087073837</v>
      </c>
      <c r="K3990" s="4">
        <v>203.47135884229624</v>
      </c>
      <c r="L3990" s="19">
        <v>2.0347135884229624E20</v>
      </c>
      <c r="M3990" s="20">
        <v>2.0347135884229624E19</v>
      </c>
    </row>
    <row r="3991">
      <c r="A3991" s="6"/>
      <c r="B3991" s="6"/>
      <c r="C3991" s="4"/>
      <c r="D3991" s="4">
        <v>48.3641275995966</v>
      </c>
      <c r="E3991" s="4" t="s">
        <v>1568</v>
      </c>
      <c r="F3991" s="4"/>
      <c r="G3991" s="4"/>
      <c r="H3991" s="4"/>
      <c r="I3991" s="4" t="str">
        <f>IFERROR(__xludf.DUMMYFUNCTION("""COMPUTED_VALUE"""),"0xece8e6d5050086b675b690fd35de4abdd224c5d1")</f>
        <v>0xece8e6d5050086b675b690fd35de4abdd224c5d1</v>
      </c>
      <c r="J3991" s="18">
        <v>17.23709709189178</v>
      </c>
      <c r="K3991" s="4">
        <v>215.46371364864726</v>
      </c>
      <c r="L3991" s="19">
        <v>2.1546371364864724E20</v>
      </c>
      <c r="M3991" s="20">
        <v>2.1546371364864725E19</v>
      </c>
    </row>
    <row r="3992">
      <c r="A3992" s="6"/>
      <c r="B3992" s="6"/>
      <c r="C3992" s="4"/>
      <c r="D3992" s="4">
        <v>48.3641275995966</v>
      </c>
      <c r="E3992" s="4" t="s">
        <v>6022</v>
      </c>
      <c r="F3992" s="4"/>
      <c r="G3992" s="4"/>
      <c r="H3992" s="4"/>
      <c r="I3992" s="4" t="str">
        <f>IFERROR(__xludf.DUMMYFUNCTION("""COMPUTED_VALUE"""),"0x435ce752ed189b6594d2512db33cfd8a2bbc9d43")</f>
        <v>0x435ce752ed189b6594d2512db33cfd8a2bbc9d43</v>
      </c>
      <c r="J3992" s="18">
        <v>48.3641275995966</v>
      </c>
      <c r="K3992" s="4">
        <v>604.5515949949574</v>
      </c>
      <c r="L3992" s="19">
        <v>6.045515949949574E20</v>
      </c>
      <c r="M3992" s="20">
        <v>6.045515949949574E19</v>
      </c>
    </row>
    <row r="3993">
      <c r="A3993" s="6"/>
      <c r="B3993" s="6"/>
      <c r="C3993" s="4"/>
      <c r="D3993" s="4">
        <v>48.3641275995966</v>
      </c>
      <c r="E3993" s="4" t="s">
        <v>6023</v>
      </c>
      <c r="F3993" s="4"/>
      <c r="G3993" s="4"/>
      <c r="H3993" s="4"/>
      <c r="I3993" s="4" t="str">
        <f>IFERROR(__xludf.DUMMYFUNCTION("""COMPUTED_VALUE"""),"0xecd21d6e4b6fb5c507e357856ffef91c827e85c8")</f>
        <v>0xecd21d6e4b6fb5c507e357856ffef91c827e85c8</v>
      </c>
      <c r="J3993" s="18">
        <v>0.143182907129633</v>
      </c>
      <c r="K3993" s="4">
        <v>1.7897863391204125</v>
      </c>
      <c r="L3993" s="19">
        <v>1.7897863391204124E18</v>
      </c>
      <c r="M3993" s="20">
        <v>1.7897863391204125E17</v>
      </c>
    </row>
    <row r="3994">
      <c r="A3994" s="6"/>
      <c r="B3994" s="6"/>
      <c r="C3994" s="4"/>
      <c r="D3994" s="4">
        <v>10.4466515615128</v>
      </c>
      <c r="E3994" s="4" t="s">
        <v>6024</v>
      </c>
      <c r="F3994" s="4"/>
      <c r="G3994" s="4"/>
      <c r="H3994" s="4"/>
      <c r="I3994" s="4" t="str">
        <f>IFERROR(__xludf.DUMMYFUNCTION("""COMPUTED_VALUE"""),"0xa2dcb52f5cf34a84a2ebfb7d937f7051ae4c697b")</f>
        <v>0xa2dcb52f5cf34a84a2ebfb7d937f7051ae4c697b</v>
      </c>
      <c r="J3994" s="18">
        <v>125.2252483184163</v>
      </c>
      <c r="K3994" s="4">
        <v>1565.3156039802038</v>
      </c>
      <c r="L3994" s="19">
        <v>1.5653156039802039E21</v>
      </c>
      <c r="M3994" s="20">
        <v>1.5653156039802038E20</v>
      </c>
    </row>
    <row r="3995">
      <c r="A3995" s="6"/>
      <c r="B3995" s="6"/>
      <c r="C3995" s="4"/>
      <c r="D3995" s="4">
        <v>7.66139998892385</v>
      </c>
      <c r="E3995" s="4" t="s">
        <v>6026</v>
      </c>
      <c r="F3995" s="4"/>
      <c r="G3995" s="4"/>
      <c r="H3995" s="4"/>
      <c r="I3995" s="4" t="str">
        <f>IFERROR(__xludf.DUMMYFUNCTION("""COMPUTED_VALUE"""),"0xef91e857b2f957e6495f5010fba8c3e67c3e65e8")</f>
        <v>0xef91e857b2f957e6495f5010fba8c3e67c3e65e8</v>
      </c>
      <c r="J3995" s="18">
        <v>155.7125037163716</v>
      </c>
      <c r="K3995" s="4">
        <v>1946.406296454645</v>
      </c>
      <c r="L3995" s="19">
        <v>1.946406296454645E21</v>
      </c>
      <c r="M3995" s="20">
        <v>1.946406296454645E20</v>
      </c>
    </row>
    <row r="3996">
      <c r="A3996" s="6"/>
      <c r="B3996" s="6"/>
      <c r="C3996" s="4"/>
      <c r="D3996" s="4">
        <v>47.8994232936907</v>
      </c>
      <c r="E3996" s="4" t="s">
        <v>6028</v>
      </c>
      <c r="F3996" s="4"/>
      <c r="G3996" s="4"/>
      <c r="H3996" s="4"/>
      <c r="I3996" s="4" t="str">
        <f>IFERROR(__xludf.DUMMYFUNCTION("""COMPUTED_VALUE"""),"0x6cca55161a068bff9453cb952156335fc408316b")</f>
        <v>0x6cca55161a068bff9453cb952156335fc408316b</v>
      </c>
      <c r="J3996" s="18">
        <v>14.3902382827879</v>
      </c>
      <c r="K3996" s="4">
        <v>179.87797853484875</v>
      </c>
      <c r="L3996" s="19">
        <v>1.7987797853484876E20</v>
      </c>
      <c r="M3996" s="20">
        <v>1.7987797853484876E19</v>
      </c>
    </row>
    <row r="3997">
      <c r="A3997" s="6"/>
      <c r="B3997" s="6"/>
      <c r="C3997" s="4"/>
      <c r="D3997" s="4">
        <v>0.188902943775551</v>
      </c>
      <c r="E3997" s="4" t="s">
        <v>6030</v>
      </c>
      <c r="F3997" s="4"/>
      <c r="G3997" s="4"/>
      <c r="H3997" s="4"/>
      <c r="I3997" s="4" t="str">
        <f>IFERROR(__xludf.DUMMYFUNCTION("""COMPUTED_VALUE"""),"0xba031b684fd253dcc9241375c9f5996ffb94016c")</f>
        <v>0xba031b684fd253dcc9241375c9f5996ffb94016c</v>
      </c>
      <c r="J3997" s="18">
        <v>21.3397644531016</v>
      </c>
      <c r="K3997" s="4">
        <v>266.74705566377</v>
      </c>
      <c r="L3997" s="19">
        <v>2.6674705566377004E20</v>
      </c>
      <c r="M3997" s="20">
        <v>2.6674705566377005E19</v>
      </c>
    </row>
    <row r="3998">
      <c r="A3998" s="6"/>
      <c r="B3998" s="6"/>
      <c r="C3998" s="4"/>
      <c r="D3998" s="4">
        <v>48.3641275995966</v>
      </c>
      <c r="E3998" s="4" t="s">
        <v>6032</v>
      </c>
      <c r="F3998" s="4"/>
      <c r="G3998" s="4"/>
      <c r="H3998" s="4"/>
      <c r="I3998" s="4" t="str">
        <f>IFERROR(__xludf.DUMMYFUNCTION("""COMPUTED_VALUE"""),"0x3da2b77daccc687fa15e3b405c000d0994f2d5c3")</f>
        <v>0x3da2b77daccc687fa15e3b405c000d0994f2d5c3</v>
      </c>
      <c r="J3998" s="18">
        <v>24.23290124171289</v>
      </c>
      <c r="K3998" s="4">
        <v>302.9112655214111</v>
      </c>
      <c r="L3998" s="19">
        <v>3.029112655214111E20</v>
      </c>
      <c r="M3998" s="20">
        <v>3.029112655214111E19</v>
      </c>
    </row>
    <row r="3999">
      <c r="A3999" s="6"/>
      <c r="B3999" s="6"/>
      <c r="C3999" s="4"/>
      <c r="D3999" s="4">
        <v>48.3641275995966</v>
      </c>
      <c r="E3999" s="4" t="s">
        <v>6033</v>
      </c>
      <c r="F3999" s="4"/>
      <c r="G3999" s="4"/>
      <c r="H3999" s="4"/>
      <c r="I3999" s="4" t="str">
        <f>IFERROR(__xludf.DUMMYFUNCTION("""COMPUTED_VALUE"""),"0x1954412daf4759936f4f0d42e1d2d4449a1a22c1")</f>
        <v>0x1954412daf4759936f4f0d42e1d2d4449a1a22c1</v>
      </c>
      <c r="J3999" s="18">
        <v>225.1741028642486</v>
      </c>
      <c r="K3999" s="4">
        <v>2814.6762858031075</v>
      </c>
      <c r="L3999" s="19">
        <v>2.8146762858031077E21</v>
      </c>
      <c r="M3999" s="20">
        <v>2.8146762858031078E20</v>
      </c>
    </row>
    <row r="4000">
      <c r="A4000" s="6"/>
      <c r="B4000" s="6"/>
      <c r="C4000" s="4"/>
      <c r="D4000" s="4">
        <v>48.3641275995966</v>
      </c>
      <c r="E4000" s="4" t="s">
        <v>6034</v>
      </c>
      <c r="F4000" s="4"/>
      <c r="G4000" s="4"/>
      <c r="H4000" s="4"/>
      <c r="I4000" s="4" t="str">
        <f>IFERROR(__xludf.DUMMYFUNCTION("""COMPUTED_VALUE"""),"0x95a7a87882d9c0c82afd69fb7b2cd3f419185b37")</f>
        <v>0x95a7a87882d9c0c82afd69fb7b2cd3f419185b37</v>
      </c>
      <c r="J4000" s="18">
        <v>57.66472560997164</v>
      </c>
      <c r="K4000" s="4">
        <v>720.8090701246455</v>
      </c>
      <c r="L4000" s="19">
        <v>7.208090701246455E20</v>
      </c>
      <c r="M4000" s="20">
        <v>7.208090701246455E19</v>
      </c>
    </row>
    <row r="4001">
      <c r="A4001" s="6"/>
      <c r="B4001" s="6"/>
      <c r="C4001" s="2"/>
      <c r="D4001" s="4">
        <v>9.86628203031772</v>
      </c>
      <c r="E4001" s="4" t="s">
        <v>6035</v>
      </c>
      <c r="F4001" s="4"/>
      <c r="G4001" s="4"/>
      <c r="H4001" s="4"/>
      <c r="I4001" s="4" t="str">
        <f>IFERROR(__xludf.DUMMYFUNCTION("""COMPUTED_VALUE"""),"0x581150eabfbcdc58767703cb746fe39105f7f378")</f>
        <v>0x581150eabfbcdc58767703cb746fe39105f7f378</v>
      </c>
      <c r="J4001" s="18">
        <v>48.3641275995966</v>
      </c>
      <c r="K4001" s="4">
        <v>604.5515949949574</v>
      </c>
      <c r="L4001" s="19">
        <v>6.045515949949574E20</v>
      </c>
      <c r="M4001" s="20">
        <v>6.045515949949574E19</v>
      </c>
    </row>
    <row r="4002">
      <c r="A4002" s="6"/>
      <c r="B4002" s="6"/>
      <c r="C4002" s="4"/>
      <c r="D4002" s="4">
        <v>48.3641275995966</v>
      </c>
      <c r="E4002" s="4" t="s">
        <v>6036</v>
      </c>
      <c r="F4002" s="4"/>
      <c r="G4002" s="4"/>
      <c r="H4002" s="4"/>
      <c r="I4002" s="4" t="str">
        <f>IFERROR(__xludf.DUMMYFUNCTION("""COMPUTED_VALUE"""),"0x43634d29b94268bad0eb63d54e1c92362048d2dc")</f>
        <v>0x43634d29b94268bad0eb63d54e1c92362048d2dc</v>
      </c>
      <c r="J4002" s="18">
        <v>67.1408427710649</v>
      </c>
      <c r="K4002" s="4">
        <v>839.2605346383112</v>
      </c>
      <c r="L4002" s="19">
        <v>8.392605346383112E20</v>
      </c>
      <c r="M4002" s="20">
        <v>8.392605346383113E19</v>
      </c>
    </row>
    <row r="4003">
      <c r="A4003" s="6"/>
      <c r="B4003" s="6"/>
      <c r="C4003" s="4"/>
      <c r="D4003" s="4">
        <v>47.9234879716214</v>
      </c>
      <c r="E4003" s="4" t="s">
        <v>6037</v>
      </c>
      <c r="F4003" s="4"/>
      <c r="G4003" s="4"/>
      <c r="H4003" s="4"/>
      <c r="I4003" s="4" t="str">
        <f>IFERROR(__xludf.DUMMYFUNCTION("""COMPUTED_VALUE"""),"0xf36549e81b6330e8c7ea7be526c7d6711af9289e")</f>
        <v>0xf36549e81b6330e8c7ea7be526c7d6711af9289e</v>
      </c>
      <c r="J4003" s="18">
        <v>48.1980845616172</v>
      </c>
      <c r="K4003" s="4">
        <v>602.476057020215</v>
      </c>
      <c r="L4003" s="19">
        <v>6.02476057020215E20</v>
      </c>
      <c r="M4003" s="20">
        <v>6.02476057020215E19</v>
      </c>
    </row>
    <row r="4004">
      <c r="A4004" s="6"/>
      <c r="B4004" s="6"/>
      <c r="C4004" s="4"/>
      <c r="D4004" s="4">
        <v>48.3641275995966</v>
      </c>
      <c r="E4004" s="4" t="s">
        <v>6039</v>
      </c>
      <c r="F4004" s="4"/>
      <c r="G4004" s="4"/>
      <c r="H4004" s="4"/>
      <c r="I4004" s="4" t="str">
        <f>IFERROR(__xludf.DUMMYFUNCTION("""COMPUTED_VALUE"""),"0x24689e26a73a8b5ec20d5d62e7c211b03b1fb18f")</f>
        <v>0x24689e26a73a8b5ec20d5d62e7c211b03b1fb18f</v>
      </c>
      <c r="J4004" s="18">
        <v>2.708058805872</v>
      </c>
      <c r="K4004" s="4">
        <v>33.8507350734</v>
      </c>
      <c r="L4004" s="19">
        <v>3.3850735073400005E19</v>
      </c>
      <c r="M4004" s="20">
        <v>3.385073507340001E18</v>
      </c>
    </row>
    <row r="4005">
      <c r="A4005" s="6"/>
      <c r="B4005" s="6"/>
      <c r="C4005" s="4"/>
      <c r="D4005" s="4">
        <v>19.3456510398386</v>
      </c>
      <c r="E4005" s="4" t="s">
        <v>6040</v>
      </c>
      <c r="F4005" s="4"/>
      <c r="G4005" s="4"/>
      <c r="H4005" s="4"/>
      <c r="I4005" s="4" t="str">
        <f>IFERROR(__xludf.DUMMYFUNCTION("""COMPUTED_VALUE"""),"0xe60185835369d6c43ff6a6006bd2d5853772f6f5")</f>
        <v>0xe60185835369d6c43ff6a6006bd2d5853772f6f5</v>
      </c>
      <c r="J4005" s="18">
        <v>10.2224875906898</v>
      </c>
      <c r="K4005" s="4">
        <v>127.7810948836225</v>
      </c>
      <c r="L4005" s="19">
        <v>1.277810948836225E20</v>
      </c>
      <c r="M4005" s="20">
        <v>1.277810948836225E19</v>
      </c>
    </row>
    <row r="4006">
      <c r="A4006" s="6"/>
      <c r="B4006" s="6"/>
      <c r="C4006" s="4"/>
      <c r="D4006" s="4">
        <v>41.2913535219002</v>
      </c>
      <c r="E4006" s="4" t="s">
        <v>1039</v>
      </c>
      <c r="F4006" s="4"/>
      <c r="G4006" s="4"/>
      <c r="H4006" s="4"/>
      <c r="I4006" s="4" t="str">
        <f>IFERROR(__xludf.DUMMYFUNCTION("""COMPUTED_VALUE"""),"0x03509690b1c3197def9d6076ab0095a4670b2d23")</f>
        <v>0x03509690b1c3197def9d6076ab0095a4670b2d23</v>
      </c>
      <c r="J4006" s="18">
        <v>15.141729226449701</v>
      </c>
      <c r="K4006" s="4">
        <v>189.27161533062127</v>
      </c>
      <c r="L4006" s="19">
        <v>1.8927161533062126E20</v>
      </c>
      <c r="M4006" s="20">
        <v>1.8927161533062128E19</v>
      </c>
    </row>
    <row r="4007">
      <c r="A4007" s="6"/>
      <c r="B4007" s="6"/>
      <c r="C4007" s="4"/>
      <c r="D4007" s="4">
        <v>9.672825519919328</v>
      </c>
      <c r="E4007" s="4" t="s">
        <v>6042</v>
      </c>
      <c r="F4007" s="4"/>
      <c r="G4007" s="4"/>
      <c r="H4007" s="4"/>
      <c r="I4007" s="4" t="str">
        <f>IFERROR(__xludf.DUMMYFUNCTION("""COMPUTED_VALUE"""),"0x678abc4f0e7519937bd79f6cd954007fa097ac24")</f>
        <v>0x678abc4f0e7519937bd79f6cd954007fa097ac24</v>
      </c>
      <c r="J4007" s="18">
        <v>19.444287855524202</v>
      </c>
      <c r="K4007" s="4">
        <v>243.0535981940525</v>
      </c>
      <c r="L4007" s="19">
        <v>2.430535981940525E20</v>
      </c>
      <c r="M4007" s="20">
        <v>2.430535981940525E19</v>
      </c>
    </row>
    <row r="4008">
      <c r="A4008" s="6"/>
      <c r="B4008" s="6"/>
      <c r="C4008" s="4"/>
      <c r="D4008" s="4">
        <v>48.3641275995966</v>
      </c>
      <c r="E4008" s="4" t="s">
        <v>6043</v>
      </c>
      <c r="F4008" s="4"/>
      <c r="G4008" s="4"/>
      <c r="H4008" s="4"/>
      <c r="I4008" s="4" t="str">
        <f>IFERROR(__xludf.DUMMYFUNCTION("""COMPUTED_VALUE"""),"0x241bb606ed99d0db0b6cdc108c14467b0fdbc6c8")</f>
        <v>0x241bb606ed99d0db0b6cdc108c14467b0fdbc6c8</v>
      </c>
      <c r="J4008" s="18">
        <v>39.29126000553637</v>
      </c>
      <c r="K4008" s="4">
        <v>491.14075006920467</v>
      </c>
      <c r="L4008" s="19">
        <v>4.9114075006920465E20</v>
      </c>
      <c r="M4008" s="20">
        <v>4.911407500692047E19</v>
      </c>
    </row>
    <row r="4009">
      <c r="A4009" s="6"/>
      <c r="B4009" s="6"/>
      <c r="C4009" s="4"/>
      <c r="D4009" s="4">
        <v>19.5173570682069</v>
      </c>
      <c r="E4009" s="4" t="s">
        <v>6044</v>
      </c>
      <c r="F4009" s="4"/>
      <c r="G4009" s="4"/>
      <c r="H4009" s="4"/>
      <c r="I4009" s="4" t="str">
        <f>IFERROR(__xludf.DUMMYFUNCTION("""COMPUTED_VALUE"""),"0xb68afbba9abc58b3cd4fc884115b7dce298dfab5")</f>
        <v>0xb68afbba9abc58b3cd4fc884115b7dce298dfab5</v>
      </c>
      <c r="J4009" s="18">
        <v>113.6645129442457</v>
      </c>
      <c r="K4009" s="4">
        <v>1420.8064118030711</v>
      </c>
      <c r="L4009" s="19">
        <v>1.420806411803071E21</v>
      </c>
      <c r="M4009" s="20">
        <v>1.4208064118030711E20</v>
      </c>
    </row>
    <row r="4010">
      <c r="A4010" s="6"/>
      <c r="B4010" s="6"/>
      <c r="C4010" s="4"/>
      <c r="D4010" s="4">
        <v>48.3641275995966</v>
      </c>
      <c r="E4010" s="4" t="s">
        <v>1125</v>
      </c>
      <c r="F4010" s="4"/>
      <c r="G4010" s="4"/>
      <c r="H4010" s="4"/>
      <c r="I4010" s="4" t="str">
        <f>IFERROR(__xludf.DUMMYFUNCTION("""COMPUTED_VALUE"""),"0xc068a2f22f7c7f95c60281ae938b6970dccb5a99")</f>
        <v>0xc068a2f22f7c7f95c60281ae938b6970dccb5a99</v>
      </c>
      <c r="J4010" s="18">
        <v>48.3641275995966</v>
      </c>
      <c r="K4010" s="4">
        <v>604.5515949949574</v>
      </c>
      <c r="L4010" s="19">
        <v>6.045515949949574E20</v>
      </c>
      <c r="M4010" s="20">
        <v>6.045515949949574E19</v>
      </c>
    </row>
    <row r="4011">
      <c r="A4011" s="6"/>
      <c r="B4011" s="6"/>
      <c r="C4011" s="4"/>
      <c r="D4011" s="4">
        <v>7.14819331441012</v>
      </c>
      <c r="E4011" s="4" t="s">
        <v>6046</v>
      </c>
      <c r="F4011" s="4"/>
      <c r="G4011" s="4"/>
      <c r="H4011" s="4"/>
      <c r="I4011" s="4" t="str">
        <f>IFERROR(__xludf.DUMMYFUNCTION("""COMPUTED_VALUE"""),"0x3fd66de4e45918dc265703adf309406d43a087dd")</f>
        <v>0x3fd66de4e45918dc265703adf309406d43a087dd</v>
      </c>
      <c r="J4011" s="18">
        <v>13.1586510538596</v>
      </c>
      <c r="K4011" s="4">
        <v>164.483138173245</v>
      </c>
      <c r="L4011" s="19">
        <v>1.64483138173245E20</v>
      </c>
      <c r="M4011" s="20">
        <v>1.64483138173245E19</v>
      </c>
    </row>
    <row r="4012">
      <c r="A4012" s="6"/>
      <c r="B4012" s="6"/>
      <c r="C4012" s="4"/>
      <c r="D4012" s="4">
        <v>48.3641275995966</v>
      </c>
      <c r="E4012" s="4" t="s">
        <v>6048</v>
      </c>
      <c r="F4012" s="4"/>
      <c r="G4012" s="4"/>
      <c r="H4012" s="4"/>
      <c r="I4012" s="4" t="str">
        <f>IFERROR(__xludf.DUMMYFUNCTION("""COMPUTED_VALUE"""),"0x67e08249a596d880b2f9357b5de687ba22082272")</f>
        <v>0x67e08249a596d880b2f9357b5de687ba22082272</v>
      </c>
      <c r="J4012" s="18">
        <v>15.6796151343628</v>
      </c>
      <c r="K4012" s="4">
        <v>195.995189179535</v>
      </c>
      <c r="L4012" s="19">
        <v>1.95995189179535E20</v>
      </c>
      <c r="M4012" s="20">
        <v>1.95995189179535E19</v>
      </c>
    </row>
    <row r="4013">
      <c r="A4013" s="6"/>
      <c r="B4013" s="6"/>
      <c r="C4013" s="4"/>
      <c r="D4013" s="4">
        <v>48.3641275995966</v>
      </c>
      <c r="E4013" s="4" t="s">
        <v>6049</v>
      </c>
      <c r="F4013" s="4"/>
      <c r="G4013" s="4"/>
      <c r="H4013" s="4"/>
      <c r="I4013" s="4" t="str">
        <f>IFERROR(__xludf.DUMMYFUNCTION("""COMPUTED_VALUE"""),"0x7b2c49875cbba21323ec1d60ad670a11839dc3fe")</f>
        <v>0x7b2c49875cbba21323ec1d60ad670a11839dc3fe</v>
      </c>
      <c r="J4013" s="18">
        <v>1.62477260921534</v>
      </c>
      <c r="K4013" s="4">
        <v>20.30965761519175</v>
      </c>
      <c r="L4013" s="19">
        <v>2.030965761519175E19</v>
      </c>
      <c r="M4013" s="20">
        <v>2.030965761519175E18</v>
      </c>
    </row>
    <row r="4014">
      <c r="A4014" s="6"/>
      <c r="B4014" s="6"/>
      <c r="C4014" s="4"/>
      <c r="D4014" s="4">
        <v>48.3641275995966</v>
      </c>
      <c r="E4014" s="4" t="s">
        <v>6050</v>
      </c>
      <c r="F4014" s="4"/>
      <c r="G4014" s="4"/>
      <c r="H4014" s="4"/>
      <c r="I4014" s="4" t="str">
        <f>IFERROR(__xludf.DUMMYFUNCTION("""COMPUTED_VALUE"""),"0x41839df7272e3a61d641564215a16c6d637f747c")</f>
        <v>0x41839df7272e3a61d641564215a16c6d637f747c</v>
      </c>
      <c r="J4014" s="18">
        <v>48.3641275995966</v>
      </c>
      <c r="K4014" s="4">
        <v>604.5515949949574</v>
      </c>
      <c r="L4014" s="19">
        <v>6.045515949949574E20</v>
      </c>
      <c r="M4014" s="20">
        <v>6.045515949949574E19</v>
      </c>
    </row>
    <row r="4015">
      <c r="A4015" s="6"/>
      <c r="B4015" s="6"/>
      <c r="C4015" s="4"/>
      <c r="D4015" s="4">
        <v>24.8284514690982</v>
      </c>
      <c r="E4015" s="4" t="s">
        <v>6051</v>
      </c>
      <c r="F4015" s="4"/>
      <c r="G4015" s="4"/>
      <c r="H4015" s="4"/>
      <c r="I4015" s="4" t="str">
        <f>IFERROR(__xludf.DUMMYFUNCTION("""COMPUTED_VALUE"""),"0x553191ca30b888d10c06fea785b2fb9ceabaa513")</f>
        <v>0x553191ca30b888d10c06fea785b2fb9ceabaa513</v>
      </c>
      <c r="J4015" s="18">
        <v>9.672825519919328</v>
      </c>
      <c r="K4015" s="4">
        <v>120.9103189989916</v>
      </c>
      <c r="L4015" s="19">
        <v>1.209103189989916E20</v>
      </c>
      <c r="M4015" s="20">
        <v>1.209103189989916E19</v>
      </c>
    </row>
    <row r="4016">
      <c r="A4016" s="6"/>
      <c r="B4016" s="6"/>
      <c r="C4016" s="4"/>
      <c r="D4016" s="4">
        <v>48.3641275995966</v>
      </c>
      <c r="E4016" s="4" t="s">
        <v>6053</v>
      </c>
      <c r="F4016" s="4"/>
      <c r="G4016" s="4"/>
      <c r="H4016" s="4"/>
      <c r="I4016" s="4" t="str">
        <f>IFERROR(__xludf.DUMMYFUNCTION("""COMPUTED_VALUE"""),"0xe22842c1140da9ce8199366690d5adfd7731f2bb")</f>
        <v>0xe22842c1140da9ce8199366690d5adfd7731f2bb</v>
      </c>
      <c r="J4016" s="18">
        <v>18.8650822557488</v>
      </c>
      <c r="K4016" s="4">
        <v>235.81352819685998</v>
      </c>
      <c r="L4016" s="19">
        <v>2.3581352819686E20</v>
      </c>
      <c r="M4016" s="20">
        <v>2.3581352819686E19</v>
      </c>
    </row>
    <row r="4017">
      <c r="A4017" s="6"/>
      <c r="B4017" s="6"/>
      <c r="C4017" s="4"/>
      <c r="D4017" s="4">
        <v>9.750927185097119</v>
      </c>
      <c r="E4017" s="4" t="s">
        <v>6054</v>
      </c>
      <c r="F4017" s="4"/>
      <c r="G4017" s="4"/>
      <c r="H4017" s="4"/>
      <c r="I4017" s="4" t="str">
        <f>IFERROR(__xludf.DUMMYFUNCTION("""COMPUTED_VALUE"""),"0x27b27395f2377ccf2eba37ebe75e1b92271ff034")</f>
        <v>0x27b27395f2377ccf2eba37ebe75e1b92271ff034</v>
      </c>
      <c r="J4017" s="18">
        <v>6.30669908025542</v>
      </c>
      <c r="K4017" s="4">
        <v>78.83373850319275</v>
      </c>
      <c r="L4017" s="19">
        <v>7.883373850319276E19</v>
      </c>
      <c r="M4017" s="20">
        <v>7.883373850319276E18</v>
      </c>
    </row>
    <row r="4018">
      <c r="A4018" s="6"/>
      <c r="B4018" s="6"/>
      <c r="C4018" s="4"/>
      <c r="D4018" s="4">
        <v>1.4270593636795899</v>
      </c>
      <c r="E4018" s="4" t="s">
        <v>6056</v>
      </c>
      <c r="F4018" s="4"/>
      <c r="G4018" s="4"/>
      <c r="H4018" s="4"/>
      <c r="I4018" s="4" t="str">
        <f>IFERROR(__xludf.DUMMYFUNCTION("""COMPUTED_VALUE"""),"0xad7654ed9d7c6be18587180ee7fcd667aa70aa8c")</f>
        <v>0xad7654ed9d7c6be18587180ee7fcd667aa70aa8c</v>
      </c>
      <c r="J4018" s="18">
        <v>11.1234473503001</v>
      </c>
      <c r="K4018" s="4">
        <v>139.04309187875126</v>
      </c>
      <c r="L4018" s="19">
        <v>1.3904309187875126E20</v>
      </c>
      <c r="M4018" s="20">
        <v>1.3904309187875127E19</v>
      </c>
    </row>
    <row r="4019">
      <c r="A4019" s="6"/>
      <c r="B4019" s="6"/>
      <c r="C4019" s="4"/>
      <c r="D4019" s="4">
        <v>48.3641275995966</v>
      </c>
      <c r="E4019" s="4" t="s">
        <v>6058</v>
      </c>
      <c r="F4019" s="4"/>
      <c r="G4019" s="4"/>
      <c r="H4019" s="4"/>
      <c r="I4019" s="4" t="str">
        <f>IFERROR(__xludf.DUMMYFUNCTION("""COMPUTED_VALUE"""),"0x5e6c8752b0528608d9a9b740b34bb0e6df6c6104")</f>
        <v>0x5e6c8752b0528608d9a9b740b34bb0e6df6c6104</v>
      </c>
      <c r="J4019" s="18">
        <v>12.8503183334425</v>
      </c>
      <c r="K4019" s="4">
        <v>160.62897916803124</v>
      </c>
      <c r="L4019" s="19">
        <v>1.6062897916803124E20</v>
      </c>
      <c r="M4019" s="20">
        <v>1.6062897916803125E19</v>
      </c>
    </row>
    <row r="4020">
      <c r="A4020" s="6"/>
      <c r="B4020" s="6"/>
      <c r="C4020" s="4"/>
      <c r="D4020" s="4">
        <v>43.2292625303078</v>
      </c>
      <c r="E4020" s="4" t="s">
        <v>6059</v>
      </c>
      <c r="F4020" s="4"/>
      <c r="G4020" s="4"/>
      <c r="H4020" s="4"/>
      <c r="I4020" s="4" t="str">
        <f>IFERROR(__xludf.DUMMYFUNCTION("""COMPUTED_VALUE"""),"0xca9a984be4c967b60afee23b2234edaf18de3907")</f>
        <v>0xca9a984be4c967b60afee23b2234edaf18de3907</v>
      </c>
      <c r="J4020" s="18">
        <v>9.672825519919328</v>
      </c>
      <c r="K4020" s="4">
        <v>120.9103189989916</v>
      </c>
      <c r="L4020" s="19">
        <v>1.209103189989916E20</v>
      </c>
      <c r="M4020" s="20">
        <v>1.209103189989916E19</v>
      </c>
    </row>
    <row r="4021">
      <c r="A4021" s="6"/>
      <c r="B4021" s="6"/>
      <c r="C4021" s="4"/>
      <c r="D4021" s="4">
        <v>9.75812995092784</v>
      </c>
      <c r="E4021" s="4" t="s">
        <v>6061</v>
      </c>
      <c r="F4021" s="4"/>
      <c r="G4021" s="4"/>
      <c r="H4021" s="4"/>
      <c r="I4021" s="4" t="str">
        <f>IFERROR(__xludf.DUMMYFUNCTION("""COMPUTED_VALUE"""),"0x5aca354fddf44c90660cb8475f6e47fe226c57a6")</f>
        <v>0x5aca354fddf44c90660cb8475f6e47fe226c57a6</v>
      </c>
      <c r="J4021" s="18">
        <v>48.3641275995966</v>
      </c>
      <c r="K4021" s="4">
        <v>604.5515949949574</v>
      </c>
      <c r="L4021" s="19">
        <v>6.045515949949574E20</v>
      </c>
      <c r="M4021" s="20">
        <v>6.045515949949574E19</v>
      </c>
    </row>
    <row r="4022">
      <c r="A4022" s="6"/>
      <c r="B4022" s="6"/>
      <c r="C4022" s="4"/>
      <c r="D4022" s="4">
        <v>3.3099897044073</v>
      </c>
      <c r="E4022" s="4" t="s">
        <v>6063</v>
      </c>
      <c r="F4022" s="4"/>
      <c r="G4022" s="4"/>
      <c r="H4022" s="4"/>
      <c r="I4022" s="4" t="str">
        <f>IFERROR(__xludf.DUMMYFUNCTION("""COMPUTED_VALUE"""),"0x71a8f1ec5c643e1abc52cb2537f8a42379afef98")</f>
        <v>0x71a8f1ec5c643e1abc52cb2537f8a42379afef98</v>
      </c>
      <c r="J4022" s="18">
        <v>47.23590786293996</v>
      </c>
      <c r="K4022" s="4">
        <v>590.4488482867495</v>
      </c>
      <c r="L4022" s="19">
        <v>5.904488482867494E20</v>
      </c>
      <c r="M4022" s="20">
        <v>5.904488482867495E19</v>
      </c>
    </row>
    <row r="4023">
      <c r="A4023" s="6"/>
      <c r="B4023" s="6"/>
      <c r="C4023" s="4"/>
      <c r="D4023" s="4">
        <v>19.3456510398386</v>
      </c>
      <c r="E4023" s="4" t="s">
        <v>6065</v>
      </c>
      <c r="F4023" s="4"/>
      <c r="G4023" s="4"/>
      <c r="H4023" s="4"/>
      <c r="I4023" s="4" t="str">
        <f>IFERROR(__xludf.DUMMYFUNCTION("""COMPUTED_VALUE"""),"0xf9696d6c846ef4653b29ed484d170b5eec5f55f3")</f>
        <v>0xf9696d6c846ef4653b29ed484d170b5eec5f55f3</v>
      </c>
      <c r="J4023" s="18">
        <v>45.155423026334496</v>
      </c>
      <c r="K4023" s="4">
        <v>564.4427878291812</v>
      </c>
      <c r="L4023" s="19">
        <v>5.644427878291812E20</v>
      </c>
      <c r="M4023" s="20">
        <v>5.644427878291812E19</v>
      </c>
    </row>
    <row r="4024">
      <c r="A4024" s="6"/>
      <c r="B4024" s="6"/>
      <c r="C4024" s="4"/>
      <c r="D4024" s="4">
        <v>44.6969656552602</v>
      </c>
      <c r="E4024" s="4" t="s">
        <v>6066</v>
      </c>
      <c r="F4024" s="4"/>
      <c r="G4024" s="4"/>
      <c r="H4024" s="4"/>
      <c r="I4024" s="4" t="str">
        <f>IFERROR(__xludf.DUMMYFUNCTION("""COMPUTED_VALUE"""),"0x2c355152395fbfc19e4297479bccdc8e9bc0a174")</f>
        <v>0x2c355152395fbfc19e4297479bccdc8e9bc0a174</v>
      </c>
      <c r="J4024" s="18">
        <v>3.44287462847346</v>
      </c>
      <c r="K4024" s="4">
        <v>43.035932855918254</v>
      </c>
      <c r="L4024" s="19">
        <v>4.303593285591826E19</v>
      </c>
      <c r="M4024" s="20">
        <v>4.303593285591826E18</v>
      </c>
    </row>
    <row r="4025">
      <c r="A4025" s="6"/>
      <c r="B4025" s="6"/>
      <c r="C4025" s="4"/>
      <c r="D4025" s="4">
        <v>9.672825519919328</v>
      </c>
      <c r="E4025" s="4" t="s">
        <v>6068</v>
      </c>
      <c r="F4025" s="4"/>
      <c r="G4025" s="4"/>
      <c r="H4025" s="4"/>
      <c r="I4025" s="4" t="str">
        <f>IFERROR(__xludf.DUMMYFUNCTION("""COMPUTED_VALUE"""),"0xd67a5cf5a16b1e4b133e47175fef86092e433a6b")</f>
        <v>0xd67a5cf5a16b1e4b133e47175fef86092e433a6b</v>
      </c>
      <c r="J4025" s="18">
        <v>9.72543285471477</v>
      </c>
      <c r="K4025" s="4">
        <v>121.56791068393461</v>
      </c>
      <c r="L4025" s="19">
        <v>1.215679106839346E20</v>
      </c>
      <c r="M4025" s="20">
        <v>1.2156791068393462E19</v>
      </c>
    </row>
    <row r="4026">
      <c r="A4026" s="6"/>
      <c r="B4026" s="6"/>
      <c r="C4026" s="4"/>
      <c r="D4026" s="4">
        <v>1.74110859358548</v>
      </c>
      <c r="E4026" s="4" t="s">
        <v>6069</v>
      </c>
      <c r="F4026" s="4"/>
      <c r="G4026" s="4"/>
      <c r="H4026" s="4"/>
      <c r="I4026" s="4" t="str">
        <f>IFERROR(__xludf.DUMMYFUNCTION("""COMPUTED_VALUE"""),"0xc0f12746a4c3b64e5fb29aa58caf734621510e54")</f>
        <v>0xc0f12746a4c3b64e5fb29aa58caf734621510e54</v>
      </c>
      <c r="J4026" s="18">
        <v>10.3421323208734</v>
      </c>
      <c r="K4026" s="4">
        <v>129.2766540109175</v>
      </c>
      <c r="L4026" s="19">
        <v>1.292766540109175E20</v>
      </c>
      <c r="M4026" s="20">
        <v>1.2927665401091752E19</v>
      </c>
    </row>
    <row r="4027">
      <c r="A4027" s="6"/>
      <c r="B4027" s="6"/>
      <c r="C4027" s="4"/>
      <c r="D4027" s="4">
        <v>48.332634584636</v>
      </c>
      <c r="E4027" s="4" t="s">
        <v>6070</v>
      </c>
      <c r="F4027" s="4"/>
      <c r="G4027" s="4"/>
      <c r="H4027" s="4"/>
      <c r="I4027" s="4" t="str">
        <f>IFERROR(__xludf.DUMMYFUNCTION("""COMPUTED_VALUE"""),"0x382e3c3a1a9928be6819836afcec033f7d2ea742")</f>
        <v>0x382e3c3a1a9928be6819836afcec033f7d2ea742</v>
      </c>
      <c r="J4027" s="18">
        <v>7.6609340774414205</v>
      </c>
      <c r="K4027" s="4">
        <v>95.76167596801776</v>
      </c>
      <c r="L4027" s="19">
        <v>9.576167596801776E19</v>
      </c>
      <c r="M4027" s="20">
        <v>9.576167596801776E18</v>
      </c>
    </row>
    <row r="4028">
      <c r="A4028" s="6"/>
      <c r="B4028" s="6"/>
      <c r="C4028" s="4"/>
      <c r="D4028" s="4">
        <v>48.3641275995966</v>
      </c>
      <c r="E4028" s="4" t="s">
        <v>6072</v>
      </c>
      <c r="F4028" s="4"/>
      <c r="G4028" s="4"/>
      <c r="H4028" s="4"/>
      <c r="I4028" s="4" t="str">
        <f>IFERROR(__xludf.DUMMYFUNCTION("""COMPUTED_VALUE"""),"0xf9e11f3d963573383c92cbe9acfac4687acb4fae")</f>
        <v>0xf9e11f3d963573383c92cbe9acfac4687acb4fae</v>
      </c>
      <c r="J4028" s="18">
        <v>200.8827065571426</v>
      </c>
      <c r="K4028" s="4">
        <v>2511.0338319642824</v>
      </c>
      <c r="L4028" s="19">
        <v>2.5110338319642825E21</v>
      </c>
      <c r="M4028" s="20">
        <v>2.5110338319642827E20</v>
      </c>
    </row>
    <row r="4029">
      <c r="A4029" s="6"/>
      <c r="B4029" s="6"/>
      <c r="C4029" s="4"/>
      <c r="D4029" s="4">
        <v>5.951396860504129</v>
      </c>
      <c r="E4029" s="4" t="s">
        <v>6073</v>
      </c>
      <c r="F4029" s="4"/>
      <c r="G4029" s="4"/>
      <c r="H4029" s="4"/>
      <c r="I4029" s="4" t="str">
        <f>IFERROR(__xludf.DUMMYFUNCTION("""COMPUTED_VALUE"""),"0x531446861ba46e4d12548afc9489bfad9ff2844a")</f>
        <v>0x531446861ba46e4d12548afc9489bfad9ff2844a</v>
      </c>
      <c r="J4029" s="18">
        <v>46.9964504578552</v>
      </c>
      <c r="K4029" s="4">
        <v>587.45563072319</v>
      </c>
      <c r="L4029" s="19">
        <v>5.8745563072318996E20</v>
      </c>
      <c r="M4029" s="20">
        <v>5.8745563072319E19</v>
      </c>
    </row>
    <row r="4030">
      <c r="A4030" s="6"/>
      <c r="B4030" s="6"/>
      <c r="C4030" s="4"/>
      <c r="D4030" s="4">
        <v>24.9140695904995</v>
      </c>
      <c r="E4030" s="4" t="s">
        <v>6075</v>
      </c>
      <c r="F4030" s="4"/>
      <c r="G4030" s="4"/>
      <c r="H4030" s="4"/>
      <c r="I4030" s="4" t="str">
        <f>IFERROR(__xludf.DUMMYFUNCTION("""COMPUTED_VALUE"""),"0x1c7d53b09f3010ef20a9b49e7cae409d9e32151f")</f>
        <v>0x1c7d53b09f3010ef20a9b49e7cae409d9e32151f</v>
      </c>
      <c r="J4030" s="18">
        <v>113.28276737592701</v>
      </c>
      <c r="K4030" s="4">
        <v>1416.0345921990877</v>
      </c>
      <c r="L4030" s="19">
        <v>1.4160345921990878E21</v>
      </c>
      <c r="M4030" s="20">
        <v>1.4160345921990879E20</v>
      </c>
    </row>
    <row r="4031">
      <c r="A4031" s="6"/>
      <c r="B4031" s="6"/>
      <c r="C4031" s="4"/>
      <c r="D4031" s="4">
        <v>47.854747741353904</v>
      </c>
      <c r="E4031" s="4" t="s">
        <v>6077</v>
      </c>
      <c r="F4031" s="4"/>
      <c r="G4031" s="4"/>
      <c r="H4031" s="4"/>
      <c r="I4031" s="4" t="str">
        <f>IFERROR(__xludf.DUMMYFUNCTION("""COMPUTED_VALUE"""),"0x0d6e94d085a597f316be1833649e05a45103e873")</f>
        <v>0x0d6e94d085a597f316be1833649e05a45103e873</v>
      </c>
      <c r="J4031" s="18">
        <v>95.2569755625077</v>
      </c>
      <c r="K4031" s="4">
        <v>1190.7121945313463</v>
      </c>
      <c r="L4031" s="19">
        <v>1.1907121945313464E21</v>
      </c>
      <c r="M4031" s="20">
        <v>1.1907121945313464E20</v>
      </c>
    </row>
    <row r="4032">
      <c r="A4032" s="6"/>
      <c r="B4032" s="6"/>
      <c r="C4032" s="4"/>
      <c r="D4032" s="4">
        <v>9.672825519919328</v>
      </c>
      <c r="E4032" s="4" t="s">
        <v>6079</v>
      </c>
      <c r="F4032" s="4"/>
      <c r="G4032" s="4"/>
      <c r="H4032" s="4"/>
      <c r="I4032" s="4" t="str">
        <f>IFERROR(__xludf.DUMMYFUNCTION("""COMPUTED_VALUE"""),"0xe376f8a854159ec29b04ca42e2a35cd441683699")</f>
        <v>0xe376f8a854159ec29b04ca42e2a35cd441683699</v>
      </c>
      <c r="J4032" s="18">
        <v>97.3960238156188</v>
      </c>
      <c r="K4032" s="4">
        <v>1217.4502976952351</v>
      </c>
      <c r="L4032" s="19">
        <v>1.2174502976952352E21</v>
      </c>
      <c r="M4032" s="20">
        <v>1.2174502976952353E20</v>
      </c>
    </row>
    <row r="4033">
      <c r="A4033" s="6"/>
      <c r="B4033" s="6"/>
      <c r="C4033" s="4"/>
      <c r="D4033" s="4">
        <v>48.3641275995966</v>
      </c>
      <c r="E4033" s="4" t="s">
        <v>6080</v>
      </c>
      <c r="F4033" s="4"/>
      <c r="G4033" s="4"/>
      <c r="H4033" s="4"/>
      <c r="I4033" s="4" t="str">
        <f>IFERROR(__xludf.DUMMYFUNCTION("""COMPUTED_VALUE"""),"0xef561262d02fe9e54d073708934ace8ced6ec73c")</f>
        <v>0xef561262d02fe9e54d073708934ace8ced6ec73c</v>
      </c>
      <c r="J4033" s="18">
        <v>9.38525169072271</v>
      </c>
      <c r="K4033" s="4">
        <v>117.31564613403387</v>
      </c>
      <c r="L4033" s="19">
        <v>1.1731564613403387E20</v>
      </c>
      <c r="M4033" s="20">
        <v>1.1731564613403388E19</v>
      </c>
    </row>
    <row r="4034">
      <c r="A4034" s="6"/>
      <c r="B4034" s="6"/>
      <c r="C4034" s="4"/>
      <c r="D4034" s="4">
        <v>19.2667465566462</v>
      </c>
      <c r="E4034" s="4" t="s">
        <v>6081</v>
      </c>
      <c r="F4034" s="4"/>
      <c r="G4034" s="4"/>
      <c r="H4034" s="4"/>
      <c r="I4034" s="4" t="str">
        <f>IFERROR(__xludf.DUMMYFUNCTION("""COMPUTED_VALUE"""),"0x0120c580844733f4461a598c7b70c54255dec6b5")</f>
        <v>0x0120c580844733f4461a598c7b70c54255dec6b5</v>
      </c>
      <c r="J4034" s="18">
        <v>10.829394520943401</v>
      </c>
      <c r="K4034" s="4">
        <v>135.36743151179252</v>
      </c>
      <c r="L4034" s="19">
        <v>1.3536743151179252E20</v>
      </c>
      <c r="M4034" s="20">
        <v>1.3536743151179252E19</v>
      </c>
    </row>
    <row r="4035">
      <c r="A4035" s="6"/>
      <c r="B4035" s="6"/>
      <c r="C4035" s="4"/>
      <c r="D4035" s="4">
        <v>48.3641275995966</v>
      </c>
      <c r="E4035" s="4" t="s">
        <v>6083</v>
      </c>
      <c r="F4035" s="4"/>
      <c r="G4035" s="4"/>
      <c r="H4035" s="4"/>
      <c r="I4035" s="4" t="str">
        <f>IFERROR(__xludf.DUMMYFUNCTION("""COMPUTED_VALUE"""),"0x4b3595e2bd02f6fd3adf2f47e3f62217b15f3cd1")</f>
        <v>0x4b3595e2bd02f6fd3adf2f47e3f62217b15f3cd1</v>
      </c>
      <c r="J4035" s="18">
        <v>5.69202705908831</v>
      </c>
      <c r="K4035" s="4">
        <v>71.15033823860387</v>
      </c>
      <c r="L4035" s="19">
        <v>7.115033823860386E19</v>
      </c>
      <c r="M4035" s="20">
        <v>7.115033823860387E18</v>
      </c>
    </row>
    <row r="4036">
      <c r="A4036" s="6"/>
      <c r="B4036" s="6"/>
      <c r="C4036" s="4"/>
      <c r="D4036" s="4">
        <v>11.5850385165028</v>
      </c>
      <c r="E4036" s="4" t="s">
        <v>6084</v>
      </c>
      <c r="F4036" s="4"/>
      <c r="G4036" s="4"/>
      <c r="H4036" s="4"/>
      <c r="I4036" s="4" t="str">
        <f>IFERROR(__xludf.DUMMYFUNCTION("""COMPUTED_VALUE"""),"0x719e62d0ec7dcb8d63bc9c65838a9b489ccd7929")</f>
        <v>0x719e62d0ec7dcb8d63bc9c65838a9b489ccd7929</v>
      </c>
      <c r="J4036" s="18">
        <v>6.43558396792963</v>
      </c>
      <c r="K4036" s="4">
        <v>80.44479959912037</v>
      </c>
      <c r="L4036" s="19">
        <v>8.044479959912037E19</v>
      </c>
      <c r="M4036" s="20">
        <v>8.044479959912037E18</v>
      </c>
    </row>
    <row r="4037">
      <c r="A4037" s="6"/>
      <c r="B4037" s="6"/>
      <c r="C4037" s="4"/>
      <c r="D4037" s="4">
        <v>4.623219812924909</v>
      </c>
      <c r="E4037" s="4" t="s">
        <v>6086</v>
      </c>
      <c r="F4037" s="4"/>
      <c r="G4037" s="4"/>
      <c r="H4037" s="4"/>
      <c r="I4037" s="4" t="str">
        <f>IFERROR(__xludf.DUMMYFUNCTION("""COMPUTED_VALUE"""),"0x23271e551fe63b3c911b3c060ac62fdec232ba0e")</f>
        <v>0x23271e551fe63b3c911b3c060ac62fdec232ba0e</v>
      </c>
      <c r="J4037" s="18">
        <v>94.4887345827699</v>
      </c>
      <c r="K4037" s="4">
        <v>1181.1091822846236</v>
      </c>
      <c r="L4037" s="19">
        <v>1.1811091822846235E21</v>
      </c>
      <c r="M4037" s="20">
        <v>1.1811091822846235E20</v>
      </c>
    </row>
    <row r="4038">
      <c r="A4038" s="6"/>
      <c r="B4038" s="6"/>
      <c r="C4038" s="4"/>
      <c r="D4038" s="4">
        <v>48.3641275995966</v>
      </c>
      <c r="E4038" s="4" t="s">
        <v>6088</v>
      </c>
      <c r="F4038" s="4"/>
      <c r="G4038" s="4"/>
      <c r="H4038" s="4"/>
      <c r="I4038" s="4" t="str">
        <f>IFERROR(__xludf.DUMMYFUNCTION("""COMPUTED_VALUE"""),"0xc05592cf9a093778ae0092f893cd448f945efe4c")</f>
        <v>0xc05592cf9a093778ae0092f893cd448f945efe4c</v>
      </c>
      <c r="J4038" s="18">
        <v>9.672825519919328</v>
      </c>
      <c r="K4038" s="4">
        <v>120.9103189989916</v>
      </c>
      <c r="L4038" s="19">
        <v>1.209103189989916E20</v>
      </c>
      <c r="M4038" s="20">
        <v>1.209103189989916E19</v>
      </c>
    </row>
    <row r="4039">
      <c r="A4039" s="6"/>
      <c r="B4039" s="6"/>
      <c r="C4039" s="4"/>
      <c r="D4039" s="4">
        <v>44.9636690024633</v>
      </c>
      <c r="E4039" s="4" t="s">
        <v>6089</v>
      </c>
      <c r="F4039" s="4"/>
      <c r="G4039" s="4"/>
      <c r="H4039" s="4"/>
      <c r="I4039" s="4" t="str">
        <f>IFERROR(__xludf.DUMMYFUNCTION("""COMPUTED_VALUE"""),"0x39ebba0b14518e53bdf8d36fd71e2cb1c54640e3")</f>
        <v>0x39ebba0b14518e53bdf8d36fd71e2cb1c54640e3</v>
      </c>
      <c r="J4039" s="18">
        <v>64.8431275644871</v>
      </c>
      <c r="K4039" s="4">
        <v>810.5390945560888</v>
      </c>
      <c r="L4039" s="19">
        <v>8.105390945560889E20</v>
      </c>
      <c r="M4039" s="20">
        <v>8.105390945560889E19</v>
      </c>
    </row>
    <row r="4040">
      <c r="A4040" s="6"/>
      <c r="B4040" s="6"/>
      <c r="C4040" s="4"/>
      <c r="D4040" s="4">
        <v>8.71973998510334</v>
      </c>
      <c r="E4040" s="4" t="s">
        <v>6091</v>
      </c>
      <c r="F4040" s="4"/>
      <c r="G4040" s="4"/>
      <c r="H4040" s="4"/>
      <c r="I4040" s="4" t="str">
        <f>IFERROR(__xludf.DUMMYFUNCTION("""COMPUTED_VALUE"""),"0xf8c35cc8d074d17c1cd3466209211941413428f5")</f>
        <v>0xf8c35cc8d074d17c1cd3466209211941413428f5</v>
      </c>
      <c r="J4040" s="18">
        <v>19.3456510398386</v>
      </c>
      <c r="K4040" s="4">
        <v>241.8206379979825</v>
      </c>
      <c r="L4040" s="19">
        <v>2.4182063799798248E20</v>
      </c>
      <c r="M4040" s="20">
        <v>2.418206379979825E19</v>
      </c>
    </row>
    <row r="4041">
      <c r="A4041" s="6"/>
      <c r="B4041" s="6"/>
      <c r="C4041" s="4"/>
      <c r="D4041" s="4">
        <v>48.3641275995966</v>
      </c>
      <c r="E4041" s="4" t="s">
        <v>6093</v>
      </c>
      <c r="F4041" s="4"/>
      <c r="G4041" s="4"/>
      <c r="H4041" s="4"/>
      <c r="I4041" s="4" t="str">
        <f>IFERROR(__xludf.DUMMYFUNCTION("""COMPUTED_VALUE"""),"0x4a9d770768965a89b9c0d9211356f91d65a9b848")</f>
        <v>0x4a9d770768965a89b9c0d9211356f91d65a9b848</v>
      </c>
      <c r="J4041" s="18">
        <v>31.0145579000358</v>
      </c>
      <c r="K4041" s="4">
        <v>387.6819737504475</v>
      </c>
      <c r="L4041" s="19">
        <v>3.8768197375044754E20</v>
      </c>
      <c r="M4041" s="20">
        <v>3.8768197375044755E19</v>
      </c>
    </row>
    <row r="4042">
      <c r="A4042" s="6"/>
      <c r="B4042" s="6"/>
      <c r="C4042" s="4"/>
      <c r="D4042" s="4">
        <v>48.3641275995966</v>
      </c>
      <c r="E4042" s="4" t="s">
        <v>6094</v>
      </c>
      <c r="F4042" s="4"/>
      <c r="G4042" s="4"/>
      <c r="H4042" s="4"/>
      <c r="I4042" s="4" t="str">
        <f>IFERROR(__xludf.DUMMYFUNCTION("""COMPUTED_VALUE"""),"0x5a272a9e198d7d5f828e029555b4e4c49ffb0a0b")</f>
        <v>0x5a272a9e198d7d5f828e029555b4e4c49ffb0a0b</v>
      </c>
      <c r="J4042" s="18">
        <v>53.58214486407337</v>
      </c>
      <c r="K4042" s="4">
        <v>669.7768108009171</v>
      </c>
      <c r="L4042" s="19">
        <v>6.697768108009171E20</v>
      </c>
      <c r="M4042" s="20">
        <v>6.697768108009171E19</v>
      </c>
    </row>
    <row r="4043">
      <c r="A4043" s="6"/>
      <c r="B4043" s="6"/>
      <c r="C4043" s="4"/>
      <c r="D4043" s="4">
        <v>25.0406591871491</v>
      </c>
      <c r="E4043" s="4" t="s">
        <v>6095</v>
      </c>
      <c r="F4043" s="4"/>
      <c r="G4043" s="4"/>
      <c r="H4043" s="4"/>
      <c r="I4043" s="4" t="str">
        <f>IFERROR(__xludf.DUMMYFUNCTION("""COMPUTED_VALUE"""),"0x2dd24caff87f2d4ee625d4b9fcbf83e46246cdd0")</f>
        <v>0x2dd24caff87f2d4ee625d4b9fcbf83e46246cdd0</v>
      </c>
      <c r="J4043" s="18">
        <v>10.0979362063957</v>
      </c>
      <c r="K4043" s="4">
        <v>126.22420257994624</v>
      </c>
      <c r="L4043" s="19">
        <v>1.2622420257994624E20</v>
      </c>
      <c r="M4043" s="20">
        <v>1.2622420257994625E19</v>
      </c>
    </row>
    <row r="4044">
      <c r="A4044" s="6"/>
      <c r="B4044" s="6"/>
      <c r="C4044" s="4"/>
      <c r="D4044" s="4">
        <v>48.3641275995966</v>
      </c>
      <c r="E4044" s="4" t="s">
        <v>6097</v>
      </c>
      <c r="F4044" s="4"/>
      <c r="G4044" s="4"/>
      <c r="H4044" s="4"/>
      <c r="I4044" s="4" t="str">
        <f>IFERROR(__xludf.DUMMYFUNCTION("""COMPUTED_VALUE"""),"0x5652e6d16cdb7385d3d2adc74b4c9feff94339fb")</f>
        <v>0x5652e6d16cdb7385d3d2adc74b4c9feff94339fb</v>
      </c>
      <c r="J4044" s="18">
        <v>9.86628203031772</v>
      </c>
      <c r="K4044" s="4">
        <v>123.32852537897149</v>
      </c>
      <c r="L4044" s="19">
        <v>1.2332852537897148E20</v>
      </c>
      <c r="M4044" s="20">
        <v>1.2332852537897148E19</v>
      </c>
    </row>
    <row r="4045">
      <c r="A4045" s="6"/>
      <c r="B4045" s="6"/>
      <c r="C4045" s="4"/>
      <c r="D4045" s="4">
        <v>48.3641275995966</v>
      </c>
      <c r="E4045" s="4" t="s">
        <v>6098</v>
      </c>
      <c r="F4045" s="4"/>
      <c r="G4045" s="4"/>
      <c r="H4045" s="4"/>
      <c r="I4045" s="4" t="str">
        <f>IFERROR(__xludf.DUMMYFUNCTION("""COMPUTED_VALUE"""),"0x1d9d3dece58a4eda888e653e4d8f286aed3c8142")</f>
        <v>0x1d9d3dece58a4eda888e653e4d8f286aed3c8142</v>
      </c>
      <c r="J4045" s="18">
        <v>10.4448551235834</v>
      </c>
      <c r="K4045" s="4">
        <v>130.5606890447925</v>
      </c>
      <c r="L4045" s="19">
        <v>1.305606890447925E20</v>
      </c>
      <c r="M4045" s="20">
        <v>1.305606890447925E19</v>
      </c>
    </row>
    <row r="4046">
      <c r="A4046" s="6"/>
      <c r="B4046" s="6"/>
      <c r="C4046" s="4"/>
      <c r="D4046" s="4">
        <v>48.3641275995966</v>
      </c>
      <c r="E4046" s="4" t="s">
        <v>6099</v>
      </c>
      <c r="F4046" s="4"/>
      <c r="G4046" s="4"/>
      <c r="H4046" s="4"/>
      <c r="I4046" s="4" t="str">
        <f>IFERROR(__xludf.DUMMYFUNCTION("""COMPUTED_VALUE"""),"0x21cc73b6eebf9ddfadd6ada0f92b053a6503fc8d")</f>
        <v>0x21cc73b6eebf9ddfadd6ada0f92b053a6503fc8d</v>
      </c>
      <c r="J4046" s="18">
        <v>234.37608780709658</v>
      </c>
      <c r="K4046" s="4">
        <v>2929.7010975887074</v>
      </c>
      <c r="L4046" s="19">
        <v>2.9297010975887076E21</v>
      </c>
      <c r="M4046" s="20">
        <v>2.9297010975887078E20</v>
      </c>
    </row>
    <row r="4047">
      <c r="A4047" s="6"/>
      <c r="B4047" s="6"/>
      <c r="C4047" s="4"/>
      <c r="D4047" s="4">
        <v>48.3641275995966</v>
      </c>
      <c r="E4047" s="4" t="s">
        <v>1376</v>
      </c>
      <c r="F4047" s="4"/>
      <c r="G4047" s="4"/>
      <c r="H4047" s="4"/>
      <c r="I4047" s="4" t="str">
        <f>IFERROR(__xludf.DUMMYFUNCTION("""COMPUTED_VALUE"""),"0x9fc1aaec4ecf71d02c1e7bd58b1aed987e8df862")</f>
        <v>0x9fc1aaec4ecf71d02c1e7bd58b1aed987e8df862</v>
      </c>
      <c r="J4047" s="18">
        <v>48.3641275995966</v>
      </c>
      <c r="K4047" s="4">
        <v>604.5515949949574</v>
      </c>
      <c r="L4047" s="19">
        <v>6.045515949949574E20</v>
      </c>
      <c r="M4047" s="20">
        <v>6.045515949949574E19</v>
      </c>
    </row>
    <row r="4048">
      <c r="A4048" s="6"/>
      <c r="B4048" s="6"/>
      <c r="C4048" s="4"/>
      <c r="D4048" s="4">
        <v>48.3641275995966</v>
      </c>
      <c r="E4048" s="4" t="s">
        <v>6100</v>
      </c>
      <c r="F4048" s="4"/>
      <c r="G4048" s="4"/>
      <c r="H4048" s="4"/>
      <c r="I4048" s="4" t="str">
        <f>IFERROR(__xludf.DUMMYFUNCTION("""COMPUTED_VALUE"""),"0x763cadf5fcc71b87a02b7ecbab6fa52bc448c08d")</f>
        <v>0x763cadf5fcc71b87a02b7ecbab6fa52bc448c08d</v>
      </c>
      <c r="J4048" s="18">
        <v>11.6421105777599</v>
      </c>
      <c r="K4048" s="4">
        <v>145.52638222199874</v>
      </c>
      <c r="L4048" s="19">
        <v>1.4552638222199875E20</v>
      </c>
      <c r="M4048" s="20">
        <v>1.4552638222199876E19</v>
      </c>
    </row>
    <row r="4049">
      <c r="A4049" s="6"/>
      <c r="B4049" s="6"/>
      <c r="C4049" s="4"/>
      <c r="D4049" s="4">
        <v>48.3641275995966</v>
      </c>
      <c r="E4049" s="4" t="s">
        <v>6101</v>
      </c>
      <c r="F4049" s="4"/>
      <c r="G4049" s="4"/>
      <c r="H4049" s="4"/>
      <c r="I4049" s="4" t="str">
        <f>IFERROR(__xludf.DUMMYFUNCTION("""COMPUTED_VALUE"""),"0xf0f225e01cf084d3c246ad595ab60d0d4f5b4c78")</f>
        <v>0xf0f225e01cf084d3c246ad595ab60d0d4f5b4c78</v>
      </c>
      <c r="J4049" s="18">
        <v>187.9883807652176</v>
      </c>
      <c r="K4049" s="4">
        <v>2349.8547595652203</v>
      </c>
      <c r="L4049" s="19">
        <v>2.3498547595652204E21</v>
      </c>
      <c r="M4049" s="20">
        <v>2.3498547595652206E20</v>
      </c>
    </row>
    <row r="4050">
      <c r="A4050" s="6"/>
      <c r="B4050" s="6"/>
      <c r="C4050" s="4"/>
      <c r="D4050" s="4">
        <v>43.7652831373572</v>
      </c>
      <c r="E4050" s="4" t="s">
        <v>981</v>
      </c>
      <c r="F4050" s="4"/>
      <c r="G4050" s="4"/>
      <c r="H4050" s="4"/>
      <c r="I4050" s="4" t="str">
        <f>IFERROR(__xludf.DUMMYFUNCTION("""COMPUTED_VALUE"""),"0x22ff41947f54abc453e3c811c6f679c66a73e4e6")</f>
        <v>0x22ff41947f54abc453e3c811c6f679c66a73e4e6</v>
      </c>
      <c r="J4050" s="18">
        <v>93.9430763948755</v>
      </c>
      <c r="K4050" s="4">
        <v>1174.2884549359437</v>
      </c>
      <c r="L4050" s="19">
        <v>1.1742884549359437E21</v>
      </c>
      <c r="M4050" s="20">
        <v>1.1742884549359437E20</v>
      </c>
    </row>
    <row r="4051">
      <c r="A4051" s="6"/>
      <c r="B4051" s="6"/>
      <c r="C4051" s="4"/>
      <c r="D4051" s="4">
        <v>46.767621903793106</v>
      </c>
      <c r="E4051" s="4" t="s">
        <v>6103</v>
      </c>
      <c r="F4051" s="4"/>
      <c r="G4051" s="4"/>
      <c r="H4051" s="4"/>
      <c r="I4051" s="4" t="str">
        <f>IFERROR(__xludf.DUMMYFUNCTION("""COMPUTED_VALUE"""),"0xdea1c4b77740efa60e83c71eef2bdde1e7cbd7a6")</f>
        <v>0xdea1c4b77740efa60e83c71eef2bdde1e7cbd7a6</v>
      </c>
      <c r="J4051" s="18">
        <v>48.3641275995966</v>
      </c>
      <c r="K4051" s="4">
        <v>604.5515949949574</v>
      </c>
      <c r="L4051" s="19">
        <v>6.045515949949574E20</v>
      </c>
      <c r="M4051" s="20">
        <v>6.045515949949574E19</v>
      </c>
    </row>
    <row r="4052">
      <c r="A4052" s="6"/>
      <c r="B4052" s="6"/>
      <c r="C4052" s="4"/>
      <c r="D4052" s="4">
        <v>19.3456510398386</v>
      </c>
      <c r="E4052" s="4" t="s">
        <v>6105</v>
      </c>
      <c r="F4052" s="4"/>
      <c r="G4052" s="4"/>
      <c r="H4052" s="4"/>
      <c r="I4052" s="4" t="str">
        <f>IFERROR(__xludf.DUMMYFUNCTION("""COMPUTED_VALUE"""),"0xf26d9d24b64b0d684f20703a7fc9bb1aa379c9ba")</f>
        <v>0xf26d9d24b64b0d684f20703a7fc9bb1aa379c9ba</v>
      </c>
      <c r="J4052" s="18">
        <v>46.9557173592531</v>
      </c>
      <c r="K4052" s="4">
        <v>586.9464669906638</v>
      </c>
      <c r="L4052" s="19">
        <v>5.869464669906638E20</v>
      </c>
      <c r="M4052" s="20">
        <v>5.8694646699066384E19</v>
      </c>
    </row>
    <row r="4053">
      <c r="A4053" s="6"/>
      <c r="B4053" s="6"/>
      <c r="C4053" s="4"/>
      <c r="D4053" s="4">
        <v>9.672825519919328</v>
      </c>
      <c r="E4053" s="4" t="s">
        <v>6106</v>
      </c>
      <c r="F4053" s="4"/>
      <c r="G4053" s="4"/>
      <c r="H4053" s="4"/>
      <c r="I4053" s="4" t="str">
        <f>IFERROR(__xludf.DUMMYFUNCTION("""COMPUTED_VALUE"""),"0xefb13687723e45a9267e0b04a3947d910ef0b8fb")</f>
        <v>0xefb13687723e45a9267e0b04a3947d910ef0b8fb</v>
      </c>
      <c r="J4053" s="18">
        <v>58.8739022237457</v>
      </c>
      <c r="K4053" s="4">
        <v>735.9237777968212</v>
      </c>
      <c r="L4053" s="19">
        <v>7.359237777968212E20</v>
      </c>
      <c r="M4053" s="20">
        <v>7.359237777968212E19</v>
      </c>
    </row>
    <row r="4054">
      <c r="A4054" s="6"/>
      <c r="B4054" s="6"/>
      <c r="C4054" s="4"/>
      <c r="D4054" s="4">
        <v>0.44103933238068405</v>
      </c>
      <c r="E4054" s="4" t="s">
        <v>6107</v>
      </c>
      <c r="F4054" s="4"/>
      <c r="G4054" s="4"/>
      <c r="H4054" s="4"/>
      <c r="I4054" s="4" t="str">
        <f>IFERROR(__xludf.DUMMYFUNCTION("""COMPUTED_VALUE"""),"0xd404fff20f7eee0d6f436e05f76ed07c687e61e6")</f>
        <v>0xd404fff20f7eee0d6f436e05f76ed07c687e61e6</v>
      </c>
      <c r="J4054" s="18">
        <v>8.63113026007147</v>
      </c>
      <c r="K4054" s="4">
        <v>107.88912825089338</v>
      </c>
      <c r="L4054" s="19">
        <v>1.0788912825089339E20</v>
      </c>
      <c r="M4054" s="20">
        <v>1.078891282508934E19</v>
      </c>
    </row>
    <row r="4055">
      <c r="A4055" s="6"/>
      <c r="B4055" s="6"/>
      <c r="C4055" s="4"/>
      <c r="D4055" s="4">
        <v>2.05063901022289</v>
      </c>
      <c r="E4055" s="4" t="s">
        <v>6109</v>
      </c>
      <c r="F4055" s="4"/>
      <c r="G4055" s="4"/>
      <c r="H4055" s="4"/>
      <c r="I4055" s="4" t="str">
        <f>IFERROR(__xludf.DUMMYFUNCTION("""COMPUTED_VALUE"""),"0x4fd4ae939884b517c2a74b7e35fffc1f4db3282e")</f>
        <v>0x4fd4ae939884b517c2a74b7e35fffc1f4db3282e</v>
      </c>
      <c r="J4055" s="18">
        <v>0.891699445363269</v>
      </c>
      <c r="K4055" s="4">
        <v>11.146243067040862</v>
      </c>
      <c r="L4055" s="19">
        <v>1.1146243067040862E19</v>
      </c>
      <c r="M4055" s="20">
        <v>1.1146243067040863E18</v>
      </c>
    </row>
    <row r="4056">
      <c r="A4056" s="6"/>
      <c r="B4056" s="6"/>
      <c r="C4056" s="4"/>
      <c r="D4056" s="4">
        <v>48.3641275995966</v>
      </c>
      <c r="E4056" s="4" t="s">
        <v>1064</v>
      </c>
      <c r="F4056" s="4"/>
      <c r="G4056" s="4"/>
      <c r="H4056" s="4"/>
      <c r="I4056" s="4" t="str">
        <f>IFERROR(__xludf.DUMMYFUNCTION("""COMPUTED_VALUE"""),"0xe270e2b1275f2801eb67c8561a2e2ded1f8cfad4")</f>
        <v>0xe270e2b1275f2801eb67c8561a2e2ded1f8cfad4</v>
      </c>
      <c r="J4056" s="18">
        <v>61.6526088468166</v>
      </c>
      <c r="K4056" s="4">
        <v>770.6576105852074</v>
      </c>
      <c r="L4056" s="19">
        <v>7.706576105852075E20</v>
      </c>
      <c r="M4056" s="20">
        <v>7.706576105852074E19</v>
      </c>
    </row>
    <row r="4057">
      <c r="A4057" s="6"/>
      <c r="B4057" s="6"/>
      <c r="C4057" s="4"/>
      <c r="D4057" s="4">
        <v>47.4073752406518</v>
      </c>
      <c r="E4057" s="4" t="s">
        <v>6111</v>
      </c>
      <c r="F4057" s="4"/>
      <c r="G4057" s="4"/>
      <c r="H4057" s="4"/>
      <c r="I4057" s="4" t="str">
        <f>IFERROR(__xludf.DUMMYFUNCTION("""COMPUTED_VALUE"""),"0x0079266502e50b4b015a4ca03b2c6ad237324ef6")</f>
        <v>0x0079266502e50b4b015a4ca03b2c6ad237324ef6</v>
      </c>
      <c r="J4057" s="18">
        <v>20.5036518061891</v>
      </c>
      <c r="K4057" s="4">
        <v>256.29564757736375</v>
      </c>
      <c r="L4057" s="19">
        <v>2.5629564757736374E20</v>
      </c>
      <c r="M4057" s="20">
        <v>2.5629564757736374E19</v>
      </c>
    </row>
    <row r="4058">
      <c r="A4058" s="6"/>
      <c r="B4058" s="6"/>
      <c r="C4058" s="4"/>
      <c r="D4058" s="4">
        <v>0.17699839249041</v>
      </c>
      <c r="E4058" s="4" t="s">
        <v>6113</v>
      </c>
      <c r="F4058" s="4"/>
      <c r="G4058" s="4"/>
      <c r="H4058" s="4"/>
      <c r="I4058" s="4" t="str">
        <f>IFERROR(__xludf.DUMMYFUNCTION("""COMPUTED_VALUE"""),"0xe94608351b20bf2760e79a8a5eeeb5934bea913e")</f>
        <v>0xe94608351b20bf2760e79a8a5eeeb5934bea913e</v>
      </c>
      <c r="J4058" s="18">
        <v>5.6210249254197695</v>
      </c>
      <c r="K4058" s="4">
        <v>70.26281156774712</v>
      </c>
      <c r="L4058" s="19">
        <v>7.026281156774712E19</v>
      </c>
      <c r="M4058" s="20">
        <v>7.026281156774712E18</v>
      </c>
    </row>
    <row r="4059">
      <c r="A4059" s="6"/>
      <c r="B4059" s="6"/>
      <c r="C4059" s="4"/>
      <c r="D4059" s="4">
        <v>36.269670813915</v>
      </c>
      <c r="E4059" s="4" t="s">
        <v>6115</v>
      </c>
      <c r="F4059" s="4"/>
      <c r="G4059" s="4"/>
      <c r="H4059" s="4"/>
      <c r="I4059" s="4" t="str">
        <f>IFERROR(__xludf.DUMMYFUNCTION("""COMPUTED_VALUE"""),"0x3c47597b239a6c895a42e181d8b5158c11bc2cd7")</f>
        <v>0x3c47597b239a6c895a42e181d8b5158c11bc2cd7</v>
      </c>
      <c r="J4059" s="18">
        <v>47.1384269862636</v>
      </c>
      <c r="K4059" s="4">
        <v>589.230337328295</v>
      </c>
      <c r="L4059" s="19">
        <v>5.8923033732829505E20</v>
      </c>
      <c r="M4059" s="20">
        <v>5.892303373282951E19</v>
      </c>
    </row>
    <row r="4060">
      <c r="A4060" s="6"/>
      <c r="B4060" s="6"/>
      <c r="C4060" s="4"/>
      <c r="D4060" s="4">
        <v>16.1200268709877</v>
      </c>
      <c r="E4060" s="4" t="s">
        <v>6117</v>
      </c>
      <c r="F4060" s="4"/>
      <c r="G4060" s="4"/>
      <c r="H4060" s="4"/>
      <c r="I4060" s="4" t="str">
        <f>IFERROR(__xludf.DUMMYFUNCTION("""COMPUTED_VALUE"""),"0x0acd301216a71286f5a73cc0dbf44da57bd5bfa4")</f>
        <v>0x0acd301216a71286f5a73cc0dbf44da57bd5bfa4</v>
      </c>
      <c r="J4060" s="18">
        <v>2.92595267540808</v>
      </c>
      <c r="K4060" s="4">
        <v>36.574408442601</v>
      </c>
      <c r="L4060" s="19">
        <v>3.6574408442600997E19</v>
      </c>
      <c r="M4060" s="20">
        <v>3.6574408442601E18</v>
      </c>
    </row>
    <row r="4061">
      <c r="A4061" s="6"/>
      <c r="B4061" s="6"/>
      <c r="C4061" s="4"/>
      <c r="D4061" s="4">
        <v>7.145205656748909</v>
      </c>
      <c r="E4061" s="4" t="s">
        <v>6119</v>
      </c>
      <c r="F4061" s="4"/>
      <c r="G4061" s="4"/>
      <c r="H4061" s="4"/>
      <c r="I4061" s="4" t="str">
        <f>IFERROR(__xludf.DUMMYFUNCTION("""COMPUTED_VALUE"""),"0xa0a17f5d92f4b250d463cf5a16549fe6371f6db6")</f>
        <v>0xa0a17f5d92f4b250d463cf5a16549fe6371f6db6</v>
      </c>
      <c r="J4061" s="18">
        <v>48.3641275995966</v>
      </c>
      <c r="K4061" s="4">
        <v>604.5515949949574</v>
      </c>
      <c r="L4061" s="19">
        <v>6.045515949949574E20</v>
      </c>
      <c r="M4061" s="20">
        <v>6.045515949949574E19</v>
      </c>
    </row>
    <row r="4062">
      <c r="A4062" s="6"/>
      <c r="B4062" s="6"/>
      <c r="C4062" s="4"/>
      <c r="D4062" s="4">
        <v>37.023801473980804</v>
      </c>
      <c r="E4062" s="4" t="s">
        <v>6121</v>
      </c>
      <c r="F4062" s="4"/>
      <c r="G4062" s="4"/>
      <c r="H4062" s="4"/>
      <c r="I4062" s="4" t="str">
        <f>IFERROR(__xludf.DUMMYFUNCTION("""COMPUTED_VALUE"""),"0x6502499186806b8e564d9ceb807de5715563832d")</f>
        <v>0x6502499186806b8e564d9ceb807de5715563832d</v>
      </c>
      <c r="J4062" s="18">
        <v>9.672825519919328</v>
      </c>
      <c r="K4062" s="4">
        <v>120.9103189989916</v>
      </c>
      <c r="L4062" s="19">
        <v>1.209103189989916E20</v>
      </c>
      <c r="M4062" s="20">
        <v>1.209103189989916E19</v>
      </c>
    </row>
    <row r="4063">
      <c r="A4063" s="6"/>
      <c r="B4063" s="6"/>
      <c r="C4063" s="4"/>
      <c r="D4063" s="4">
        <v>48.3641275995966</v>
      </c>
      <c r="E4063" s="4" t="s">
        <v>6123</v>
      </c>
      <c r="F4063" s="4"/>
      <c r="G4063" s="4"/>
      <c r="H4063" s="4"/>
      <c r="I4063" s="4" t="str">
        <f>IFERROR(__xludf.DUMMYFUNCTION("""COMPUTED_VALUE"""),"0xfda86e8aba48ea63098b22df2ab22be687790356")</f>
        <v>0xfda86e8aba48ea63098b22df2ab22be687790356</v>
      </c>
      <c r="J4063" s="18">
        <v>113.528258348014</v>
      </c>
      <c r="K4063" s="4">
        <v>1419.103229350175</v>
      </c>
      <c r="L4063" s="19">
        <v>1.419103229350175E21</v>
      </c>
      <c r="M4063" s="20">
        <v>1.419103229350175E20</v>
      </c>
    </row>
    <row r="4064">
      <c r="A4064" s="6"/>
      <c r="B4064" s="6"/>
      <c r="C4064" s="4"/>
      <c r="D4064" s="4">
        <v>48.3641275995966</v>
      </c>
      <c r="E4064" s="4" t="s">
        <v>6124</v>
      </c>
      <c r="F4064" s="4"/>
      <c r="G4064" s="4"/>
      <c r="H4064" s="4"/>
      <c r="I4064" s="4" t="str">
        <f>IFERROR(__xludf.DUMMYFUNCTION("""COMPUTED_VALUE"""),"0x3cbe9d786220a602baa9a1dc38964ab023a930e8")</f>
        <v>0x3cbe9d786220a602baa9a1dc38964ab023a930e8</v>
      </c>
      <c r="J4064" s="18">
        <v>9.672825519919328</v>
      </c>
      <c r="K4064" s="4">
        <v>120.9103189989916</v>
      </c>
      <c r="L4064" s="19">
        <v>1.209103189989916E20</v>
      </c>
      <c r="M4064" s="20">
        <v>1.209103189989916E19</v>
      </c>
    </row>
    <row r="4065">
      <c r="A4065" s="6"/>
      <c r="B4065" s="6"/>
      <c r="C4065" s="4"/>
      <c r="D4065" s="4">
        <v>5.62197120840346</v>
      </c>
      <c r="E4065" s="4" t="s">
        <v>6125</v>
      </c>
      <c r="F4065" s="4"/>
      <c r="G4065" s="4"/>
      <c r="H4065" s="4"/>
      <c r="I4065" s="4" t="str">
        <f>IFERROR(__xludf.DUMMYFUNCTION("""COMPUTED_VALUE"""),"0x2ea585f1f75318a1cacf640a7ef93684ba34f118")</f>
        <v>0x2ea585f1f75318a1cacf640a7ef93684ba34f118</v>
      </c>
      <c r="J4065" s="18">
        <v>6.18726419611278</v>
      </c>
      <c r="K4065" s="4">
        <v>77.34080245140974</v>
      </c>
      <c r="L4065" s="19">
        <v>7.734080245140975E19</v>
      </c>
      <c r="M4065" s="20">
        <v>7.734080245140976E18</v>
      </c>
    </row>
    <row r="4066">
      <c r="A4066" s="6"/>
      <c r="B4066" s="6"/>
      <c r="C4066" s="4"/>
      <c r="D4066" s="4">
        <v>48.3641275995966</v>
      </c>
      <c r="E4066" s="4" t="s">
        <v>6127</v>
      </c>
      <c r="F4066" s="4"/>
      <c r="G4066" s="4"/>
      <c r="H4066" s="4"/>
      <c r="I4066" s="4" t="str">
        <f>IFERROR(__xludf.DUMMYFUNCTION("""COMPUTED_VALUE"""),"0x1e8295404d8ab2924942b36d8c27edf3713354ee")</f>
        <v>0x1e8295404d8ab2924942b36d8c27edf3713354ee</v>
      </c>
      <c r="J4066" s="18">
        <v>16.2362895053673</v>
      </c>
      <c r="K4066" s="4">
        <v>202.95361881709124</v>
      </c>
      <c r="L4066" s="19">
        <v>2.0295361881709124E20</v>
      </c>
      <c r="M4066" s="20">
        <v>2.0295361881709126E19</v>
      </c>
    </row>
    <row r="4067">
      <c r="A4067" s="6"/>
      <c r="B4067" s="6"/>
      <c r="C4067" s="4"/>
      <c r="D4067" s="4">
        <v>14.5248078707918</v>
      </c>
      <c r="E4067" s="4" t="s">
        <v>6128</v>
      </c>
      <c r="F4067" s="4"/>
      <c r="G4067" s="4"/>
      <c r="H4067" s="4"/>
      <c r="I4067" s="4" t="str">
        <f>IFERROR(__xludf.DUMMYFUNCTION("""COMPUTED_VALUE"""),"0x997b86481ea10a414ac34acbcf1e3030274a618d")</f>
        <v>0x997b86481ea10a414ac34acbcf1e3030274a618d</v>
      </c>
      <c r="J4067" s="18">
        <v>113.4683136722219</v>
      </c>
      <c r="K4067" s="4">
        <v>1418.3539209027738</v>
      </c>
      <c r="L4067" s="19">
        <v>1.4183539209027739E21</v>
      </c>
      <c r="M4067" s="20">
        <v>1.418353920902774E20</v>
      </c>
    </row>
    <row r="4068">
      <c r="A4068" s="6"/>
      <c r="B4068" s="6"/>
      <c r="C4068" s="4"/>
      <c r="D4068" s="4">
        <v>9.81973291208559</v>
      </c>
      <c r="E4068" s="4" t="s">
        <v>6130</v>
      </c>
      <c r="F4068" s="4"/>
      <c r="G4068" s="4"/>
      <c r="H4068" s="4"/>
      <c r="I4068" s="4" t="str">
        <f>IFERROR(__xludf.DUMMYFUNCTION("""COMPUTED_VALUE"""),"0xa011a2379e884826ec192bd7f46b2afa6c356dc1")</f>
        <v>0xa011a2379e884826ec192bd7f46b2afa6c356dc1</v>
      </c>
      <c r="J4068" s="18">
        <v>197.1732566696696</v>
      </c>
      <c r="K4068" s="4">
        <v>2464.66570837087</v>
      </c>
      <c r="L4068" s="19">
        <v>2.46466570837087E21</v>
      </c>
      <c r="M4068" s="20">
        <v>2.4646657083708703E20</v>
      </c>
    </row>
    <row r="4069">
      <c r="A4069" s="6"/>
      <c r="B4069" s="6"/>
      <c r="C4069" s="4"/>
      <c r="D4069" s="4">
        <v>19.3456510398386</v>
      </c>
      <c r="E4069" s="4" t="s">
        <v>6132</v>
      </c>
      <c r="F4069" s="4"/>
      <c r="G4069" s="4"/>
      <c r="H4069" s="4"/>
      <c r="I4069" s="4" t="str">
        <f>IFERROR(__xludf.DUMMYFUNCTION("""COMPUTED_VALUE"""),"0x35cf14af7f54b6429dab08534c75b3a9b8dc6fd4")</f>
        <v>0x35cf14af7f54b6429dab08534c75b3a9b8dc6fd4</v>
      </c>
      <c r="J4069" s="18">
        <v>9.672825519919328</v>
      </c>
      <c r="K4069" s="4">
        <v>120.9103189989916</v>
      </c>
      <c r="L4069" s="19">
        <v>1.209103189989916E20</v>
      </c>
      <c r="M4069" s="20">
        <v>1.209103189989916E19</v>
      </c>
    </row>
    <row r="4070">
      <c r="A4070" s="6"/>
      <c r="B4070" s="6"/>
      <c r="C4070" s="4"/>
      <c r="D4070" s="4">
        <v>9.672825519919328</v>
      </c>
      <c r="E4070" s="4" t="s">
        <v>6133</v>
      </c>
      <c r="F4070" s="4"/>
      <c r="G4070" s="4"/>
      <c r="H4070" s="4"/>
      <c r="I4070" s="4" t="str">
        <f>IFERROR(__xludf.DUMMYFUNCTION("""COMPUTED_VALUE"""),"0x1d608491ca3042fb1f7c3144fa25d59e4a0e7e1a")</f>
        <v>0x1d608491ca3042fb1f7c3144fa25d59e4a0e7e1a</v>
      </c>
      <c r="J4070" s="18">
        <v>33.3978809161918</v>
      </c>
      <c r="K4070" s="4">
        <v>417.47351145239753</v>
      </c>
      <c r="L4070" s="19">
        <v>4.1747351145239754E20</v>
      </c>
      <c r="M4070" s="20">
        <v>4.174735114523976E19</v>
      </c>
    </row>
    <row r="4071">
      <c r="A4071" s="6"/>
      <c r="B4071" s="6"/>
      <c r="C4071" s="4"/>
      <c r="D4071" s="4">
        <v>8.81549476990327</v>
      </c>
      <c r="E4071" s="4" t="s">
        <v>6134</v>
      </c>
      <c r="F4071" s="4"/>
      <c r="G4071" s="4"/>
      <c r="H4071" s="4"/>
      <c r="I4071" s="4" t="str">
        <f>IFERROR(__xludf.DUMMYFUNCTION("""COMPUTED_VALUE"""),"0x707fea2cbf2155bd4ef7de98cb75fbd517fea7a0")</f>
        <v>0x707fea2cbf2155bd4ef7de98cb75fbd517fea7a0</v>
      </c>
      <c r="J4071" s="18">
        <v>9.672825519919328</v>
      </c>
      <c r="K4071" s="4">
        <v>120.9103189989916</v>
      </c>
      <c r="L4071" s="19">
        <v>1.209103189989916E20</v>
      </c>
      <c r="M4071" s="20">
        <v>1.209103189989916E19</v>
      </c>
    </row>
    <row r="4072">
      <c r="A4072" s="6"/>
      <c r="B4072" s="6"/>
      <c r="C4072" s="4"/>
      <c r="D4072" s="4">
        <v>13.1522750072035</v>
      </c>
      <c r="E4072" s="4" t="s">
        <v>270</v>
      </c>
      <c r="F4072" s="4"/>
      <c r="G4072" s="4"/>
      <c r="H4072" s="4"/>
      <c r="I4072" s="4" t="str">
        <f>IFERROR(__xludf.DUMMYFUNCTION("""COMPUTED_VALUE"""),"0x53ecf15b6aaca06f1a8c148b271535670740fef9")</f>
        <v>0x53ecf15b6aaca06f1a8c148b271535670740fef9</v>
      </c>
      <c r="J4072" s="18">
        <v>48.3641275995966</v>
      </c>
      <c r="K4072" s="4">
        <v>604.5515949949574</v>
      </c>
      <c r="L4072" s="19">
        <v>6.045515949949574E20</v>
      </c>
      <c r="M4072" s="20">
        <v>6.045515949949574E19</v>
      </c>
    </row>
    <row r="4073">
      <c r="A4073" s="6"/>
      <c r="B4073" s="6"/>
      <c r="C4073" s="4"/>
      <c r="D4073" s="4">
        <v>25.346570101560097</v>
      </c>
      <c r="E4073" s="4" t="s">
        <v>6137</v>
      </c>
      <c r="F4073" s="4"/>
      <c r="G4073" s="4"/>
      <c r="H4073" s="4"/>
      <c r="I4073" s="4" t="str">
        <f>IFERROR(__xludf.DUMMYFUNCTION("""COMPUTED_VALUE"""),"0x216a6b81d909f4fdabb32cf054b4fb061540a688")</f>
        <v>0x216a6b81d909f4fdabb32cf054b4fb061540a688</v>
      </c>
      <c r="J4073" s="18">
        <v>5.888076226162791</v>
      </c>
      <c r="K4073" s="4">
        <v>73.60095282703487</v>
      </c>
      <c r="L4073" s="19">
        <v>7.360095282703487E19</v>
      </c>
      <c r="M4073" s="20">
        <v>7.360095282703487E18</v>
      </c>
    </row>
    <row r="4074">
      <c r="A4074" s="6"/>
      <c r="B4074" s="6"/>
      <c r="C4074" s="4"/>
      <c r="D4074" s="4">
        <v>9.670635273985662</v>
      </c>
      <c r="E4074" s="4" t="s">
        <v>6139</v>
      </c>
      <c r="F4074" s="4"/>
      <c r="G4074" s="4"/>
      <c r="H4074" s="4"/>
      <c r="I4074" s="4" t="str">
        <f>IFERROR(__xludf.DUMMYFUNCTION("""COMPUTED_VALUE"""),"0xfa67ddfe1d2e90d56f9eb154d8c0233dfb444e5b")</f>
        <v>0xfa67ddfe1d2e90d56f9eb154d8c0233dfb444e5b</v>
      </c>
      <c r="J4074" s="18">
        <v>48.3641275995966</v>
      </c>
      <c r="K4074" s="4">
        <v>604.5515949949574</v>
      </c>
      <c r="L4074" s="19">
        <v>6.045515949949574E20</v>
      </c>
      <c r="M4074" s="20">
        <v>6.045515949949574E19</v>
      </c>
    </row>
    <row r="4075">
      <c r="A4075" s="6"/>
      <c r="B4075" s="6"/>
      <c r="C4075" s="4"/>
      <c r="D4075" s="4">
        <v>24.87107222213</v>
      </c>
      <c r="E4075" s="4" t="s">
        <v>6141</v>
      </c>
      <c r="F4075" s="4"/>
      <c r="G4075" s="4"/>
      <c r="H4075" s="4"/>
      <c r="I4075" s="4" t="str">
        <f>IFERROR(__xludf.DUMMYFUNCTION("""COMPUTED_VALUE"""),"0x8d1774d8e34834b017e8cfe280b3638445dfbb84")</f>
        <v>0x8d1774d8e34834b017e8cfe280b3638445dfbb84</v>
      </c>
      <c r="J4075" s="18">
        <v>113.4683136722219</v>
      </c>
      <c r="K4075" s="4">
        <v>1418.3539209027738</v>
      </c>
      <c r="L4075" s="19">
        <v>1.4183539209027739E21</v>
      </c>
      <c r="M4075" s="20">
        <v>1.418353920902774E20</v>
      </c>
    </row>
    <row r="4076">
      <c r="A4076" s="6"/>
      <c r="B4076" s="6"/>
      <c r="C4076" s="4"/>
      <c r="D4076" s="4">
        <v>7.70335490474018</v>
      </c>
      <c r="E4076" s="4" t="s">
        <v>6143</v>
      </c>
      <c r="F4076" s="4"/>
      <c r="G4076" s="4"/>
      <c r="H4076" s="4"/>
      <c r="I4076" s="4" t="str">
        <f>IFERROR(__xludf.DUMMYFUNCTION("""COMPUTED_VALUE"""),"0xf156cc9027ce67916ba073a558e60d05a3ab7918")</f>
        <v>0xf156cc9027ce67916ba073a558e60d05a3ab7918</v>
      </c>
      <c r="J4076" s="18">
        <v>39.843648072815505</v>
      </c>
      <c r="K4076" s="4">
        <v>498.0456009101938</v>
      </c>
      <c r="L4076" s="19">
        <v>4.980456009101938E20</v>
      </c>
      <c r="M4076" s="20">
        <v>4.980456009101938E19</v>
      </c>
    </row>
    <row r="4077">
      <c r="A4077" s="6"/>
      <c r="B4077" s="6"/>
      <c r="C4077" s="4"/>
      <c r="D4077" s="4">
        <v>36.872518697658</v>
      </c>
      <c r="E4077" s="4" t="s">
        <v>6145</v>
      </c>
      <c r="F4077" s="4"/>
      <c r="G4077" s="4"/>
      <c r="H4077" s="4"/>
      <c r="I4077" s="4" t="str">
        <f>IFERROR(__xludf.DUMMYFUNCTION("""COMPUTED_VALUE"""),"0x84ec82c9b9891e4b07aa9c42e5158c37dcf72595")</f>
        <v>0x84ec82c9b9891e4b07aa9c42e5158c37dcf72595</v>
      </c>
      <c r="J4077" s="18">
        <v>7.11977935711959</v>
      </c>
      <c r="K4077" s="4">
        <v>88.99724196399488</v>
      </c>
      <c r="L4077" s="19">
        <v>8.899724196399487E19</v>
      </c>
      <c r="M4077" s="20">
        <v>8.899724196399488E18</v>
      </c>
    </row>
    <row r="4078">
      <c r="A4078" s="6"/>
      <c r="B4078" s="6"/>
      <c r="C4078" s="4"/>
      <c r="D4078" s="4">
        <v>26.538603304458498</v>
      </c>
      <c r="E4078" s="4" t="s">
        <v>6147</v>
      </c>
      <c r="F4078" s="4"/>
      <c r="G4078" s="4"/>
      <c r="H4078" s="4"/>
      <c r="I4078" s="4" t="str">
        <f>IFERROR(__xludf.DUMMYFUNCTION("""COMPUTED_VALUE"""),"0xb5aa0867ffcc9ee70fe676ae4f410e7a88193931")</f>
        <v>0xb5aa0867ffcc9ee70fe676ae4f410e7a88193931</v>
      </c>
      <c r="J4078" s="18">
        <v>8.388813083499201</v>
      </c>
      <c r="K4078" s="4">
        <v>104.86016354374001</v>
      </c>
      <c r="L4078" s="19">
        <v>1.0486016354374002E20</v>
      </c>
      <c r="M4078" s="20">
        <v>1.0486016354374003E19</v>
      </c>
    </row>
    <row r="4079">
      <c r="A4079" s="6"/>
      <c r="B4079" s="6"/>
      <c r="C4079" s="4"/>
      <c r="D4079" s="4">
        <v>48.3641275995966</v>
      </c>
      <c r="E4079" s="4" t="s">
        <v>6149</v>
      </c>
      <c r="F4079" s="4"/>
      <c r="G4079" s="4"/>
      <c r="H4079" s="4"/>
      <c r="I4079" s="4" t="str">
        <f>IFERROR(__xludf.DUMMYFUNCTION("""COMPUTED_VALUE"""),"0x7408f65c04db74a44990d508816524a4a1fd6614")</f>
        <v>0x7408f65c04db74a44990d508816524a4a1fd6614</v>
      </c>
      <c r="J4079" s="18">
        <v>8.59880610310644</v>
      </c>
      <c r="K4079" s="4">
        <v>107.4850762888305</v>
      </c>
      <c r="L4079" s="19">
        <v>1.074850762888305E20</v>
      </c>
      <c r="M4079" s="20">
        <v>1.074850762888305E19</v>
      </c>
    </row>
    <row r="4080">
      <c r="A4080" s="6"/>
      <c r="B4080" s="6"/>
      <c r="C4080" s="4"/>
      <c r="D4080" s="4">
        <v>37.1064652711976</v>
      </c>
      <c r="E4080" s="4" t="s">
        <v>6150</v>
      </c>
      <c r="F4080" s="4"/>
      <c r="G4080" s="4"/>
      <c r="H4080" s="4"/>
      <c r="I4080" s="4" t="str">
        <f>IFERROR(__xludf.DUMMYFUNCTION("""COMPUTED_VALUE"""),"0x589ca6d1b0d6bca99d114da4dcbfe14c4f03343f")</f>
        <v>0x589ca6d1b0d6bca99d114da4dcbfe14c4f03343f</v>
      </c>
      <c r="J4080" s="18">
        <v>40.491577512668606</v>
      </c>
      <c r="K4080" s="4">
        <v>506.14471890835756</v>
      </c>
      <c r="L4080" s="19">
        <v>5.0614471890835754E20</v>
      </c>
      <c r="M4080" s="20">
        <v>5.061447189083576E19</v>
      </c>
    </row>
    <row r="4081">
      <c r="A4081" s="6"/>
      <c r="B4081" s="6"/>
      <c r="C4081" s="4"/>
      <c r="D4081" s="4">
        <v>25.598525736154897</v>
      </c>
      <c r="E4081" s="4" t="s">
        <v>6152</v>
      </c>
      <c r="F4081" s="4"/>
      <c r="G4081" s="4"/>
      <c r="H4081" s="4"/>
      <c r="I4081" s="4" t="str">
        <f>IFERROR(__xludf.DUMMYFUNCTION("""COMPUTED_VALUE"""),"0x5e5a8eab6ea13c49a165bdf1acb2de5b0db8aaec")</f>
        <v>0x5e5a8eab6ea13c49a165bdf1acb2de5b0db8aaec</v>
      </c>
      <c r="J4081" s="18">
        <v>48.3641275995966</v>
      </c>
      <c r="K4081" s="4">
        <v>604.5515949949574</v>
      </c>
      <c r="L4081" s="19">
        <v>6.045515949949574E20</v>
      </c>
      <c r="M4081" s="20">
        <v>6.045515949949574E19</v>
      </c>
    </row>
    <row r="4082">
      <c r="A4082" s="6"/>
      <c r="B4082" s="6"/>
      <c r="C4082" s="4"/>
      <c r="D4082" s="4">
        <v>16.8041746271415</v>
      </c>
      <c r="E4082" s="4" t="s">
        <v>6154</v>
      </c>
      <c r="F4082" s="4"/>
      <c r="G4082" s="4"/>
      <c r="H4082" s="4"/>
      <c r="I4082" s="4" t="str">
        <f>IFERROR(__xludf.DUMMYFUNCTION("""COMPUTED_VALUE"""),"0x6a04faf44efc42776e6cb3e56f08684f1599d687")</f>
        <v>0x6a04faf44efc42776e6cb3e56f08684f1599d687</v>
      </c>
      <c r="J4082" s="18">
        <v>97.2855791546149</v>
      </c>
      <c r="K4082" s="4">
        <v>1216.0697394326862</v>
      </c>
      <c r="L4082" s="19">
        <v>1.216069739432686E21</v>
      </c>
      <c r="M4082" s="20">
        <v>1.2160697394326862E20</v>
      </c>
    </row>
    <row r="4083">
      <c r="A4083" s="6"/>
      <c r="B4083" s="6"/>
      <c r="C4083" s="4"/>
      <c r="D4083" s="4">
        <v>48.3641275995966</v>
      </c>
      <c r="E4083" s="4" t="s">
        <v>6156</v>
      </c>
      <c r="F4083" s="4"/>
      <c r="G4083" s="4"/>
      <c r="H4083" s="4"/>
      <c r="I4083" s="4" t="str">
        <f>IFERROR(__xludf.DUMMYFUNCTION("""COMPUTED_VALUE"""),"0x3bc863f266b77eed5a57ac60414a0ca3679c3fd0")</f>
        <v>0x3bc863f266b77eed5a57ac60414a0ca3679c3fd0</v>
      </c>
      <c r="J4083" s="18">
        <v>0.31259685408552</v>
      </c>
      <c r="K4083" s="4">
        <v>3.9074606760690003</v>
      </c>
      <c r="L4083" s="19">
        <v>3.907460676069E18</v>
      </c>
      <c r="M4083" s="20">
        <v>3.9074606760690003E17</v>
      </c>
    </row>
    <row r="4084">
      <c r="A4084" s="6"/>
      <c r="B4084" s="6"/>
      <c r="C4084" s="4"/>
      <c r="D4084" s="4">
        <v>48.3641275995966</v>
      </c>
      <c r="E4084" s="4" t="s">
        <v>6157</v>
      </c>
      <c r="F4084" s="4"/>
      <c r="G4084" s="4"/>
      <c r="H4084" s="4"/>
      <c r="I4084" s="4" t="str">
        <f>IFERROR(__xludf.DUMMYFUNCTION("""COMPUTED_VALUE"""),"0xba25efa280f5cfcbea2616b8afdcbba0f1175fb8")</f>
        <v>0xba25efa280f5cfcbea2616b8afdcbba0f1175fb8</v>
      </c>
      <c r="J4084" s="18">
        <v>18.0744089246747</v>
      </c>
      <c r="K4084" s="4">
        <v>225.93011155843374</v>
      </c>
      <c r="L4084" s="19">
        <v>2.2593011155843373E20</v>
      </c>
      <c r="M4084" s="20">
        <v>2.2593011155843375E19</v>
      </c>
    </row>
    <row r="4085">
      <c r="A4085" s="6"/>
      <c r="B4085" s="6"/>
      <c r="C4085" s="4"/>
      <c r="D4085" s="4">
        <v>48.3641275995966</v>
      </c>
      <c r="E4085" s="4" t="s">
        <v>6158</v>
      </c>
      <c r="F4085" s="4"/>
      <c r="G4085" s="4"/>
      <c r="H4085" s="4"/>
      <c r="I4085" s="4" t="str">
        <f>IFERROR(__xludf.DUMMYFUNCTION("""COMPUTED_VALUE"""),"0xe739d0106a449c39cf84e99d0e75e30aa5d163f2")</f>
        <v>0xe739d0106a449c39cf84e99d0e75e30aa5d163f2</v>
      </c>
      <c r="J4085" s="18">
        <v>234.37608780709658</v>
      </c>
      <c r="K4085" s="4">
        <v>2929.7010975887074</v>
      </c>
      <c r="L4085" s="19">
        <v>2.9297010975887076E21</v>
      </c>
      <c r="M4085" s="20">
        <v>2.9297010975887078E20</v>
      </c>
    </row>
    <row r="4086">
      <c r="A4086" s="6"/>
      <c r="B4086" s="6"/>
      <c r="C4086" s="4"/>
      <c r="D4086" s="4">
        <v>48.3641275995966</v>
      </c>
      <c r="E4086" s="4" t="s">
        <v>6159</v>
      </c>
      <c r="F4086" s="4"/>
      <c r="G4086" s="4"/>
      <c r="H4086" s="4"/>
      <c r="I4086" s="4" t="str">
        <f>IFERROR(__xludf.DUMMYFUNCTION("""COMPUTED_VALUE"""),"0xfd104ddbfc4575173588fe9dbad417f8088488d8")</f>
        <v>0xfd104ddbfc4575173588fe9dbad417f8088488d8</v>
      </c>
      <c r="J4086" s="18">
        <v>43.2417398925969</v>
      </c>
      <c r="K4086" s="4">
        <v>540.5217486574612</v>
      </c>
      <c r="L4086" s="19">
        <v>5.405217486574612E20</v>
      </c>
      <c r="M4086" s="20">
        <v>5.4052174865746125E19</v>
      </c>
    </row>
    <row r="4087">
      <c r="A4087" s="6"/>
      <c r="B4087" s="6"/>
      <c r="C4087" s="4"/>
      <c r="D4087" s="4">
        <v>17.4110859358548</v>
      </c>
      <c r="E4087" s="4" t="s">
        <v>6160</v>
      </c>
      <c r="F4087" s="4"/>
      <c r="G4087" s="4"/>
      <c r="H4087" s="4"/>
      <c r="I4087" s="4" t="str">
        <f>IFERROR(__xludf.DUMMYFUNCTION("""COMPUTED_VALUE"""),"0xf1faffa66a7cacc2a629cf98d0d491f69376c3a2")</f>
        <v>0xf1faffa66a7cacc2a629cf98d0d491f69376c3a2</v>
      </c>
      <c r="J4087" s="18">
        <v>43.578849439804095</v>
      </c>
      <c r="K4087" s="4">
        <v>544.7356179975512</v>
      </c>
      <c r="L4087" s="19">
        <v>5.4473561799755124E20</v>
      </c>
      <c r="M4087" s="20">
        <v>5.447356179975513E19</v>
      </c>
    </row>
    <row r="4088">
      <c r="A4088" s="6"/>
      <c r="B4088" s="6"/>
      <c r="C4088" s="4"/>
      <c r="D4088" s="4">
        <v>29.1817202944726</v>
      </c>
      <c r="E4088" s="4" t="s">
        <v>6161</v>
      </c>
      <c r="F4088" s="4"/>
      <c r="G4088" s="4"/>
      <c r="H4088" s="4"/>
      <c r="I4088" s="4" t="str">
        <f>IFERROR(__xludf.DUMMYFUNCTION("""COMPUTED_VALUE"""),"0x0effe4fb5280a46a5e787f7a94a3f364117b4ebd")</f>
        <v>0x0effe4fb5280a46a5e787f7a94a3f364117b4ebd</v>
      </c>
      <c r="J4088" s="18">
        <v>6.985722615667</v>
      </c>
      <c r="K4088" s="4">
        <v>87.3215326958375</v>
      </c>
      <c r="L4088" s="19">
        <v>8.73215326958375E19</v>
      </c>
      <c r="M4088" s="20">
        <v>8.732153269583751E18</v>
      </c>
    </row>
    <row r="4089">
      <c r="A4089" s="6"/>
      <c r="B4089" s="6"/>
      <c r="C4089" s="4"/>
      <c r="D4089" s="4">
        <v>48.3641275995966</v>
      </c>
      <c r="E4089" s="4" t="s">
        <v>6163</v>
      </c>
      <c r="F4089" s="4"/>
      <c r="G4089" s="4"/>
      <c r="H4089" s="4"/>
      <c r="I4089" s="4" t="str">
        <f>IFERROR(__xludf.DUMMYFUNCTION("""COMPUTED_VALUE"""),"0x7c6719117499bb108cc762e7fb37088419472755")</f>
        <v>0x7c6719117499bb108cc762e7fb37088419472755</v>
      </c>
      <c r="J4089" s="18">
        <v>8.59087058906031</v>
      </c>
      <c r="K4089" s="4">
        <v>107.38588236325388</v>
      </c>
      <c r="L4089" s="19">
        <v>1.0738588236325388E20</v>
      </c>
      <c r="M4089" s="20">
        <v>1.0738588236325388E19</v>
      </c>
    </row>
    <row r="4090">
      <c r="A4090" s="6"/>
      <c r="B4090" s="6"/>
      <c r="C4090" s="4"/>
      <c r="D4090" s="4">
        <v>43.042755315483305</v>
      </c>
      <c r="E4090" s="4" t="s">
        <v>6164</v>
      </c>
      <c r="F4090" s="4"/>
      <c r="G4090" s="4"/>
      <c r="H4090" s="4"/>
      <c r="I4090" s="4" t="str">
        <f>IFERROR(__xludf.DUMMYFUNCTION("""COMPUTED_VALUE"""),"0x2b7b828613cabceef46c77165774e2d2c56778b9")</f>
        <v>0x2b7b828613cabceef46c77165774e2d2c56778b9</v>
      </c>
      <c r="J4090" s="18">
        <v>48.3641275995966</v>
      </c>
      <c r="K4090" s="4">
        <v>604.5515949949574</v>
      </c>
      <c r="L4090" s="19">
        <v>6.045515949949574E20</v>
      </c>
      <c r="M4090" s="20">
        <v>6.045515949949574E19</v>
      </c>
    </row>
    <row r="4091">
      <c r="A4091" s="6"/>
      <c r="B4091" s="6"/>
      <c r="C4091" s="4"/>
      <c r="D4091" s="4">
        <v>48.3641275995966</v>
      </c>
      <c r="E4091" s="4" t="s">
        <v>6166</v>
      </c>
      <c r="F4091" s="4"/>
      <c r="G4091" s="4"/>
      <c r="H4091" s="4"/>
      <c r="I4091" s="4" t="str">
        <f>IFERROR(__xludf.DUMMYFUNCTION("""COMPUTED_VALUE"""),"0xfcc258b802e11bb5c998e05946fdacdacdaa7100")</f>
        <v>0xfcc258b802e11bb5c998e05946fdacdacdaa7100</v>
      </c>
      <c r="J4091" s="18">
        <v>33.2282694365832</v>
      </c>
      <c r="K4091" s="4">
        <v>415.35336795728995</v>
      </c>
      <c r="L4091" s="19">
        <v>4.1535336795728996E20</v>
      </c>
      <c r="M4091" s="20">
        <v>4.1535336795728994E19</v>
      </c>
    </row>
    <row r="4092">
      <c r="A4092" s="6"/>
      <c r="B4092" s="6"/>
      <c r="C4092" s="4"/>
      <c r="D4092" s="4">
        <v>21.8605856750176</v>
      </c>
      <c r="E4092" s="4" t="s">
        <v>139</v>
      </c>
      <c r="F4092" s="4"/>
      <c r="G4092" s="4"/>
      <c r="H4092" s="4"/>
      <c r="I4092" s="4" t="str">
        <f>IFERROR(__xludf.DUMMYFUNCTION("""COMPUTED_VALUE"""),"0xb88e5decd4af91b2e32b64d6590449d302f3dcd9")</f>
        <v>0xb88e5decd4af91b2e32b64d6590449d302f3dcd9</v>
      </c>
      <c r="J4092" s="18">
        <v>135.244812720553</v>
      </c>
      <c r="K4092" s="4">
        <v>1690.5601590069125</v>
      </c>
      <c r="L4092" s="19">
        <v>1.6905601590069124E21</v>
      </c>
      <c r="M4092" s="20">
        <v>1.6905601590069123E20</v>
      </c>
    </row>
    <row r="4093">
      <c r="A4093" s="6"/>
      <c r="B4093" s="6"/>
      <c r="C4093" s="4"/>
      <c r="D4093" s="4">
        <v>9.70002890392532</v>
      </c>
      <c r="E4093" s="4" t="s">
        <v>6167</v>
      </c>
      <c r="F4093" s="4"/>
      <c r="G4093" s="4"/>
      <c r="H4093" s="4"/>
      <c r="I4093" s="4" t="str">
        <f>IFERROR(__xludf.DUMMYFUNCTION("""COMPUTED_VALUE"""),"0x86c14ae4c7c22534d361c6790abb5fcce12453fb")</f>
        <v>0x86c14ae4c7c22534d361c6790abb5fcce12453fb</v>
      </c>
      <c r="J4093" s="18">
        <v>57.66472560997164</v>
      </c>
      <c r="K4093" s="4">
        <v>720.8090701246455</v>
      </c>
      <c r="L4093" s="19">
        <v>7.208090701246455E20</v>
      </c>
      <c r="M4093" s="20">
        <v>7.208090701246455E19</v>
      </c>
    </row>
    <row r="4094">
      <c r="A4094" s="6"/>
      <c r="B4094" s="6"/>
      <c r="C4094" s="4"/>
      <c r="D4094" s="4">
        <v>10.031258943466701</v>
      </c>
      <c r="E4094" s="4" t="s">
        <v>6169</v>
      </c>
      <c r="F4094" s="4"/>
      <c r="G4094" s="4"/>
      <c r="H4094" s="4"/>
      <c r="I4094" s="4" t="str">
        <f>IFERROR(__xludf.DUMMYFUNCTION("""COMPUTED_VALUE"""),"0x284982f645cff359a471f868c2ba31746a8d2eb1")</f>
        <v>0x284982f645cff359a471f868c2ba31746a8d2eb1</v>
      </c>
      <c r="J4094" s="18">
        <v>0.601565668060192</v>
      </c>
      <c r="K4094" s="4">
        <v>7.519570850752399</v>
      </c>
      <c r="L4094" s="19">
        <v>7.519570850752399E18</v>
      </c>
      <c r="M4094" s="20">
        <v>7.5195708507524E17</v>
      </c>
    </row>
    <row r="4095">
      <c r="A4095" s="6"/>
      <c r="B4095" s="6"/>
      <c r="C4095" s="4"/>
      <c r="D4095" s="4">
        <v>48.3641275995966</v>
      </c>
      <c r="E4095" s="4" t="s">
        <v>6171</v>
      </c>
      <c r="F4095" s="4"/>
      <c r="G4095" s="4"/>
      <c r="H4095" s="4"/>
      <c r="I4095" s="4" t="str">
        <f>IFERROR(__xludf.DUMMYFUNCTION("""COMPUTED_VALUE"""),"0xf871e3815df117819a73ac60cdadf9844220a852")</f>
        <v>0xf871e3815df117819a73ac60cdadf9844220a852</v>
      </c>
      <c r="J4095" s="18">
        <v>234.37608780709658</v>
      </c>
      <c r="K4095" s="4">
        <v>2929.7010975887074</v>
      </c>
      <c r="L4095" s="19">
        <v>2.9297010975887076E21</v>
      </c>
      <c r="M4095" s="20">
        <v>2.9297010975887078E20</v>
      </c>
    </row>
    <row r="4096">
      <c r="A4096" s="6"/>
      <c r="B4096" s="6"/>
      <c r="C4096" s="4"/>
      <c r="D4096" s="4">
        <v>48.3641275995966</v>
      </c>
      <c r="E4096" s="4" t="s">
        <v>6172</v>
      </c>
      <c r="F4096" s="4"/>
      <c r="G4096" s="4"/>
      <c r="H4096" s="4"/>
      <c r="I4096" s="4" t="str">
        <f>IFERROR(__xludf.DUMMYFUNCTION("""COMPUTED_VALUE"""),"0xeb2e7a1140eba811d246508adc46ff36bb7ab1ba")</f>
        <v>0xeb2e7a1140eba811d246508adc46ff36bb7ab1ba</v>
      </c>
      <c r="J4096" s="18">
        <v>5.99188778155205</v>
      </c>
      <c r="K4096" s="4">
        <v>74.89859726940063</v>
      </c>
      <c r="L4096" s="19">
        <v>7.489859726940062E19</v>
      </c>
      <c r="M4096" s="20">
        <v>7.489859726940062E18</v>
      </c>
    </row>
    <row r="4097">
      <c r="A4097" s="6"/>
      <c r="B4097" s="6"/>
      <c r="C4097" s="4"/>
      <c r="D4097" s="4">
        <v>9.672825519919328</v>
      </c>
      <c r="E4097" s="4" t="s">
        <v>6173</v>
      </c>
      <c r="F4097" s="4"/>
      <c r="G4097" s="4"/>
      <c r="H4097" s="4"/>
      <c r="I4097" s="4" t="str">
        <f>IFERROR(__xludf.DUMMYFUNCTION("""COMPUTED_VALUE"""),"0x1caa79642006c2a17c08c3b736661fbebc5d828f")</f>
        <v>0x1caa79642006c2a17c08c3b736661fbebc5d828f</v>
      </c>
      <c r="J4097" s="18">
        <v>0.626546166566816</v>
      </c>
      <c r="K4097" s="4">
        <v>7.8318270820852005</v>
      </c>
      <c r="L4097" s="19">
        <v>7.831827082085201E18</v>
      </c>
      <c r="M4097" s="20">
        <v>7.831827082085202E17</v>
      </c>
    </row>
    <row r="4098">
      <c r="A4098" s="6"/>
      <c r="B4098" s="6"/>
      <c r="C4098" s="4"/>
      <c r="D4098" s="4">
        <v>9.672825519919328</v>
      </c>
      <c r="E4098" s="4" t="s">
        <v>6174</v>
      </c>
      <c r="F4098" s="4"/>
      <c r="G4098" s="4"/>
      <c r="H4098" s="4"/>
      <c r="I4098" s="4" t="str">
        <f>IFERROR(__xludf.DUMMYFUNCTION("""COMPUTED_VALUE"""),"0xdec0de42b846851c45fc971c1101932423a0c82f")</f>
        <v>0xdec0de42b846851c45fc971c1101932423a0c82f</v>
      </c>
      <c r="J4098" s="18">
        <v>51.2712161559886</v>
      </c>
      <c r="K4098" s="4">
        <v>640.8902019498574</v>
      </c>
      <c r="L4098" s="19">
        <v>6.408902019498574E20</v>
      </c>
      <c r="M4098" s="20">
        <v>6.408902019498574E19</v>
      </c>
    </row>
    <row r="4099">
      <c r="A4099" s="6"/>
      <c r="B4099" s="6"/>
      <c r="C4099" s="4"/>
      <c r="D4099" s="4">
        <v>30.6612252200559</v>
      </c>
      <c r="E4099" s="4" t="s">
        <v>6175</v>
      </c>
      <c r="F4099" s="4"/>
      <c r="G4099" s="4"/>
      <c r="H4099" s="4"/>
      <c r="I4099" s="4" t="str">
        <f>IFERROR(__xludf.DUMMYFUNCTION("""COMPUTED_VALUE"""),"0xaa7e065af43c8706d6252883de291746c054fcd5")</f>
        <v>0xaa7e065af43c8706d6252883de291746c054fcd5</v>
      </c>
      <c r="J4099" s="18">
        <v>11.1135868906811</v>
      </c>
      <c r="K4099" s="4">
        <v>138.91983613351374</v>
      </c>
      <c r="L4099" s="19">
        <v>1.3891983613351374E20</v>
      </c>
      <c r="M4099" s="20">
        <v>1.3891983613351375E19</v>
      </c>
    </row>
    <row r="4100">
      <c r="A4100" s="6"/>
      <c r="B4100" s="6"/>
      <c r="C4100" s="4"/>
      <c r="D4100" s="4">
        <v>48.3641275995966</v>
      </c>
      <c r="E4100" s="4" t="s">
        <v>6177</v>
      </c>
      <c r="F4100" s="4"/>
      <c r="G4100" s="4"/>
      <c r="H4100" s="4"/>
      <c r="I4100" s="4" t="str">
        <f>IFERROR(__xludf.DUMMYFUNCTION("""COMPUTED_VALUE"""),"0xa43867a72cbba85af92a5d171403a8858d29cefd")</f>
        <v>0xa43867a72cbba85af92a5d171403a8858d29cefd</v>
      </c>
      <c r="J4100" s="18">
        <v>48.3641275995966</v>
      </c>
      <c r="K4100" s="4">
        <v>604.5515949949574</v>
      </c>
      <c r="L4100" s="19">
        <v>6.045515949949574E20</v>
      </c>
      <c r="M4100" s="20">
        <v>6.045515949949574E19</v>
      </c>
    </row>
    <row r="4101">
      <c r="A4101" s="6"/>
      <c r="B4101" s="6"/>
      <c r="C4101" s="4"/>
      <c r="D4101" s="4">
        <v>48.3641275995966</v>
      </c>
      <c r="E4101" s="4" t="s">
        <v>6178</v>
      </c>
      <c r="F4101" s="4"/>
      <c r="G4101" s="4"/>
      <c r="H4101" s="4"/>
      <c r="I4101" s="4" t="str">
        <f>IFERROR(__xludf.DUMMYFUNCTION("""COMPUTED_VALUE"""),"0xf6cb5e6435e8af4ced75529feecf61ff01ef15fa")</f>
        <v>0xf6cb5e6435e8af4ced75529feecf61ff01ef15fa</v>
      </c>
      <c r="J4101" s="18">
        <v>18.1812427538113</v>
      </c>
      <c r="K4101" s="4">
        <v>227.26553442264125</v>
      </c>
      <c r="L4101" s="19">
        <v>2.2726553442264125E20</v>
      </c>
      <c r="M4101" s="20">
        <v>2.2726553442264125E19</v>
      </c>
    </row>
    <row r="4102">
      <c r="A4102" s="6"/>
      <c r="B4102" s="6"/>
      <c r="C4102" s="4"/>
      <c r="D4102" s="4">
        <v>48.3641275995966</v>
      </c>
      <c r="E4102" s="4" t="s">
        <v>1735</v>
      </c>
      <c r="F4102" s="4"/>
      <c r="G4102" s="4"/>
      <c r="H4102" s="4"/>
      <c r="I4102" s="4" t="str">
        <f>IFERROR(__xludf.DUMMYFUNCTION("""COMPUTED_VALUE"""),"0xa7c4566d91dbc6605cd8e0e786e97824788bbd01")</f>
        <v>0xa7c4566d91dbc6605cd8e0e786e97824788bbd01</v>
      </c>
      <c r="J4102" s="18">
        <v>19.3456510398386</v>
      </c>
      <c r="K4102" s="4">
        <v>241.8206379979825</v>
      </c>
      <c r="L4102" s="19">
        <v>2.4182063799798248E20</v>
      </c>
      <c r="M4102" s="20">
        <v>2.418206379979825E19</v>
      </c>
    </row>
    <row r="4103">
      <c r="A4103" s="6"/>
      <c r="B4103" s="6"/>
      <c r="C4103" s="4"/>
      <c r="D4103" s="4">
        <v>48.3641275995966</v>
      </c>
      <c r="E4103" s="4" t="s">
        <v>6179</v>
      </c>
      <c r="F4103" s="4"/>
      <c r="G4103" s="4"/>
      <c r="H4103" s="4"/>
      <c r="I4103" s="4" t="str">
        <f>IFERROR(__xludf.DUMMYFUNCTION("""COMPUTED_VALUE"""),"0x833542a37aeb8b1da746408ce409d7006ec769f1")</f>
        <v>0x833542a37aeb8b1da746408ce409d7006ec769f1</v>
      </c>
      <c r="J4103" s="18">
        <v>9.97466483000448</v>
      </c>
      <c r="K4103" s="4">
        <v>124.683310375056</v>
      </c>
      <c r="L4103" s="19">
        <v>1.24683310375056E20</v>
      </c>
      <c r="M4103" s="20">
        <v>1.2468331037505602E19</v>
      </c>
    </row>
    <row r="4104">
      <c r="A4104" s="6"/>
      <c r="B4104" s="6"/>
      <c r="C4104" s="4"/>
      <c r="D4104" s="4">
        <v>48.3641275995966</v>
      </c>
      <c r="E4104" s="4" t="s">
        <v>6180</v>
      </c>
      <c r="F4104" s="4"/>
      <c r="G4104" s="4"/>
      <c r="H4104" s="4"/>
      <c r="I4104" s="4" t="str">
        <f>IFERROR(__xludf.DUMMYFUNCTION("""COMPUTED_VALUE"""),"0x2f7d94c0ebf16ddc38adc42dfc70a232dc9e4a3a")</f>
        <v>0x2f7d94c0ebf16ddc38adc42dfc70a232dc9e4a3a</v>
      </c>
      <c r="J4104" s="18">
        <v>48.3641275995966</v>
      </c>
      <c r="K4104" s="4">
        <v>604.5515949949574</v>
      </c>
      <c r="L4104" s="19">
        <v>6.045515949949574E20</v>
      </c>
      <c r="M4104" s="20">
        <v>6.045515949949574E19</v>
      </c>
    </row>
    <row r="4105">
      <c r="A4105" s="6"/>
      <c r="B4105" s="6"/>
      <c r="C4105" s="4"/>
      <c r="D4105" s="4">
        <v>28.0624259071631</v>
      </c>
      <c r="E4105" s="4" t="s">
        <v>6181</v>
      </c>
      <c r="F4105" s="4"/>
      <c r="G4105" s="4"/>
      <c r="H4105" s="4"/>
      <c r="I4105" s="4" t="str">
        <f>IFERROR(__xludf.DUMMYFUNCTION("""COMPUTED_VALUE"""),"0xcc5fbc359874b8bccea047aa027c454a7c96440b")</f>
        <v>0xcc5fbc359874b8bccea047aa027c454a7c96440b</v>
      </c>
      <c r="J4105" s="18">
        <v>48.3641275995966</v>
      </c>
      <c r="K4105" s="4">
        <v>604.5515949949574</v>
      </c>
      <c r="L4105" s="19">
        <v>6.045515949949574E20</v>
      </c>
      <c r="M4105" s="20">
        <v>6.045515949949574E19</v>
      </c>
    </row>
    <row r="4106">
      <c r="A4106" s="6"/>
      <c r="B4106" s="6"/>
      <c r="C4106" s="4"/>
      <c r="D4106" s="4">
        <v>48.3641275995966</v>
      </c>
      <c r="E4106" s="4" t="s">
        <v>6183</v>
      </c>
      <c r="F4106" s="4"/>
      <c r="G4106" s="4"/>
      <c r="H4106" s="4"/>
      <c r="I4106" s="4" t="str">
        <f>IFERROR(__xludf.DUMMYFUNCTION("""COMPUTED_VALUE"""),"0xbacfba305a3251f75860c4a3433f57362d104444")</f>
        <v>0xbacfba305a3251f75860c4a3433f57362d104444</v>
      </c>
      <c r="J4106" s="18">
        <v>19.2890109296189</v>
      </c>
      <c r="K4106" s="4">
        <v>241.11263662023626</v>
      </c>
      <c r="L4106" s="19">
        <v>2.4111263662023626E20</v>
      </c>
      <c r="M4106" s="20">
        <v>2.4111263662023627E19</v>
      </c>
    </row>
    <row r="4107">
      <c r="A4107" s="6"/>
      <c r="B4107" s="6"/>
      <c r="C4107" s="4"/>
      <c r="D4107" s="4">
        <v>48.3641275995966</v>
      </c>
      <c r="E4107" s="4" t="s">
        <v>6184</v>
      </c>
      <c r="F4107" s="4"/>
      <c r="G4107" s="4"/>
      <c r="H4107" s="4"/>
      <c r="I4107" s="4" t="str">
        <f>IFERROR(__xludf.DUMMYFUNCTION("""COMPUTED_VALUE"""),"0x310f0d17b66881407cc13d22f557fc3c4bfd41bb")</f>
        <v>0x310f0d17b66881407cc13d22f557fc3c4bfd41bb</v>
      </c>
      <c r="J4107" s="18">
        <v>39.956139483053</v>
      </c>
      <c r="K4107" s="4">
        <v>499.4517435381625</v>
      </c>
      <c r="L4107" s="19">
        <v>4.994517435381625E20</v>
      </c>
      <c r="M4107" s="20">
        <v>4.994517435381626E19</v>
      </c>
    </row>
    <row r="4108">
      <c r="A4108" s="6"/>
      <c r="B4108" s="6"/>
      <c r="C4108" s="4"/>
      <c r="D4108" s="4">
        <v>48.3641275995966</v>
      </c>
      <c r="E4108" s="4" t="s">
        <v>6185</v>
      </c>
      <c r="F4108" s="4"/>
      <c r="G4108" s="4"/>
      <c r="H4108" s="4"/>
      <c r="I4108" s="4" t="str">
        <f>IFERROR(__xludf.DUMMYFUNCTION("""COMPUTED_VALUE"""),"0xd593be7d470ba396c180229308edab4e60b98479")</f>
        <v>0xd593be7d470ba396c180229308edab4e60b98479</v>
      </c>
      <c r="J4108" s="18">
        <v>67.8023774412804</v>
      </c>
      <c r="K4108" s="4">
        <v>847.529718016005</v>
      </c>
      <c r="L4108" s="19">
        <v>8.47529718016005E20</v>
      </c>
      <c r="M4108" s="20">
        <v>8.47529718016005E19</v>
      </c>
    </row>
    <row r="4109">
      <c r="A4109" s="6"/>
      <c r="B4109" s="6"/>
      <c r="C4109" s="4"/>
      <c r="D4109" s="4">
        <v>48.3641275995966</v>
      </c>
      <c r="E4109" s="4" t="s">
        <v>6186</v>
      </c>
      <c r="F4109" s="4"/>
      <c r="G4109" s="4"/>
      <c r="H4109" s="4"/>
      <c r="I4109" s="4" t="str">
        <f>IFERROR(__xludf.DUMMYFUNCTION("""COMPUTED_VALUE"""),"0xf7707ee311818916c899cb53e40c01324bddf0b9")</f>
        <v>0xf7707ee311818916c899cb53e40c01324bddf0b9</v>
      </c>
      <c r="J4109" s="18">
        <v>9.67540386650331</v>
      </c>
      <c r="K4109" s="4">
        <v>120.94254833129136</v>
      </c>
      <c r="L4109" s="19">
        <v>1.2094254833129136E20</v>
      </c>
      <c r="M4109" s="20">
        <v>1.2094254833129136E19</v>
      </c>
    </row>
    <row r="4110">
      <c r="A4110" s="6"/>
      <c r="B4110" s="6"/>
      <c r="C4110" s="4"/>
      <c r="D4110" s="4">
        <v>48.3641275995966</v>
      </c>
      <c r="E4110" s="4" t="s">
        <v>6187</v>
      </c>
      <c r="F4110" s="4"/>
      <c r="G4110" s="4"/>
      <c r="H4110" s="4"/>
      <c r="I4110" s="4" t="str">
        <f>IFERROR(__xludf.DUMMYFUNCTION("""COMPUTED_VALUE"""),"0x52283c3525bf7c77503b1f21c0064e6f2452d869")</f>
        <v>0x52283c3525bf7c77503b1f21c0064e6f2452d869</v>
      </c>
      <c r="J4110" s="18">
        <v>37.8852167046201</v>
      </c>
      <c r="K4110" s="4">
        <v>473.5652088077512</v>
      </c>
      <c r="L4110" s="19">
        <v>4.735652088077512E20</v>
      </c>
      <c r="M4110" s="20">
        <v>4.735652088077513E19</v>
      </c>
    </row>
    <row r="4111">
      <c r="A4111" s="6"/>
      <c r="B4111" s="6"/>
      <c r="C4111" s="4"/>
      <c r="D4111" s="4">
        <v>48.3641275995966</v>
      </c>
      <c r="E4111" s="4" t="s">
        <v>6188</v>
      </c>
      <c r="F4111" s="4"/>
      <c r="G4111" s="4"/>
      <c r="H4111" s="4"/>
      <c r="I4111" s="4" t="str">
        <f>IFERROR(__xludf.DUMMYFUNCTION("""COMPUTED_VALUE"""),"0x03bc977ff731f4ca7eb515af33f6f0cf39ec76e2")</f>
        <v>0x03bc977ff731f4ca7eb515af33f6f0cf39ec76e2</v>
      </c>
      <c r="J4111" s="18">
        <v>48.3641275995966</v>
      </c>
      <c r="K4111" s="4">
        <v>604.5515949949574</v>
      </c>
      <c r="L4111" s="19">
        <v>6.045515949949574E20</v>
      </c>
      <c r="M4111" s="20">
        <v>6.045515949949574E19</v>
      </c>
    </row>
    <row r="4112">
      <c r="A4112" s="6"/>
      <c r="B4112" s="6"/>
      <c r="C4112" s="4"/>
      <c r="D4112" s="4">
        <v>19.3456510398386</v>
      </c>
      <c r="E4112" s="4" t="s">
        <v>6189</v>
      </c>
      <c r="F4112" s="4"/>
      <c r="G4112" s="4"/>
      <c r="H4112" s="4"/>
      <c r="I4112" s="4" t="str">
        <f>IFERROR(__xludf.DUMMYFUNCTION("""COMPUTED_VALUE"""),"0x49040080f7a4e5c18e6499e41d375d2fc0ffd24c")</f>
        <v>0x49040080f7a4e5c18e6499e41d375d2fc0ffd24c</v>
      </c>
      <c r="J4112" s="18">
        <v>109.5557175781457</v>
      </c>
      <c r="K4112" s="4">
        <v>1369.4464697268213</v>
      </c>
      <c r="L4112" s="19">
        <v>1.3694464697268214E21</v>
      </c>
      <c r="M4112" s="20">
        <v>1.3694464697268214E20</v>
      </c>
    </row>
    <row r="4113">
      <c r="A4113" s="6"/>
      <c r="B4113" s="6"/>
      <c r="C4113" s="4"/>
      <c r="D4113" s="4">
        <v>48.3641275995966</v>
      </c>
      <c r="E4113" s="4" t="s">
        <v>214</v>
      </c>
      <c r="F4113" s="4"/>
      <c r="G4113" s="4"/>
      <c r="H4113" s="4"/>
      <c r="I4113" s="4" t="str">
        <f>IFERROR(__xludf.DUMMYFUNCTION("""COMPUTED_VALUE"""),"0x4981c4086f83f6c9dd18b0ea80c34fa7b0b37e80")</f>
        <v>0x4981c4086f83f6c9dd18b0ea80c34fa7b0b37e80</v>
      </c>
      <c r="J4113" s="18">
        <v>234.37608780709658</v>
      </c>
      <c r="K4113" s="4">
        <v>2929.7010975887074</v>
      </c>
      <c r="L4113" s="19">
        <v>2.9297010975887076E21</v>
      </c>
      <c r="M4113" s="20">
        <v>2.9297010975887078E20</v>
      </c>
    </row>
    <row r="4114">
      <c r="A4114" s="6"/>
      <c r="B4114" s="6"/>
      <c r="C4114" s="4"/>
      <c r="D4114" s="4">
        <v>18.766663597743197</v>
      </c>
      <c r="E4114" s="4" t="s">
        <v>6190</v>
      </c>
      <c r="F4114" s="4"/>
      <c r="G4114" s="4"/>
      <c r="H4114" s="4"/>
      <c r="I4114" s="4" t="str">
        <f>IFERROR(__xludf.DUMMYFUNCTION("""COMPUTED_VALUE"""),"0xbcef09f2ad78d4298955f14d0547186fe37bd7bb")</f>
        <v>0xbcef09f2ad78d4298955f14d0547186fe37bd7bb</v>
      </c>
      <c r="J4114" s="18">
        <v>9.427871518129251</v>
      </c>
      <c r="K4114" s="4">
        <v>117.84839397661564</v>
      </c>
      <c r="L4114" s="19">
        <v>1.1784839397661563E20</v>
      </c>
      <c r="M4114" s="20">
        <v>1.1784839397661565E19</v>
      </c>
    </row>
    <row r="4115">
      <c r="A4115" s="6"/>
      <c r="B4115" s="6"/>
      <c r="C4115" s="4"/>
      <c r="D4115" s="4">
        <v>19.3456510398386</v>
      </c>
      <c r="E4115" s="4" t="s">
        <v>6192</v>
      </c>
      <c r="F4115" s="4"/>
      <c r="G4115" s="4"/>
      <c r="H4115" s="4"/>
      <c r="I4115" s="4" t="str">
        <f>IFERROR(__xludf.DUMMYFUNCTION("""COMPUTED_VALUE"""),"0x38696762727fe113be58b6c4bfb55042a8b19276")</f>
        <v>0x38696762727fe113be58b6c4bfb55042a8b19276</v>
      </c>
      <c r="J4115" s="18">
        <v>48.3641275995966</v>
      </c>
      <c r="K4115" s="4">
        <v>604.5515949949574</v>
      </c>
      <c r="L4115" s="19">
        <v>6.045515949949574E20</v>
      </c>
      <c r="M4115" s="20">
        <v>6.045515949949574E19</v>
      </c>
    </row>
    <row r="4116">
      <c r="A4116" s="6"/>
      <c r="B4116" s="6"/>
      <c r="C4116" s="4"/>
      <c r="D4116" s="4">
        <v>23.5500296003092</v>
      </c>
      <c r="E4116" s="4" t="s">
        <v>6193</v>
      </c>
      <c r="F4116" s="4"/>
      <c r="G4116" s="4"/>
      <c r="H4116" s="4"/>
      <c r="I4116" s="4" t="str">
        <f>IFERROR(__xludf.DUMMYFUNCTION("""COMPUTED_VALUE"""),"0x6995858b0a19ec3c3d96e7ccf824862d192052d1")</f>
        <v>0x6995858b0a19ec3c3d96e7ccf824862d192052d1</v>
      </c>
      <c r="J4116" s="18">
        <v>9.75079418742189</v>
      </c>
      <c r="K4116" s="4">
        <v>121.88492734277362</v>
      </c>
      <c r="L4116" s="19">
        <v>1.2188492734277362E20</v>
      </c>
      <c r="M4116" s="20">
        <v>1.2188492734277362E19</v>
      </c>
    </row>
    <row r="4117">
      <c r="A4117" s="6"/>
      <c r="B4117" s="6"/>
      <c r="C4117" s="4"/>
      <c r="D4117" s="4">
        <v>20.9242117260498</v>
      </c>
      <c r="E4117" s="4" t="s">
        <v>673</v>
      </c>
      <c r="F4117" s="4"/>
      <c r="G4117" s="4"/>
      <c r="H4117" s="4"/>
      <c r="I4117" s="4" t="str">
        <f>IFERROR(__xludf.DUMMYFUNCTION("""COMPUTED_VALUE"""),"0xa54afb375cbf44cf4c47a975a0e697578286737e")</f>
        <v>0xa54afb375cbf44cf4c47a975a0e697578286737e</v>
      </c>
      <c r="J4117" s="18">
        <v>57.66472560997164</v>
      </c>
      <c r="K4117" s="4">
        <v>720.8090701246455</v>
      </c>
      <c r="L4117" s="19">
        <v>7.208090701246455E20</v>
      </c>
      <c r="M4117" s="20">
        <v>7.208090701246455E19</v>
      </c>
    </row>
    <row r="4118">
      <c r="A4118" s="6"/>
      <c r="B4118" s="6"/>
      <c r="C4118" s="4"/>
      <c r="D4118" s="4">
        <v>6.295537212131739</v>
      </c>
      <c r="E4118" s="4" t="s">
        <v>6196</v>
      </c>
      <c r="F4118" s="4"/>
      <c r="G4118" s="4"/>
      <c r="H4118" s="4"/>
      <c r="I4118" s="4" t="str">
        <f>IFERROR(__xludf.DUMMYFUNCTION("""COMPUTED_VALUE"""),"0xd1be1761a2539fba41e92e172d357c1d0101551a")</f>
        <v>0xd1be1761a2539fba41e92e172d357c1d0101551a</v>
      </c>
      <c r="J4118" s="18">
        <v>1.08050627904222</v>
      </c>
      <c r="K4118" s="4">
        <v>13.50632848802775</v>
      </c>
      <c r="L4118" s="19">
        <v>1.350632848802775E19</v>
      </c>
      <c r="M4118" s="20">
        <v>1.350632848802775E18</v>
      </c>
    </row>
    <row r="4119">
      <c r="A4119" s="6"/>
      <c r="B4119" s="6"/>
      <c r="C4119" s="4"/>
      <c r="D4119" s="4">
        <v>48.3641275995966</v>
      </c>
      <c r="E4119" s="4" t="s">
        <v>6198</v>
      </c>
      <c r="F4119" s="4"/>
      <c r="G4119" s="4"/>
      <c r="H4119" s="4"/>
      <c r="I4119" s="4" t="str">
        <f>IFERROR(__xludf.DUMMYFUNCTION("""COMPUTED_VALUE"""),"0x2458a030fcd018e9af9ae990aef6424e75951384")</f>
        <v>0x2458a030fcd018e9af9ae990aef6424e75951384</v>
      </c>
      <c r="J4119" s="18">
        <v>9.66703629728238</v>
      </c>
      <c r="K4119" s="4">
        <v>120.83795371602974</v>
      </c>
      <c r="L4119" s="19">
        <v>1.2083795371602975E20</v>
      </c>
      <c r="M4119" s="20">
        <v>1.2083795371602977E19</v>
      </c>
    </row>
    <row r="4120">
      <c r="A4120" s="6"/>
      <c r="B4120" s="6"/>
      <c r="C4120" s="4"/>
      <c r="D4120" s="4">
        <v>19.3456510398386</v>
      </c>
      <c r="E4120" s="4" t="s">
        <v>6199</v>
      </c>
      <c r="F4120" s="4"/>
      <c r="G4120" s="4"/>
      <c r="H4120" s="4"/>
      <c r="I4120" s="4" t="str">
        <f>IFERROR(__xludf.DUMMYFUNCTION("""COMPUTED_VALUE"""),"0x3a798beab2387e2f87a20de9ec839361bb4c8719")</f>
        <v>0x3a798beab2387e2f87a20de9ec839361bb4c8719</v>
      </c>
      <c r="J4120" s="18">
        <v>6.47402036931367</v>
      </c>
      <c r="K4120" s="4">
        <v>80.92525461642087</v>
      </c>
      <c r="L4120" s="19">
        <v>8.092525461642088E19</v>
      </c>
      <c r="M4120" s="20">
        <v>8.092525461642088E18</v>
      </c>
    </row>
    <row r="4121">
      <c r="A4121" s="6"/>
      <c r="B4121" s="6"/>
      <c r="C4121" s="4"/>
      <c r="D4121" s="4">
        <v>48.3641275995966</v>
      </c>
      <c r="E4121" s="4" t="s">
        <v>6200</v>
      </c>
      <c r="F4121" s="4"/>
      <c r="G4121" s="4"/>
      <c r="H4121" s="4"/>
      <c r="I4121" s="4" t="str">
        <f>IFERROR(__xludf.DUMMYFUNCTION("""COMPUTED_VALUE"""),"0x5221fe845a6eb381af787196d70cda5cda6dece4")</f>
        <v>0x5221fe845a6eb381af787196d70cda5cda6dece4</v>
      </c>
      <c r="J4121" s="18">
        <v>48.3641275995966</v>
      </c>
      <c r="K4121" s="4">
        <v>604.5515949949574</v>
      </c>
      <c r="L4121" s="19">
        <v>6.045515949949574E20</v>
      </c>
      <c r="M4121" s="20">
        <v>6.045515949949574E19</v>
      </c>
    </row>
    <row r="4122">
      <c r="A4122" s="6"/>
      <c r="B4122" s="6"/>
      <c r="C4122" s="4"/>
      <c r="D4122" s="4">
        <v>19.770599829139</v>
      </c>
      <c r="E4122" s="4" t="s">
        <v>6201</v>
      </c>
      <c r="F4122" s="4"/>
      <c r="G4122" s="4"/>
      <c r="H4122" s="4"/>
      <c r="I4122" s="4" t="str">
        <f>IFERROR(__xludf.DUMMYFUNCTION("""COMPUTED_VALUE"""),"0xcfa1aba8006906679950d2fa133342e91c6efc59")</f>
        <v>0xcfa1aba8006906679950d2fa133342e91c6efc59</v>
      </c>
      <c r="J4122" s="18">
        <v>9.672825519919328</v>
      </c>
      <c r="K4122" s="4">
        <v>120.9103189989916</v>
      </c>
      <c r="L4122" s="19">
        <v>1.209103189989916E20</v>
      </c>
      <c r="M4122" s="20">
        <v>1.209103189989916E19</v>
      </c>
    </row>
    <row r="4123">
      <c r="A4123" s="6"/>
      <c r="B4123" s="6"/>
      <c r="C4123" s="4"/>
      <c r="D4123" s="4">
        <v>48.3641275995966</v>
      </c>
      <c r="E4123" s="4" t="s">
        <v>6203</v>
      </c>
      <c r="F4123" s="4"/>
      <c r="G4123" s="4"/>
      <c r="H4123" s="4"/>
      <c r="I4123" s="4" t="str">
        <f>IFERROR(__xludf.DUMMYFUNCTION("""COMPUTED_VALUE"""),"0x2f140407eb41191aed7a9a44c948b46bfd909406")</f>
        <v>0x2f140407eb41191aed7a9a44c948b46bfd909406</v>
      </c>
      <c r="J4123" s="18">
        <v>44.1957637552928</v>
      </c>
      <c r="K4123" s="4">
        <v>552.44704694116</v>
      </c>
      <c r="L4123" s="19">
        <v>5.5244704694116E20</v>
      </c>
      <c r="M4123" s="20">
        <v>5.5244704694116E19</v>
      </c>
    </row>
    <row r="4124">
      <c r="A4124" s="6"/>
      <c r="B4124" s="6"/>
      <c r="C4124" s="4"/>
      <c r="D4124" s="4">
        <v>10.263603664483101</v>
      </c>
      <c r="E4124" s="4" t="s">
        <v>6204</v>
      </c>
      <c r="F4124" s="4"/>
      <c r="G4124" s="4"/>
      <c r="H4124" s="4"/>
      <c r="I4124" s="4" t="str">
        <f>IFERROR(__xludf.DUMMYFUNCTION("""COMPUTED_VALUE"""),"0xe549bed3442d6c112eca3977a11a87b43a95dc4e")</f>
        <v>0xe549bed3442d6c112eca3977a11a87b43a95dc4e</v>
      </c>
      <c r="J4124" s="18">
        <v>9.86628203031772</v>
      </c>
      <c r="K4124" s="4">
        <v>123.32852537897149</v>
      </c>
      <c r="L4124" s="19">
        <v>1.2332852537897148E20</v>
      </c>
      <c r="M4124" s="20">
        <v>1.2332852537897148E19</v>
      </c>
    </row>
    <row r="4125">
      <c r="A4125" s="6"/>
      <c r="B4125" s="6"/>
      <c r="C4125" s="4"/>
      <c r="D4125" s="4">
        <v>22.823473397106902</v>
      </c>
      <c r="E4125" s="4" t="s">
        <v>6206</v>
      </c>
      <c r="F4125" s="4"/>
      <c r="G4125" s="4"/>
      <c r="H4125" s="4"/>
      <c r="I4125" s="4" t="str">
        <f>IFERROR(__xludf.DUMMYFUNCTION("""COMPUTED_VALUE"""),"0x66a7d6a2d7775ac5bad8941be6924211d8916bb4")</f>
        <v>0x66a7d6a2d7775ac5bad8941be6924211d8916bb4</v>
      </c>
      <c r="J4125" s="18">
        <v>8.813782636899699</v>
      </c>
      <c r="K4125" s="4">
        <v>110.17228296124624</v>
      </c>
      <c r="L4125" s="19">
        <v>1.1017228296124624E20</v>
      </c>
      <c r="M4125" s="20">
        <v>1.1017228296124625E19</v>
      </c>
    </row>
    <row r="4126">
      <c r="A4126" s="6"/>
      <c r="B4126" s="6"/>
      <c r="C4126" s="4"/>
      <c r="D4126" s="4">
        <v>0.336458153141258</v>
      </c>
      <c r="E4126" s="4" t="s">
        <v>6208</v>
      </c>
      <c r="F4126" s="4"/>
      <c r="G4126" s="4"/>
      <c r="H4126" s="4"/>
      <c r="I4126" s="4" t="str">
        <f>IFERROR(__xludf.DUMMYFUNCTION("""COMPUTED_VALUE"""),"0x45f72add1a4fd75f5aac28b503d05c1875aa23f2")</f>
        <v>0x45f72add1a4fd75f5aac28b503d05c1875aa23f2</v>
      </c>
      <c r="J4126" s="18">
        <v>48.3641275995966</v>
      </c>
      <c r="K4126" s="4">
        <v>604.5515949949574</v>
      </c>
      <c r="L4126" s="19">
        <v>6.045515949949574E20</v>
      </c>
      <c r="M4126" s="20">
        <v>6.045515949949574E19</v>
      </c>
    </row>
    <row r="4127">
      <c r="A4127" s="6"/>
      <c r="B4127" s="6"/>
      <c r="C4127" s="4"/>
      <c r="D4127" s="4">
        <v>28.5677476996282</v>
      </c>
      <c r="E4127" s="4" t="s">
        <v>6210</v>
      </c>
      <c r="F4127" s="4"/>
      <c r="G4127" s="4"/>
      <c r="H4127" s="4"/>
      <c r="I4127" s="4" t="str">
        <f>IFERROR(__xludf.DUMMYFUNCTION("""COMPUTED_VALUE"""),"0x57c9e87fe2d0469a191aa12226780bdaa65a8174")</f>
        <v>0x57c9e87fe2d0469a191aa12226780bdaa65a8174</v>
      </c>
      <c r="J4127" s="18">
        <v>3.35885504202958</v>
      </c>
      <c r="K4127" s="4">
        <v>41.98568802536975</v>
      </c>
      <c r="L4127" s="19">
        <v>4.198568802536975E19</v>
      </c>
      <c r="M4127" s="20">
        <v>4.198568802536975E18</v>
      </c>
    </row>
    <row r="4128">
      <c r="A4128" s="6"/>
      <c r="B4128" s="6"/>
      <c r="C4128" s="4"/>
      <c r="D4128" s="4">
        <v>48.029287465766004</v>
      </c>
      <c r="E4128" s="4" t="s">
        <v>6212</v>
      </c>
      <c r="F4128" s="4"/>
      <c r="G4128" s="4"/>
      <c r="H4128" s="4"/>
      <c r="I4128" s="4" t="str">
        <f>IFERROR(__xludf.DUMMYFUNCTION("""COMPUTED_VALUE"""),"0xb966c9109ba022a5580502de94ed1746d71bec06")</f>
        <v>0xb966c9109ba022a5580502de94ed1746d71bec06</v>
      </c>
      <c r="J4128" s="18">
        <v>23.4082375690534</v>
      </c>
      <c r="K4128" s="4">
        <v>292.6029696131675</v>
      </c>
      <c r="L4128" s="19">
        <v>2.926029696131675E20</v>
      </c>
      <c r="M4128" s="20">
        <v>2.926029696131675E19</v>
      </c>
    </row>
    <row r="4129">
      <c r="A4129" s="6"/>
      <c r="B4129" s="6"/>
      <c r="C4129" s="4"/>
      <c r="D4129" s="4">
        <v>24.9900791989913</v>
      </c>
      <c r="E4129" s="4" t="s">
        <v>6214</v>
      </c>
      <c r="F4129" s="4"/>
      <c r="G4129" s="4"/>
      <c r="H4129" s="4"/>
      <c r="I4129" s="4" t="str">
        <f>IFERROR(__xludf.DUMMYFUNCTION("""COMPUTED_VALUE"""),"0xa4531c47dee6e854468e4a1ad27a134e1220d2d7")</f>
        <v>0xa4531c47dee6e854468e4a1ad27a134e1220d2d7</v>
      </c>
      <c r="J4129" s="18">
        <v>8.07005642046121</v>
      </c>
      <c r="K4129" s="4">
        <v>100.87570525576513</v>
      </c>
      <c r="L4129" s="19">
        <v>1.0087570525576513E20</v>
      </c>
      <c r="M4129" s="20">
        <v>1.0087570525576514E19</v>
      </c>
    </row>
    <row r="4130">
      <c r="A4130" s="6"/>
      <c r="B4130" s="6"/>
      <c r="C4130" s="4"/>
      <c r="D4130" s="4">
        <v>9.672825519919328</v>
      </c>
      <c r="E4130" s="4" t="s">
        <v>6216</v>
      </c>
      <c r="F4130" s="4"/>
      <c r="G4130" s="4"/>
      <c r="H4130" s="4"/>
      <c r="I4130" s="4" t="str">
        <f>IFERROR(__xludf.DUMMYFUNCTION("""COMPUTED_VALUE"""),"0x4c4b46abe88f996d1b3b4a8fa41876535675ef1e")</f>
        <v>0x4c4b46abe88f996d1b3b4a8fa41876535675ef1e</v>
      </c>
      <c r="J4130" s="18">
        <v>82.5764409744317</v>
      </c>
      <c r="K4130" s="4">
        <v>1032.2055121803962</v>
      </c>
      <c r="L4130" s="19">
        <v>1.0322055121803962E21</v>
      </c>
      <c r="M4130" s="20">
        <v>1.0322055121803962E20</v>
      </c>
    </row>
    <row r="4131">
      <c r="A4131" s="6"/>
      <c r="B4131" s="6"/>
      <c r="C4131" s="4"/>
      <c r="D4131" s="4">
        <v>9.672825519919328</v>
      </c>
      <c r="E4131" s="4" t="s">
        <v>6217</v>
      </c>
      <c r="F4131" s="4"/>
      <c r="G4131" s="4"/>
      <c r="H4131" s="4"/>
      <c r="I4131" s="4" t="str">
        <f>IFERROR(__xludf.DUMMYFUNCTION("""COMPUTED_VALUE"""),"0x97049bd3fdda09cd0b28cc9068adb803d1a38332")</f>
        <v>0x97049bd3fdda09cd0b28cc9068adb803d1a38332</v>
      </c>
      <c r="J4131" s="18">
        <v>1.47037447707555</v>
      </c>
      <c r="K4131" s="4">
        <v>18.379680963444375</v>
      </c>
      <c r="L4131" s="19">
        <v>1.8379680963444376E19</v>
      </c>
      <c r="M4131" s="20">
        <v>1.8379680963444378E18</v>
      </c>
    </row>
    <row r="4132">
      <c r="A4132" s="6"/>
      <c r="B4132" s="6"/>
      <c r="C4132" s="4"/>
      <c r="D4132" s="4">
        <v>48.3641275995966</v>
      </c>
      <c r="E4132" s="4" t="s">
        <v>6218</v>
      </c>
      <c r="F4132" s="4"/>
      <c r="G4132" s="4"/>
      <c r="H4132" s="4"/>
      <c r="I4132" s="4" t="str">
        <f>IFERROR(__xludf.DUMMYFUNCTION("""COMPUTED_VALUE"""),"0x084c60cd0197fa55e546ef39f91be1d7e7ef4ebe")</f>
        <v>0x084c60cd0197fa55e546ef39f91be1d7e7ef4ebe</v>
      </c>
      <c r="J4132" s="18">
        <v>19.3456510398386</v>
      </c>
      <c r="K4132" s="4">
        <v>241.8206379979825</v>
      </c>
      <c r="L4132" s="19">
        <v>2.4182063799798248E20</v>
      </c>
      <c r="M4132" s="20">
        <v>2.418206379979825E19</v>
      </c>
    </row>
    <row r="4133">
      <c r="A4133" s="6"/>
      <c r="B4133" s="6"/>
      <c r="C4133" s="4"/>
      <c r="D4133" s="4">
        <v>48.3641275995966</v>
      </c>
      <c r="E4133" s="4" t="s">
        <v>6219</v>
      </c>
      <c r="F4133" s="4"/>
      <c r="G4133" s="4"/>
      <c r="H4133" s="4"/>
      <c r="I4133" s="4" t="str">
        <f>IFERROR(__xludf.DUMMYFUNCTION("""COMPUTED_VALUE"""),"0xd0796406c67e79b6b41c5fc625f09c84975768fe")</f>
        <v>0xd0796406c67e79b6b41c5fc625f09c84975768fe</v>
      </c>
      <c r="J4133" s="18">
        <v>19.3456510398386</v>
      </c>
      <c r="K4133" s="4">
        <v>241.8206379979825</v>
      </c>
      <c r="L4133" s="19">
        <v>2.4182063799798248E20</v>
      </c>
      <c r="M4133" s="20">
        <v>2.418206379979825E19</v>
      </c>
    </row>
    <row r="4134">
      <c r="A4134" s="6"/>
      <c r="B4134" s="6"/>
      <c r="C4134" s="4"/>
      <c r="D4134" s="4">
        <v>48.3641275995966</v>
      </c>
      <c r="E4134" s="4" t="s">
        <v>747</v>
      </c>
      <c r="F4134" s="4"/>
      <c r="G4134" s="4"/>
      <c r="H4134" s="4"/>
      <c r="I4134" s="4" t="str">
        <f>IFERROR(__xludf.DUMMYFUNCTION("""COMPUTED_VALUE"""),"0x10571ca77583c35000060dee956932d217ddcfde")</f>
        <v>0x10571ca77583c35000060dee956932d217ddcfde</v>
      </c>
      <c r="J4134" s="18">
        <v>32.9467858362092</v>
      </c>
      <c r="K4134" s="4">
        <v>411.834822952615</v>
      </c>
      <c r="L4134" s="19">
        <v>4.11834822952615E20</v>
      </c>
      <c r="M4134" s="20">
        <v>4.11834822952615E19</v>
      </c>
    </row>
    <row r="4135">
      <c r="A4135" s="6"/>
      <c r="B4135" s="6"/>
      <c r="C4135" s="4"/>
      <c r="D4135" s="4">
        <v>48.3641275995966</v>
      </c>
      <c r="E4135" s="4" t="s">
        <v>6220</v>
      </c>
      <c r="F4135" s="4"/>
      <c r="G4135" s="4"/>
      <c r="H4135" s="4"/>
      <c r="I4135" s="4" t="str">
        <f>IFERROR(__xludf.DUMMYFUNCTION("""COMPUTED_VALUE"""),"0xffa98f5d5c61678133048de1fe81c56f9c58124e")</f>
        <v>0xffa98f5d5c61678133048de1fe81c56f9c58124e</v>
      </c>
      <c r="J4135" s="18">
        <v>29.018476559758</v>
      </c>
      <c r="K4135" s="4">
        <v>362.730956996975</v>
      </c>
      <c r="L4135" s="19">
        <v>3.62730956996975E20</v>
      </c>
      <c r="M4135" s="20">
        <v>3.62730956996975E19</v>
      </c>
    </row>
    <row r="4136">
      <c r="A4136" s="6"/>
      <c r="B4136" s="6"/>
      <c r="C4136" s="4"/>
      <c r="D4136" s="4">
        <v>10.0787726240487</v>
      </c>
      <c r="E4136" s="4" t="s">
        <v>6221</v>
      </c>
      <c r="F4136" s="4"/>
      <c r="G4136" s="4"/>
      <c r="H4136" s="4"/>
      <c r="I4136" s="4" t="str">
        <f>IFERROR(__xludf.DUMMYFUNCTION("""COMPUTED_VALUE"""),"0xd8164711ed327968ca5969779b3a8e4a34740cdf")</f>
        <v>0xd8164711ed327968ca5969779b3a8e4a34740cdf</v>
      </c>
      <c r="J4136" s="18">
        <v>57.66472560997164</v>
      </c>
      <c r="K4136" s="4">
        <v>720.8090701246455</v>
      </c>
      <c r="L4136" s="19">
        <v>7.208090701246455E20</v>
      </c>
      <c r="M4136" s="20">
        <v>7.208090701246455E19</v>
      </c>
    </row>
    <row r="4137">
      <c r="A4137" s="6"/>
      <c r="B4137" s="6"/>
      <c r="C4137" s="4"/>
      <c r="D4137" s="4">
        <v>14.786658064035601</v>
      </c>
      <c r="E4137" s="4" t="s">
        <v>6223</v>
      </c>
      <c r="F4137" s="4"/>
      <c r="G4137" s="4"/>
      <c r="H4137" s="4"/>
      <c r="I4137" s="4" t="str">
        <f>IFERROR(__xludf.DUMMYFUNCTION("""COMPUTED_VALUE"""),"0xe3901d0a64973a4f9e163a9fe8448dcdc98ba8e9")</f>
        <v>0xe3901d0a64973a4f9e163a9fe8448dcdc98ba8e9</v>
      </c>
      <c r="J4137" s="18">
        <v>27.652761504056002</v>
      </c>
      <c r="K4137" s="4">
        <v>345.6595188007</v>
      </c>
      <c r="L4137" s="19">
        <v>3.4565951880070005E20</v>
      </c>
      <c r="M4137" s="20">
        <v>3.4565951880070005E19</v>
      </c>
    </row>
    <row r="4138">
      <c r="A4138" s="6"/>
      <c r="B4138" s="6"/>
      <c r="C4138" s="4"/>
      <c r="D4138" s="4">
        <v>28.5356454058602</v>
      </c>
      <c r="E4138" s="4" t="s">
        <v>6225</v>
      </c>
      <c r="F4138" s="4"/>
      <c r="G4138" s="4"/>
      <c r="H4138" s="4"/>
      <c r="I4138" s="4" t="str">
        <f>IFERROR(__xludf.DUMMYFUNCTION("""COMPUTED_VALUE"""),"0x76c4d9067dd1ee4ea3c7498672146cee97da265d")</f>
        <v>0x76c4d9067dd1ee4ea3c7498672146cee97da265d</v>
      </c>
      <c r="J4138" s="18">
        <v>45.10531310217395</v>
      </c>
      <c r="K4138" s="4">
        <v>563.8164137771744</v>
      </c>
      <c r="L4138" s="19">
        <v>5.638164137771744E20</v>
      </c>
      <c r="M4138" s="20">
        <v>5.6381641377717445E19</v>
      </c>
    </row>
    <row r="4139">
      <c r="A4139" s="6"/>
      <c r="B4139" s="6"/>
      <c r="C4139" s="4"/>
      <c r="D4139" s="4">
        <v>8.341690843946301</v>
      </c>
      <c r="E4139" s="4" t="s">
        <v>6227</v>
      </c>
      <c r="F4139" s="4"/>
      <c r="G4139" s="4"/>
      <c r="H4139" s="4"/>
      <c r="I4139" s="4" t="str">
        <f>IFERROR(__xludf.DUMMYFUNCTION("""COMPUTED_VALUE"""),"0x3beb5b78363e32832199dd0abc961412ba4eca6c")</f>
        <v>0x3beb5b78363e32832199dd0abc961412ba4eca6c</v>
      </c>
      <c r="J4139" s="18">
        <v>104.4308275098052</v>
      </c>
      <c r="K4139" s="4">
        <v>1305.385343872565</v>
      </c>
      <c r="L4139" s="19">
        <v>1.305385343872565E21</v>
      </c>
      <c r="M4139" s="20">
        <v>1.3053853438725651E20</v>
      </c>
    </row>
    <row r="4140">
      <c r="A4140" s="6"/>
      <c r="B4140" s="6"/>
      <c r="C4140" s="4"/>
      <c r="D4140" s="4">
        <v>48.3641275995966</v>
      </c>
      <c r="E4140" s="4" t="s">
        <v>6229</v>
      </c>
      <c r="F4140" s="4"/>
      <c r="G4140" s="4"/>
      <c r="H4140" s="4"/>
      <c r="I4140" s="4" t="str">
        <f>IFERROR(__xludf.DUMMYFUNCTION("""COMPUTED_VALUE"""),"0x202c3b701c5a4305052cb391238ef8e91ca729b4")</f>
        <v>0x202c3b701c5a4305052cb391238ef8e91ca729b4</v>
      </c>
      <c r="J4140" s="18">
        <v>12.0649929257911</v>
      </c>
      <c r="K4140" s="4">
        <v>150.81241157238875</v>
      </c>
      <c r="L4140" s="19">
        <v>1.5081241157238876E20</v>
      </c>
      <c r="M4140" s="20">
        <v>1.5081241157238876E19</v>
      </c>
    </row>
    <row r="4141">
      <c r="A4141" s="6"/>
      <c r="B4141" s="6"/>
      <c r="C4141" s="4"/>
      <c r="D4141" s="4">
        <v>48.3641275995966</v>
      </c>
      <c r="E4141" s="4" t="s">
        <v>848</v>
      </c>
      <c r="F4141" s="4"/>
      <c r="G4141" s="4"/>
      <c r="H4141" s="4"/>
      <c r="I4141" s="4" t="str">
        <f>IFERROR(__xludf.DUMMYFUNCTION("""COMPUTED_VALUE"""),"0xb6431cdbebed03604ebef611e0f4ade7871e9352")</f>
        <v>0xb6431cdbebed03604ebef611e0f4ade7871e9352</v>
      </c>
      <c r="J4141" s="18">
        <v>39.0782151004741</v>
      </c>
      <c r="K4141" s="4">
        <v>488.4776887559262</v>
      </c>
      <c r="L4141" s="19">
        <v>4.884776887559262E20</v>
      </c>
      <c r="M4141" s="20">
        <v>4.884776887559262E19</v>
      </c>
    </row>
    <row r="4142">
      <c r="A4142" s="6"/>
      <c r="B4142" s="6"/>
      <c r="C4142" s="4"/>
      <c r="D4142" s="4">
        <v>48.3641275995966</v>
      </c>
      <c r="E4142" s="4" t="s">
        <v>1041</v>
      </c>
      <c r="F4142" s="4"/>
      <c r="G4142" s="4"/>
      <c r="H4142" s="4"/>
      <c r="I4142" s="4" t="str">
        <f>IFERROR(__xludf.DUMMYFUNCTION("""COMPUTED_VALUE"""),"0x276f55a95f8579d1ba13680167d1211bea5454da")</f>
        <v>0x276f55a95f8579d1ba13680167d1211bea5454da</v>
      </c>
      <c r="J4142" s="18">
        <v>187.4007783818316</v>
      </c>
      <c r="K4142" s="4">
        <v>2342.509729772895</v>
      </c>
      <c r="L4142" s="19">
        <v>2.342509729772895E21</v>
      </c>
      <c r="M4142" s="20">
        <v>2.342509729772895E20</v>
      </c>
    </row>
    <row r="4143">
      <c r="A4143" s="6"/>
      <c r="B4143" s="6"/>
      <c r="C4143" s="4"/>
      <c r="D4143" s="4">
        <v>9.392244152825649</v>
      </c>
      <c r="E4143" s="4" t="s">
        <v>6230</v>
      </c>
      <c r="F4143" s="4"/>
      <c r="G4143" s="4"/>
      <c r="H4143" s="4"/>
      <c r="I4143" s="4" t="str">
        <f>IFERROR(__xludf.DUMMYFUNCTION("""COMPUTED_VALUE"""),"0xf6d2158000b79fa669bba14ad1ae12c2c50fd4e3")</f>
        <v>0xf6d2158000b79fa669bba14ad1ae12c2c50fd4e3</v>
      </c>
      <c r="J4143" s="18">
        <v>28.503414238944103</v>
      </c>
      <c r="K4143" s="4">
        <v>356.29267798680127</v>
      </c>
      <c r="L4143" s="19">
        <v>3.562926779868013E20</v>
      </c>
      <c r="M4143" s="20">
        <v>3.562926779868013E19</v>
      </c>
    </row>
    <row r="4144">
      <c r="A4144" s="6"/>
      <c r="B4144" s="6"/>
      <c r="C4144" s="4"/>
      <c r="D4144" s="4">
        <v>29.018476559758</v>
      </c>
      <c r="E4144" s="4" t="s">
        <v>6232</v>
      </c>
      <c r="F4144" s="4"/>
      <c r="G4144" s="4"/>
      <c r="H4144" s="4"/>
      <c r="I4144" s="4" t="str">
        <f>IFERROR(__xludf.DUMMYFUNCTION("""COMPUTED_VALUE"""),"0x9617cebbaf57b123e9bcff3ea7965ebe852ef4f3")</f>
        <v>0x9617cebbaf57b123e9bcff3ea7965ebe852ef4f3</v>
      </c>
      <c r="J4144" s="18">
        <v>5.2893485427088995</v>
      </c>
      <c r="K4144" s="4">
        <v>66.11685678386124</v>
      </c>
      <c r="L4144" s="19">
        <v>6.6116856783861236E19</v>
      </c>
      <c r="M4144" s="20">
        <v>6.611685678386124E18</v>
      </c>
    </row>
    <row r="4145">
      <c r="A4145" s="6"/>
      <c r="B4145" s="6"/>
      <c r="C4145" s="4"/>
      <c r="D4145" s="4">
        <v>48.3389298849955</v>
      </c>
      <c r="E4145" s="4" t="s">
        <v>6233</v>
      </c>
      <c r="F4145" s="4"/>
      <c r="G4145" s="4"/>
      <c r="H4145" s="4"/>
      <c r="I4145" s="4" t="str">
        <f>IFERROR(__xludf.DUMMYFUNCTION("""COMPUTED_VALUE"""),"0xc11127bacd1ef7823dda7a9063bef6d8cb5cdb9a")</f>
        <v>0xc11127bacd1ef7823dda7a9063bef6d8cb5cdb9a</v>
      </c>
      <c r="J4145" s="18">
        <v>19.1239307868925</v>
      </c>
      <c r="K4145" s="4">
        <v>239.04913483615627</v>
      </c>
      <c r="L4145" s="19">
        <v>2.3904913483615627E20</v>
      </c>
      <c r="M4145" s="20">
        <v>2.390491348361563E19</v>
      </c>
    </row>
    <row r="4146">
      <c r="A4146" s="6"/>
      <c r="B4146" s="6"/>
      <c r="C4146" s="4"/>
      <c r="D4146" s="4">
        <v>48.3641275995966</v>
      </c>
      <c r="E4146" s="4" t="s">
        <v>6235</v>
      </c>
      <c r="F4146" s="4"/>
      <c r="G4146" s="4"/>
      <c r="H4146" s="4"/>
      <c r="I4146" s="4" t="str">
        <f>IFERROR(__xludf.DUMMYFUNCTION("""COMPUTED_VALUE"""),"0xa402895de245673833a2ba48626fe8d7c58cfcf9")</f>
        <v>0xa402895de245673833a2ba48626fe8d7c58cfcf9</v>
      </c>
      <c r="J4146" s="18">
        <v>43.723354163166896</v>
      </c>
      <c r="K4146" s="4">
        <v>546.5419270395862</v>
      </c>
      <c r="L4146" s="19">
        <v>5.465419270395862E20</v>
      </c>
      <c r="M4146" s="20">
        <v>5.465419270395862E19</v>
      </c>
    </row>
    <row r="4147">
      <c r="A4147" s="6"/>
      <c r="B4147" s="6"/>
      <c r="C4147" s="4"/>
      <c r="D4147" s="4">
        <v>16.9252035639534</v>
      </c>
      <c r="E4147" s="4" t="s">
        <v>643</v>
      </c>
      <c r="F4147" s="4"/>
      <c r="G4147" s="4"/>
      <c r="H4147" s="4"/>
      <c r="I4147" s="4" t="str">
        <f>IFERROR(__xludf.DUMMYFUNCTION("""COMPUTED_VALUE"""),"0xd49f8023c21d027803424e6948001ae6c9f9c1e5")</f>
        <v>0xd49f8023c21d027803424e6948001ae6c9f9c1e5</v>
      </c>
      <c r="J4147" s="18">
        <v>57.66472560997164</v>
      </c>
      <c r="K4147" s="4">
        <v>720.8090701246455</v>
      </c>
      <c r="L4147" s="19">
        <v>7.208090701246455E20</v>
      </c>
      <c r="M4147" s="20">
        <v>7.208090701246455E19</v>
      </c>
    </row>
    <row r="4148">
      <c r="A4148" s="6"/>
      <c r="B4148" s="6"/>
      <c r="C4148" s="4"/>
      <c r="D4148" s="4">
        <v>43.4509788161138</v>
      </c>
      <c r="E4148" s="4" t="s">
        <v>1317</v>
      </c>
      <c r="F4148" s="4"/>
      <c r="G4148" s="4"/>
      <c r="H4148" s="4"/>
      <c r="I4148" s="4" t="str">
        <f>IFERROR(__xludf.DUMMYFUNCTION("""COMPUTED_VALUE"""),"0x3d84c4a27d3d345b6b26d120d37dc014b2c7a48b")</f>
        <v>0x3d84c4a27d3d345b6b26d120d37dc014b2c7a48b</v>
      </c>
      <c r="J4148" s="18">
        <v>19.3456510398386</v>
      </c>
      <c r="K4148" s="4">
        <v>241.8206379979825</v>
      </c>
      <c r="L4148" s="19">
        <v>2.4182063799798248E20</v>
      </c>
      <c r="M4148" s="20">
        <v>2.418206379979825E19</v>
      </c>
    </row>
    <row r="4149">
      <c r="A4149" s="6"/>
      <c r="B4149" s="6"/>
      <c r="C4149" s="4"/>
      <c r="D4149" s="4">
        <v>32.3072372365305</v>
      </c>
      <c r="E4149" s="4" t="s">
        <v>6238</v>
      </c>
      <c r="F4149" s="4"/>
      <c r="G4149" s="4"/>
      <c r="H4149" s="4"/>
      <c r="I4149" s="4" t="str">
        <f>IFERROR(__xludf.DUMMYFUNCTION("""COMPUTED_VALUE"""),"0x4e02004c80ffee6b40239b12bfcd06f234e74a29")</f>
        <v>0x4e02004c80ffee6b40239b12bfcd06f234e74a29</v>
      </c>
      <c r="J4149" s="18">
        <v>59.594720595784</v>
      </c>
      <c r="K4149" s="4">
        <v>744.9340074472999</v>
      </c>
      <c r="L4149" s="19">
        <v>7.449340074473E20</v>
      </c>
      <c r="M4149" s="20">
        <v>7.449340074473E19</v>
      </c>
    </row>
    <row r="4150">
      <c r="A4150" s="6"/>
      <c r="B4150" s="6"/>
      <c r="C4150" s="4"/>
      <c r="D4150" s="4">
        <v>9.672825519919328</v>
      </c>
      <c r="E4150" s="4" t="s">
        <v>6240</v>
      </c>
      <c r="F4150" s="4"/>
      <c r="G4150" s="4"/>
      <c r="H4150" s="4"/>
      <c r="I4150" s="4" t="str">
        <f>IFERROR(__xludf.DUMMYFUNCTION("""COMPUTED_VALUE"""),"0x7f1cd22f3e8dfac287cb6b1d29a4d28ecb797b9c")</f>
        <v>0x7f1cd22f3e8dfac287cb6b1d29a4d28ecb797b9c</v>
      </c>
      <c r="J4150" s="18">
        <v>48.3641275995966</v>
      </c>
      <c r="K4150" s="4">
        <v>604.5515949949574</v>
      </c>
      <c r="L4150" s="19">
        <v>6.045515949949574E20</v>
      </c>
      <c r="M4150" s="20">
        <v>6.045515949949574E19</v>
      </c>
    </row>
    <row r="4151">
      <c r="A4151" s="6"/>
      <c r="B4151" s="6"/>
      <c r="C4151" s="4"/>
      <c r="D4151" s="4">
        <v>33.6108908315119</v>
      </c>
      <c r="E4151" s="4" t="s">
        <v>6241</v>
      </c>
      <c r="F4151" s="4"/>
      <c r="G4151" s="4"/>
      <c r="H4151" s="4"/>
      <c r="I4151" s="4" t="str">
        <f>IFERROR(__xludf.DUMMYFUNCTION("""COMPUTED_VALUE"""),"0x3a3421f7d6c7a6c51f514db6afa497421f585bf6")</f>
        <v>0x3a3421f7d6c7a6c51f514db6afa497421f585bf6</v>
      </c>
      <c r="J4151" s="18">
        <v>86.205334070806</v>
      </c>
      <c r="K4151" s="4">
        <v>1077.566675885075</v>
      </c>
      <c r="L4151" s="19">
        <v>1.0775666758850751E21</v>
      </c>
      <c r="M4151" s="20">
        <v>1.0775666758850752E20</v>
      </c>
    </row>
    <row r="4152">
      <c r="A4152" s="6"/>
      <c r="B4152" s="6"/>
      <c r="C4152" s="4"/>
      <c r="D4152" s="4">
        <v>48.3641275995966</v>
      </c>
      <c r="E4152" s="4" t="s">
        <v>6243</v>
      </c>
      <c r="F4152" s="4"/>
      <c r="G4152" s="4"/>
      <c r="H4152" s="4"/>
      <c r="I4152" s="4" t="str">
        <f>IFERROR(__xludf.DUMMYFUNCTION("""COMPUTED_VALUE"""),"0x7cabbb3cb1943e7aa88db46089fdb2b890392aa5")</f>
        <v>0x7cabbb3cb1943e7aa88db46089fdb2b890392aa5</v>
      </c>
      <c r="J4152" s="18">
        <v>83.7064000390217</v>
      </c>
      <c r="K4152" s="4">
        <v>1046.3300004877713</v>
      </c>
      <c r="L4152" s="19">
        <v>1.0463300004877713E21</v>
      </c>
      <c r="M4152" s="20">
        <v>1.0463300004877713E20</v>
      </c>
    </row>
    <row r="4153">
      <c r="A4153" s="6"/>
      <c r="B4153" s="6"/>
      <c r="C4153" s="4"/>
      <c r="D4153" s="4">
        <v>9.47527199712612</v>
      </c>
      <c r="E4153" s="4" t="s">
        <v>6244</v>
      </c>
      <c r="F4153" s="4"/>
      <c r="G4153" s="4"/>
      <c r="H4153" s="4"/>
      <c r="I4153" s="4" t="str">
        <f>IFERROR(__xludf.DUMMYFUNCTION("""COMPUTED_VALUE"""),"0x78c14d57a93ca5331426bc5f07b985b7121e1a4b")</f>
        <v>0x78c14d57a93ca5331426bc5f07b985b7121e1a4b</v>
      </c>
      <c r="J4153" s="18">
        <v>10.6401080719112</v>
      </c>
      <c r="K4153" s="4">
        <v>133.00135089889</v>
      </c>
      <c r="L4153" s="19">
        <v>1.3300135089889E20</v>
      </c>
      <c r="M4153" s="20">
        <v>1.3300135089889001E19</v>
      </c>
    </row>
    <row r="4154">
      <c r="A4154" s="6"/>
      <c r="B4154" s="6"/>
      <c r="C4154" s="4"/>
      <c r="D4154" s="4">
        <v>48.3641275995966</v>
      </c>
      <c r="E4154" s="4" t="s">
        <v>1719</v>
      </c>
      <c r="F4154" s="4"/>
      <c r="G4154" s="4"/>
      <c r="H4154" s="4"/>
      <c r="I4154" s="4" t="str">
        <f>IFERROR(__xludf.DUMMYFUNCTION("""COMPUTED_VALUE"""),"0x1509d0cf64fe6b6edb76fa69e86f05b79e611d0a")</f>
        <v>0x1509d0cf64fe6b6edb76fa69e86f05b79e611d0a</v>
      </c>
      <c r="J4154" s="18">
        <v>48.3641275995966</v>
      </c>
      <c r="K4154" s="4">
        <v>604.5515949949574</v>
      </c>
      <c r="L4154" s="19">
        <v>6.045515949949574E20</v>
      </c>
      <c r="M4154" s="20">
        <v>6.045515949949574E19</v>
      </c>
    </row>
    <row r="4155">
      <c r="A4155" s="6"/>
      <c r="B4155" s="6"/>
      <c r="C4155" s="4"/>
      <c r="D4155" s="4">
        <v>9.76799546803111</v>
      </c>
      <c r="E4155" s="4" t="s">
        <v>6246</v>
      </c>
      <c r="F4155" s="4"/>
      <c r="G4155" s="4"/>
      <c r="H4155" s="4"/>
      <c r="I4155" s="4" t="str">
        <f>IFERROR(__xludf.DUMMYFUNCTION("""COMPUTED_VALUE"""),"0x30443cf598a568411189d736a53e4cf7c8dbbb20")</f>
        <v>0x30443cf598a568411189d736a53e4cf7c8dbbb20</v>
      </c>
      <c r="J4155" s="18">
        <v>16.337432822069</v>
      </c>
      <c r="K4155" s="4">
        <v>204.21791027586252</v>
      </c>
      <c r="L4155" s="19">
        <v>2.0421791027586253E20</v>
      </c>
      <c r="M4155" s="20">
        <v>2.0421791027586253E19</v>
      </c>
    </row>
    <row r="4156">
      <c r="A4156" s="6"/>
      <c r="B4156" s="6"/>
      <c r="C4156" s="4"/>
      <c r="D4156" s="4">
        <v>29.018476559758</v>
      </c>
      <c r="E4156" s="4" t="s">
        <v>6248</v>
      </c>
      <c r="F4156" s="4"/>
      <c r="G4156" s="4"/>
      <c r="H4156" s="4"/>
      <c r="I4156" s="4" t="str">
        <f>IFERROR(__xludf.DUMMYFUNCTION("""COMPUTED_VALUE"""),"0x04a038e2e653fa9ffbe289dfd96770053acb1978")</f>
        <v>0x04a038e2e653fa9ffbe289dfd96770053acb1978</v>
      </c>
      <c r="J4156" s="18">
        <v>23.8103974978581</v>
      </c>
      <c r="K4156" s="4">
        <v>297.6299687232263</v>
      </c>
      <c r="L4156" s="19">
        <v>2.9762996872322626E20</v>
      </c>
      <c r="M4156" s="20">
        <v>2.976299687232263E19</v>
      </c>
    </row>
    <row r="4157">
      <c r="A4157" s="6"/>
      <c r="B4157" s="6"/>
      <c r="C4157" s="4"/>
      <c r="D4157" s="4">
        <v>9.672825519919328</v>
      </c>
      <c r="E4157" s="4" t="s">
        <v>6249</v>
      </c>
      <c r="F4157" s="4"/>
      <c r="G4157" s="4"/>
      <c r="H4157" s="4"/>
      <c r="I4157" s="4" t="str">
        <f>IFERROR(__xludf.DUMMYFUNCTION("""COMPUTED_VALUE"""),"0x50d5d72c2b81662378135451f2c3b5c38e55f4dd")</f>
        <v>0x50d5d72c2b81662378135451f2c3b5c38e55f4dd</v>
      </c>
      <c r="J4157" s="18">
        <v>43.9463822700935</v>
      </c>
      <c r="K4157" s="4">
        <v>549.3297783761687</v>
      </c>
      <c r="L4157" s="19">
        <v>5.493297783761688E20</v>
      </c>
      <c r="M4157" s="20">
        <v>5.493297783761688E19</v>
      </c>
    </row>
    <row r="4158">
      <c r="A4158" s="6"/>
      <c r="B4158" s="6"/>
      <c r="C4158" s="4"/>
      <c r="D4158" s="4">
        <v>33.2347871291813</v>
      </c>
      <c r="E4158" s="4" t="s">
        <v>6250</v>
      </c>
      <c r="F4158" s="4"/>
      <c r="G4158" s="4"/>
      <c r="H4158" s="4"/>
      <c r="I4158" s="4" t="str">
        <f>IFERROR(__xludf.DUMMYFUNCTION("""COMPUTED_VALUE"""),"0x6252e935fa86e110219d42428a735337c64876a8")</f>
        <v>0x6252e935fa86e110219d42428a735337c64876a8</v>
      </c>
      <c r="J4158" s="18">
        <v>57.79367924383366</v>
      </c>
      <c r="K4158" s="4">
        <v>722.4209905479207</v>
      </c>
      <c r="L4158" s="19">
        <v>7.224209905479207E20</v>
      </c>
      <c r="M4158" s="20">
        <v>7.224209905479207E19</v>
      </c>
    </row>
    <row r="4159">
      <c r="A4159" s="6"/>
      <c r="B4159" s="6"/>
      <c r="C4159" s="4"/>
      <c r="D4159" s="4">
        <v>48.3641275995966</v>
      </c>
      <c r="E4159" s="4" t="s">
        <v>6252</v>
      </c>
      <c r="F4159" s="4"/>
      <c r="G4159" s="4"/>
      <c r="H4159" s="4"/>
      <c r="I4159" s="4" t="str">
        <f>IFERROR(__xludf.DUMMYFUNCTION("""COMPUTED_VALUE"""),"0xcb6a43585b6719bdf518011e5e44a1b0b5ebbd5c")</f>
        <v>0xcb6a43585b6719bdf518011e5e44a1b0b5ebbd5c</v>
      </c>
      <c r="J4159" s="18">
        <v>57.66472560997164</v>
      </c>
      <c r="K4159" s="4">
        <v>720.8090701246455</v>
      </c>
      <c r="L4159" s="19">
        <v>7.208090701246455E20</v>
      </c>
      <c r="M4159" s="20">
        <v>7.208090701246455E19</v>
      </c>
    </row>
    <row r="4160">
      <c r="A4160" s="6"/>
      <c r="B4160" s="6"/>
      <c r="C4160" s="4"/>
      <c r="D4160" s="4">
        <v>48.3641275995966</v>
      </c>
      <c r="E4160" s="4" t="s">
        <v>254</v>
      </c>
      <c r="F4160" s="4"/>
      <c r="G4160" s="4"/>
      <c r="H4160" s="4"/>
      <c r="I4160" s="4" t="str">
        <f>IFERROR(__xludf.DUMMYFUNCTION("""COMPUTED_VALUE"""),"0xe443523894494e069343363103776084d9977ada")</f>
        <v>0xe443523894494e069343363103776084d9977ada</v>
      </c>
      <c r="J4160" s="18">
        <v>43.2015664040193</v>
      </c>
      <c r="K4160" s="4">
        <v>540.0195800502413</v>
      </c>
      <c r="L4160" s="19">
        <v>5.400195800502413E20</v>
      </c>
      <c r="M4160" s="20">
        <v>5.400195800502413E19</v>
      </c>
    </row>
    <row r="4161">
      <c r="A4161" s="6"/>
      <c r="B4161" s="6"/>
      <c r="C4161" s="4"/>
      <c r="D4161" s="4">
        <v>45.964982912504</v>
      </c>
      <c r="E4161" s="4" t="s">
        <v>185</v>
      </c>
      <c r="F4161" s="4"/>
      <c r="G4161" s="4"/>
      <c r="H4161" s="4"/>
      <c r="I4161" s="4" t="str">
        <f>IFERROR(__xludf.DUMMYFUNCTION("""COMPUTED_VALUE"""),"0x3a1711bce829e721c83a20dd05dee70b8a4bb644")</f>
        <v>0x3a1711bce829e721c83a20dd05dee70b8a4bb644</v>
      </c>
      <c r="J4161" s="18">
        <v>62.5239204575236</v>
      </c>
      <c r="K4161" s="4">
        <v>781.549005719045</v>
      </c>
      <c r="L4161" s="19">
        <v>7.81549005719045E20</v>
      </c>
      <c r="M4161" s="20">
        <v>7.81549005719045E19</v>
      </c>
    </row>
    <row r="4162">
      <c r="A4162" s="6"/>
      <c r="B4162" s="6"/>
      <c r="C4162" s="4"/>
      <c r="D4162" s="4">
        <v>6.84915903655936</v>
      </c>
      <c r="E4162" s="4" t="s">
        <v>6254</v>
      </c>
      <c r="F4162" s="4"/>
      <c r="G4162" s="4"/>
      <c r="H4162" s="4"/>
      <c r="I4162" s="4" t="str">
        <f>IFERROR(__xludf.DUMMYFUNCTION("""COMPUTED_VALUE"""),"0x59cfb6aa0c150c8d082cf795ce76d85c112d49fd")</f>
        <v>0x59cfb6aa0c150c8d082cf795ce76d85c112d49fd</v>
      </c>
      <c r="J4162" s="18">
        <v>43.4855413203701</v>
      </c>
      <c r="K4162" s="4">
        <v>543.5692665046263</v>
      </c>
      <c r="L4162" s="19">
        <v>5.435692665046263E20</v>
      </c>
      <c r="M4162" s="20">
        <v>5.435692665046263E19</v>
      </c>
    </row>
    <row r="4163">
      <c r="A4163" s="6"/>
      <c r="B4163" s="6"/>
      <c r="C4163" s="4"/>
      <c r="D4163" s="4">
        <v>19.337545957143497</v>
      </c>
      <c r="E4163" s="4" t="s">
        <v>480</v>
      </c>
      <c r="F4163" s="4"/>
      <c r="G4163" s="4"/>
      <c r="H4163" s="4"/>
      <c r="I4163" s="4" t="str">
        <f>IFERROR(__xludf.DUMMYFUNCTION("""COMPUTED_VALUE"""),"0x45ace929788207d6a889d4b7a5a4be106a351103")</f>
        <v>0x45ace929788207d6a889d4b7a5a4be106a351103</v>
      </c>
      <c r="J4163" s="18">
        <v>19.2874761916923</v>
      </c>
      <c r="K4163" s="4">
        <v>241.09345239615374</v>
      </c>
      <c r="L4163" s="19">
        <v>2.4109345239615373E20</v>
      </c>
      <c r="M4163" s="20">
        <v>2.4109345239615373E19</v>
      </c>
    </row>
    <row r="4164">
      <c r="A4164" s="6"/>
      <c r="B4164" s="6"/>
      <c r="C4164" s="4"/>
      <c r="D4164" s="4">
        <v>48.3641275995966</v>
      </c>
      <c r="E4164" s="4" t="s">
        <v>6257</v>
      </c>
      <c r="F4164" s="4"/>
      <c r="G4164" s="4"/>
      <c r="H4164" s="4"/>
      <c r="I4164" s="4" t="str">
        <f>IFERROR(__xludf.DUMMYFUNCTION("""COMPUTED_VALUE"""),"0x5a941dfd1027dda3c466bf01f702a56e77e4ab7a")</f>
        <v>0x5a941dfd1027dda3c466bf01f702a56e77e4ab7a</v>
      </c>
      <c r="J4164" s="18">
        <v>47.7876838658147</v>
      </c>
      <c r="K4164" s="4">
        <v>597.3460483226837</v>
      </c>
      <c r="L4164" s="19">
        <v>5.973460483226837E20</v>
      </c>
      <c r="M4164" s="20">
        <v>5.973460483226837E19</v>
      </c>
    </row>
    <row r="4165">
      <c r="A4165" s="6"/>
      <c r="B4165" s="6"/>
      <c r="C4165" s="4"/>
      <c r="D4165" s="4">
        <v>6.3584273221778105</v>
      </c>
      <c r="E4165" s="4" t="s">
        <v>6258</v>
      </c>
      <c r="F4165" s="4"/>
      <c r="G4165" s="4"/>
      <c r="H4165" s="4"/>
      <c r="I4165" s="4" t="str">
        <f>IFERROR(__xludf.DUMMYFUNCTION("""COMPUTED_VALUE"""),"0x674d20f803d4865cf753574473cd77708e9e9af2")</f>
        <v>0x674d20f803d4865cf753574473cd77708e9e9af2</v>
      </c>
      <c r="J4165" s="18">
        <v>48.3641275995966</v>
      </c>
      <c r="K4165" s="4">
        <v>604.5515949949574</v>
      </c>
      <c r="L4165" s="19">
        <v>6.045515949949574E20</v>
      </c>
      <c r="M4165" s="20">
        <v>6.045515949949574E19</v>
      </c>
    </row>
    <row r="4166">
      <c r="A4166" s="6"/>
      <c r="B4166" s="6"/>
      <c r="C4166" s="4"/>
      <c r="D4166" s="4">
        <v>30.3870133820032</v>
      </c>
      <c r="E4166" s="4" t="s">
        <v>6260</v>
      </c>
      <c r="F4166" s="4"/>
      <c r="G4166" s="4"/>
      <c r="H4166" s="4"/>
      <c r="I4166" s="4" t="str">
        <f>IFERROR(__xludf.DUMMYFUNCTION("""COMPUTED_VALUE"""),"0x04669c2b562ba85cf9de01a7f8dddbc7ef8f2cf1")</f>
        <v>0x04669c2b562ba85cf9de01a7f8dddbc7ef8f2cf1</v>
      </c>
      <c r="J4166" s="18">
        <v>9.672825519919328</v>
      </c>
      <c r="K4166" s="4">
        <v>120.9103189989916</v>
      </c>
      <c r="L4166" s="19">
        <v>1.209103189989916E20</v>
      </c>
      <c r="M4166" s="20">
        <v>1.209103189989916E19</v>
      </c>
    </row>
    <row r="4167">
      <c r="A4167" s="6"/>
      <c r="B4167" s="6"/>
      <c r="C4167" s="4"/>
      <c r="D4167" s="4">
        <v>41.0010842943247</v>
      </c>
      <c r="E4167" s="4" t="s">
        <v>6262</v>
      </c>
      <c r="F4167" s="4"/>
      <c r="G4167" s="4"/>
      <c r="H4167" s="4"/>
      <c r="I4167" s="4" t="str">
        <f>IFERROR(__xludf.DUMMYFUNCTION("""COMPUTED_VALUE"""),"0x0ff00a8d74de07741f8361174154ab03d00a7421")</f>
        <v>0x0ff00a8d74de07741f8361174154ab03d00a7421</v>
      </c>
      <c r="J4167" s="18">
        <v>17.5872174968552</v>
      </c>
      <c r="K4167" s="4">
        <v>219.84021871068998</v>
      </c>
      <c r="L4167" s="19">
        <v>2.1984021871068997E20</v>
      </c>
      <c r="M4167" s="20">
        <v>2.1984021871069E19</v>
      </c>
    </row>
    <row r="4168">
      <c r="A4168" s="6"/>
      <c r="B4168" s="6"/>
      <c r="C4168" s="4"/>
      <c r="D4168" s="4">
        <v>35.6881276932704</v>
      </c>
      <c r="E4168" s="4" t="s">
        <v>6264</v>
      </c>
      <c r="F4168" s="4"/>
      <c r="G4168" s="4"/>
      <c r="H4168" s="4"/>
      <c r="I4168" s="4" t="str">
        <f>IFERROR(__xludf.DUMMYFUNCTION("""COMPUTED_VALUE"""),"0xc5a444017b9975b80f4fd030bbfea138058a5e67")</f>
        <v>0xc5a444017b9975b80f4fd030bbfea138058a5e67</v>
      </c>
      <c r="J4168" s="18">
        <v>234.37608780709658</v>
      </c>
      <c r="K4168" s="4">
        <v>2929.7010975887074</v>
      </c>
      <c r="L4168" s="19">
        <v>2.9297010975887076E21</v>
      </c>
      <c r="M4168" s="20">
        <v>2.9297010975887078E20</v>
      </c>
    </row>
    <row r="4169">
      <c r="A4169" s="6"/>
      <c r="B4169" s="6"/>
      <c r="C4169" s="4"/>
      <c r="D4169" s="4">
        <v>26.8513789296823</v>
      </c>
      <c r="E4169" s="4" t="s">
        <v>6266</v>
      </c>
      <c r="F4169" s="4"/>
      <c r="G4169" s="4"/>
      <c r="H4169" s="4"/>
      <c r="I4169" s="4" t="str">
        <f>IFERROR(__xludf.DUMMYFUNCTION("""COMPUTED_VALUE"""),"0x601160af6efed60150ba49978f8b9d4abdc3106a")</f>
        <v>0x601160af6efed60150ba49978f8b9d4abdc3106a</v>
      </c>
      <c r="J4169" s="18">
        <v>43.62242431539661</v>
      </c>
      <c r="K4169" s="4">
        <v>545.2803039424575</v>
      </c>
      <c r="L4169" s="19">
        <v>5.452803039424575E20</v>
      </c>
      <c r="M4169" s="20">
        <v>5.452803039424575E19</v>
      </c>
    </row>
    <row r="4170">
      <c r="A4170" s="6"/>
      <c r="B4170" s="6"/>
      <c r="C4170" s="4"/>
      <c r="D4170" s="4">
        <v>4.73060987413734</v>
      </c>
      <c r="E4170" s="4" t="s">
        <v>6268</v>
      </c>
      <c r="F4170" s="4"/>
      <c r="G4170" s="4"/>
      <c r="H4170" s="4"/>
      <c r="I4170" s="4" t="str">
        <f>IFERROR(__xludf.DUMMYFUNCTION("""COMPUTED_VALUE"""),"0x0cf530392aacc1ee44d788e1ecec39135605d105")</f>
        <v>0x0cf530392aacc1ee44d788e1ecec39135605d105</v>
      </c>
      <c r="J4170" s="18">
        <v>9.96026854343622</v>
      </c>
      <c r="K4170" s="4">
        <v>124.50335679295274</v>
      </c>
      <c r="L4170" s="19">
        <v>1.2450335679295275E20</v>
      </c>
      <c r="M4170" s="20">
        <v>1.2450335679295275E19</v>
      </c>
    </row>
    <row r="4171">
      <c r="A4171" s="6"/>
      <c r="B4171" s="6"/>
      <c r="C4171" s="4"/>
      <c r="D4171" s="4">
        <v>10.6794939010733</v>
      </c>
      <c r="E4171" s="4" t="s">
        <v>6270</v>
      </c>
      <c r="F4171" s="4"/>
      <c r="G4171" s="4"/>
      <c r="H4171" s="4"/>
      <c r="I4171" s="4" t="str">
        <f>IFERROR(__xludf.DUMMYFUNCTION("""COMPUTED_VALUE"""),"0x87296273fe7d9d43629809024839dcff76a38f5e")</f>
        <v>0x87296273fe7d9d43629809024839dcff76a38f5e</v>
      </c>
      <c r="J4171" s="18">
        <v>43.5721536805501</v>
      </c>
      <c r="K4171" s="4">
        <v>544.6519210068763</v>
      </c>
      <c r="L4171" s="19">
        <v>5.446519210068762E20</v>
      </c>
      <c r="M4171" s="20">
        <v>5.446519210068763E19</v>
      </c>
    </row>
    <row r="4172">
      <c r="A4172" s="6"/>
      <c r="B4172" s="6"/>
      <c r="C4172" s="4"/>
      <c r="D4172" s="4">
        <v>48.3641275995966</v>
      </c>
      <c r="E4172" s="4" t="s">
        <v>6272</v>
      </c>
      <c r="F4172" s="4"/>
      <c r="G4172" s="4"/>
      <c r="H4172" s="4"/>
      <c r="I4172" s="4" t="str">
        <f>IFERROR(__xludf.DUMMYFUNCTION("""COMPUTED_VALUE"""),"0xde62454e1f6f7ef04a70a79edd44936aaa5259ae")</f>
        <v>0xde62454e1f6f7ef04a70a79edd44936aaa5259ae</v>
      </c>
      <c r="J4172" s="18">
        <v>67.550341625593</v>
      </c>
      <c r="K4172" s="4">
        <v>844.3792703199125</v>
      </c>
      <c r="L4172" s="19">
        <v>8.443792703199125E20</v>
      </c>
      <c r="M4172" s="20">
        <v>8.443792703199126E19</v>
      </c>
    </row>
    <row r="4173">
      <c r="A4173" s="6"/>
      <c r="B4173" s="6"/>
      <c r="C4173" s="4"/>
      <c r="D4173" s="4">
        <v>48.3641275995966</v>
      </c>
      <c r="E4173" s="4" t="s">
        <v>6273</v>
      </c>
      <c r="F4173" s="4"/>
      <c r="G4173" s="4"/>
      <c r="H4173" s="4"/>
      <c r="I4173" s="4" t="str">
        <f>IFERROR(__xludf.DUMMYFUNCTION("""COMPUTED_VALUE"""),"0x0b5c94ace9757fc63fb16f76b777fc00c59df41c")</f>
        <v>0x0b5c94ace9757fc63fb16f76b777fc00c59df41c</v>
      </c>
      <c r="J4173" s="18">
        <v>5.31991184196138</v>
      </c>
      <c r="K4173" s="4">
        <v>66.49889802451725</v>
      </c>
      <c r="L4173" s="19">
        <v>6.649889802451725E19</v>
      </c>
      <c r="M4173" s="20">
        <v>6.649889802451725E18</v>
      </c>
    </row>
    <row r="4174">
      <c r="A4174" s="6"/>
      <c r="B4174" s="6"/>
      <c r="C4174" s="4"/>
      <c r="D4174" s="4">
        <v>48.3641275995966</v>
      </c>
      <c r="E4174" s="4" t="s">
        <v>6274</v>
      </c>
      <c r="F4174" s="4"/>
      <c r="G4174" s="4"/>
      <c r="H4174" s="4"/>
      <c r="I4174" s="4" t="str">
        <f>IFERROR(__xludf.DUMMYFUNCTION("""COMPUTED_VALUE"""),"0xf382a930ad6fdb7b7e617396362d4ce4ed096c25")</f>
        <v>0xf382a930ad6fdb7b7e617396362d4ce4ed096c25</v>
      </c>
      <c r="J4174" s="18">
        <v>12.5746731758951</v>
      </c>
      <c r="K4174" s="4">
        <v>157.18341469868875</v>
      </c>
      <c r="L4174" s="19">
        <v>1.5718341469868874E20</v>
      </c>
      <c r="M4174" s="20">
        <v>1.5718341469868876E19</v>
      </c>
    </row>
    <row r="4175">
      <c r="A4175" s="6"/>
      <c r="B4175" s="6"/>
      <c r="C4175" s="4"/>
      <c r="D4175" s="4">
        <v>19.5813707104767</v>
      </c>
      <c r="E4175" s="4" t="s">
        <v>6275</v>
      </c>
      <c r="F4175" s="4"/>
      <c r="G4175" s="4"/>
      <c r="H4175" s="4"/>
      <c r="I4175" s="4" t="str">
        <f>IFERROR(__xludf.DUMMYFUNCTION("""COMPUTED_VALUE"""),"0xe24a860be060f381a12162432dcfec99a4e75d8d")</f>
        <v>0xe24a860be060f381a12162432dcfec99a4e75d8d</v>
      </c>
      <c r="J4175" s="18">
        <v>47.815367723547595</v>
      </c>
      <c r="K4175" s="4">
        <v>597.692096544345</v>
      </c>
      <c r="L4175" s="19">
        <v>5.976920965443449E20</v>
      </c>
      <c r="M4175" s="20">
        <v>5.97692096544345E19</v>
      </c>
    </row>
    <row r="4176">
      <c r="A4176" s="6"/>
      <c r="B4176" s="6"/>
      <c r="C4176" s="4"/>
      <c r="D4176" s="4">
        <v>48.3641275995966</v>
      </c>
      <c r="E4176" s="4" t="s">
        <v>6277</v>
      </c>
      <c r="F4176" s="4"/>
      <c r="G4176" s="4"/>
      <c r="H4176" s="4"/>
      <c r="I4176" s="4" t="str">
        <f>IFERROR(__xludf.DUMMYFUNCTION("""COMPUTED_VALUE"""),"0x8e9ff020557b7b0fc0c025b3bc4a06eb3606fffa")</f>
        <v>0x8e9ff020557b7b0fc0c025b3bc4a06eb3606fffa</v>
      </c>
      <c r="J4176" s="18">
        <v>19.3456510398386</v>
      </c>
      <c r="K4176" s="4">
        <v>241.8206379979825</v>
      </c>
      <c r="L4176" s="19">
        <v>2.4182063799798248E20</v>
      </c>
      <c r="M4176" s="20">
        <v>2.418206379979825E19</v>
      </c>
    </row>
    <row r="4177">
      <c r="A4177" s="6"/>
      <c r="B4177" s="6"/>
      <c r="C4177" s="4"/>
      <c r="D4177" s="4">
        <v>48.3641275995966</v>
      </c>
      <c r="E4177" s="4" t="s">
        <v>6278</v>
      </c>
      <c r="F4177" s="4"/>
      <c r="G4177" s="4"/>
      <c r="H4177" s="4"/>
      <c r="I4177" s="4" t="str">
        <f>IFERROR(__xludf.DUMMYFUNCTION("""COMPUTED_VALUE"""),"0x4bb081ff63ca1611b059b51638e4636d122ad948")</f>
        <v>0x4bb081ff63ca1611b059b51638e4636d122ad948</v>
      </c>
      <c r="J4177" s="18">
        <v>4.64680604446964</v>
      </c>
      <c r="K4177" s="4">
        <v>58.0850755558705</v>
      </c>
      <c r="L4177" s="19">
        <v>5.808507555587051E19</v>
      </c>
      <c r="M4177" s="20">
        <v>5.808507555587052E18</v>
      </c>
    </row>
    <row r="4178">
      <c r="A4178" s="6"/>
      <c r="B4178" s="6"/>
      <c r="C4178" s="4"/>
      <c r="D4178" s="4">
        <v>9.672825519919328</v>
      </c>
      <c r="E4178" s="4" t="s">
        <v>6279</v>
      </c>
      <c r="F4178" s="4"/>
      <c r="G4178" s="4"/>
      <c r="H4178" s="4"/>
      <c r="I4178" s="4" t="str">
        <f>IFERROR(__xludf.DUMMYFUNCTION("""COMPUTED_VALUE"""),"0x34f5570959e93342b397f37b413575625f924b37")</f>
        <v>0x34f5570959e93342b397f37b413575625f924b37</v>
      </c>
      <c r="J4178" s="18">
        <v>93.93705785043429</v>
      </c>
      <c r="K4178" s="4">
        <v>1174.2132231304286</v>
      </c>
      <c r="L4178" s="19">
        <v>1.1742132231304286E21</v>
      </c>
      <c r="M4178" s="20">
        <v>1.1742132231304287E20</v>
      </c>
    </row>
    <row r="4179">
      <c r="A4179" s="6"/>
      <c r="B4179" s="6"/>
      <c r="C4179" s="4"/>
      <c r="D4179" s="4">
        <v>48.3641275995966</v>
      </c>
      <c r="E4179" s="4" t="s">
        <v>6280</v>
      </c>
      <c r="F4179" s="4"/>
      <c r="G4179" s="4"/>
      <c r="H4179" s="4"/>
      <c r="I4179" s="4" t="str">
        <f>IFERROR(__xludf.DUMMYFUNCTION("""COMPUTED_VALUE"""),"0xb272d843b45039756afa7511420ed78be1a334a9")</f>
        <v>0xb272d843b45039756afa7511420ed78be1a334a9</v>
      </c>
      <c r="J4179" s="18">
        <v>19.539107550237</v>
      </c>
      <c r="K4179" s="4">
        <v>244.23884437796247</v>
      </c>
      <c r="L4179" s="19">
        <v>2.4423884437796248E20</v>
      </c>
      <c r="M4179" s="20">
        <v>2.442388443779625E19</v>
      </c>
    </row>
    <row r="4180">
      <c r="A4180" s="6"/>
      <c r="B4180" s="6"/>
      <c r="C4180" s="4"/>
      <c r="D4180" s="4">
        <v>48.3641275995966</v>
      </c>
      <c r="E4180" s="4" t="s">
        <v>568</v>
      </c>
      <c r="F4180" s="4"/>
      <c r="G4180" s="4"/>
      <c r="H4180" s="4"/>
      <c r="I4180" s="4" t="str">
        <f>IFERROR(__xludf.DUMMYFUNCTION("""COMPUTED_VALUE"""),"0xcabcbc39bff8d67df7f3a8f540cca2e0079927c0")</f>
        <v>0xcabcbc39bff8d67df7f3a8f540cca2e0079927c0</v>
      </c>
      <c r="J4180" s="18">
        <v>10.4466515615128</v>
      </c>
      <c r="K4180" s="4">
        <v>130.58314451891</v>
      </c>
      <c r="L4180" s="19">
        <v>1.3058314451890998E20</v>
      </c>
      <c r="M4180" s="20">
        <v>1.3058314451891E19</v>
      </c>
    </row>
    <row r="4181">
      <c r="A4181" s="6"/>
      <c r="B4181" s="6"/>
      <c r="C4181" s="4"/>
      <c r="D4181" s="4">
        <v>48.3641275995966</v>
      </c>
      <c r="E4181" s="4" t="s">
        <v>6281</v>
      </c>
      <c r="F4181" s="4"/>
      <c r="G4181" s="4"/>
      <c r="H4181" s="4"/>
      <c r="I4181" s="4" t="str">
        <f>IFERROR(__xludf.DUMMYFUNCTION("""COMPUTED_VALUE"""),"0xea2820c575ffeacd5729fcbe1cc00afb6ff32364")</f>
        <v>0xea2820c575ffeacd5729fcbe1cc00afb6ff32364</v>
      </c>
      <c r="J4181" s="18">
        <v>48.3641275995966</v>
      </c>
      <c r="K4181" s="4">
        <v>604.5515949949574</v>
      </c>
      <c r="L4181" s="19">
        <v>6.045515949949574E20</v>
      </c>
      <c r="M4181" s="20">
        <v>6.045515949949574E19</v>
      </c>
    </row>
    <row r="4182">
      <c r="A4182" s="6"/>
      <c r="B4182" s="6"/>
      <c r="C4182" s="4"/>
      <c r="D4182" s="4">
        <v>46.6962303127787</v>
      </c>
      <c r="E4182" s="4" t="s">
        <v>6282</v>
      </c>
      <c r="F4182" s="4"/>
      <c r="G4182" s="4"/>
      <c r="H4182" s="4"/>
      <c r="I4182" s="4" t="str">
        <f>IFERROR(__xludf.DUMMYFUNCTION("""COMPUTED_VALUE"""),"0xa872d7457974b5fbd3772e4ddcfbdac82c9dd200")</f>
        <v>0xa872d7457974b5fbd3772e4ddcfbdac82c9dd200</v>
      </c>
      <c r="J4182" s="18">
        <v>14.547535441252801</v>
      </c>
      <c r="K4182" s="4">
        <v>181.84419301566</v>
      </c>
      <c r="L4182" s="19">
        <v>1.8184419301566002E20</v>
      </c>
      <c r="M4182" s="20">
        <v>1.8184419301566003E19</v>
      </c>
    </row>
    <row r="4183">
      <c r="A4183" s="6"/>
      <c r="B4183" s="6"/>
      <c r="C4183" s="4"/>
      <c r="D4183" s="4">
        <v>47.8705441416169</v>
      </c>
      <c r="E4183" s="4" t="s">
        <v>6284</v>
      </c>
      <c r="F4183" s="4"/>
      <c r="G4183" s="4"/>
      <c r="H4183" s="4"/>
      <c r="I4183" s="4" t="str">
        <f>IFERROR(__xludf.DUMMYFUNCTION("""COMPUTED_VALUE"""),"0xe74ac630c5e5eb583e63583e7a523f055200149a")</f>
        <v>0xe74ac630c5e5eb583e63583e7a523f055200149a</v>
      </c>
      <c r="J4183" s="18">
        <v>48.3641275995966</v>
      </c>
      <c r="K4183" s="4">
        <v>604.5515949949574</v>
      </c>
      <c r="L4183" s="19">
        <v>6.045515949949574E20</v>
      </c>
      <c r="M4183" s="20">
        <v>6.045515949949574E19</v>
      </c>
    </row>
    <row r="4184">
      <c r="A4184" s="6"/>
      <c r="B4184" s="6"/>
      <c r="C4184" s="4"/>
      <c r="D4184" s="4">
        <v>48.3641275995966</v>
      </c>
      <c r="E4184" s="4" t="s">
        <v>6286</v>
      </c>
      <c r="F4184" s="4"/>
      <c r="G4184" s="4"/>
      <c r="H4184" s="4"/>
      <c r="I4184" s="4" t="str">
        <f>IFERROR(__xludf.DUMMYFUNCTION("""COMPUTED_VALUE"""),"0xb632619dd73db082df23d7e8d5bed09b63e31417")</f>
        <v>0xb632619dd73db082df23d7e8d5bed09b63e31417</v>
      </c>
      <c r="J4184" s="18">
        <v>47.4335588257359</v>
      </c>
      <c r="K4184" s="4">
        <v>592.9194853216987</v>
      </c>
      <c r="L4184" s="19">
        <v>5.929194853216987E20</v>
      </c>
      <c r="M4184" s="20">
        <v>5.9291948532169875E19</v>
      </c>
    </row>
    <row r="4185">
      <c r="A4185" s="6"/>
      <c r="B4185" s="6"/>
      <c r="C4185" s="4"/>
      <c r="D4185" s="4">
        <v>48.3641275995966</v>
      </c>
      <c r="E4185" s="4" t="s">
        <v>6287</v>
      </c>
      <c r="F4185" s="4"/>
      <c r="G4185" s="4"/>
      <c r="H4185" s="4"/>
      <c r="I4185" s="4" t="str">
        <f>IFERROR(__xludf.DUMMYFUNCTION("""COMPUTED_VALUE"""),"0x72d0673f36cc693e55cb54d048fdc45c1b138e70")</f>
        <v>0x72d0673f36cc693e55cb54d048fdc45c1b138e70</v>
      </c>
      <c r="J4185" s="18">
        <v>65.5815594714594</v>
      </c>
      <c r="K4185" s="4">
        <v>819.7694933932424</v>
      </c>
      <c r="L4185" s="19">
        <v>8.197694933932425E20</v>
      </c>
      <c r="M4185" s="20">
        <v>8.197694933932425E19</v>
      </c>
    </row>
    <row r="4186">
      <c r="A4186" s="6"/>
      <c r="B4186" s="6"/>
      <c r="C4186" s="4"/>
      <c r="D4186" s="4">
        <v>46.7159663385951</v>
      </c>
      <c r="E4186" s="4" t="s">
        <v>6288</v>
      </c>
      <c r="F4186" s="4"/>
      <c r="G4186" s="4"/>
      <c r="H4186" s="4"/>
      <c r="I4186" s="4" t="str">
        <f>IFERROR(__xludf.DUMMYFUNCTION("""COMPUTED_VALUE"""),"0x5040c33742ff5003a8df9a6f646fc69d672d762c")</f>
        <v>0x5040c33742ff5003a8df9a6f646fc69d672d762c</v>
      </c>
      <c r="J4186" s="18">
        <v>11.9301263594479</v>
      </c>
      <c r="K4186" s="4">
        <v>149.12657949309875</v>
      </c>
      <c r="L4186" s="19">
        <v>1.4912657949309875E20</v>
      </c>
      <c r="M4186" s="20">
        <v>1.4912657949309876E19</v>
      </c>
    </row>
    <row r="4187">
      <c r="A4187" s="6"/>
      <c r="B4187" s="6"/>
      <c r="C4187" s="4"/>
      <c r="D4187" s="4">
        <v>48.3641275995966</v>
      </c>
      <c r="E4187" s="4" t="s">
        <v>6290</v>
      </c>
      <c r="F4187" s="4"/>
      <c r="G4187" s="4"/>
      <c r="H4187" s="4"/>
      <c r="I4187" s="4" t="str">
        <f>IFERROR(__xludf.DUMMYFUNCTION("""COMPUTED_VALUE"""),"0xc9a7ecadcbf86e2f478f675c0e1aa81dc94c9126")</f>
        <v>0xc9a7ecadcbf86e2f478f675c0e1aa81dc94c9126</v>
      </c>
      <c r="J4187" s="18">
        <v>42.0894198934672</v>
      </c>
      <c r="K4187" s="4">
        <v>526.11774866834</v>
      </c>
      <c r="L4187" s="19">
        <v>5.2611774866834004E20</v>
      </c>
      <c r="M4187" s="20">
        <v>5.261177486683401E19</v>
      </c>
    </row>
    <row r="4188">
      <c r="A4188" s="6"/>
      <c r="B4188" s="6"/>
      <c r="C4188" s="4"/>
      <c r="D4188" s="4">
        <v>9.08551546660173</v>
      </c>
      <c r="E4188" s="4" t="s">
        <v>6291</v>
      </c>
      <c r="F4188" s="4"/>
      <c r="G4188" s="4"/>
      <c r="H4188" s="4"/>
      <c r="I4188" s="4" t="str">
        <f>IFERROR(__xludf.DUMMYFUNCTION("""COMPUTED_VALUE"""),"0x1281f5e5c14a8aa282dc2c0e8a12a3cb1aa53b13")</f>
        <v>0x1281f5e5c14a8aa282dc2c0e8a12a3cb1aa53b13</v>
      </c>
      <c r="J4188" s="18">
        <v>47.55615860490395</v>
      </c>
      <c r="K4188" s="4">
        <v>594.4519825612994</v>
      </c>
      <c r="L4188" s="19">
        <v>5.944519825612994E20</v>
      </c>
      <c r="M4188" s="20">
        <v>5.944519825612994E19</v>
      </c>
    </row>
    <row r="4189">
      <c r="A4189" s="6"/>
      <c r="B4189" s="6"/>
      <c r="C4189" s="4"/>
      <c r="D4189" s="4">
        <v>9.808736149719131</v>
      </c>
      <c r="E4189" s="4" t="s">
        <v>6293</v>
      </c>
      <c r="F4189" s="4"/>
      <c r="G4189" s="4"/>
      <c r="H4189" s="4"/>
      <c r="I4189" s="4" t="str">
        <f>IFERROR(__xludf.DUMMYFUNCTION("""COMPUTED_VALUE"""),"0xc8d2b5c6ce8bf242cd3d436911c412de203b5241")</f>
        <v>0xc8d2b5c6ce8bf242cd3d436911c412de203b5241</v>
      </c>
      <c r="J4189" s="18">
        <v>4.930540563365651</v>
      </c>
      <c r="K4189" s="4">
        <v>61.63175704207063</v>
      </c>
      <c r="L4189" s="19">
        <v>6.1631757042070634E19</v>
      </c>
      <c r="M4189" s="20">
        <v>6.163175704207064E18</v>
      </c>
    </row>
    <row r="4190">
      <c r="A4190" s="6"/>
      <c r="B4190" s="6"/>
      <c r="C4190" s="4"/>
      <c r="D4190" s="4">
        <v>48.3641275995966</v>
      </c>
      <c r="E4190" s="4" t="s">
        <v>6295</v>
      </c>
      <c r="F4190" s="4"/>
      <c r="G4190" s="4"/>
      <c r="H4190" s="4"/>
      <c r="I4190" s="4" t="str">
        <f>IFERROR(__xludf.DUMMYFUNCTION("""COMPUTED_VALUE"""),"0xfec37209302ab27ea564469d84c30e9d407e7835")</f>
        <v>0xfec37209302ab27ea564469d84c30e9d407e7835</v>
      </c>
      <c r="J4190" s="18">
        <v>60.222405288359695</v>
      </c>
      <c r="K4190" s="4">
        <v>752.7800661044962</v>
      </c>
      <c r="L4190" s="19">
        <v>7.527800661044962E20</v>
      </c>
      <c r="M4190" s="20">
        <v>7.527800661044963E19</v>
      </c>
    </row>
    <row r="4191">
      <c r="A4191" s="6"/>
      <c r="B4191" s="6"/>
      <c r="C4191" s="4"/>
      <c r="D4191" s="4">
        <v>48.3641275995966</v>
      </c>
      <c r="E4191" s="4" t="s">
        <v>6296</v>
      </c>
      <c r="F4191" s="4"/>
      <c r="G4191" s="4"/>
      <c r="H4191" s="4"/>
      <c r="I4191" s="4" t="str">
        <f>IFERROR(__xludf.DUMMYFUNCTION("""COMPUTED_VALUE"""),"0x915aeb6700b646f0d1e4671b5a8feb9ce4d333b7")</f>
        <v>0x915aeb6700b646f0d1e4671b5a8feb9ce4d333b7</v>
      </c>
      <c r="J4191" s="18">
        <v>48.3641275995966</v>
      </c>
      <c r="K4191" s="4">
        <v>604.5515949949574</v>
      </c>
      <c r="L4191" s="19">
        <v>6.045515949949574E20</v>
      </c>
      <c r="M4191" s="20">
        <v>6.045515949949574E19</v>
      </c>
    </row>
    <row r="4192">
      <c r="A4192" s="6"/>
      <c r="B4192" s="6"/>
      <c r="C4192" s="4"/>
      <c r="D4192" s="4">
        <v>5.58822542353936</v>
      </c>
      <c r="E4192" s="4" t="s">
        <v>6297</v>
      </c>
      <c r="F4192" s="4"/>
      <c r="G4192" s="4"/>
      <c r="H4192" s="4"/>
      <c r="I4192" s="4" t="str">
        <f>IFERROR(__xludf.DUMMYFUNCTION("""COMPUTED_VALUE"""),"0xb7a1b98a0a18a4af255dadbb9dd2a7b2b723da37")</f>
        <v>0xb7a1b98a0a18a4af255dadbb9dd2a7b2b723da37</v>
      </c>
      <c r="J4192" s="18">
        <v>9.728128616507629</v>
      </c>
      <c r="K4192" s="4">
        <v>121.60160770634536</v>
      </c>
      <c r="L4192" s="19">
        <v>1.2160160770634536E20</v>
      </c>
      <c r="M4192" s="20">
        <v>1.2160160770634537E19</v>
      </c>
    </row>
    <row r="4193">
      <c r="A4193" s="6"/>
      <c r="B4193" s="6"/>
      <c r="C4193" s="4"/>
      <c r="D4193" s="4">
        <v>40.9670804585236</v>
      </c>
      <c r="E4193" s="4" t="s">
        <v>6299</v>
      </c>
      <c r="F4193" s="4"/>
      <c r="G4193" s="4"/>
      <c r="H4193" s="4"/>
      <c r="I4193" s="4" t="str">
        <f>IFERROR(__xludf.DUMMYFUNCTION("""COMPUTED_VALUE"""),"0xc689ea08511a71f93e1628c7ce039d22cfe0bf4e")</f>
        <v>0xc689ea08511a71f93e1628c7ce039d22cfe0bf4e</v>
      </c>
      <c r="J4193" s="18">
        <v>48.3641275995966</v>
      </c>
      <c r="K4193" s="4">
        <v>604.5515949949574</v>
      </c>
      <c r="L4193" s="19">
        <v>6.045515949949574E20</v>
      </c>
      <c r="M4193" s="20">
        <v>6.045515949949574E19</v>
      </c>
    </row>
    <row r="4194">
      <c r="A4194" s="6"/>
      <c r="B4194" s="6"/>
      <c r="C4194" s="4"/>
      <c r="D4194" s="4">
        <v>9.20812282764315</v>
      </c>
      <c r="E4194" s="4" t="s">
        <v>6301</v>
      </c>
      <c r="F4194" s="4"/>
      <c r="G4194" s="4"/>
      <c r="H4194" s="4"/>
      <c r="I4194" s="4" t="str">
        <f>IFERROR(__xludf.DUMMYFUNCTION("""COMPUTED_VALUE"""),"0xcc0564d6c639c0cdf530ed1a566c7a32efdb9eb4")</f>
        <v>0xcc0564d6c639c0cdf530ed1a566c7a32efdb9eb4</v>
      </c>
      <c r="J4194" s="18">
        <v>12.5746731758951</v>
      </c>
      <c r="K4194" s="4">
        <v>157.18341469868875</v>
      </c>
      <c r="L4194" s="19">
        <v>1.5718341469868874E20</v>
      </c>
      <c r="M4194" s="20">
        <v>1.5718341469868876E19</v>
      </c>
    </row>
    <row r="4195">
      <c r="A4195" s="6"/>
      <c r="B4195" s="6"/>
      <c r="C4195" s="4"/>
      <c r="D4195" s="4">
        <v>41.289898696276</v>
      </c>
      <c r="E4195" s="4" t="s">
        <v>6303</v>
      </c>
      <c r="F4195" s="4"/>
      <c r="G4195" s="4"/>
      <c r="H4195" s="4"/>
      <c r="I4195" s="4" t="str">
        <f>IFERROR(__xludf.DUMMYFUNCTION("""COMPUTED_VALUE"""),"0xff6f8cc5a4e6c8f3050c38d87c27bac7439358ff")</f>
        <v>0xff6f8cc5a4e6c8f3050c38d87c27bac7439358ff</v>
      </c>
      <c r="J4195" s="18">
        <v>3.1336305575489103</v>
      </c>
      <c r="K4195" s="4">
        <v>39.17038196936138</v>
      </c>
      <c r="L4195" s="19">
        <v>3.917038196936138E19</v>
      </c>
      <c r="M4195" s="20">
        <v>3.917038196936138E18</v>
      </c>
    </row>
    <row r="4196">
      <c r="A4196" s="6"/>
      <c r="B4196" s="6"/>
      <c r="C4196" s="4"/>
      <c r="D4196" s="4">
        <v>11.48078391684</v>
      </c>
      <c r="E4196" s="4" t="s">
        <v>6305</v>
      </c>
      <c r="F4196" s="4"/>
      <c r="G4196" s="4"/>
      <c r="H4196" s="4"/>
      <c r="I4196" s="4" t="str">
        <f>IFERROR(__xludf.DUMMYFUNCTION("""COMPUTED_VALUE"""),"0xfa9c844017eb9a4ca8f8c8903d7c088c49d884fe")</f>
        <v>0xfa9c844017eb9a4ca8f8c8903d7c088c49d884fe</v>
      </c>
      <c r="J4196" s="18">
        <v>48.3641275995966</v>
      </c>
      <c r="K4196" s="4">
        <v>604.5515949949574</v>
      </c>
      <c r="L4196" s="19">
        <v>6.045515949949574E20</v>
      </c>
      <c r="M4196" s="20">
        <v>6.045515949949574E19</v>
      </c>
    </row>
    <row r="4197">
      <c r="A4197" s="6"/>
      <c r="B4197" s="6"/>
      <c r="C4197" s="4"/>
      <c r="D4197" s="4">
        <v>4.82044975624438</v>
      </c>
      <c r="E4197" s="4" t="s">
        <v>6307</v>
      </c>
      <c r="F4197" s="4"/>
      <c r="G4197" s="4"/>
      <c r="H4197" s="4"/>
      <c r="I4197" s="4" t="str">
        <f>IFERROR(__xludf.DUMMYFUNCTION("""COMPUTED_VALUE"""),"0x88363cae13357492d3749badc35797ab195a019f")</f>
        <v>0x88363cae13357492d3749badc35797ab195a019f</v>
      </c>
      <c r="J4197" s="18">
        <v>48.3641275995966</v>
      </c>
      <c r="K4197" s="4">
        <v>604.5515949949574</v>
      </c>
      <c r="L4197" s="19">
        <v>6.045515949949574E20</v>
      </c>
      <c r="M4197" s="20">
        <v>6.045515949949574E19</v>
      </c>
    </row>
    <row r="4198">
      <c r="A4198" s="6"/>
      <c r="B4198" s="6"/>
      <c r="C4198" s="4"/>
      <c r="D4198" s="4">
        <v>48.0718940214117</v>
      </c>
      <c r="E4198" s="4" t="s">
        <v>6309</v>
      </c>
      <c r="F4198" s="4"/>
      <c r="G4198" s="4"/>
      <c r="H4198" s="4"/>
      <c r="I4198" s="4" t="str">
        <f>IFERROR(__xludf.DUMMYFUNCTION("""COMPUTED_VALUE"""),"0xf25685a7a5f0891ed4350eb9cf9c74b67a7aa7e2")</f>
        <v>0xf25685a7a5f0891ed4350eb9cf9c74b67a7aa7e2</v>
      </c>
      <c r="J4198" s="18">
        <v>113.4683136722219</v>
      </c>
      <c r="K4198" s="4">
        <v>1418.3539209027738</v>
      </c>
      <c r="L4198" s="19">
        <v>1.4183539209027739E21</v>
      </c>
      <c r="M4198" s="20">
        <v>1.418353920902774E20</v>
      </c>
    </row>
    <row r="4199">
      <c r="A4199" s="6"/>
      <c r="B4199" s="6"/>
      <c r="C4199" s="4"/>
      <c r="D4199" s="4">
        <v>26.433657578372003</v>
      </c>
      <c r="E4199" s="4" t="s">
        <v>6311</v>
      </c>
      <c r="F4199" s="4"/>
      <c r="G4199" s="4"/>
      <c r="H4199" s="4"/>
      <c r="I4199" s="4" t="str">
        <f>IFERROR(__xludf.DUMMYFUNCTION("""COMPUTED_VALUE"""),"0x0023da1aeebdc8be6ffd659f85df5999d867bb82")</f>
        <v>0x0023da1aeebdc8be6ffd659f85df5999d867bb82</v>
      </c>
      <c r="J4199" s="18">
        <v>48.3641275995966</v>
      </c>
      <c r="K4199" s="4">
        <v>604.5515949949574</v>
      </c>
      <c r="L4199" s="19">
        <v>6.045515949949574E20</v>
      </c>
      <c r="M4199" s="20">
        <v>6.045515949949574E19</v>
      </c>
    </row>
    <row r="4200">
      <c r="A4200" s="6"/>
      <c r="B4200" s="6"/>
      <c r="C4200" s="4"/>
      <c r="D4200" s="4">
        <v>48.3641275995966</v>
      </c>
      <c r="E4200" s="4" t="s">
        <v>6313</v>
      </c>
      <c r="F4200" s="4"/>
      <c r="G4200" s="4"/>
      <c r="H4200" s="4"/>
      <c r="I4200" s="4" t="str">
        <f>IFERROR(__xludf.DUMMYFUNCTION("""COMPUTED_VALUE"""),"0x5e7e82bc4158c7010f3efcdddda20bca602f1598")</f>
        <v>0x5e7e82bc4158c7010f3efcdddda20bca602f1598</v>
      </c>
      <c r="J4200" s="18">
        <v>19.3456510398386</v>
      </c>
      <c r="K4200" s="4">
        <v>241.8206379979825</v>
      </c>
      <c r="L4200" s="19">
        <v>2.4182063799798248E20</v>
      </c>
      <c r="M4200" s="20">
        <v>2.418206379979825E19</v>
      </c>
    </row>
    <row r="4201">
      <c r="A4201" s="6"/>
      <c r="B4201" s="6"/>
      <c r="C4201" s="4"/>
      <c r="D4201" s="4">
        <v>48.3641275995966</v>
      </c>
      <c r="E4201" s="4" t="s">
        <v>1713</v>
      </c>
      <c r="F4201" s="4"/>
      <c r="G4201" s="4"/>
      <c r="H4201" s="4"/>
      <c r="I4201" s="4" t="str">
        <f>IFERROR(__xludf.DUMMYFUNCTION("""COMPUTED_VALUE"""),"0xb088af717e0f72136746544a8ee791a6b3149815")</f>
        <v>0xb088af717e0f72136746544a8ee791a6b3149815</v>
      </c>
      <c r="J4201" s="18">
        <v>19.6011526694043</v>
      </c>
      <c r="K4201" s="4">
        <v>245.01440836755376</v>
      </c>
      <c r="L4201" s="19">
        <v>2.4501440836755374E20</v>
      </c>
      <c r="M4201" s="20">
        <v>2.4501440836755374E19</v>
      </c>
    </row>
    <row r="4202">
      <c r="A4202" s="6"/>
      <c r="B4202" s="6"/>
      <c r="C4202" s="4"/>
      <c r="D4202" s="4">
        <v>48.3641275995966</v>
      </c>
      <c r="E4202" s="4" t="s">
        <v>6314</v>
      </c>
      <c r="F4202" s="4"/>
      <c r="G4202" s="4"/>
      <c r="H4202" s="4"/>
      <c r="I4202" s="4" t="str">
        <f>IFERROR(__xludf.DUMMYFUNCTION("""COMPUTED_VALUE"""),"0x07635410cd191e91395ef54c28ab776848fd8de3")</f>
        <v>0x07635410cd191e91395ef54c28ab776848fd8de3</v>
      </c>
      <c r="J4202" s="18">
        <v>78.0057287862202</v>
      </c>
      <c r="K4202" s="4">
        <v>975.0716098277525</v>
      </c>
      <c r="L4202" s="19">
        <v>9.750716098277524E20</v>
      </c>
      <c r="M4202" s="20">
        <v>9.750716098277525E19</v>
      </c>
    </row>
    <row r="4203">
      <c r="A4203" s="6"/>
      <c r="B4203" s="6"/>
      <c r="C4203" s="4"/>
      <c r="D4203" s="4">
        <v>9.973531626381039</v>
      </c>
      <c r="E4203" s="4" t="s">
        <v>6315</v>
      </c>
      <c r="F4203" s="4"/>
      <c r="G4203" s="4"/>
      <c r="H4203" s="4"/>
      <c r="I4203" s="4" t="str">
        <f>IFERROR(__xludf.DUMMYFUNCTION("""COMPUTED_VALUE"""),"0x0df4e1073f1258604f36eef0dcbff546f1bbac23")</f>
        <v>0x0df4e1073f1258604f36eef0dcbff546f1bbac23</v>
      </c>
      <c r="J4203" s="18">
        <v>19.3456510398386</v>
      </c>
      <c r="K4203" s="4">
        <v>241.8206379979825</v>
      </c>
      <c r="L4203" s="19">
        <v>2.4182063799798248E20</v>
      </c>
      <c r="M4203" s="20">
        <v>2.418206379979825E19</v>
      </c>
    </row>
    <row r="4204">
      <c r="A4204" s="6"/>
      <c r="B4204" s="6"/>
      <c r="C4204" s="4"/>
      <c r="D4204" s="4">
        <v>38.6913020796773</v>
      </c>
      <c r="E4204" s="4" t="s">
        <v>6317</v>
      </c>
      <c r="F4204" s="4"/>
      <c r="G4204" s="4"/>
      <c r="H4204" s="4"/>
      <c r="I4204" s="4" t="str">
        <f>IFERROR(__xludf.DUMMYFUNCTION("""COMPUTED_VALUE"""),"0xa94b2c9caeb767755dc63f2aff819bc8b9dcc71c")</f>
        <v>0xa94b2c9caeb767755dc63f2aff819bc8b9dcc71c</v>
      </c>
      <c r="J4204" s="18">
        <v>9.72576129144271</v>
      </c>
      <c r="K4204" s="4">
        <v>121.57201614303388</v>
      </c>
      <c r="L4204" s="19">
        <v>1.2157201614303388E20</v>
      </c>
      <c r="M4204" s="20">
        <v>1.2157201614303388E19</v>
      </c>
    </row>
    <row r="4205">
      <c r="A4205" s="6"/>
      <c r="B4205" s="6"/>
      <c r="C4205" s="4"/>
      <c r="D4205" s="4">
        <v>24.8066162938808</v>
      </c>
      <c r="E4205" s="4" t="s">
        <v>6318</v>
      </c>
      <c r="F4205" s="4"/>
      <c r="G4205" s="4"/>
      <c r="H4205" s="4"/>
      <c r="I4205" s="4" t="str">
        <f>IFERROR(__xludf.DUMMYFUNCTION("""COMPUTED_VALUE"""),"0x8471b1f52d6096d720904b8031d1fbfb3e02988f")</f>
        <v>0x8471b1f52d6096d720904b8031d1fbfb3e02988f</v>
      </c>
      <c r="J4205" s="18">
        <v>54.81808350697906</v>
      </c>
      <c r="K4205" s="4">
        <v>685.2260438372382</v>
      </c>
      <c r="L4205" s="19">
        <v>6.852260438372382E20</v>
      </c>
      <c r="M4205" s="20">
        <v>6.852260438372382E19</v>
      </c>
    </row>
    <row r="4206">
      <c r="A4206" s="6"/>
      <c r="B4206" s="6"/>
      <c r="C4206" s="4"/>
      <c r="D4206" s="4">
        <v>19.4322167976221</v>
      </c>
      <c r="E4206" s="4" t="s">
        <v>6320</v>
      </c>
      <c r="F4206" s="4"/>
      <c r="G4206" s="4"/>
      <c r="H4206" s="4"/>
      <c r="I4206" s="4" t="str">
        <f>IFERROR(__xludf.DUMMYFUNCTION("""COMPUTED_VALUE"""),"0xa5d7103299d19d97f28cce3b8984c780093e4988")</f>
        <v>0xa5d7103299d19d97f28cce3b8984c780093e4988</v>
      </c>
      <c r="J4206" s="18">
        <v>19.152194529440198</v>
      </c>
      <c r="K4206" s="4">
        <v>239.40243161800248</v>
      </c>
      <c r="L4206" s="19">
        <v>2.394024316180025E20</v>
      </c>
      <c r="M4206" s="20">
        <v>2.394024316180025E19</v>
      </c>
    </row>
    <row r="4207">
      <c r="A4207" s="6"/>
      <c r="B4207" s="6"/>
      <c r="C4207" s="4"/>
      <c r="D4207" s="4">
        <v>48.3641275995966</v>
      </c>
      <c r="E4207" s="4" t="s">
        <v>6322</v>
      </c>
      <c r="F4207" s="4"/>
      <c r="G4207" s="4"/>
      <c r="H4207" s="4"/>
      <c r="I4207" s="4" t="str">
        <f>IFERROR(__xludf.DUMMYFUNCTION("""COMPUTED_VALUE"""),"0x367bc1a9d1ef225307666e330e127eaf19b2160a")</f>
        <v>0x367bc1a9d1ef225307666e330e127eaf19b2160a</v>
      </c>
      <c r="J4207" s="18">
        <v>26.620199547149202</v>
      </c>
      <c r="K4207" s="4">
        <v>332.752494339365</v>
      </c>
      <c r="L4207" s="19">
        <v>3.32752494339365E20</v>
      </c>
      <c r="M4207" s="20">
        <v>3.3275249433936503E19</v>
      </c>
    </row>
    <row r="4208">
      <c r="A4208" s="6"/>
      <c r="B4208" s="6"/>
      <c r="C4208" s="4"/>
      <c r="D4208" s="4">
        <v>6.38406484314676</v>
      </c>
      <c r="E4208" s="4" t="s">
        <v>6323</v>
      </c>
      <c r="F4208" s="4"/>
      <c r="G4208" s="4"/>
      <c r="H4208" s="4"/>
      <c r="I4208" s="4" t="str">
        <f>IFERROR(__xludf.DUMMYFUNCTION("""COMPUTED_VALUE"""),"0xfa6e3450e42aa5ef10d01bf8486311529d5761df")</f>
        <v>0xfa6e3450e42aa5ef10d01bf8486311529d5761df</v>
      </c>
      <c r="J4208" s="18">
        <v>197.73173164621963</v>
      </c>
      <c r="K4208" s="4">
        <v>2471.6466455777454</v>
      </c>
      <c r="L4208" s="19">
        <v>2.471646645577745E21</v>
      </c>
      <c r="M4208" s="20">
        <v>2.4716466455777454E20</v>
      </c>
    </row>
    <row r="4209">
      <c r="A4209" s="6"/>
      <c r="B4209" s="6"/>
      <c r="C4209" s="4"/>
      <c r="D4209" s="4">
        <v>48.3641275995966</v>
      </c>
      <c r="E4209" s="4" t="s">
        <v>6324</v>
      </c>
      <c r="F4209" s="4"/>
      <c r="G4209" s="4"/>
      <c r="H4209" s="4"/>
      <c r="I4209" s="4" t="str">
        <f>IFERROR(__xludf.DUMMYFUNCTION("""COMPUTED_VALUE"""),"0xe32a86a7c9e5ac2b8e4cf15d8a3b95fe4e46b5c0")</f>
        <v>0xe32a86a7c9e5ac2b8e4cf15d8a3b95fe4e46b5c0</v>
      </c>
      <c r="J4209" s="18">
        <v>6.16156378353402</v>
      </c>
      <c r="K4209" s="4">
        <v>77.01954729417525</v>
      </c>
      <c r="L4209" s="19">
        <v>7.701954729417525E19</v>
      </c>
      <c r="M4209" s="20">
        <v>7.701954729417525E18</v>
      </c>
    </row>
    <row r="4210">
      <c r="A4210" s="6"/>
      <c r="B4210" s="6"/>
      <c r="C4210" s="4"/>
      <c r="D4210" s="4">
        <v>45.7888919731109</v>
      </c>
      <c r="E4210" s="4" t="s">
        <v>6325</v>
      </c>
      <c r="F4210" s="4"/>
      <c r="G4210" s="4"/>
      <c r="H4210" s="4"/>
      <c r="I4210" s="4" t="str">
        <f>IFERROR(__xludf.DUMMYFUNCTION("""COMPUTED_VALUE"""),"0xe74b6ebb71d3f941259beec84273573649c97dd2")</f>
        <v>0xe74b6ebb71d3f941259beec84273573649c97dd2</v>
      </c>
      <c r="J4210" s="18">
        <v>0.126998571222701</v>
      </c>
      <c r="K4210" s="4">
        <v>1.5874821402837624</v>
      </c>
      <c r="L4210" s="19">
        <v>1.5874821402837624E18</v>
      </c>
      <c r="M4210" s="20">
        <v>1.5874821402837626E17</v>
      </c>
    </row>
    <row r="4211">
      <c r="A4211" s="6"/>
      <c r="B4211" s="6"/>
      <c r="C4211" s="4"/>
      <c r="D4211" s="4">
        <v>18.268739935409798</v>
      </c>
      <c r="E4211" s="4" t="s">
        <v>6327</v>
      </c>
      <c r="F4211" s="4"/>
      <c r="G4211" s="4"/>
      <c r="H4211" s="4"/>
      <c r="I4211" s="4" t="str">
        <f>IFERROR(__xludf.DUMMYFUNCTION("""COMPUTED_VALUE"""),"0x7b30bc1c35a29f2a998a854f43f7fae9d780abf7")</f>
        <v>0x7b30bc1c35a29f2a998a854f43f7fae9d780abf7</v>
      </c>
      <c r="J4211" s="18">
        <v>62.278671469778295</v>
      </c>
      <c r="K4211" s="4">
        <v>778.4833933722286</v>
      </c>
      <c r="L4211" s="19">
        <v>7.784833933722287E20</v>
      </c>
      <c r="M4211" s="20">
        <v>7.784833933722286E19</v>
      </c>
    </row>
    <row r="4212">
      <c r="A4212" s="6"/>
      <c r="B4212" s="6"/>
      <c r="C4212" s="4"/>
      <c r="D4212" s="4">
        <v>13.123206870530199</v>
      </c>
      <c r="E4212" s="4" t="s">
        <v>6329</v>
      </c>
      <c r="F4212" s="4"/>
      <c r="G4212" s="4"/>
      <c r="H4212" s="4"/>
      <c r="I4212" s="4" t="str">
        <f>IFERROR(__xludf.DUMMYFUNCTION("""COMPUTED_VALUE"""),"0xca8b1bf327ca7e91b6ad6defc8cc78ae9bb6f236")</f>
        <v>0xca8b1bf327ca7e91b6ad6defc8cc78ae9bb6f236</v>
      </c>
      <c r="J4212" s="18">
        <v>57.66472560997164</v>
      </c>
      <c r="K4212" s="4">
        <v>720.8090701246455</v>
      </c>
      <c r="L4212" s="19">
        <v>7.208090701246455E20</v>
      </c>
      <c r="M4212" s="20">
        <v>7.208090701246455E19</v>
      </c>
    </row>
    <row r="4213">
      <c r="A4213" s="6"/>
      <c r="B4213" s="6"/>
      <c r="C4213" s="4"/>
      <c r="D4213" s="4">
        <v>8.57150093230763</v>
      </c>
      <c r="E4213" s="4" t="s">
        <v>6331</v>
      </c>
      <c r="F4213" s="4"/>
      <c r="G4213" s="4"/>
      <c r="H4213" s="4"/>
      <c r="I4213" s="4" t="str">
        <f>IFERROR(__xludf.DUMMYFUNCTION("""COMPUTED_VALUE"""),"0xaddd04a2e1589e61696cdc29f4dc05cf78cc3995")</f>
        <v>0xaddd04a2e1589e61696cdc29f4dc05cf78cc3995</v>
      </c>
      <c r="J4213" s="18">
        <v>21.2802161438225</v>
      </c>
      <c r="K4213" s="4">
        <v>266.00270179778124</v>
      </c>
      <c r="L4213" s="19">
        <v>2.6600270179778124E20</v>
      </c>
      <c r="M4213" s="20">
        <v>2.6600270179778126E19</v>
      </c>
    </row>
    <row r="4214">
      <c r="A4214" s="6"/>
      <c r="B4214" s="6"/>
      <c r="C4214" s="4"/>
      <c r="D4214" s="4">
        <v>48.3641275995966</v>
      </c>
      <c r="E4214" s="4" t="s">
        <v>6333</v>
      </c>
      <c r="F4214" s="4"/>
      <c r="G4214" s="4"/>
      <c r="H4214" s="4"/>
      <c r="I4214" s="4" t="str">
        <f>IFERROR(__xludf.DUMMYFUNCTION("""COMPUTED_VALUE"""),"0x08f5b4082dd6fbf88f0bbf3340970c97aea621cf")</f>
        <v>0x08f5b4082dd6fbf88f0bbf3340970c97aea621cf</v>
      </c>
      <c r="J4214" s="18">
        <v>4.90408098542391</v>
      </c>
      <c r="K4214" s="4">
        <v>61.30101231779887</v>
      </c>
      <c r="L4214" s="19">
        <v>6.1301012317798875E19</v>
      </c>
      <c r="M4214" s="20">
        <v>6.130101231779888E18</v>
      </c>
    </row>
    <row r="4215">
      <c r="A4215" s="6"/>
      <c r="B4215" s="6"/>
      <c r="C4215" s="4"/>
      <c r="D4215" s="4">
        <v>48.3641275995966</v>
      </c>
      <c r="E4215" s="4" t="s">
        <v>6334</v>
      </c>
      <c r="F4215" s="4"/>
      <c r="G4215" s="4"/>
      <c r="H4215" s="4"/>
      <c r="I4215" s="4" t="str">
        <f>IFERROR(__xludf.DUMMYFUNCTION("""COMPUTED_VALUE"""),"0x1c3a762962166177e87f8db30afe531a6164a5ff")</f>
        <v>0x1c3a762962166177e87f8db30afe531a6164a5ff</v>
      </c>
      <c r="J4215" s="18">
        <v>48.3641275995966</v>
      </c>
      <c r="K4215" s="4">
        <v>604.5515949949574</v>
      </c>
      <c r="L4215" s="19">
        <v>6.045515949949574E20</v>
      </c>
      <c r="M4215" s="20">
        <v>6.045515949949574E19</v>
      </c>
    </row>
    <row r="4216">
      <c r="A4216" s="6"/>
      <c r="B4216" s="6"/>
      <c r="C4216" s="4"/>
      <c r="D4216" s="4">
        <v>48.3641275995966</v>
      </c>
      <c r="E4216" s="4" t="s">
        <v>6335</v>
      </c>
      <c r="F4216" s="4"/>
      <c r="G4216" s="4"/>
      <c r="H4216" s="4"/>
      <c r="I4216" s="4" t="str">
        <f>IFERROR(__xludf.DUMMYFUNCTION("""COMPUTED_VALUE"""),"0x3bfa5ad5fb47aa79fdc0c735b8e50528c069f40e")</f>
        <v>0x3bfa5ad5fb47aa79fdc0c735b8e50528c069f40e</v>
      </c>
      <c r="J4216" s="18">
        <v>14.45252439216858</v>
      </c>
      <c r="K4216" s="4">
        <v>180.65655490210725</v>
      </c>
      <c r="L4216" s="19">
        <v>1.8065655490210726E20</v>
      </c>
      <c r="M4216" s="20">
        <v>1.8065655490210726E19</v>
      </c>
    </row>
    <row r="4217">
      <c r="A4217" s="6"/>
      <c r="B4217" s="6"/>
      <c r="C4217" s="4"/>
      <c r="D4217" s="4">
        <v>10.5111448321934</v>
      </c>
      <c r="E4217" s="4" t="s">
        <v>6336</v>
      </c>
      <c r="F4217" s="4"/>
      <c r="G4217" s="4"/>
      <c r="H4217" s="4"/>
      <c r="I4217" s="4" t="str">
        <f>IFERROR(__xludf.DUMMYFUNCTION("""COMPUTED_VALUE"""),"0x479b7a1097a8f39dca107266ec5cba4c5ae00fbc")</f>
        <v>0x479b7a1097a8f39dca107266ec5cba4c5ae00fbc</v>
      </c>
      <c r="J4217" s="18">
        <v>22.6651795801555</v>
      </c>
      <c r="K4217" s="4">
        <v>283.31474475194375</v>
      </c>
      <c r="L4217" s="19">
        <v>2.8331474475194375E20</v>
      </c>
      <c r="M4217" s="20">
        <v>2.8331474475194376E19</v>
      </c>
    </row>
    <row r="4218">
      <c r="A4218" s="6"/>
      <c r="B4218" s="6"/>
      <c r="C4218" s="4"/>
      <c r="D4218" s="4">
        <v>48.3641275995966</v>
      </c>
      <c r="E4218" s="4" t="s">
        <v>475</v>
      </c>
      <c r="F4218" s="4"/>
      <c r="G4218" s="4"/>
      <c r="H4218" s="4"/>
      <c r="I4218" s="4" t="str">
        <f>IFERROR(__xludf.DUMMYFUNCTION("""COMPUTED_VALUE"""),"0x19fc1578e899f81c247f9e233c4d1413d023dc7f")</f>
        <v>0x19fc1578e899f81c247f9e233c4d1413d023dc7f</v>
      </c>
      <c r="J4218" s="18">
        <v>48.3641275995966</v>
      </c>
      <c r="K4218" s="4">
        <v>604.5515949949574</v>
      </c>
      <c r="L4218" s="19">
        <v>6.045515949949574E20</v>
      </c>
      <c r="M4218" s="20">
        <v>6.045515949949574E19</v>
      </c>
    </row>
    <row r="4219">
      <c r="A4219" s="6"/>
      <c r="B4219" s="6"/>
      <c r="C4219" s="4"/>
      <c r="D4219" s="4">
        <v>48.3641275995966</v>
      </c>
      <c r="E4219" s="4" t="s">
        <v>6338</v>
      </c>
      <c r="F4219" s="4"/>
      <c r="G4219" s="4"/>
      <c r="H4219" s="4"/>
      <c r="I4219" s="4" t="str">
        <f>IFERROR(__xludf.DUMMYFUNCTION("""COMPUTED_VALUE"""),"0x0cb3a05981366a2734e9bb4c6738c367f8e26de4")</f>
        <v>0x0cb3a05981366a2734e9bb4c6738c367f8e26de4</v>
      </c>
      <c r="J4219" s="18">
        <v>48.3641275995966</v>
      </c>
      <c r="K4219" s="4">
        <v>604.5515949949574</v>
      </c>
      <c r="L4219" s="19">
        <v>6.045515949949574E20</v>
      </c>
      <c r="M4219" s="20">
        <v>6.045515949949574E19</v>
      </c>
    </row>
    <row r="4220">
      <c r="A4220" s="6"/>
      <c r="B4220" s="6"/>
      <c r="C4220" s="4"/>
      <c r="D4220" s="4">
        <v>15.720882092192898</v>
      </c>
      <c r="E4220" s="4" t="s">
        <v>6339</v>
      </c>
      <c r="F4220" s="4"/>
      <c r="G4220" s="4"/>
      <c r="H4220" s="4"/>
      <c r="I4220" s="4" t="str">
        <f>IFERROR(__xludf.DUMMYFUNCTION("""COMPUTED_VALUE"""),"0x28fa85467ee0fd3428ca8b7e95262afd8c235c7f")</f>
        <v>0x28fa85467ee0fd3428ca8b7e95262afd8c235c7f</v>
      </c>
      <c r="J4220" s="18">
        <v>19.3456510398386</v>
      </c>
      <c r="K4220" s="4">
        <v>241.8206379979825</v>
      </c>
      <c r="L4220" s="19">
        <v>2.4182063799798248E20</v>
      </c>
      <c r="M4220" s="20">
        <v>2.418206379979825E19</v>
      </c>
    </row>
    <row r="4221">
      <c r="A4221" s="6"/>
      <c r="B4221" s="6"/>
      <c r="C4221" s="4"/>
      <c r="D4221" s="4">
        <v>13.133660736883401</v>
      </c>
      <c r="E4221" s="4" t="s">
        <v>6341</v>
      </c>
      <c r="F4221" s="4"/>
      <c r="G4221" s="4"/>
      <c r="H4221" s="4"/>
      <c r="I4221" s="4" t="str">
        <f>IFERROR(__xludf.DUMMYFUNCTION("""COMPUTED_VALUE"""),"0x1e7f998ec49840e4f851b95a28689634d4344e8c")</f>
        <v>0x1e7f998ec49840e4f851b95a28689634d4344e8c</v>
      </c>
      <c r="J4221" s="18">
        <v>7.8312533720125606</v>
      </c>
      <c r="K4221" s="4">
        <v>97.890667150157</v>
      </c>
      <c r="L4221" s="19">
        <v>9.7890667150157E19</v>
      </c>
      <c r="M4221" s="20">
        <v>9.7890667150157E18</v>
      </c>
    </row>
    <row r="4222">
      <c r="A4222" s="6"/>
      <c r="B4222" s="6"/>
      <c r="C4222" s="4"/>
      <c r="D4222" s="4">
        <v>48.3641275995966</v>
      </c>
      <c r="E4222" s="4" t="s">
        <v>6343</v>
      </c>
      <c r="F4222" s="4"/>
      <c r="G4222" s="4"/>
      <c r="H4222" s="4"/>
      <c r="I4222" s="4" t="str">
        <f>IFERROR(__xludf.DUMMYFUNCTION("""COMPUTED_VALUE"""),"0x69d401c029be528953c4a10ea03ac1706c92dc32")</f>
        <v>0x69d401c029be528953c4a10ea03ac1706c92dc32</v>
      </c>
      <c r="J4222" s="18">
        <v>17.5771991915786</v>
      </c>
      <c r="K4222" s="4">
        <v>219.7149898947325</v>
      </c>
      <c r="L4222" s="19">
        <v>2.197149898947325E20</v>
      </c>
      <c r="M4222" s="20">
        <v>2.197149898947325E19</v>
      </c>
    </row>
    <row r="4223">
      <c r="A4223" s="6"/>
      <c r="B4223" s="6"/>
      <c r="C4223" s="4"/>
      <c r="D4223" s="4">
        <v>38.6913020796773</v>
      </c>
      <c r="E4223" s="4" t="s">
        <v>6344</v>
      </c>
      <c r="F4223" s="4"/>
      <c r="G4223" s="4"/>
      <c r="H4223" s="4"/>
      <c r="I4223" s="4" t="str">
        <f>IFERROR(__xludf.DUMMYFUNCTION("""COMPUTED_VALUE"""),"0xf45c2292b256efaadaf4a59a0bb6f5ec9d82ef04")</f>
        <v>0xf45c2292b256efaadaf4a59a0bb6f5ec9d82ef04</v>
      </c>
      <c r="J4223" s="18">
        <v>2.74868181136755</v>
      </c>
      <c r="K4223" s="4">
        <v>34.35852264209437</v>
      </c>
      <c r="L4223" s="19">
        <v>3.435852264209437E19</v>
      </c>
      <c r="M4223" s="20">
        <v>3.435852264209437E18</v>
      </c>
    </row>
    <row r="4224">
      <c r="A4224" s="6"/>
      <c r="B4224" s="6"/>
      <c r="C4224" s="4"/>
      <c r="D4224" s="4">
        <v>48.3641275995966</v>
      </c>
      <c r="E4224" s="4" t="s">
        <v>6345</v>
      </c>
      <c r="F4224" s="4"/>
      <c r="G4224" s="4"/>
      <c r="H4224" s="4"/>
      <c r="I4224" s="4" t="str">
        <f>IFERROR(__xludf.DUMMYFUNCTION("""COMPUTED_VALUE"""),"0x0c230ba404daed55fc4ef39576495f5078fed792")</f>
        <v>0x0c230ba404daed55fc4ef39576495f5078fed792</v>
      </c>
      <c r="J4224" s="18">
        <v>104.1681391050534</v>
      </c>
      <c r="K4224" s="4">
        <v>1302.1017388131675</v>
      </c>
      <c r="L4224" s="19">
        <v>1.3021017388131675E21</v>
      </c>
      <c r="M4224" s="20">
        <v>1.3021017388131675E20</v>
      </c>
    </row>
    <row r="4225">
      <c r="A4225" s="6"/>
      <c r="B4225" s="6"/>
      <c r="C4225" s="4"/>
      <c r="D4225" s="4">
        <v>9.905794763374649</v>
      </c>
      <c r="E4225" s="4" t="s">
        <v>6346</v>
      </c>
      <c r="F4225" s="4"/>
      <c r="G4225" s="4"/>
      <c r="H4225" s="4"/>
      <c r="I4225" s="4" t="str">
        <f>IFERROR(__xludf.DUMMYFUNCTION("""COMPUTED_VALUE"""),"0x57a55c35831798027e66c352bd713b55dfffa960")</f>
        <v>0x57a55c35831798027e66c352bd713b55dfffa960</v>
      </c>
      <c r="J4225" s="18">
        <v>15.4855102152027</v>
      </c>
      <c r="K4225" s="4">
        <v>193.56887769003373</v>
      </c>
      <c r="L4225" s="19">
        <v>1.9356887769003373E20</v>
      </c>
      <c r="M4225" s="20">
        <v>1.9356887769003373E19</v>
      </c>
    </row>
    <row r="4226">
      <c r="A4226" s="6"/>
      <c r="B4226" s="6"/>
      <c r="C4226" s="4"/>
      <c r="D4226" s="4">
        <v>48.3641275995966</v>
      </c>
      <c r="E4226" s="4" t="s">
        <v>6348</v>
      </c>
      <c r="F4226" s="4"/>
      <c r="G4226" s="4"/>
      <c r="H4226" s="4"/>
      <c r="I4226" s="4" t="str">
        <f>IFERROR(__xludf.DUMMYFUNCTION("""COMPUTED_VALUE"""),"0x8e7e24d460b8caf8c3c0266a193c10add23b7b36")</f>
        <v>0x8e7e24d460b8caf8c3c0266a193c10add23b7b36</v>
      </c>
      <c r="J4226" s="18">
        <v>9.353406066857179</v>
      </c>
      <c r="K4226" s="4">
        <v>116.91757583571473</v>
      </c>
      <c r="L4226" s="19">
        <v>1.1691757583571473E20</v>
      </c>
      <c r="M4226" s="20">
        <v>1.1691757583571474E19</v>
      </c>
    </row>
    <row r="4227">
      <c r="A4227" s="6"/>
      <c r="B4227" s="6"/>
      <c r="C4227" s="4"/>
      <c r="D4227" s="4">
        <v>48.3641275995966</v>
      </c>
      <c r="E4227" s="4" t="s">
        <v>6349</v>
      </c>
      <c r="F4227" s="4"/>
      <c r="G4227" s="4"/>
      <c r="H4227" s="4"/>
      <c r="I4227" s="4" t="str">
        <f>IFERROR(__xludf.DUMMYFUNCTION("""COMPUTED_VALUE"""),"0x74c4188dcab62dd2e218c428a7c9ed7a4a3d42a5")</f>
        <v>0x74c4188dcab62dd2e218c428a7c9ed7a4a3d42a5</v>
      </c>
      <c r="J4227" s="18">
        <v>19.527152976755797</v>
      </c>
      <c r="K4227" s="4">
        <v>244.08941220944746</v>
      </c>
      <c r="L4227" s="19">
        <v>2.4408941220944747E20</v>
      </c>
      <c r="M4227" s="20">
        <v>2.440894122094475E19</v>
      </c>
    </row>
    <row r="4228">
      <c r="A4228" s="6"/>
      <c r="B4228" s="6"/>
      <c r="C4228" s="4"/>
      <c r="D4228" s="4">
        <v>48.3641275995966</v>
      </c>
      <c r="E4228" s="4" t="s">
        <v>6350</v>
      </c>
      <c r="F4228" s="4"/>
      <c r="G4228" s="4"/>
      <c r="H4228" s="4"/>
      <c r="I4228" s="4" t="str">
        <f>IFERROR(__xludf.DUMMYFUNCTION("""COMPUTED_VALUE"""),"0x5fea4092d792407e36e3099a5821d63469496d3a")</f>
        <v>0x5fea4092d792407e36e3099a5821d63469496d3a</v>
      </c>
      <c r="J4228" s="18">
        <v>19.3548337196877</v>
      </c>
      <c r="K4228" s="4">
        <v>241.93542149609627</v>
      </c>
      <c r="L4228" s="19">
        <v>2.4193542149609626E20</v>
      </c>
      <c r="M4228" s="20">
        <v>2.4193542149609628E19</v>
      </c>
    </row>
    <row r="4229">
      <c r="A4229" s="6"/>
      <c r="B4229" s="6"/>
      <c r="C4229" s="4"/>
      <c r="D4229" s="4">
        <v>48.3641275995966</v>
      </c>
      <c r="E4229" s="4" t="s">
        <v>1348</v>
      </c>
      <c r="F4229" s="4"/>
      <c r="G4229" s="4"/>
      <c r="H4229" s="4"/>
      <c r="I4229" s="4" t="str">
        <f>IFERROR(__xludf.DUMMYFUNCTION("""COMPUTED_VALUE"""),"0x5482273451c8fab8588bd58a2f3d6732e911ea62")</f>
        <v>0x5482273451c8fab8588bd58a2f3d6732e911ea62</v>
      </c>
      <c r="J4229" s="18">
        <v>115.98352578455749</v>
      </c>
      <c r="K4229" s="4">
        <v>1449.7940723069685</v>
      </c>
      <c r="L4229" s="19">
        <v>1.4497940723069684E21</v>
      </c>
      <c r="M4229" s="20">
        <v>1.4497940723069685E20</v>
      </c>
    </row>
    <row r="4230">
      <c r="A4230" s="6"/>
      <c r="B4230" s="6"/>
      <c r="C4230" s="4"/>
      <c r="D4230" s="4">
        <v>3.13516593546975</v>
      </c>
      <c r="E4230" s="4" t="s">
        <v>6351</v>
      </c>
      <c r="F4230" s="4"/>
      <c r="G4230" s="4"/>
      <c r="H4230" s="4"/>
      <c r="I4230" s="4" t="str">
        <f>IFERROR(__xludf.DUMMYFUNCTION("""COMPUTED_VALUE"""),"0x61ee82a011d8a46691a9b8ffd17bb03d79a17797")</f>
        <v>0x61ee82a011d8a46691a9b8ffd17bb03d79a17797</v>
      </c>
      <c r="J4230" s="18">
        <v>9.672895832461862</v>
      </c>
      <c r="K4230" s="4">
        <v>120.91119790577326</v>
      </c>
      <c r="L4230" s="19">
        <v>1.2091119790577326E20</v>
      </c>
      <c r="M4230" s="20">
        <v>1.2091119790577328E19</v>
      </c>
    </row>
    <row r="4231">
      <c r="A4231" s="6"/>
      <c r="B4231" s="6"/>
      <c r="C4231" s="4"/>
      <c r="D4231" s="4">
        <v>48.3641275995966</v>
      </c>
      <c r="E4231" s="4" t="s">
        <v>6353</v>
      </c>
      <c r="F4231" s="4"/>
      <c r="G4231" s="4"/>
      <c r="H4231" s="4"/>
      <c r="I4231" s="4" t="str">
        <f>IFERROR(__xludf.DUMMYFUNCTION("""COMPUTED_VALUE"""),"0x4d9a5f25af7eb4aa65cbbc2095eb3ed56d871914")</f>
        <v>0x4d9a5f25af7eb4aa65cbbc2095eb3ed56d871914</v>
      </c>
      <c r="J4231" s="18">
        <v>85.7413336812997</v>
      </c>
      <c r="K4231" s="4">
        <v>1071.7666710162462</v>
      </c>
      <c r="L4231" s="19">
        <v>1.0717666710162461E21</v>
      </c>
      <c r="M4231" s="20">
        <v>1.0717666710162461E20</v>
      </c>
    </row>
    <row r="4232">
      <c r="A4232" s="6"/>
      <c r="B4232" s="6"/>
      <c r="C4232" s="4"/>
      <c r="D4232" s="4">
        <v>36.1792523633965</v>
      </c>
      <c r="E4232" s="4" t="s">
        <v>6354</v>
      </c>
      <c r="F4232" s="4"/>
      <c r="G4232" s="4"/>
      <c r="H4232" s="4"/>
      <c r="I4232" s="4" t="str">
        <f>IFERROR(__xludf.DUMMYFUNCTION("""COMPUTED_VALUE"""),"0x85c91cdd26a3a5214b1fab1c07425db4f79a0951")</f>
        <v>0x85c91cdd26a3a5214b1fab1c07425db4f79a0951</v>
      </c>
      <c r="J4232" s="18">
        <v>9.68288700769381</v>
      </c>
      <c r="K4232" s="4">
        <v>121.0360875961726</v>
      </c>
      <c r="L4232" s="19">
        <v>1.210360875961726E20</v>
      </c>
      <c r="M4232" s="20">
        <v>1.2103608759617262E19</v>
      </c>
    </row>
    <row r="4233">
      <c r="A4233" s="6"/>
      <c r="B4233" s="6"/>
      <c r="C4233" s="4"/>
      <c r="D4233" s="4">
        <v>48.3641275995966</v>
      </c>
      <c r="E4233" s="4" t="s">
        <v>6356</v>
      </c>
      <c r="F4233" s="4"/>
      <c r="G4233" s="4"/>
      <c r="H4233" s="4"/>
      <c r="I4233" s="4" t="str">
        <f>IFERROR(__xludf.DUMMYFUNCTION("""COMPUTED_VALUE"""),"0xf1d526f8aef91633d43f0bb4f964a2a841c43c34")</f>
        <v>0xf1d526f8aef91633d43f0bb4f964a2a841c43c34</v>
      </c>
      <c r="J4233" s="18">
        <v>48.3641275995966</v>
      </c>
      <c r="K4233" s="4">
        <v>604.5515949949574</v>
      </c>
      <c r="L4233" s="19">
        <v>6.045515949949574E20</v>
      </c>
      <c r="M4233" s="20">
        <v>6.045515949949574E19</v>
      </c>
    </row>
    <row r="4234">
      <c r="A4234" s="6"/>
      <c r="B4234" s="6"/>
      <c r="C4234" s="4"/>
      <c r="D4234" s="4">
        <v>0.0090576328577209</v>
      </c>
      <c r="E4234" s="4" t="s">
        <v>6357</v>
      </c>
      <c r="F4234" s="4"/>
      <c r="G4234" s="4"/>
      <c r="H4234" s="4"/>
      <c r="I4234" s="4" t="str">
        <f>IFERROR(__xludf.DUMMYFUNCTION("""COMPUTED_VALUE"""),"0x84eaabd54fdcaa7b588e9fc65fb63d14de7d4346")</f>
        <v>0x84eaabd54fdcaa7b588e9fc65fb63d14de7d4346</v>
      </c>
      <c r="J4234" s="18">
        <v>18.507951172215503</v>
      </c>
      <c r="K4234" s="4">
        <v>231.3493896526938</v>
      </c>
      <c r="L4234" s="19">
        <v>2.3134938965269378E20</v>
      </c>
      <c r="M4234" s="20">
        <v>2.313493896526938E19</v>
      </c>
    </row>
    <row r="4235">
      <c r="A4235" s="6"/>
      <c r="B4235" s="6"/>
      <c r="C4235" s="4"/>
      <c r="D4235" s="4">
        <v>0.973317833782691</v>
      </c>
      <c r="E4235" s="4" t="s">
        <v>6359</v>
      </c>
      <c r="F4235" s="4"/>
      <c r="G4235" s="4"/>
      <c r="H4235" s="4"/>
      <c r="I4235" s="4" t="str">
        <f>IFERROR(__xludf.DUMMYFUNCTION("""COMPUTED_VALUE"""),"0x8760f59eaf7c6785f1a735a29f69ad605dc98cf2")</f>
        <v>0x8760f59eaf7c6785f1a735a29f69ad605dc98cf2</v>
      </c>
      <c r="J4235" s="18">
        <v>7.27620019509674</v>
      </c>
      <c r="K4235" s="4">
        <v>90.95250243870925</v>
      </c>
      <c r="L4235" s="19">
        <v>9.095250243870925E19</v>
      </c>
      <c r="M4235" s="20">
        <v>9.095250243870925E18</v>
      </c>
    </row>
    <row r="4236">
      <c r="A4236" s="6"/>
      <c r="B4236" s="6"/>
      <c r="C4236" s="4"/>
      <c r="D4236" s="4">
        <v>9.672825519919328</v>
      </c>
      <c r="E4236" s="4" t="s">
        <v>6361</v>
      </c>
      <c r="F4236" s="4"/>
      <c r="G4236" s="4"/>
      <c r="H4236" s="4"/>
      <c r="I4236" s="4" t="str">
        <f>IFERROR(__xludf.DUMMYFUNCTION("""COMPUTED_VALUE"""),"0x49ae70cacf2c8a5f680cf749706b2f5ced5efac0")</f>
        <v>0x49ae70cacf2c8a5f680cf749706b2f5ced5efac0</v>
      </c>
      <c r="J4236" s="18">
        <v>6.10664515584459</v>
      </c>
      <c r="K4236" s="4">
        <v>76.33306444805737</v>
      </c>
      <c r="L4236" s="19">
        <v>7.633306444805738E19</v>
      </c>
      <c r="M4236" s="20">
        <v>7.633306444805738E18</v>
      </c>
    </row>
    <row r="4237">
      <c r="A4237" s="6"/>
      <c r="B4237" s="6"/>
      <c r="C4237" s="4"/>
      <c r="D4237" s="4">
        <v>48.3641275995966</v>
      </c>
      <c r="E4237" s="4" t="s">
        <v>6362</v>
      </c>
      <c r="F4237" s="4"/>
      <c r="G4237" s="4"/>
      <c r="H4237" s="4"/>
      <c r="I4237" s="4" t="str">
        <f>IFERROR(__xludf.DUMMYFUNCTION("""COMPUTED_VALUE"""),"0x44b5febbdc9865ae130143699f1358e940b0cd51")</f>
        <v>0x44b5febbdc9865ae130143699f1358e940b0cd51</v>
      </c>
      <c r="J4237" s="18">
        <v>48.3641275995966</v>
      </c>
      <c r="K4237" s="4">
        <v>604.5515949949574</v>
      </c>
      <c r="L4237" s="19">
        <v>6.045515949949574E20</v>
      </c>
      <c r="M4237" s="20">
        <v>6.045515949949574E19</v>
      </c>
    </row>
    <row r="4238">
      <c r="A4238" s="6"/>
      <c r="B4238" s="6"/>
      <c r="C4238" s="4"/>
      <c r="D4238" s="4">
        <v>43.7955190207974</v>
      </c>
      <c r="E4238" s="4" t="s">
        <v>1749</v>
      </c>
      <c r="F4238" s="4"/>
      <c r="G4238" s="4"/>
      <c r="H4238" s="4"/>
      <c r="I4238" s="4" t="str">
        <f>IFERROR(__xludf.DUMMYFUNCTION("""COMPUTED_VALUE"""),"0x4693125785fbf78bfd5d6f85317b47edee7d5968")</f>
        <v>0x4693125785fbf78bfd5d6f85317b47edee7d5968</v>
      </c>
      <c r="J4238" s="18">
        <v>9.78535047266571</v>
      </c>
      <c r="K4238" s="4">
        <v>122.31688090832138</v>
      </c>
      <c r="L4238" s="19">
        <v>1.2231688090832137E20</v>
      </c>
      <c r="M4238" s="20">
        <v>1.2231688090832138E19</v>
      </c>
    </row>
    <row r="4239">
      <c r="A4239" s="6"/>
      <c r="B4239" s="6"/>
      <c r="C4239" s="4"/>
      <c r="D4239" s="4">
        <v>29.018476559758</v>
      </c>
      <c r="E4239" s="4" t="s">
        <v>6364</v>
      </c>
      <c r="F4239" s="4"/>
      <c r="G4239" s="4"/>
      <c r="H4239" s="4"/>
      <c r="I4239" s="4" t="str">
        <f>IFERROR(__xludf.DUMMYFUNCTION("""COMPUTED_VALUE"""),"0x4dd4146664e8850ad6e5dabfdc97dabbe03f0e75")</f>
        <v>0x4dd4146664e8850ad6e5dabfdc97dabbe03f0e75</v>
      </c>
      <c r="J4239" s="18">
        <v>6.12707672465535</v>
      </c>
      <c r="K4239" s="4">
        <v>76.58845905819187</v>
      </c>
      <c r="L4239" s="19">
        <v>7.658845905819188E19</v>
      </c>
      <c r="M4239" s="20">
        <v>7.658845905819188E18</v>
      </c>
    </row>
    <row r="4240">
      <c r="A4240" s="6"/>
      <c r="B4240" s="6"/>
      <c r="C4240" s="4"/>
      <c r="D4240" s="4">
        <v>48.3641275995966</v>
      </c>
      <c r="E4240" s="4" t="s">
        <v>828</v>
      </c>
      <c r="F4240" s="4"/>
      <c r="G4240" s="4"/>
      <c r="H4240" s="4"/>
      <c r="I4240" s="4" t="str">
        <f>IFERROR(__xludf.DUMMYFUNCTION("""COMPUTED_VALUE"""),"0xd257406916322166c750ea169208a9b2e1fd2c90")</f>
        <v>0xd257406916322166c750ea169208a9b2e1fd2c90</v>
      </c>
      <c r="J4240" s="18">
        <v>6.71269504579679</v>
      </c>
      <c r="K4240" s="4">
        <v>83.90868807245988</v>
      </c>
      <c r="L4240" s="19">
        <v>8.390868807245988E19</v>
      </c>
      <c r="M4240" s="20">
        <v>8.390868807245988E18</v>
      </c>
    </row>
    <row r="4241">
      <c r="A4241" s="6"/>
      <c r="B4241" s="6"/>
      <c r="C4241" s="4"/>
      <c r="D4241" s="4">
        <v>48.3641275995966</v>
      </c>
      <c r="E4241" s="4" t="s">
        <v>1224</v>
      </c>
      <c r="F4241" s="4"/>
      <c r="G4241" s="4"/>
      <c r="H4241" s="4"/>
      <c r="I4241" s="4" t="str">
        <f>IFERROR(__xludf.DUMMYFUNCTION("""COMPUTED_VALUE"""),"0xd67b9f1af81e985aa7ce0521a45ac12f436aa441")</f>
        <v>0xd67b9f1af81e985aa7ce0521a45ac12f436aa441</v>
      </c>
      <c r="J4241" s="18">
        <v>234.37608780709658</v>
      </c>
      <c r="K4241" s="4">
        <v>2929.7010975887074</v>
      </c>
      <c r="L4241" s="19">
        <v>2.9297010975887076E21</v>
      </c>
      <c r="M4241" s="20">
        <v>2.9297010975887078E20</v>
      </c>
    </row>
    <row r="4242">
      <c r="A4242" s="6"/>
      <c r="B4242" s="6"/>
      <c r="C4242" s="4"/>
      <c r="D4242" s="4">
        <v>10.7310156513467</v>
      </c>
      <c r="E4242" s="4" t="s">
        <v>6365</v>
      </c>
      <c r="F4242" s="4"/>
      <c r="G4242" s="4"/>
      <c r="H4242" s="4"/>
      <c r="I4242" s="4" t="str">
        <f>IFERROR(__xludf.DUMMYFUNCTION("""COMPUTED_VALUE"""),"0xf15083a3124f4fbf61724b59cffaade13c3d5f85")</f>
        <v>0xf15083a3124f4fbf61724b59cffaade13c3d5f85</v>
      </c>
      <c r="J4242" s="18">
        <v>94.64132649274569</v>
      </c>
      <c r="K4242" s="4">
        <v>1183.016581159321</v>
      </c>
      <c r="L4242" s="19">
        <v>1.183016581159321E21</v>
      </c>
      <c r="M4242" s="20">
        <v>1.1830165811593211E20</v>
      </c>
    </row>
    <row r="4243">
      <c r="A4243" s="6"/>
      <c r="B4243" s="6"/>
      <c r="C4243" s="4"/>
      <c r="D4243" s="4">
        <v>48.3641275995966</v>
      </c>
      <c r="E4243" s="4" t="s">
        <v>6367</v>
      </c>
      <c r="F4243" s="4"/>
      <c r="G4243" s="4"/>
      <c r="H4243" s="4"/>
      <c r="I4243" s="4" t="str">
        <f>IFERROR(__xludf.DUMMYFUNCTION("""COMPUTED_VALUE"""),"0x572656ebefe12a2d11a4cd4edd11032dcd7ae7b8")</f>
        <v>0x572656ebefe12a2d11a4cd4edd11032dcd7ae7b8</v>
      </c>
      <c r="J4243" s="18">
        <v>161.4744141100026</v>
      </c>
      <c r="K4243" s="4">
        <v>2018.4301763750327</v>
      </c>
      <c r="L4243" s="19">
        <v>2.0184301763750328E21</v>
      </c>
      <c r="M4243" s="20">
        <v>2.018430176375033E20</v>
      </c>
    </row>
    <row r="4244">
      <c r="A4244" s="6"/>
      <c r="B4244" s="6"/>
      <c r="C4244" s="4"/>
      <c r="D4244" s="4">
        <v>46.1248816083015</v>
      </c>
      <c r="E4244" s="4" t="s">
        <v>373</v>
      </c>
      <c r="F4244" s="4"/>
      <c r="G4244" s="4"/>
      <c r="H4244" s="4"/>
      <c r="I4244" s="4" t="str">
        <f>IFERROR(__xludf.DUMMYFUNCTION("""COMPUTED_VALUE"""),"0xde97f2fad748338e2c91b0349d438b8d1407e0a1")</f>
        <v>0xde97f2fad748338e2c91b0349d438b8d1407e0a1</v>
      </c>
      <c r="J4244" s="18">
        <v>9.672825519919328</v>
      </c>
      <c r="K4244" s="4">
        <v>120.9103189989916</v>
      </c>
      <c r="L4244" s="19">
        <v>1.209103189989916E20</v>
      </c>
      <c r="M4244" s="20">
        <v>1.209103189989916E19</v>
      </c>
    </row>
    <row r="4245">
      <c r="A4245" s="6"/>
      <c r="B4245" s="6"/>
      <c r="C4245" s="4"/>
      <c r="D4245" s="4">
        <v>8.50489807796065</v>
      </c>
      <c r="E4245" s="4" t="s">
        <v>6369</v>
      </c>
      <c r="F4245" s="4"/>
      <c r="G4245" s="4"/>
      <c r="H4245" s="4"/>
      <c r="I4245" s="4" t="str">
        <f>IFERROR(__xludf.DUMMYFUNCTION("""COMPUTED_VALUE"""),"0xe62567f0e133e808c388ed7ba5cea4dcbff9db44")</f>
        <v>0xe62567f0e133e808c388ed7ba5cea4dcbff9db44</v>
      </c>
      <c r="J4245" s="18">
        <v>2.04146435005982</v>
      </c>
      <c r="K4245" s="4">
        <v>25.518304375747753</v>
      </c>
      <c r="L4245" s="19">
        <v>2.551830437574775E19</v>
      </c>
      <c r="M4245" s="20">
        <v>2.5518304375747753E18</v>
      </c>
    </row>
    <row r="4246">
      <c r="A4246" s="6"/>
      <c r="B4246" s="6"/>
      <c r="C4246" s="4"/>
      <c r="D4246" s="4">
        <v>9.672825519919328</v>
      </c>
      <c r="E4246" s="4" t="s">
        <v>6371</v>
      </c>
      <c r="F4246" s="4"/>
      <c r="G4246" s="4"/>
      <c r="H4246" s="4"/>
      <c r="I4246" s="4" t="str">
        <f>IFERROR(__xludf.DUMMYFUNCTION("""COMPUTED_VALUE"""),"0x336d94511324c75654ba41189f45a72d1ba27558")</f>
        <v>0x336d94511324c75654ba41189f45a72d1ba27558</v>
      </c>
      <c r="J4246" s="18">
        <v>9.672825519919328</v>
      </c>
      <c r="K4246" s="4">
        <v>120.9103189989916</v>
      </c>
      <c r="L4246" s="19">
        <v>1.209103189989916E20</v>
      </c>
      <c r="M4246" s="20">
        <v>1.209103189989916E19</v>
      </c>
    </row>
    <row r="4247">
      <c r="A4247" s="6"/>
      <c r="B4247" s="6"/>
      <c r="C4247" s="4"/>
      <c r="D4247" s="4">
        <v>48.3641275995966</v>
      </c>
      <c r="E4247" s="4" t="s">
        <v>6372</v>
      </c>
      <c r="F4247" s="4"/>
      <c r="G4247" s="4"/>
      <c r="H4247" s="4"/>
      <c r="I4247" s="4" t="str">
        <f>IFERROR(__xludf.DUMMYFUNCTION("""COMPUTED_VALUE"""),"0xcf7bcef46aa95449e86f1a2d23b7b4caa8d6ae3d")</f>
        <v>0xcf7bcef46aa95449e86f1a2d23b7b4caa8d6ae3d</v>
      </c>
      <c r="J4247" s="18">
        <v>52.97590414625297</v>
      </c>
      <c r="K4247" s="4">
        <v>662.1988018281621</v>
      </c>
      <c r="L4247" s="19">
        <v>6.621988018281622E20</v>
      </c>
      <c r="M4247" s="20">
        <v>6.621988018281622E19</v>
      </c>
    </row>
    <row r="4248">
      <c r="A4248" s="6"/>
      <c r="B4248" s="6"/>
      <c r="C4248" s="4"/>
      <c r="D4248" s="4">
        <v>22.650438752122902</v>
      </c>
      <c r="E4248" s="4" t="s">
        <v>944</v>
      </c>
      <c r="F4248" s="4"/>
      <c r="G4248" s="4"/>
      <c r="H4248" s="4"/>
      <c r="I4248" s="4" t="str">
        <f>IFERROR(__xludf.DUMMYFUNCTION("""COMPUTED_VALUE"""),"0x9fe47b52107d522b19ab9564ec46b75144c3a71b")</f>
        <v>0x9fe47b52107d522b19ab9564ec46b75144c3a71b</v>
      </c>
      <c r="J4248" s="18">
        <v>33.1310940944831</v>
      </c>
      <c r="K4248" s="4">
        <v>414.13867618103876</v>
      </c>
      <c r="L4248" s="19">
        <v>4.141386761810388E20</v>
      </c>
      <c r="M4248" s="20">
        <v>4.141386761810388E19</v>
      </c>
    </row>
    <row r="4249">
      <c r="A4249" s="6"/>
      <c r="B4249" s="6"/>
      <c r="C4249" s="4"/>
      <c r="D4249" s="4">
        <v>9.672825519919328</v>
      </c>
      <c r="E4249" s="4" t="s">
        <v>6374</v>
      </c>
      <c r="F4249" s="4"/>
      <c r="G4249" s="4"/>
      <c r="H4249" s="4"/>
      <c r="I4249" s="4" t="str">
        <f>IFERROR(__xludf.DUMMYFUNCTION("""COMPUTED_VALUE"""),"0xd90856e0374807bf6c9c187d746db1e0d8b91a05")</f>
        <v>0xd90856e0374807bf6c9c187d746db1e0d8b91a05</v>
      </c>
      <c r="J4249" s="18">
        <v>8.7055429679274</v>
      </c>
      <c r="K4249" s="4">
        <v>108.81928709909249</v>
      </c>
      <c r="L4249" s="19">
        <v>1.0881928709909248E20</v>
      </c>
      <c r="M4249" s="20">
        <v>1.0881928709909248E19</v>
      </c>
    </row>
    <row r="4250">
      <c r="A4250" s="6"/>
      <c r="B4250" s="6"/>
      <c r="C4250" s="4"/>
      <c r="D4250" s="4">
        <v>29.071126775349697</v>
      </c>
      <c r="E4250" s="4" t="s">
        <v>6375</v>
      </c>
      <c r="F4250" s="4"/>
      <c r="G4250" s="4"/>
      <c r="H4250" s="4"/>
      <c r="I4250" s="4" t="str">
        <f>IFERROR(__xludf.DUMMYFUNCTION("""COMPUTED_VALUE"""),"0xa2f70aa9f2f23f28ae3b4f932952adfc090f05f2")</f>
        <v>0xa2f70aa9f2f23f28ae3b4f932952adfc090f05f2</v>
      </c>
      <c r="J4250" s="18">
        <v>31.533411194937</v>
      </c>
      <c r="K4250" s="4">
        <v>394.1676399367125</v>
      </c>
      <c r="L4250" s="19">
        <v>3.941676399367125E20</v>
      </c>
      <c r="M4250" s="20">
        <v>3.941676399367125E19</v>
      </c>
    </row>
    <row r="4251">
      <c r="A4251" s="6"/>
      <c r="B4251" s="6"/>
      <c r="C4251" s="4"/>
      <c r="D4251" s="4">
        <v>6.278769544038259</v>
      </c>
      <c r="E4251" s="4" t="s">
        <v>6377</v>
      </c>
      <c r="F4251" s="4"/>
      <c r="G4251" s="4"/>
      <c r="H4251" s="4"/>
      <c r="I4251" s="4" t="str">
        <f>IFERROR(__xludf.DUMMYFUNCTION("""COMPUTED_VALUE"""),"0x77f8d21e739dd90083122a97f2cd9987e791e605")</f>
        <v>0x77f8d21e739dd90083122a97f2cd9987e791e605</v>
      </c>
      <c r="J4251" s="18">
        <v>188.1925712537693</v>
      </c>
      <c r="K4251" s="4">
        <v>2352.4071406721164</v>
      </c>
      <c r="L4251" s="19">
        <v>2.3524071406721164E21</v>
      </c>
      <c r="M4251" s="20">
        <v>2.3524071406721165E20</v>
      </c>
    </row>
    <row r="4252">
      <c r="A4252" s="6"/>
      <c r="B4252" s="6"/>
      <c r="C4252" s="4"/>
      <c r="D4252" s="4">
        <v>48.3641275995966</v>
      </c>
      <c r="E4252" s="4" t="s">
        <v>6379</v>
      </c>
      <c r="F4252" s="4"/>
      <c r="G4252" s="4"/>
      <c r="H4252" s="4"/>
      <c r="I4252" s="4" t="str">
        <f>IFERROR(__xludf.DUMMYFUNCTION("""COMPUTED_VALUE"""),"0x31ece47e8eed2594865e54e8903bcbaa508494eb")</f>
        <v>0x31ece47e8eed2594865e54e8903bcbaa508494eb</v>
      </c>
      <c r="J4252" s="18">
        <v>48.3641275995966</v>
      </c>
      <c r="K4252" s="4">
        <v>604.5515949949574</v>
      </c>
      <c r="L4252" s="19">
        <v>6.045515949949574E20</v>
      </c>
      <c r="M4252" s="20">
        <v>6.045515949949574E19</v>
      </c>
    </row>
    <row r="4253">
      <c r="A4253" s="6"/>
      <c r="B4253" s="6"/>
      <c r="C4253" s="4"/>
      <c r="D4253" s="4">
        <v>48.3641275995966</v>
      </c>
      <c r="E4253" s="4" t="s">
        <v>761</v>
      </c>
      <c r="F4253" s="4"/>
      <c r="G4253" s="4"/>
      <c r="H4253" s="4"/>
      <c r="I4253" s="4" t="str">
        <f>IFERROR(__xludf.DUMMYFUNCTION("""COMPUTED_VALUE"""),"0xa65fb3c3018f246ff634b26743d03f1f98207fd7")</f>
        <v>0xa65fb3c3018f246ff634b26743d03f1f98207fd7</v>
      </c>
      <c r="J4253" s="18">
        <v>9.70645907061563</v>
      </c>
      <c r="K4253" s="4">
        <v>121.33073838269537</v>
      </c>
      <c r="L4253" s="19">
        <v>1.2133073838269537E20</v>
      </c>
      <c r="M4253" s="20">
        <v>1.2133073838269538E19</v>
      </c>
    </row>
    <row r="4254">
      <c r="A4254" s="6"/>
      <c r="B4254" s="6"/>
      <c r="C4254" s="4"/>
      <c r="D4254" s="4">
        <v>31.2979615432467</v>
      </c>
      <c r="E4254" s="4" t="s">
        <v>6380</v>
      </c>
      <c r="F4254" s="4"/>
      <c r="G4254" s="4"/>
      <c r="H4254" s="4"/>
      <c r="I4254" s="4" t="str">
        <f>IFERROR(__xludf.DUMMYFUNCTION("""COMPUTED_VALUE"""),"0x75bfb9e8d7a4798820e28c1567be69115a202e41")</f>
        <v>0x75bfb9e8d7a4798820e28c1567be69115a202e41</v>
      </c>
      <c r="J4254" s="18">
        <v>9.672825519919328</v>
      </c>
      <c r="K4254" s="4">
        <v>120.9103189989916</v>
      </c>
      <c r="L4254" s="19">
        <v>1.209103189989916E20</v>
      </c>
      <c r="M4254" s="20">
        <v>1.209103189989916E19</v>
      </c>
    </row>
    <row r="4255">
      <c r="A4255" s="6"/>
      <c r="B4255" s="6"/>
      <c r="C4255" s="4"/>
      <c r="D4255" s="4">
        <v>48.3641275995966</v>
      </c>
      <c r="E4255" s="4" t="s">
        <v>6382</v>
      </c>
      <c r="F4255" s="4"/>
      <c r="G4255" s="4"/>
      <c r="H4255" s="4"/>
      <c r="I4255" s="4" t="str">
        <f>IFERROR(__xludf.DUMMYFUNCTION("""COMPUTED_VALUE"""),"0xf1a0b22ebeadea98b15acfa219e223951799f910")</f>
        <v>0xf1a0b22ebeadea98b15acfa219e223951799f910</v>
      </c>
      <c r="J4255" s="18">
        <v>48.3641275995966</v>
      </c>
      <c r="K4255" s="4">
        <v>604.5515949949574</v>
      </c>
      <c r="L4255" s="19">
        <v>6.045515949949574E20</v>
      </c>
      <c r="M4255" s="20">
        <v>6.045515949949574E19</v>
      </c>
    </row>
    <row r="4256">
      <c r="A4256" s="6"/>
      <c r="B4256" s="6"/>
      <c r="C4256" s="4"/>
      <c r="D4256" s="4">
        <v>48.3641275995966</v>
      </c>
      <c r="E4256" s="4" t="s">
        <v>6383</v>
      </c>
      <c r="F4256" s="4"/>
      <c r="G4256" s="4"/>
      <c r="H4256" s="4"/>
      <c r="I4256" s="4" t="str">
        <f>IFERROR(__xludf.DUMMYFUNCTION("""COMPUTED_VALUE"""),"0x0ab41ca98c8ec6e6cd7f721470459a2f15541785")</f>
        <v>0x0ab41ca98c8ec6e6cd7f721470459a2f15541785</v>
      </c>
      <c r="J4256" s="18">
        <v>3.8812164336340795</v>
      </c>
      <c r="K4256" s="4">
        <v>48.51520542042599</v>
      </c>
      <c r="L4256" s="19">
        <v>4.8515205420425994E19</v>
      </c>
      <c r="M4256" s="20">
        <v>4.851520542042599E18</v>
      </c>
    </row>
    <row r="4257">
      <c r="A4257" s="6"/>
      <c r="B4257" s="6"/>
      <c r="C4257" s="4"/>
      <c r="D4257" s="4">
        <v>9.672825519919328</v>
      </c>
      <c r="E4257" s="4" t="s">
        <v>6384</v>
      </c>
      <c r="F4257" s="4"/>
      <c r="G4257" s="4"/>
      <c r="H4257" s="4"/>
      <c r="I4257" s="4" t="str">
        <f>IFERROR(__xludf.DUMMYFUNCTION("""COMPUTED_VALUE"""),"0xa39e78affcfddfe25c3b033ffac0095d54d94323")</f>
        <v>0xa39e78affcfddfe25c3b033ffac0095d54d94323</v>
      </c>
      <c r="J4257" s="18">
        <v>38.6913020796773</v>
      </c>
      <c r="K4257" s="4">
        <v>483.6412759959662</v>
      </c>
      <c r="L4257" s="19">
        <v>4.836412759959662E20</v>
      </c>
      <c r="M4257" s="20">
        <v>4.836412759959663E19</v>
      </c>
    </row>
    <row r="4258">
      <c r="A4258" s="6"/>
      <c r="B4258" s="6"/>
      <c r="C4258" s="4"/>
      <c r="D4258" s="4">
        <v>16.127139457277</v>
      </c>
      <c r="E4258" s="4" t="s">
        <v>6385</v>
      </c>
      <c r="F4258" s="4"/>
      <c r="G4258" s="4"/>
      <c r="H4258" s="4"/>
      <c r="I4258" s="4" t="str">
        <f>IFERROR(__xludf.DUMMYFUNCTION("""COMPUTED_VALUE"""),"0xdbd3baf026269abc963e5aee9ebaa53540fa0cf3")</f>
        <v>0xdbd3baf026269abc963e5aee9ebaa53540fa0cf3</v>
      </c>
      <c r="J4258" s="18">
        <v>234.37608780709658</v>
      </c>
      <c r="K4258" s="4">
        <v>2929.7010975887074</v>
      </c>
      <c r="L4258" s="19">
        <v>2.9297010975887076E21</v>
      </c>
      <c r="M4258" s="20">
        <v>2.9297010975887078E20</v>
      </c>
    </row>
    <row r="4259">
      <c r="A4259" s="6"/>
      <c r="B4259" s="6"/>
      <c r="C4259" s="4"/>
      <c r="D4259" s="4">
        <v>9.49620899520084</v>
      </c>
      <c r="E4259" s="4" t="s">
        <v>6387</v>
      </c>
      <c r="F4259" s="4"/>
      <c r="G4259" s="4"/>
      <c r="H4259" s="4"/>
      <c r="I4259" s="4" t="str">
        <f>IFERROR(__xludf.DUMMYFUNCTION("""COMPUTED_VALUE"""),"0x56edfa4bff12a8d5352523bb1cf4155335aaf8a3")</f>
        <v>0x56edfa4bff12a8d5352523bb1cf4155335aaf8a3</v>
      </c>
      <c r="J4259" s="18">
        <v>56.9202705908831</v>
      </c>
      <c r="K4259" s="4">
        <v>711.5033823860388</v>
      </c>
      <c r="L4259" s="19">
        <v>7.115033823860388E20</v>
      </c>
      <c r="M4259" s="20">
        <v>7.115033823860389E19</v>
      </c>
    </row>
    <row r="4260">
      <c r="A4260" s="6"/>
      <c r="B4260" s="6"/>
      <c r="C4260" s="4"/>
      <c r="D4260" s="4">
        <v>9.672825519919328</v>
      </c>
      <c r="E4260" s="4" t="s">
        <v>6389</v>
      </c>
      <c r="F4260" s="4"/>
      <c r="G4260" s="4"/>
      <c r="H4260" s="4"/>
      <c r="I4260" s="4" t="str">
        <f>IFERROR(__xludf.DUMMYFUNCTION("""COMPUTED_VALUE"""),"0x6b2f86a9a91bfe771226e97271ca9f7f2c79e946")</f>
        <v>0x6b2f86a9a91bfe771226e97271ca9f7f2c79e946</v>
      </c>
      <c r="J4260" s="18">
        <v>7.75481963044356</v>
      </c>
      <c r="K4260" s="4">
        <v>96.9352453805445</v>
      </c>
      <c r="L4260" s="19">
        <v>9.69352453805445E19</v>
      </c>
      <c r="M4260" s="20">
        <v>9.69352453805445E18</v>
      </c>
    </row>
    <row r="4261">
      <c r="A4261" s="6"/>
      <c r="B4261" s="6"/>
      <c r="C4261" s="4"/>
      <c r="D4261" s="4">
        <v>19.257310481269197</v>
      </c>
      <c r="E4261" s="4" t="s">
        <v>6390</v>
      </c>
      <c r="F4261" s="4"/>
      <c r="G4261" s="4"/>
      <c r="H4261" s="4"/>
      <c r="I4261" s="4" t="str">
        <f>IFERROR(__xludf.DUMMYFUNCTION("""COMPUTED_VALUE"""),"0x23b4c21e96bb213c1563f6f189131a570ba94718")</f>
        <v>0x23b4c21e96bb213c1563f6f189131a570ba94718</v>
      </c>
      <c r="J4261" s="18">
        <v>48.3641275995966</v>
      </c>
      <c r="K4261" s="4">
        <v>604.5515949949574</v>
      </c>
      <c r="L4261" s="19">
        <v>6.045515949949574E20</v>
      </c>
      <c r="M4261" s="20">
        <v>6.045515949949574E19</v>
      </c>
    </row>
    <row r="4262">
      <c r="A4262" s="6"/>
      <c r="B4262" s="6"/>
      <c r="C4262" s="4"/>
      <c r="D4262" s="4">
        <v>48.3641275995966</v>
      </c>
      <c r="E4262" s="4" t="s">
        <v>1331</v>
      </c>
      <c r="F4262" s="4"/>
      <c r="G4262" s="4"/>
      <c r="H4262" s="4"/>
      <c r="I4262" s="4" t="str">
        <f>IFERROR(__xludf.DUMMYFUNCTION("""COMPUTED_VALUE"""),"0x83c5852053cd29e59e56a002b24d9ac61631e3ba")</f>
        <v>0x83c5852053cd29e59e56a002b24d9ac61631e3ba</v>
      </c>
      <c r="J4262" s="18">
        <v>9.345780613849891</v>
      </c>
      <c r="K4262" s="4">
        <v>116.82225767312364</v>
      </c>
      <c r="L4262" s="19">
        <v>1.1682225767312364E20</v>
      </c>
      <c r="M4262" s="20">
        <v>1.1682225767312366E19</v>
      </c>
    </row>
    <row r="4263">
      <c r="A4263" s="6"/>
      <c r="B4263" s="6"/>
      <c r="C4263" s="4"/>
      <c r="D4263" s="4">
        <v>48.3641275995966</v>
      </c>
      <c r="E4263" s="4" t="s">
        <v>6392</v>
      </c>
      <c r="F4263" s="4"/>
      <c r="G4263" s="4"/>
      <c r="H4263" s="4"/>
      <c r="I4263" s="4" t="str">
        <f>IFERROR(__xludf.DUMMYFUNCTION("""COMPUTED_VALUE"""),"0xc0f6364689a62388da5e2d1da1ca8a4b5e55c3a1")</f>
        <v>0xc0f6364689a62388da5e2d1da1ca8a4b5e55c3a1</v>
      </c>
      <c r="J4263" s="18">
        <v>1.5901438153232799</v>
      </c>
      <c r="K4263" s="4">
        <v>19.876797691540997</v>
      </c>
      <c r="L4263" s="19">
        <v>1.9876797691540996E19</v>
      </c>
      <c r="M4263" s="20">
        <v>1.9876797691540997E18</v>
      </c>
    </row>
    <row r="4264">
      <c r="A4264" s="6"/>
      <c r="B4264" s="6"/>
      <c r="C4264" s="4"/>
      <c r="D4264" s="4">
        <v>1.23831464560976</v>
      </c>
      <c r="E4264" s="4" t="s">
        <v>796</v>
      </c>
      <c r="F4264" s="4"/>
      <c r="G4264" s="4"/>
      <c r="H4264" s="4"/>
      <c r="I4264" s="4" t="str">
        <f>IFERROR(__xludf.DUMMYFUNCTION("""COMPUTED_VALUE"""),"0x1767d68e82c9a641ce3df93995811cf479b8d499")</f>
        <v>0x1767d68e82c9a641ce3df93995811cf479b8d499</v>
      </c>
      <c r="J4264" s="18">
        <v>9.672825519919328</v>
      </c>
      <c r="K4264" s="4">
        <v>120.9103189989916</v>
      </c>
      <c r="L4264" s="19">
        <v>1.209103189989916E20</v>
      </c>
      <c r="M4264" s="20">
        <v>1.209103189989916E19</v>
      </c>
    </row>
    <row r="4265">
      <c r="A4265" s="6"/>
      <c r="B4265" s="6"/>
      <c r="C4265" s="4"/>
      <c r="D4265" s="4">
        <v>3.30463297693056</v>
      </c>
      <c r="E4265" s="4" t="s">
        <v>82</v>
      </c>
      <c r="F4265" s="4"/>
      <c r="G4265" s="4"/>
      <c r="H4265" s="4"/>
      <c r="I4265" s="4" t="str">
        <f>IFERROR(__xludf.DUMMYFUNCTION("""COMPUTED_VALUE"""),"0xd4493f8cea59fa0a7a93d84c8ab858f15abd140e")</f>
        <v>0xd4493f8cea59fa0a7a93d84c8ab858f15abd140e</v>
      </c>
      <c r="J4265" s="18">
        <v>12.7758728417984</v>
      </c>
      <c r="K4265" s="4">
        <v>159.69841052248</v>
      </c>
      <c r="L4265" s="19">
        <v>1.5969841052248002E20</v>
      </c>
      <c r="M4265" s="20">
        <v>1.5969841052248003E19</v>
      </c>
    </row>
    <row r="4266">
      <c r="A4266" s="6"/>
      <c r="B4266" s="6"/>
      <c r="C4266" s="4"/>
      <c r="D4266" s="4">
        <v>7.37731695300878</v>
      </c>
      <c r="E4266" s="4" t="s">
        <v>6395</v>
      </c>
      <c r="F4266" s="4"/>
      <c r="G4266" s="4"/>
      <c r="H4266" s="4"/>
      <c r="I4266" s="4" t="str">
        <f>IFERROR(__xludf.DUMMYFUNCTION("""COMPUTED_VALUE"""),"0x400032c4574e1c753da750ea5594d773c3937264")</f>
        <v>0x400032c4574e1c753da750ea5594d773c3937264</v>
      </c>
      <c r="J4266" s="18">
        <v>110.1095724149252</v>
      </c>
      <c r="K4266" s="4">
        <v>1376.3696551865648</v>
      </c>
      <c r="L4266" s="19">
        <v>1.3763696551865648E21</v>
      </c>
      <c r="M4266" s="20">
        <v>1.3763696551865649E20</v>
      </c>
    </row>
    <row r="4267">
      <c r="A4267" s="6"/>
      <c r="B4267" s="6"/>
      <c r="C4267" s="4"/>
      <c r="D4267" s="4">
        <v>45.6032780032527</v>
      </c>
      <c r="E4267" s="4" t="s">
        <v>6397</v>
      </c>
      <c r="F4267" s="4"/>
      <c r="G4267" s="4"/>
      <c r="H4267" s="4"/>
      <c r="I4267" s="4" t="str">
        <f>IFERROR(__xludf.DUMMYFUNCTION("""COMPUTED_VALUE"""),"0x13a5e7bde7477616c953ac4d4a1a82f751053efb")</f>
        <v>0x13a5e7bde7477616c953ac4d4a1a82f751053efb</v>
      </c>
      <c r="J4267" s="18">
        <v>48.3641275995966</v>
      </c>
      <c r="K4267" s="4">
        <v>604.5515949949574</v>
      </c>
      <c r="L4267" s="19">
        <v>6.045515949949574E20</v>
      </c>
      <c r="M4267" s="20">
        <v>6.045515949949574E19</v>
      </c>
    </row>
    <row r="4268">
      <c r="A4268" s="6"/>
      <c r="B4268" s="6"/>
      <c r="C4268" s="4"/>
      <c r="D4268" s="4">
        <v>48.3641275995966</v>
      </c>
      <c r="E4268" s="4" t="s">
        <v>998</v>
      </c>
      <c r="F4268" s="4"/>
      <c r="G4268" s="4"/>
      <c r="H4268" s="4"/>
      <c r="I4268" s="4" t="str">
        <f>IFERROR(__xludf.DUMMYFUNCTION("""COMPUTED_VALUE"""),"0x1b76b36e2b7121579e32f6cf3d640d8930e83065")</f>
        <v>0x1b76b36e2b7121579e32f6cf3d640d8930e83065</v>
      </c>
      <c r="J4268" s="18">
        <v>19.3490125945246</v>
      </c>
      <c r="K4268" s="4">
        <v>241.86265743155747</v>
      </c>
      <c r="L4268" s="19">
        <v>2.4186265743155747E20</v>
      </c>
      <c r="M4268" s="20">
        <v>2.418626574315575E19</v>
      </c>
    </row>
    <row r="4269">
      <c r="A4269" s="6"/>
      <c r="B4269" s="6"/>
      <c r="C4269" s="4"/>
      <c r="D4269" s="4">
        <v>34.8221718717096</v>
      </c>
      <c r="E4269" s="4" t="s">
        <v>6399</v>
      </c>
      <c r="F4269" s="4"/>
      <c r="G4269" s="4"/>
      <c r="H4269" s="4"/>
      <c r="I4269" s="4" t="str">
        <f>IFERROR(__xludf.DUMMYFUNCTION("""COMPUTED_VALUE"""),"0xd413aaf3c0afc45eac8e5901864f103c44b9004d")</f>
        <v>0xd413aaf3c0afc45eac8e5901864f103c44b9004d</v>
      </c>
      <c r="J4269" s="18">
        <v>92.4250801105254</v>
      </c>
      <c r="K4269" s="4">
        <v>1155.3135013815674</v>
      </c>
      <c r="L4269" s="19">
        <v>1.1553135013815674E21</v>
      </c>
      <c r="M4269" s="20">
        <v>1.1553135013815674E20</v>
      </c>
    </row>
    <row r="4270">
      <c r="A4270" s="6"/>
      <c r="B4270" s="6"/>
      <c r="C4270" s="4"/>
      <c r="D4270" s="4">
        <v>48.3641275995966</v>
      </c>
      <c r="E4270" s="4" t="s">
        <v>6400</v>
      </c>
      <c r="F4270" s="4"/>
      <c r="G4270" s="4"/>
      <c r="H4270" s="4"/>
      <c r="I4270" s="4" t="str">
        <f>IFERROR(__xludf.DUMMYFUNCTION("""COMPUTED_VALUE"""),"0xcf21c3bbcc34afa5d474cff53752f8ee8395bf9b")</f>
        <v>0xcf21c3bbcc34afa5d474cff53752f8ee8395bf9b</v>
      </c>
      <c r="J4270" s="18">
        <v>9.48712041530676</v>
      </c>
      <c r="K4270" s="4">
        <v>118.58900519133451</v>
      </c>
      <c r="L4270" s="19">
        <v>1.1858900519133451E20</v>
      </c>
      <c r="M4270" s="20">
        <v>1.1858900519133452E19</v>
      </c>
    </row>
    <row r="4271">
      <c r="A4271" s="6"/>
      <c r="B4271" s="6"/>
      <c r="C4271" s="4"/>
      <c r="D4271" s="4">
        <v>45.747606495936104</v>
      </c>
      <c r="E4271" s="4" t="s">
        <v>6401</v>
      </c>
      <c r="F4271" s="4"/>
      <c r="G4271" s="4"/>
      <c r="H4271" s="4"/>
      <c r="I4271" s="4" t="str">
        <f>IFERROR(__xludf.DUMMYFUNCTION("""COMPUTED_VALUE"""),"0x1d08720069615ce2f8e871c8b27fb94dddfd7ab5")</f>
        <v>0x1d08720069615ce2f8e871c8b27fb94dddfd7ab5</v>
      </c>
      <c r="J4271" s="18">
        <v>57.66472560997164</v>
      </c>
      <c r="K4271" s="4">
        <v>720.8090701246455</v>
      </c>
      <c r="L4271" s="19">
        <v>7.208090701246455E20</v>
      </c>
      <c r="M4271" s="20">
        <v>7.208090701246455E19</v>
      </c>
    </row>
    <row r="4272">
      <c r="A4272" s="6"/>
      <c r="B4272" s="6"/>
      <c r="C4272" s="4"/>
      <c r="D4272" s="4">
        <v>13.7153699425989</v>
      </c>
      <c r="E4272" s="4" t="s">
        <v>6403</v>
      </c>
      <c r="F4272" s="4"/>
      <c r="G4272" s="4"/>
      <c r="H4272" s="4"/>
      <c r="I4272" s="4" t="str">
        <f>IFERROR(__xludf.DUMMYFUNCTION("""COMPUTED_VALUE"""),"0xef879dd342fdbc2f1dbc64ef2369fd0168b16669")</f>
        <v>0xef879dd342fdbc2f1dbc64ef2369fd0168b16669</v>
      </c>
      <c r="J4272" s="18">
        <v>73.2858277058628</v>
      </c>
      <c r="K4272" s="4">
        <v>916.072846323285</v>
      </c>
      <c r="L4272" s="19">
        <v>9.160728463232851E20</v>
      </c>
      <c r="M4272" s="20">
        <v>9.160728463232852E19</v>
      </c>
    </row>
    <row r="4273">
      <c r="A4273" s="6"/>
      <c r="B4273" s="6"/>
      <c r="C4273" s="4"/>
      <c r="D4273" s="4">
        <v>47.7523507206103</v>
      </c>
      <c r="E4273" s="4" t="s">
        <v>6405</v>
      </c>
      <c r="F4273" s="4"/>
      <c r="G4273" s="4"/>
      <c r="H4273" s="4"/>
      <c r="I4273" s="4" t="str">
        <f>IFERROR(__xludf.DUMMYFUNCTION("""COMPUTED_VALUE"""),"0x813542109bfba06843952909b1c416b4179ee929")</f>
        <v>0x813542109bfba06843952909b1c416b4179ee929</v>
      </c>
      <c r="J4273" s="18">
        <v>48.3641275995966</v>
      </c>
      <c r="K4273" s="4">
        <v>604.5515949949574</v>
      </c>
      <c r="L4273" s="19">
        <v>6.045515949949574E20</v>
      </c>
      <c r="M4273" s="20">
        <v>6.045515949949574E19</v>
      </c>
    </row>
    <row r="4274">
      <c r="A4274" s="6"/>
      <c r="B4274" s="6"/>
      <c r="C4274" s="4"/>
      <c r="D4274" s="4">
        <v>9.86628203031772</v>
      </c>
      <c r="E4274" s="4" t="s">
        <v>6407</v>
      </c>
      <c r="F4274" s="4"/>
      <c r="G4274" s="4"/>
      <c r="H4274" s="4"/>
      <c r="I4274" s="4" t="str">
        <f>IFERROR(__xludf.DUMMYFUNCTION("""COMPUTED_VALUE"""),"0x1da37784fe80f9464909c6262b523c158f78c2c7")</f>
        <v>0x1da37784fe80f9464909c6262b523c158f78c2c7</v>
      </c>
      <c r="J4274" s="18">
        <v>19.3456510398386</v>
      </c>
      <c r="K4274" s="4">
        <v>241.8206379979825</v>
      </c>
      <c r="L4274" s="19">
        <v>2.4182063799798248E20</v>
      </c>
      <c r="M4274" s="20">
        <v>2.418206379979825E19</v>
      </c>
    </row>
    <row r="4275">
      <c r="A4275" s="6"/>
      <c r="B4275" s="6"/>
      <c r="C4275" s="4"/>
      <c r="D4275" s="4">
        <v>48.3641275995966</v>
      </c>
      <c r="E4275" s="4" t="s">
        <v>6408</v>
      </c>
      <c r="F4275" s="4"/>
      <c r="G4275" s="4"/>
      <c r="H4275" s="4"/>
      <c r="I4275" s="4" t="str">
        <f>IFERROR(__xludf.DUMMYFUNCTION("""COMPUTED_VALUE"""),"0xa5a6234150bcbef3b25390698f97474b4bf4c27f")</f>
        <v>0xa5a6234150bcbef3b25390698f97474b4bf4c27f</v>
      </c>
      <c r="J4275" s="18">
        <v>48.3641275995966</v>
      </c>
      <c r="K4275" s="4">
        <v>604.5515949949574</v>
      </c>
      <c r="L4275" s="19">
        <v>6.045515949949574E20</v>
      </c>
      <c r="M4275" s="20">
        <v>6.045515949949574E19</v>
      </c>
    </row>
    <row r="4276">
      <c r="A4276" s="6"/>
      <c r="B4276" s="6"/>
      <c r="C4276" s="4"/>
      <c r="D4276" s="4">
        <v>43.513726972201404</v>
      </c>
      <c r="E4276" s="4" t="s">
        <v>6409</v>
      </c>
      <c r="F4276" s="4"/>
      <c r="G4276" s="4"/>
      <c r="H4276" s="4"/>
      <c r="I4276" s="4" t="str">
        <f>IFERROR(__xludf.DUMMYFUNCTION("""COMPUTED_VALUE"""),"0x10190b00e2400aab9a92ee8bfd01b110820631a7")</f>
        <v>0x10190b00e2400aab9a92ee8bfd01b110820631a7</v>
      </c>
      <c r="J4276" s="18">
        <v>48.3641275995966</v>
      </c>
      <c r="K4276" s="4">
        <v>604.5515949949574</v>
      </c>
      <c r="L4276" s="19">
        <v>6.045515949949574E20</v>
      </c>
      <c r="M4276" s="20">
        <v>6.045515949949574E19</v>
      </c>
    </row>
    <row r="4277">
      <c r="A4277" s="6"/>
      <c r="B4277" s="6"/>
      <c r="C4277" s="4"/>
      <c r="D4277" s="4">
        <v>9.672825519919328</v>
      </c>
      <c r="E4277" s="4" t="s">
        <v>6411</v>
      </c>
      <c r="F4277" s="4"/>
      <c r="G4277" s="4"/>
      <c r="H4277" s="4"/>
      <c r="I4277" s="4" t="str">
        <f>IFERROR(__xludf.DUMMYFUNCTION("""COMPUTED_VALUE"""),"0x0b6730e0552f8acce13745f1bbecd009384645bf")</f>
        <v>0x0b6730e0552f8acce13745f1bbecd009384645bf</v>
      </c>
      <c r="J4277" s="18">
        <v>7.7223543957727205</v>
      </c>
      <c r="K4277" s="4">
        <v>96.529429947159</v>
      </c>
      <c r="L4277" s="19">
        <v>9.6529429947159E19</v>
      </c>
      <c r="M4277" s="20">
        <v>9.6529429947159E18</v>
      </c>
    </row>
    <row r="4278">
      <c r="A4278" s="6"/>
      <c r="B4278" s="6"/>
      <c r="C4278" s="4"/>
      <c r="D4278" s="4">
        <v>48.3641275995966</v>
      </c>
      <c r="E4278" s="4" t="s">
        <v>1153</v>
      </c>
      <c r="F4278" s="4"/>
      <c r="G4278" s="4"/>
      <c r="H4278" s="4"/>
      <c r="I4278" s="4" t="str">
        <f>IFERROR(__xludf.DUMMYFUNCTION("""COMPUTED_VALUE"""),"0x8dd465ba1cd2ad7f6e6dfd929be748be361429ca")</f>
        <v>0x8dd465ba1cd2ad7f6e6dfd929be748be361429ca</v>
      </c>
      <c r="J4278" s="18">
        <v>113.4683136722219</v>
      </c>
      <c r="K4278" s="4">
        <v>1418.3539209027738</v>
      </c>
      <c r="L4278" s="19">
        <v>1.4183539209027739E21</v>
      </c>
      <c r="M4278" s="20">
        <v>1.418353920902774E20</v>
      </c>
    </row>
    <row r="4279">
      <c r="A4279" s="6"/>
      <c r="B4279" s="6"/>
      <c r="C4279" s="4"/>
      <c r="D4279" s="4">
        <v>9.255823695633191</v>
      </c>
      <c r="E4279" s="4" t="s">
        <v>6412</v>
      </c>
      <c r="F4279" s="4"/>
      <c r="G4279" s="4"/>
      <c r="H4279" s="4"/>
      <c r="I4279" s="4" t="str">
        <f>IFERROR(__xludf.DUMMYFUNCTION("""COMPUTED_VALUE"""),"0xdee9d243722861df9460ddbb9ea86ff4fdab5e05")</f>
        <v>0xdee9d243722861df9460ddbb9ea86ff4fdab5e05</v>
      </c>
      <c r="J4279" s="18">
        <v>48.249450847911</v>
      </c>
      <c r="K4279" s="4">
        <v>603.1181355988875</v>
      </c>
      <c r="L4279" s="19">
        <v>6.031181355988875E20</v>
      </c>
      <c r="M4279" s="20">
        <v>6.031181355988875E19</v>
      </c>
    </row>
    <row r="4280">
      <c r="A4280" s="6"/>
      <c r="B4280" s="6"/>
      <c r="C4280" s="4"/>
      <c r="D4280" s="4">
        <v>48.3641275995966</v>
      </c>
      <c r="E4280" s="4" t="s">
        <v>6414</v>
      </c>
      <c r="F4280" s="4"/>
      <c r="G4280" s="4"/>
      <c r="H4280" s="4"/>
      <c r="I4280" s="4" t="str">
        <f>IFERROR(__xludf.DUMMYFUNCTION("""COMPUTED_VALUE"""),"0x5ee481e77c970ce812bcc5c3b66c481bf37a06b0")</f>
        <v>0x5ee481e77c970ce812bcc5c3b66c481bf37a06b0</v>
      </c>
      <c r="J4280" s="18">
        <v>29.7716027547389</v>
      </c>
      <c r="K4280" s="4">
        <v>372.14503443423627</v>
      </c>
      <c r="L4280" s="19">
        <v>3.7214503443423625E20</v>
      </c>
      <c r="M4280" s="20">
        <v>3.7214503443423625E19</v>
      </c>
    </row>
    <row r="4281">
      <c r="A4281" s="6"/>
      <c r="B4281" s="6"/>
      <c r="C4281" s="4"/>
      <c r="D4281" s="4">
        <v>23.7826706133904</v>
      </c>
      <c r="E4281" s="4" t="s">
        <v>6415</v>
      </c>
      <c r="F4281" s="4"/>
      <c r="G4281" s="4"/>
      <c r="H4281" s="4"/>
      <c r="I4281" s="4" t="str">
        <f>IFERROR(__xludf.DUMMYFUNCTION("""COMPUTED_VALUE"""),"0x8087fee86e8967dbf76261f440e5f41b260ae224")</f>
        <v>0x8087fee86e8967dbf76261f440e5f41b260ae224</v>
      </c>
      <c r="J4281" s="18">
        <v>141.370107703347</v>
      </c>
      <c r="K4281" s="4">
        <v>1767.1263462918375</v>
      </c>
      <c r="L4281" s="19">
        <v>1.7671263462918377E21</v>
      </c>
      <c r="M4281" s="20">
        <v>1.7671263462918377E20</v>
      </c>
    </row>
    <row r="4282">
      <c r="A4282" s="6"/>
      <c r="B4282" s="6"/>
      <c r="C4282" s="4"/>
      <c r="D4282" s="4">
        <v>47.2808697285756</v>
      </c>
      <c r="E4282" s="4" t="s">
        <v>6417</v>
      </c>
      <c r="F4282" s="4"/>
      <c r="G4282" s="4"/>
      <c r="H4282" s="4"/>
      <c r="I4282" s="4" t="str">
        <f>IFERROR(__xludf.DUMMYFUNCTION("""COMPUTED_VALUE"""),"0xcf8697b8c76142646c44e3bbd70fffa9eb23d904")</f>
        <v>0xcf8697b8c76142646c44e3bbd70fffa9eb23d904</v>
      </c>
      <c r="J4282" s="18">
        <v>4.8710564990134895</v>
      </c>
      <c r="K4282" s="4">
        <v>60.88820623766862</v>
      </c>
      <c r="L4282" s="19">
        <v>6.088820623766862E19</v>
      </c>
      <c r="M4282" s="20">
        <v>6.088820623766863E18</v>
      </c>
    </row>
    <row r="4283">
      <c r="A4283" s="6"/>
      <c r="B4283" s="6"/>
      <c r="C4283" s="4"/>
      <c r="D4283" s="4">
        <v>48.3641275995966</v>
      </c>
      <c r="E4283" s="4" t="s">
        <v>6419</v>
      </c>
      <c r="F4283" s="4"/>
      <c r="G4283" s="4"/>
      <c r="H4283" s="4"/>
      <c r="I4283" s="4" t="str">
        <f>IFERROR(__xludf.DUMMYFUNCTION("""COMPUTED_VALUE"""),"0xdbf622f89d8023cfa168bcda0d48d8b34c8b48fe")</f>
        <v>0xdbf622f89d8023cfa168bcda0d48d8b34c8b48fe</v>
      </c>
      <c r="J4283" s="18">
        <v>48.3641275995966</v>
      </c>
      <c r="K4283" s="4">
        <v>604.5515949949574</v>
      </c>
      <c r="L4283" s="19">
        <v>6.045515949949574E20</v>
      </c>
      <c r="M4283" s="20">
        <v>6.045515949949574E19</v>
      </c>
    </row>
    <row r="4284">
      <c r="A4284" s="6"/>
      <c r="B4284" s="6"/>
      <c r="C4284" s="4"/>
      <c r="D4284" s="4">
        <v>6.49280117769098</v>
      </c>
      <c r="E4284" s="4" t="s">
        <v>6420</v>
      </c>
      <c r="F4284" s="4"/>
      <c r="G4284" s="4"/>
      <c r="H4284" s="4"/>
      <c r="I4284" s="4" t="str">
        <f>IFERROR(__xludf.DUMMYFUNCTION("""COMPUTED_VALUE"""),"0x7b3254d836387627e184a7482ec101bfd0c35e1d")</f>
        <v>0x7b3254d836387627e184a7482ec101bfd0c35e1d</v>
      </c>
      <c r="J4284" s="18">
        <v>43.737264458359604</v>
      </c>
      <c r="K4284" s="4">
        <v>546.7158057294951</v>
      </c>
      <c r="L4284" s="19">
        <v>5.4671580572949506E20</v>
      </c>
      <c r="M4284" s="20">
        <v>5.467158057294951E19</v>
      </c>
    </row>
    <row r="4285">
      <c r="A4285" s="6"/>
      <c r="B4285" s="6"/>
      <c r="C4285" s="4"/>
      <c r="D4285" s="4">
        <v>23.174699268899</v>
      </c>
      <c r="E4285" s="4" t="s">
        <v>6422</v>
      </c>
      <c r="F4285" s="4"/>
      <c r="G4285" s="4"/>
      <c r="H4285" s="4"/>
      <c r="I4285" s="4" t="str">
        <f>IFERROR(__xludf.DUMMYFUNCTION("""COMPUTED_VALUE"""),"0x76b0eec6cc9f88d0a3a6e559418bcc9cb375ab9d")</f>
        <v>0x76b0eec6cc9f88d0a3a6e559418bcc9cb375ab9d</v>
      </c>
      <c r="J4285" s="18">
        <v>4.642956249561281</v>
      </c>
      <c r="K4285" s="4">
        <v>58.036953119516006</v>
      </c>
      <c r="L4285" s="19">
        <v>5.803695311951601E19</v>
      </c>
      <c r="M4285" s="20">
        <v>5.803695311951602E18</v>
      </c>
    </row>
    <row r="4286">
      <c r="A4286" s="6"/>
      <c r="B4286" s="6"/>
      <c r="C4286" s="4"/>
      <c r="D4286" s="4">
        <v>9.01303217057418</v>
      </c>
      <c r="E4286" s="4" t="s">
        <v>6424</v>
      </c>
      <c r="F4286" s="4"/>
      <c r="G4286" s="4"/>
      <c r="H4286" s="4"/>
      <c r="I4286" s="4" t="str">
        <f>IFERROR(__xludf.DUMMYFUNCTION("""COMPUTED_VALUE"""),"0xccbac0a6319d62a42bf8c1201ff605ed7886aa25")</f>
        <v>0xccbac0a6319d62a42bf8c1201ff605ed7886aa25</v>
      </c>
      <c r="J4286" s="18">
        <v>11.057636950403701</v>
      </c>
      <c r="K4286" s="4">
        <v>138.22046188004626</v>
      </c>
      <c r="L4286" s="19">
        <v>1.3822046188004626E20</v>
      </c>
      <c r="M4286" s="20">
        <v>1.3822046188004626E19</v>
      </c>
    </row>
    <row r="4287">
      <c r="A4287" s="6"/>
      <c r="B4287" s="6"/>
      <c r="C4287" s="4"/>
      <c r="D4287" s="4">
        <v>48.3641275995966</v>
      </c>
      <c r="E4287" s="4" t="s">
        <v>6426</v>
      </c>
      <c r="F4287" s="4"/>
      <c r="G4287" s="4"/>
      <c r="H4287" s="4"/>
      <c r="I4287" s="4" t="str">
        <f>IFERROR(__xludf.DUMMYFUNCTION("""COMPUTED_VALUE"""),"0x71ddd4383044e82d05a7b49ac51a35c2820506dd")</f>
        <v>0x71ddd4383044e82d05a7b49ac51a35c2820506dd</v>
      </c>
      <c r="J4287" s="18">
        <v>48.3641275995966</v>
      </c>
      <c r="K4287" s="4">
        <v>604.5515949949574</v>
      </c>
      <c r="L4287" s="19">
        <v>6.045515949949574E20</v>
      </c>
      <c r="M4287" s="20">
        <v>6.045515949949574E19</v>
      </c>
    </row>
    <row r="4288">
      <c r="A4288" s="6"/>
      <c r="B4288" s="6"/>
      <c r="C4288" s="4"/>
      <c r="D4288" s="4">
        <v>14.2723768743269</v>
      </c>
      <c r="E4288" s="4" t="s">
        <v>6427</v>
      </c>
      <c r="F4288" s="4"/>
      <c r="G4288" s="4"/>
      <c r="H4288" s="4"/>
      <c r="I4288" s="4" t="str">
        <f>IFERROR(__xludf.DUMMYFUNCTION("""COMPUTED_VALUE"""),"0xd8579b444763f4a52b4a9509dacfc4e8ef5f93d2")</f>
        <v>0xd8579b444763f4a52b4a9509dacfc4e8ef5f93d2</v>
      </c>
      <c r="J4288" s="18">
        <v>48.3641275995966</v>
      </c>
      <c r="K4288" s="4">
        <v>604.5515949949574</v>
      </c>
      <c r="L4288" s="19">
        <v>6.045515949949574E20</v>
      </c>
      <c r="M4288" s="20">
        <v>6.045515949949574E19</v>
      </c>
    </row>
    <row r="4289">
      <c r="A4289" s="6"/>
      <c r="B4289" s="6"/>
      <c r="C4289" s="4"/>
      <c r="D4289" s="4">
        <v>24.3496296199252</v>
      </c>
      <c r="E4289" s="4" t="s">
        <v>6429</v>
      </c>
      <c r="F4289" s="4"/>
      <c r="G4289" s="4"/>
      <c r="H4289" s="4"/>
      <c r="I4289" s="4" t="str">
        <f>IFERROR(__xludf.DUMMYFUNCTION("""COMPUTED_VALUE"""),"0x2271726b69aee55eefa433ecbeb1511d439dc27c")</f>
        <v>0x2271726b69aee55eefa433ecbeb1511d439dc27c</v>
      </c>
      <c r="J4289" s="18">
        <v>10.2714680885731</v>
      </c>
      <c r="K4289" s="4">
        <v>128.39335110716374</v>
      </c>
      <c r="L4289" s="19">
        <v>1.2839335110716373E20</v>
      </c>
      <c r="M4289" s="20">
        <v>1.2839335110716375E19</v>
      </c>
    </row>
    <row r="4290">
      <c r="A4290" s="6"/>
      <c r="B4290" s="6"/>
      <c r="C4290" s="4"/>
      <c r="D4290" s="4">
        <v>8.607753085376409</v>
      </c>
      <c r="E4290" s="4" t="s">
        <v>6431</v>
      </c>
      <c r="F4290" s="4"/>
      <c r="G4290" s="4"/>
      <c r="H4290" s="4"/>
      <c r="I4290" s="4" t="str">
        <f>IFERROR(__xludf.DUMMYFUNCTION("""COMPUTED_VALUE"""),"0x582bea066530c27694cf34f1a72ac0858e3a935a")</f>
        <v>0x582bea066530c27694cf34f1a72ac0858e3a935a</v>
      </c>
      <c r="J4290" s="18">
        <v>7.8125203977662805</v>
      </c>
      <c r="K4290" s="4">
        <v>97.65650497207851</v>
      </c>
      <c r="L4290" s="19">
        <v>9.765650497207851E19</v>
      </c>
      <c r="M4290" s="20">
        <v>9.76565049720785E18</v>
      </c>
    </row>
    <row r="4291">
      <c r="A4291" s="6"/>
      <c r="B4291" s="6"/>
      <c r="C4291" s="4"/>
      <c r="D4291" s="4">
        <v>48.3641275995966</v>
      </c>
      <c r="E4291" s="4" t="s">
        <v>6433</v>
      </c>
      <c r="F4291" s="4"/>
      <c r="G4291" s="4"/>
      <c r="H4291" s="4"/>
      <c r="I4291" s="4" t="str">
        <f>IFERROR(__xludf.DUMMYFUNCTION("""COMPUTED_VALUE"""),"0xe0f94fe43339dae0f4ee5421048931fc29a44237")</f>
        <v>0xe0f94fe43339dae0f4ee5421048931fc29a44237</v>
      </c>
      <c r="J4291" s="18">
        <v>48.3641275995966</v>
      </c>
      <c r="K4291" s="4">
        <v>604.5515949949574</v>
      </c>
      <c r="L4291" s="19">
        <v>6.045515949949574E20</v>
      </c>
      <c r="M4291" s="20">
        <v>6.045515949949574E19</v>
      </c>
    </row>
    <row r="4292">
      <c r="A4292" s="6"/>
      <c r="B4292" s="6"/>
      <c r="C4292" s="4"/>
      <c r="D4292" s="4">
        <v>48.3641275995966</v>
      </c>
      <c r="E4292" s="4" t="s">
        <v>6434</v>
      </c>
      <c r="F4292" s="4"/>
      <c r="G4292" s="4"/>
      <c r="H4292" s="4"/>
      <c r="I4292" s="4" t="str">
        <f>IFERROR(__xludf.DUMMYFUNCTION("""COMPUTED_VALUE"""),"0x2c5ca87e22c29377a289e62caa3ec1e7bf46adcf")</f>
        <v>0x2c5ca87e22c29377a289e62caa3ec1e7bf46adcf</v>
      </c>
      <c r="J4292" s="18">
        <v>48.3641275995966</v>
      </c>
      <c r="K4292" s="4">
        <v>604.5515949949574</v>
      </c>
      <c r="L4292" s="19">
        <v>6.045515949949574E20</v>
      </c>
      <c r="M4292" s="20">
        <v>6.045515949949574E19</v>
      </c>
    </row>
    <row r="4293">
      <c r="A4293" s="6"/>
      <c r="B4293" s="6"/>
      <c r="C4293" s="4"/>
      <c r="D4293" s="4">
        <v>6.384823781162219</v>
      </c>
      <c r="E4293" s="4" t="s">
        <v>6435</v>
      </c>
      <c r="F4293" s="4"/>
      <c r="G4293" s="4"/>
      <c r="H4293" s="4"/>
      <c r="I4293" s="4" t="str">
        <f>IFERROR(__xludf.DUMMYFUNCTION("""COMPUTED_VALUE"""),"0x961c60b78185ed939062147d61e2a46ab92f52e3")</f>
        <v>0x961c60b78185ed939062147d61e2a46ab92f52e3</v>
      </c>
      <c r="J4293" s="18">
        <v>48.3641275995966</v>
      </c>
      <c r="K4293" s="4">
        <v>604.5515949949574</v>
      </c>
      <c r="L4293" s="19">
        <v>6.045515949949574E20</v>
      </c>
      <c r="M4293" s="20">
        <v>6.045515949949574E19</v>
      </c>
    </row>
    <row r="4294">
      <c r="A4294" s="6"/>
      <c r="B4294" s="6"/>
      <c r="C4294" s="4"/>
      <c r="D4294" s="4">
        <v>48.3641275995966</v>
      </c>
      <c r="E4294" s="4" t="s">
        <v>6437</v>
      </c>
      <c r="F4294" s="4"/>
      <c r="G4294" s="4"/>
      <c r="H4294" s="4"/>
      <c r="I4294" s="4" t="str">
        <f>IFERROR(__xludf.DUMMYFUNCTION("""COMPUTED_VALUE"""),"0xf5994cdc21f0c4728629a6248df0b67313b0dd45")</f>
        <v>0xf5994cdc21f0c4728629a6248df0b67313b0dd45</v>
      </c>
      <c r="J4294" s="18">
        <v>9.672825519919328</v>
      </c>
      <c r="K4294" s="4">
        <v>120.9103189989916</v>
      </c>
      <c r="L4294" s="19">
        <v>1.209103189989916E20</v>
      </c>
      <c r="M4294" s="20">
        <v>1.209103189989916E19</v>
      </c>
    </row>
    <row r="4295">
      <c r="A4295" s="6"/>
      <c r="B4295" s="6"/>
      <c r="C4295" s="4"/>
      <c r="D4295" s="4">
        <v>48.3641275995966</v>
      </c>
      <c r="E4295" s="4" t="s">
        <v>6438</v>
      </c>
      <c r="F4295" s="4"/>
      <c r="G4295" s="4"/>
      <c r="H4295" s="4"/>
      <c r="I4295" s="4" t="str">
        <f>IFERROR(__xludf.DUMMYFUNCTION("""COMPUTED_VALUE"""),"0xd92ff6a4d178e0b4060ade7a69f73c1b3c1dc3f8")</f>
        <v>0xd92ff6a4d178e0b4060ade7a69f73c1b3c1dc3f8</v>
      </c>
      <c r="J4295" s="18">
        <v>31.6526633386868</v>
      </c>
      <c r="K4295" s="4">
        <v>395.658291733585</v>
      </c>
      <c r="L4295" s="19">
        <v>3.95658291733585E20</v>
      </c>
      <c r="M4295" s="20">
        <v>3.95658291733585E19</v>
      </c>
    </row>
    <row r="4296">
      <c r="A4296" s="6"/>
      <c r="B4296" s="6"/>
      <c r="C4296" s="4"/>
      <c r="D4296" s="4">
        <v>48.3641275995966</v>
      </c>
      <c r="E4296" s="4" t="s">
        <v>131</v>
      </c>
      <c r="F4296" s="4"/>
      <c r="G4296" s="4"/>
      <c r="H4296" s="4"/>
      <c r="I4296" s="4" t="str">
        <f>IFERROR(__xludf.DUMMYFUNCTION("""COMPUTED_VALUE"""),"0x1147db22bbd38b6cef614bb2c843c717d3ff4cf2")</f>
        <v>0x1147db22bbd38b6cef614bb2c843c717d3ff4cf2</v>
      </c>
      <c r="J4296" s="18">
        <v>25.420365176893696</v>
      </c>
      <c r="K4296" s="4">
        <v>317.7545647111712</v>
      </c>
      <c r="L4296" s="19">
        <v>3.177545647111712E20</v>
      </c>
      <c r="M4296" s="20">
        <v>3.1775456471117124E19</v>
      </c>
    </row>
    <row r="4297">
      <c r="A4297" s="6"/>
      <c r="B4297" s="6"/>
      <c r="C4297" s="4"/>
      <c r="D4297" s="4">
        <v>44.2085999369152</v>
      </c>
      <c r="E4297" s="4" t="s">
        <v>6439</v>
      </c>
      <c r="F4297" s="4"/>
      <c r="G4297" s="4"/>
      <c r="H4297" s="4"/>
      <c r="I4297" s="4" t="str">
        <f>IFERROR(__xludf.DUMMYFUNCTION("""COMPUTED_VALUE"""),"0xac6d14dc888a2eb1502478ed7c9d7784c200fb94")</f>
        <v>0xac6d14dc888a2eb1502478ed7c9d7784c200fb94</v>
      </c>
      <c r="J4297" s="18">
        <v>6.25022864578045</v>
      </c>
      <c r="K4297" s="4">
        <v>78.12785807225563</v>
      </c>
      <c r="L4297" s="19">
        <v>7.812785807225563E19</v>
      </c>
      <c r="M4297" s="20">
        <v>7.812785807225563E18</v>
      </c>
    </row>
    <row r="4298">
      <c r="A4298" s="6"/>
      <c r="B4298" s="6"/>
      <c r="C4298" s="4"/>
      <c r="D4298" s="4">
        <v>48.3641275995966</v>
      </c>
      <c r="E4298" s="4" t="s">
        <v>6441</v>
      </c>
      <c r="F4298" s="4"/>
      <c r="G4298" s="4"/>
      <c r="H4298" s="4"/>
      <c r="I4298" s="4" t="str">
        <f>IFERROR(__xludf.DUMMYFUNCTION("""COMPUTED_VALUE"""),"0xa74fbeb79b66db3d52fa90b3162414f4395ab5d2")</f>
        <v>0xa74fbeb79b66db3d52fa90b3162414f4395ab5d2</v>
      </c>
      <c r="J4298" s="18">
        <v>58.5135995104671</v>
      </c>
      <c r="K4298" s="4">
        <v>731.4199938808388</v>
      </c>
      <c r="L4298" s="19">
        <v>7.314199938808388E20</v>
      </c>
      <c r="M4298" s="20">
        <v>7.314199938808388E19</v>
      </c>
    </row>
    <row r="4299">
      <c r="A4299" s="6"/>
      <c r="B4299" s="6"/>
      <c r="C4299" s="4"/>
      <c r="D4299" s="4">
        <v>1.02821540014882</v>
      </c>
      <c r="E4299" s="4" t="s">
        <v>215</v>
      </c>
      <c r="F4299" s="4"/>
      <c r="G4299" s="4"/>
      <c r="H4299" s="4"/>
      <c r="I4299" s="4" t="str">
        <f>IFERROR(__xludf.DUMMYFUNCTION("""COMPUTED_VALUE"""),"0xd409769a2430cf7801499a732cef76bd28cdff4e")</f>
        <v>0xd409769a2430cf7801499a732cef76bd28cdff4e</v>
      </c>
      <c r="J4299" s="18">
        <v>42.866158655422204</v>
      </c>
      <c r="K4299" s="4">
        <v>535.8269831927776</v>
      </c>
      <c r="L4299" s="19">
        <v>5.358269831927776E20</v>
      </c>
      <c r="M4299" s="20">
        <v>5.358269831927776E19</v>
      </c>
    </row>
    <row r="4300">
      <c r="A4300" s="6"/>
      <c r="B4300" s="6"/>
      <c r="C4300" s="4"/>
      <c r="D4300" s="4">
        <v>34.799836526845</v>
      </c>
      <c r="E4300" s="4" t="s">
        <v>6443</v>
      </c>
      <c r="F4300" s="4"/>
      <c r="G4300" s="4"/>
      <c r="H4300" s="4"/>
      <c r="I4300" s="4" t="str">
        <f>IFERROR(__xludf.DUMMYFUNCTION("""COMPUTED_VALUE"""),"0xf7d7b4281eac0f9ebb70ea78c69f463a77e4f757")</f>
        <v>0xf7d7b4281eac0f9ebb70ea78c69f463a77e4f757</v>
      </c>
      <c r="J4300" s="18">
        <v>10.5836761002467</v>
      </c>
      <c r="K4300" s="4">
        <v>132.29595125308376</v>
      </c>
      <c r="L4300" s="19">
        <v>1.3229595125308375E20</v>
      </c>
      <c r="M4300" s="20">
        <v>1.3229595125308375E19</v>
      </c>
    </row>
    <row r="4301">
      <c r="A4301" s="6"/>
      <c r="B4301" s="6"/>
      <c r="C4301" s="4"/>
      <c r="D4301" s="4">
        <v>18.2063475442155</v>
      </c>
      <c r="E4301" s="4" t="s">
        <v>6445</v>
      </c>
      <c r="F4301" s="4"/>
      <c r="G4301" s="4"/>
      <c r="H4301" s="4"/>
      <c r="I4301" s="4" t="str">
        <f>IFERROR(__xludf.DUMMYFUNCTION("""COMPUTED_VALUE"""),"0xcd9b8a0db64363dd71d61a2fde7944feaffeffe7")</f>
        <v>0xcd9b8a0db64363dd71d61a2fde7944feaffeffe7</v>
      </c>
      <c r="J4301" s="18">
        <v>48.3641275995966</v>
      </c>
      <c r="K4301" s="4">
        <v>604.5515949949574</v>
      </c>
      <c r="L4301" s="19">
        <v>6.045515949949574E20</v>
      </c>
      <c r="M4301" s="20">
        <v>6.045515949949574E19</v>
      </c>
    </row>
    <row r="4302">
      <c r="A4302" s="6"/>
      <c r="B4302" s="6"/>
      <c r="C4302" s="4"/>
      <c r="D4302" s="4">
        <v>48.3641275995966</v>
      </c>
      <c r="E4302" s="4" t="s">
        <v>6447</v>
      </c>
      <c r="F4302" s="4"/>
      <c r="G4302" s="4"/>
      <c r="H4302" s="4"/>
      <c r="I4302" s="4" t="str">
        <f>IFERROR(__xludf.DUMMYFUNCTION("""COMPUTED_VALUE"""),"0x0c83fcd983422c129be5111a98478c24d28507d4")</f>
        <v>0x0c83fcd983422c129be5111a98478c24d28507d4</v>
      </c>
      <c r="J4302" s="18">
        <v>8.26937762640787</v>
      </c>
      <c r="K4302" s="4">
        <v>103.36722033009838</v>
      </c>
      <c r="L4302" s="19">
        <v>1.0336722033009838E20</v>
      </c>
      <c r="M4302" s="20">
        <v>1.0336722033009838E19</v>
      </c>
    </row>
    <row r="4303">
      <c r="A4303" s="6"/>
      <c r="B4303" s="6"/>
      <c r="C4303" s="4"/>
      <c r="D4303" s="4">
        <v>48.1356657145923</v>
      </c>
      <c r="E4303" s="4" t="s">
        <v>819</v>
      </c>
      <c r="F4303" s="4"/>
      <c r="G4303" s="4"/>
      <c r="H4303" s="4"/>
      <c r="I4303" s="4" t="str">
        <f>IFERROR(__xludf.DUMMYFUNCTION("""COMPUTED_VALUE"""),"0xa541b62d0ad784b7ef768c117713214175a4b50e")</f>
        <v>0xa541b62d0ad784b7ef768c117713214175a4b50e</v>
      </c>
      <c r="J4303" s="18">
        <v>9.75211486530006</v>
      </c>
      <c r="K4303" s="4">
        <v>121.90143581625074</v>
      </c>
      <c r="L4303" s="19">
        <v>1.2190143581625074E20</v>
      </c>
      <c r="M4303" s="20">
        <v>1.2190143581625074E19</v>
      </c>
    </row>
    <row r="4304">
      <c r="A4304" s="6"/>
      <c r="B4304" s="6"/>
      <c r="C4304" s="4"/>
      <c r="D4304" s="4">
        <v>37.1344776047121</v>
      </c>
      <c r="E4304" s="4" t="s">
        <v>54</v>
      </c>
      <c r="F4304" s="4"/>
      <c r="G4304" s="4"/>
      <c r="H4304" s="4"/>
      <c r="I4304" s="4" t="str">
        <f>IFERROR(__xludf.DUMMYFUNCTION("""COMPUTED_VALUE"""),"0xddb14b095feb86eecf186a07b0ff6b110cfc8b34")</f>
        <v>0xddb14b095feb86eecf186a07b0ff6b110cfc8b34</v>
      </c>
      <c r="J4304" s="18">
        <v>19.3521062773319</v>
      </c>
      <c r="K4304" s="4">
        <v>241.90132846664872</v>
      </c>
      <c r="L4304" s="19">
        <v>2.4190132846664873E20</v>
      </c>
      <c r="M4304" s="20">
        <v>2.4190132846664876E19</v>
      </c>
    </row>
    <row r="4305">
      <c r="A4305" s="6"/>
      <c r="B4305" s="6"/>
      <c r="C4305" s="4"/>
      <c r="D4305" s="4">
        <v>29.018476559758</v>
      </c>
      <c r="E4305" s="4" t="s">
        <v>6450</v>
      </c>
      <c r="F4305" s="4"/>
      <c r="G4305" s="4"/>
      <c r="H4305" s="4"/>
      <c r="I4305" s="4" t="str">
        <f>IFERROR(__xludf.DUMMYFUNCTION("""COMPUTED_VALUE"""),"0x4b3a4513531819f0dd2d0fc7e62a8745e6ac2ef2")</f>
        <v>0x4b3a4513531819f0dd2d0fc7e62a8745e6ac2ef2</v>
      </c>
      <c r="J4305" s="18">
        <v>75.0807181390488</v>
      </c>
      <c r="K4305" s="4">
        <v>938.5089767381099</v>
      </c>
      <c r="L4305" s="19">
        <v>9.385089767381099E20</v>
      </c>
      <c r="M4305" s="20">
        <v>9.3850897673811E19</v>
      </c>
    </row>
    <row r="4306">
      <c r="A4306" s="6"/>
      <c r="B4306" s="6"/>
      <c r="C4306" s="4"/>
      <c r="D4306" s="4">
        <v>6.51910826586612</v>
      </c>
      <c r="E4306" s="4" t="s">
        <v>6451</v>
      </c>
      <c r="F4306" s="4"/>
      <c r="G4306" s="4"/>
      <c r="H4306" s="4"/>
      <c r="I4306" s="4" t="str">
        <f>IFERROR(__xludf.DUMMYFUNCTION("""COMPUTED_VALUE"""),"0xca66f8eec4dba88fa93982b1bd06501082af4104")</f>
        <v>0xca66f8eec4dba88fa93982b1bd06501082af4104</v>
      </c>
      <c r="J4306" s="18">
        <v>48.3641275995966</v>
      </c>
      <c r="K4306" s="4">
        <v>604.5515949949574</v>
      </c>
      <c r="L4306" s="19">
        <v>6.045515949949574E20</v>
      </c>
      <c r="M4306" s="20">
        <v>6.045515949949574E19</v>
      </c>
    </row>
    <row r="4307">
      <c r="A4307" s="6"/>
      <c r="B4307" s="6"/>
      <c r="C4307" s="4"/>
      <c r="D4307" s="4">
        <v>14.6184049763729</v>
      </c>
      <c r="E4307" s="4" t="s">
        <v>6453</v>
      </c>
      <c r="F4307" s="4"/>
      <c r="G4307" s="4"/>
      <c r="H4307" s="4"/>
      <c r="I4307" s="4" t="str">
        <f>IFERROR(__xludf.DUMMYFUNCTION("""COMPUTED_VALUE"""),"0xfba17aca0797f72bd8152c5e519100c0c4caf0ad")</f>
        <v>0xfba17aca0797f72bd8152c5e519100c0c4caf0ad</v>
      </c>
      <c r="J4307" s="18">
        <v>193.0110935782856</v>
      </c>
      <c r="K4307" s="4">
        <v>2412.6386697285698</v>
      </c>
      <c r="L4307" s="19">
        <v>2.4126386697285696E21</v>
      </c>
      <c r="M4307" s="20">
        <v>2.4126386697285698E20</v>
      </c>
    </row>
    <row r="4308">
      <c r="A4308" s="6"/>
      <c r="B4308" s="6"/>
      <c r="C4308" s="4"/>
      <c r="D4308" s="4">
        <v>19.3456510398386</v>
      </c>
      <c r="E4308" s="4" t="s">
        <v>6455</v>
      </c>
      <c r="F4308" s="4"/>
      <c r="G4308" s="4"/>
      <c r="H4308" s="4"/>
      <c r="I4308" s="4" t="str">
        <f>IFERROR(__xludf.DUMMYFUNCTION("""COMPUTED_VALUE"""),"0x7345fda062ad566ae26fac62b5fb9f42d2e37521")</f>
        <v>0x7345fda062ad566ae26fac62b5fb9f42d2e37521</v>
      </c>
      <c r="J4308" s="18">
        <v>29.0067377109857</v>
      </c>
      <c r="K4308" s="4">
        <v>362.58422138732124</v>
      </c>
      <c r="L4308" s="19">
        <v>3.6258422138732125E20</v>
      </c>
      <c r="M4308" s="20">
        <v>3.6258422138732126E19</v>
      </c>
    </row>
    <row r="4309">
      <c r="A4309" s="6"/>
      <c r="B4309" s="6"/>
      <c r="C4309" s="4"/>
      <c r="D4309" s="4">
        <v>36.5569331531865</v>
      </c>
      <c r="E4309" s="4" t="s">
        <v>6456</v>
      </c>
      <c r="F4309" s="4"/>
      <c r="G4309" s="4"/>
      <c r="H4309" s="4"/>
      <c r="I4309" s="4" t="str">
        <f>IFERROR(__xludf.DUMMYFUNCTION("""COMPUTED_VALUE"""),"0x4a25da79b6284f51ed3d81f616e83905eca6f765")</f>
        <v>0x4a25da79b6284f51ed3d81f616e83905eca6f765</v>
      </c>
      <c r="J4309" s="18">
        <v>48.3641275995966</v>
      </c>
      <c r="K4309" s="4">
        <v>604.5515949949574</v>
      </c>
      <c r="L4309" s="19">
        <v>6.045515949949574E20</v>
      </c>
      <c r="M4309" s="20">
        <v>6.045515949949574E19</v>
      </c>
    </row>
    <row r="4310">
      <c r="A4310" s="6"/>
      <c r="B4310" s="6"/>
      <c r="C4310" s="4"/>
      <c r="D4310" s="4">
        <v>0.0718784048158643</v>
      </c>
      <c r="E4310" s="4" t="s">
        <v>6458</v>
      </c>
      <c r="F4310" s="4"/>
      <c r="G4310" s="4"/>
      <c r="H4310" s="4"/>
      <c r="I4310" s="4" t="str">
        <f>IFERROR(__xludf.DUMMYFUNCTION("""COMPUTED_VALUE"""),"0x140da86029940fc01451ca4df52853d94a7ddc7b")</f>
        <v>0x140da86029940fc01451ca4df52853d94a7ddc7b</v>
      </c>
      <c r="J4310" s="18">
        <v>5.07949851512602</v>
      </c>
      <c r="K4310" s="4">
        <v>63.49373143907525</v>
      </c>
      <c r="L4310" s="19">
        <v>6.349373143907525E19</v>
      </c>
      <c r="M4310" s="20">
        <v>6.349373143907525E18</v>
      </c>
    </row>
    <row r="4311">
      <c r="A4311" s="6"/>
      <c r="B4311" s="6"/>
      <c r="C4311" s="4"/>
      <c r="D4311" s="4">
        <v>48.3641275995966</v>
      </c>
      <c r="E4311" s="4" t="s">
        <v>897</v>
      </c>
      <c r="F4311" s="4"/>
      <c r="G4311" s="4"/>
      <c r="H4311" s="4"/>
      <c r="I4311" s="4" t="str">
        <f>IFERROR(__xludf.DUMMYFUNCTION("""COMPUTED_VALUE"""),"0x6ecea903ba649dc2b8decf5c88391d2553a0522f")</f>
        <v>0x6ecea903ba649dc2b8decf5c88391d2553a0522f</v>
      </c>
      <c r="J4311" s="18">
        <v>48.3641275995966</v>
      </c>
      <c r="K4311" s="4">
        <v>604.5515949949574</v>
      </c>
      <c r="L4311" s="19">
        <v>6.045515949949574E20</v>
      </c>
      <c r="M4311" s="20">
        <v>6.045515949949574E19</v>
      </c>
    </row>
    <row r="4312">
      <c r="A4312" s="6"/>
      <c r="B4312" s="6"/>
      <c r="C4312" s="4"/>
      <c r="D4312" s="4">
        <v>1.5547720573016</v>
      </c>
      <c r="E4312" s="4" t="s">
        <v>6460</v>
      </c>
      <c r="F4312" s="4"/>
      <c r="G4312" s="4"/>
      <c r="H4312" s="4"/>
      <c r="I4312" s="4" t="str">
        <f>IFERROR(__xludf.DUMMYFUNCTION("""COMPUTED_VALUE"""),"0x57ca52b8be3b25b5092d498a3b0e55a0c5bc4012")</f>
        <v>0x57ca52b8be3b25b5092d498a3b0e55a0c5bc4012</v>
      </c>
      <c r="J4312" s="18">
        <v>48.3641275995966</v>
      </c>
      <c r="K4312" s="4">
        <v>604.5515949949574</v>
      </c>
      <c r="L4312" s="19">
        <v>6.045515949949574E20</v>
      </c>
      <c r="M4312" s="20">
        <v>6.045515949949574E19</v>
      </c>
    </row>
    <row r="4313">
      <c r="A4313" s="6"/>
      <c r="B4313" s="6"/>
      <c r="C4313" s="4"/>
      <c r="D4313" s="4">
        <v>44.618887697495</v>
      </c>
      <c r="E4313" s="4" t="s">
        <v>6462</v>
      </c>
      <c r="F4313" s="4"/>
      <c r="G4313" s="4"/>
      <c r="H4313" s="4"/>
      <c r="I4313" s="4" t="str">
        <f>IFERROR(__xludf.DUMMYFUNCTION("""COMPUTED_VALUE"""),"0x374e28417340776906452b5f249841bf1ee5b85e")</f>
        <v>0x374e28417340776906452b5f249841bf1ee5b85e</v>
      </c>
      <c r="J4313" s="18">
        <v>5.69240580325424</v>
      </c>
      <c r="K4313" s="4">
        <v>71.15507254067799</v>
      </c>
      <c r="L4313" s="19">
        <v>7.115507254067799E19</v>
      </c>
      <c r="M4313" s="20">
        <v>7.115507254067799E18</v>
      </c>
    </row>
    <row r="4314">
      <c r="A4314" s="6"/>
      <c r="B4314" s="6"/>
      <c r="C4314" s="4"/>
      <c r="D4314" s="4">
        <v>48.3641275995966</v>
      </c>
      <c r="E4314" s="4" t="s">
        <v>1311</v>
      </c>
      <c r="F4314" s="4"/>
      <c r="G4314" s="4"/>
      <c r="H4314" s="4"/>
      <c r="I4314" s="4" t="str">
        <f>IFERROR(__xludf.DUMMYFUNCTION("""COMPUTED_VALUE"""),"0x597a4ea61dcbab25cd9c5295acfa62490320e8a8")</f>
        <v>0x597a4ea61dcbab25cd9c5295acfa62490320e8a8</v>
      </c>
      <c r="J4314" s="18">
        <v>48.3641275995966</v>
      </c>
      <c r="K4314" s="4">
        <v>604.5515949949574</v>
      </c>
      <c r="L4314" s="19">
        <v>6.045515949949574E20</v>
      </c>
      <c r="M4314" s="20">
        <v>6.045515949949574E19</v>
      </c>
    </row>
    <row r="4315">
      <c r="A4315" s="6"/>
      <c r="B4315" s="6"/>
      <c r="C4315" s="4"/>
      <c r="D4315" s="4">
        <v>48.2171447849225</v>
      </c>
      <c r="E4315" s="4" t="s">
        <v>6464</v>
      </c>
      <c r="F4315" s="4"/>
      <c r="G4315" s="4"/>
      <c r="H4315" s="4"/>
      <c r="I4315" s="4" t="str">
        <f>IFERROR(__xludf.DUMMYFUNCTION("""COMPUTED_VALUE"""),"0x50ad382d3c950be11cfc3b31dd8e45efdeb5332a")</f>
        <v>0x50ad382d3c950be11cfc3b31dd8e45efdeb5332a</v>
      </c>
      <c r="J4315" s="18">
        <v>178.2178665511556</v>
      </c>
      <c r="K4315" s="4">
        <v>2227.723331889445</v>
      </c>
      <c r="L4315" s="19">
        <v>2.227723331889445E21</v>
      </c>
      <c r="M4315" s="20">
        <v>2.227723331889445E20</v>
      </c>
    </row>
    <row r="4316">
      <c r="A4316" s="6"/>
      <c r="B4316" s="6"/>
      <c r="C4316" s="4"/>
      <c r="D4316" s="4">
        <v>19.347858545962097</v>
      </c>
      <c r="E4316" s="4" t="s">
        <v>6466</v>
      </c>
      <c r="F4316" s="4"/>
      <c r="G4316" s="4"/>
      <c r="H4316" s="4"/>
      <c r="I4316" s="4" t="str">
        <f>IFERROR(__xludf.DUMMYFUNCTION("""COMPUTED_VALUE"""),"0x5e994d5b8222756ca5934a3add8cfc89f50e2178")</f>
        <v>0x5e994d5b8222756ca5934a3add8cfc89f50e2178</v>
      </c>
      <c r="J4316" s="18">
        <v>9.83156296283433</v>
      </c>
      <c r="K4316" s="4">
        <v>122.89453703542911</v>
      </c>
      <c r="L4316" s="19">
        <v>1.2289453703542912E20</v>
      </c>
      <c r="M4316" s="20">
        <v>1.2289453703542913E19</v>
      </c>
    </row>
    <row r="4317">
      <c r="A4317" s="6"/>
      <c r="B4317" s="6"/>
      <c r="C4317" s="4"/>
      <c r="D4317" s="4">
        <v>35.8632682288836</v>
      </c>
      <c r="E4317" s="4" t="s">
        <v>6468</v>
      </c>
      <c r="F4317" s="4"/>
      <c r="G4317" s="4"/>
      <c r="H4317" s="4"/>
      <c r="I4317" s="4" t="str">
        <f>IFERROR(__xludf.DUMMYFUNCTION("""COMPUTED_VALUE"""),"0xde6309a1baaf3029c54342d5295adc833ee29fe3")</f>
        <v>0xde6309a1baaf3029c54342d5295adc833ee29fe3</v>
      </c>
      <c r="J4317" s="18">
        <v>4.20797178016529</v>
      </c>
      <c r="K4317" s="4">
        <v>52.59964725206613</v>
      </c>
      <c r="L4317" s="19">
        <v>5.259964725206612E19</v>
      </c>
      <c r="M4317" s="20">
        <v>5.259964725206613E18</v>
      </c>
    </row>
    <row r="4318">
      <c r="A4318" s="6"/>
      <c r="B4318" s="6"/>
      <c r="C4318" s="4"/>
      <c r="D4318" s="4">
        <v>19.6039646967502</v>
      </c>
      <c r="E4318" s="4" t="s">
        <v>6470</v>
      </c>
      <c r="F4318" s="4"/>
      <c r="G4318" s="4"/>
      <c r="H4318" s="4"/>
      <c r="I4318" s="4" t="str">
        <f>IFERROR(__xludf.DUMMYFUNCTION("""COMPUTED_VALUE"""),"0xb6748359a7520fb0eb30d5d0abed275b365f0868")</f>
        <v>0xb6748359a7520fb0eb30d5d0abed275b365f0868</v>
      </c>
      <c r="J4318" s="18">
        <v>39.8683343186648</v>
      </c>
      <c r="K4318" s="4">
        <v>498.35417898331</v>
      </c>
      <c r="L4318" s="19">
        <v>4.9835417898331E20</v>
      </c>
      <c r="M4318" s="20">
        <v>4.9835417898331005E19</v>
      </c>
    </row>
    <row r="4319">
      <c r="A4319" s="6"/>
      <c r="B4319" s="6"/>
      <c r="C4319" s="4"/>
      <c r="D4319" s="4">
        <v>5.86931195827793</v>
      </c>
      <c r="E4319" s="4" t="s">
        <v>6472</v>
      </c>
      <c r="F4319" s="4"/>
      <c r="G4319" s="4"/>
      <c r="H4319" s="4"/>
      <c r="I4319" s="4" t="str">
        <f>IFERROR(__xludf.DUMMYFUNCTION("""COMPUTED_VALUE"""),"0x18b9cb13f04bb9d8f98abb6b8c11cd3b3ff29844")</f>
        <v>0x18b9cb13f04bb9d8f98abb6b8c11cd3b3ff29844</v>
      </c>
      <c r="J4319" s="18">
        <v>48.3641275995966</v>
      </c>
      <c r="K4319" s="4">
        <v>604.5515949949574</v>
      </c>
      <c r="L4319" s="19">
        <v>6.045515949949574E20</v>
      </c>
      <c r="M4319" s="20">
        <v>6.045515949949574E19</v>
      </c>
    </row>
    <row r="4320">
      <c r="A4320" s="6"/>
      <c r="B4320" s="6"/>
      <c r="C4320" s="4"/>
      <c r="D4320" s="4">
        <v>48.3641275995966</v>
      </c>
      <c r="E4320" s="4" t="s">
        <v>1507</v>
      </c>
      <c r="F4320" s="4"/>
      <c r="G4320" s="4"/>
      <c r="H4320" s="4"/>
      <c r="I4320" s="4" t="str">
        <f>IFERROR(__xludf.DUMMYFUNCTION("""COMPUTED_VALUE"""),"0xf71cd3d9637708475be0d11e80dda37298fc50ad")</f>
        <v>0xf71cd3d9637708475be0d11e80dda37298fc50ad</v>
      </c>
      <c r="J4320" s="18">
        <v>48.3641275995966</v>
      </c>
      <c r="K4320" s="4">
        <v>604.5515949949574</v>
      </c>
      <c r="L4320" s="19">
        <v>6.045515949949574E20</v>
      </c>
      <c r="M4320" s="20">
        <v>6.045515949949574E19</v>
      </c>
    </row>
    <row r="4321">
      <c r="A4321" s="6"/>
      <c r="B4321" s="6"/>
      <c r="C4321" s="4"/>
      <c r="D4321" s="4">
        <v>29.983549041894697</v>
      </c>
      <c r="E4321" s="4" t="s">
        <v>6474</v>
      </c>
      <c r="F4321" s="4"/>
      <c r="G4321" s="4"/>
      <c r="H4321" s="4"/>
      <c r="I4321" s="4" t="str">
        <f>IFERROR(__xludf.DUMMYFUNCTION("""COMPUTED_VALUE"""),"0x618c08090289d4ebc33582c3edee503a0937bca0")</f>
        <v>0x618c08090289d4ebc33582c3edee503a0937bca0</v>
      </c>
      <c r="J4321" s="18">
        <v>20.1992329189735</v>
      </c>
      <c r="K4321" s="4">
        <v>252.49041148716876</v>
      </c>
      <c r="L4321" s="19">
        <v>2.5249041148716876E20</v>
      </c>
      <c r="M4321" s="20">
        <v>2.5249041148716876E19</v>
      </c>
    </row>
    <row r="4322">
      <c r="A4322" s="6"/>
      <c r="B4322" s="6"/>
      <c r="C4322" s="4"/>
      <c r="D4322" s="4">
        <v>48.3641275995966</v>
      </c>
      <c r="E4322" s="4" t="s">
        <v>6476</v>
      </c>
      <c r="F4322" s="4"/>
      <c r="G4322" s="4"/>
      <c r="H4322" s="4"/>
      <c r="I4322" s="4" t="str">
        <f>IFERROR(__xludf.DUMMYFUNCTION("""COMPUTED_VALUE"""),"0x6435937fcbaaa77ca69defe4a6873b539555fdc4")</f>
        <v>0x6435937fcbaaa77ca69defe4a6873b539555fdc4</v>
      </c>
      <c r="J4322" s="18">
        <v>197.1736957655966</v>
      </c>
      <c r="K4322" s="4">
        <v>2464.6711970699575</v>
      </c>
      <c r="L4322" s="19">
        <v>2.4646711970699574E21</v>
      </c>
      <c r="M4322" s="20">
        <v>2.4646711970699575E20</v>
      </c>
    </row>
    <row r="4323">
      <c r="A4323" s="6"/>
      <c r="B4323" s="6"/>
      <c r="C4323" s="4"/>
      <c r="D4323" s="4">
        <v>0.512774396923143</v>
      </c>
      <c r="E4323" s="4" t="s">
        <v>6477</v>
      </c>
      <c r="F4323" s="4"/>
      <c r="G4323" s="4"/>
      <c r="H4323" s="4"/>
      <c r="I4323" s="4" t="str">
        <f>IFERROR(__xludf.DUMMYFUNCTION("""COMPUTED_VALUE"""),"0xe108d6727acc82432f0877d79a454b84a06857a1")</f>
        <v>0xe108d6727acc82432f0877d79a454b84a06857a1</v>
      </c>
      <c r="J4323" s="18">
        <v>42.487510702592694</v>
      </c>
      <c r="K4323" s="4">
        <v>531.0938837824086</v>
      </c>
      <c r="L4323" s="19">
        <v>5.3109388378240863E20</v>
      </c>
      <c r="M4323" s="20">
        <v>5.310938837824087E19</v>
      </c>
    </row>
    <row r="4324">
      <c r="A4324" s="6"/>
      <c r="B4324" s="6"/>
      <c r="C4324" s="4"/>
      <c r="D4324" s="4">
        <v>48.3641275995966</v>
      </c>
      <c r="E4324" s="4" t="s">
        <v>6479</v>
      </c>
      <c r="F4324" s="4"/>
      <c r="G4324" s="4"/>
      <c r="H4324" s="4"/>
      <c r="I4324" s="4" t="str">
        <f>IFERROR(__xludf.DUMMYFUNCTION("""COMPUTED_VALUE"""),"0xe85f4fa538cf3d574debe5e3336fe0928e7b556a")</f>
        <v>0xe85f4fa538cf3d574debe5e3336fe0928e7b556a</v>
      </c>
      <c r="J4324" s="18">
        <v>48.3641275995966</v>
      </c>
      <c r="K4324" s="4">
        <v>604.5515949949574</v>
      </c>
      <c r="L4324" s="19">
        <v>6.045515949949574E20</v>
      </c>
      <c r="M4324" s="20">
        <v>6.045515949949574E19</v>
      </c>
    </row>
    <row r="4325">
      <c r="A4325" s="6"/>
      <c r="B4325" s="6"/>
      <c r="C4325" s="4"/>
      <c r="D4325" s="4">
        <v>48.3641275995966</v>
      </c>
      <c r="E4325" s="4" t="s">
        <v>6480</v>
      </c>
      <c r="F4325" s="4"/>
      <c r="G4325" s="4"/>
      <c r="H4325" s="4"/>
      <c r="I4325" s="4" t="str">
        <f>IFERROR(__xludf.DUMMYFUNCTION("""COMPUTED_VALUE"""),"0xb4569ddfe73ed4629c4e99eb833ec4ea99a8369c")</f>
        <v>0xb4569ddfe73ed4629c4e99eb833ec4ea99a8369c</v>
      </c>
      <c r="J4325" s="18">
        <v>72.5886778329392</v>
      </c>
      <c r="K4325" s="4">
        <v>907.3584729117399</v>
      </c>
      <c r="L4325" s="19">
        <v>9.0735847291174E20</v>
      </c>
      <c r="M4325" s="20">
        <v>9.0735847291174E19</v>
      </c>
    </row>
    <row r="4326">
      <c r="A4326" s="6"/>
      <c r="B4326" s="6"/>
      <c r="C4326" s="4"/>
      <c r="D4326" s="4">
        <v>33.305006724882695</v>
      </c>
      <c r="E4326" s="4" t="s">
        <v>6481</v>
      </c>
      <c r="F4326" s="4"/>
      <c r="G4326" s="4"/>
      <c r="H4326" s="4"/>
      <c r="I4326" s="4" t="str">
        <f>IFERROR(__xludf.DUMMYFUNCTION("""COMPUTED_VALUE"""),"0xdf3d8dc88db31f42fe25c6edc43dc069bd8732d4")</f>
        <v>0xdf3d8dc88db31f42fe25c6edc43dc069bd8732d4</v>
      </c>
      <c r="J4326" s="18">
        <v>20.9545367488147</v>
      </c>
      <c r="K4326" s="4">
        <v>261.93170936018373</v>
      </c>
      <c r="L4326" s="19">
        <v>2.6193170936018374E20</v>
      </c>
      <c r="M4326" s="20">
        <v>2.6193170936018375E19</v>
      </c>
    </row>
    <row r="4327">
      <c r="A4327" s="6"/>
      <c r="B4327" s="6"/>
      <c r="C4327" s="4"/>
      <c r="D4327" s="4">
        <v>43.011366816509195</v>
      </c>
      <c r="E4327" s="4" t="s">
        <v>352</v>
      </c>
      <c r="F4327" s="4"/>
      <c r="G4327" s="4"/>
      <c r="H4327" s="4"/>
      <c r="I4327" s="4" t="str">
        <f>IFERROR(__xludf.DUMMYFUNCTION("""COMPUTED_VALUE"""),"0xfb200e116716e449458177fb2cb7b1a10f4a9615")</f>
        <v>0xfb200e116716e449458177fb2cb7b1a10f4a9615</v>
      </c>
      <c r="J4327" s="18">
        <v>48.3641275995966</v>
      </c>
      <c r="K4327" s="4">
        <v>604.5515949949574</v>
      </c>
      <c r="L4327" s="19">
        <v>6.045515949949574E20</v>
      </c>
      <c r="M4327" s="20">
        <v>6.045515949949574E19</v>
      </c>
    </row>
    <row r="4328">
      <c r="A4328" s="6"/>
      <c r="B4328" s="6"/>
      <c r="C4328" s="4"/>
      <c r="D4328" s="4">
        <v>29.1325712757831</v>
      </c>
      <c r="E4328" s="4" t="s">
        <v>6484</v>
      </c>
      <c r="F4328" s="4"/>
      <c r="G4328" s="4"/>
      <c r="H4328" s="4"/>
      <c r="I4328" s="4" t="str">
        <f>IFERROR(__xludf.DUMMYFUNCTION("""COMPUTED_VALUE"""),"0x23f8c125c07c3e81f0f8b4cb56da82109ae48fe0")</f>
        <v>0x23f8c125c07c3e81f0f8b4cb56da82109ae48fe0</v>
      </c>
      <c r="J4328" s="18">
        <v>10.1616088900811</v>
      </c>
      <c r="K4328" s="4">
        <v>127.02011112601375</v>
      </c>
      <c r="L4328" s="19">
        <v>1.2702011112601374E20</v>
      </c>
      <c r="M4328" s="20">
        <v>1.2702011112601375E19</v>
      </c>
    </row>
    <row r="4329">
      <c r="A4329" s="6"/>
      <c r="B4329" s="6"/>
      <c r="C4329" s="4"/>
      <c r="D4329" s="4">
        <v>48.3641275995966</v>
      </c>
      <c r="E4329" s="4" t="s">
        <v>6486</v>
      </c>
      <c r="F4329" s="4"/>
      <c r="G4329" s="4"/>
      <c r="H4329" s="4"/>
      <c r="I4329" s="4" t="str">
        <f>IFERROR(__xludf.DUMMYFUNCTION("""COMPUTED_VALUE"""),"0xef7e97beddff6c769ab09716f5d7b0af9e513c85")</f>
        <v>0xef7e97beddff6c769ab09716f5d7b0af9e513c85</v>
      </c>
      <c r="J4329" s="18">
        <v>48.3641275995966</v>
      </c>
      <c r="K4329" s="4">
        <v>604.5515949949574</v>
      </c>
      <c r="L4329" s="19">
        <v>6.045515949949574E20</v>
      </c>
      <c r="M4329" s="20">
        <v>6.045515949949574E19</v>
      </c>
    </row>
    <row r="4330">
      <c r="A4330" s="6"/>
      <c r="B4330" s="6"/>
      <c r="C4330" s="4"/>
      <c r="D4330" s="4">
        <v>48.3641275995966</v>
      </c>
      <c r="E4330" s="4" t="s">
        <v>6487</v>
      </c>
      <c r="F4330" s="4"/>
      <c r="G4330" s="4"/>
      <c r="H4330" s="4"/>
      <c r="I4330" s="4" t="str">
        <f>IFERROR(__xludf.DUMMYFUNCTION("""COMPUTED_VALUE"""),"0xc6c7b04c03d5ad3990fba9d14831b38063ee42c5")</f>
        <v>0xc6c7b04c03d5ad3990fba9d14831b38063ee42c5</v>
      </c>
      <c r="J4330" s="18">
        <v>22.2279209803419</v>
      </c>
      <c r="K4330" s="4">
        <v>277.84901225427376</v>
      </c>
      <c r="L4330" s="19">
        <v>2.7784901225427377E20</v>
      </c>
      <c r="M4330" s="20">
        <v>2.778490122542738E19</v>
      </c>
    </row>
    <row r="4331">
      <c r="A4331" s="6"/>
      <c r="B4331" s="6"/>
      <c r="C4331" s="4"/>
      <c r="D4331" s="4">
        <v>17.8084161676524</v>
      </c>
      <c r="E4331" s="4" t="s">
        <v>6488</v>
      </c>
      <c r="F4331" s="4"/>
      <c r="G4331" s="4"/>
      <c r="H4331" s="4"/>
      <c r="I4331" s="4" t="str">
        <f>IFERROR(__xludf.DUMMYFUNCTION("""COMPUTED_VALUE"""),"0x2f6e0cf068e9a97d41e7fb312ed0238069cbd3de")</f>
        <v>0x2f6e0cf068e9a97d41e7fb312ed0238069cbd3de</v>
      </c>
      <c r="J4331" s="18">
        <v>48.3641275995966</v>
      </c>
      <c r="K4331" s="4">
        <v>604.5515949949574</v>
      </c>
      <c r="L4331" s="19">
        <v>6.045515949949574E20</v>
      </c>
      <c r="M4331" s="20">
        <v>6.045515949949574E19</v>
      </c>
    </row>
    <row r="4332">
      <c r="A4332" s="6"/>
      <c r="B4332" s="6"/>
      <c r="C4332" s="4"/>
      <c r="D4332" s="4">
        <v>48.3641275995966</v>
      </c>
      <c r="E4332" s="4" t="s">
        <v>1358</v>
      </c>
      <c r="F4332" s="4"/>
      <c r="G4332" s="4"/>
      <c r="H4332" s="4"/>
      <c r="I4332" s="4" t="str">
        <f>IFERROR(__xludf.DUMMYFUNCTION("""COMPUTED_VALUE"""),"0x00204acd48e582f710652b264145102edb0166a6")</f>
        <v>0x00204acd48e582f710652b264145102edb0166a6</v>
      </c>
      <c r="J4332" s="18">
        <v>48.3641275995966</v>
      </c>
      <c r="K4332" s="4">
        <v>604.5515949949574</v>
      </c>
      <c r="L4332" s="19">
        <v>6.045515949949574E20</v>
      </c>
      <c r="M4332" s="20">
        <v>6.045515949949574E19</v>
      </c>
    </row>
    <row r="4333">
      <c r="A4333" s="6"/>
      <c r="B4333" s="6"/>
      <c r="C4333" s="4"/>
      <c r="D4333" s="4">
        <v>32.726468764447304</v>
      </c>
      <c r="E4333" s="4" t="s">
        <v>6490</v>
      </c>
      <c r="F4333" s="4"/>
      <c r="G4333" s="4"/>
      <c r="H4333" s="4"/>
      <c r="I4333" s="4" t="str">
        <f>IFERROR(__xludf.DUMMYFUNCTION("""COMPUTED_VALUE"""),"0xc87a69f30a36c1ecd98b9c404be1b8b088b872ee")</f>
        <v>0xc87a69f30a36c1ecd98b9c404be1b8b088b872ee</v>
      </c>
      <c r="J4333" s="18">
        <v>57.66472560997164</v>
      </c>
      <c r="K4333" s="4">
        <v>720.8090701246455</v>
      </c>
      <c r="L4333" s="19">
        <v>7.208090701246455E20</v>
      </c>
      <c r="M4333" s="20">
        <v>7.208090701246455E19</v>
      </c>
    </row>
    <row r="4334">
      <c r="A4334" s="6"/>
      <c r="B4334" s="6"/>
      <c r="C4334" s="4"/>
      <c r="D4334" s="4">
        <v>9.672825519919328</v>
      </c>
      <c r="E4334" s="4" t="s">
        <v>6492</v>
      </c>
      <c r="F4334" s="4"/>
      <c r="G4334" s="4"/>
      <c r="H4334" s="4"/>
      <c r="I4334" s="4" t="str">
        <f>IFERROR(__xludf.DUMMYFUNCTION("""COMPUTED_VALUE"""),"0x544485bd3570c64d4d4b25f9c46e2325ba3aa059")</f>
        <v>0x544485bd3570c64d4d4b25f9c46e2325ba3aa059</v>
      </c>
      <c r="J4334" s="18">
        <v>9.753567702026022</v>
      </c>
      <c r="K4334" s="4">
        <v>121.91959627532526</v>
      </c>
      <c r="L4334" s="19">
        <v>1.2191959627532526E20</v>
      </c>
      <c r="M4334" s="20">
        <v>1.2191959627532526E19</v>
      </c>
    </row>
    <row r="4335">
      <c r="A4335" s="6"/>
      <c r="B4335" s="6"/>
      <c r="C4335" s="4"/>
      <c r="D4335" s="4">
        <v>16.2777087073837</v>
      </c>
      <c r="E4335" s="4" t="s">
        <v>6493</v>
      </c>
      <c r="F4335" s="4"/>
      <c r="G4335" s="4"/>
      <c r="H4335" s="4"/>
      <c r="I4335" s="4" t="str">
        <f>IFERROR(__xludf.DUMMYFUNCTION("""COMPUTED_VALUE"""),"0xadb31e5690fa40097fa37c39138d824c50915339")</f>
        <v>0xadb31e5690fa40097fa37c39138d824c50915339</v>
      </c>
      <c r="J4335" s="18">
        <v>4.57460089093226</v>
      </c>
      <c r="K4335" s="4">
        <v>57.18251113665325</v>
      </c>
      <c r="L4335" s="19">
        <v>5.718251113665325E19</v>
      </c>
      <c r="M4335" s="20">
        <v>5.718251113665325E18</v>
      </c>
    </row>
    <row r="4336">
      <c r="A4336" s="6"/>
      <c r="B4336" s="6"/>
      <c r="C4336" s="4"/>
      <c r="D4336" s="4">
        <v>7.89692039654222</v>
      </c>
      <c r="E4336" s="4" t="s">
        <v>6495</v>
      </c>
      <c r="F4336" s="4"/>
      <c r="G4336" s="4"/>
      <c r="H4336" s="4"/>
      <c r="I4336" s="4" t="str">
        <f>IFERROR(__xludf.DUMMYFUNCTION("""COMPUTED_VALUE"""),"0xa0166f7c84050fedd5715fec8c9038dd6566beb0")</f>
        <v>0xa0166f7c84050fedd5715fec8c9038dd6566beb0</v>
      </c>
      <c r="J4336" s="18">
        <v>18.1849119774483</v>
      </c>
      <c r="K4336" s="4">
        <v>227.31139971810376</v>
      </c>
      <c r="L4336" s="19">
        <v>2.2731139971810374E20</v>
      </c>
      <c r="M4336" s="20">
        <v>2.2731139971810378E19</v>
      </c>
    </row>
    <row r="4337">
      <c r="A4337" s="6"/>
      <c r="B4337" s="6"/>
      <c r="C4337" s="4"/>
      <c r="D4337" s="4">
        <v>48.3641275995966</v>
      </c>
      <c r="E4337" s="4" t="s">
        <v>6497</v>
      </c>
      <c r="F4337" s="4"/>
      <c r="G4337" s="4"/>
      <c r="H4337" s="4"/>
      <c r="I4337" s="4" t="str">
        <f>IFERROR(__xludf.DUMMYFUNCTION("""COMPUTED_VALUE"""),"0x0824e8d48f0d04b2261871e995dcc72ad0e0aaf2")</f>
        <v>0x0824e8d48f0d04b2261871e995dcc72ad0e0aaf2</v>
      </c>
      <c r="J4337" s="18">
        <v>10.962580584717001</v>
      </c>
      <c r="K4337" s="4">
        <v>137.0322573089625</v>
      </c>
      <c r="L4337" s="19">
        <v>1.370322573089625E20</v>
      </c>
      <c r="M4337" s="20">
        <v>1.370322573089625E19</v>
      </c>
    </row>
    <row r="4338">
      <c r="A4338" s="6"/>
      <c r="B4338" s="6"/>
      <c r="C4338" s="4"/>
      <c r="D4338" s="4">
        <v>0.143182907129633</v>
      </c>
      <c r="E4338" s="4" t="s">
        <v>6498</v>
      </c>
      <c r="F4338" s="4"/>
      <c r="G4338" s="4"/>
      <c r="H4338" s="4"/>
      <c r="I4338" s="4" t="str">
        <f>IFERROR(__xludf.DUMMYFUNCTION("""COMPUTED_VALUE"""),"0x297f222913277f891d24d9bea159591cd621d611")</f>
        <v>0x297f222913277f891d24d9bea159591cd621d611</v>
      </c>
      <c r="J4338" s="18">
        <v>31.8109830685911</v>
      </c>
      <c r="K4338" s="4">
        <v>397.63728835738874</v>
      </c>
      <c r="L4338" s="19">
        <v>3.9763728835738875E20</v>
      </c>
      <c r="M4338" s="20">
        <v>3.976372883573888E19</v>
      </c>
    </row>
    <row r="4339">
      <c r="A4339" s="6"/>
      <c r="B4339" s="6"/>
      <c r="C4339" s="4"/>
      <c r="D4339" s="4">
        <v>48.3641275995966</v>
      </c>
      <c r="E4339" s="4" t="s">
        <v>6500</v>
      </c>
      <c r="F4339" s="4"/>
      <c r="G4339" s="4"/>
      <c r="H4339" s="4"/>
      <c r="I4339" s="4" t="str">
        <f>IFERROR(__xludf.DUMMYFUNCTION("""COMPUTED_VALUE"""),"0xe62f9ea1b4e159f0f71ee066de311758e4688ed3")</f>
        <v>0xe62f9ea1b4e159f0f71ee066de311758e4688ed3</v>
      </c>
      <c r="J4339" s="18">
        <v>206.6920975128402</v>
      </c>
      <c r="K4339" s="4">
        <v>2583.6512189105024</v>
      </c>
      <c r="L4339" s="19">
        <v>2.5836512189105025E21</v>
      </c>
      <c r="M4339" s="20">
        <v>2.5836512189105026E20</v>
      </c>
    </row>
    <row r="4340">
      <c r="A4340" s="6"/>
      <c r="B4340" s="6"/>
      <c r="C4340" s="4"/>
      <c r="D4340" s="4">
        <v>48.3641275995966</v>
      </c>
      <c r="E4340" s="4" t="s">
        <v>6501</v>
      </c>
      <c r="F4340" s="4"/>
      <c r="G4340" s="4"/>
      <c r="H4340" s="4"/>
      <c r="I4340" s="4" t="str">
        <f>IFERROR(__xludf.DUMMYFUNCTION("""COMPUTED_VALUE"""),"0xdb9829ddb2ec3cb74b8f4bdfa98d5d5c731facc0")</f>
        <v>0xdb9829ddb2ec3cb74b8f4bdfa98d5d5c731facc0</v>
      </c>
      <c r="J4340" s="18">
        <v>28.3638467769811</v>
      </c>
      <c r="K4340" s="4">
        <v>354.54808471226374</v>
      </c>
      <c r="L4340" s="19">
        <v>3.545480847122637E20</v>
      </c>
      <c r="M4340" s="20">
        <v>3.5454808471226372E19</v>
      </c>
    </row>
    <row r="4341">
      <c r="A4341" s="6"/>
      <c r="B4341" s="6"/>
      <c r="C4341" s="4"/>
      <c r="D4341" s="4">
        <v>14.3902382827879</v>
      </c>
      <c r="E4341" s="4" t="s">
        <v>6502</v>
      </c>
      <c r="F4341" s="4"/>
      <c r="G4341" s="4"/>
      <c r="H4341" s="4"/>
      <c r="I4341" s="4" t="str">
        <f>IFERROR(__xludf.DUMMYFUNCTION("""COMPUTED_VALUE"""),"0x8b190a162e643760d91a02fb35dcec858c4e51dc")</f>
        <v>0x8b190a162e643760d91a02fb35dcec858c4e51dc</v>
      </c>
      <c r="J4341" s="18">
        <v>104.2114207900156</v>
      </c>
      <c r="K4341" s="4">
        <v>1302.642759875195</v>
      </c>
      <c r="L4341" s="19">
        <v>1.302642759875195E21</v>
      </c>
      <c r="M4341" s="20">
        <v>1.302642759875195E20</v>
      </c>
    </row>
    <row r="4342">
      <c r="A4342" s="6"/>
      <c r="B4342" s="6"/>
      <c r="C4342" s="4"/>
      <c r="D4342" s="4">
        <v>21.3397644531016</v>
      </c>
      <c r="E4342" s="4" t="s">
        <v>6504</v>
      </c>
      <c r="F4342" s="4"/>
      <c r="G4342" s="4"/>
      <c r="H4342" s="4"/>
      <c r="I4342" s="4" t="str">
        <f>IFERROR(__xludf.DUMMYFUNCTION("""COMPUTED_VALUE"""),"0xdc765a879be5f7b45cebd8f33af7c2223beb91de")</f>
        <v>0xdc765a879be5f7b45cebd8f33af7c2223beb91de</v>
      </c>
      <c r="J4342" s="18">
        <v>29.018476559758</v>
      </c>
      <c r="K4342" s="4">
        <v>362.730956996975</v>
      </c>
      <c r="L4342" s="19">
        <v>3.62730956996975E20</v>
      </c>
      <c r="M4342" s="20">
        <v>3.62730956996975E19</v>
      </c>
    </row>
    <row r="4343">
      <c r="A4343" s="6"/>
      <c r="B4343" s="6"/>
      <c r="C4343" s="4"/>
      <c r="D4343" s="4">
        <v>48.3641275995966</v>
      </c>
      <c r="E4343" s="4" t="s">
        <v>1482</v>
      </c>
      <c r="F4343" s="4"/>
      <c r="G4343" s="4"/>
      <c r="H4343" s="4"/>
      <c r="I4343" s="4" t="str">
        <f>IFERROR(__xludf.DUMMYFUNCTION("""COMPUTED_VALUE"""),"0xbd848387557de7d127a19b735cdd6b9be46f6a35")</f>
        <v>0xbd848387557de7d127a19b735cdd6b9be46f6a35</v>
      </c>
      <c r="J4343" s="18">
        <v>234.37608780709658</v>
      </c>
      <c r="K4343" s="4">
        <v>2929.7010975887074</v>
      </c>
      <c r="L4343" s="19">
        <v>2.9297010975887076E21</v>
      </c>
      <c r="M4343" s="20">
        <v>2.9297010975887078E20</v>
      </c>
    </row>
    <row r="4344">
      <c r="A4344" s="6"/>
      <c r="B4344" s="6"/>
      <c r="C4344" s="4"/>
      <c r="D4344" s="4">
        <v>20.306309980511102</v>
      </c>
      <c r="E4344" s="4" t="s">
        <v>6506</v>
      </c>
      <c r="F4344" s="4"/>
      <c r="G4344" s="4"/>
      <c r="H4344" s="4"/>
      <c r="I4344" s="4" t="str">
        <f>IFERROR(__xludf.DUMMYFUNCTION("""COMPUTED_VALUE"""),"0xc6e7fe17bd5552786a6a2fee1f2659892f56c82e")</f>
        <v>0xc6e7fe17bd5552786a6a2fee1f2659892f56c82e</v>
      </c>
      <c r="J4344" s="18">
        <v>9.71845424743414</v>
      </c>
      <c r="K4344" s="4">
        <v>121.48067809292675</v>
      </c>
      <c r="L4344" s="19">
        <v>1.2148067809292675E20</v>
      </c>
      <c r="M4344" s="20">
        <v>1.2148067809292675E19</v>
      </c>
    </row>
    <row r="4345">
      <c r="A4345" s="6"/>
      <c r="B4345" s="6"/>
      <c r="C4345" s="4"/>
      <c r="D4345" s="4">
        <v>48.3641275995966</v>
      </c>
      <c r="E4345" s="4" t="s">
        <v>6508</v>
      </c>
      <c r="F4345" s="4"/>
      <c r="G4345" s="4"/>
      <c r="H4345" s="4"/>
      <c r="I4345" s="4" t="str">
        <f>IFERROR(__xludf.DUMMYFUNCTION("""COMPUTED_VALUE"""),"0xaeeb16155e7255d038491d02c54ebceb67238986")</f>
        <v>0xaeeb16155e7255d038491d02c54ebceb67238986</v>
      </c>
      <c r="J4345" s="18">
        <v>9.34751522782877</v>
      </c>
      <c r="K4345" s="4">
        <v>116.84394034785963</v>
      </c>
      <c r="L4345" s="19">
        <v>1.1684394034785963E20</v>
      </c>
      <c r="M4345" s="20">
        <v>1.1684394034785964E19</v>
      </c>
    </row>
    <row r="4346">
      <c r="A4346" s="6"/>
      <c r="B4346" s="6"/>
      <c r="C4346" s="4"/>
      <c r="D4346" s="4">
        <v>48.3641275995966</v>
      </c>
      <c r="E4346" s="4" t="s">
        <v>6509</v>
      </c>
      <c r="F4346" s="4"/>
      <c r="G4346" s="4"/>
      <c r="H4346" s="4"/>
      <c r="I4346" s="4" t="str">
        <f>IFERROR(__xludf.DUMMYFUNCTION("""COMPUTED_VALUE"""),"0xc928651cc7b31341c583b3c5480bc673829d6210")</f>
        <v>0xc928651cc7b31341c583b3c5480bc673829d6210</v>
      </c>
      <c r="J4346" s="18">
        <v>48.3641275995966</v>
      </c>
      <c r="K4346" s="4">
        <v>604.5515949949574</v>
      </c>
      <c r="L4346" s="19">
        <v>6.045515949949574E20</v>
      </c>
      <c r="M4346" s="20">
        <v>6.045515949949574E19</v>
      </c>
    </row>
    <row r="4347">
      <c r="A4347" s="6"/>
      <c r="B4347" s="6"/>
      <c r="C4347" s="4"/>
      <c r="D4347" s="4">
        <v>48.3641275995966</v>
      </c>
      <c r="E4347" s="4" t="s">
        <v>6510</v>
      </c>
      <c r="F4347" s="4"/>
      <c r="G4347" s="4"/>
      <c r="H4347" s="4"/>
      <c r="I4347" s="4" t="str">
        <f>IFERROR(__xludf.DUMMYFUNCTION("""COMPUTED_VALUE"""),"0x5875d09de832c43fea1edc2939e88b4a03af5bdc")</f>
        <v>0x5875d09de832c43fea1edc2939e88b4a03af5bdc</v>
      </c>
      <c r="J4347" s="18">
        <v>34.1584360073192</v>
      </c>
      <c r="K4347" s="4">
        <v>426.98045009149</v>
      </c>
      <c r="L4347" s="19">
        <v>4.2698045009149E20</v>
      </c>
      <c r="M4347" s="20">
        <v>4.2698045009149E19</v>
      </c>
    </row>
    <row r="4348">
      <c r="A4348" s="6"/>
      <c r="B4348" s="6"/>
      <c r="C4348" s="4"/>
      <c r="D4348" s="4">
        <v>48.3641275995966</v>
      </c>
      <c r="E4348" s="4" t="s">
        <v>6511</v>
      </c>
      <c r="F4348" s="4"/>
      <c r="G4348" s="4"/>
      <c r="H4348" s="4"/>
      <c r="I4348" s="4" t="str">
        <f>IFERROR(__xludf.DUMMYFUNCTION("""COMPUTED_VALUE"""),"0xc3dfecaed4758db8264cf2e89d2e9d4e8bfe343d")</f>
        <v>0xc3dfecaed4758db8264cf2e89d2e9d4e8bfe343d</v>
      </c>
      <c r="J4348" s="18">
        <v>94.8671176514718</v>
      </c>
      <c r="K4348" s="4">
        <v>1185.8389706433975</v>
      </c>
      <c r="L4348" s="19">
        <v>1.1858389706433975E21</v>
      </c>
      <c r="M4348" s="20">
        <v>1.1858389706433975E20</v>
      </c>
    </row>
    <row r="4349">
      <c r="A4349" s="6"/>
      <c r="B4349" s="6"/>
      <c r="C4349" s="4"/>
      <c r="D4349" s="4">
        <v>48.1980845616172</v>
      </c>
      <c r="E4349" s="4" t="s">
        <v>6512</v>
      </c>
      <c r="F4349" s="4"/>
      <c r="G4349" s="4"/>
      <c r="H4349" s="4"/>
      <c r="I4349" s="4" t="str">
        <f>IFERROR(__xludf.DUMMYFUNCTION("""COMPUTED_VALUE"""),"0x48c01c9a15f06ce97b3e8b9aaf0b1e3d84cc1abc")</f>
        <v>0x48c01c9a15f06ce97b3e8b9aaf0b1e3d84cc1abc</v>
      </c>
      <c r="J4349" s="18">
        <v>10.6447328509871</v>
      </c>
      <c r="K4349" s="4">
        <v>133.05916063733875</v>
      </c>
      <c r="L4349" s="19">
        <v>1.3305916063733875E20</v>
      </c>
      <c r="M4349" s="20">
        <v>1.3305916063733875E19</v>
      </c>
    </row>
    <row r="4350">
      <c r="A4350" s="6"/>
      <c r="B4350" s="6"/>
      <c r="C4350" s="4"/>
      <c r="D4350" s="4">
        <v>2.708058805872</v>
      </c>
      <c r="E4350" s="4" t="s">
        <v>6514</v>
      </c>
      <c r="F4350" s="4"/>
      <c r="G4350" s="4"/>
      <c r="H4350" s="4"/>
      <c r="I4350" s="4" t="str">
        <f>IFERROR(__xludf.DUMMYFUNCTION("""COMPUTED_VALUE"""),"0x3a8f14a5e903ff8c35522d41c7cb4a2dbf80aa1a")</f>
        <v>0x3a8f14a5e903ff8c35522d41c7cb4a2dbf80aa1a</v>
      </c>
      <c r="J4350" s="18">
        <v>48.3641275995966</v>
      </c>
      <c r="K4350" s="4">
        <v>604.5515949949574</v>
      </c>
      <c r="L4350" s="19">
        <v>6.045515949949574E20</v>
      </c>
      <c r="M4350" s="20">
        <v>6.045515949949574E19</v>
      </c>
    </row>
    <row r="4351">
      <c r="A4351" s="6"/>
      <c r="B4351" s="6"/>
      <c r="C4351" s="4"/>
      <c r="D4351" s="4">
        <v>10.2224875906898</v>
      </c>
      <c r="E4351" s="4" t="s">
        <v>6516</v>
      </c>
      <c r="F4351" s="4"/>
      <c r="G4351" s="4"/>
      <c r="H4351" s="4"/>
      <c r="I4351" s="4" t="str">
        <f>IFERROR(__xludf.DUMMYFUNCTION("""COMPUTED_VALUE"""),"0xbb27b80bdd7b201bbaf5042ab88a6e21c32c7e17")</f>
        <v>0xbb27b80bdd7b201bbaf5042ab88a6e21c32c7e17</v>
      </c>
      <c r="J4351" s="18">
        <v>65.5091921167731</v>
      </c>
      <c r="K4351" s="4">
        <v>818.8649014596637</v>
      </c>
      <c r="L4351" s="19">
        <v>8.188649014596637E20</v>
      </c>
      <c r="M4351" s="20">
        <v>8.188649014596637E19</v>
      </c>
    </row>
    <row r="4352">
      <c r="A4352" s="6"/>
      <c r="B4352" s="6"/>
      <c r="C4352" s="4"/>
      <c r="D4352" s="4">
        <v>15.141729226449701</v>
      </c>
      <c r="E4352" s="4" t="s">
        <v>6518</v>
      </c>
      <c r="F4352" s="4"/>
      <c r="G4352" s="4"/>
      <c r="H4352" s="4"/>
      <c r="I4352" s="4" t="str">
        <f>IFERROR(__xludf.DUMMYFUNCTION("""COMPUTED_VALUE"""),"0x126b9e299553ef3e4acf92b85bd5c34d539d6ec1")</f>
        <v>0x126b9e299553ef3e4acf92b85bd5c34d539d6ec1</v>
      </c>
      <c r="J4352" s="18">
        <v>234.37608780709658</v>
      </c>
      <c r="K4352" s="4">
        <v>2929.7010975887074</v>
      </c>
      <c r="L4352" s="19">
        <v>2.9297010975887076E21</v>
      </c>
      <c r="M4352" s="20">
        <v>2.9297010975887078E20</v>
      </c>
    </row>
    <row r="4353">
      <c r="A4353" s="6"/>
      <c r="B4353" s="6"/>
      <c r="C4353" s="4"/>
      <c r="D4353" s="4">
        <v>19.444287855524202</v>
      </c>
      <c r="E4353" s="4" t="s">
        <v>6520</v>
      </c>
      <c r="F4353" s="4"/>
      <c r="G4353" s="4"/>
      <c r="H4353" s="4"/>
      <c r="I4353" s="4" t="str">
        <f>IFERROR(__xludf.DUMMYFUNCTION("""COMPUTED_VALUE"""),"0xe7f86745ef33bd0c92afd368f0b00d8c61b2d2f4")</f>
        <v>0xe7f86745ef33bd0c92afd368f0b00d8c61b2d2f4</v>
      </c>
      <c r="J4353" s="18">
        <v>4.12007650786926</v>
      </c>
      <c r="K4353" s="4">
        <v>51.50095634836575</v>
      </c>
      <c r="L4353" s="19">
        <v>5.150095634836575E19</v>
      </c>
      <c r="M4353" s="20">
        <v>5.150095634836575E18</v>
      </c>
    </row>
    <row r="4354">
      <c r="A4354" s="6"/>
      <c r="B4354" s="6"/>
      <c r="C4354" s="4"/>
      <c r="D4354" s="4">
        <v>33.0158882398984</v>
      </c>
      <c r="E4354" s="4" t="s">
        <v>6522</v>
      </c>
      <c r="F4354" s="4"/>
      <c r="G4354" s="4"/>
      <c r="H4354" s="4"/>
      <c r="I4354" s="4" t="str">
        <f>IFERROR(__xludf.DUMMYFUNCTION("""COMPUTED_VALUE"""),"0x79a3fbffac5599c1f90136618b246d5a542c6aab")</f>
        <v>0x79a3fbffac5599c1f90136618b246d5a542c6aab</v>
      </c>
      <c r="J4354" s="18">
        <v>13.0450526179748</v>
      </c>
      <c r="K4354" s="4">
        <v>163.063157724685</v>
      </c>
      <c r="L4354" s="19">
        <v>1.63063157724685E20</v>
      </c>
      <c r="M4354" s="20">
        <v>1.6306315772468503E19</v>
      </c>
    </row>
    <row r="4355">
      <c r="A4355" s="6"/>
      <c r="B4355" s="6"/>
      <c r="C4355" s="4"/>
      <c r="D4355" s="4">
        <v>48.3641275995966</v>
      </c>
      <c r="E4355" s="4" t="s">
        <v>6524</v>
      </c>
      <c r="F4355" s="4"/>
      <c r="G4355" s="4"/>
      <c r="H4355" s="4"/>
      <c r="I4355" s="4" t="str">
        <f>IFERROR(__xludf.DUMMYFUNCTION("""COMPUTED_VALUE"""),"0xf788ed6121ef91ed6b5bac3a6fcf2e9eb680ae3a")</f>
        <v>0xf788ed6121ef91ed6b5bac3a6fcf2e9eb680ae3a</v>
      </c>
      <c r="J4355" s="18">
        <v>48.3641275995966</v>
      </c>
      <c r="K4355" s="4">
        <v>604.5515949949574</v>
      </c>
      <c r="L4355" s="19">
        <v>6.045515949949574E20</v>
      </c>
      <c r="M4355" s="20">
        <v>6.045515949949574E19</v>
      </c>
    </row>
    <row r="4356">
      <c r="A4356" s="6"/>
      <c r="B4356" s="6"/>
      <c r="C4356" s="4"/>
      <c r="D4356" s="4">
        <v>48.3641275995966</v>
      </c>
      <c r="E4356" s="4" t="s">
        <v>6525</v>
      </c>
      <c r="F4356" s="4"/>
      <c r="G4356" s="4"/>
      <c r="H4356" s="4"/>
      <c r="I4356" s="4" t="str">
        <f>IFERROR(__xludf.DUMMYFUNCTION("""COMPUTED_VALUE"""),"0x9dd6a12bf9af29abbc06bd4b9ff37db2855b0e8d")</f>
        <v>0x9dd6a12bf9af29abbc06bd4b9ff37db2855b0e8d</v>
      </c>
      <c r="J4356" s="18">
        <v>48.3641275995966</v>
      </c>
      <c r="K4356" s="4">
        <v>604.5515949949574</v>
      </c>
      <c r="L4356" s="19">
        <v>6.045515949949574E20</v>
      </c>
      <c r="M4356" s="20">
        <v>6.045515949949574E19</v>
      </c>
    </row>
    <row r="4357">
      <c r="A4357" s="6"/>
      <c r="B4357" s="6"/>
      <c r="C4357" s="4"/>
      <c r="D4357" s="4">
        <v>13.1586510538596</v>
      </c>
      <c r="E4357" s="4" t="s">
        <v>6526</v>
      </c>
      <c r="F4357" s="4"/>
      <c r="G4357" s="4"/>
      <c r="H4357" s="4"/>
      <c r="I4357" s="4" t="str">
        <f>IFERROR(__xludf.DUMMYFUNCTION("""COMPUTED_VALUE"""),"0x2fdae8f8c93c00a010d2ef401ab9a17889c293af")</f>
        <v>0x2fdae8f8c93c00a010d2ef401ab9a17889c293af</v>
      </c>
      <c r="J4357" s="18">
        <v>116.15796783528091</v>
      </c>
      <c r="K4357" s="4">
        <v>1451.9745979410113</v>
      </c>
      <c r="L4357" s="19">
        <v>1.4519745979410114E21</v>
      </c>
      <c r="M4357" s="20">
        <v>1.4519745979410114E20</v>
      </c>
    </row>
    <row r="4358">
      <c r="A4358" s="6"/>
      <c r="B4358" s="6"/>
      <c r="C4358" s="4"/>
      <c r="D4358" s="4">
        <v>15.6796151343628</v>
      </c>
      <c r="E4358" s="4" t="s">
        <v>6528</v>
      </c>
      <c r="F4358" s="4"/>
      <c r="G4358" s="4"/>
      <c r="H4358" s="4"/>
      <c r="I4358" s="4" t="str">
        <f>IFERROR(__xludf.DUMMYFUNCTION("""COMPUTED_VALUE"""),"0x0e297e5dd0d879ac1bf411529d5729e3f12dd254")</f>
        <v>0x0e297e5dd0d879ac1bf411529d5729e3f12dd254</v>
      </c>
      <c r="J4358" s="18">
        <v>20.3139571708074</v>
      </c>
      <c r="K4358" s="4">
        <v>253.92446463509248</v>
      </c>
      <c r="L4358" s="19">
        <v>2.5392446463509247E20</v>
      </c>
      <c r="M4358" s="20">
        <v>2.539244646350925E19</v>
      </c>
    </row>
    <row r="4359">
      <c r="A4359" s="6"/>
      <c r="B4359" s="6"/>
      <c r="C4359" s="4"/>
      <c r="D4359" s="4">
        <v>1.62477260921534</v>
      </c>
      <c r="E4359" s="4" t="s">
        <v>6530</v>
      </c>
      <c r="F4359" s="4"/>
      <c r="G4359" s="4"/>
      <c r="H4359" s="4"/>
      <c r="I4359" s="4" t="str">
        <f>IFERROR(__xludf.DUMMYFUNCTION("""COMPUTED_VALUE"""),"0x7eaf99f8f0385dee2280cf10509280487f973555")</f>
        <v>0x7eaf99f8f0385dee2280cf10509280487f973555</v>
      </c>
      <c r="J4359" s="18">
        <v>57.66472560997164</v>
      </c>
      <c r="K4359" s="4">
        <v>720.8090701246455</v>
      </c>
      <c r="L4359" s="19">
        <v>7.208090701246455E20</v>
      </c>
      <c r="M4359" s="20">
        <v>7.208090701246455E19</v>
      </c>
    </row>
    <row r="4360">
      <c r="A4360" s="6"/>
      <c r="B4360" s="6"/>
      <c r="C4360" s="4"/>
      <c r="D4360" s="4">
        <v>48.3641275995966</v>
      </c>
      <c r="E4360" s="4" t="s">
        <v>6532</v>
      </c>
      <c r="F4360" s="4"/>
      <c r="G4360" s="4"/>
      <c r="H4360" s="4"/>
      <c r="I4360" s="4" t="str">
        <f>IFERROR(__xludf.DUMMYFUNCTION("""COMPUTED_VALUE"""),"0x3999011fd69d2b13088689dccaad87a72b15c367")</f>
        <v>0x3999011fd69d2b13088689dccaad87a72b15c367</v>
      </c>
      <c r="J4360" s="18">
        <v>8.3767015544845</v>
      </c>
      <c r="K4360" s="4">
        <v>104.70876943105624</v>
      </c>
      <c r="L4360" s="19">
        <v>1.0470876943105624E20</v>
      </c>
      <c r="M4360" s="20">
        <v>1.0470876943105624E19</v>
      </c>
    </row>
    <row r="4361">
      <c r="A4361" s="6"/>
      <c r="B4361" s="6"/>
      <c r="C4361" s="4"/>
      <c r="D4361" s="4">
        <v>9.672825519919328</v>
      </c>
      <c r="E4361" s="4" t="s">
        <v>6533</v>
      </c>
      <c r="F4361" s="4"/>
      <c r="G4361" s="4"/>
      <c r="H4361" s="4"/>
      <c r="I4361" s="4" t="str">
        <f>IFERROR(__xludf.DUMMYFUNCTION("""COMPUTED_VALUE"""),"0x957d48f0f48465820e83e7f0c53e6ae39067d88e")</f>
        <v>0x957d48f0f48465820e83e7f0c53e6ae39067d88e</v>
      </c>
      <c r="J4361" s="18">
        <v>9.75724900124546</v>
      </c>
      <c r="K4361" s="4">
        <v>121.96561251556825</v>
      </c>
      <c r="L4361" s="19">
        <v>1.2196561251556825E20</v>
      </c>
      <c r="M4361" s="20">
        <v>1.2196561251556827E19</v>
      </c>
    </row>
    <row r="4362">
      <c r="A4362" s="6"/>
      <c r="B4362" s="6"/>
      <c r="C4362" s="4"/>
      <c r="D4362" s="4">
        <v>18.8650822557488</v>
      </c>
      <c r="E4362" s="4" t="s">
        <v>6534</v>
      </c>
      <c r="F4362" s="4"/>
      <c r="G4362" s="4"/>
      <c r="H4362" s="4"/>
      <c r="I4362" s="4" t="str">
        <f>IFERROR(__xludf.DUMMYFUNCTION("""COMPUTED_VALUE"""),"0xfb96ef978aed74c7591b5aeba3f7b332870db448")</f>
        <v>0xfb96ef978aed74c7591b5aeba3f7b332870db448</v>
      </c>
      <c r="J4362" s="18">
        <v>10.0405863461866</v>
      </c>
      <c r="K4362" s="4">
        <v>125.5073293273325</v>
      </c>
      <c r="L4362" s="19">
        <v>1.2550732932733249E20</v>
      </c>
      <c r="M4362" s="20">
        <v>1.255073293273325E19</v>
      </c>
    </row>
    <row r="4363">
      <c r="A4363" s="6"/>
      <c r="B4363" s="6"/>
      <c r="C4363" s="4"/>
      <c r="D4363" s="4">
        <v>6.30669908025542</v>
      </c>
      <c r="E4363" s="4" t="s">
        <v>6536</v>
      </c>
      <c r="F4363" s="4"/>
      <c r="G4363" s="4"/>
      <c r="H4363" s="4"/>
      <c r="I4363" s="4" t="str">
        <f>IFERROR(__xludf.DUMMYFUNCTION("""COMPUTED_VALUE"""),"0x17c1ab73508db3f06a5693e33bf235cea203c721")</f>
        <v>0x17c1ab73508db3f06a5693e33bf235cea203c721</v>
      </c>
      <c r="J4363" s="18">
        <v>8.95582730149209</v>
      </c>
      <c r="K4363" s="4">
        <v>111.94784126865112</v>
      </c>
      <c r="L4363" s="19">
        <v>1.1194784126865111E20</v>
      </c>
      <c r="M4363" s="20">
        <v>1.1194784126865113E19</v>
      </c>
    </row>
    <row r="4364">
      <c r="A4364" s="6"/>
      <c r="B4364" s="6"/>
      <c r="C4364" s="4"/>
      <c r="D4364" s="4">
        <v>11.1234473503001</v>
      </c>
      <c r="E4364" s="4" t="s">
        <v>6538</v>
      </c>
      <c r="F4364" s="4"/>
      <c r="G4364" s="4"/>
      <c r="H4364" s="4"/>
      <c r="I4364" s="4" t="str">
        <f>IFERROR(__xludf.DUMMYFUNCTION("""COMPUTED_VALUE"""),"0xbaa94dc48fbc84bb91de7ea8d6e44c33d2767b1b")</f>
        <v>0xbaa94dc48fbc84bb91de7ea8d6e44c33d2767b1b</v>
      </c>
      <c r="J4364" s="18">
        <v>48.3641275995966</v>
      </c>
      <c r="K4364" s="4">
        <v>604.5515949949574</v>
      </c>
      <c r="L4364" s="19">
        <v>6.045515949949574E20</v>
      </c>
      <c r="M4364" s="20">
        <v>6.045515949949574E19</v>
      </c>
    </row>
    <row r="4365">
      <c r="A4365" s="6"/>
      <c r="B4365" s="6"/>
      <c r="C4365" s="4"/>
      <c r="D4365" s="4">
        <v>12.8503183334425</v>
      </c>
      <c r="E4365" s="4" t="s">
        <v>6540</v>
      </c>
      <c r="F4365" s="4"/>
      <c r="G4365" s="4"/>
      <c r="H4365" s="4"/>
      <c r="I4365" s="4" t="str">
        <f>IFERROR(__xludf.DUMMYFUNCTION("""COMPUTED_VALUE"""),"0x48a0096b26fe285138b294afe0eb1dd705071dca")</f>
        <v>0x48a0096b26fe285138b294afe0eb1dd705071dca</v>
      </c>
      <c r="J4365" s="18">
        <v>30.3185196142257</v>
      </c>
      <c r="K4365" s="4">
        <v>378.9814951778212</v>
      </c>
      <c r="L4365" s="19">
        <v>3.789814951778212E20</v>
      </c>
      <c r="M4365" s="20">
        <v>3.789814951778212E19</v>
      </c>
    </row>
    <row r="4366">
      <c r="A4366" s="6"/>
      <c r="B4366" s="6"/>
      <c r="C4366" s="4"/>
      <c r="D4366" s="4">
        <v>9.672825519919328</v>
      </c>
      <c r="E4366" s="4" t="s">
        <v>6542</v>
      </c>
      <c r="F4366" s="4"/>
      <c r="G4366" s="4"/>
      <c r="H4366" s="4"/>
      <c r="I4366" s="4" t="str">
        <f>IFERROR(__xludf.DUMMYFUNCTION("""COMPUTED_VALUE"""),"0xef181fe7f0df62de2db2050ba6db14e949804391")</f>
        <v>0xef181fe7f0df62de2db2050ba6db14e949804391</v>
      </c>
      <c r="J4366" s="18">
        <v>48.3641275995966</v>
      </c>
      <c r="K4366" s="4">
        <v>604.5515949949574</v>
      </c>
      <c r="L4366" s="19">
        <v>6.045515949949574E20</v>
      </c>
      <c r="M4366" s="20">
        <v>6.045515949949574E19</v>
      </c>
    </row>
    <row r="4367">
      <c r="A4367" s="6"/>
      <c r="B4367" s="6"/>
      <c r="C4367" s="4"/>
      <c r="D4367" s="4">
        <v>48.3641275995966</v>
      </c>
      <c r="E4367" s="4" t="s">
        <v>6543</v>
      </c>
      <c r="F4367" s="4"/>
      <c r="G4367" s="4"/>
      <c r="H4367" s="4"/>
      <c r="I4367" s="4" t="str">
        <f>IFERROR(__xludf.DUMMYFUNCTION("""COMPUTED_VALUE"""),"0xc01634f36e964426d0b434e63fe2ccbcdf3fd67b")</f>
        <v>0xc01634f36e964426d0b434e63fe2ccbcdf3fd67b</v>
      </c>
      <c r="J4367" s="18">
        <v>46.8393398241774</v>
      </c>
      <c r="K4367" s="4">
        <v>585.4917478022174</v>
      </c>
      <c r="L4367" s="19">
        <v>5.8549174780221745E20</v>
      </c>
      <c r="M4367" s="20">
        <v>5.854917478022175E19</v>
      </c>
    </row>
    <row r="4368">
      <c r="A4368" s="6"/>
      <c r="B4368" s="6"/>
      <c r="C4368" s="4"/>
      <c r="D4368" s="4">
        <v>45.823557652457</v>
      </c>
      <c r="E4368" s="4" t="s">
        <v>6544</v>
      </c>
      <c r="F4368" s="4"/>
      <c r="G4368" s="4"/>
      <c r="H4368" s="4"/>
      <c r="I4368" s="4" t="str">
        <f>IFERROR(__xludf.DUMMYFUNCTION("""COMPUTED_VALUE"""),"0x9ebcddfddd70c661430f6455a61e3363b784317a")</f>
        <v>0x9ebcddfddd70c661430f6455a61e3363b784317a</v>
      </c>
      <c r="J4368" s="18">
        <v>57.66472560997164</v>
      </c>
      <c r="K4368" s="4">
        <v>720.8090701246455</v>
      </c>
      <c r="L4368" s="19">
        <v>7.208090701246455E20</v>
      </c>
      <c r="M4368" s="20">
        <v>7.208090701246455E19</v>
      </c>
    </row>
    <row r="4369">
      <c r="A4369" s="6"/>
      <c r="B4369" s="6"/>
      <c r="C4369" s="4"/>
      <c r="D4369" s="4">
        <v>45.155423026334496</v>
      </c>
      <c r="E4369" s="4" t="s">
        <v>6546</v>
      </c>
      <c r="F4369" s="4"/>
      <c r="G4369" s="4"/>
      <c r="H4369" s="4"/>
      <c r="I4369" s="4" t="str">
        <f>IFERROR(__xludf.DUMMYFUNCTION("""COMPUTED_VALUE"""),"0x2283185662b1dc4f4d2e8dae1031bdb9ce34b276")</f>
        <v>0x2283185662b1dc4f4d2e8dae1031bdb9ce34b276</v>
      </c>
      <c r="J4369" s="18">
        <v>48.3641275995966</v>
      </c>
      <c r="K4369" s="4">
        <v>604.5515949949574</v>
      </c>
      <c r="L4369" s="19">
        <v>6.045515949949574E20</v>
      </c>
      <c r="M4369" s="20">
        <v>6.045515949949574E19</v>
      </c>
    </row>
    <row r="4370">
      <c r="A4370" s="6"/>
      <c r="B4370" s="6"/>
      <c r="C4370" s="4"/>
      <c r="D4370" s="4">
        <v>3.44287462847346</v>
      </c>
      <c r="E4370" s="4" t="s">
        <v>6548</v>
      </c>
      <c r="F4370" s="4"/>
      <c r="G4370" s="4"/>
      <c r="H4370" s="4"/>
      <c r="I4370" s="4" t="str">
        <f>IFERROR(__xludf.DUMMYFUNCTION("""COMPUTED_VALUE"""),"0x36c4a737a141f1cd9a077839652dca487497c170")</f>
        <v>0x36c4a737a141f1cd9a077839652dca487497c170</v>
      </c>
      <c r="J4370" s="18">
        <v>112.109375115391</v>
      </c>
      <c r="K4370" s="4">
        <v>1401.3671889423874</v>
      </c>
      <c r="L4370" s="19">
        <v>1.4013671889423874E21</v>
      </c>
      <c r="M4370" s="20">
        <v>1.4013671889423874E20</v>
      </c>
    </row>
    <row r="4371">
      <c r="A4371" s="6"/>
      <c r="B4371" s="6"/>
      <c r="C4371" s="4"/>
      <c r="D4371" s="4">
        <v>9.72543285471477</v>
      </c>
      <c r="E4371" s="4" t="s">
        <v>6550</v>
      </c>
      <c r="F4371" s="4"/>
      <c r="G4371" s="4"/>
      <c r="H4371" s="4"/>
      <c r="I4371" s="4" t="str">
        <f>IFERROR(__xludf.DUMMYFUNCTION("""COMPUTED_VALUE"""),"0xace5b823ea0b0a3e08c05f671db210a3dc170b2e")</f>
        <v>0xace5b823ea0b0a3e08c05f671db210a3dc170b2e</v>
      </c>
      <c r="J4371" s="18">
        <v>19.3456510398386</v>
      </c>
      <c r="K4371" s="4">
        <v>241.8206379979825</v>
      </c>
      <c r="L4371" s="19">
        <v>2.4182063799798248E20</v>
      </c>
      <c r="M4371" s="20">
        <v>2.418206379979825E19</v>
      </c>
    </row>
    <row r="4372">
      <c r="A4372" s="6"/>
      <c r="B4372" s="6"/>
      <c r="C4372" s="4"/>
      <c r="D4372" s="4">
        <v>10.3421323208734</v>
      </c>
      <c r="E4372" s="4" t="s">
        <v>6552</v>
      </c>
      <c r="F4372" s="4"/>
      <c r="G4372" s="4"/>
      <c r="H4372" s="4"/>
      <c r="I4372" s="4" t="str">
        <f>IFERROR(__xludf.DUMMYFUNCTION("""COMPUTED_VALUE"""),"0xe793e50beaf52762e722fbdd129c251d1b83305c")</f>
        <v>0xe793e50beaf52762e722fbdd129c251d1b83305c</v>
      </c>
      <c r="J4372" s="18">
        <v>94.8671176514718</v>
      </c>
      <c r="K4372" s="4">
        <v>1185.8389706433975</v>
      </c>
      <c r="L4372" s="19">
        <v>1.1858389706433975E21</v>
      </c>
      <c r="M4372" s="20">
        <v>1.1858389706433975E20</v>
      </c>
    </row>
    <row r="4373">
      <c r="A4373" s="6"/>
      <c r="B4373" s="6"/>
      <c r="C4373" s="4"/>
      <c r="D4373" s="4">
        <v>7.6609340774414205</v>
      </c>
      <c r="E4373" s="4" t="s">
        <v>6554</v>
      </c>
      <c r="F4373" s="4"/>
      <c r="G4373" s="4"/>
      <c r="H4373" s="4"/>
      <c r="I4373" s="4" t="str">
        <f>IFERROR(__xludf.DUMMYFUNCTION("""COMPUTED_VALUE"""),"0xb17fd20b79b5de7880133df47918a1dc2a7e9821")</f>
        <v>0xb17fd20b79b5de7880133df47918a1dc2a7e9821</v>
      </c>
      <c r="J4373" s="18">
        <v>9.53928016302363</v>
      </c>
      <c r="K4373" s="4">
        <v>119.24100203779537</v>
      </c>
      <c r="L4373" s="19">
        <v>1.1924100203779537E20</v>
      </c>
      <c r="M4373" s="20">
        <v>1.1924100203779539E19</v>
      </c>
    </row>
    <row r="4374">
      <c r="A4374" s="6"/>
      <c r="B4374" s="6"/>
      <c r="C4374" s="4"/>
      <c r="D4374" s="4">
        <v>48.3641275995966</v>
      </c>
      <c r="E4374" s="4" t="s">
        <v>6556</v>
      </c>
      <c r="F4374" s="4"/>
      <c r="G4374" s="4"/>
      <c r="H4374" s="4"/>
      <c r="I4374" s="4" t="str">
        <f>IFERROR(__xludf.DUMMYFUNCTION("""COMPUTED_VALUE"""),"0x0788b0bb180b8308b0485d7c7876bfdaf0cfbb24")</f>
        <v>0x0788b0bb180b8308b0485d7c7876bfdaf0cfbb24</v>
      </c>
      <c r="J4374" s="18">
        <v>113.4683136722219</v>
      </c>
      <c r="K4374" s="4">
        <v>1418.3539209027738</v>
      </c>
      <c r="L4374" s="19">
        <v>1.4183539209027739E21</v>
      </c>
      <c r="M4374" s="20">
        <v>1.418353920902774E20</v>
      </c>
    </row>
    <row r="4375">
      <c r="A4375" s="6"/>
      <c r="B4375" s="6"/>
      <c r="C4375" s="4"/>
      <c r="D4375" s="4">
        <v>46.9964504578552</v>
      </c>
      <c r="E4375" s="4" t="s">
        <v>6557</v>
      </c>
      <c r="F4375" s="4"/>
      <c r="G4375" s="4"/>
      <c r="H4375" s="4"/>
      <c r="I4375" s="4" t="str">
        <f>IFERROR(__xludf.DUMMYFUNCTION("""COMPUTED_VALUE"""),"0x29e08dbed4ba6f64e938d00f6f706cdd1c635aa1")</f>
        <v>0x29e08dbed4ba6f64e938d00f6f706cdd1c635aa1</v>
      </c>
      <c r="J4375" s="18">
        <v>19.5310007316262</v>
      </c>
      <c r="K4375" s="4">
        <v>244.1375091453275</v>
      </c>
      <c r="L4375" s="19">
        <v>2.441375091453275E20</v>
      </c>
      <c r="M4375" s="20">
        <v>2.4413750914532753E19</v>
      </c>
    </row>
    <row r="4376">
      <c r="A4376" s="6"/>
      <c r="B4376" s="6"/>
      <c r="C4376" s="4"/>
      <c r="D4376" s="4">
        <v>48.2621968200593</v>
      </c>
      <c r="E4376" s="4" t="s">
        <v>6559</v>
      </c>
      <c r="F4376" s="4"/>
      <c r="G4376" s="4"/>
      <c r="H4376" s="4"/>
      <c r="I4376" s="4" t="str">
        <f>IFERROR(__xludf.DUMMYFUNCTION("""COMPUTED_VALUE"""),"0x86a334ce59c07387050724f724f285ed0569e68e")</f>
        <v>0x86a334ce59c07387050724f724f285ed0569e68e</v>
      </c>
      <c r="J4376" s="18">
        <v>18.666407502302498</v>
      </c>
      <c r="K4376" s="4">
        <v>233.33009377878122</v>
      </c>
      <c r="L4376" s="19">
        <v>2.333300937787812E20</v>
      </c>
      <c r="M4376" s="20">
        <v>2.3333009377878122E19</v>
      </c>
    </row>
    <row r="4377">
      <c r="A4377" s="6"/>
      <c r="B4377" s="6"/>
      <c r="C4377" s="4"/>
      <c r="D4377" s="4">
        <v>48.3641275995966</v>
      </c>
      <c r="E4377" s="4" t="s">
        <v>6560</v>
      </c>
      <c r="F4377" s="4"/>
      <c r="G4377" s="4"/>
      <c r="H4377" s="4"/>
      <c r="I4377" s="4" t="str">
        <f>IFERROR(__xludf.DUMMYFUNCTION("""COMPUTED_VALUE"""),"0x36714cde04d28d4892e9bd3630929879ca72227a")</f>
        <v>0x36714cde04d28d4892e9bd3630929879ca72227a</v>
      </c>
      <c r="J4377" s="18">
        <v>9.11588980017477</v>
      </c>
      <c r="K4377" s="4">
        <v>113.94862250218462</v>
      </c>
      <c r="L4377" s="19">
        <v>1.1394862250218462E20</v>
      </c>
      <c r="M4377" s="20">
        <v>1.1394862250218463E19</v>
      </c>
    </row>
    <row r="4378">
      <c r="A4378" s="6"/>
      <c r="B4378" s="6"/>
      <c r="C4378" s="4"/>
      <c r="D4378" s="4">
        <v>48.3641275995966</v>
      </c>
      <c r="E4378" s="4" t="s">
        <v>6561</v>
      </c>
      <c r="F4378" s="4"/>
      <c r="G4378" s="4"/>
      <c r="H4378" s="4"/>
      <c r="I4378" s="4" t="str">
        <f>IFERROR(__xludf.DUMMYFUNCTION("""COMPUTED_VALUE"""),"0xd02d00a7a1faabc9fe5dcbecf545123e9277e32b")</f>
        <v>0xd02d00a7a1faabc9fe5dcbecf545123e9277e32b</v>
      </c>
      <c r="J4378" s="18">
        <v>38.9811750941709</v>
      </c>
      <c r="K4378" s="4">
        <v>487.26468867713623</v>
      </c>
      <c r="L4378" s="19">
        <v>4.8726468867713624E20</v>
      </c>
      <c r="M4378" s="20">
        <v>4.872646886771363E19</v>
      </c>
    </row>
    <row r="4379">
      <c r="A4379" s="6"/>
      <c r="B4379" s="6"/>
      <c r="C4379" s="4"/>
      <c r="D4379" s="4">
        <v>48.3641275995966</v>
      </c>
      <c r="E4379" s="4" t="s">
        <v>125</v>
      </c>
      <c r="F4379" s="4"/>
      <c r="G4379" s="4"/>
      <c r="H4379" s="4"/>
      <c r="I4379" s="4" t="str">
        <f>IFERROR(__xludf.DUMMYFUNCTION("""COMPUTED_VALUE"""),"0x95844cecd57f5accafd8ae24b8b3474e33bd0397")</f>
        <v>0x95844cecd57f5accafd8ae24b8b3474e33bd0397</v>
      </c>
      <c r="J4379" s="18">
        <v>1.93456510398386</v>
      </c>
      <c r="K4379" s="4">
        <v>24.18206379979825</v>
      </c>
      <c r="L4379" s="19">
        <v>2.418206379979825E19</v>
      </c>
      <c r="M4379" s="20">
        <v>2.418206379979825E18</v>
      </c>
    </row>
    <row r="4380">
      <c r="A4380" s="6"/>
      <c r="B4380" s="6"/>
      <c r="C4380" s="4"/>
      <c r="D4380" s="4">
        <v>9.38525169072271</v>
      </c>
      <c r="E4380" s="4" t="s">
        <v>6562</v>
      </c>
      <c r="F4380" s="4"/>
      <c r="G4380" s="4"/>
      <c r="H4380" s="4"/>
      <c r="I4380" s="4" t="str">
        <f>IFERROR(__xludf.DUMMYFUNCTION("""COMPUTED_VALUE"""),"0xe3f3b469041f598bfd22b2ae8737c1e49622146f")</f>
        <v>0xe3f3b469041f598bfd22b2ae8737c1e49622146f</v>
      </c>
      <c r="J4380" s="18">
        <v>48.3641275995966</v>
      </c>
      <c r="K4380" s="4">
        <v>604.5515949949574</v>
      </c>
      <c r="L4380" s="19">
        <v>6.045515949949574E20</v>
      </c>
      <c r="M4380" s="20">
        <v>6.045515949949574E19</v>
      </c>
    </row>
    <row r="4381">
      <c r="A4381" s="6"/>
      <c r="B4381" s="6"/>
      <c r="C4381" s="4"/>
      <c r="D4381" s="4">
        <v>10.829394520943401</v>
      </c>
      <c r="E4381" s="4" t="s">
        <v>6564</v>
      </c>
      <c r="F4381" s="4"/>
      <c r="G4381" s="4"/>
      <c r="H4381" s="4"/>
      <c r="I4381" s="4" t="str">
        <f>IFERROR(__xludf.DUMMYFUNCTION("""COMPUTED_VALUE"""),"0x3ea8f70666498d99822cde1a3fbad7d417ed7f5b")</f>
        <v>0x3ea8f70666498d99822cde1a3fbad7d417ed7f5b</v>
      </c>
      <c r="J4381" s="18">
        <v>48.3641275995966</v>
      </c>
      <c r="K4381" s="4">
        <v>604.5515949949574</v>
      </c>
      <c r="L4381" s="19">
        <v>6.045515949949574E20</v>
      </c>
      <c r="M4381" s="20">
        <v>6.045515949949574E19</v>
      </c>
    </row>
    <row r="4382">
      <c r="A4382" s="6"/>
      <c r="B4382" s="6"/>
      <c r="C4382" s="4"/>
      <c r="D4382" s="4">
        <v>2.9018476559758</v>
      </c>
      <c r="E4382" s="4" t="s">
        <v>6566</v>
      </c>
      <c r="F4382" s="4"/>
      <c r="G4382" s="4"/>
      <c r="H4382" s="4"/>
      <c r="I4382" s="4" t="str">
        <f>IFERROR(__xludf.DUMMYFUNCTION("""COMPUTED_VALUE"""),"0x99c8f397a63969b65e60a2964fa93421cce5a35f")</f>
        <v>0x99c8f397a63969b65e60a2964fa93421cce5a35f</v>
      </c>
      <c r="J4382" s="18">
        <v>41.77075070260336</v>
      </c>
      <c r="K4382" s="4">
        <v>522.1343837825419</v>
      </c>
      <c r="L4382" s="19">
        <v>5.221343837825419E20</v>
      </c>
      <c r="M4382" s="20">
        <v>5.22134383782542E19</v>
      </c>
    </row>
    <row r="4383">
      <c r="A4383" s="6"/>
      <c r="B4383" s="6"/>
      <c r="C4383" s="4"/>
      <c r="D4383" s="4">
        <v>6.43558396792963</v>
      </c>
      <c r="E4383" s="4" t="s">
        <v>6567</v>
      </c>
      <c r="F4383" s="4"/>
      <c r="G4383" s="4"/>
      <c r="H4383" s="4"/>
      <c r="I4383" s="4" t="str">
        <f>IFERROR(__xludf.DUMMYFUNCTION("""COMPUTED_VALUE"""),"0x05525fe617b075671e2de44df5ad45e53d897ce3")</f>
        <v>0x05525fe617b075671e2de44df5ad45e53d897ce3</v>
      </c>
      <c r="J4383" s="18">
        <v>0.97076305218429</v>
      </c>
      <c r="K4383" s="4">
        <v>12.134538152303625</v>
      </c>
      <c r="L4383" s="19">
        <v>1.2134538152303624E19</v>
      </c>
      <c r="M4383" s="20">
        <v>1.2134538152303624E18</v>
      </c>
    </row>
    <row r="4384">
      <c r="A4384" s="6"/>
      <c r="B4384" s="6"/>
      <c r="C4384" s="4"/>
      <c r="D4384" s="4">
        <v>1.93456510398386</v>
      </c>
      <c r="E4384" s="4" t="s">
        <v>497</v>
      </c>
      <c r="F4384" s="4"/>
      <c r="G4384" s="4"/>
      <c r="H4384" s="4"/>
      <c r="I4384" s="4" t="str">
        <f>IFERROR(__xludf.DUMMYFUNCTION("""COMPUTED_VALUE"""),"0xa66cfc07054e17a1c890102d817b1be15488fa6f")</f>
        <v>0xa66cfc07054e17a1c890102d817b1be15488fa6f</v>
      </c>
      <c r="J4384" s="18">
        <v>14.509238279879</v>
      </c>
      <c r="K4384" s="4">
        <v>181.3654784984875</v>
      </c>
      <c r="L4384" s="19">
        <v>1.813654784984875E20</v>
      </c>
      <c r="M4384" s="20">
        <v>1.813654784984875E19</v>
      </c>
    </row>
    <row r="4385">
      <c r="A4385" s="6"/>
      <c r="B4385" s="6"/>
      <c r="C4385" s="4"/>
      <c r="D4385" s="4">
        <v>48.3641275995966</v>
      </c>
      <c r="E4385" s="4" t="s">
        <v>6569</v>
      </c>
      <c r="F4385" s="4"/>
      <c r="G4385" s="4"/>
      <c r="H4385" s="4"/>
      <c r="I4385" s="4" t="str">
        <f>IFERROR(__xludf.DUMMYFUNCTION("""COMPUTED_VALUE"""),"0x5bd9943e1116104eabcc7bf8f998970a399d2509")</f>
        <v>0x5bd9943e1116104eabcc7bf8f998970a399d2509</v>
      </c>
      <c r="J4385" s="18">
        <v>39.9243375047684</v>
      </c>
      <c r="K4385" s="4">
        <v>499.054218809605</v>
      </c>
      <c r="L4385" s="19">
        <v>4.99054218809605E20</v>
      </c>
      <c r="M4385" s="20">
        <v>4.990542188096051E19</v>
      </c>
    </row>
    <row r="4386">
      <c r="A4386" s="6"/>
      <c r="B4386" s="6"/>
      <c r="C4386" s="4"/>
      <c r="D4386" s="4">
        <v>48.3641275995966</v>
      </c>
      <c r="E4386" s="4" t="s">
        <v>1560</v>
      </c>
      <c r="F4386" s="4"/>
      <c r="G4386" s="4"/>
      <c r="H4386" s="4"/>
      <c r="I4386" s="4" t="str">
        <f>IFERROR(__xludf.DUMMYFUNCTION("""COMPUTED_VALUE"""),"0x010dd4878c0850e24ec03473dc7bcaa0aaacfa9c")</f>
        <v>0x010dd4878c0850e24ec03473dc7bcaa0aaacfa9c</v>
      </c>
      <c r="J4386" s="18">
        <v>112.5382538711843</v>
      </c>
      <c r="K4386" s="4">
        <v>1406.7281733898037</v>
      </c>
      <c r="L4386" s="19">
        <v>1.4067281733898037E21</v>
      </c>
      <c r="M4386" s="20">
        <v>1.4067281733898037E20</v>
      </c>
    </row>
    <row r="4387">
      <c r="A4387" s="6"/>
      <c r="B4387" s="6"/>
      <c r="C4387" s="4"/>
      <c r="D4387" s="4">
        <v>9.672825519919328</v>
      </c>
      <c r="E4387" s="4" t="s">
        <v>6570</v>
      </c>
      <c r="F4387" s="4"/>
      <c r="G4387" s="4"/>
      <c r="H4387" s="4"/>
      <c r="I4387" s="4" t="str">
        <f>IFERROR(__xludf.DUMMYFUNCTION("""COMPUTED_VALUE"""),"0xe2f9f59cf1bfb6db06dbbe9446b36703763e5cd1")</f>
        <v>0xe2f9f59cf1bfb6db06dbbe9446b36703763e5cd1</v>
      </c>
      <c r="J4387" s="18">
        <v>20.078789347499928</v>
      </c>
      <c r="K4387" s="4">
        <v>250.9848668437491</v>
      </c>
      <c r="L4387" s="19">
        <v>2.509848668437491E20</v>
      </c>
      <c r="M4387" s="20">
        <v>2.509848668437491E19</v>
      </c>
    </row>
    <row r="4388">
      <c r="A4388" s="6"/>
      <c r="B4388" s="6"/>
      <c r="C4388" s="4"/>
      <c r="D4388" s="4">
        <v>30.5464232215746</v>
      </c>
      <c r="E4388" s="4" t="s">
        <v>6571</v>
      </c>
      <c r="F4388" s="4"/>
      <c r="G4388" s="4"/>
      <c r="H4388" s="4"/>
      <c r="I4388" s="4" t="str">
        <f>IFERROR(__xludf.DUMMYFUNCTION("""COMPUTED_VALUE"""),"0xcc264596874783626667babf681d4c8de6d7a37d")</f>
        <v>0xcc264596874783626667babf681d4c8de6d7a37d</v>
      </c>
      <c r="J4388" s="18">
        <v>46.5364542396568</v>
      </c>
      <c r="K4388" s="4">
        <v>581.70567799571</v>
      </c>
      <c r="L4388" s="19">
        <v>5.8170567799570996E20</v>
      </c>
      <c r="M4388" s="20">
        <v>5.8170567799571E19</v>
      </c>
    </row>
    <row r="4389">
      <c r="A4389" s="6"/>
      <c r="B4389" s="6"/>
      <c r="C4389" s="4"/>
      <c r="D4389" s="4">
        <v>19.3456510398386</v>
      </c>
      <c r="E4389" s="4" t="s">
        <v>6573</v>
      </c>
      <c r="F4389" s="4"/>
      <c r="G4389" s="4"/>
      <c r="H4389" s="4"/>
      <c r="I4389" s="4" t="str">
        <f>IFERROR(__xludf.DUMMYFUNCTION("""COMPUTED_VALUE"""),"0x644ef718b8d1a7740466fb4c4690da34be64c7ab")</f>
        <v>0x644ef718b8d1a7740466fb4c4690da34be64c7ab</v>
      </c>
      <c r="J4389" s="18">
        <v>54.957497327366326</v>
      </c>
      <c r="K4389" s="4">
        <v>686.9687165920791</v>
      </c>
      <c r="L4389" s="19">
        <v>6.86968716592079E20</v>
      </c>
      <c r="M4389" s="20">
        <v>6.869687165920791E19</v>
      </c>
    </row>
    <row r="4390">
      <c r="A4390" s="6"/>
      <c r="B4390" s="6"/>
      <c r="C4390" s="4"/>
      <c r="D4390" s="4">
        <v>31.0145579000358</v>
      </c>
      <c r="E4390" s="4" t="s">
        <v>6574</v>
      </c>
      <c r="F4390" s="4"/>
      <c r="G4390" s="4"/>
      <c r="H4390" s="4"/>
      <c r="I4390" s="4" t="str">
        <f>IFERROR(__xludf.DUMMYFUNCTION("""COMPUTED_VALUE"""),"0x3c3586f11ceca779e89be821913e3c714eead41c")</f>
        <v>0x3c3586f11ceca779e89be821913e3c714eead41c</v>
      </c>
      <c r="J4390" s="18">
        <v>8.66853003882693</v>
      </c>
      <c r="K4390" s="4">
        <v>108.35662548533662</v>
      </c>
      <c r="L4390" s="19">
        <v>1.0835662548533663E20</v>
      </c>
      <c r="M4390" s="20">
        <v>1.0835662548533664E19</v>
      </c>
    </row>
    <row r="4391">
      <c r="A4391" s="6"/>
      <c r="B4391" s="6"/>
      <c r="C4391" s="4"/>
      <c r="D4391" s="4">
        <v>44.9230170917425</v>
      </c>
      <c r="E4391" s="4" t="s">
        <v>6576</v>
      </c>
      <c r="F4391" s="4"/>
      <c r="G4391" s="4"/>
      <c r="H4391" s="4"/>
      <c r="I4391" s="4" t="str">
        <f>IFERROR(__xludf.DUMMYFUNCTION("""COMPUTED_VALUE"""),"0x7e189b9503b8b2cd91c6fcab3554aa166ed8b779")</f>
        <v>0x7e189b9503b8b2cd91c6fcab3554aa166ed8b779</v>
      </c>
      <c r="J4391" s="18">
        <v>29.018476559758</v>
      </c>
      <c r="K4391" s="4">
        <v>362.730956996975</v>
      </c>
      <c r="L4391" s="19">
        <v>3.62730956996975E20</v>
      </c>
      <c r="M4391" s="20">
        <v>3.62730956996975E19</v>
      </c>
    </row>
    <row r="4392">
      <c r="A4392" s="6"/>
      <c r="B4392" s="6"/>
      <c r="C4392" s="4"/>
      <c r="D4392" s="4">
        <v>10.0979362063957</v>
      </c>
      <c r="E4392" s="4" t="s">
        <v>6578</v>
      </c>
      <c r="F4392" s="4"/>
      <c r="G4392" s="4"/>
      <c r="H4392" s="4"/>
      <c r="I4392" s="4" t="str">
        <f>IFERROR(__xludf.DUMMYFUNCTION("""COMPUTED_VALUE"""),"0x9a0bbb5d9e9ef024c263c03df8037024bca4d325")</f>
        <v>0x9a0bbb5d9e9ef024c263c03df8037024bca4d325</v>
      </c>
      <c r="J4392" s="18">
        <v>26.0523071166942</v>
      </c>
      <c r="K4392" s="4">
        <v>325.6538389586775</v>
      </c>
      <c r="L4392" s="19">
        <v>3.256538389586775E20</v>
      </c>
      <c r="M4392" s="20">
        <v>3.2565383895867752E19</v>
      </c>
    </row>
    <row r="4393">
      <c r="A4393" s="6"/>
      <c r="B4393" s="6"/>
      <c r="C4393" s="4"/>
      <c r="D4393" s="4">
        <v>9.86628203031772</v>
      </c>
      <c r="E4393" s="4" t="s">
        <v>6580</v>
      </c>
      <c r="F4393" s="4"/>
      <c r="G4393" s="4"/>
      <c r="H4393" s="4"/>
      <c r="I4393" s="4" t="str">
        <f>IFERROR(__xludf.DUMMYFUNCTION("""COMPUTED_VALUE"""),"0x9b4a5d7a8cc499ad85acc2aa8351c3ba31343cfd")</f>
        <v>0x9b4a5d7a8cc499ad85acc2aa8351c3ba31343cfd</v>
      </c>
      <c r="J4393" s="18">
        <v>19.3456510398386</v>
      </c>
      <c r="K4393" s="4">
        <v>241.8206379979825</v>
      </c>
      <c r="L4393" s="19">
        <v>2.4182063799798248E20</v>
      </c>
      <c r="M4393" s="20">
        <v>2.418206379979825E19</v>
      </c>
    </row>
    <row r="4394">
      <c r="A4394" s="6"/>
      <c r="B4394" s="6"/>
      <c r="C4394" s="4"/>
      <c r="D4394" s="4">
        <v>48.3641275995966</v>
      </c>
      <c r="E4394" s="4" t="s">
        <v>203</v>
      </c>
      <c r="F4394" s="4"/>
      <c r="G4394" s="4"/>
      <c r="H4394" s="4"/>
      <c r="I4394" s="4" t="str">
        <f>IFERROR(__xludf.DUMMYFUNCTION("""COMPUTED_VALUE"""),"0x40cde7747d967e0df140e69037e69e5bab588009")</f>
        <v>0x40cde7747d967e0df140e69037e69e5bab588009</v>
      </c>
      <c r="J4394" s="18">
        <v>30.9530416637418</v>
      </c>
      <c r="K4394" s="4">
        <v>386.9130207967725</v>
      </c>
      <c r="L4394" s="19">
        <v>3.869130207967725E20</v>
      </c>
      <c r="M4394" s="20">
        <v>3.869130207967725E19</v>
      </c>
    </row>
    <row r="4395">
      <c r="A4395" s="6"/>
      <c r="B4395" s="6"/>
      <c r="C4395" s="4"/>
      <c r="D4395" s="4">
        <v>10.4448551235834</v>
      </c>
      <c r="E4395" s="4" t="s">
        <v>6581</v>
      </c>
      <c r="F4395" s="4"/>
      <c r="G4395" s="4"/>
      <c r="H4395" s="4"/>
      <c r="I4395" s="4" t="str">
        <f>IFERROR(__xludf.DUMMYFUNCTION("""COMPUTED_VALUE"""),"0x950d49818a35f1dbc1eb44f9d788300e78758499")</f>
        <v>0x950d49818a35f1dbc1eb44f9d788300e78758499</v>
      </c>
      <c r="J4395" s="18">
        <v>57.66472560997164</v>
      </c>
      <c r="K4395" s="4">
        <v>720.8090701246455</v>
      </c>
      <c r="L4395" s="19">
        <v>7.208090701246455E20</v>
      </c>
      <c r="M4395" s="20">
        <v>7.208090701246455E19</v>
      </c>
    </row>
    <row r="4396">
      <c r="A4396" s="6"/>
      <c r="B4396" s="6"/>
      <c r="C4396" s="4"/>
      <c r="D4396" s="4">
        <v>48.3641275995966</v>
      </c>
      <c r="E4396" s="4" t="s">
        <v>6583</v>
      </c>
      <c r="F4396" s="4"/>
      <c r="G4396" s="4"/>
      <c r="H4396" s="4"/>
      <c r="I4396" s="4" t="str">
        <f>IFERROR(__xludf.DUMMYFUNCTION("""COMPUTED_VALUE"""),"0xc13456a34305e9265e907f70f76b1ba6e2055c8b")</f>
        <v>0xc13456a34305e9265e907f70f76b1ba6e2055c8b</v>
      </c>
      <c r="J4396" s="18">
        <v>234.37608780709658</v>
      </c>
      <c r="K4396" s="4">
        <v>2929.7010975887074</v>
      </c>
      <c r="L4396" s="19">
        <v>2.9297010975887076E21</v>
      </c>
      <c r="M4396" s="20">
        <v>2.9297010975887078E20</v>
      </c>
    </row>
    <row r="4397">
      <c r="A4397" s="6"/>
      <c r="B4397" s="6"/>
      <c r="C4397" s="4"/>
      <c r="D4397" s="4">
        <v>48.3641275995966</v>
      </c>
      <c r="E4397" s="4" t="s">
        <v>6584</v>
      </c>
      <c r="F4397" s="4"/>
      <c r="G4397" s="4"/>
      <c r="H4397" s="4"/>
      <c r="I4397" s="4" t="str">
        <f>IFERROR(__xludf.DUMMYFUNCTION("""COMPUTED_VALUE"""),"0x0a860ab1098d2d0f16e58e4b4e58e39229391928")</f>
        <v>0x0a860ab1098d2d0f16e58e4b4e58e39229391928</v>
      </c>
      <c r="J4397" s="18">
        <v>113.4683136722219</v>
      </c>
      <c r="K4397" s="4">
        <v>1418.3539209027738</v>
      </c>
      <c r="L4397" s="19">
        <v>1.4183539209027739E21</v>
      </c>
      <c r="M4397" s="20">
        <v>1.418353920902774E20</v>
      </c>
    </row>
    <row r="4398">
      <c r="A4398" s="6"/>
      <c r="B4398" s="6"/>
      <c r="C4398" s="4"/>
      <c r="D4398" s="4">
        <v>11.6421105777599</v>
      </c>
      <c r="E4398" s="4" t="s">
        <v>6585</v>
      </c>
      <c r="F4398" s="4"/>
      <c r="G4398" s="4"/>
      <c r="H4398" s="4"/>
      <c r="I4398" s="4" t="str">
        <f>IFERROR(__xludf.DUMMYFUNCTION("""COMPUTED_VALUE"""),"0x96b98b2b1bb702b8cbdb34ec2963a39de066c3ae")</f>
        <v>0x96b98b2b1bb702b8cbdb34ec2963a39de066c3ae</v>
      </c>
      <c r="J4398" s="18">
        <v>3.58090234069076</v>
      </c>
      <c r="K4398" s="4">
        <v>44.7612792586345</v>
      </c>
      <c r="L4398" s="19">
        <v>4.47612792586345E19</v>
      </c>
      <c r="M4398" s="20">
        <v>4.4761279258634506E18</v>
      </c>
    </row>
    <row r="4399">
      <c r="A4399" s="6"/>
      <c r="B4399" s="6"/>
      <c r="C4399" s="4"/>
      <c r="D4399" s="4">
        <v>48.3641275995966</v>
      </c>
      <c r="E4399" s="4" t="s">
        <v>6587</v>
      </c>
      <c r="F4399" s="4"/>
      <c r="G4399" s="4"/>
      <c r="H4399" s="4"/>
      <c r="I4399" s="4" t="str">
        <f>IFERROR(__xludf.DUMMYFUNCTION("""COMPUTED_VALUE"""),"0x4607751f2cf0711c4a93ec0de52a60b85681a183")</f>
        <v>0x4607751f2cf0711c4a93ec0de52a60b85681a183</v>
      </c>
      <c r="J4399" s="18">
        <v>7.45239824899029</v>
      </c>
      <c r="K4399" s="4">
        <v>93.15497811237863</v>
      </c>
      <c r="L4399" s="19">
        <v>9.315497811237863E19</v>
      </c>
      <c r="M4399" s="20">
        <v>9.315497811237863E18</v>
      </c>
    </row>
    <row r="4400">
      <c r="A4400" s="6"/>
      <c r="B4400" s="6"/>
      <c r="C4400" s="4"/>
      <c r="D4400" s="4">
        <v>48.3641275995966</v>
      </c>
      <c r="E4400" s="4" t="s">
        <v>6588</v>
      </c>
      <c r="F4400" s="4"/>
      <c r="G4400" s="4"/>
      <c r="H4400" s="4"/>
      <c r="I4400" s="4" t="str">
        <f>IFERROR(__xludf.DUMMYFUNCTION("""COMPUTED_VALUE"""),"0x7ffea540dc7db3355b08a4a36a4bd707dfb15c9d")</f>
        <v>0x7ffea540dc7db3355b08a4a36a4bd707dfb15c9d</v>
      </c>
      <c r="J4400" s="18">
        <v>7.2821154687551095</v>
      </c>
      <c r="K4400" s="4">
        <v>91.02644335943887</v>
      </c>
      <c r="L4400" s="19">
        <v>9.102644335943886E19</v>
      </c>
      <c r="M4400" s="20">
        <v>9.102644335943887E18</v>
      </c>
    </row>
    <row r="4401">
      <c r="A4401" s="6"/>
      <c r="B4401" s="6"/>
      <c r="C4401" s="4"/>
      <c r="D4401" s="4">
        <v>48.3641275995966</v>
      </c>
      <c r="E4401" s="4" t="s">
        <v>704</v>
      </c>
      <c r="F4401" s="4"/>
      <c r="G4401" s="4"/>
      <c r="H4401" s="4"/>
      <c r="I4401" s="4" t="str">
        <f>IFERROR(__xludf.DUMMYFUNCTION("""COMPUTED_VALUE"""),"0x54a220d53a7468e44f62d5f3610fa3db1d684f6b")</f>
        <v>0x54a220d53a7468e44f62d5f3610fa3db1d684f6b</v>
      </c>
      <c r="J4401" s="18">
        <v>9.672825519919328</v>
      </c>
      <c r="K4401" s="4">
        <v>120.9103189989916</v>
      </c>
      <c r="L4401" s="19">
        <v>1.209103189989916E20</v>
      </c>
      <c r="M4401" s="20">
        <v>1.209103189989916E19</v>
      </c>
    </row>
    <row r="4402">
      <c r="A4402" s="6"/>
      <c r="B4402" s="6"/>
      <c r="C4402" s="4"/>
      <c r="D4402" s="4">
        <v>48.3641275995966</v>
      </c>
      <c r="E4402" s="4" t="s">
        <v>6589</v>
      </c>
      <c r="F4402" s="4"/>
      <c r="G4402" s="4"/>
      <c r="H4402" s="4"/>
      <c r="I4402" s="4" t="str">
        <f>IFERROR(__xludf.DUMMYFUNCTION("""COMPUTED_VALUE"""),"0x175131ef5d91f64a73b5af59213275e12f466061")</f>
        <v>0x175131ef5d91f64a73b5af59213275e12f466061</v>
      </c>
      <c r="J4402" s="18">
        <v>6.26722965341625</v>
      </c>
      <c r="K4402" s="4">
        <v>78.34037066770313</v>
      </c>
      <c r="L4402" s="19">
        <v>7.834037066770312E19</v>
      </c>
      <c r="M4402" s="20">
        <v>7.834037066770313E18</v>
      </c>
    </row>
    <row r="4403">
      <c r="A4403" s="6"/>
      <c r="B4403" s="6"/>
      <c r="C4403" s="4"/>
      <c r="D4403" s="4">
        <v>46.9557173592531</v>
      </c>
      <c r="E4403" s="4" t="s">
        <v>6590</v>
      </c>
      <c r="F4403" s="4"/>
      <c r="G4403" s="4"/>
      <c r="H4403" s="4"/>
      <c r="I4403" s="4" t="str">
        <f>IFERROR(__xludf.DUMMYFUNCTION("""COMPUTED_VALUE"""),"0x18da151be0e039e784255889760ce19d2ec58a92")</f>
        <v>0x18da151be0e039e784255889760ce19d2ec58a92</v>
      </c>
      <c r="J4403" s="18">
        <v>48.3641275995966</v>
      </c>
      <c r="K4403" s="4">
        <v>604.5515949949574</v>
      </c>
      <c r="L4403" s="19">
        <v>6.045515949949574E20</v>
      </c>
      <c r="M4403" s="20">
        <v>6.045515949949574E19</v>
      </c>
    </row>
    <row r="4404">
      <c r="A4404" s="6"/>
      <c r="B4404" s="6"/>
      <c r="C4404" s="4"/>
      <c r="D4404" s="4">
        <v>48.3641275995966</v>
      </c>
      <c r="E4404" s="4" t="s">
        <v>6592</v>
      </c>
      <c r="F4404" s="4"/>
      <c r="G4404" s="4"/>
      <c r="H4404" s="4"/>
      <c r="I4404" s="4" t="str">
        <f>IFERROR(__xludf.DUMMYFUNCTION("""COMPUTED_VALUE"""),"0xde52efa1cfb4fed895ada709aea5cc18ae046b0f")</f>
        <v>0xde52efa1cfb4fed895ada709aea5cc18ae046b0f</v>
      </c>
      <c r="J4404" s="18">
        <v>81.25629793147431</v>
      </c>
      <c r="K4404" s="4">
        <v>1015.7037241434289</v>
      </c>
      <c r="L4404" s="19">
        <v>1.0157037241434289E21</v>
      </c>
      <c r="M4404" s="20">
        <v>1.0157037241434289E20</v>
      </c>
    </row>
    <row r="4405">
      <c r="A4405" s="6"/>
      <c r="B4405" s="6"/>
      <c r="C4405" s="4"/>
      <c r="D4405" s="4">
        <v>8.63113026007147</v>
      </c>
      <c r="E4405" s="4" t="s">
        <v>6593</v>
      </c>
      <c r="F4405" s="4"/>
      <c r="G4405" s="4"/>
      <c r="H4405" s="4"/>
      <c r="I4405" s="4" t="str">
        <f>IFERROR(__xludf.DUMMYFUNCTION("""COMPUTED_VALUE"""),"0x12dfe01d98c1b6de8d4e2bea5d0ac98dd3c495fa")</f>
        <v>0x12dfe01d98c1b6de8d4e2bea5d0ac98dd3c495fa</v>
      </c>
      <c r="J4405" s="18">
        <v>1.34412176000392</v>
      </c>
      <c r="K4405" s="4">
        <v>16.801522000048998</v>
      </c>
      <c r="L4405" s="19">
        <v>1.6801522000048998E19</v>
      </c>
      <c r="M4405" s="20">
        <v>1.6801522000048998E18</v>
      </c>
    </row>
    <row r="4406">
      <c r="A4406" s="6"/>
      <c r="B4406" s="6"/>
      <c r="C4406" s="4"/>
      <c r="D4406" s="4">
        <v>23.1220222163399</v>
      </c>
      <c r="E4406" s="4" t="s">
        <v>846</v>
      </c>
      <c r="F4406" s="4"/>
      <c r="G4406" s="4"/>
      <c r="H4406" s="4"/>
      <c r="I4406" s="4" t="str">
        <f>IFERROR(__xludf.DUMMYFUNCTION("""COMPUTED_VALUE"""),"0x4e7f6bffae501815f73bb0611a5debef0cbd992a")</f>
        <v>0x4e7f6bffae501815f73bb0611a5debef0cbd992a</v>
      </c>
      <c r="J4406" s="18">
        <v>80.5441967154942</v>
      </c>
      <c r="K4406" s="4">
        <v>1006.8024589436774</v>
      </c>
      <c r="L4406" s="19">
        <v>1.0068024589436774E21</v>
      </c>
      <c r="M4406" s="20">
        <v>1.0068024589436774E20</v>
      </c>
    </row>
    <row r="4407">
      <c r="A4407" s="6"/>
      <c r="B4407" s="6"/>
      <c r="C4407" s="4"/>
      <c r="D4407" s="4">
        <v>0.891699445363269</v>
      </c>
      <c r="E4407" s="4" t="s">
        <v>6596</v>
      </c>
      <c r="F4407" s="4"/>
      <c r="G4407" s="4"/>
      <c r="H4407" s="4"/>
      <c r="I4407" s="4" t="str">
        <f>IFERROR(__xludf.DUMMYFUNCTION("""COMPUTED_VALUE"""),"0x92fe11f6fbb7436edcc7db7051dbd81905b7988a")</f>
        <v>0x92fe11f6fbb7436edcc7db7051dbd81905b7988a</v>
      </c>
      <c r="J4407" s="18">
        <v>9.672825519919328</v>
      </c>
      <c r="K4407" s="4">
        <v>120.9103189989916</v>
      </c>
      <c r="L4407" s="19">
        <v>1.209103189989916E20</v>
      </c>
      <c r="M4407" s="20">
        <v>1.209103189989916E19</v>
      </c>
    </row>
    <row r="4408">
      <c r="A4408" s="6"/>
      <c r="B4408" s="6"/>
      <c r="C4408" s="4"/>
      <c r="D4408" s="4">
        <v>26.126666023980498</v>
      </c>
      <c r="E4408" s="4" t="s">
        <v>6598</v>
      </c>
      <c r="F4408" s="4"/>
      <c r="G4408" s="4"/>
      <c r="H4408" s="4"/>
      <c r="I4408" s="4" t="str">
        <f>IFERROR(__xludf.DUMMYFUNCTION("""COMPUTED_VALUE"""),"0x061dbd000be1c0b64969eeda3041dff220d576f5")</f>
        <v>0x061dbd000be1c0b64969eeda3041dff220d576f5</v>
      </c>
      <c r="J4408" s="18">
        <v>111.53702103701761</v>
      </c>
      <c r="K4408" s="4">
        <v>1394.21276296272</v>
      </c>
      <c r="L4408" s="19">
        <v>1.39421276296272E21</v>
      </c>
      <c r="M4408" s="20">
        <v>1.39421276296272E20</v>
      </c>
    </row>
    <row r="4409">
      <c r="A4409" s="6"/>
      <c r="B4409" s="6"/>
      <c r="C4409" s="4"/>
      <c r="D4409" s="4">
        <v>20.5036518061891</v>
      </c>
      <c r="E4409" s="4" t="s">
        <v>6600</v>
      </c>
      <c r="F4409" s="4"/>
      <c r="G4409" s="4"/>
      <c r="H4409" s="4"/>
      <c r="I4409" s="4" t="str">
        <f>IFERROR(__xludf.DUMMYFUNCTION("""COMPUTED_VALUE"""),"0x9bd31d0f9615dde0d1906c1d613cd44101c3aa1c")</f>
        <v>0x9bd31d0f9615dde0d1906c1d613cd44101c3aa1c</v>
      </c>
      <c r="J4409" s="18">
        <v>9.822349405198121</v>
      </c>
      <c r="K4409" s="4">
        <v>122.77936756497651</v>
      </c>
      <c r="L4409" s="19">
        <v>1.227793675649765E20</v>
      </c>
      <c r="M4409" s="20">
        <v>1.2277936756497652E19</v>
      </c>
    </row>
    <row r="4410">
      <c r="A4410" s="6"/>
      <c r="B4410" s="6"/>
      <c r="C4410" s="4"/>
      <c r="D4410" s="4">
        <v>5.6210249254197695</v>
      </c>
      <c r="E4410" s="4" t="s">
        <v>6602</v>
      </c>
      <c r="F4410" s="4"/>
      <c r="G4410" s="4"/>
      <c r="H4410" s="4"/>
      <c r="I4410" s="4" t="str">
        <f>IFERROR(__xludf.DUMMYFUNCTION("""COMPUTED_VALUE"""),"0xee3524f3866e775c52337b0631efb0a1a7ff3acb")</f>
        <v>0xee3524f3866e775c52337b0631efb0a1a7ff3acb</v>
      </c>
      <c r="J4410" s="18">
        <v>48.3641275995966</v>
      </c>
      <c r="K4410" s="4">
        <v>604.5515949949574</v>
      </c>
      <c r="L4410" s="19">
        <v>6.045515949949574E20</v>
      </c>
      <c r="M4410" s="20">
        <v>6.045515949949574E19</v>
      </c>
    </row>
    <row r="4411">
      <c r="A4411" s="6"/>
      <c r="B4411" s="6"/>
      <c r="C4411" s="4"/>
      <c r="D4411" s="4">
        <v>48.3641275995966</v>
      </c>
      <c r="E4411" s="4" t="s">
        <v>1642</v>
      </c>
      <c r="F4411" s="4"/>
      <c r="G4411" s="4"/>
      <c r="H4411" s="4"/>
      <c r="I4411" s="4" t="str">
        <f>IFERROR(__xludf.DUMMYFUNCTION("""COMPUTED_VALUE"""),"0x8bf0e7dd8565e371a83347857f2b42da9c2091f8")</f>
        <v>0x8bf0e7dd8565e371a83347857f2b42da9c2091f8</v>
      </c>
      <c r="J4411" s="18">
        <v>38.8745463233552</v>
      </c>
      <c r="K4411" s="4">
        <v>485.93182904194</v>
      </c>
      <c r="L4411" s="19">
        <v>4.8593182904194E20</v>
      </c>
      <c r="M4411" s="20">
        <v>4.859318290419401E19</v>
      </c>
    </row>
    <row r="4412">
      <c r="A4412" s="6"/>
      <c r="B4412" s="6"/>
      <c r="C4412" s="4"/>
      <c r="D4412" s="4">
        <v>47.1384269862636</v>
      </c>
      <c r="E4412" s="4" t="s">
        <v>6604</v>
      </c>
      <c r="F4412" s="4"/>
      <c r="G4412" s="4"/>
      <c r="H4412" s="4"/>
      <c r="I4412" s="4" t="str">
        <f>IFERROR(__xludf.DUMMYFUNCTION("""COMPUTED_VALUE"""),"0xe74700791bf5f3e26b329c4f9f327ce43abb5ce3")</f>
        <v>0xe74700791bf5f3e26b329c4f9f327ce43abb5ce3</v>
      </c>
      <c r="J4412" s="18">
        <v>9.69720163123916</v>
      </c>
      <c r="K4412" s="4">
        <v>121.2150203904895</v>
      </c>
      <c r="L4412" s="19">
        <v>1.212150203904895E20</v>
      </c>
      <c r="M4412" s="20">
        <v>1.2121502039048952E19</v>
      </c>
    </row>
    <row r="4413">
      <c r="A4413" s="6"/>
      <c r="B4413" s="6"/>
      <c r="C4413" s="4"/>
      <c r="D4413" s="4">
        <v>2.92595267540808</v>
      </c>
      <c r="E4413" s="4" t="s">
        <v>6606</v>
      </c>
      <c r="F4413" s="4"/>
      <c r="G4413" s="4"/>
      <c r="H4413" s="4"/>
      <c r="I4413" s="4" t="str">
        <f>IFERROR(__xludf.DUMMYFUNCTION("""COMPUTED_VALUE"""),"0xdc9e90ec58c931a722b1709a085bf12b42cea9e9")</f>
        <v>0xdc9e90ec58c931a722b1709a085bf12b42cea9e9</v>
      </c>
      <c r="J4413" s="18">
        <v>132.06963949732608</v>
      </c>
      <c r="K4413" s="4">
        <v>1650.870493716576</v>
      </c>
      <c r="L4413" s="19">
        <v>1.650870493716576E21</v>
      </c>
      <c r="M4413" s="20">
        <v>1.650870493716576E20</v>
      </c>
    </row>
    <row r="4414">
      <c r="A4414" s="6"/>
      <c r="B4414" s="6"/>
      <c r="C4414" s="4"/>
      <c r="D4414" s="4">
        <v>48.3641275995966</v>
      </c>
      <c r="E4414" s="4" t="s">
        <v>6608</v>
      </c>
      <c r="F4414" s="4"/>
      <c r="G4414" s="4"/>
      <c r="H4414" s="4"/>
      <c r="I4414" s="4" t="str">
        <f>IFERROR(__xludf.DUMMYFUNCTION("""COMPUTED_VALUE"""),"0x543255f8c4b7759807c48b739ff9db8cfd7f779b")</f>
        <v>0x543255f8c4b7759807c48b739ff9db8cfd7f779b</v>
      </c>
      <c r="J4414" s="18">
        <v>48.3641275995966</v>
      </c>
      <c r="K4414" s="4">
        <v>604.5515949949574</v>
      </c>
      <c r="L4414" s="19">
        <v>6.045515949949574E20</v>
      </c>
      <c r="M4414" s="20">
        <v>6.045515949949574E19</v>
      </c>
    </row>
    <row r="4415">
      <c r="A4415" s="6"/>
      <c r="B4415" s="6"/>
      <c r="C4415" s="4"/>
      <c r="D4415" s="4">
        <v>9.672825519919328</v>
      </c>
      <c r="E4415" s="4" t="s">
        <v>6609</v>
      </c>
      <c r="F4415" s="4"/>
      <c r="G4415" s="4"/>
      <c r="H4415" s="4"/>
      <c r="I4415" s="4" t="str">
        <f>IFERROR(__xludf.DUMMYFUNCTION("""COMPUTED_VALUE"""),"0xb7310833027e677cc8a1a164437fcf1c0e42dec0")</f>
        <v>0xb7310833027e677cc8a1a164437fcf1c0e42dec0</v>
      </c>
      <c r="J4415" s="18">
        <v>113.4683136722219</v>
      </c>
      <c r="K4415" s="4">
        <v>1418.3539209027738</v>
      </c>
      <c r="L4415" s="19">
        <v>1.4183539209027739E21</v>
      </c>
      <c r="M4415" s="20">
        <v>1.418353920902774E20</v>
      </c>
    </row>
    <row r="4416">
      <c r="A4416" s="6"/>
      <c r="B4416" s="6"/>
      <c r="C4416" s="4"/>
      <c r="D4416" s="4">
        <v>48.3641275995966</v>
      </c>
      <c r="E4416" s="4" t="s">
        <v>6610</v>
      </c>
      <c r="F4416" s="4"/>
      <c r="G4416" s="4"/>
      <c r="H4416" s="4"/>
      <c r="I4416" s="4" t="str">
        <f>IFERROR(__xludf.DUMMYFUNCTION("""COMPUTED_VALUE"""),"0x2dee1dab6976e1a05e144c02c535498e7f3ddbdc")</f>
        <v>0x2dee1dab6976e1a05e144c02c535498e7f3ddbdc</v>
      </c>
      <c r="J4416" s="18">
        <v>66.22599211237021</v>
      </c>
      <c r="K4416" s="4">
        <v>827.8249014046276</v>
      </c>
      <c r="L4416" s="19">
        <v>8.278249014046276E20</v>
      </c>
      <c r="M4416" s="20">
        <v>8.278249014046276E19</v>
      </c>
    </row>
    <row r="4417">
      <c r="A4417" s="6"/>
      <c r="B4417" s="6"/>
      <c r="C4417" s="4"/>
      <c r="D4417" s="4">
        <v>48.3641275995966</v>
      </c>
      <c r="E4417" s="4" t="s">
        <v>1220</v>
      </c>
      <c r="F4417" s="4"/>
      <c r="G4417" s="4"/>
      <c r="H4417" s="4"/>
      <c r="I4417" s="4" t="str">
        <f>IFERROR(__xludf.DUMMYFUNCTION("""COMPUTED_VALUE"""),"0x1b432f91d4eeb46fdb501e39aef0053f1b6c8e73")</f>
        <v>0x1b432f91d4eeb46fdb501e39aef0053f1b6c8e73</v>
      </c>
      <c r="J4417" s="18">
        <v>27.2786260449833</v>
      </c>
      <c r="K4417" s="4">
        <v>340.9828255622913</v>
      </c>
      <c r="L4417" s="19">
        <v>3.409828255622913E20</v>
      </c>
      <c r="M4417" s="20">
        <v>3.4098282556229132E19</v>
      </c>
    </row>
    <row r="4418">
      <c r="A4418" s="6"/>
      <c r="B4418" s="6"/>
      <c r="C4418" s="4"/>
      <c r="D4418" s="4">
        <v>9.672825519919328</v>
      </c>
      <c r="E4418" s="4" t="s">
        <v>6611</v>
      </c>
      <c r="F4418" s="4"/>
      <c r="G4418" s="4"/>
      <c r="H4418" s="4"/>
      <c r="I4418" s="4" t="str">
        <f>IFERROR(__xludf.DUMMYFUNCTION("""COMPUTED_VALUE"""),"0xf0c9e3c459f66ae7635b1c7489baeaaf459362a9")</f>
        <v>0xf0c9e3c459f66ae7635b1c7489baeaaf459362a9</v>
      </c>
      <c r="J4418" s="18">
        <v>113.6162409089274</v>
      </c>
      <c r="K4418" s="4">
        <v>1420.2030113615924</v>
      </c>
      <c r="L4418" s="19">
        <v>1.4202030113615923E21</v>
      </c>
      <c r="M4418" s="20">
        <v>1.4202030113615924E20</v>
      </c>
    </row>
    <row r="4419">
      <c r="A4419" s="6"/>
      <c r="B4419" s="6"/>
      <c r="C4419" s="4"/>
      <c r="D4419" s="4">
        <v>48.3641275995966</v>
      </c>
      <c r="E4419" s="4" t="s">
        <v>1773</v>
      </c>
      <c r="F4419" s="4"/>
      <c r="G4419" s="4"/>
      <c r="H4419" s="4"/>
      <c r="I4419" s="4" t="str">
        <f>IFERROR(__xludf.DUMMYFUNCTION("""COMPUTED_VALUE"""),"0xbd34eb4500e3b1c8877e7747aa643ad42dc19a50")</f>
        <v>0xbd34eb4500e3b1c8877e7747aa643ad42dc19a50</v>
      </c>
      <c r="J4419" s="18">
        <v>8.08696542176043</v>
      </c>
      <c r="K4419" s="4">
        <v>101.08706777200538</v>
      </c>
      <c r="L4419" s="19">
        <v>1.0108706777200538E20</v>
      </c>
      <c r="M4419" s="20">
        <v>1.010870677720054E19</v>
      </c>
    </row>
    <row r="4420">
      <c r="A4420" s="6"/>
      <c r="B4420" s="6"/>
      <c r="C4420" s="4"/>
      <c r="D4420" s="4">
        <v>6.18726419611278</v>
      </c>
      <c r="E4420" s="4" t="s">
        <v>6612</v>
      </c>
      <c r="F4420" s="4"/>
      <c r="G4420" s="4"/>
      <c r="H4420" s="4"/>
      <c r="I4420" s="4" t="str">
        <f>IFERROR(__xludf.DUMMYFUNCTION("""COMPUTED_VALUE"""),"0x2b40cf67d1a6445f19aa438a96cdaac13e5cece7")</f>
        <v>0x2b40cf67d1a6445f19aa438a96cdaac13e5cece7</v>
      </c>
      <c r="J4420" s="18">
        <v>48.3641275995966</v>
      </c>
      <c r="K4420" s="4">
        <v>604.5515949949574</v>
      </c>
      <c r="L4420" s="19">
        <v>6.045515949949574E20</v>
      </c>
      <c r="M4420" s="20">
        <v>6.045515949949574E19</v>
      </c>
    </row>
    <row r="4421">
      <c r="A4421" s="6"/>
      <c r="B4421" s="6"/>
      <c r="C4421" s="4"/>
      <c r="D4421" s="4">
        <v>16.2362895053673</v>
      </c>
      <c r="E4421" s="4" t="s">
        <v>6614</v>
      </c>
      <c r="F4421" s="4"/>
      <c r="G4421" s="4"/>
      <c r="H4421" s="4"/>
      <c r="I4421" s="4" t="str">
        <f>IFERROR(__xludf.DUMMYFUNCTION("""COMPUTED_VALUE"""),"0xe87cf54e10ecdceba051802eabaae60126e954a6")</f>
        <v>0xe87cf54e10ecdceba051802eabaae60126e954a6</v>
      </c>
      <c r="J4421" s="18">
        <v>46.1221879286455</v>
      </c>
      <c r="K4421" s="4">
        <v>576.5273491080687</v>
      </c>
      <c r="L4421" s="19">
        <v>5.765273491080687E20</v>
      </c>
      <c r="M4421" s="20">
        <v>5.765273491080688E19</v>
      </c>
    </row>
    <row r="4422">
      <c r="A4422" s="6"/>
      <c r="B4422" s="6"/>
      <c r="C4422" s="4"/>
      <c r="D4422" s="4">
        <v>48.3641275995966</v>
      </c>
      <c r="E4422" s="4" t="s">
        <v>6616</v>
      </c>
      <c r="F4422" s="4"/>
      <c r="G4422" s="4"/>
      <c r="H4422" s="4"/>
      <c r="I4422" s="4" t="str">
        <f>IFERROR(__xludf.DUMMYFUNCTION("""COMPUTED_VALUE"""),"0x518859845df3bda60d2f92f4ef683b9505d2d17e")</f>
        <v>0x518859845df3bda60d2f92f4ef683b9505d2d17e</v>
      </c>
      <c r="J4422" s="18">
        <v>8.98286840056583</v>
      </c>
      <c r="K4422" s="4">
        <v>112.28585500707287</v>
      </c>
      <c r="L4422" s="19">
        <v>1.1228585500707286E20</v>
      </c>
      <c r="M4422" s="20">
        <v>1.1228585500707287E19</v>
      </c>
    </row>
    <row r="4423">
      <c r="A4423" s="6"/>
      <c r="B4423" s="6"/>
      <c r="C4423" s="4"/>
      <c r="D4423" s="4">
        <v>48.3641275995966</v>
      </c>
      <c r="E4423" s="4" t="s">
        <v>6617</v>
      </c>
      <c r="F4423" s="4"/>
      <c r="G4423" s="4"/>
      <c r="H4423" s="4"/>
      <c r="I4423" s="4" t="str">
        <f>IFERROR(__xludf.DUMMYFUNCTION("""COMPUTED_VALUE"""),"0x25d23adda21869df8853cff31fb221f0680dfbba")</f>
        <v>0x25d23adda21869df8853cff31fb221f0680dfbba</v>
      </c>
      <c r="J4423" s="18">
        <v>9.577970604847069</v>
      </c>
      <c r="K4423" s="4">
        <v>119.72463256058836</v>
      </c>
      <c r="L4423" s="19">
        <v>1.1972463256058836E20</v>
      </c>
      <c r="M4423" s="20">
        <v>1.1972463256058837E19</v>
      </c>
    </row>
    <row r="4424">
      <c r="A4424" s="6"/>
      <c r="B4424" s="6"/>
      <c r="C4424" s="4"/>
      <c r="D4424" s="4">
        <v>9.672825519919328</v>
      </c>
      <c r="E4424" s="4" t="s">
        <v>6618</v>
      </c>
      <c r="F4424" s="4"/>
      <c r="G4424" s="4"/>
      <c r="H4424" s="4"/>
      <c r="I4424" s="4" t="str">
        <f>IFERROR(__xludf.DUMMYFUNCTION("""COMPUTED_VALUE"""),"0xba05481bf27daae231ffb967fb8fa2dd516d98f8")</f>
        <v>0xba05481bf27daae231ffb967fb8fa2dd516d98f8</v>
      </c>
      <c r="J4424" s="18">
        <v>19.3456510398386</v>
      </c>
      <c r="K4424" s="4">
        <v>241.8206379979825</v>
      </c>
      <c r="L4424" s="19">
        <v>2.4182063799798248E20</v>
      </c>
      <c r="M4424" s="20">
        <v>2.418206379979825E19</v>
      </c>
    </row>
    <row r="4425">
      <c r="A4425" s="6"/>
      <c r="B4425" s="6"/>
      <c r="C4425" s="4"/>
      <c r="D4425" s="4">
        <v>33.3978809161918</v>
      </c>
      <c r="E4425" s="4" t="s">
        <v>6619</v>
      </c>
      <c r="F4425" s="4"/>
      <c r="G4425" s="4"/>
      <c r="H4425" s="4"/>
      <c r="I4425" s="4" t="str">
        <f>IFERROR(__xludf.DUMMYFUNCTION("""COMPUTED_VALUE"""),"0xb91ac8933f8941b35186e2516e9faa95caf5f325")</f>
        <v>0xb91ac8933f8941b35186e2516e9faa95caf5f325</v>
      </c>
      <c r="J4425" s="18">
        <v>34.2234259932327</v>
      </c>
      <c r="K4425" s="4">
        <v>427.79282491540874</v>
      </c>
      <c r="L4425" s="19">
        <v>4.277928249154087E20</v>
      </c>
      <c r="M4425" s="20">
        <v>4.277928249154087E19</v>
      </c>
    </row>
    <row r="4426">
      <c r="A4426" s="6"/>
      <c r="B4426" s="6"/>
      <c r="C4426" s="4"/>
      <c r="D4426" s="4">
        <v>9.672825519919328</v>
      </c>
      <c r="E4426" s="4" t="s">
        <v>6621</v>
      </c>
      <c r="F4426" s="4"/>
      <c r="G4426" s="4"/>
      <c r="H4426" s="4"/>
      <c r="I4426" s="4" t="str">
        <f>IFERROR(__xludf.DUMMYFUNCTION("""COMPUTED_VALUE"""),"0x47656d68b4257f21330c9c0e6116b8b178dea910")</f>
        <v>0x47656d68b4257f21330c9c0e6116b8b178dea910</v>
      </c>
      <c r="J4426" s="18">
        <v>19.3456510398386</v>
      </c>
      <c r="K4426" s="4">
        <v>241.8206379979825</v>
      </c>
      <c r="L4426" s="19">
        <v>2.4182063799798248E20</v>
      </c>
      <c r="M4426" s="20">
        <v>2.418206379979825E19</v>
      </c>
    </row>
    <row r="4427">
      <c r="A4427" s="6"/>
      <c r="B4427" s="6"/>
      <c r="C4427" s="4"/>
      <c r="D4427" s="4">
        <v>48.3641275995966</v>
      </c>
      <c r="E4427" s="4" t="s">
        <v>594</v>
      </c>
      <c r="F4427" s="4"/>
      <c r="G4427" s="4"/>
      <c r="H4427" s="4"/>
      <c r="I4427" s="4" t="str">
        <f>IFERROR(__xludf.DUMMYFUNCTION("""COMPUTED_VALUE"""),"0x9bcc3400a3a8d9db9f601e2a65e43042f6ad8ba5")</f>
        <v>0x9bcc3400a3a8d9db9f601e2a65e43042f6ad8ba5</v>
      </c>
      <c r="J4427" s="18">
        <v>50.13974643903474</v>
      </c>
      <c r="K4427" s="4">
        <v>626.7468304879342</v>
      </c>
      <c r="L4427" s="19">
        <v>6.267468304879342E20</v>
      </c>
      <c r="M4427" s="20">
        <v>6.267468304879342E19</v>
      </c>
    </row>
    <row r="4428">
      <c r="A4428" s="6"/>
      <c r="B4428" s="6"/>
      <c r="C4428" s="4"/>
      <c r="D4428" s="4">
        <v>48.3641275995966</v>
      </c>
      <c r="E4428" s="4" t="s">
        <v>6622</v>
      </c>
      <c r="F4428" s="4"/>
      <c r="G4428" s="4"/>
      <c r="H4428" s="4"/>
      <c r="I4428" s="4" t="str">
        <f>IFERROR(__xludf.DUMMYFUNCTION("""COMPUTED_VALUE"""),"0xae62730868e82c2e8a7757cc33671773a2814c23")</f>
        <v>0xae62730868e82c2e8a7757cc33671773a2814c23</v>
      </c>
      <c r="J4428" s="18">
        <v>57.66472560997164</v>
      </c>
      <c r="K4428" s="4">
        <v>720.8090701246455</v>
      </c>
      <c r="L4428" s="19">
        <v>7.208090701246455E20</v>
      </c>
      <c r="M4428" s="20">
        <v>7.208090701246455E19</v>
      </c>
    </row>
    <row r="4429">
      <c r="A4429" s="6"/>
      <c r="B4429" s="6"/>
      <c r="C4429" s="4"/>
      <c r="D4429" s="4">
        <v>5.888076226162791</v>
      </c>
      <c r="E4429" s="4" t="s">
        <v>6623</v>
      </c>
      <c r="F4429" s="4"/>
      <c r="G4429" s="4"/>
      <c r="H4429" s="4"/>
      <c r="I4429" s="4" t="str">
        <f>IFERROR(__xludf.DUMMYFUNCTION("""COMPUTED_VALUE"""),"0xa0f02c4269e4ed1c0fb587bb25f7c3a424494dd0")</f>
        <v>0xa0f02c4269e4ed1c0fb587bb25f7c3a424494dd0</v>
      </c>
      <c r="J4429" s="18">
        <v>234.37608780709658</v>
      </c>
      <c r="K4429" s="4">
        <v>2929.7010975887074</v>
      </c>
      <c r="L4429" s="19">
        <v>2.9297010975887076E21</v>
      </c>
      <c r="M4429" s="20">
        <v>2.9297010975887078E20</v>
      </c>
    </row>
    <row r="4430">
      <c r="A4430" s="6"/>
      <c r="B4430" s="6"/>
      <c r="C4430" s="4"/>
      <c r="D4430" s="4">
        <v>48.3641275995966</v>
      </c>
      <c r="E4430" s="4" t="s">
        <v>6625</v>
      </c>
      <c r="F4430" s="4"/>
      <c r="G4430" s="4"/>
      <c r="H4430" s="4"/>
      <c r="I4430" s="4" t="str">
        <f>IFERROR(__xludf.DUMMYFUNCTION("""COMPUTED_VALUE"""),"0x5a4171af67186ae8e641d92b82fe33852d52d68a")</f>
        <v>0x5a4171af67186ae8e641d92b82fe33852d52d68a</v>
      </c>
      <c r="J4430" s="18">
        <v>67.0478236994394</v>
      </c>
      <c r="K4430" s="4">
        <v>838.0977962429926</v>
      </c>
      <c r="L4430" s="19">
        <v>8.380977962429925E20</v>
      </c>
      <c r="M4430" s="20">
        <v>8.380977962429925E19</v>
      </c>
    </row>
    <row r="4431">
      <c r="A4431" s="6"/>
      <c r="B4431" s="6"/>
      <c r="C4431" s="4"/>
      <c r="D4431" s="4">
        <v>48.3641275995966</v>
      </c>
      <c r="E4431" s="4" t="s">
        <v>6626</v>
      </c>
      <c r="F4431" s="4"/>
      <c r="G4431" s="4"/>
      <c r="H4431" s="4"/>
      <c r="I4431" s="4" t="str">
        <f>IFERROR(__xludf.DUMMYFUNCTION("""COMPUTED_VALUE"""),"0x016934061e87623883d91b90fc24daebd6c781c3")</f>
        <v>0x016934061e87623883d91b90fc24daebd6c781c3</v>
      </c>
      <c r="J4431" s="18">
        <v>48.3641275995966</v>
      </c>
      <c r="K4431" s="4">
        <v>604.5515949949574</v>
      </c>
      <c r="L4431" s="19">
        <v>6.045515949949574E20</v>
      </c>
      <c r="M4431" s="20">
        <v>6.045515949949574E19</v>
      </c>
    </row>
    <row r="4432">
      <c r="A4432" s="6"/>
      <c r="B4432" s="6"/>
      <c r="C4432" s="4"/>
      <c r="D4432" s="4">
        <v>39.843648072815505</v>
      </c>
      <c r="E4432" s="4" t="s">
        <v>6627</v>
      </c>
      <c r="F4432" s="4"/>
      <c r="G4432" s="4"/>
      <c r="H4432" s="4"/>
      <c r="I4432" s="4" t="str">
        <f>IFERROR(__xludf.DUMMYFUNCTION("""COMPUTED_VALUE"""),"0x6188b363e06e7206d88ac654f9e158020826e080")</f>
        <v>0x6188b363e06e7206d88ac654f9e158020826e080</v>
      </c>
      <c r="J4432" s="18">
        <v>4.908512642546611</v>
      </c>
      <c r="K4432" s="4">
        <v>61.35640803183263</v>
      </c>
      <c r="L4432" s="19">
        <v>6.135640803183263E19</v>
      </c>
      <c r="M4432" s="20">
        <v>6.135640803183264E18</v>
      </c>
    </row>
    <row r="4433">
      <c r="A4433" s="6"/>
      <c r="B4433" s="6"/>
      <c r="C4433" s="4"/>
      <c r="D4433" s="4">
        <v>7.11977935711959</v>
      </c>
      <c r="E4433" s="4" t="s">
        <v>6629</v>
      </c>
      <c r="F4433" s="4"/>
      <c r="G4433" s="4"/>
      <c r="H4433" s="4"/>
      <c r="I4433" s="4" t="str">
        <f>IFERROR(__xludf.DUMMYFUNCTION("""COMPUTED_VALUE"""),"0x372a16e8c538666e333d33a6d5cdaa0d76a4057e")</f>
        <v>0x372a16e8c538666e333d33a6d5cdaa0d76a4057e</v>
      </c>
      <c r="J4433" s="18">
        <v>150.6707057137216</v>
      </c>
      <c r="K4433" s="4">
        <v>1883.3838214215198</v>
      </c>
      <c r="L4433" s="19">
        <v>1.8833838214215198E21</v>
      </c>
      <c r="M4433" s="20">
        <v>1.8833838214215198E20</v>
      </c>
    </row>
    <row r="4434">
      <c r="A4434" s="6"/>
      <c r="B4434" s="6"/>
      <c r="C4434" s="4"/>
      <c r="D4434" s="4">
        <v>8.388813083499201</v>
      </c>
      <c r="E4434" s="4" t="s">
        <v>6631</v>
      </c>
      <c r="F4434" s="4"/>
      <c r="G4434" s="4"/>
      <c r="H4434" s="4"/>
      <c r="I4434" s="4" t="str">
        <f>IFERROR(__xludf.DUMMYFUNCTION("""COMPUTED_VALUE"""),"0x6413b224b20c4f34586f855c53427d146d265d7c")</f>
        <v>0x6413b224b20c4f34586f855c53427d146d265d7c</v>
      </c>
      <c r="J4434" s="18">
        <v>7.23209632386922</v>
      </c>
      <c r="K4434" s="4">
        <v>90.40120404836524</v>
      </c>
      <c r="L4434" s="19">
        <v>9.040120404836524E19</v>
      </c>
      <c r="M4434" s="20">
        <v>9.040120404836524E18</v>
      </c>
    </row>
    <row r="4435">
      <c r="A4435" s="6"/>
      <c r="B4435" s="6"/>
      <c r="C4435" s="4"/>
      <c r="D4435" s="4">
        <v>8.59880610310644</v>
      </c>
      <c r="E4435" s="4" t="s">
        <v>6633</v>
      </c>
      <c r="F4435" s="4"/>
      <c r="G4435" s="4"/>
      <c r="H4435" s="4"/>
      <c r="I4435" s="4" t="str">
        <f>IFERROR(__xludf.DUMMYFUNCTION("""COMPUTED_VALUE"""),"0x84e2348a2f02c91df86104e67a8b2741ce4d0cc1")</f>
        <v>0x84e2348a2f02c91df86104e67a8b2741ce4d0cc1</v>
      </c>
      <c r="J4435" s="18">
        <v>37.2675921959059</v>
      </c>
      <c r="K4435" s="4">
        <v>465.84490244882375</v>
      </c>
      <c r="L4435" s="19">
        <v>4.658449024488237E20</v>
      </c>
      <c r="M4435" s="20">
        <v>4.6584490244882375E19</v>
      </c>
    </row>
    <row r="4436">
      <c r="A4436" s="6"/>
      <c r="B4436" s="6"/>
      <c r="C4436" s="4"/>
      <c r="D4436" s="4">
        <v>40.491577512668606</v>
      </c>
      <c r="E4436" s="4" t="s">
        <v>6635</v>
      </c>
      <c r="F4436" s="4"/>
      <c r="G4436" s="4"/>
      <c r="H4436" s="4"/>
      <c r="I4436" s="4" t="str">
        <f>IFERROR(__xludf.DUMMYFUNCTION("""COMPUTED_VALUE"""),"0x7ae7d8fd22c100bba833503c883b50b73e8a41bf")</f>
        <v>0x7ae7d8fd22c100bba833503c883b50b73e8a41bf</v>
      </c>
      <c r="J4436" s="18">
        <v>48.3641275995966</v>
      </c>
      <c r="K4436" s="4">
        <v>604.5515949949574</v>
      </c>
      <c r="L4436" s="19">
        <v>6.045515949949574E20</v>
      </c>
      <c r="M4436" s="20">
        <v>6.045515949949574E19</v>
      </c>
    </row>
    <row r="4437">
      <c r="A4437" s="6"/>
      <c r="B4437" s="6"/>
      <c r="C4437" s="4"/>
      <c r="D4437" s="4">
        <v>48.3641275995966</v>
      </c>
      <c r="E4437" s="4" t="s">
        <v>6637</v>
      </c>
      <c r="F4437" s="4"/>
      <c r="G4437" s="4"/>
      <c r="H4437" s="4"/>
      <c r="I4437" s="4" t="str">
        <f>IFERROR(__xludf.DUMMYFUNCTION("""COMPUTED_VALUE"""),"0x3e130a9a55830c1f454097c5898ae8331e3d9c9d")</f>
        <v>0x3e130a9a55830c1f454097c5898ae8331e3d9c9d</v>
      </c>
      <c r="J4437" s="18">
        <v>19.5550243999471</v>
      </c>
      <c r="K4437" s="4">
        <v>244.43780499933877</v>
      </c>
      <c r="L4437" s="19">
        <v>2.4443780499933875E20</v>
      </c>
      <c r="M4437" s="20">
        <v>2.4443780499933876E19</v>
      </c>
    </row>
    <row r="4438">
      <c r="A4438" s="6"/>
      <c r="B4438" s="6"/>
      <c r="C4438" s="4"/>
      <c r="D4438" s="4">
        <v>45.118758826454695</v>
      </c>
      <c r="E4438" s="4" t="s">
        <v>6638</v>
      </c>
      <c r="F4438" s="4"/>
      <c r="G4438" s="4"/>
      <c r="H4438" s="4"/>
      <c r="I4438" s="4" t="str">
        <f>IFERROR(__xludf.DUMMYFUNCTION("""COMPUTED_VALUE"""),"0xaae49b56454fc94b3fb9fd6c159083165a411639")</f>
        <v>0xaae49b56454fc94b3fb9fd6c159083165a411639</v>
      </c>
      <c r="J4438" s="18">
        <v>9.672825519919328</v>
      </c>
      <c r="K4438" s="4">
        <v>120.9103189989916</v>
      </c>
      <c r="L4438" s="19">
        <v>1.209103189989916E20</v>
      </c>
      <c r="M4438" s="20">
        <v>1.209103189989916E19</v>
      </c>
    </row>
    <row r="4439">
      <c r="A4439" s="6"/>
      <c r="B4439" s="6"/>
      <c r="C4439" s="4"/>
      <c r="D4439" s="4">
        <v>0.31259685408552</v>
      </c>
      <c r="E4439" s="4" t="s">
        <v>6640</v>
      </c>
      <c r="F4439" s="4"/>
      <c r="G4439" s="4"/>
      <c r="H4439" s="4"/>
      <c r="I4439" s="4" t="str">
        <f>IFERROR(__xludf.DUMMYFUNCTION("""COMPUTED_VALUE"""),"0x4be0628702e983f1f568bee3b3374370a15ba245")</f>
        <v>0x4be0628702e983f1f568bee3b3374370a15ba245</v>
      </c>
      <c r="J4439" s="18">
        <v>48.3641275995966</v>
      </c>
      <c r="K4439" s="4">
        <v>604.5515949949574</v>
      </c>
      <c r="L4439" s="19">
        <v>6.045515949949574E20</v>
      </c>
      <c r="M4439" s="20">
        <v>6.045515949949574E19</v>
      </c>
    </row>
    <row r="4440">
      <c r="A4440" s="6"/>
      <c r="B4440" s="6"/>
      <c r="C4440" s="4"/>
      <c r="D4440" s="4">
        <v>18.0744089246747</v>
      </c>
      <c r="E4440" s="4" t="s">
        <v>6642</v>
      </c>
      <c r="F4440" s="4"/>
      <c r="G4440" s="4"/>
      <c r="H4440" s="4"/>
      <c r="I4440" s="4" t="str">
        <f>IFERROR(__xludf.DUMMYFUNCTION("""COMPUTED_VALUE"""),"0x089eed95168b007f19cf8a752c13f6db57c030d4")</f>
        <v>0x089eed95168b007f19cf8a752c13f6db57c030d4</v>
      </c>
      <c r="J4440" s="18">
        <v>48.3641275995966</v>
      </c>
      <c r="K4440" s="4">
        <v>604.5515949949574</v>
      </c>
      <c r="L4440" s="19">
        <v>6.045515949949574E20</v>
      </c>
      <c r="M4440" s="20">
        <v>6.045515949949574E19</v>
      </c>
    </row>
    <row r="4441">
      <c r="A4441" s="6"/>
      <c r="B4441" s="6"/>
      <c r="C4441" s="4"/>
      <c r="D4441" s="4">
        <v>48.3641275995966</v>
      </c>
      <c r="E4441" s="4" t="s">
        <v>6644</v>
      </c>
      <c r="F4441" s="4"/>
      <c r="G4441" s="4"/>
      <c r="H4441" s="4"/>
      <c r="I4441" s="4" t="str">
        <f>IFERROR(__xludf.DUMMYFUNCTION("""COMPUTED_VALUE"""),"0xa82cddc634238a021958e25e00279c1a861db632")</f>
        <v>0xa82cddc634238a021958e25e00279c1a861db632</v>
      </c>
      <c r="J4441" s="18">
        <v>19.3456510398386</v>
      </c>
      <c r="K4441" s="4">
        <v>241.8206379979825</v>
      </c>
      <c r="L4441" s="19">
        <v>2.4182063799798248E20</v>
      </c>
      <c r="M4441" s="20">
        <v>2.418206379979825E19</v>
      </c>
    </row>
    <row r="4442">
      <c r="A4442" s="6"/>
      <c r="B4442" s="6"/>
      <c r="C4442" s="4"/>
      <c r="D4442" s="4">
        <v>43.2417398925969</v>
      </c>
      <c r="E4442" s="4" t="s">
        <v>6645</v>
      </c>
      <c r="F4442" s="4"/>
      <c r="G4442" s="4"/>
      <c r="H4442" s="4"/>
      <c r="I4442" s="4" t="str">
        <f>IFERROR(__xludf.DUMMYFUNCTION("""COMPUTED_VALUE"""),"0x68fd1decaae1eed6b4e6958fd70815d0d37ee4a9")</f>
        <v>0x68fd1decaae1eed6b4e6958fd70815d0d37ee4a9</v>
      </c>
      <c r="J4442" s="18">
        <v>48.3641275995966</v>
      </c>
      <c r="K4442" s="4">
        <v>604.5515949949574</v>
      </c>
      <c r="L4442" s="19">
        <v>6.045515949949574E20</v>
      </c>
      <c r="M4442" s="20">
        <v>6.045515949949574E19</v>
      </c>
    </row>
    <row r="4443">
      <c r="A4443" s="6"/>
      <c r="B4443" s="6"/>
      <c r="C4443" s="4"/>
      <c r="D4443" s="4">
        <v>43.578849439804095</v>
      </c>
      <c r="E4443" s="4" t="s">
        <v>6647</v>
      </c>
      <c r="F4443" s="4"/>
      <c r="G4443" s="4"/>
      <c r="H4443" s="4"/>
      <c r="I4443" s="4" t="str">
        <f>IFERROR(__xludf.DUMMYFUNCTION("""COMPUTED_VALUE"""),"0xffc5782df264a65f6451712ef5de099b134ca150")</f>
        <v>0xffc5782df264a65f6451712ef5de099b134ca150</v>
      </c>
      <c r="J4443" s="18">
        <v>9.672825519919328</v>
      </c>
      <c r="K4443" s="4">
        <v>120.9103189989916</v>
      </c>
      <c r="L4443" s="19">
        <v>1.209103189989916E20</v>
      </c>
      <c r="M4443" s="20">
        <v>1.209103189989916E19</v>
      </c>
    </row>
    <row r="4444">
      <c r="A4444" s="6"/>
      <c r="B4444" s="6"/>
      <c r="C4444" s="4"/>
      <c r="D4444" s="4">
        <v>6.985722615667</v>
      </c>
      <c r="E4444" s="4" t="s">
        <v>6649</v>
      </c>
      <c r="F4444" s="4"/>
      <c r="G4444" s="4"/>
      <c r="H4444" s="4"/>
      <c r="I4444" s="4" t="str">
        <f>IFERROR(__xludf.DUMMYFUNCTION("""COMPUTED_VALUE"""),"0x41951a191ec0c833db8c50c713a07b376d083cc1")</f>
        <v>0x41951a191ec0c833db8c50c713a07b376d083cc1</v>
      </c>
      <c r="J4444" s="18">
        <v>41.7288176596114</v>
      </c>
      <c r="K4444" s="4">
        <v>521.6102207451426</v>
      </c>
      <c r="L4444" s="19">
        <v>5.2161022074514257E20</v>
      </c>
      <c r="M4444" s="20">
        <v>5.216102207451426E19</v>
      </c>
    </row>
    <row r="4445">
      <c r="A4445" s="6"/>
      <c r="B4445" s="6"/>
      <c r="C4445" s="4"/>
      <c r="D4445" s="4">
        <v>48.3641275995966</v>
      </c>
      <c r="E4445" s="4" t="s">
        <v>813</v>
      </c>
      <c r="F4445" s="4"/>
      <c r="G4445" s="4"/>
      <c r="H4445" s="4"/>
      <c r="I4445" s="4" t="str">
        <f>IFERROR(__xludf.DUMMYFUNCTION("""COMPUTED_VALUE"""),"0x89321250b8ff18a56ec8af78f74bb4989c0a2a40")</f>
        <v>0x89321250b8ff18a56ec8af78f74bb4989c0a2a40</v>
      </c>
      <c r="J4445" s="18">
        <v>48.2083450317085</v>
      </c>
      <c r="K4445" s="4">
        <v>602.6043128963562</v>
      </c>
      <c r="L4445" s="19">
        <v>6.026043128963562E20</v>
      </c>
      <c r="M4445" s="20">
        <v>6.026043128963563E19</v>
      </c>
    </row>
    <row r="4446">
      <c r="A4446" s="6"/>
      <c r="B4446" s="6"/>
      <c r="C4446" s="4"/>
      <c r="D4446" s="4">
        <v>8.59087058906031</v>
      </c>
      <c r="E4446" s="4" t="s">
        <v>6651</v>
      </c>
      <c r="F4446" s="4"/>
      <c r="G4446" s="4"/>
      <c r="H4446" s="4"/>
      <c r="I4446" s="4" t="str">
        <f>IFERROR(__xludf.DUMMYFUNCTION("""COMPUTED_VALUE"""),"0x76d44a33156971ec900f15345f17c53424248446")</f>
        <v>0x76d44a33156971ec900f15345f17c53424248446</v>
      </c>
      <c r="J4446" s="18">
        <v>234.37608780709658</v>
      </c>
      <c r="K4446" s="4">
        <v>2929.7010975887074</v>
      </c>
      <c r="L4446" s="19">
        <v>2.9297010975887076E21</v>
      </c>
      <c r="M4446" s="20">
        <v>2.9297010975887078E20</v>
      </c>
    </row>
    <row r="4447">
      <c r="A4447" s="6"/>
      <c r="B4447" s="6"/>
      <c r="C4447" s="4"/>
      <c r="D4447" s="4">
        <v>48.3641275995966</v>
      </c>
      <c r="E4447" s="4" t="s">
        <v>6653</v>
      </c>
      <c r="F4447" s="4"/>
      <c r="G4447" s="4"/>
      <c r="H4447" s="4"/>
      <c r="I4447" s="4" t="str">
        <f>IFERROR(__xludf.DUMMYFUNCTION("""COMPUTED_VALUE"""),"0x055cfe82ea50f557bd86732554e029e53a67eefd")</f>
        <v>0x055cfe82ea50f557bd86732554e029e53a67eefd</v>
      </c>
      <c r="J4447" s="18">
        <v>9.483764069986941</v>
      </c>
      <c r="K4447" s="4">
        <v>118.54705087483677</v>
      </c>
      <c r="L4447" s="19">
        <v>1.1854705087483676E20</v>
      </c>
      <c r="M4447" s="20">
        <v>1.1854705087483677E19</v>
      </c>
    </row>
    <row r="4448">
      <c r="A4448" s="6"/>
      <c r="B4448" s="6"/>
      <c r="C4448" s="4"/>
      <c r="D4448" s="4">
        <v>33.2282694365832</v>
      </c>
      <c r="E4448" s="4" t="s">
        <v>6654</v>
      </c>
      <c r="F4448" s="4"/>
      <c r="G4448" s="4"/>
      <c r="H4448" s="4"/>
      <c r="I4448" s="4" t="str">
        <f>IFERROR(__xludf.DUMMYFUNCTION("""COMPUTED_VALUE"""),"0x9e8dbd165a77db36cebc91ebcdeb38566fd01d9f")</f>
        <v>0x9e8dbd165a77db36cebc91ebcdeb38566fd01d9f</v>
      </c>
      <c r="J4448" s="18">
        <v>16.9587117125803</v>
      </c>
      <c r="K4448" s="4">
        <v>211.98389640725375</v>
      </c>
      <c r="L4448" s="19">
        <v>2.1198389640725375E20</v>
      </c>
      <c r="M4448" s="20">
        <v>2.1198389640725377E19</v>
      </c>
    </row>
    <row r="4449">
      <c r="A4449" s="6"/>
      <c r="B4449" s="6"/>
      <c r="C4449" s="4"/>
      <c r="D4449" s="4">
        <v>48.3641275995966</v>
      </c>
      <c r="E4449" s="4" t="s">
        <v>6656</v>
      </c>
      <c r="F4449" s="4"/>
      <c r="G4449" s="4"/>
      <c r="H4449" s="4"/>
      <c r="I4449" s="4" t="str">
        <f>IFERROR(__xludf.DUMMYFUNCTION("""COMPUTED_VALUE"""),"0xbce60882ca3b10e61be0503fc58b0c803b37fef3")</f>
        <v>0xbce60882ca3b10e61be0503fc58b0c803b37fef3</v>
      </c>
      <c r="J4449" s="18">
        <v>57.66472560997164</v>
      </c>
      <c r="K4449" s="4">
        <v>720.8090701246455</v>
      </c>
      <c r="L4449" s="19">
        <v>7.208090701246455E20</v>
      </c>
      <c r="M4449" s="20">
        <v>7.208090701246455E19</v>
      </c>
    </row>
    <row r="4450">
      <c r="A4450" s="6"/>
      <c r="B4450" s="6"/>
      <c r="C4450" s="4"/>
      <c r="D4450" s="4">
        <v>48.3641275995966</v>
      </c>
      <c r="E4450" s="4" t="s">
        <v>6657</v>
      </c>
      <c r="F4450" s="4"/>
      <c r="G4450" s="4"/>
      <c r="H4450" s="4"/>
      <c r="I4450" s="4" t="str">
        <f>IFERROR(__xludf.DUMMYFUNCTION("""COMPUTED_VALUE"""),"0x00e2e63b1ba77378cd10233fc3ae810e4f62424d")</f>
        <v>0x00e2e63b1ba77378cd10233fc3ae810e4f62424d</v>
      </c>
      <c r="J4450" s="18">
        <v>24.017796538524298</v>
      </c>
      <c r="K4450" s="4">
        <v>300.22245673155373</v>
      </c>
      <c r="L4450" s="19">
        <v>3.0022245673155376E20</v>
      </c>
      <c r="M4450" s="20">
        <v>3.002224567315538E19</v>
      </c>
    </row>
    <row r="4451">
      <c r="A4451" s="6"/>
      <c r="B4451" s="6"/>
      <c r="C4451" s="4"/>
      <c r="D4451" s="4">
        <v>48.3641275995966</v>
      </c>
      <c r="E4451" s="4" t="s">
        <v>1639</v>
      </c>
      <c r="F4451" s="4"/>
      <c r="G4451" s="4"/>
      <c r="H4451" s="4"/>
      <c r="I4451" s="4" t="str">
        <f>IFERROR(__xludf.DUMMYFUNCTION("""COMPUTED_VALUE"""),"0xbd91314c0d39d9b7be6064a7775d4911c48c2f3c")</f>
        <v>0xbd91314c0d39d9b7be6064a7775d4911c48c2f3c</v>
      </c>
      <c r="J4451" s="18">
        <v>48.3641275995966</v>
      </c>
      <c r="K4451" s="4">
        <v>604.5515949949574</v>
      </c>
      <c r="L4451" s="19">
        <v>6.045515949949574E20</v>
      </c>
      <c r="M4451" s="20">
        <v>6.045515949949574E19</v>
      </c>
    </row>
    <row r="4452">
      <c r="A4452" s="6"/>
      <c r="B4452" s="6"/>
      <c r="C4452" s="4"/>
      <c r="D4452" s="4">
        <v>0.601565668060192</v>
      </c>
      <c r="E4452" s="4" t="s">
        <v>6658</v>
      </c>
      <c r="F4452" s="4"/>
      <c r="G4452" s="4"/>
      <c r="H4452" s="4"/>
      <c r="I4452" s="4" t="str">
        <f>IFERROR(__xludf.DUMMYFUNCTION("""COMPUTED_VALUE"""),"0xefccdb05d0da6a9e46c4fc68f78a61c2c9078d4b")</f>
        <v>0xefccdb05d0da6a9e46c4fc68f78a61c2c9078d4b</v>
      </c>
      <c r="J4452" s="18">
        <v>18.7993111551001</v>
      </c>
      <c r="K4452" s="4">
        <v>234.99138943875124</v>
      </c>
      <c r="L4452" s="19">
        <v>2.3499138943875124E20</v>
      </c>
      <c r="M4452" s="20">
        <v>2.3499138943875125E19</v>
      </c>
    </row>
    <row r="4453">
      <c r="A4453" s="6"/>
      <c r="B4453" s="6"/>
      <c r="C4453" s="4"/>
      <c r="D4453" s="4">
        <v>48.3641275995966</v>
      </c>
      <c r="E4453" s="4" t="s">
        <v>6660</v>
      </c>
      <c r="F4453" s="4"/>
      <c r="G4453" s="4"/>
      <c r="H4453" s="4"/>
      <c r="I4453" s="4" t="str">
        <f>IFERROR(__xludf.DUMMYFUNCTION("""COMPUTED_VALUE"""),"0x055affa6bdc01d0cfa8a738b068ece76e56dad51")</f>
        <v>0x055affa6bdc01d0cfa8a738b068ece76e56dad51</v>
      </c>
      <c r="J4453" s="18">
        <v>119.0419022227086</v>
      </c>
      <c r="K4453" s="4">
        <v>1488.0237777838574</v>
      </c>
      <c r="L4453" s="19">
        <v>1.4880237777838575E21</v>
      </c>
      <c r="M4453" s="20">
        <v>1.4880237777838575E20</v>
      </c>
    </row>
    <row r="4454">
      <c r="A4454" s="6"/>
      <c r="B4454" s="6"/>
      <c r="C4454" s="4"/>
      <c r="D4454" s="4">
        <v>5.99188778155205</v>
      </c>
      <c r="E4454" s="4" t="s">
        <v>6661</v>
      </c>
      <c r="F4454" s="4"/>
      <c r="G4454" s="4"/>
      <c r="H4454" s="4"/>
      <c r="I4454" s="4" t="str">
        <f>IFERROR(__xludf.DUMMYFUNCTION("""COMPUTED_VALUE"""),"0xe43e51ce3f34e2819efd451f4fedf5421f8cd1e7")</f>
        <v>0xe43e51ce3f34e2819efd451f4fedf5421f8cd1e7</v>
      </c>
      <c r="J4454" s="18">
        <v>10.9680939209788</v>
      </c>
      <c r="K4454" s="4">
        <v>137.101174012235</v>
      </c>
      <c r="L4454" s="19">
        <v>1.3710117401223499E20</v>
      </c>
      <c r="M4454" s="20">
        <v>1.37101174012235E19</v>
      </c>
    </row>
    <row r="4455">
      <c r="A4455" s="6"/>
      <c r="B4455" s="6"/>
      <c r="C4455" s="4"/>
      <c r="D4455" s="4">
        <v>0.626546166566816</v>
      </c>
      <c r="E4455" s="4" t="s">
        <v>6663</v>
      </c>
      <c r="F4455" s="4"/>
      <c r="G4455" s="4"/>
      <c r="H4455" s="4"/>
      <c r="I4455" s="4" t="str">
        <f>IFERROR(__xludf.DUMMYFUNCTION("""COMPUTED_VALUE"""),"0x2a5d435d526365e8452007842ab9d025b88a5f83")</f>
        <v>0x2a5d435d526365e8452007842ab9d025b88a5f83</v>
      </c>
      <c r="J4455" s="18">
        <v>57.72984206743929</v>
      </c>
      <c r="K4455" s="4">
        <v>721.6230258429912</v>
      </c>
      <c r="L4455" s="19">
        <v>7.216230258429911E20</v>
      </c>
      <c r="M4455" s="20">
        <v>7.216230258429912E19</v>
      </c>
    </row>
    <row r="4456">
      <c r="A4456" s="6"/>
      <c r="B4456" s="6"/>
      <c r="C4456" s="4"/>
      <c r="D4456" s="4">
        <v>7.7173551082742</v>
      </c>
      <c r="E4456" s="4" t="s">
        <v>1753</v>
      </c>
      <c r="F4456" s="4"/>
      <c r="G4456" s="4"/>
      <c r="H4456" s="4"/>
      <c r="I4456" s="4" t="str">
        <f>IFERROR(__xludf.DUMMYFUNCTION("""COMPUTED_VALUE"""),"0x016c3e93ce95b88fd33c1eecac7eeaf5a6ced82e")</f>
        <v>0x016c3e93ce95b88fd33c1eecac7eeaf5a6ced82e</v>
      </c>
      <c r="J4456" s="18">
        <v>9.802135486517441</v>
      </c>
      <c r="K4456" s="4">
        <v>122.52669358146801</v>
      </c>
      <c r="L4456" s="19">
        <v>1.2252669358146801E20</v>
      </c>
      <c r="M4456" s="20">
        <v>1.2252669358146802E19</v>
      </c>
    </row>
    <row r="4457">
      <c r="A4457" s="6"/>
      <c r="B4457" s="6"/>
      <c r="C4457" s="4"/>
      <c r="D4457" s="4">
        <v>48.3641275995966</v>
      </c>
      <c r="E4457" s="4" t="s">
        <v>6666</v>
      </c>
      <c r="F4457" s="4"/>
      <c r="G4457" s="4"/>
      <c r="H4457" s="4"/>
      <c r="I4457" s="4" t="str">
        <f>IFERROR(__xludf.DUMMYFUNCTION("""COMPUTED_VALUE"""),"0x0c0024c4c5943a1a4c1537b4dfbc88f959801c40")</f>
        <v>0x0c0024c4c5943a1a4c1537b4dfbc88f959801c40</v>
      </c>
      <c r="J4457" s="18">
        <v>12.5653132874922</v>
      </c>
      <c r="K4457" s="4">
        <v>157.0664160936525</v>
      </c>
      <c r="L4457" s="19">
        <v>1.570664160936525E20</v>
      </c>
      <c r="M4457" s="20">
        <v>1.570664160936525E19</v>
      </c>
    </row>
    <row r="4458">
      <c r="A4458" s="6"/>
      <c r="B4458" s="6"/>
      <c r="C4458" s="4"/>
      <c r="D4458" s="4">
        <v>11.1135868906811</v>
      </c>
      <c r="E4458" s="4" t="s">
        <v>6667</v>
      </c>
      <c r="F4458" s="4"/>
      <c r="G4458" s="4"/>
      <c r="H4458" s="4"/>
      <c r="I4458" s="4" t="str">
        <f>IFERROR(__xludf.DUMMYFUNCTION("""COMPUTED_VALUE"""),"0x55c7abb1ab03f4634debb03ba9962cb954ad9108")</f>
        <v>0x55c7abb1ab03f4634debb03ba9962cb954ad9108</v>
      </c>
      <c r="J4458" s="18">
        <v>119.69990213101481</v>
      </c>
      <c r="K4458" s="4">
        <v>1496.248776637685</v>
      </c>
      <c r="L4458" s="19">
        <v>1.4962487766376852E21</v>
      </c>
      <c r="M4458" s="20">
        <v>1.496248776637685E20</v>
      </c>
    </row>
    <row r="4459">
      <c r="A4459" s="6"/>
      <c r="B4459" s="6"/>
      <c r="C4459" s="4"/>
      <c r="D4459" s="4">
        <v>48.3641275995966</v>
      </c>
      <c r="E4459" s="4" t="s">
        <v>6669</v>
      </c>
      <c r="F4459" s="4"/>
      <c r="G4459" s="4"/>
      <c r="H4459" s="4"/>
      <c r="I4459" s="4" t="str">
        <f>IFERROR(__xludf.DUMMYFUNCTION("""COMPUTED_VALUE"""),"0x0b402b3e1336d8e0f84d7333622e87617b254f11")</f>
        <v>0x0b402b3e1336d8e0f84d7333622e87617b254f11</v>
      </c>
      <c r="J4459" s="18">
        <v>80.7643496293023</v>
      </c>
      <c r="K4459" s="4">
        <v>1009.5543703662787</v>
      </c>
      <c r="L4459" s="19">
        <v>1.0095543703662787E21</v>
      </c>
      <c r="M4459" s="20">
        <v>1.0095543703662789E20</v>
      </c>
    </row>
    <row r="4460">
      <c r="A4460" s="6"/>
      <c r="B4460" s="6"/>
      <c r="C4460" s="4"/>
      <c r="D4460" s="4">
        <v>18.1812427538113</v>
      </c>
      <c r="E4460" s="4" t="s">
        <v>6670</v>
      </c>
      <c r="F4460" s="4"/>
      <c r="G4460" s="4"/>
      <c r="H4460" s="4"/>
      <c r="I4460" s="4" t="str">
        <f>IFERROR(__xludf.DUMMYFUNCTION("""COMPUTED_VALUE"""),"0x69bbe1566cc01c8e5809526028eeb47aec652a3e")</f>
        <v>0x69bbe1566cc01c8e5809526028eeb47aec652a3e</v>
      </c>
      <c r="J4460" s="18">
        <v>19.663992667518002</v>
      </c>
      <c r="K4460" s="4">
        <v>245.79990834397503</v>
      </c>
      <c r="L4460" s="19">
        <v>2.4579990834397502E20</v>
      </c>
      <c r="M4460" s="20">
        <v>2.4579990834397503E19</v>
      </c>
    </row>
    <row r="4461">
      <c r="A4461" s="6"/>
      <c r="B4461" s="6"/>
      <c r="C4461" s="4"/>
      <c r="D4461" s="4">
        <v>19.3456510398386</v>
      </c>
      <c r="E4461" s="4" t="s">
        <v>6672</v>
      </c>
      <c r="F4461" s="4"/>
      <c r="G4461" s="4"/>
      <c r="H4461" s="4"/>
      <c r="I4461" s="4" t="str">
        <f>IFERROR(__xludf.DUMMYFUNCTION("""COMPUTED_VALUE"""),"0x85b8fb91eac0ec152f1f98eb22e91e596e0d5be4")</f>
        <v>0x85b8fb91eac0ec152f1f98eb22e91e596e0d5be4</v>
      </c>
      <c r="J4461" s="18">
        <v>48.3641275995966</v>
      </c>
      <c r="K4461" s="4">
        <v>604.5515949949574</v>
      </c>
      <c r="L4461" s="19">
        <v>6.045515949949574E20</v>
      </c>
      <c r="M4461" s="20">
        <v>6.045515949949574E19</v>
      </c>
    </row>
    <row r="4462">
      <c r="A4462" s="6"/>
      <c r="B4462" s="6"/>
      <c r="C4462" s="4"/>
      <c r="D4462" s="4">
        <v>9.97466483000448</v>
      </c>
      <c r="E4462" s="4" t="s">
        <v>6673</v>
      </c>
      <c r="F4462" s="4"/>
      <c r="G4462" s="4"/>
      <c r="H4462" s="4"/>
      <c r="I4462" s="4" t="str">
        <f>IFERROR(__xludf.DUMMYFUNCTION("""COMPUTED_VALUE"""),"0x6c88ae802d27996dd6bd6067a26ab8e773e74a30")</f>
        <v>0x6c88ae802d27996dd6bd6067a26ab8e773e74a30</v>
      </c>
      <c r="J4462" s="18">
        <v>57.77372557958983</v>
      </c>
      <c r="K4462" s="4">
        <v>722.1715697448728</v>
      </c>
      <c r="L4462" s="19">
        <v>7.221715697448729E20</v>
      </c>
      <c r="M4462" s="20">
        <v>7.221715697448729E19</v>
      </c>
    </row>
    <row r="4463">
      <c r="A4463" s="6"/>
      <c r="B4463" s="6"/>
      <c r="C4463" s="4"/>
      <c r="D4463" s="4">
        <v>48.3641275995966</v>
      </c>
      <c r="E4463" s="4" t="s">
        <v>6675</v>
      </c>
      <c r="F4463" s="4"/>
      <c r="G4463" s="4"/>
      <c r="H4463" s="4"/>
      <c r="I4463" s="4" t="str">
        <f>IFERROR(__xludf.DUMMYFUNCTION("""COMPUTED_VALUE"""),"0x3e15a881fe679c8faaa132b0a6a9baccaaa761e8")</f>
        <v>0x3e15a881fe679c8faaa132b0a6a9baccaaa761e8</v>
      </c>
      <c r="J4463" s="18">
        <v>48.3641275995966</v>
      </c>
      <c r="K4463" s="4">
        <v>604.5515949949574</v>
      </c>
      <c r="L4463" s="19">
        <v>6.045515949949574E20</v>
      </c>
      <c r="M4463" s="20">
        <v>6.045515949949574E19</v>
      </c>
    </row>
    <row r="4464">
      <c r="A4464" s="6"/>
      <c r="B4464" s="6"/>
      <c r="C4464" s="4"/>
      <c r="D4464" s="4">
        <v>48.3641275995966</v>
      </c>
      <c r="E4464" s="4" t="s">
        <v>6676</v>
      </c>
      <c r="F4464" s="4"/>
      <c r="G4464" s="4"/>
      <c r="H4464" s="4"/>
      <c r="I4464" s="4" t="str">
        <f>IFERROR(__xludf.DUMMYFUNCTION("""COMPUTED_VALUE"""),"0x635fb150ccbd188b26dc760e30141b1870219499")</f>
        <v>0x635fb150ccbd188b26dc760e30141b1870219499</v>
      </c>
      <c r="J4464" s="18">
        <v>10.637725600817799</v>
      </c>
      <c r="K4464" s="4">
        <v>132.97157001022248</v>
      </c>
      <c r="L4464" s="19">
        <v>1.3297157001022248E20</v>
      </c>
      <c r="M4464" s="20">
        <v>1.3297157001022249E19</v>
      </c>
    </row>
    <row r="4465">
      <c r="A4465" s="6"/>
      <c r="B4465" s="6"/>
      <c r="C4465" s="4"/>
      <c r="D4465" s="4">
        <v>48.3641275995966</v>
      </c>
      <c r="E4465" s="4" t="s">
        <v>1794</v>
      </c>
      <c r="F4465" s="4"/>
      <c r="G4465" s="4"/>
      <c r="H4465" s="4"/>
      <c r="I4465" s="4" t="str">
        <f>IFERROR(__xludf.DUMMYFUNCTION("""COMPUTED_VALUE"""),"0x0d896e26a1466e4dd5b28f66648ae33ea44da04e")</f>
        <v>0x0d896e26a1466e4dd5b28f66648ae33ea44da04e</v>
      </c>
      <c r="J4465" s="18">
        <v>8.36460599921459</v>
      </c>
      <c r="K4465" s="4">
        <v>104.55757499018236</v>
      </c>
      <c r="L4465" s="19">
        <v>1.0455757499018237E20</v>
      </c>
      <c r="M4465" s="20">
        <v>1.0455757499018238E19</v>
      </c>
    </row>
    <row r="4466">
      <c r="A4466" s="6"/>
      <c r="B4466" s="6"/>
      <c r="C4466" s="4"/>
      <c r="D4466" s="4">
        <v>19.2890109296189</v>
      </c>
      <c r="E4466" s="4" t="s">
        <v>6677</v>
      </c>
      <c r="F4466" s="4"/>
      <c r="G4466" s="4"/>
      <c r="H4466" s="4"/>
      <c r="I4466" s="4" t="str">
        <f>IFERROR(__xludf.DUMMYFUNCTION("""COMPUTED_VALUE"""),"0x76cbcc245d3d16d526c2708dfcccb1d4ad3b3dac")</f>
        <v>0x76cbcc245d3d16d526c2708dfcccb1d4ad3b3dac</v>
      </c>
      <c r="J4466" s="18">
        <v>53.851537845508915</v>
      </c>
      <c r="K4466" s="4">
        <v>673.1442230688614</v>
      </c>
      <c r="L4466" s="19">
        <v>6.731442230688614E20</v>
      </c>
      <c r="M4466" s="20">
        <v>6.731442230688614E19</v>
      </c>
    </row>
    <row r="4467">
      <c r="A4467" s="6"/>
      <c r="B4467" s="6"/>
      <c r="C4467" s="4"/>
      <c r="D4467" s="4">
        <v>39.956139483053</v>
      </c>
      <c r="E4467" s="4" t="s">
        <v>6679</v>
      </c>
      <c r="F4467" s="4"/>
      <c r="G4467" s="4"/>
      <c r="H4467" s="4"/>
      <c r="I4467" s="4" t="str">
        <f>IFERROR(__xludf.DUMMYFUNCTION("""COMPUTED_VALUE"""),"0x1914172d1c51412c3fc37ec86989edcc5fdcc0bc")</f>
        <v>0x1914172d1c51412c3fc37ec86989edcc5fdcc0bc</v>
      </c>
      <c r="J4467" s="18">
        <v>24.168679963040802</v>
      </c>
      <c r="K4467" s="4">
        <v>302.10849953801</v>
      </c>
      <c r="L4467" s="19">
        <v>3.0210849953801E20</v>
      </c>
      <c r="M4467" s="20">
        <v>3.0210849953801E19</v>
      </c>
    </row>
    <row r="4468">
      <c r="A4468" s="6"/>
      <c r="B4468" s="6"/>
      <c r="C4468" s="4"/>
      <c r="D4468" s="4">
        <v>48.3641275995966</v>
      </c>
      <c r="E4468" s="4" t="s">
        <v>6681</v>
      </c>
      <c r="F4468" s="4"/>
      <c r="G4468" s="4"/>
      <c r="H4468" s="4"/>
      <c r="I4468" s="4" t="str">
        <f>IFERROR(__xludf.DUMMYFUNCTION("""COMPUTED_VALUE"""),"0x423ed9e8e1c267ce05d9ffa36b6d36599395c53d")</f>
        <v>0x423ed9e8e1c267ce05d9ffa36b6d36599395c53d</v>
      </c>
      <c r="J4468" s="18">
        <v>7.9422621225209</v>
      </c>
      <c r="K4468" s="4">
        <v>99.27827653151124</v>
      </c>
      <c r="L4468" s="19">
        <v>9.927827653151123E19</v>
      </c>
      <c r="M4468" s="20">
        <v>9.927827653151123E18</v>
      </c>
    </row>
    <row r="4469">
      <c r="A4469" s="6"/>
      <c r="B4469" s="6"/>
      <c r="C4469" s="4"/>
      <c r="D4469" s="4">
        <v>9.67540386650331</v>
      </c>
      <c r="E4469" s="4" t="s">
        <v>6682</v>
      </c>
      <c r="F4469" s="4"/>
      <c r="G4469" s="4"/>
      <c r="H4469" s="4"/>
      <c r="I4469" s="4" t="str">
        <f>IFERROR(__xludf.DUMMYFUNCTION("""COMPUTED_VALUE"""),"0xa78f5061a44957b3e5887872721e8a127b480e44")</f>
        <v>0xa78f5061a44957b3e5887872721e8a127b480e44</v>
      </c>
      <c r="J4469" s="18">
        <v>9.11573129496927</v>
      </c>
      <c r="K4469" s="4">
        <v>113.94664118711589</v>
      </c>
      <c r="L4469" s="19">
        <v>1.139466411871159E20</v>
      </c>
      <c r="M4469" s="20">
        <v>1.139466411871159E19</v>
      </c>
    </row>
    <row r="4470">
      <c r="A4470" s="6"/>
      <c r="B4470" s="6"/>
      <c r="C4470" s="4"/>
      <c r="D4470" s="4">
        <v>37.8852167046201</v>
      </c>
      <c r="E4470" s="4" t="s">
        <v>6684</v>
      </c>
      <c r="F4470" s="4"/>
      <c r="G4470" s="4"/>
      <c r="H4470" s="4"/>
      <c r="I4470" s="4" t="str">
        <f>IFERROR(__xludf.DUMMYFUNCTION("""COMPUTED_VALUE"""),"0x8efd97edf4169af5a6299416d1d60378d5479066")</f>
        <v>0x8efd97edf4169af5a6299416d1d60378d5479066</v>
      </c>
      <c r="J4470" s="18">
        <v>48.3641275995966</v>
      </c>
      <c r="K4470" s="4">
        <v>604.5515949949574</v>
      </c>
      <c r="L4470" s="19">
        <v>6.045515949949574E20</v>
      </c>
      <c r="M4470" s="20">
        <v>6.045515949949574E19</v>
      </c>
    </row>
    <row r="4471">
      <c r="A4471" s="6"/>
      <c r="B4471" s="6"/>
      <c r="C4471" s="4"/>
      <c r="D4471" s="4">
        <v>48.3641275995966</v>
      </c>
      <c r="E4471" s="4" t="s">
        <v>6686</v>
      </c>
      <c r="F4471" s="4"/>
      <c r="G4471" s="4"/>
      <c r="H4471" s="4"/>
      <c r="I4471" s="4" t="str">
        <f>IFERROR(__xludf.DUMMYFUNCTION("""COMPUTED_VALUE"""),"0x48d27a2a3b631bd13077be52bbe56c5e9d97abe8")</f>
        <v>0x48d27a2a3b631bd13077be52bbe56c5e9d97abe8</v>
      </c>
      <c r="J4471" s="18">
        <v>8.30229745339952</v>
      </c>
      <c r="K4471" s="4">
        <v>103.77871816749399</v>
      </c>
      <c r="L4471" s="19">
        <v>1.0377871816749398E20</v>
      </c>
      <c r="M4471" s="20">
        <v>1.0377871816749398E19</v>
      </c>
    </row>
    <row r="4472">
      <c r="A4472" s="6"/>
      <c r="B4472" s="6"/>
      <c r="C4472" s="4"/>
      <c r="D4472" s="4">
        <v>48.3641275995966</v>
      </c>
      <c r="E4472" s="4" t="s">
        <v>6687</v>
      </c>
      <c r="F4472" s="4"/>
      <c r="G4472" s="4"/>
      <c r="H4472" s="4"/>
      <c r="I4472" s="4" t="str">
        <f>IFERROR(__xludf.DUMMYFUNCTION("""COMPUTED_VALUE"""),"0x1141740f9a8a1d3ff192a98ca16a6007bc359d2e")</f>
        <v>0x1141740f9a8a1d3ff192a98ca16a6007bc359d2e</v>
      </c>
      <c r="J4472" s="18">
        <v>234.2301897576556</v>
      </c>
      <c r="K4472" s="4">
        <v>2927.877371970695</v>
      </c>
      <c r="L4472" s="19">
        <v>2.927877371970695E21</v>
      </c>
      <c r="M4472" s="20">
        <v>2.9278773719706953E20</v>
      </c>
    </row>
    <row r="4473">
      <c r="A4473" s="6"/>
      <c r="B4473" s="6"/>
      <c r="C4473" s="4"/>
      <c r="D4473" s="4">
        <v>43.1333402348322</v>
      </c>
      <c r="E4473" s="4" t="s">
        <v>1705</v>
      </c>
      <c r="F4473" s="4"/>
      <c r="G4473" s="4"/>
      <c r="H4473" s="4"/>
      <c r="I4473" s="4" t="str">
        <f>IFERROR(__xludf.DUMMYFUNCTION("""COMPUTED_VALUE"""),"0x453273995f8ffaf4e0445fecf29680ac4cb00079")</f>
        <v>0x453273995f8ffaf4e0445fecf29680ac4cb00079</v>
      </c>
      <c r="J4473" s="18">
        <v>38.6913020796773</v>
      </c>
      <c r="K4473" s="4">
        <v>483.6412759959662</v>
      </c>
      <c r="L4473" s="19">
        <v>4.836412759959662E20</v>
      </c>
      <c r="M4473" s="20">
        <v>4.836412759959663E19</v>
      </c>
    </row>
    <row r="4474">
      <c r="A4474" s="6"/>
      <c r="B4474" s="6"/>
      <c r="C4474" s="4"/>
      <c r="D4474" s="4">
        <v>48.3641275995966</v>
      </c>
      <c r="E4474" s="4" t="s">
        <v>6689</v>
      </c>
      <c r="F4474" s="4"/>
      <c r="G4474" s="4"/>
      <c r="H4474" s="4"/>
      <c r="I4474" s="4" t="str">
        <f>IFERROR(__xludf.DUMMYFUNCTION("""COMPUTED_VALUE"""),"0x836a4f927565ebd84ab8dac785be4dd20c6d4d4c")</f>
        <v>0x836a4f927565ebd84ab8dac785be4dd20c6d4d4c</v>
      </c>
      <c r="J4474" s="18">
        <v>19.3456510398386</v>
      </c>
      <c r="K4474" s="4">
        <v>241.8206379979825</v>
      </c>
      <c r="L4474" s="19">
        <v>2.4182063799798248E20</v>
      </c>
      <c r="M4474" s="20">
        <v>2.418206379979825E19</v>
      </c>
    </row>
    <row r="4475">
      <c r="A4475" s="6"/>
      <c r="B4475" s="6"/>
      <c r="C4475" s="4"/>
      <c r="D4475" s="4">
        <v>9.427871518129251</v>
      </c>
      <c r="E4475" s="4" t="s">
        <v>6690</v>
      </c>
      <c r="F4475" s="4"/>
      <c r="G4475" s="4"/>
      <c r="H4475" s="4"/>
      <c r="I4475" s="4" t="str">
        <f>IFERROR(__xludf.DUMMYFUNCTION("""COMPUTED_VALUE"""),"0x5f9e5e87e19f9d86d58a75697c53447616392f62")</f>
        <v>0x5f9e5e87e19f9d86d58a75697c53447616392f62</v>
      </c>
      <c r="J4475" s="18">
        <v>48.3641275995966</v>
      </c>
      <c r="K4475" s="4">
        <v>604.5515949949574</v>
      </c>
      <c r="L4475" s="19">
        <v>6.045515949949574E20</v>
      </c>
      <c r="M4475" s="20">
        <v>6.045515949949574E19</v>
      </c>
    </row>
    <row r="4476">
      <c r="A4476" s="6"/>
      <c r="B4476" s="6"/>
      <c r="C4476" s="4"/>
      <c r="D4476" s="4">
        <v>48.3641275995966</v>
      </c>
      <c r="E4476" s="4" t="s">
        <v>6692</v>
      </c>
      <c r="F4476" s="4"/>
      <c r="G4476" s="4"/>
      <c r="H4476" s="4"/>
      <c r="I4476" s="4" t="str">
        <f>IFERROR(__xludf.DUMMYFUNCTION("""COMPUTED_VALUE"""),"0x9b2ee5eb27cc6fbb83e7c19da1e0ed48ebe5ab92")</f>
        <v>0x9b2ee5eb27cc6fbb83e7c19da1e0ed48ebe5ab92</v>
      </c>
      <c r="J4476" s="18">
        <v>38.6913512565157</v>
      </c>
      <c r="K4476" s="4">
        <v>483.64189070644625</v>
      </c>
      <c r="L4476" s="19">
        <v>4.836418907064462E20</v>
      </c>
      <c r="M4476" s="20">
        <v>4.8364189070644625E19</v>
      </c>
    </row>
    <row r="4477">
      <c r="A4477" s="6"/>
      <c r="B4477" s="6"/>
      <c r="C4477" s="4"/>
      <c r="D4477" s="4">
        <v>9.75079418742189</v>
      </c>
      <c r="E4477" s="4" t="s">
        <v>6693</v>
      </c>
      <c r="F4477" s="4"/>
      <c r="G4477" s="4"/>
      <c r="H4477" s="4"/>
      <c r="I4477" s="4" t="str">
        <f>IFERROR(__xludf.DUMMYFUNCTION("""COMPUTED_VALUE"""),"0x912e73f2ca5f76114db8b32bd95a3095886b5dd4")</f>
        <v>0x912e73f2ca5f76114db8b32bd95a3095886b5dd4</v>
      </c>
      <c r="J4477" s="18">
        <v>10.479933607188899</v>
      </c>
      <c r="K4477" s="4">
        <v>130.99917008986122</v>
      </c>
      <c r="L4477" s="19">
        <v>1.3099917008986122E20</v>
      </c>
      <c r="M4477" s="20">
        <v>1.3099917008986122E19</v>
      </c>
    </row>
    <row r="4478">
      <c r="A4478" s="6"/>
      <c r="B4478" s="6"/>
      <c r="C4478" s="4"/>
      <c r="D4478" s="4">
        <v>48.3641275995966</v>
      </c>
      <c r="E4478" s="4" t="s">
        <v>6695</v>
      </c>
      <c r="F4478" s="4"/>
      <c r="G4478" s="4"/>
      <c r="H4478" s="4"/>
      <c r="I4478" s="4" t="str">
        <f>IFERROR(__xludf.DUMMYFUNCTION("""COMPUTED_VALUE"""),"0x3104cb746b5e280545d00fb5c89c04d3199d1f67")</f>
        <v>0x3104cb746b5e280545d00fb5c89c04d3199d1f67</v>
      </c>
      <c r="J4478" s="18">
        <v>3.8691302079677303</v>
      </c>
      <c r="K4478" s="4">
        <v>48.36412759959663</v>
      </c>
      <c r="L4478" s="19">
        <v>4.836412759959663E19</v>
      </c>
      <c r="M4478" s="20">
        <v>4.836412759959663E18</v>
      </c>
    </row>
    <row r="4479">
      <c r="A4479" s="6"/>
      <c r="B4479" s="6"/>
      <c r="C4479" s="4"/>
      <c r="D4479" s="4">
        <v>1.08050627904222</v>
      </c>
      <c r="E4479" s="4" t="s">
        <v>6696</v>
      </c>
      <c r="F4479" s="4"/>
      <c r="G4479" s="4"/>
      <c r="H4479" s="4"/>
      <c r="I4479" s="4" t="str">
        <f>IFERROR(__xludf.DUMMYFUNCTION("""COMPUTED_VALUE"""),"0x27502fc418e6a35428b5b71979ba2747f189267f")</f>
        <v>0x27502fc418e6a35428b5b71979ba2747f189267f</v>
      </c>
      <c r="J4479" s="18">
        <v>9.672825519919328</v>
      </c>
      <c r="K4479" s="4">
        <v>120.9103189989916</v>
      </c>
      <c r="L4479" s="19">
        <v>1.209103189989916E20</v>
      </c>
      <c r="M4479" s="20">
        <v>1.209103189989916E19</v>
      </c>
    </row>
    <row r="4480">
      <c r="A4480" s="6"/>
      <c r="B4480" s="6"/>
      <c r="C4480" s="4"/>
      <c r="D4480" s="4">
        <v>9.66703629728238</v>
      </c>
      <c r="E4480" s="4" t="s">
        <v>6698</v>
      </c>
      <c r="F4480" s="4"/>
      <c r="G4480" s="4"/>
      <c r="H4480" s="4"/>
      <c r="I4480" s="4" t="str">
        <f>IFERROR(__xludf.DUMMYFUNCTION("""COMPUTED_VALUE"""),"0x33a13f2222ebbfc32f6af54e0773cb0b069e0cb9")</f>
        <v>0x33a13f2222ebbfc32f6af54e0773cb0b069e0cb9</v>
      </c>
      <c r="J4480" s="18">
        <v>234.37608780709658</v>
      </c>
      <c r="K4480" s="4">
        <v>2929.7010975887074</v>
      </c>
      <c r="L4480" s="19">
        <v>2.9297010975887076E21</v>
      </c>
      <c r="M4480" s="20">
        <v>2.9297010975887078E20</v>
      </c>
    </row>
    <row r="4481">
      <c r="A4481" s="6"/>
      <c r="B4481" s="6"/>
      <c r="C4481" s="4"/>
      <c r="D4481" s="4">
        <v>6.47402036931367</v>
      </c>
      <c r="E4481" s="4" t="s">
        <v>6700</v>
      </c>
      <c r="F4481" s="4"/>
      <c r="G4481" s="4"/>
      <c r="H4481" s="4"/>
      <c r="I4481" s="4" t="str">
        <f>IFERROR(__xludf.DUMMYFUNCTION("""COMPUTED_VALUE"""),"0x96b0b228d854bdb328ef7986847b76b81cb28876")</f>
        <v>0x96b0b228d854bdb328ef7986847b76b81cb28876</v>
      </c>
      <c r="J4481" s="18">
        <v>46.37108132004111</v>
      </c>
      <c r="K4481" s="4">
        <v>579.6385165005138</v>
      </c>
      <c r="L4481" s="19">
        <v>5.796385165005138E20</v>
      </c>
      <c r="M4481" s="20">
        <v>5.796385165005138E19</v>
      </c>
    </row>
    <row r="4482">
      <c r="A4482" s="6"/>
      <c r="B4482" s="6"/>
      <c r="C4482" s="4"/>
      <c r="D4482" s="4">
        <v>48.3641275995966</v>
      </c>
      <c r="E4482" s="4" t="s">
        <v>6702</v>
      </c>
      <c r="F4482" s="4"/>
      <c r="G4482" s="4"/>
      <c r="H4482" s="4"/>
      <c r="I4482" s="4" t="str">
        <f>IFERROR(__xludf.DUMMYFUNCTION("""COMPUTED_VALUE"""),"0x60fe1cc635d19e39e3d9ae2cde7f309a5c680fd5")</f>
        <v>0x60fe1cc635d19e39e3d9ae2cde7f309a5c680fd5</v>
      </c>
      <c r="J4482" s="18">
        <v>0.140663210238656</v>
      </c>
      <c r="K4482" s="4">
        <v>1.7582901279832</v>
      </c>
      <c r="L4482" s="19">
        <v>1.7582901279832E18</v>
      </c>
      <c r="M4482" s="20">
        <v>1.7582901279832E17</v>
      </c>
    </row>
    <row r="4483">
      <c r="A4483" s="6"/>
      <c r="B4483" s="6"/>
      <c r="C4483" s="4"/>
      <c r="D4483" s="4">
        <v>48.3641275995966</v>
      </c>
      <c r="E4483" s="4" t="s">
        <v>97</v>
      </c>
      <c r="F4483" s="4"/>
      <c r="G4483" s="4"/>
      <c r="H4483" s="4"/>
      <c r="I4483" s="4" t="str">
        <f>IFERROR(__xludf.DUMMYFUNCTION("""COMPUTED_VALUE"""),"0xa8aa913e78513e9b9dc3f008c656b6b983239bec")</f>
        <v>0xa8aa913e78513e9b9dc3f008c656b6b983239bec</v>
      </c>
      <c r="J4483" s="18">
        <v>35.5815835310063</v>
      </c>
      <c r="K4483" s="4">
        <v>444.76979413757874</v>
      </c>
      <c r="L4483" s="19">
        <v>4.4476979413757873E20</v>
      </c>
      <c r="M4483" s="20">
        <v>4.447697941375788E19</v>
      </c>
    </row>
    <row r="4484">
      <c r="A4484" s="6"/>
      <c r="B4484" s="6"/>
      <c r="C4484" s="4"/>
      <c r="D4484" s="4">
        <v>9.672825519919328</v>
      </c>
      <c r="E4484" s="4" t="s">
        <v>6703</v>
      </c>
      <c r="F4484" s="4"/>
      <c r="G4484" s="4"/>
      <c r="H4484" s="4"/>
      <c r="I4484" s="4" t="str">
        <f>IFERROR(__xludf.DUMMYFUNCTION("""COMPUTED_VALUE"""),"0xa3320f745611cf004bf02b8186d89ab2304a9fa9")</f>
        <v>0xa3320f745611cf004bf02b8186d89ab2304a9fa9</v>
      </c>
      <c r="J4484" s="18">
        <v>9.672825519919328</v>
      </c>
      <c r="K4484" s="4">
        <v>120.9103189989916</v>
      </c>
      <c r="L4484" s="19">
        <v>1.209103189989916E20</v>
      </c>
      <c r="M4484" s="20">
        <v>1.209103189989916E19</v>
      </c>
    </row>
    <row r="4485">
      <c r="A4485" s="6"/>
      <c r="B4485" s="6"/>
      <c r="C4485" s="4"/>
      <c r="D4485" s="4">
        <v>44.1957637552928</v>
      </c>
      <c r="E4485" s="4" t="s">
        <v>6704</v>
      </c>
      <c r="F4485" s="4"/>
      <c r="G4485" s="4"/>
      <c r="H4485" s="4"/>
      <c r="I4485" s="4" t="str">
        <f>IFERROR(__xludf.DUMMYFUNCTION("""COMPUTED_VALUE"""),"0xa29d6b2dc7228986978fcbbbca90ef797d39f39a")</f>
        <v>0xa29d6b2dc7228986978fcbbbca90ef797d39f39a</v>
      </c>
      <c r="J4485" s="18">
        <v>9.672825519919328</v>
      </c>
      <c r="K4485" s="4">
        <v>120.9103189989916</v>
      </c>
      <c r="L4485" s="19">
        <v>1.209103189989916E20</v>
      </c>
      <c r="M4485" s="20">
        <v>1.209103189989916E19</v>
      </c>
    </row>
    <row r="4486">
      <c r="A4486" s="6"/>
      <c r="B4486" s="6"/>
      <c r="C4486" s="4"/>
      <c r="D4486" s="4">
        <v>9.86628203031772</v>
      </c>
      <c r="E4486" s="4" t="s">
        <v>6706</v>
      </c>
      <c r="F4486" s="4"/>
      <c r="G4486" s="4"/>
      <c r="H4486" s="4"/>
      <c r="I4486" s="4" t="str">
        <f>IFERROR(__xludf.DUMMYFUNCTION("""COMPUTED_VALUE"""),"0x0b8b6d049aca0a0114d1290e98fe003e2dd52b64")</f>
        <v>0x0b8b6d049aca0a0114d1290e98fe003e2dd52b64</v>
      </c>
      <c r="J4486" s="18">
        <v>33.2797365521211</v>
      </c>
      <c r="K4486" s="4">
        <v>415.99670690151373</v>
      </c>
      <c r="L4486" s="19">
        <v>4.159967069015137E20</v>
      </c>
      <c r="M4486" s="20">
        <v>4.1599670690151375E19</v>
      </c>
    </row>
    <row r="4487">
      <c r="A4487" s="6"/>
      <c r="B4487" s="6"/>
      <c r="C4487" s="4"/>
      <c r="D4487" s="4">
        <v>8.813782636899699</v>
      </c>
      <c r="E4487" s="4" t="s">
        <v>6707</v>
      </c>
      <c r="F4487" s="4"/>
      <c r="G4487" s="4"/>
      <c r="H4487" s="4"/>
      <c r="I4487" s="4" t="str">
        <f>IFERROR(__xludf.DUMMYFUNCTION("""COMPUTED_VALUE"""),"0xe56b22bc51d85498100080256c6faf4888ef3a84")</f>
        <v>0xe56b22bc51d85498100080256c6faf4888ef3a84</v>
      </c>
      <c r="J4487" s="18">
        <v>44.513852019271</v>
      </c>
      <c r="K4487" s="4">
        <v>556.4231502408875</v>
      </c>
      <c r="L4487" s="19">
        <v>5.564231502408875E20</v>
      </c>
      <c r="M4487" s="20">
        <v>5.564231502408875E19</v>
      </c>
    </row>
    <row r="4488">
      <c r="A4488" s="6"/>
      <c r="B4488" s="6"/>
      <c r="C4488" s="4"/>
      <c r="D4488" s="4">
        <v>47.542252313386</v>
      </c>
      <c r="E4488" s="4" t="s">
        <v>174</v>
      </c>
      <c r="F4488" s="4"/>
      <c r="G4488" s="4"/>
      <c r="H4488" s="4"/>
      <c r="I4488" s="4" t="str">
        <f>IFERROR(__xludf.DUMMYFUNCTION("""COMPUTED_VALUE"""),"0x2284904fb98bf3e542e56867ea1ba1bc596b4a1e")</f>
        <v>0x2284904fb98bf3e542e56867ea1ba1bc596b4a1e</v>
      </c>
      <c r="J4488" s="18">
        <v>116.9986696997838</v>
      </c>
      <c r="K4488" s="4">
        <v>1462.4833712472976</v>
      </c>
      <c r="L4488" s="19">
        <v>1.4624833712472976E21</v>
      </c>
      <c r="M4488" s="20">
        <v>1.4624833712472977E20</v>
      </c>
    </row>
    <row r="4489">
      <c r="A4489" s="6"/>
      <c r="B4489" s="6"/>
      <c r="C4489" s="4"/>
      <c r="D4489" s="4">
        <v>48.3641275995966</v>
      </c>
      <c r="E4489" s="4" t="s">
        <v>6710</v>
      </c>
      <c r="F4489" s="4"/>
      <c r="G4489" s="4"/>
      <c r="H4489" s="4"/>
      <c r="I4489" s="4" t="str">
        <f>IFERROR(__xludf.DUMMYFUNCTION("""COMPUTED_VALUE"""),"0x5e1f21ab7f339fc492d78336214c296ef39508f4")</f>
        <v>0x5e1f21ab7f339fc492d78336214c296ef39508f4</v>
      </c>
      <c r="J4489" s="18">
        <v>4.7910681053744995</v>
      </c>
      <c r="K4489" s="4">
        <v>59.88835131718124</v>
      </c>
      <c r="L4489" s="19">
        <v>5.988835131718124E19</v>
      </c>
      <c r="M4489" s="20">
        <v>5.988835131718125E18</v>
      </c>
    </row>
    <row r="4490">
      <c r="A4490" s="6"/>
      <c r="B4490" s="6"/>
      <c r="C4490" s="4"/>
      <c r="D4490" s="4">
        <v>3.35885504202958</v>
      </c>
      <c r="E4490" s="4" t="s">
        <v>6711</v>
      </c>
      <c r="F4490" s="4"/>
      <c r="G4490" s="4"/>
      <c r="H4490" s="4"/>
      <c r="I4490" s="4" t="str">
        <f>IFERROR(__xludf.DUMMYFUNCTION("""COMPUTED_VALUE"""),"0x56024b0a0076e7bb33816766e7f449eadbe8d96e")</f>
        <v>0x56024b0a0076e7bb33816766e7f449eadbe8d96e</v>
      </c>
      <c r="J4490" s="18">
        <v>158.110166176375</v>
      </c>
      <c r="K4490" s="4">
        <v>1976.3770772046876</v>
      </c>
      <c r="L4490" s="19">
        <v>1.9763770772046875E21</v>
      </c>
      <c r="M4490" s="20">
        <v>1.9763770772046876E20</v>
      </c>
    </row>
    <row r="4491">
      <c r="A4491" s="6"/>
      <c r="B4491" s="6"/>
      <c r="C4491" s="4"/>
      <c r="D4491" s="4">
        <v>23.4082375690534</v>
      </c>
      <c r="E4491" s="4" t="s">
        <v>6713</v>
      </c>
      <c r="F4491" s="4"/>
      <c r="G4491" s="4"/>
      <c r="H4491" s="4"/>
      <c r="I4491" s="4" t="str">
        <f>IFERROR(__xludf.DUMMYFUNCTION("""COMPUTED_VALUE"""),"0x8c706b924c90d9c9d20e3483789e6de56c7f9305")</f>
        <v>0x8c706b924c90d9c9d20e3483789e6de56c7f9305</v>
      </c>
      <c r="J4491" s="18">
        <v>106.323396053813</v>
      </c>
      <c r="K4491" s="4">
        <v>1329.0424506726624</v>
      </c>
      <c r="L4491" s="19">
        <v>1.3290424506726623E21</v>
      </c>
      <c r="M4491" s="20">
        <v>1.3290424506726624E20</v>
      </c>
    </row>
    <row r="4492">
      <c r="A4492" s="6"/>
      <c r="B4492" s="6"/>
      <c r="C4492" s="4"/>
      <c r="D4492" s="4">
        <v>8.07005642046121</v>
      </c>
      <c r="E4492" s="4" t="s">
        <v>6715</v>
      </c>
      <c r="F4492" s="4"/>
      <c r="G4492" s="4"/>
      <c r="H4492" s="4"/>
      <c r="I4492" s="4" t="str">
        <f>IFERROR(__xludf.DUMMYFUNCTION("""COMPUTED_VALUE"""),"0x90bcd403044313aa45707bf1d7b00e6d10534b81")</f>
        <v>0x90bcd403044313aa45707bf1d7b00e6d10534b81</v>
      </c>
      <c r="J4492" s="18">
        <v>55.8035880622502</v>
      </c>
      <c r="K4492" s="4">
        <v>697.5448507781275</v>
      </c>
      <c r="L4492" s="19">
        <v>6.975448507781275E20</v>
      </c>
      <c r="M4492" s="20">
        <v>6.975448507781275E19</v>
      </c>
    </row>
    <row r="4493">
      <c r="A4493" s="6"/>
      <c r="B4493" s="6"/>
      <c r="C4493" s="4"/>
      <c r="D4493" s="4">
        <v>48.3641275995966</v>
      </c>
      <c r="E4493" s="4" t="s">
        <v>6717</v>
      </c>
      <c r="F4493" s="4"/>
      <c r="G4493" s="4"/>
      <c r="H4493" s="4"/>
      <c r="I4493" s="4" t="str">
        <f>IFERROR(__xludf.DUMMYFUNCTION("""COMPUTED_VALUE"""),"0xb5e163870dd9d5c78a5e3c8b9324a10df3e6c8b3")</f>
        <v>0xb5e163870dd9d5c78a5e3c8b9324a10df3e6c8b3</v>
      </c>
      <c r="J4493" s="18">
        <v>9.30059801037504</v>
      </c>
      <c r="K4493" s="4">
        <v>116.257475129688</v>
      </c>
      <c r="L4493" s="19">
        <v>1.16257475129688E20</v>
      </c>
      <c r="M4493" s="20">
        <v>1.16257475129688E19</v>
      </c>
    </row>
    <row r="4494">
      <c r="A4494" s="6"/>
      <c r="B4494" s="6"/>
      <c r="C4494" s="4"/>
      <c r="D4494" s="4">
        <v>14.7031302515391</v>
      </c>
      <c r="E4494" s="4" t="s">
        <v>1389</v>
      </c>
      <c r="F4494" s="4"/>
      <c r="G4494" s="4"/>
      <c r="H4494" s="4"/>
      <c r="I4494" s="4" t="str">
        <f>IFERROR(__xludf.DUMMYFUNCTION("""COMPUTED_VALUE"""),"0xfb2cbc6c067e7920b4b52825d8e5bc16589f531b")</f>
        <v>0xfb2cbc6c067e7920b4b52825d8e5bc16589f531b</v>
      </c>
      <c r="J4494" s="18">
        <v>186.01196020749998</v>
      </c>
      <c r="K4494" s="4">
        <v>2325.1495025937497</v>
      </c>
      <c r="L4494" s="19">
        <v>2.3251495025937497E21</v>
      </c>
      <c r="M4494" s="20">
        <v>2.3251495025937498E20</v>
      </c>
    </row>
    <row r="4495">
      <c r="A4495" s="6"/>
      <c r="B4495" s="6"/>
      <c r="C4495" s="4"/>
      <c r="D4495" s="4">
        <v>1.47037447707555</v>
      </c>
      <c r="E4495" s="4" t="s">
        <v>6719</v>
      </c>
      <c r="F4495" s="4"/>
      <c r="G4495" s="4"/>
      <c r="H4495" s="4"/>
      <c r="I4495" s="4" t="str">
        <f>IFERROR(__xludf.DUMMYFUNCTION("""COMPUTED_VALUE"""),"0xe8c9de0de0c011ba27aed311506524fd6a740111")</f>
        <v>0xe8c9de0de0c011ba27aed311506524fd6a740111</v>
      </c>
      <c r="J4495" s="18">
        <v>78.6494975555466</v>
      </c>
      <c r="K4495" s="4">
        <v>983.1187194443326</v>
      </c>
      <c r="L4495" s="19">
        <v>9.831187194443326E20</v>
      </c>
      <c r="M4495" s="20">
        <v>9.831187194443327E19</v>
      </c>
    </row>
    <row r="4496">
      <c r="A4496" s="6"/>
      <c r="B4496" s="6"/>
      <c r="C4496" s="4"/>
      <c r="D4496" s="4">
        <v>19.3456510398386</v>
      </c>
      <c r="E4496" s="4" t="s">
        <v>6721</v>
      </c>
      <c r="F4496" s="4"/>
      <c r="G4496" s="4"/>
      <c r="H4496" s="4"/>
      <c r="I4496" s="4" t="str">
        <f>IFERROR(__xludf.DUMMYFUNCTION("""COMPUTED_VALUE"""),"0xedbfec4023eaa6b2c6b673063faba1a571853254")</f>
        <v>0xedbfec4023eaa6b2c6b673063faba1a571853254</v>
      </c>
      <c r="J4496" s="18">
        <v>186.01196020749998</v>
      </c>
      <c r="K4496" s="4">
        <v>2325.1495025937497</v>
      </c>
      <c r="L4496" s="19">
        <v>2.3251495025937497E21</v>
      </c>
      <c r="M4496" s="20">
        <v>2.3251495025937498E20</v>
      </c>
    </row>
    <row r="4497">
      <c r="A4497" s="6"/>
      <c r="B4497" s="6"/>
      <c r="C4497" s="4"/>
      <c r="D4497" s="4">
        <v>48.3641275995966</v>
      </c>
      <c r="E4497" s="4" t="s">
        <v>1512</v>
      </c>
      <c r="F4497" s="4"/>
      <c r="G4497" s="4"/>
      <c r="H4497" s="4"/>
      <c r="I4497" s="4" t="str">
        <f>IFERROR(__xludf.DUMMYFUNCTION("""COMPUTED_VALUE"""),"0x9c704df9eb81ef45f1da2699bd114febcb64c29a")</f>
        <v>0x9c704df9eb81ef45f1da2699bd114febcb64c29a</v>
      </c>
      <c r="J4497" s="18">
        <v>172.639434441233</v>
      </c>
      <c r="K4497" s="4">
        <v>2157.9929305154124</v>
      </c>
      <c r="L4497" s="19">
        <v>2.1579929305154123E21</v>
      </c>
      <c r="M4497" s="20">
        <v>2.1579929305154126E20</v>
      </c>
    </row>
    <row r="4498">
      <c r="A4498" s="6"/>
      <c r="B4498" s="6"/>
      <c r="C4498" s="4"/>
      <c r="D4498" s="4">
        <v>19.3456510398386</v>
      </c>
      <c r="E4498" s="4" t="s">
        <v>6722</v>
      </c>
      <c r="F4498" s="4"/>
      <c r="G4498" s="4"/>
      <c r="H4498" s="4"/>
      <c r="I4498" s="4" t="str">
        <f>IFERROR(__xludf.DUMMYFUNCTION("""COMPUTED_VALUE"""),"0x7c29c23f9ee40ec9824f8f20bc39cf600aeffd3b")</f>
        <v>0x7c29c23f9ee40ec9824f8f20bc39cf600aeffd3b</v>
      </c>
      <c r="J4498" s="18">
        <v>9.30059801037504</v>
      </c>
      <c r="K4498" s="4">
        <v>116.257475129688</v>
      </c>
      <c r="L4498" s="19">
        <v>1.16257475129688E20</v>
      </c>
      <c r="M4498" s="20">
        <v>1.16257475129688E19</v>
      </c>
    </row>
    <row r="4499">
      <c r="A4499" s="6"/>
      <c r="B4499" s="6"/>
      <c r="C4499" s="4"/>
      <c r="D4499" s="4">
        <v>32.9467858362092</v>
      </c>
      <c r="E4499" s="4" t="s">
        <v>6723</v>
      </c>
      <c r="F4499" s="4"/>
      <c r="G4499" s="4"/>
      <c r="H4499" s="4"/>
      <c r="I4499" s="4" t="str">
        <f>IFERROR(__xludf.DUMMYFUNCTION("""COMPUTED_VALUE"""),"0x3cdc97725ab4aa56f0f25dd26c9e07a40d58556c")</f>
        <v>0x3cdc97725ab4aa56f0f25dd26c9e07a40d58556c</v>
      </c>
      <c r="J4499" s="18">
        <v>111.6071761245</v>
      </c>
      <c r="K4499" s="4">
        <v>1395.08970155625</v>
      </c>
      <c r="L4499" s="19">
        <v>1.39508970155625E21</v>
      </c>
      <c r="M4499" s="20">
        <v>1.39508970155625E20</v>
      </c>
    </row>
    <row r="4500">
      <c r="A4500" s="6"/>
      <c r="B4500" s="6"/>
      <c r="C4500" s="4"/>
      <c r="D4500" s="4">
        <v>29.018476559758</v>
      </c>
      <c r="E4500" s="4" t="s">
        <v>6725</v>
      </c>
      <c r="F4500" s="4"/>
      <c r="G4500" s="4"/>
      <c r="H4500" s="4"/>
      <c r="I4500" s="4" t="str">
        <f>IFERROR(__xludf.DUMMYFUNCTION("""COMPUTED_VALUE"""),"0x2e4b45c5b920f352e414bd95860912f9f1d72573")</f>
        <v>0x2e4b45c5b920f352e414bd95860912f9f1d72573</v>
      </c>
      <c r="J4500" s="18">
        <v>58.1530173726764</v>
      </c>
      <c r="K4500" s="4">
        <v>726.912717158455</v>
      </c>
      <c r="L4500" s="19">
        <v>7.26912717158455E20</v>
      </c>
      <c r="M4500" s="20">
        <v>7.2691271715845505E19</v>
      </c>
    </row>
    <row r="4501">
      <c r="A4501" s="6"/>
      <c r="B4501" s="6"/>
      <c r="C4501" s="4"/>
      <c r="D4501" s="4">
        <v>48.3641275995966</v>
      </c>
      <c r="E4501" s="4" t="s">
        <v>6726</v>
      </c>
      <c r="F4501" s="4"/>
      <c r="G4501" s="4"/>
      <c r="H4501" s="4"/>
      <c r="I4501" s="4" t="str">
        <f>IFERROR(__xludf.DUMMYFUNCTION("""COMPUTED_VALUE"""),"0x7742026d4b11335eae02fdacceab761ab4ff4e7f")</f>
        <v>0x7742026d4b11335eae02fdacceab761ab4ff4e7f</v>
      </c>
      <c r="J4501" s="18">
        <v>54.2364995190851</v>
      </c>
      <c r="K4501" s="4">
        <v>677.9562439885638</v>
      </c>
      <c r="L4501" s="19">
        <v>6.779562439885638E20</v>
      </c>
      <c r="M4501" s="20">
        <v>6.779562439885638E19</v>
      </c>
    </row>
    <row r="4502">
      <c r="A4502" s="6"/>
      <c r="B4502" s="6"/>
      <c r="C4502" s="4"/>
      <c r="D4502" s="4">
        <v>48.3641275995966</v>
      </c>
      <c r="E4502" s="4" t="s">
        <v>749</v>
      </c>
      <c r="F4502" s="4"/>
      <c r="G4502" s="4"/>
      <c r="H4502" s="4"/>
      <c r="I4502" s="4" t="str">
        <f>IFERROR(__xludf.DUMMYFUNCTION("""COMPUTED_VALUE"""),"0x36b1ff9408a75e5a17eca15c18c237d471a45fe5")</f>
        <v>0x36b1ff9408a75e5a17eca15c18c237d471a45fe5</v>
      </c>
      <c r="J4502" s="18">
        <v>55.8035880622502</v>
      </c>
      <c r="K4502" s="4">
        <v>697.5448507781275</v>
      </c>
      <c r="L4502" s="19">
        <v>6.975448507781275E20</v>
      </c>
      <c r="M4502" s="20">
        <v>6.975448507781275E19</v>
      </c>
    </row>
    <row r="4503">
      <c r="A4503" s="6"/>
      <c r="B4503" s="6"/>
      <c r="C4503" s="4"/>
      <c r="D4503" s="4">
        <v>27.652761504056002</v>
      </c>
      <c r="E4503" s="4" t="s">
        <v>6727</v>
      </c>
      <c r="F4503" s="4"/>
      <c r="G4503" s="4"/>
      <c r="H4503" s="4"/>
      <c r="I4503" s="4" t="str">
        <f>IFERROR(__xludf.DUMMYFUNCTION("""COMPUTED_VALUE"""),"0x43fbcae5ecfd3f2badaefcca78ecfb078b4d23c6")</f>
        <v>0x43fbcae5ecfd3f2badaefcca78ecfb078b4d23c6</v>
      </c>
      <c r="J4503" s="18">
        <v>99.3429953959328</v>
      </c>
      <c r="K4503" s="4">
        <v>1241.78744244916</v>
      </c>
      <c r="L4503" s="19">
        <v>1.2417874424491598E21</v>
      </c>
      <c r="M4503" s="20">
        <v>1.24178744244916E20</v>
      </c>
    </row>
    <row r="4504">
      <c r="A4504" s="6"/>
      <c r="B4504" s="6"/>
      <c r="C4504" s="4"/>
      <c r="D4504" s="4">
        <v>9.25467396850345</v>
      </c>
      <c r="E4504" s="4" t="s">
        <v>6729</v>
      </c>
      <c r="F4504" s="4"/>
      <c r="G4504" s="4"/>
      <c r="H4504" s="4"/>
      <c r="I4504" s="4" t="str">
        <f>IFERROR(__xludf.DUMMYFUNCTION("""COMPUTED_VALUE"""),"0x58c865d46ac8d85a22658887ec4326ed992a18b8")</f>
        <v>0x58c865d46ac8d85a22658887ec4326ed992a18b8</v>
      </c>
      <c r="J4504" s="18">
        <v>56.1756119826652</v>
      </c>
      <c r="K4504" s="4">
        <v>702.1951497833151</v>
      </c>
      <c r="L4504" s="19">
        <v>7.021951497833151E20</v>
      </c>
      <c r="M4504" s="20">
        <v>7.021951497833152E19</v>
      </c>
    </row>
    <row r="4505">
      <c r="A4505" s="6"/>
      <c r="B4505" s="6"/>
      <c r="C4505" s="4"/>
      <c r="D4505" s="4">
        <v>48.3641275995966</v>
      </c>
      <c r="E4505" s="4" t="s">
        <v>6731</v>
      </c>
      <c r="F4505" s="4"/>
      <c r="G4505" s="4"/>
      <c r="H4505" s="4"/>
      <c r="I4505" s="4" t="str">
        <f>IFERROR(__xludf.DUMMYFUNCTION("""COMPUTED_VALUE"""),"0x0e9b717cb070367ff54f826f1c839659cedda0c2")</f>
        <v>0x0e9b717cb070367ff54f826f1c839659cedda0c2</v>
      </c>
      <c r="J4505" s="18">
        <v>2.9166394329267797</v>
      </c>
      <c r="K4505" s="4">
        <v>36.457992911584746</v>
      </c>
      <c r="L4505" s="19">
        <v>3.6457992911584748E19</v>
      </c>
      <c r="M4505" s="20">
        <v>3.645799291158475E18</v>
      </c>
    </row>
    <row r="4506">
      <c r="A4506" s="6"/>
      <c r="B4506" s="6"/>
      <c r="C4506" s="4"/>
      <c r="D4506" s="4">
        <v>12.0649929257911</v>
      </c>
      <c r="E4506" s="4" t="s">
        <v>6732</v>
      </c>
      <c r="F4506" s="4"/>
      <c r="G4506" s="4"/>
      <c r="H4506" s="4"/>
      <c r="I4506" s="4" t="str">
        <f>IFERROR(__xludf.DUMMYFUNCTION("""COMPUTED_VALUE"""),"0x26ccfe011884aaf73ceadecaf3ab9721eaa75c3b")</f>
        <v>0x26ccfe011884aaf73ceadecaf3ab9721eaa75c3b</v>
      </c>
      <c r="J4506" s="18">
        <v>59.5238272664002</v>
      </c>
      <c r="K4506" s="4">
        <v>744.0478408300024</v>
      </c>
      <c r="L4506" s="19">
        <v>7.440478408300024E20</v>
      </c>
      <c r="M4506" s="20">
        <v>7.440478408300025E19</v>
      </c>
    </row>
    <row r="4507">
      <c r="A4507" s="6"/>
      <c r="B4507" s="6"/>
      <c r="C4507" s="4"/>
      <c r="D4507" s="4">
        <v>39.0782151004741</v>
      </c>
      <c r="E4507" s="4" t="s">
        <v>6734</v>
      </c>
      <c r="F4507" s="4"/>
      <c r="G4507" s="4"/>
      <c r="H4507" s="4"/>
      <c r="I4507" s="4" t="str">
        <f>IFERROR(__xludf.DUMMYFUNCTION("""COMPUTED_VALUE"""),"0x797aeffd69a702aadad7c6935ad801f3c37984c3")</f>
        <v>0x797aeffd69a702aadad7c6935ad801f3c37984c3</v>
      </c>
      <c r="J4507" s="18">
        <v>26.1208825633011</v>
      </c>
      <c r="K4507" s="4">
        <v>326.5110320412638</v>
      </c>
      <c r="L4507" s="19">
        <v>3.265110320412638E20</v>
      </c>
      <c r="M4507" s="20">
        <v>3.265110320412638E19</v>
      </c>
    </row>
    <row r="4508">
      <c r="A4508" s="6"/>
      <c r="B4508" s="6"/>
      <c r="C4508" s="4"/>
      <c r="D4508" s="4">
        <v>48.3641275995966</v>
      </c>
      <c r="E4508" s="4" t="s">
        <v>6736</v>
      </c>
      <c r="F4508" s="4"/>
      <c r="G4508" s="4"/>
      <c r="H4508" s="4"/>
      <c r="I4508" s="4" t="str">
        <f>IFERROR(__xludf.DUMMYFUNCTION("""COMPUTED_VALUE"""),"0x31d06861591b990e980aabc970d7822292d55e5e")</f>
        <v>0x31d06861591b990e980aabc970d7822292d55e5e</v>
      </c>
      <c r="J4508" s="18">
        <v>93.0059801037504</v>
      </c>
      <c r="K4508" s="4">
        <v>1162.57475129688</v>
      </c>
      <c r="L4508" s="19">
        <v>1.1625747512968801E21</v>
      </c>
      <c r="M4508" s="20">
        <v>1.1625747512968801E20</v>
      </c>
    </row>
    <row r="4509">
      <c r="A4509" s="6"/>
      <c r="B4509" s="6"/>
      <c r="C4509" s="4"/>
      <c r="D4509" s="4">
        <v>14.552517223381601</v>
      </c>
      <c r="E4509" s="4" t="s">
        <v>6737</v>
      </c>
      <c r="F4509" s="4"/>
      <c r="G4509" s="4"/>
      <c r="H4509" s="4"/>
      <c r="I4509" s="4" t="str">
        <f>IFERROR(__xludf.DUMMYFUNCTION("""COMPUTED_VALUE"""),"0x3b9159b267a7852c82375670a2e1e07c513f6921")</f>
        <v>0x3b9159b267a7852c82375670a2e1e07c513f6921</v>
      </c>
      <c r="J4509" s="18">
        <v>186.01196020749998</v>
      </c>
      <c r="K4509" s="4">
        <v>2325.1495025937497</v>
      </c>
      <c r="L4509" s="19">
        <v>2.3251495025937497E21</v>
      </c>
      <c r="M4509" s="20">
        <v>2.3251495025937498E20</v>
      </c>
    </row>
    <row r="4510">
      <c r="A4510" s="6"/>
      <c r="B4510" s="6"/>
      <c r="C4510" s="4"/>
      <c r="D4510" s="4">
        <v>5.2893485427088995</v>
      </c>
      <c r="E4510" s="4" t="s">
        <v>6739</v>
      </c>
      <c r="F4510" s="4"/>
      <c r="G4510" s="4"/>
      <c r="H4510" s="4"/>
      <c r="I4510" s="4" t="str">
        <f>IFERROR(__xludf.DUMMYFUNCTION("""COMPUTED_VALUE"""),"0x4781b49640a3158e687af6a7f3da0c8085ade571")</f>
        <v>0x4781b49640a3158e687af6a7f3da0c8085ade571</v>
      </c>
      <c r="J4510" s="18">
        <v>52.484319637801</v>
      </c>
      <c r="K4510" s="4">
        <v>656.0539954725125</v>
      </c>
      <c r="L4510" s="19">
        <v>6.560539954725125E20</v>
      </c>
      <c r="M4510" s="20">
        <v>6.560539954725125E19</v>
      </c>
    </row>
    <row r="4511">
      <c r="A4511" s="6"/>
      <c r="B4511" s="6"/>
      <c r="C4511" s="4"/>
      <c r="D4511" s="4">
        <v>19.1239307868925</v>
      </c>
      <c r="E4511" s="4" t="s">
        <v>6741</v>
      </c>
      <c r="F4511" s="4"/>
      <c r="G4511" s="4"/>
      <c r="H4511" s="4"/>
      <c r="I4511" s="4" t="str">
        <f>IFERROR(__xludf.DUMMYFUNCTION("""COMPUTED_VALUE"""),"0x6358fb21c5ec8bdd5d360ad207f55b6fd047da3f")</f>
        <v>0x6358fb21c5ec8bdd5d360ad207f55b6fd047da3f</v>
      </c>
      <c r="J4511" s="18">
        <v>7.44047840830003</v>
      </c>
      <c r="K4511" s="4">
        <v>93.00598010375037</v>
      </c>
      <c r="L4511" s="19">
        <v>9.300598010375037E19</v>
      </c>
      <c r="M4511" s="20">
        <v>9.300598010375037E18</v>
      </c>
    </row>
    <row r="4512">
      <c r="A4512" s="6"/>
      <c r="B4512" s="6"/>
      <c r="C4512" s="4"/>
      <c r="D4512" s="4">
        <v>43.723354163166896</v>
      </c>
      <c r="E4512" s="4" t="s">
        <v>6743</v>
      </c>
      <c r="F4512" s="4"/>
      <c r="G4512" s="4"/>
      <c r="H4512" s="4"/>
      <c r="I4512" s="4" t="str">
        <f>IFERROR(__xludf.DUMMYFUNCTION("""COMPUTED_VALUE"""),"0x9743a924b33c0102bb27e2cd946f915e6ade8315")</f>
        <v>0x9743a924b33c0102bb27e2cd946f915e6ade8315</v>
      </c>
      <c r="J4512" s="18">
        <v>46.5029900518752</v>
      </c>
      <c r="K4512" s="4">
        <v>581.28737564844</v>
      </c>
      <c r="L4512" s="19">
        <v>5.8128737564844006E20</v>
      </c>
      <c r="M4512" s="20">
        <v>5.812873756484401E19</v>
      </c>
    </row>
    <row r="4513">
      <c r="A4513" s="6"/>
      <c r="B4513" s="6"/>
      <c r="C4513" s="4"/>
      <c r="D4513" s="4">
        <v>48.3641275995966</v>
      </c>
      <c r="E4513" s="4" t="s">
        <v>6745</v>
      </c>
      <c r="F4513" s="4"/>
      <c r="G4513" s="4"/>
      <c r="H4513" s="4"/>
      <c r="I4513" s="4" t="str">
        <f>IFERROR(__xludf.DUMMYFUNCTION("""COMPUTED_VALUE"""),"0x02fc7555cd8866240b7e73d60d49f50b326bcc4e")</f>
        <v>0x02fc7555cd8866240b7e73d60d49f50b326bcc4e</v>
      </c>
      <c r="J4513" s="18">
        <v>41.936980929591904</v>
      </c>
      <c r="K4513" s="4">
        <v>524.2122616198988</v>
      </c>
      <c r="L4513" s="19">
        <v>5.242122616198988E20</v>
      </c>
      <c r="M4513" s="20">
        <v>5.242122616198988E19</v>
      </c>
    </row>
    <row r="4514">
      <c r="A4514" s="6"/>
      <c r="B4514" s="6"/>
      <c r="C4514" s="4"/>
      <c r="D4514" s="4">
        <v>19.3456510398386</v>
      </c>
      <c r="E4514" s="4" t="s">
        <v>6746</v>
      </c>
      <c r="F4514" s="4"/>
      <c r="G4514" s="4"/>
      <c r="H4514" s="4"/>
      <c r="I4514" s="4" t="str">
        <f>IFERROR(__xludf.DUMMYFUNCTION("""COMPUTED_VALUE"""),"0xed52401d2fbf53c9b1188ede05dcd96d4ad4f62a")</f>
        <v>0xed52401d2fbf53c9b1188ede05dcd96d4ad4f62a</v>
      </c>
      <c r="J4514" s="18">
        <v>93.0540589395101</v>
      </c>
      <c r="K4514" s="4">
        <v>1163.1757367438763</v>
      </c>
      <c r="L4514" s="19">
        <v>1.1631757367438764E21</v>
      </c>
      <c r="M4514" s="20">
        <v>1.1631757367438764E20</v>
      </c>
    </row>
    <row r="4515">
      <c r="A4515" s="6"/>
      <c r="B4515" s="6"/>
      <c r="C4515" s="4"/>
      <c r="D4515" s="4">
        <v>48.3641275995966</v>
      </c>
      <c r="E4515" s="4" t="s">
        <v>6747</v>
      </c>
      <c r="F4515" s="4"/>
      <c r="G4515" s="4"/>
      <c r="H4515" s="4"/>
      <c r="I4515" s="4" t="str">
        <f>IFERROR(__xludf.DUMMYFUNCTION("""COMPUTED_VALUE"""),"0xc2ee85eb3c10f6ff9932181addc95d696b5793ac")</f>
        <v>0xc2ee85eb3c10f6ff9932181addc95d696b5793ac</v>
      </c>
      <c r="J4515" s="18">
        <v>9.30059801037504</v>
      </c>
      <c r="K4515" s="4">
        <v>116.257475129688</v>
      </c>
      <c r="L4515" s="19">
        <v>1.16257475129688E20</v>
      </c>
      <c r="M4515" s="20">
        <v>1.16257475129688E19</v>
      </c>
    </row>
    <row r="4516">
      <c r="A4516" s="6"/>
      <c r="B4516" s="6"/>
      <c r="C4516" s="4"/>
      <c r="D4516" s="4">
        <v>48.3641275995966</v>
      </c>
      <c r="E4516" s="4" t="s">
        <v>6748</v>
      </c>
      <c r="F4516" s="4"/>
      <c r="G4516" s="4"/>
      <c r="H4516" s="4"/>
      <c r="I4516" s="4" t="str">
        <f>IFERROR(__xludf.DUMMYFUNCTION("""COMPUTED_VALUE"""),"0x6989b321e8c2c8092964dcf2f396ea8947b5a80f")</f>
        <v>0x6989b321e8c2c8092964dcf2f396ea8947b5a80f</v>
      </c>
      <c r="J4516" s="18">
        <v>2.4497662656874</v>
      </c>
      <c r="K4516" s="4">
        <v>30.6220783210925</v>
      </c>
      <c r="L4516" s="19">
        <v>3.0622078321092497E19</v>
      </c>
      <c r="M4516" s="20">
        <v>3.06220783210925E18</v>
      </c>
    </row>
    <row r="4517">
      <c r="A4517" s="6"/>
      <c r="B4517" s="6"/>
      <c r="C4517" s="4"/>
      <c r="D4517" s="4">
        <v>45.256881163130394</v>
      </c>
      <c r="E4517" s="4" t="s">
        <v>6749</v>
      </c>
      <c r="F4517" s="4"/>
      <c r="G4517" s="4"/>
      <c r="H4517" s="4"/>
      <c r="I4517" s="4" t="str">
        <f>IFERROR(__xludf.DUMMYFUNCTION("""COMPUTED_VALUE"""),"0x0160333abc6cc81c02ddf682e3684ead1c5e1158")</f>
        <v>0x0160333abc6cc81c02ddf682e3684ead1c5e1158</v>
      </c>
      <c r="J4517" s="18">
        <v>55.8035880622502</v>
      </c>
      <c r="K4517" s="4">
        <v>697.5448507781275</v>
      </c>
      <c r="L4517" s="19">
        <v>6.975448507781275E20</v>
      </c>
      <c r="M4517" s="20">
        <v>6.975448507781275E19</v>
      </c>
    </row>
    <row r="4518">
      <c r="A4518" s="6"/>
      <c r="B4518" s="6"/>
      <c r="C4518" s="4"/>
      <c r="D4518" s="4">
        <v>48.3641275995966</v>
      </c>
      <c r="E4518" s="4" t="s">
        <v>6751</v>
      </c>
      <c r="F4518" s="4"/>
      <c r="G4518" s="4"/>
      <c r="H4518" s="4"/>
      <c r="I4518" s="4" t="str">
        <f>IFERROR(__xludf.DUMMYFUNCTION("""COMPUTED_VALUE"""),"0x44e7e928801fd87abb8458f7804eac9dc05c3b7f")</f>
        <v>0x44e7e928801fd87abb8458f7804eac9dc05c3b7f</v>
      </c>
      <c r="J4518" s="18">
        <v>61.346744476433706</v>
      </c>
      <c r="K4518" s="4">
        <v>766.8343059554213</v>
      </c>
      <c r="L4518" s="19">
        <v>7.668343059554214E20</v>
      </c>
      <c r="M4518" s="20">
        <v>7.668343059554214E19</v>
      </c>
    </row>
    <row r="4519">
      <c r="A4519" s="6"/>
      <c r="B4519" s="6"/>
      <c r="C4519" s="4"/>
      <c r="D4519" s="4">
        <v>10.6401080719112</v>
      </c>
      <c r="E4519" s="4" t="s">
        <v>6752</v>
      </c>
      <c r="F4519" s="4"/>
      <c r="G4519" s="4"/>
      <c r="H4519" s="4"/>
      <c r="I4519" s="4" t="str">
        <f>IFERROR(__xludf.DUMMYFUNCTION("""COMPUTED_VALUE"""),"0xd4f3e81cb54c161a581e984718783935eb2e11dd")</f>
        <v>0xd4f3e81cb54c161a581e984718783935eb2e11dd</v>
      </c>
      <c r="J4519" s="18">
        <v>60.0519801249085</v>
      </c>
      <c r="K4519" s="4">
        <v>750.6497515613563</v>
      </c>
      <c r="L4519" s="19">
        <v>7.506497515613563E20</v>
      </c>
      <c r="M4519" s="20">
        <v>7.506497515613564E19</v>
      </c>
    </row>
    <row r="4520">
      <c r="A4520" s="6"/>
      <c r="B4520" s="6"/>
      <c r="C4520" s="4"/>
      <c r="D4520" s="4">
        <v>48.3641275995966</v>
      </c>
      <c r="E4520" s="4" t="s">
        <v>6753</v>
      </c>
      <c r="F4520" s="4"/>
      <c r="G4520" s="4"/>
      <c r="H4520" s="4"/>
      <c r="I4520" s="4" t="str">
        <f>IFERROR(__xludf.DUMMYFUNCTION("""COMPUTED_VALUE"""),"0x71cb59346f9a21bf941bd297b5da3e996bf63d33")</f>
        <v>0x71cb59346f9a21bf941bd297b5da3e996bf63d33</v>
      </c>
      <c r="J4520" s="18">
        <v>9.30059801037504</v>
      </c>
      <c r="K4520" s="4">
        <v>116.257475129688</v>
      </c>
      <c r="L4520" s="19">
        <v>1.16257475129688E20</v>
      </c>
      <c r="M4520" s="20">
        <v>1.16257475129688E19</v>
      </c>
    </row>
    <row r="4521">
      <c r="A4521" s="6"/>
      <c r="B4521" s="6"/>
      <c r="C4521" s="4"/>
      <c r="D4521" s="4">
        <v>16.337432822069</v>
      </c>
      <c r="E4521" s="4" t="s">
        <v>6754</v>
      </c>
      <c r="F4521" s="4"/>
      <c r="G4521" s="4"/>
      <c r="H4521" s="4"/>
      <c r="I4521" s="4" t="str">
        <f>IFERROR(__xludf.DUMMYFUNCTION("""COMPUTED_VALUE"""),"0x520d5349e67b4f404f34176ca13198ae45a41eee")</f>
        <v>0x520d5349e67b4f404f34176ca13198ae45a41eee</v>
      </c>
      <c r="J4521" s="18">
        <v>186.01196020749998</v>
      </c>
      <c r="K4521" s="4">
        <v>2325.1495025937497</v>
      </c>
      <c r="L4521" s="19">
        <v>2.3251495025937497E21</v>
      </c>
      <c r="M4521" s="20">
        <v>2.3251495025937498E20</v>
      </c>
    </row>
    <row r="4522">
      <c r="A4522" s="6"/>
      <c r="B4522" s="6"/>
      <c r="C4522" s="4"/>
      <c r="D4522" s="4">
        <v>23.8103974978581</v>
      </c>
      <c r="E4522" s="4" t="s">
        <v>6756</v>
      </c>
      <c r="F4522" s="4"/>
      <c r="G4522" s="4"/>
      <c r="H4522" s="4"/>
      <c r="I4522" s="4" t="str">
        <f>IFERROR(__xludf.DUMMYFUNCTION("""COMPUTED_VALUE"""),"0xdfd28873b66d906ec8dc6067f2fd7189e8b05414")</f>
        <v>0xdfd28873b66d906ec8dc6067f2fd7189e8b05414</v>
      </c>
      <c r="J4522" s="18">
        <v>63.04817301706991</v>
      </c>
      <c r="K4522" s="4">
        <v>788.1021627133738</v>
      </c>
      <c r="L4522" s="19">
        <v>7.881021627133738E20</v>
      </c>
      <c r="M4522" s="20">
        <v>7.881021627133739E19</v>
      </c>
    </row>
    <row r="4523">
      <c r="A4523" s="6"/>
      <c r="B4523" s="6"/>
      <c r="C4523" s="4"/>
      <c r="D4523" s="4">
        <v>43.9463822700935</v>
      </c>
      <c r="E4523" s="4" t="s">
        <v>6758</v>
      </c>
      <c r="F4523" s="4"/>
      <c r="G4523" s="4"/>
      <c r="H4523" s="4"/>
      <c r="I4523" s="4" t="str">
        <f>IFERROR(__xludf.DUMMYFUNCTION("""COMPUTED_VALUE"""),"0x9c37b1e0c2af0c5a8bc4ba129e82bff6681cfdeb")</f>
        <v>0x9c37b1e0c2af0c5a8bc4ba129e82bff6681cfdeb</v>
      </c>
      <c r="J4523" s="18">
        <v>55.8036832529408</v>
      </c>
      <c r="K4523" s="4">
        <v>697.54604066176</v>
      </c>
      <c r="L4523" s="19">
        <v>6.9754604066176E20</v>
      </c>
      <c r="M4523" s="20">
        <v>6.975460406617601E19</v>
      </c>
    </row>
    <row r="4524">
      <c r="A4524" s="6"/>
      <c r="B4524" s="6"/>
      <c r="C4524" s="4"/>
      <c r="D4524" s="4">
        <v>48.3641275995966</v>
      </c>
      <c r="E4524" s="4" t="s">
        <v>6760</v>
      </c>
      <c r="F4524" s="4"/>
      <c r="G4524" s="4"/>
      <c r="H4524" s="4"/>
      <c r="I4524" s="4" t="str">
        <f>IFERROR(__xludf.DUMMYFUNCTION("""COMPUTED_VALUE"""),"0x92ac2a779a636d48047a3a081496a0d6780c1134")</f>
        <v>0x92ac2a779a636d48047a3a081496a0d6780c1134</v>
      </c>
      <c r="J4524" s="18">
        <v>139.508970155625</v>
      </c>
      <c r="K4524" s="4">
        <v>1743.8621269453126</v>
      </c>
      <c r="L4524" s="19">
        <v>1.7438621269453127E21</v>
      </c>
      <c r="M4524" s="20">
        <v>1.7438621269453128E20</v>
      </c>
    </row>
    <row r="4525">
      <c r="A4525" s="6"/>
      <c r="B4525" s="6"/>
      <c r="C4525" s="4"/>
      <c r="D4525" s="4">
        <v>48.3641275995966</v>
      </c>
      <c r="E4525" s="4" t="s">
        <v>6761</v>
      </c>
      <c r="F4525" s="4"/>
      <c r="G4525" s="4"/>
      <c r="H4525" s="4"/>
      <c r="I4525" s="4" t="str">
        <f>IFERROR(__xludf.DUMMYFUNCTION("""COMPUTED_VALUE"""),"0x7c60377390abc31aec2649dee798703c0abc867e")</f>
        <v>0x7c60377390abc31aec2649dee798703c0abc867e</v>
      </c>
      <c r="J4525" s="18">
        <v>55.8035880622502</v>
      </c>
      <c r="K4525" s="4">
        <v>697.5448507781275</v>
      </c>
      <c r="L4525" s="19">
        <v>6.975448507781275E20</v>
      </c>
      <c r="M4525" s="20">
        <v>6.975448507781275E19</v>
      </c>
    </row>
    <row r="4526">
      <c r="A4526" s="6"/>
      <c r="B4526" s="6"/>
      <c r="C4526" s="4"/>
      <c r="D4526" s="4">
        <v>21.5853291429423</v>
      </c>
      <c r="E4526" s="4" t="s">
        <v>6762</v>
      </c>
      <c r="F4526" s="4"/>
      <c r="G4526" s="4"/>
      <c r="H4526" s="4"/>
      <c r="I4526" s="4" t="str">
        <f>IFERROR(__xludf.DUMMYFUNCTION("""COMPUTED_VALUE"""),"0x077a555273853327f7c1733d56c7ad6fdeaf2289")</f>
        <v>0x077a555273853327f7c1733d56c7ad6fdeaf2289</v>
      </c>
      <c r="J4526" s="18">
        <v>56.130411076334795</v>
      </c>
      <c r="K4526" s="4">
        <v>701.6301384541849</v>
      </c>
      <c r="L4526" s="19">
        <v>7.01630138454185E20</v>
      </c>
      <c r="M4526" s="20">
        <v>7.01630138454185E19</v>
      </c>
    </row>
    <row r="4527">
      <c r="A4527" s="6"/>
      <c r="B4527" s="6"/>
      <c r="C4527" s="4"/>
      <c r="D4527" s="4">
        <v>48.3641275995966</v>
      </c>
      <c r="E4527" s="4" t="s">
        <v>6764</v>
      </c>
      <c r="F4527" s="4"/>
      <c r="G4527" s="4"/>
      <c r="H4527" s="4"/>
      <c r="I4527" s="4" t="str">
        <f>IFERROR(__xludf.DUMMYFUNCTION("""COMPUTED_VALUE"""),"0x7903942e16670ece9d94268881c329feec3f82f6")</f>
        <v>0x7903942e16670ece9d94268881c329feec3f82f6</v>
      </c>
      <c r="J4527" s="18">
        <v>4.29583547879231</v>
      </c>
      <c r="K4527" s="4">
        <v>53.697943484903874</v>
      </c>
      <c r="L4527" s="19">
        <v>5.3697943484903875E19</v>
      </c>
      <c r="M4527" s="20">
        <v>5.369794348490387E18</v>
      </c>
    </row>
    <row r="4528">
      <c r="A4528" s="6"/>
      <c r="B4528" s="6"/>
      <c r="C4528" s="4"/>
      <c r="D4528" s="4">
        <v>43.4855413203701</v>
      </c>
      <c r="E4528" s="4" t="s">
        <v>6765</v>
      </c>
      <c r="F4528" s="4"/>
      <c r="G4528" s="4"/>
      <c r="H4528" s="4"/>
      <c r="I4528" s="4" t="str">
        <f>IFERROR(__xludf.DUMMYFUNCTION("""COMPUTED_VALUE"""),"0xe00861177fd56182ea5ad1216dc3f77907429850")</f>
        <v>0xe00861177fd56182ea5ad1216dc3f77907429850</v>
      </c>
      <c r="J4528" s="18">
        <v>55.889231180598294</v>
      </c>
      <c r="K4528" s="4">
        <v>698.6153897574786</v>
      </c>
      <c r="L4528" s="19">
        <v>6.986153897574787E20</v>
      </c>
      <c r="M4528" s="20">
        <v>6.986153897574787E19</v>
      </c>
    </row>
    <row r="4529">
      <c r="A4529" s="6"/>
      <c r="B4529" s="6"/>
      <c r="C4529" s="4"/>
      <c r="D4529" s="4">
        <v>19.2874761916923</v>
      </c>
      <c r="E4529" s="4" t="s">
        <v>6767</v>
      </c>
      <c r="F4529" s="4"/>
      <c r="G4529" s="4"/>
      <c r="H4529" s="4"/>
      <c r="I4529" s="4" t="str">
        <f>IFERROR(__xludf.DUMMYFUNCTION("""COMPUTED_VALUE"""),"0xcd48e80f5688307f46a69bb7053cc9220b29adf1")</f>
        <v>0xcd48e80f5688307f46a69bb7053cc9220b29adf1</v>
      </c>
      <c r="J4529" s="18">
        <v>50.2906296018266</v>
      </c>
      <c r="K4529" s="4">
        <v>628.6328700228325</v>
      </c>
      <c r="L4529" s="19">
        <v>6.286328700228326E20</v>
      </c>
      <c r="M4529" s="20">
        <v>6.286328700228326E19</v>
      </c>
    </row>
    <row r="4530">
      <c r="A4530" s="6"/>
      <c r="B4530" s="6"/>
      <c r="C4530" s="4"/>
      <c r="D4530" s="4">
        <v>47.7876838658147</v>
      </c>
      <c r="E4530" s="4" t="s">
        <v>6769</v>
      </c>
      <c r="F4530" s="4"/>
      <c r="G4530" s="4"/>
      <c r="H4530" s="4"/>
      <c r="I4530" s="4" t="str">
        <f>IFERROR(__xludf.DUMMYFUNCTION("""COMPUTED_VALUE"""),"0x9c9c36775a5fcbfd9572601d28d162cde0e5a36e")</f>
        <v>0x9c9c36775a5fcbfd9572601d28d162cde0e5a36e</v>
      </c>
      <c r="J4530" s="18">
        <v>186.01196020749998</v>
      </c>
      <c r="K4530" s="4">
        <v>2325.1495025937497</v>
      </c>
      <c r="L4530" s="19">
        <v>2.3251495025937497E21</v>
      </c>
      <c r="M4530" s="20">
        <v>2.3251495025937498E20</v>
      </c>
    </row>
    <row r="4531">
      <c r="A4531" s="6"/>
      <c r="B4531" s="6"/>
      <c r="C4531" s="4"/>
      <c r="D4531" s="4">
        <v>48.3641275995966</v>
      </c>
      <c r="E4531" s="4" t="s">
        <v>6771</v>
      </c>
      <c r="F4531" s="4"/>
      <c r="G4531" s="4"/>
      <c r="H4531" s="4"/>
      <c r="I4531" s="4" t="str">
        <f>IFERROR(__xludf.DUMMYFUNCTION("""COMPUTED_VALUE"""),"0xb5b4141ad459b49b2a24e77a602f83e9ee75b189")</f>
        <v>0xb5b4141ad459b49b2a24e77a602f83e9ee75b189</v>
      </c>
      <c r="J4531" s="18">
        <v>56.7336478632877</v>
      </c>
      <c r="K4531" s="4">
        <v>709.1705982910962</v>
      </c>
      <c r="L4531" s="19">
        <v>7.091705982910962E20</v>
      </c>
      <c r="M4531" s="20">
        <v>7.091705982910962E19</v>
      </c>
    </row>
    <row r="4532">
      <c r="A4532" s="6"/>
      <c r="B4532" s="6"/>
      <c r="C4532" s="4"/>
      <c r="D4532" s="4">
        <v>9.672825519919328</v>
      </c>
      <c r="E4532" s="4" t="s">
        <v>6772</v>
      </c>
      <c r="F4532" s="4"/>
      <c r="G4532" s="4"/>
      <c r="H4532" s="4"/>
      <c r="I4532" s="4" t="str">
        <f>IFERROR(__xludf.DUMMYFUNCTION("""COMPUTED_VALUE"""),"0x13a1d2daf71cf6d488b81b71c72bbd9363c73c86")</f>
        <v>0x13a1d2daf71cf6d488b81b71c72bbd9363c73c86</v>
      </c>
      <c r="J4532" s="18">
        <v>0.924854717714783</v>
      </c>
      <c r="K4532" s="4">
        <v>11.560683971434788</v>
      </c>
      <c r="L4532" s="19">
        <v>1.1560683971434787E19</v>
      </c>
      <c r="M4532" s="20">
        <v>1.1560683971434788E18</v>
      </c>
    </row>
    <row r="4533">
      <c r="A4533" s="6"/>
      <c r="B4533" s="6"/>
      <c r="C4533" s="4"/>
      <c r="D4533" s="4">
        <v>17.5872174968552</v>
      </c>
      <c r="E4533" s="4" t="s">
        <v>6773</v>
      </c>
      <c r="F4533" s="4"/>
      <c r="G4533" s="4"/>
      <c r="H4533" s="4"/>
      <c r="I4533" s="4" t="str">
        <f>IFERROR(__xludf.DUMMYFUNCTION("""COMPUTED_VALUE"""),"0xf4f2d8bb321d3aca51bdb146bb01f3c5399a6870")</f>
        <v>0xf4f2d8bb321d3aca51bdb146bb01f3c5399a6870</v>
      </c>
      <c r="J4533" s="18">
        <v>93.0059801037504</v>
      </c>
      <c r="K4533" s="4">
        <v>1162.57475129688</v>
      </c>
      <c r="L4533" s="19">
        <v>1.1625747512968801E21</v>
      </c>
      <c r="M4533" s="20">
        <v>1.1625747512968801E20</v>
      </c>
    </row>
    <row r="4534">
      <c r="A4534" s="6"/>
      <c r="B4534" s="6"/>
      <c r="C4534" s="4"/>
      <c r="D4534" s="4">
        <v>48.3641275995966</v>
      </c>
      <c r="E4534" s="4" t="s">
        <v>6775</v>
      </c>
      <c r="F4534" s="4"/>
      <c r="G4534" s="4"/>
      <c r="H4534" s="4"/>
      <c r="I4534" s="4" t="str">
        <f>IFERROR(__xludf.DUMMYFUNCTION("""COMPUTED_VALUE"""),"0x48455b20edc22c545c59f2404fa61b0bd2033609")</f>
        <v>0x48455b20edc22c545c59f2404fa61b0bd2033609</v>
      </c>
      <c r="J4534" s="18">
        <v>9.30059801037504</v>
      </c>
      <c r="K4534" s="4">
        <v>116.257475129688</v>
      </c>
      <c r="L4534" s="19">
        <v>1.16257475129688E20</v>
      </c>
      <c r="M4534" s="20">
        <v>1.16257475129688E19</v>
      </c>
    </row>
    <row r="4535">
      <c r="A4535" s="6"/>
      <c r="B4535" s="6"/>
      <c r="C4535" s="4"/>
      <c r="D4535" s="4">
        <v>43.62242431539661</v>
      </c>
      <c r="E4535" s="4" t="s">
        <v>6776</v>
      </c>
      <c r="F4535" s="4"/>
      <c r="G4535" s="4"/>
      <c r="H4535" s="4"/>
      <c r="I4535" s="4" t="str">
        <f>IFERROR(__xludf.DUMMYFUNCTION("""COMPUTED_VALUE"""),"0x9e5a44f6984d9b90a04deab5d24630b9b502cc56")</f>
        <v>0x9e5a44f6984d9b90a04deab5d24630b9b502cc56</v>
      </c>
      <c r="J4535" s="18">
        <v>33.161981944196505</v>
      </c>
      <c r="K4535" s="4">
        <v>414.5247743024563</v>
      </c>
      <c r="L4535" s="19">
        <v>4.145247743024563E20</v>
      </c>
      <c r="M4535" s="20">
        <v>4.145247743024563E19</v>
      </c>
    </row>
    <row r="4536">
      <c r="A4536" s="6"/>
      <c r="B4536" s="6"/>
      <c r="C4536" s="4"/>
      <c r="D4536" s="4">
        <v>9.96026854343622</v>
      </c>
      <c r="E4536" s="4" t="s">
        <v>6778</v>
      </c>
      <c r="F4536" s="4"/>
      <c r="G4536" s="4"/>
      <c r="H4536" s="4"/>
      <c r="I4536" s="4" t="str">
        <f>IFERROR(__xludf.DUMMYFUNCTION("""COMPUTED_VALUE"""),"0x38d58a2053b73666641f9f0c24c02dc0362e433f")</f>
        <v>0x38d58a2053b73666641f9f0c24c02dc0362e433f</v>
      </c>
      <c r="J4536" s="18">
        <v>46.5029900518752</v>
      </c>
      <c r="K4536" s="4">
        <v>581.28737564844</v>
      </c>
      <c r="L4536" s="19">
        <v>5.8128737564844006E20</v>
      </c>
      <c r="M4536" s="20">
        <v>5.812873756484401E19</v>
      </c>
    </row>
    <row r="4537">
      <c r="A4537" s="6"/>
      <c r="B4537" s="6"/>
      <c r="C4537" s="4"/>
      <c r="D4537" s="4">
        <v>43.5721536805501</v>
      </c>
      <c r="E4537" s="4" t="s">
        <v>6780</v>
      </c>
      <c r="F4537" s="4"/>
      <c r="G4537" s="4"/>
      <c r="H4537" s="4"/>
      <c r="I4537" s="4" t="str">
        <f>IFERROR(__xludf.DUMMYFUNCTION("""COMPUTED_VALUE"""),"0x56c94d63a2001a9ae5e6f55ed4b2055247d8102f")</f>
        <v>0x56c94d63a2001a9ae5e6f55ed4b2055247d8102f</v>
      </c>
      <c r="J4537" s="18">
        <v>186.01196020749998</v>
      </c>
      <c r="K4537" s="4">
        <v>2325.1495025937497</v>
      </c>
      <c r="L4537" s="19">
        <v>2.3251495025937497E21</v>
      </c>
      <c r="M4537" s="20">
        <v>2.3251495025937498E20</v>
      </c>
    </row>
    <row r="4538">
      <c r="A4538" s="6"/>
      <c r="B4538" s="6"/>
      <c r="C4538" s="4"/>
      <c r="D4538" s="4">
        <v>34.3190174417873</v>
      </c>
      <c r="E4538" s="4" t="s">
        <v>6782</v>
      </c>
      <c r="F4538" s="4"/>
      <c r="G4538" s="4"/>
      <c r="H4538" s="4"/>
      <c r="I4538" s="4" t="str">
        <f>IFERROR(__xludf.DUMMYFUNCTION("""COMPUTED_VALUE"""),"0xcf2d32cce8ac9bf7e3567c6d8e18d058c6e66e1f")</f>
        <v>0xcf2d32cce8ac9bf7e3567c6d8e18d058c6e66e1f</v>
      </c>
      <c r="J4538" s="18">
        <v>57.2845961573482</v>
      </c>
      <c r="K4538" s="4">
        <v>716.0574519668525</v>
      </c>
      <c r="L4538" s="19">
        <v>7.160574519668525E20</v>
      </c>
      <c r="M4538" s="20">
        <v>7.1605745196685255E19</v>
      </c>
    </row>
    <row r="4539">
      <c r="A4539" s="6"/>
      <c r="B4539" s="6"/>
      <c r="C4539" s="4"/>
      <c r="D4539" s="4">
        <v>5.31991184196138</v>
      </c>
      <c r="E4539" s="4" t="s">
        <v>6784</v>
      </c>
      <c r="F4539" s="4"/>
      <c r="G4539" s="4"/>
      <c r="H4539" s="4"/>
      <c r="I4539" s="4" t="str">
        <f>IFERROR(__xludf.DUMMYFUNCTION("""COMPUTED_VALUE"""),"0xde8335c6f4105175bea9ef1ea0a170a2f10df164")</f>
        <v>0xde8335c6f4105175bea9ef1ea0a170a2f10df164</v>
      </c>
      <c r="J4539" s="18">
        <v>186.01196020749998</v>
      </c>
      <c r="K4539" s="4">
        <v>2325.1495025937497</v>
      </c>
      <c r="L4539" s="19">
        <v>2.3251495025937497E21</v>
      </c>
      <c r="M4539" s="20">
        <v>2.3251495025937498E20</v>
      </c>
    </row>
    <row r="4540">
      <c r="A4540" s="6"/>
      <c r="B4540" s="6"/>
      <c r="C4540" s="4"/>
      <c r="D4540" s="4">
        <v>12.5746731758951</v>
      </c>
      <c r="E4540" s="4" t="s">
        <v>6786</v>
      </c>
      <c r="F4540" s="4"/>
      <c r="G4540" s="4"/>
      <c r="H4540" s="4"/>
      <c r="I4540" s="4" t="str">
        <f>IFERROR(__xludf.DUMMYFUNCTION("""COMPUTED_VALUE"""),"0xdd149cabf867dea8b58f75c26e6affc3531f784f")</f>
        <v>0xdd149cabf867dea8b58f75c26e6affc3531f784f</v>
      </c>
      <c r="J4540" s="18">
        <v>186.01196020749998</v>
      </c>
      <c r="K4540" s="4">
        <v>2325.1495025937497</v>
      </c>
      <c r="L4540" s="19">
        <v>2.3251495025937497E21</v>
      </c>
      <c r="M4540" s="20">
        <v>2.3251495025937498E20</v>
      </c>
    </row>
    <row r="4541">
      <c r="A4541" s="6"/>
      <c r="B4541" s="6"/>
      <c r="C4541" s="4"/>
      <c r="D4541" s="4">
        <v>34.6350175988092</v>
      </c>
      <c r="E4541" s="4" t="s">
        <v>6787</v>
      </c>
      <c r="F4541" s="4"/>
      <c r="G4541" s="4"/>
      <c r="H4541" s="4"/>
      <c r="I4541" s="4" t="str">
        <f>IFERROR(__xludf.DUMMYFUNCTION("""COMPUTED_VALUE"""),"0x06b75101418151a6adae4154251eb4aa2a7b7943")</f>
        <v>0x06b75101418151a6adae4154251eb4aa2a7b7943</v>
      </c>
      <c r="J4541" s="18">
        <v>186.01196020749998</v>
      </c>
      <c r="K4541" s="4">
        <v>2325.1495025937497</v>
      </c>
      <c r="L4541" s="19">
        <v>2.3251495025937497E21</v>
      </c>
      <c r="M4541" s="20">
        <v>2.3251495025937498E20</v>
      </c>
    </row>
    <row r="4542">
      <c r="A4542" s="6"/>
      <c r="B4542" s="6"/>
      <c r="C4542" s="4"/>
      <c r="D4542" s="4">
        <v>19.3456510398386</v>
      </c>
      <c r="E4542" s="4" t="s">
        <v>6789</v>
      </c>
      <c r="F4542" s="4"/>
      <c r="G4542" s="4"/>
      <c r="H4542" s="4"/>
      <c r="I4542" s="4" t="str">
        <f>IFERROR(__xludf.DUMMYFUNCTION("""COMPUTED_VALUE"""),"0xfbe86f8a0891aaf023012da7f82fa9f0b4210d8c")</f>
        <v>0xfbe86f8a0891aaf023012da7f82fa9f0b4210d8c</v>
      </c>
      <c r="J4542" s="18">
        <v>18.60119602075</v>
      </c>
      <c r="K4542" s="4">
        <v>232.51495025937498</v>
      </c>
      <c r="L4542" s="19">
        <v>2.3251495025937498E20</v>
      </c>
      <c r="M4542" s="20">
        <v>2.32514950259375E19</v>
      </c>
    </row>
    <row r="4543">
      <c r="A4543" s="6"/>
      <c r="B4543" s="6"/>
      <c r="C4543" s="4"/>
      <c r="D4543" s="4">
        <v>4.64680604446964</v>
      </c>
      <c r="E4543" s="4" t="s">
        <v>6790</v>
      </c>
      <c r="F4543" s="4"/>
      <c r="G4543" s="4"/>
      <c r="H4543" s="4"/>
      <c r="I4543" s="4" t="str">
        <f>IFERROR(__xludf.DUMMYFUNCTION("""COMPUTED_VALUE"""),"0xd01f9938448a3897765b5a26d092a3d9033d65f2")</f>
        <v>0xd01f9938448a3897765b5a26d092a3d9033d65f2</v>
      </c>
      <c r="J4543" s="18">
        <v>18.715789344156</v>
      </c>
      <c r="K4543" s="4">
        <v>233.94736680195</v>
      </c>
      <c r="L4543" s="19">
        <v>2.3394736680195E20</v>
      </c>
      <c r="M4543" s="20">
        <v>2.3394736680195002E19</v>
      </c>
    </row>
    <row r="4544">
      <c r="A4544" s="6"/>
      <c r="B4544" s="6"/>
      <c r="C4544" s="4"/>
      <c r="D4544" s="4">
        <v>48.3641275995966</v>
      </c>
      <c r="E4544" s="4" t="s">
        <v>6792</v>
      </c>
      <c r="F4544" s="4"/>
      <c r="G4544" s="4"/>
      <c r="H4544" s="4"/>
      <c r="I4544" s="4" t="str">
        <f>IFERROR(__xludf.DUMMYFUNCTION("""COMPUTED_VALUE"""),"0xead795f2c5cccdfce4b59bce54a6f98a578cd9c3")</f>
        <v>0xead795f2c5cccdfce4b59bce54a6f98a578cd9c3</v>
      </c>
      <c r="J4544" s="18">
        <v>54.5027956800963</v>
      </c>
      <c r="K4544" s="4">
        <v>681.2849460012037</v>
      </c>
      <c r="L4544" s="19">
        <v>6.812849460012037E20</v>
      </c>
      <c r="M4544" s="20">
        <v>6.812849460012037E19</v>
      </c>
    </row>
    <row r="4545">
      <c r="A4545" s="6"/>
      <c r="B4545" s="6"/>
      <c r="C4545" s="4"/>
      <c r="D4545" s="4">
        <v>19.539107550237</v>
      </c>
      <c r="E4545" s="4" t="s">
        <v>6793</v>
      </c>
      <c r="F4545" s="4"/>
      <c r="G4545" s="4"/>
      <c r="H4545" s="4"/>
      <c r="I4545" s="4" t="str">
        <f>IFERROR(__xludf.DUMMYFUNCTION("""COMPUTED_VALUE"""),"0xb4125baf8fc1ab989d4bed00ca56fec94faf1cfb")</f>
        <v>0xb4125baf8fc1ab989d4bed00ca56fec94faf1cfb</v>
      </c>
      <c r="J4545" s="18">
        <v>9.06028104026804</v>
      </c>
      <c r="K4545" s="4">
        <v>113.25351300335049</v>
      </c>
      <c r="L4545" s="19">
        <v>1.1325351300335049E20</v>
      </c>
      <c r="M4545" s="20">
        <v>1.132535130033505E19</v>
      </c>
    </row>
    <row r="4546">
      <c r="A4546" s="6"/>
      <c r="B4546" s="6"/>
      <c r="C4546" s="4"/>
      <c r="D4546" s="4">
        <v>10.4466515615128</v>
      </c>
      <c r="E4546" s="4" t="s">
        <v>6794</v>
      </c>
      <c r="F4546" s="4"/>
      <c r="G4546" s="4"/>
      <c r="H4546" s="4"/>
      <c r="I4546" s="4" t="str">
        <f>IFERROR(__xludf.DUMMYFUNCTION("""COMPUTED_VALUE"""),"0x33bf568ef0f436b009a81520f9bccf8e2124d18d")</f>
        <v>0x33bf568ef0f436b009a81520f9bccf8e2124d18d</v>
      </c>
      <c r="J4546" s="18">
        <v>186.01196020749998</v>
      </c>
      <c r="K4546" s="4">
        <v>2325.1495025937497</v>
      </c>
      <c r="L4546" s="19">
        <v>2.3251495025937497E21</v>
      </c>
      <c r="M4546" s="20">
        <v>2.3251495025937498E20</v>
      </c>
    </row>
    <row r="4547">
      <c r="A4547" s="6"/>
      <c r="B4547" s="6"/>
      <c r="C4547" s="4"/>
      <c r="D4547" s="4">
        <v>48.3641275995966</v>
      </c>
      <c r="E4547" s="4" t="s">
        <v>1675</v>
      </c>
      <c r="F4547" s="4"/>
      <c r="G4547" s="4"/>
      <c r="H4547" s="4"/>
      <c r="I4547" s="4" t="str">
        <f>IFERROR(__xludf.DUMMYFUNCTION("""COMPUTED_VALUE"""),"0xea39de06c77003576c7844f5d6d8563858479815")</f>
        <v>0xea39de06c77003576c7844f5d6d8563858479815</v>
      </c>
      <c r="J4547" s="18">
        <v>55.8035880622502</v>
      </c>
      <c r="K4547" s="4">
        <v>697.5448507781275</v>
      </c>
      <c r="L4547" s="19">
        <v>6.975448507781275E20</v>
      </c>
      <c r="M4547" s="20">
        <v>6.975448507781275E19</v>
      </c>
    </row>
    <row r="4548">
      <c r="A4548" s="6"/>
      <c r="B4548" s="6"/>
      <c r="C4548" s="4"/>
      <c r="D4548" s="4">
        <v>48.3641275995966</v>
      </c>
      <c r="E4548" s="4" t="s">
        <v>6795</v>
      </c>
      <c r="F4548" s="4"/>
      <c r="G4548" s="4"/>
      <c r="H4548" s="4"/>
      <c r="I4548" s="4" t="str">
        <f>IFERROR(__xludf.DUMMYFUNCTION("""COMPUTED_VALUE"""),"0xf8235c1a7e1b75545162e8b6235e5e7db9f5838a")</f>
        <v>0xf8235c1a7e1b75545162e8b6235e5e7db9f5838a</v>
      </c>
      <c r="J4548" s="18">
        <v>186.01196020749998</v>
      </c>
      <c r="K4548" s="4">
        <v>2325.1495025937497</v>
      </c>
      <c r="L4548" s="19">
        <v>2.3251495025937497E21</v>
      </c>
      <c r="M4548" s="20">
        <v>2.3251495025937498E20</v>
      </c>
    </row>
    <row r="4549">
      <c r="A4549" s="6"/>
      <c r="B4549" s="6"/>
      <c r="C4549" s="4"/>
      <c r="D4549" s="4">
        <v>14.547535441252801</v>
      </c>
      <c r="E4549" s="4" t="s">
        <v>6796</v>
      </c>
      <c r="F4549" s="4"/>
      <c r="G4549" s="4"/>
      <c r="H4549" s="4"/>
      <c r="I4549" s="4" t="str">
        <f>IFERROR(__xludf.DUMMYFUNCTION("""COMPUTED_VALUE"""),"0x4aa2fad040577102be6e879066da2460c4b8e148")</f>
        <v>0x4aa2fad040577102be6e879066da2460c4b8e148</v>
      </c>
      <c r="J4549" s="18">
        <v>113.786959227398</v>
      </c>
      <c r="K4549" s="4">
        <v>1422.336990342475</v>
      </c>
      <c r="L4549" s="19">
        <v>1.422336990342475E21</v>
      </c>
      <c r="M4549" s="20">
        <v>1.422336990342475E20</v>
      </c>
    </row>
    <row r="4550">
      <c r="A4550" s="6"/>
      <c r="B4550" s="6"/>
      <c r="C4550" s="4"/>
      <c r="D4550" s="4">
        <v>48.3641275995966</v>
      </c>
      <c r="E4550" s="4" t="s">
        <v>6798</v>
      </c>
      <c r="F4550" s="4"/>
      <c r="G4550" s="4"/>
      <c r="H4550" s="4"/>
      <c r="I4550" s="4" t="str">
        <f>IFERROR(__xludf.DUMMYFUNCTION("""COMPUTED_VALUE"""),"0x806c00b4f2248514e5f6cc5567f67908af8656dc")</f>
        <v>0x806c00b4f2248514e5f6cc5567f67908af8656dc</v>
      </c>
      <c r="J4550" s="18">
        <v>60.4194126286664</v>
      </c>
      <c r="K4550" s="4">
        <v>755.24265785833</v>
      </c>
      <c r="L4550" s="19">
        <v>7.552426578583299E20</v>
      </c>
      <c r="M4550" s="20">
        <v>7.5524265785833E19</v>
      </c>
    </row>
    <row r="4551">
      <c r="A4551" s="6"/>
      <c r="B4551" s="6"/>
      <c r="C4551" s="4"/>
      <c r="D4551" s="4">
        <v>24.1820637997983</v>
      </c>
      <c r="E4551" s="4" t="s">
        <v>6799</v>
      </c>
      <c r="F4551" s="4"/>
      <c r="G4551" s="4"/>
      <c r="H4551" s="4"/>
      <c r="I4551" s="4" t="str">
        <f>IFERROR(__xludf.DUMMYFUNCTION("""COMPUTED_VALUE"""),"0x56c00c1cbd3196a09b6e6aacd18296ac93bc4f58")</f>
        <v>0x56c00c1cbd3196a09b6e6aacd18296ac93bc4f58</v>
      </c>
      <c r="J4551" s="18">
        <v>96.1172892335362</v>
      </c>
      <c r="K4551" s="4">
        <v>1201.4661154192024</v>
      </c>
      <c r="L4551" s="19">
        <v>1.2014661154192024E21</v>
      </c>
      <c r="M4551" s="20">
        <v>1.2014661154192025E20</v>
      </c>
    </row>
    <row r="4552">
      <c r="A4552" s="6"/>
      <c r="B4552" s="6"/>
      <c r="C4552" s="4"/>
      <c r="D4552" s="4">
        <v>48.3641275995966</v>
      </c>
      <c r="E4552" s="4" t="s">
        <v>6800</v>
      </c>
      <c r="F4552" s="4"/>
      <c r="G4552" s="4"/>
      <c r="H4552" s="4"/>
      <c r="I4552" s="4" t="str">
        <f>IFERROR(__xludf.DUMMYFUNCTION("""COMPUTED_VALUE"""),"0x4f8999cf2b555c929087b05c2529fb21629635fc")</f>
        <v>0x4f8999cf2b555c929087b05c2529fb21629635fc</v>
      </c>
      <c r="J4552" s="18">
        <v>45.7459386707601</v>
      </c>
      <c r="K4552" s="4">
        <v>571.8242333845012</v>
      </c>
      <c r="L4552" s="19">
        <v>5.718242333845012E20</v>
      </c>
      <c r="M4552" s="20">
        <v>5.7182423338450125E19</v>
      </c>
    </row>
    <row r="4553">
      <c r="A4553" s="6"/>
      <c r="B4553" s="6"/>
      <c r="C4553" s="4"/>
      <c r="D4553" s="4">
        <v>11.9301263594479</v>
      </c>
      <c r="E4553" s="4" t="s">
        <v>6801</v>
      </c>
      <c r="F4553" s="4"/>
      <c r="G4553" s="4"/>
      <c r="H4553" s="4"/>
      <c r="I4553" s="4" t="str">
        <f>IFERROR(__xludf.DUMMYFUNCTION("""COMPUTED_VALUE"""),"0x3249c72d2dabf00f8d2083de9852f0900da5b3d4")</f>
        <v>0x3249c72d2dabf00f8d2083de9852f0900da5b3d4</v>
      </c>
      <c r="J4553" s="18">
        <v>54.4543975438322</v>
      </c>
      <c r="K4553" s="4">
        <v>680.6799692979025</v>
      </c>
      <c r="L4553" s="19">
        <v>6.806799692979025E20</v>
      </c>
      <c r="M4553" s="20">
        <v>6.806799692979025E19</v>
      </c>
    </row>
    <row r="4554">
      <c r="A4554" s="6"/>
      <c r="B4554" s="6"/>
      <c r="C4554" s="4"/>
      <c r="D4554" s="4">
        <v>42.0894198934672</v>
      </c>
      <c r="E4554" s="4" t="s">
        <v>6803</v>
      </c>
      <c r="F4554" s="4"/>
      <c r="G4554" s="4"/>
      <c r="H4554" s="4"/>
      <c r="I4554" s="4" t="str">
        <f>IFERROR(__xludf.DUMMYFUNCTION("""COMPUTED_VALUE"""),"0x902f7fc73d9535a7319eb07af0745679a2b4f653")</f>
        <v>0x902f7fc73d9535a7319eb07af0745679a2b4f653</v>
      </c>
      <c r="J4554" s="18">
        <v>95.6037925405393</v>
      </c>
      <c r="K4554" s="4">
        <v>1195.0474067567413</v>
      </c>
      <c r="L4554" s="19">
        <v>1.1950474067567413E21</v>
      </c>
      <c r="M4554" s="20">
        <v>1.1950474067567413E20</v>
      </c>
    </row>
    <row r="4555">
      <c r="A4555" s="6"/>
      <c r="B4555" s="6"/>
      <c r="C4555" s="4"/>
      <c r="D4555" s="4">
        <v>39.832583065807796</v>
      </c>
      <c r="E4555" s="4" t="s">
        <v>6805</v>
      </c>
      <c r="F4555" s="4"/>
      <c r="G4555" s="4"/>
      <c r="H4555" s="4"/>
      <c r="I4555" s="4" t="str">
        <f>IFERROR(__xludf.DUMMYFUNCTION("""COMPUTED_VALUE"""),"0x93cc2c26e8a606b7f18697e1713a64b2163619fb")</f>
        <v>0x93cc2c26e8a606b7f18697e1713a64b2163619fb</v>
      </c>
      <c r="J4555" s="18">
        <v>11.832420846894399</v>
      </c>
      <c r="K4555" s="4">
        <v>147.90526058618</v>
      </c>
      <c r="L4555" s="19">
        <v>1.4790526058618E20</v>
      </c>
      <c r="M4555" s="20">
        <v>1.4790526058618E19</v>
      </c>
    </row>
    <row r="4556">
      <c r="A4556" s="6"/>
      <c r="B4556" s="6"/>
      <c r="C4556" s="4"/>
      <c r="D4556" s="4">
        <v>4.930540563365651</v>
      </c>
      <c r="E4556" s="4" t="s">
        <v>6807</v>
      </c>
      <c r="F4556" s="4"/>
      <c r="G4556" s="4"/>
      <c r="H4556" s="4"/>
      <c r="I4556" s="4" t="str">
        <f>IFERROR(__xludf.DUMMYFUNCTION("""COMPUTED_VALUE"""),"0x41aaf6262a24f771202f3e10583e29885f518c0b")</f>
        <v>0x41aaf6262a24f771202f3e10583e29885f518c0b</v>
      </c>
      <c r="J4556" s="18">
        <v>37.0831658910415</v>
      </c>
      <c r="K4556" s="4">
        <v>463.5395736380188</v>
      </c>
      <c r="L4556" s="19">
        <v>4.635395736380188E20</v>
      </c>
      <c r="M4556" s="20">
        <v>4.635395736380188E19</v>
      </c>
    </row>
    <row r="4557">
      <c r="A4557" s="6"/>
      <c r="B4557" s="6"/>
      <c r="C4557" s="4"/>
      <c r="D4557" s="4">
        <v>30.085042923913498</v>
      </c>
      <c r="E4557" s="4" t="s">
        <v>6809</v>
      </c>
      <c r="F4557" s="4"/>
      <c r="G4557" s="4"/>
      <c r="H4557" s="4"/>
      <c r="I4557" s="4" t="str">
        <f>IFERROR(__xludf.DUMMYFUNCTION("""COMPUTED_VALUE"""),"0x6c0fb935267deb420de53755b88e05334ac732d5")</f>
        <v>0x6c0fb935267deb420de53755b88e05334ac732d5</v>
      </c>
      <c r="J4557" s="18">
        <v>37.5744159619151</v>
      </c>
      <c r="K4557" s="4">
        <v>469.68019952393877</v>
      </c>
      <c r="L4557" s="19">
        <v>4.696801995239388E20</v>
      </c>
      <c r="M4557" s="20">
        <v>4.696801995239388E19</v>
      </c>
    </row>
    <row r="4558">
      <c r="A4558" s="6"/>
      <c r="B4558" s="6"/>
      <c r="C4558" s="4"/>
      <c r="D4558" s="4">
        <v>48.3641275995966</v>
      </c>
      <c r="E4558" s="4" t="s">
        <v>6811</v>
      </c>
      <c r="F4558" s="4"/>
      <c r="G4558" s="4"/>
      <c r="H4558" s="4"/>
      <c r="I4558" s="4" t="str">
        <f>IFERROR(__xludf.DUMMYFUNCTION("""COMPUTED_VALUE"""),"0x99083d2975324295b1d1833aed085e8ecc007334")</f>
        <v>0x99083d2975324295b1d1833aed085e8ecc007334</v>
      </c>
      <c r="J4558" s="18">
        <v>53.5714445397602</v>
      </c>
      <c r="K4558" s="4">
        <v>669.6430567470024</v>
      </c>
      <c r="L4558" s="19">
        <v>6.696430567470025E20</v>
      </c>
      <c r="M4558" s="20">
        <v>6.696430567470025E19</v>
      </c>
    </row>
    <row r="4559">
      <c r="A4559" s="6"/>
      <c r="B4559" s="6"/>
      <c r="C4559" s="4"/>
      <c r="D4559" s="4">
        <v>9.728128616507629</v>
      </c>
      <c r="E4559" s="4" t="s">
        <v>6812</v>
      </c>
      <c r="F4559" s="4"/>
      <c r="G4559" s="4"/>
      <c r="H4559" s="4"/>
      <c r="I4559" s="4" t="str">
        <f>IFERROR(__xludf.DUMMYFUNCTION("""COMPUTED_VALUE"""),"0x1382f8008676aeaa35ebdf3cead1a25b296fe2fa")</f>
        <v>0x1382f8008676aeaa35ebdf3cead1a25b296fe2fa</v>
      </c>
      <c r="J4559" s="18">
        <v>46.6890020120827</v>
      </c>
      <c r="K4559" s="4">
        <v>583.6125251510338</v>
      </c>
      <c r="L4559" s="19">
        <v>5.8361252515103375E20</v>
      </c>
      <c r="M4559" s="20">
        <v>5.8361252515103375E19</v>
      </c>
    </row>
    <row r="4560">
      <c r="A4560" s="6"/>
      <c r="B4560" s="6"/>
      <c r="C4560" s="4"/>
      <c r="D4560" s="4">
        <v>48.3641275995966</v>
      </c>
      <c r="E4560" s="4" t="s">
        <v>6814</v>
      </c>
      <c r="F4560" s="4"/>
      <c r="G4560" s="4"/>
      <c r="H4560" s="4"/>
      <c r="I4560" s="4" t="str">
        <f>IFERROR(__xludf.DUMMYFUNCTION("""COMPUTED_VALUE"""),"0xd836fe40e5850edb33e62cff49661aadacde2f31")</f>
        <v>0xd836fe40e5850edb33e62cff49661aadacde2f31</v>
      </c>
      <c r="J4560" s="18">
        <v>10.0074435233843</v>
      </c>
      <c r="K4560" s="4">
        <v>125.09304404230375</v>
      </c>
      <c r="L4560" s="19">
        <v>1.2509304404230375E20</v>
      </c>
      <c r="M4560" s="20">
        <v>1.2509304404230375E19</v>
      </c>
    </row>
    <row r="4561">
      <c r="A4561" s="6"/>
      <c r="B4561" s="6"/>
      <c r="C4561" s="4"/>
      <c r="D4561" s="4">
        <v>12.5746731758951</v>
      </c>
      <c r="E4561" s="4" t="s">
        <v>6815</v>
      </c>
      <c r="F4561" s="4"/>
      <c r="G4561" s="4"/>
      <c r="H4561" s="4"/>
      <c r="I4561" s="4" t="str">
        <f>IFERROR(__xludf.DUMMYFUNCTION("""COMPUTED_VALUE"""),"0x18d4a541cca473beae78df98cc652cb31b09224c")</f>
        <v>0x18d4a541cca473beae78df98cc652cb31b09224c</v>
      </c>
      <c r="J4561" s="18">
        <v>18.60119602075</v>
      </c>
      <c r="K4561" s="4">
        <v>232.51495025937498</v>
      </c>
      <c r="L4561" s="19">
        <v>2.3251495025937498E20</v>
      </c>
      <c r="M4561" s="20">
        <v>2.32514950259375E19</v>
      </c>
    </row>
    <row r="4562">
      <c r="A4562" s="6"/>
      <c r="B4562" s="6"/>
      <c r="C4562" s="4"/>
      <c r="D4562" s="4">
        <v>3.1336305575489103</v>
      </c>
      <c r="E4562" s="4" t="s">
        <v>6816</v>
      </c>
      <c r="F4562" s="4"/>
      <c r="G4562" s="4"/>
      <c r="H4562" s="4"/>
      <c r="I4562" s="4" t="str">
        <f>IFERROR(__xludf.DUMMYFUNCTION("""COMPUTED_VALUE"""),"0xbd8d4c049f2ca60d29d5dae2326efa77cc976a6e")</f>
        <v>0xbd8d4c049f2ca60d29d5dae2326efa77cc976a6e</v>
      </c>
      <c r="J4562" s="18">
        <v>55.8035880622502</v>
      </c>
      <c r="K4562" s="4">
        <v>697.5448507781275</v>
      </c>
      <c r="L4562" s="19">
        <v>6.975448507781275E20</v>
      </c>
      <c r="M4562" s="20">
        <v>6.975448507781275E19</v>
      </c>
    </row>
    <row r="4563">
      <c r="A4563" s="6"/>
      <c r="B4563" s="6"/>
      <c r="C4563" s="4"/>
      <c r="D4563" s="4">
        <v>48.3641275995966</v>
      </c>
      <c r="E4563" s="4" t="s">
        <v>6818</v>
      </c>
      <c r="F4563" s="4"/>
      <c r="G4563" s="4"/>
      <c r="H4563" s="4"/>
      <c r="I4563" s="4" t="str">
        <f>IFERROR(__xludf.DUMMYFUNCTION("""COMPUTED_VALUE"""),"0xf5652f712867ead6c824e6b242796d7d5ccae405")</f>
        <v>0xf5652f712867ead6c824e6b242796d7d5ccae405</v>
      </c>
      <c r="J4563" s="18">
        <v>56.4379883672348</v>
      </c>
      <c r="K4563" s="4">
        <v>705.474854590435</v>
      </c>
      <c r="L4563" s="19">
        <v>7.05474854590435E20</v>
      </c>
      <c r="M4563" s="20">
        <v>7.054748545904351E19</v>
      </c>
    </row>
    <row r="4564">
      <c r="A4564" s="6"/>
      <c r="B4564" s="6"/>
      <c r="C4564" s="4"/>
      <c r="D4564" s="4">
        <v>48.3641275995966</v>
      </c>
      <c r="E4564" s="4" t="s">
        <v>6819</v>
      </c>
      <c r="F4564" s="4"/>
      <c r="G4564" s="4"/>
      <c r="H4564" s="4"/>
      <c r="I4564" s="4" t="str">
        <f>IFERROR(__xludf.DUMMYFUNCTION("""COMPUTED_VALUE"""),"0x080182970f8cf8ebfd7db1d359fb81d32680208b")</f>
        <v>0x080182970f8cf8ebfd7db1d359fb81d32680208b</v>
      </c>
      <c r="J4564" s="18">
        <v>48.2097381869883</v>
      </c>
      <c r="K4564" s="4">
        <v>602.6217273373537</v>
      </c>
      <c r="L4564" s="19">
        <v>6.026217273373537E20</v>
      </c>
      <c r="M4564" s="20">
        <v>6.026217273373537E19</v>
      </c>
    </row>
    <row r="4565">
      <c r="A4565" s="6"/>
      <c r="B4565" s="6"/>
      <c r="C4565" s="4"/>
      <c r="D4565" s="4">
        <v>48.3641275995966</v>
      </c>
      <c r="E4565" s="4" t="s">
        <v>6820</v>
      </c>
      <c r="F4565" s="4"/>
      <c r="G4565" s="4"/>
      <c r="H4565" s="4"/>
      <c r="I4565" s="4" t="str">
        <f>IFERROR(__xludf.DUMMYFUNCTION("""COMPUTED_VALUE"""),"0xea9d77b53c8f97e7730fbbc0b3a310f234b88c70")</f>
        <v>0xea9d77b53c8f97e7730fbbc0b3a310f234b88c70</v>
      </c>
      <c r="J4565" s="18">
        <v>120.907789755973</v>
      </c>
      <c r="K4565" s="4">
        <v>1511.3473719496624</v>
      </c>
      <c r="L4565" s="19">
        <v>1.5113473719496624E21</v>
      </c>
      <c r="M4565" s="20">
        <v>1.5113473719496625E20</v>
      </c>
    </row>
    <row r="4566">
      <c r="A4566" s="6"/>
      <c r="B4566" s="6"/>
      <c r="C4566" s="4"/>
      <c r="D4566" s="4">
        <v>48.3641275995966</v>
      </c>
      <c r="E4566" s="4" t="s">
        <v>6821</v>
      </c>
      <c r="F4566" s="4"/>
      <c r="G4566" s="4"/>
      <c r="H4566" s="4"/>
      <c r="I4566" s="4" t="str">
        <f>IFERROR(__xludf.DUMMYFUNCTION("""COMPUTED_VALUE"""),"0x534e1a069b52116ca1276493db4455d3597227a5")</f>
        <v>0x534e1a069b52116ca1276493db4455d3597227a5</v>
      </c>
      <c r="J4566" s="18">
        <v>111.623820597281</v>
      </c>
      <c r="K4566" s="4">
        <v>1395.2977574660124</v>
      </c>
      <c r="L4566" s="19">
        <v>1.3952977574660124E21</v>
      </c>
      <c r="M4566" s="20">
        <v>1.3952977574660125E20</v>
      </c>
    </row>
    <row r="4567">
      <c r="A4567" s="6"/>
      <c r="B4567" s="6"/>
      <c r="C4567" s="4"/>
      <c r="D4567" s="4">
        <v>19.3456510398386</v>
      </c>
      <c r="E4567" s="4" t="s">
        <v>6822</v>
      </c>
      <c r="F4567" s="4"/>
      <c r="G4567" s="4"/>
      <c r="H4567" s="4"/>
      <c r="I4567" s="4" t="str">
        <f>IFERROR(__xludf.DUMMYFUNCTION("""COMPUTED_VALUE"""),"0xcc4076710723e840ad4072bbf8e12f24182d7be7")</f>
        <v>0xcc4076710723e840ad4072bbf8e12f24182d7be7</v>
      </c>
      <c r="J4567" s="18">
        <v>54.654241510901706</v>
      </c>
      <c r="K4567" s="4">
        <v>683.1780188862713</v>
      </c>
      <c r="L4567" s="19">
        <v>6.831780188862712E20</v>
      </c>
      <c r="M4567" s="20">
        <v>6.831780188862713E19</v>
      </c>
    </row>
    <row r="4568">
      <c r="A4568" s="6"/>
      <c r="B4568" s="6"/>
      <c r="C4568" s="4"/>
      <c r="D4568" s="4">
        <v>19.6011526694043</v>
      </c>
      <c r="E4568" s="4" t="s">
        <v>6823</v>
      </c>
      <c r="F4568" s="4"/>
      <c r="G4568" s="4"/>
      <c r="H4568" s="4"/>
      <c r="I4568" s="4" t="str">
        <f>IFERROR(__xludf.DUMMYFUNCTION("""COMPUTED_VALUE"""),"0xe955e195616f1ce066da97ebf12e028e3e61782a")</f>
        <v>0xe955e195616f1ce066da97ebf12e028e3e61782a</v>
      </c>
      <c r="J4568" s="18">
        <v>93.48536805133169</v>
      </c>
      <c r="K4568" s="4">
        <v>1168.567100641646</v>
      </c>
      <c r="L4568" s="19">
        <v>1.168567100641646E21</v>
      </c>
      <c r="M4568" s="20">
        <v>1.168567100641646E20</v>
      </c>
    </row>
    <row r="4569">
      <c r="A4569" s="6"/>
      <c r="B4569" s="6"/>
      <c r="C4569" s="4"/>
      <c r="D4569" s="4">
        <v>48.3641275995966</v>
      </c>
      <c r="E4569" s="4" t="s">
        <v>6825</v>
      </c>
      <c r="F4569" s="4"/>
      <c r="G4569" s="4"/>
      <c r="H4569" s="4"/>
      <c r="I4569" s="4" t="str">
        <f>IFERROR(__xludf.DUMMYFUNCTION("""COMPUTED_VALUE"""),"0x7e9d5da81c3826465d6958a3ff804d1f48dbece1")</f>
        <v>0x7e9d5da81c3826465d6958a3ff804d1f48dbece1</v>
      </c>
      <c r="J4569" s="18">
        <v>186.01196020749998</v>
      </c>
      <c r="K4569" s="4">
        <v>2325.1495025937497</v>
      </c>
      <c r="L4569" s="19">
        <v>2.3251495025937497E21</v>
      </c>
      <c r="M4569" s="20">
        <v>2.3251495025937498E20</v>
      </c>
    </row>
    <row r="4570">
      <c r="A4570" s="6"/>
      <c r="B4570" s="6"/>
      <c r="C4570" s="4"/>
      <c r="D4570" s="4">
        <v>19.3456510398386</v>
      </c>
      <c r="E4570" s="4" t="s">
        <v>6826</v>
      </c>
      <c r="F4570" s="4"/>
      <c r="G4570" s="4"/>
      <c r="H4570" s="4"/>
      <c r="I4570" s="4" t="str">
        <f>IFERROR(__xludf.DUMMYFUNCTION("""COMPUTED_VALUE"""),"0x7ebabcbbb3c3afc3ec944783d6306b80bb5f87fb")</f>
        <v>0x7ebabcbbb3c3afc3ec944783d6306b80bb5f87fb</v>
      </c>
      <c r="J4570" s="18">
        <v>186.01196020749998</v>
      </c>
      <c r="K4570" s="4">
        <v>2325.1495025937497</v>
      </c>
      <c r="L4570" s="19">
        <v>2.3251495025937497E21</v>
      </c>
      <c r="M4570" s="20">
        <v>2.3251495025937498E20</v>
      </c>
    </row>
    <row r="4571">
      <c r="A4571" s="6"/>
      <c r="B4571" s="6"/>
      <c r="C4571" s="4"/>
      <c r="D4571" s="4">
        <v>9.72576129144271</v>
      </c>
      <c r="E4571" s="4" t="s">
        <v>6827</v>
      </c>
      <c r="F4571" s="4"/>
      <c r="G4571" s="4"/>
      <c r="H4571" s="4"/>
      <c r="I4571" s="4" t="str">
        <f>IFERROR(__xludf.DUMMYFUNCTION("""COMPUTED_VALUE"""),"0x58962a62935093e55abb3b28d98947dd7309d709")</f>
        <v>0x58962a62935093e55abb3b28d98947dd7309d709</v>
      </c>
      <c r="J4571" s="18">
        <v>52.0833488581002</v>
      </c>
      <c r="K4571" s="4">
        <v>651.0418607262525</v>
      </c>
      <c r="L4571" s="19">
        <v>6.510418607262525E20</v>
      </c>
      <c r="M4571" s="20">
        <v>6.510418607262525E19</v>
      </c>
    </row>
    <row r="4572">
      <c r="A4572" s="6"/>
      <c r="B4572" s="6"/>
      <c r="C4572" s="4"/>
      <c r="D4572" s="4">
        <v>9.430757221808259</v>
      </c>
      <c r="E4572" s="4" t="s">
        <v>6829</v>
      </c>
      <c r="F4572" s="4"/>
      <c r="G4572" s="4"/>
      <c r="H4572" s="4"/>
      <c r="I4572" s="4" t="str">
        <f>IFERROR(__xludf.DUMMYFUNCTION("""COMPUTED_VALUE"""),"0x293aca44d7184cd15d42faa2f9753beffae06651")</f>
        <v>0x293aca44d7184cd15d42faa2f9753beffae06651</v>
      </c>
      <c r="J4572" s="18">
        <v>23.2514950259376</v>
      </c>
      <c r="K4572" s="4">
        <v>290.64368782422</v>
      </c>
      <c r="L4572" s="19">
        <v>2.9064368782422003E20</v>
      </c>
      <c r="M4572" s="20">
        <v>2.9064368782422004E19</v>
      </c>
    </row>
    <row r="4573">
      <c r="A4573" s="6"/>
      <c r="B4573" s="6"/>
      <c r="C4573" s="4"/>
      <c r="D4573" s="4">
        <v>19.152194529440198</v>
      </c>
      <c r="E4573" s="4" t="s">
        <v>6831</v>
      </c>
      <c r="F4573" s="4"/>
      <c r="G4573" s="4"/>
      <c r="H4573" s="4"/>
      <c r="I4573" s="4" t="str">
        <f>IFERROR(__xludf.DUMMYFUNCTION("""COMPUTED_VALUE"""),"0x426ce5b0d3b2561acb63dab5d27f07cfc9097c18")</f>
        <v>0x426ce5b0d3b2561acb63dab5d27f07cfc9097c18</v>
      </c>
      <c r="J4573" s="18">
        <v>175.69242325486297</v>
      </c>
      <c r="K4573" s="4">
        <v>2196.155290685787</v>
      </c>
      <c r="L4573" s="19">
        <v>2.1961552906857868E21</v>
      </c>
      <c r="M4573" s="20">
        <v>2.196155290685787E20</v>
      </c>
    </row>
    <row r="4574">
      <c r="A4574" s="6"/>
      <c r="B4574" s="6"/>
      <c r="C4574" s="4"/>
      <c r="D4574" s="4">
        <v>26.620199547149202</v>
      </c>
      <c r="E4574" s="4" t="s">
        <v>6833</v>
      </c>
      <c r="F4574" s="4"/>
      <c r="G4574" s="4"/>
      <c r="H4574" s="4"/>
      <c r="I4574" s="4" t="str">
        <f>IFERROR(__xludf.DUMMYFUNCTION("""COMPUTED_VALUE"""),"0x43d8bf34ec29352c3d5b7851ee8ec9887cd397b9")</f>
        <v>0x43d8bf34ec29352c3d5b7851ee8ec9887cd397b9</v>
      </c>
      <c r="J4574" s="18">
        <v>55.8035880622502</v>
      </c>
      <c r="K4574" s="4">
        <v>697.5448507781275</v>
      </c>
      <c r="L4574" s="19">
        <v>6.975448507781275E20</v>
      </c>
      <c r="M4574" s="20">
        <v>6.975448507781275E19</v>
      </c>
    </row>
    <row r="4575">
      <c r="A4575" s="6"/>
      <c r="B4575" s="6"/>
      <c r="C4575" s="4"/>
      <c r="D4575" s="4">
        <v>48.3641275995966</v>
      </c>
      <c r="E4575" s="4" t="s">
        <v>6835</v>
      </c>
      <c r="F4575" s="4"/>
      <c r="G4575" s="4"/>
      <c r="H4575" s="4"/>
      <c r="I4575" s="4" t="str">
        <f>IFERROR(__xludf.DUMMYFUNCTION("""COMPUTED_VALUE"""),"0xc74009f15699078ccca90fd90e12eae5b23e7958")</f>
        <v>0xc74009f15699078ccca90fd90e12eae5b23e7958</v>
      </c>
      <c r="J4575" s="18">
        <v>186.01196020749998</v>
      </c>
      <c r="K4575" s="4">
        <v>2325.1495025937497</v>
      </c>
      <c r="L4575" s="19">
        <v>2.3251495025937497E21</v>
      </c>
      <c r="M4575" s="20">
        <v>2.3251495025937498E20</v>
      </c>
    </row>
    <row r="4576">
      <c r="A4576" s="6"/>
      <c r="B4576" s="6"/>
      <c r="C4576" s="4"/>
      <c r="D4576" s="4">
        <v>6.16156378353402</v>
      </c>
      <c r="E4576" s="4" t="s">
        <v>6836</v>
      </c>
      <c r="F4576" s="4"/>
      <c r="G4576" s="4"/>
      <c r="H4576" s="4"/>
      <c r="I4576" s="4" t="str">
        <f>IFERROR(__xludf.DUMMYFUNCTION("""COMPUTED_VALUE"""),"0xaf0d394efc244020f5a5fb33a721721d555d8d7d")</f>
        <v>0xaf0d394efc244020f5a5fb33a721721d555d8d7d</v>
      </c>
      <c r="J4576" s="18">
        <v>6.410098355816291</v>
      </c>
      <c r="K4576" s="4">
        <v>80.12622944770364</v>
      </c>
      <c r="L4576" s="19">
        <v>8.012622944770364E19</v>
      </c>
      <c r="M4576" s="20">
        <v>8.012622944770364E18</v>
      </c>
    </row>
    <row r="4577">
      <c r="A4577" s="6"/>
      <c r="B4577" s="6"/>
      <c r="C4577" s="4"/>
      <c r="D4577" s="4">
        <v>0.126998571222701</v>
      </c>
      <c r="E4577" s="4" t="s">
        <v>6838</v>
      </c>
      <c r="F4577" s="4"/>
      <c r="G4577" s="4"/>
      <c r="H4577" s="4"/>
      <c r="I4577" s="4" t="str">
        <f>IFERROR(__xludf.DUMMYFUNCTION("""COMPUTED_VALUE"""),"0xaf411a791eb145f9a5fe9d01b48b07d5b6e4ff57")</f>
        <v>0xaf411a791eb145f9a5fe9d01b48b07d5b6e4ff57</v>
      </c>
      <c r="J4577" s="18">
        <v>26.644353180122398</v>
      </c>
      <c r="K4577" s="4">
        <v>333.05441475153</v>
      </c>
      <c r="L4577" s="19">
        <v>3.3305441475152996E20</v>
      </c>
      <c r="M4577" s="20">
        <v>3.3305441475153E19</v>
      </c>
    </row>
    <row r="4578">
      <c r="A4578" s="6"/>
      <c r="B4578" s="6"/>
      <c r="C4578" s="4"/>
      <c r="D4578" s="4">
        <v>44.950361515890194</v>
      </c>
      <c r="E4578" s="4" t="s">
        <v>6840</v>
      </c>
      <c r="F4578" s="4"/>
      <c r="G4578" s="4"/>
      <c r="H4578" s="4"/>
      <c r="I4578" s="4" t="str">
        <f>IFERROR(__xludf.DUMMYFUNCTION("""COMPUTED_VALUE"""),"0xd668337cb6b623216a93e55b76f8af19af10abf5")</f>
        <v>0xd668337cb6b623216a93e55b76f8af19af10abf5</v>
      </c>
      <c r="J4578" s="18">
        <v>40.813055968299</v>
      </c>
      <c r="K4578" s="4">
        <v>510.16319960373744</v>
      </c>
      <c r="L4578" s="19">
        <v>5.101631996037374E20</v>
      </c>
      <c r="M4578" s="20">
        <v>5.101631996037375E19</v>
      </c>
    </row>
    <row r="4579">
      <c r="A4579" s="6"/>
      <c r="B4579" s="6"/>
      <c r="C4579" s="4"/>
      <c r="D4579" s="4">
        <v>48.3641275995966</v>
      </c>
      <c r="E4579" s="4" t="s">
        <v>859</v>
      </c>
      <c r="F4579" s="4"/>
      <c r="G4579" s="4"/>
      <c r="H4579" s="4"/>
      <c r="I4579" s="4" t="str">
        <f>IFERROR(__xludf.DUMMYFUNCTION("""COMPUTED_VALUE"""),"0x7b200c3e7fb825b17c3d7da1e7d29379036cfbed")</f>
        <v>0x7b200c3e7fb825b17c3d7da1e7d29379036cfbed</v>
      </c>
      <c r="J4579" s="18">
        <v>186.01196020749998</v>
      </c>
      <c r="K4579" s="4">
        <v>2325.1495025937497</v>
      </c>
      <c r="L4579" s="19">
        <v>2.3251495025937497E21</v>
      </c>
      <c r="M4579" s="20">
        <v>2.3251495025937498E20</v>
      </c>
    </row>
    <row r="4580">
      <c r="A4580" s="6"/>
      <c r="B4580" s="6"/>
      <c r="C4580" s="4"/>
      <c r="D4580" s="4">
        <v>48.3641275995966</v>
      </c>
      <c r="E4580" s="4" t="s">
        <v>6842</v>
      </c>
      <c r="F4580" s="4"/>
      <c r="G4580" s="4"/>
      <c r="H4580" s="4"/>
      <c r="I4580" s="4" t="str">
        <f>IFERROR(__xludf.DUMMYFUNCTION("""COMPUTED_VALUE"""),"0xfe923b3b20c627a60d4e998dbacf5e64e33b7371")</f>
        <v>0xfe923b3b20c627a60d4e998dbacf5e64e33b7371</v>
      </c>
      <c r="J4580" s="18">
        <v>95.1758077825168</v>
      </c>
      <c r="K4580" s="4">
        <v>1189.69759728146</v>
      </c>
      <c r="L4580" s="19">
        <v>1.18969759728146E21</v>
      </c>
      <c r="M4580" s="20">
        <v>1.18969759728146E20</v>
      </c>
    </row>
    <row r="4581">
      <c r="A4581" s="6"/>
      <c r="B4581" s="6"/>
      <c r="C4581" s="4"/>
      <c r="D4581" s="4">
        <v>21.2802161438225</v>
      </c>
      <c r="E4581" s="4" t="s">
        <v>6843</v>
      </c>
      <c r="F4581" s="4"/>
      <c r="G4581" s="4"/>
      <c r="H4581" s="4"/>
      <c r="I4581" s="4" t="str">
        <f>IFERROR(__xludf.DUMMYFUNCTION("""COMPUTED_VALUE"""),"0x400969f35416cafb4905bb81663d22aba253b2a7")</f>
        <v>0x400969f35416cafb4905bb81663d22aba253b2a7</v>
      </c>
      <c r="J4581" s="18">
        <v>40.833200820769</v>
      </c>
      <c r="K4581" s="4">
        <v>510.41501025961253</v>
      </c>
      <c r="L4581" s="19">
        <v>5.104150102596125E20</v>
      </c>
      <c r="M4581" s="20">
        <v>5.1041501025961255E19</v>
      </c>
    </row>
    <row r="4582">
      <c r="A4582" s="6"/>
      <c r="B4582" s="6"/>
      <c r="C4582" s="4"/>
      <c r="D4582" s="4">
        <v>4.90408098542391</v>
      </c>
      <c r="E4582" s="4" t="s">
        <v>6845</v>
      </c>
      <c r="F4582" s="4"/>
      <c r="G4582" s="4"/>
      <c r="H4582" s="4"/>
      <c r="I4582" s="4" t="str">
        <f>IFERROR(__xludf.DUMMYFUNCTION("""COMPUTED_VALUE"""),"0x387f1d444cfaa441009619ab4d4117451ffdff82")</f>
        <v>0x387f1d444cfaa441009619ab4d4117451ffdff82</v>
      </c>
      <c r="J4582" s="18">
        <v>9.30059801037504</v>
      </c>
      <c r="K4582" s="4">
        <v>116.257475129688</v>
      </c>
      <c r="L4582" s="19">
        <v>1.16257475129688E20</v>
      </c>
      <c r="M4582" s="20">
        <v>1.16257475129688E19</v>
      </c>
    </row>
    <row r="4583">
      <c r="A4583" s="6"/>
      <c r="B4583" s="6"/>
      <c r="C4583" s="4"/>
      <c r="D4583" s="4">
        <v>48.3641275995966</v>
      </c>
      <c r="E4583" s="4" t="s">
        <v>6847</v>
      </c>
      <c r="F4583" s="4"/>
      <c r="G4583" s="4"/>
      <c r="H4583" s="4"/>
      <c r="I4583" s="4" t="str">
        <f>IFERROR(__xludf.DUMMYFUNCTION("""COMPUTED_VALUE"""),"0x82ddeedc3fed36b418a4a49e1f1f7cb87429269b")</f>
        <v>0x82ddeedc3fed36b418a4a49e1f1f7cb87429269b</v>
      </c>
      <c r="J4583" s="18">
        <v>49.3499985284457</v>
      </c>
      <c r="K4583" s="4">
        <v>616.8749816055713</v>
      </c>
      <c r="L4583" s="19">
        <v>6.168749816055713E20</v>
      </c>
      <c r="M4583" s="20">
        <v>6.168749816055713E19</v>
      </c>
    </row>
    <row r="4584">
      <c r="A4584" s="6"/>
      <c r="B4584" s="6"/>
      <c r="C4584" s="4"/>
      <c r="D4584" s="4">
        <v>11.6073906239032</v>
      </c>
      <c r="E4584" s="4" t="s">
        <v>6848</v>
      </c>
      <c r="F4584" s="4"/>
      <c r="G4584" s="4"/>
      <c r="H4584" s="4"/>
      <c r="I4584" s="4" t="str">
        <f>IFERROR(__xludf.DUMMYFUNCTION("""COMPUTED_VALUE"""),"0x10ba3300c1e673a59070927b85dd49f030aa9bcc")</f>
        <v>0x10ba3300c1e673a59070927b85dd49f030aa9bcc</v>
      </c>
      <c r="J4584" s="18">
        <v>55.8035880622502</v>
      </c>
      <c r="K4584" s="4">
        <v>697.5448507781275</v>
      </c>
      <c r="L4584" s="19">
        <v>6.975448507781275E20</v>
      </c>
      <c r="M4584" s="20">
        <v>6.975448507781275E19</v>
      </c>
    </row>
    <row r="4585">
      <c r="A4585" s="6"/>
      <c r="B4585" s="6"/>
      <c r="C4585" s="4"/>
      <c r="D4585" s="4">
        <v>48.3641275995966</v>
      </c>
      <c r="E4585" s="4" t="s">
        <v>403</v>
      </c>
      <c r="F4585" s="4"/>
      <c r="G4585" s="4"/>
      <c r="H4585" s="4"/>
      <c r="I4585" s="4" t="str">
        <f>IFERROR(__xludf.DUMMYFUNCTION("""COMPUTED_VALUE"""),"0x00d5ed875d590b8254b4331b9ec98cd32caaf6a1")</f>
        <v>0x00d5ed875d590b8254b4331b9ec98cd32caaf6a1</v>
      </c>
      <c r="J4585" s="18">
        <v>23.7244839619388</v>
      </c>
      <c r="K4585" s="4">
        <v>296.556049524235</v>
      </c>
      <c r="L4585" s="19">
        <v>2.96556049524235E20</v>
      </c>
      <c r="M4585" s="20">
        <v>2.9655604952423498E19</v>
      </c>
    </row>
    <row r="4586">
      <c r="A4586" s="6"/>
      <c r="B4586" s="6"/>
      <c r="C4586" s="4"/>
      <c r="D4586" s="4">
        <v>22.6651795801555</v>
      </c>
      <c r="E4586" s="4" t="s">
        <v>6849</v>
      </c>
      <c r="F4586" s="4"/>
      <c r="G4586" s="4"/>
      <c r="H4586" s="4"/>
      <c r="I4586" s="4" t="str">
        <f>IFERROR(__xludf.DUMMYFUNCTION("""COMPUTED_VALUE"""),"0x2b459b90b4920f87ccb818f933475506cb4aa2ba")</f>
        <v>0x2b459b90b4920f87ccb818f933475506cb4aa2ba</v>
      </c>
      <c r="J4586" s="18">
        <v>111.6071761245</v>
      </c>
      <c r="K4586" s="4">
        <v>1395.08970155625</v>
      </c>
      <c r="L4586" s="19">
        <v>1.39508970155625E21</v>
      </c>
      <c r="M4586" s="20">
        <v>1.39508970155625E20</v>
      </c>
    </row>
    <row r="4587">
      <c r="A4587" s="6"/>
      <c r="B4587" s="6"/>
      <c r="C4587" s="4"/>
      <c r="D4587" s="4">
        <v>48.3641275995966</v>
      </c>
      <c r="E4587" s="4" t="s">
        <v>6851</v>
      </c>
      <c r="F4587" s="4"/>
      <c r="G4587" s="4"/>
      <c r="H4587" s="4"/>
      <c r="I4587" s="4" t="str">
        <f>IFERROR(__xludf.DUMMYFUNCTION("""COMPUTED_VALUE"""),"0x9456a34f77e12b36031c19a13e9babc3af90d556")</f>
        <v>0x9456a34f77e12b36031c19a13e9babc3af90d556</v>
      </c>
      <c r="J4587" s="18">
        <v>148.99767310674198</v>
      </c>
      <c r="K4587" s="4">
        <v>1862.4709138342748</v>
      </c>
      <c r="L4587" s="19">
        <v>1.8624709138342748E21</v>
      </c>
      <c r="M4587" s="20">
        <v>1.862470913834275E20</v>
      </c>
    </row>
    <row r="4588">
      <c r="A4588" s="6"/>
      <c r="B4588" s="6"/>
      <c r="C4588" s="4"/>
      <c r="D4588" s="4">
        <v>48.3641275995966</v>
      </c>
      <c r="E4588" s="4" t="s">
        <v>1757</v>
      </c>
      <c r="F4588" s="4"/>
      <c r="G4588" s="4"/>
      <c r="H4588" s="4"/>
      <c r="I4588" s="4" t="str">
        <f>IFERROR(__xludf.DUMMYFUNCTION("""COMPUTED_VALUE"""),"0xca598177c3bf605dc9086f49928a8b17fa8c0fa4")</f>
        <v>0xca598177c3bf605dc9086f49928a8b17fa8c0fa4</v>
      </c>
      <c r="J4588" s="18">
        <v>66.9901981727456</v>
      </c>
      <c r="K4588" s="4">
        <v>837.3774771593199</v>
      </c>
      <c r="L4588" s="19">
        <v>8.373774771593199E20</v>
      </c>
      <c r="M4588" s="20">
        <v>8.3737747715932E19</v>
      </c>
    </row>
    <row r="4589">
      <c r="A4589" s="6"/>
      <c r="B4589" s="6"/>
      <c r="C4589" s="4"/>
      <c r="D4589" s="4">
        <v>48.3641275995966</v>
      </c>
      <c r="E4589" s="4" t="s">
        <v>6852</v>
      </c>
      <c r="F4589" s="4"/>
      <c r="G4589" s="4"/>
      <c r="H4589" s="4"/>
      <c r="I4589" s="4" t="str">
        <f>IFERROR(__xludf.DUMMYFUNCTION("""COMPUTED_VALUE"""),"0xdb640a9ae319b58c49942818905a92506dc820b0")</f>
        <v>0xdb640a9ae319b58c49942818905a92506dc820b0</v>
      </c>
      <c r="J4589" s="18">
        <v>96.3213069336717</v>
      </c>
      <c r="K4589" s="4">
        <v>1204.0163366708964</v>
      </c>
      <c r="L4589" s="19">
        <v>1.2040163366708964E21</v>
      </c>
      <c r="M4589" s="20">
        <v>1.2040163366708965E20</v>
      </c>
    </row>
    <row r="4590">
      <c r="A4590" s="6"/>
      <c r="B4590" s="6"/>
      <c r="C4590" s="4"/>
      <c r="D4590" s="4">
        <v>9.41922492505123</v>
      </c>
      <c r="E4590" s="4" t="s">
        <v>381</v>
      </c>
      <c r="F4590" s="4"/>
      <c r="G4590" s="4"/>
      <c r="H4590" s="4"/>
      <c r="I4590" s="4" t="str">
        <f>IFERROR(__xludf.DUMMYFUNCTION("""COMPUTED_VALUE"""),"0x1f2b4d47e970623b2bc975608098e119ea3a7520")</f>
        <v>0x1f2b4d47e970623b2bc975608098e119ea3a7520</v>
      </c>
      <c r="J4590" s="18">
        <v>186.01196020749998</v>
      </c>
      <c r="K4590" s="4">
        <v>2325.1495025937497</v>
      </c>
      <c r="L4590" s="19">
        <v>2.3251495025937497E21</v>
      </c>
      <c r="M4590" s="20">
        <v>2.3251495025937498E20</v>
      </c>
    </row>
    <row r="4591">
      <c r="A4591" s="6"/>
      <c r="B4591" s="6"/>
      <c r="C4591" s="4"/>
      <c r="D4591" s="4">
        <v>48.3641275995966</v>
      </c>
      <c r="E4591" s="4" t="s">
        <v>751</v>
      </c>
      <c r="F4591" s="4"/>
      <c r="G4591" s="4"/>
      <c r="H4591" s="4"/>
      <c r="I4591" s="4" t="str">
        <f>IFERROR(__xludf.DUMMYFUNCTION("""COMPUTED_VALUE"""),"0x9cf7adeb14c2884a37546de3f15cbdd832d4e05d")</f>
        <v>0x9cf7adeb14c2884a37546de3f15cbdd832d4e05d</v>
      </c>
      <c r="J4591" s="18">
        <v>169.45211456959402</v>
      </c>
      <c r="K4591" s="4">
        <v>2118.151432119925</v>
      </c>
      <c r="L4591" s="19">
        <v>2.118151432119925E21</v>
      </c>
      <c r="M4591" s="20">
        <v>2.118151432119925E20</v>
      </c>
    </row>
    <row r="4592">
      <c r="A4592" s="6"/>
      <c r="B4592" s="6"/>
      <c r="C4592" s="4"/>
      <c r="D4592" s="4">
        <v>19.3456510398386</v>
      </c>
      <c r="E4592" s="4" t="s">
        <v>6854</v>
      </c>
      <c r="F4592" s="4"/>
      <c r="G4592" s="4"/>
      <c r="H4592" s="4"/>
      <c r="I4592" s="4" t="str">
        <f>IFERROR(__xludf.DUMMYFUNCTION("""COMPUTED_VALUE"""),"0x12b6dc6a167f0d1639ffe828ec584bfa19e1fe37")</f>
        <v>0x12b6dc6a167f0d1639ffe828ec584bfa19e1fe37</v>
      </c>
      <c r="J4592" s="18">
        <v>18.2378451112908</v>
      </c>
      <c r="K4592" s="4">
        <v>227.97306389113498</v>
      </c>
      <c r="L4592" s="19">
        <v>2.2797306389113497E20</v>
      </c>
      <c r="M4592" s="20">
        <v>2.27973063891135E19</v>
      </c>
    </row>
    <row r="4593">
      <c r="A4593" s="6"/>
      <c r="B4593" s="6"/>
      <c r="C4593" s="4"/>
      <c r="D4593" s="4">
        <v>7.8312533720125606</v>
      </c>
      <c r="E4593" s="4" t="s">
        <v>6855</v>
      </c>
      <c r="F4593" s="4"/>
      <c r="G4593" s="4"/>
      <c r="H4593" s="4"/>
      <c r="I4593" s="4" t="str">
        <f>IFERROR(__xludf.DUMMYFUNCTION("""COMPUTED_VALUE"""),"0x8cd51560a1616a54e740629cee78563fcdd390fd")</f>
        <v>0x8cd51560a1616a54e740629cee78563fcdd390fd</v>
      </c>
      <c r="J4593" s="18">
        <v>21.5395304184325</v>
      </c>
      <c r="K4593" s="4">
        <v>269.2441302304062</v>
      </c>
      <c r="L4593" s="19">
        <v>2.692441302304062E20</v>
      </c>
      <c r="M4593" s="20">
        <v>2.692441302304062E19</v>
      </c>
    </row>
    <row r="4594">
      <c r="A4594" s="6"/>
      <c r="B4594" s="6"/>
      <c r="C4594" s="4"/>
      <c r="D4594" s="4">
        <v>17.5771991915786</v>
      </c>
      <c r="E4594" s="4" t="s">
        <v>6857</v>
      </c>
      <c r="F4594" s="4"/>
      <c r="G4594" s="4"/>
      <c r="H4594" s="4"/>
      <c r="I4594" s="4" t="str">
        <f>IFERROR(__xludf.DUMMYFUNCTION("""COMPUTED_VALUE"""),"0x72590bdd8c9cc95858854beb825f11376cdf0a7a")</f>
        <v>0x72590bdd8c9cc95858854beb825f11376cdf0a7a</v>
      </c>
      <c r="J4594" s="18">
        <v>27.9017940311251</v>
      </c>
      <c r="K4594" s="4">
        <v>348.77242538906376</v>
      </c>
      <c r="L4594" s="19">
        <v>3.4877242538906373E20</v>
      </c>
      <c r="M4594" s="20">
        <v>3.4877242538906374E19</v>
      </c>
    </row>
    <row r="4595">
      <c r="A4595" s="6"/>
      <c r="B4595" s="6"/>
      <c r="C4595" s="4"/>
      <c r="D4595" s="4">
        <v>1.73867857981478</v>
      </c>
      <c r="E4595" s="4" t="s">
        <v>6859</v>
      </c>
      <c r="F4595" s="4"/>
      <c r="G4595" s="4"/>
      <c r="H4595" s="4"/>
      <c r="I4595" s="4" t="str">
        <f>IFERROR(__xludf.DUMMYFUNCTION("""COMPUTED_VALUE"""),"0xd2749e7729d61b8daf41f4e26f5bf5d0047481ed")</f>
        <v>0xd2749e7729d61b8daf41f4e26f5bf5d0047481ed</v>
      </c>
      <c r="J4595" s="18">
        <v>186.01196020749998</v>
      </c>
      <c r="K4595" s="4">
        <v>2325.1495025937497</v>
      </c>
      <c r="L4595" s="19">
        <v>2.3251495025937497E21</v>
      </c>
      <c r="M4595" s="20">
        <v>2.3251495025937498E20</v>
      </c>
    </row>
    <row r="4596">
      <c r="A4596" s="6"/>
      <c r="B4596" s="6"/>
      <c r="C4596" s="4"/>
      <c r="D4596" s="4">
        <v>48.3641275995966</v>
      </c>
      <c r="E4596" s="4" t="s">
        <v>6861</v>
      </c>
      <c r="F4596" s="4"/>
      <c r="G4596" s="4"/>
      <c r="H4596" s="4"/>
      <c r="I4596" s="4" t="str">
        <f>IFERROR(__xludf.DUMMYFUNCTION("""COMPUTED_VALUE"""),"0x0bc9d3f78636f6d73c32fecb53946e8d3d16b9a9")</f>
        <v>0x0bc9d3f78636f6d73c32fecb53946e8d3d16b9a9</v>
      </c>
      <c r="J4596" s="18">
        <v>55.8035880622502</v>
      </c>
      <c r="K4596" s="4">
        <v>697.5448507781275</v>
      </c>
      <c r="L4596" s="19">
        <v>6.975448507781275E20</v>
      </c>
      <c r="M4596" s="20">
        <v>6.975448507781275E19</v>
      </c>
    </row>
    <row r="4597">
      <c r="A4597" s="6"/>
      <c r="B4597" s="6"/>
      <c r="C4597" s="4"/>
      <c r="D4597" s="4">
        <v>15.4855102152027</v>
      </c>
      <c r="E4597" s="4" t="s">
        <v>6862</v>
      </c>
      <c r="F4597" s="4"/>
      <c r="G4597" s="4"/>
      <c r="H4597" s="4"/>
      <c r="I4597" s="4" t="str">
        <f>IFERROR(__xludf.DUMMYFUNCTION("""COMPUTED_VALUE"""),"0x330d8b0fbc668f3a24e7205e7f4fcd878cae03f1")</f>
        <v>0x330d8b0fbc668f3a24e7205e7f4fcd878cae03f1</v>
      </c>
      <c r="J4597" s="18">
        <v>52.2503518585865</v>
      </c>
      <c r="K4597" s="4">
        <v>653.1293982323313</v>
      </c>
      <c r="L4597" s="19">
        <v>6.531293982323312E20</v>
      </c>
      <c r="M4597" s="20">
        <v>6.531293982323312E19</v>
      </c>
    </row>
    <row r="4598">
      <c r="A4598" s="6"/>
      <c r="B4598" s="6"/>
      <c r="C4598" s="4"/>
      <c r="D4598" s="4">
        <v>9.353406066857179</v>
      </c>
      <c r="E4598" s="4" t="s">
        <v>6864</v>
      </c>
      <c r="F4598" s="4"/>
      <c r="G4598" s="4"/>
      <c r="H4598" s="4"/>
      <c r="I4598" s="4" t="str">
        <f>IFERROR(__xludf.DUMMYFUNCTION("""COMPUTED_VALUE"""),"0x342403d5bce138bcf17ecbcfaba41a3d6b6438e6")</f>
        <v>0x342403d5bce138bcf17ecbcfaba41a3d6b6438e6</v>
      </c>
      <c r="J4598" s="18">
        <v>40.789285111036904</v>
      </c>
      <c r="K4598" s="4">
        <v>509.8660638879613</v>
      </c>
      <c r="L4598" s="19">
        <v>5.098660638879613E20</v>
      </c>
      <c r="M4598" s="20">
        <v>5.098660638879613E19</v>
      </c>
    </row>
    <row r="4599">
      <c r="A4599" s="6"/>
      <c r="B4599" s="6"/>
      <c r="C4599" s="4"/>
      <c r="D4599" s="4">
        <v>19.527152976755797</v>
      </c>
      <c r="E4599" s="4" t="s">
        <v>6866</v>
      </c>
      <c r="F4599" s="4"/>
      <c r="G4599" s="4"/>
      <c r="H4599" s="4"/>
      <c r="I4599" s="4" t="str">
        <f>IFERROR(__xludf.DUMMYFUNCTION("""COMPUTED_VALUE"""),"0x4ba162268c586f0af3db6d7d7256dbee99e0f368")</f>
        <v>0x4ba162268c586f0af3db6d7d7256dbee99e0f368</v>
      </c>
      <c r="J4599" s="18">
        <v>61.022193468234704</v>
      </c>
      <c r="K4599" s="4">
        <v>762.7774183529338</v>
      </c>
      <c r="L4599" s="19">
        <v>7.627774183529337E20</v>
      </c>
      <c r="M4599" s="20">
        <v>7.627774183529338E19</v>
      </c>
    </row>
    <row r="4600">
      <c r="A4600" s="6"/>
      <c r="B4600" s="6"/>
      <c r="C4600" s="4"/>
      <c r="D4600" s="4">
        <v>19.3548337196877</v>
      </c>
      <c r="E4600" s="4" t="s">
        <v>6868</v>
      </c>
      <c r="F4600" s="4"/>
      <c r="G4600" s="4"/>
      <c r="H4600" s="4"/>
      <c r="I4600" s="4" t="str">
        <f>IFERROR(__xludf.DUMMYFUNCTION("""COMPUTED_VALUE"""),"0xada7673b48d656a87cad01bcbafe6b1ee6d621ed")</f>
        <v>0xada7673b48d656a87cad01bcbafe6b1ee6d621ed</v>
      </c>
      <c r="J4600" s="18">
        <v>56.2604172612918</v>
      </c>
      <c r="K4600" s="4">
        <v>703.2552157661474</v>
      </c>
      <c r="L4600" s="19">
        <v>7.032552157661474E20</v>
      </c>
      <c r="M4600" s="20">
        <v>7.032552157661475E19</v>
      </c>
    </row>
    <row r="4601">
      <c r="A4601" s="6"/>
      <c r="B4601" s="6"/>
      <c r="C4601" s="4"/>
      <c r="D4601" s="4">
        <v>45.5621924040722</v>
      </c>
      <c r="E4601" s="4" t="s">
        <v>6870</v>
      </c>
      <c r="F4601" s="4"/>
      <c r="G4601" s="4"/>
      <c r="H4601" s="4"/>
      <c r="I4601" s="4" t="str">
        <f>IFERROR(__xludf.DUMMYFUNCTION("""COMPUTED_VALUE"""),"0x772d2aa25595236328ea79940c15be0eb1f942ba")</f>
        <v>0x772d2aa25595236328ea79940c15be0eb1f942ba</v>
      </c>
      <c r="J4601" s="18">
        <v>16.8195345611091</v>
      </c>
      <c r="K4601" s="4">
        <v>210.24418201386376</v>
      </c>
      <c r="L4601" s="19">
        <v>2.1024418201386376E20</v>
      </c>
      <c r="M4601" s="20">
        <v>2.1024418201386377E19</v>
      </c>
    </row>
    <row r="4602">
      <c r="A4602" s="6"/>
      <c r="B4602" s="6"/>
      <c r="C4602" s="4"/>
      <c r="D4602" s="4">
        <v>9.672895832461862</v>
      </c>
      <c r="E4602" s="4" t="s">
        <v>6872</v>
      </c>
      <c r="F4602" s="4"/>
      <c r="G4602" s="4"/>
      <c r="H4602" s="4"/>
      <c r="I4602" s="4" t="str">
        <f>IFERROR(__xludf.DUMMYFUNCTION("""COMPUTED_VALUE"""),"0xf1db829bd2eb357760b145c1fe4d02d99a1eb5f1")</f>
        <v>0xf1db829bd2eb357760b145c1fe4d02d99a1eb5f1</v>
      </c>
      <c r="J4602" s="18">
        <v>108.493656329243</v>
      </c>
      <c r="K4602" s="4">
        <v>1356.1707041155373</v>
      </c>
      <c r="L4602" s="19">
        <v>1.3561707041155373E21</v>
      </c>
      <c r="M4602" s="20">
        <v>1.3561707041155373E20</v>
      </c>
    </row>
    <row r="4603">
      <c r="A4603" s="6"/>
      <c r="B4603" s="6"/>
      <c r="C4603" s="4"/>
      <c r="D4603" s="4">
        <v>48.3641275995966</v>
      </c>
      <c r="E4603" s="4" t="s">
        <v>6874</v>
      </c>
      <c r="F4603" s="4"/>
      <c r="G4603" s="4"/>
      <c r="H4603" s="4"/>
      <c r="I4603" s="4" t="str">
        <f>IFERROR(__xludf.DUMMYFUNCTION("""COMPUTED_VALUE"""),"0x3947309bba450f4a39d0158fe277c451ffe0f26b")</f>
        <v>0x3947309bba450f4a39d0158fe277c451ffe0f26b</v>
      </c>
      <c r="J4603" s="18">
        <v>46.5029900518752</v>
      </c>
      <c r="K4603" s="4">
        <v>581.28737564844</v>
      </c>
      <c r="L4603" s="19">
        <v>5.8128737564844006E20</v>
      </c>
      <c r="M4603" s="20">
        <v>5.812873756484401E19</v>
      </c>
    </row>
    <row r="4604">
      <c r="A4604" s="6"/>
      <c r="B4604" s="6"/>
      <c r="C4604" s="4"/>
      <c r="D4604" s="4">
        <v>48.3641275995966</v>
      </c>
      <c r="E4604" s="4" t="s">
        <v>1588</v>
      </c>
      <c r="F4604" s="4"/>
      <c r="G4604" s="4"/>
      <c r="H4604" s="4"/>
      <c r="I4604" s="4" t="str">
        <f>IFERROR(__xludf.DUMMYFUNCTION("""COMPUTED_VALUE"""),"0x2e1a3e79c5fbfa72d5bf42ebdd4cbca7b3da5cb1")</f>
        <v>0x2e1a3e79c5fbfa72d5bf42ebdd4cbca7b3da5cb1</v>
      </c>
      <c r="J4604" s="18">
        <v>18.368681070490698</v>
      </c>
      <c r="K4604" s="4">
        <v>229.60851338113372</v>
      </c>
      <c r="L4604" s="19">
        <v>2.296085133811337E20</v>
      </c>
      <c r="M4604" s="20">
        <v>2.2960851338113372E19</v>
      </c>
    </row>
    <row r="4605">
      <c r="A4605" s="6"/>
      <c r="B4605" s="6"/>
      <c r="C4605" s="4"/>
      <c r="D4605" s="4">
        <v>9.68288700769381</v>
      </c>
      <c r="E4605" s="4" t="s">
        <v>6875</v>
      </c>
      <c r="F4605" s="4"/>
      <c r="G4605" s="4"/>
      <c r="H4605" s="4"/>
      <c r="I4605" s="4" t="str">
        <f>IFERROR(__xludf.DUMMYFUNCTION("""COMPUTED_VALUE"""),"0xd08251c54832d29379b25ad8c43f4d8c3a0c88db")</f>
        <v>0xd08251c54832d29379b25ad8c43f4d8c3a0c88db</v>
      </c>
      <c r="J4605" s="18">
        <v>186.01196020749998</v>
      </c>
      <c r="K4605" s="4">
        <v>2325.1495025937497</v>
      </c>
      <c r="L4605" s="19">
        <v>2.3251495025937497E21</v>
      </c>
      <c r="M4605" s="20">
        <v>2.3251495025937498E20</v>
      </c>
    </row>
    <row r="4606">
      <c r="A4606" s="6"/>
      <c r="B4606" s="6"/>
      <c r="C4606" s="4"/>
      <c r="D4606" s="4">
        <v>48.3641275995966</v>
      </c>
      <c r="E4606" s="4" t="s">
        <v>6877</v>
      </c>
      <c r="F4606" s="4"/>
      <c r="G4606" s="4"/>
      <c r="H4606" s="4"/>
      <c r="I4606" s="4" t="str">
        <f>IFERROR(__xludf.DUMMYFUNCTION("""COMPUTED_VALUE"""),"0x7ea1b3ade261fe6de35f8b6d20c687520da64644")</f>
        <v>0x7ea1b3ade261fe6de35f8b6d20c687520da64644</v>
      </c>
      <c r="J4606" s="18">
        <v>186.01196020749998</v>
      </c>
      <c r="K4606" s="4">
        <v>2325.1495025937497</v>
      </c>
      <c r="L4606" s="19">
        <v>2.3251495025937497E21</v>
      </c>
      <c r="M4606" s="20">
        <v>2.3251495025937498E20</v>
      </c>
    </row>
    <row r="4607">
      <c r="A4607" s="6"/>
      <c r="B4607" s="6"/>
      <c r="C4607" s="4"/>
      <c r="D4607" s="4">
        <v>18.507951172215503</v>
      </c>
      <c r="E4607" s="4" t="s">
        <v>6878</v>
      </c>
      <c r="F4607" s="4"/>
      <c r="G4607" s="4"/>
      <c r="H4607" s="4"/>
      <c r="I4607" s="4" t="str">
        <f>IFERROR(__xludf.DUMMYFUNCTION("""COMPUTED_VALUE"""),"0xac457a98a2c722cead70efecae6810fc1a633c2d")</f>
        <v>0xac457a98a2c722cead70efecae6810fc1a633c2d</v>
      </c>
      <c r="J4607" s="18">
        <v>186.01196020749998</v>
      </c>
      <c r="K4607" s="4">
        <v>2325.1495025937497</v>
      </c>
      <c r="L4607" s="19">
        <v>2.3251495025937497E21</v>
      </c>
      <c r="M4607" s="20">
        <v>2.3251495025937498E20</v>
      </c>
    </row>
    <row r="4608">
      <c r="A4608" s="6"/>
      <c r="B4608" s="6"/>
      <c r="C4608" s="4"/>
      <c r="D4608" s="4">
        <v>7.27620019509674</v>
      </c>
      <c r="E4608" s="4" t="s">
        <v>6880</v>
      </c>
      <c r="F4608" s="4"/>
      <c r="G4608" s="4"/>
      <c r="H4608" s="4"/>
      <c r="I4608" s="4" t="str">
        <f>IFERROR(__xludf.DUMMYFUNCTION("""COMPUTED_VALUE"""),"0xc0c4cdfa466ee0bd34bd28342c515dd6b00df986")</f>
        <v>0xc0c4cdfa466ee0bd34bd28342c515dd6b00df986</v>
      </c>
      <c r="J4608" s="18">
        <v>99.2783034019473</v>
      </c>
      <c r="K4608" s="4">
        <v>1240.978792524341</v>
      </c>
      <c r="L4608" s="19">
        <v>1.240978792524341E21</v>
      </c>
      <c r="M4608" s="20">
        <v>1.2409787925243411E20</v>
      </c>
    </row>
    <row r="4609">
      <c r="A4609" s="6"/>
      <c r="B4609" s="6"/>
      <c r="C4609" s="4"/>
      <c r="D4609" s="4">
        <v>6.10664515584459</v>
      </c>
      <c r="E4609" s="4" t="s">
        <v>6882</v>
      </c>
      <c r="F4609" s="4"/>
      <c r="G4609" s="4"/>
      <c r="H4609" s="4"/>
      <c r="I4609" s="4" t="str">
        <f>IFERROR(__xludf.DUMMYFUNCTION("""COMPUTED_VALUE"""),"0xc8f05543335587197d15ff927872188663f74d72")</f>
        <v>0xc8f05543335587197d15ff927872188663f74d72</v>
      </c>
      <c r="J4609" s="18">
        <v>74.6057879126319</v>
      </c>
      <c r="K4609" s="4">
        <v>932.5723489078987</v>
      </c>
      <c r="L4609" s="19">
        <v>9.325723489078987E20</v>
      </c>
      <c r="M4609" s="20">
        <v>9.325723489078988E19</v>
      </c>
    </row>
    <row r="4610">
      <c r="A4610" s="6"/>
      <c r="B4610" s="6"/>
      <c r="C4610" s="4"/>
      <c r="D4610" s="4">
        <v>48.3641275995966</v>
      </c>
      <c r="E4610" s="4" t="s">
        <v>6884</v>
      </c>
      <c r="F4610" s="4"/>
      <c r="G4610" s="4"/>
      <c r="H4610" s="4"/>
      <c r="I4610" s="4" t="str">
        <f>IFERROR(__xludf.DUMMYFUNCTION("""COMPUTED_VALUE"""),"0x24b9404042bf5be177becfee39af0a2a89881bc4")</f>
        <v>0x24b9404042bf5be177becfee39af0a2a89881bc4</v>
      </c>
      <c r="J4610" s="18">
        <v>3.69910141715819</v>
      </c>
      <c r="K4610" s="4">
        <v>46.238767714477376</v>
      </c>
      <c r="L4610" s="19">
        <v>4.6238767714477375E19</v>
      </c>
      <c r="M4610" s="20">
        <v>4.623876771447737E18</v>
      </c>
    </row>
    <row r="4611">
      <c r="A4611" s="6"/>
      <c r="B4611" s="6"/>
      <c r="C4611" s="4"/>
      <c r="D4611" s="4">
        <v>9.78535047266571</v>
      </c>
      <c r="E4611" s="4" t="s">
        <v>6885</v>
      </c>
      <c r="F4611" s="4"/>
      <c r="G4611" s="4"/>
      <c r="H4611" s="4"/>
      <c r="I4611" s="4" t="str">
        <f>IFERROR(__xludf.DUMMYFUNCTION("""COMPUTED_VALUE"""),"0xeff501f3cd17548d8e279795c68c0dfb61cc863a")</f>
        <v>0xeff501f3cd17548d8e279795c68c0dfb61cc863a</v>
      </c>
      <c r="J4611" s="18">
        <v>34.0924365804534</v>
      </c>
      <c r="K4611" s="4">
        <v>426.1554572556675</v>
      </c>
      <c r="L4611" s="19">
        <v>4.261554572556675E20</v>
      </c>
      <c r="M4611" s="20">
        <v>4.2615545725566755E19</v>
      </c>
    </row>
    <row r="4612">
      <c r="A4612" s="6"/>
      <c r="B4612" s="6"/>
      <c r="C4612" s="4"/>
      <c r="D4612" s="4">
        <v>6.12707672465535</v>
      </c>
      <c r="E4612" s="4" t="s">
        <v>6887</v>
      </c>
      <c r="F4612" s="4"/>
      <c r="G4612" s="4"/>
      <c r="H4612" s="4"/>
      <c r="I4612" s="4" t="str">
        <f>IFERROR(__xludf.DUMMYFUNCTION("""COMPUTED_VALUE"""),"0x6e5b2ba26ea2eead5949ab3391c637c77bef0e63")</f>
        <v>0x6e5b2ba26ea2eead5949ab3391c637c77bef0e63</v>
      </c>
      <c r="J4612" s="18">
        <v>22.3437845827401</v>
      </c>
      <c r="K4612" s="4">
        <v>279.29730728425125</v>
      </c>
      <c r="L4612" s="19">
        <v>2.7929730728425125E20</v>
      </c>
      <c r="M4612" s="20">
        <v>2.7929730728425128E19</v>
      </c>
    </row>
    <row r="4613">
      <c r="A4613" s="6"/>
      <c r="B4613" s="6"/>
      <c r="C4613" s="4"/>
      <c r="D4613" s="4">
        <v>6.71269504579679</v>
      </c>
      <c r="E4613" s="4" t="s">
        <v>6889</v>
      </c>
      <c r="F4613" s="4"/>
      <c r="G4613" s="4"/>
      <c r="H4613" s="4"/>
      <c r="I4613" s="4" t="str">
        <f>IFERROR(__xludf.DUMMYFUNCTION("""COMPUTED_VALUE"""),"0x6edf167a1654c6f166f6253d76cbab7faa883887")</f>
        <v>0x6edf167a1654c6f166f6253d76cbab7faa883887</v>
      </c>
      <c r="J4613" s="18">
        <v>9.662318540256049</v>
      </c>
      <c r="K4613" s="4">
        <v>120.77898175320061</v>
      </c>
      <c r="L4613" s="19">
        <v>1.207789817532006E20</v>
      </c>
      <c r="M4613" s="20">
        <v>1.2077898175320062E19</v>
      </c>
    </row>
    <row r="4614">
      <c r="A4614" s="6"/>
      <c r="B4614" s="6"/>
      <c r="C4614" s="4"/>
      <c r="D4614" s="4">
        <v>48.3641275995966</v>
      </c>
      <c r="E4614" s="4" t="s">
        <v>6891</v>
      </c>
      <c r="F4614" s="4"/>
      <c r="G4614" s="4"/>
      <c r="H4614" s="4"/>
      <c r="I4614" s="4" t="str">
        <f>IFERROR(__xludf.DUMMYFUNCTION("""COMPUTED_VALUE"""),"0x44db4c9fa2878ae3867bce73c5bcfaf456c739fe")</f>
        <v>0x44db4c9fa2878ae3867bce73c5bcfaf456c739fe</v>
      </c>
      <c r="J4614" s="18">
        <v>54.045421482060995</v>
      </c>
      <c r="K4614" s="4">
        <v>675.5677685257624</v>
      </c>
      <c r="L4614" s="19">
        <v>6.755677685257625E20</v>
      </c>
      <c r="M4614" s="20">
        <v>6.755677685257625E19</v>
      </c>
    </row>
    <row r="4615">
      <c r="A4615" s="6"/>
      <c r="B4615" s="6"/>
      <c r="C4615" s="4"/>
      <c r="D4615" s="4">
        <v>48.3641275995966</v>
      </c>
      <c r="E4615" s="4" t="s">
        <v>884</v>
      </c>
      <c r="F4615" s="4"/>
      <c r="G4615" s="4"/>
      <c r="H4615" s="4"/>
      <c r="I4615" s="4" t="str">
        <f>IFERROR(__xludf.DUMMYFUNCTION("""COMPUTED_VALUE"""),"0x6e2c4371c3dc652ff1beba559c9d1d2fce688c66")</f>
        <v>0x6e2c4371c3dc652ff1beba559c9d1d2fce688c66</v>
      </c>
      <c r="J4615" s="18">
        <v>113.770205458234</v>
      </c>
      <c r="K4615" s="4">
        <v>1422.127568227925</v>
      </c>
      <c r="L4615" s="19">
        <v>1.422127568227925E21</v>
      </c>
      <c r="M4615" s="20">
        <v>1.422127568227925E20</v>
      </c>
    </row>
    <row r="4616">
      <c r="A4616" s="6"/>
      <c r="B4616" s="6"/>
      <c r="C4616" s="4"/>
      <c r="D4616" s="4">
        <v>48.13030985266</v>
      </c>
      <c r="E4616" s="4" t="s">
        <v>6892</v>
      </c>
      <c r="F4616" s="4"/>
      <c r="G4616" s="4"/>
      <c r="H4616" s="4"/>
      <c r="I4616" s="4" t="str">
        <f>IFERROR(__xludf.DUMMYFUNCTION("""COMPUTED_VALUE"""),"0x7b5248020bcd0d9709ed9553794c86b6ac9de4c3")</f>
        <v>0x7b5248020bcd0d9709ed9553794c86b6ac9de4c3</v>
      </c>
      <c r="J4616" s="18">
        <v>46.536560331040896</v>
      </c>
      <c r="K4616" s="4">
        <v>581.7070041380111</v>
      </c>
      <c r="L4616" s="19">
        <v>5.8170700413801116E20</v>
      </c>
      <c r="M4616" s="20">
        <v>5.817070041380112E19</v>
      </c>
    </row>
    <row r="4617">
      <c r="A4617" s="6"/>
      <c r="B4617" s="6"/>
      <c r="C4617" s="4"/>
      <c r="D4617" s="4">
        <v>48.3641275995966</v>
      </c>
      <c r="E4617" s="4" t="s">
        <v>6894</v>
      </c>
      <c r="F4617" s="4"/>
      <c r="G4617" s="4"/>
      <c r="H4617" s="4"/>
      <c r="I4617" s="4" t="str">
        <f>IFERROR(__xludf.DUMMYFUNCTION("""COMPUTED_VALUE"""),"0xaf6ca3d8a91d0b64c4ea1dda1a3ec597900913d2")</f>
        <v>0xaf6ca3d8a91d0b64c4ea1dda1a3ec597900913d2</v>
      </c>
      <c r="J4617" s="18">
        <v>186.01196020749998</v>
      </c>
      <c r="K4617" s="4">
        <v>2325.1495025937497</v>
      </c>
      <c r="L4617" s="19">
        <v>2.3251495025937497E21</v>
      </c>
      <c r="M4617" s="20">
        <v>2.3251495025937498E20</v>
      </c>
    </row>
    <row r="4618">
      <c r="A4618" s="6"/>
      <c r="B4618" s="6"/>
      <c r="C4618" s="4"/>
      <c r="D4618" s="4">
        <v>9.672825519919328</v>
      </c>
      <c r="E4618" s="4" t="s">
        <v>6895</v>
      </c>
      <c r="F4618" s="4"/>
      <c r="G4618" s="4"/>
      <c r="H4618" s="4"/>
      <c r="I4618" s="4" t="str">
        <f>IFERROR(__xludf.DUMMYFUNCTION("""COMPUTED_VALUE"""),"0x244c0666817bc5cadcd81f05f4400f17fd06e11e")</f>
        <v>0x244c0666817bc5cadcd81f05f4400f17fd06e11e</v>
      </c>
      <c r="J4618" s="18">
        <v>9.391522758831641</v>
      </c>
      <c r="K4618" s="4">
        <v>117.39403448539551</v>
      </c>
      <c r="L4618" s="19">
        <v>1.173940344853955E20</v>
      </c>
      <c r="M4618" s="20">
        <v>1.1739403448539552E19</v>
      </c>
    </row>
    <row r="4619">
      <c r="A4619" s="6"/>
      <c r="B4619" s="6"/>
      <c r="C4619" s="4"/>
      <c r="D4619" s="4">
        <v>2.04146435005982</v>
      </c>
      <c r="E4619" s="4" t="s">
        <v>6896</v>
      </c>
      <c r="F4619" s="4"/>
      <c r="G4619" s="4"/>
      <c r="H4619" s="4"/>
      <c r="I4619" s="4" t="str">
        <f>IFERROR(__xludf.DUMMYFUNCTION("""COMPUTED_VALUE"""),"0xa39b9db38be84877bf4aa96ecb152570b83d8d88")</f>
        <v>0xa39b9db38be84877bf4aa96ecb152570b83d8d88</v>
      </c>
      <c r="J4619" s="18">
        <v>93.0059801037504</v>
      </c>
      <c r="K4619" s="4">
        <v>1162.57475129688</v>
      </c>
      <c r="L4619" s="19">
        <v>1.1625747512968801E21</v>
      </c>
      <c r="M4619" s="20">
        <v>1.1625747512968801E20</v>
      </c>
    </row>
    <row r="4620">
      <c r="A4620" s="6"/>
      <c r="B4620" s="6"/>
      <c r="C4620" s="4"/>
      <c r="D4620" s="4">
        <v>48.3641275995966</v>
      </c>
      <c r="E4620" s="4" t="s">
        <v>414</v>
      </c>
      <c r="F4620" s="4"/>
      <c r="G4620" s="4"/>
      <c r="H4620" s="4"/>
      <c r="I4620" s="4" t="str">
        <f>IFERROR(__xludf.DUMMYFUNCTION("""COMPUTED_VALUE"""),"0xa87925031590d905a1c0bde55f3a312872477fb6")</f>
        <v>0xa87925031590d905a1c0bde55f3a312872477fb6</v>
      </c>
      <c r="J4620" s="18">
        <v>186.01196020749998</v>
      </c>
      <c r="K4620" s="4">
        <v>2325.1495025937497</v>
      </c>
      <c r="L4620" s="19">
        <v>2.3251495025937497E21</v>
      </c>
      <c r="M4620" s="20">
        <v>2.3251495025937498E20</v>
      </c>
    </row>
    <row r="4621">
      <c r="A4621" s="6"/>
      <c r="B4621" s="6"/>
      <c r="C4621" s="4"/>
      <c r="D4621" s="4">
        <v>9.672825519919328</v>
      </c>
      <c r="E4621" s="4" t="s">
        <v>6898</v>
      </c>
      <c r="F4621" s="4"/>
      <c r="G4621" s="4"/>
      <c r="H4621" s="4"/>
      <c r="I4621" s="4" t="str">
        <f>IFERROR(__xludf.DUMMYFUNCTION("""COMPUTED_VALUE"""),"0x7c7f139e15bc34989f0ec562bf34b03e33204a73")</f>
        <v>0x7c7f139e15bc34989f0ec562bf34b03e33204a73</v>
      </c>
      <c r="J4621" s="18">
        <v>149.14595221399898</v>
      </c>
      <c r="K4621" s="4">
        <v>1864.3244026749871</v>
      </c>
      <c r="L4621" s="19">
        <v>1.8643244026749872E21</v>
      </c>
      <c r="M4621" s="20">
        <v>1.8643244026749872E20</v>
      </c>
    </row>
    <row r="4622">
      <c r="A4622" s="6"/>
      <c r="B4622" s="6"/>
      <c r="C4622" s="4"/>
      <c r="D4622" s="4">
        <v>48.3641275995966</v>
      </c>
      <c r="E4622" s="4" t="s">
        <v>412</v>
      </c>
      <c r="F4622" s="4"/>
      <c r="G4622" s="4"/>
      <c r="H4622" s="4"/>
      <c r="I4622" s="4" t="str">
        <f>IFERROR(__xludf.DUMMYFUNCTION("""COMPUTED_VALUE"""),"0xe0f84093c529f866c7e370fe775353b2d165c446")</f>
        <v>0xe0f84093c529f866c7e370fe775353b2d165c446</v>
      </c>
      <c r="J4622" s="18">
        <v>81.8452624913003</v>
      </c>
      <c r="K4622" s="4">
        <v>1023.0657811412538</v>
      </c>
      <c r="L4622" s="19">
        <v>1.0230657811412538E21</v>
      </c>
      <c r="M4622" s="20">
        <v>1.0230657811412538E20</v>
      </c>
    </row>
    <row r="4623">
      <c r="A4623" s="6"/>
      <c r="B4623" s="6"/>
      <c r="C4623" s="4"/>
      <c r="D4623" s="4">
        <v>48.3641275995966</v>
      </c>
      <c r="E4623" s="4" t="s">
        <v>6899</v>
      </c>
      <c r="F4623" s="4"/>
      <c r="G4623" s="4"/>
      <c r="H4623" s="4"/>
      <c r="I4623" s="4" t="str">
        <f>IFERROR(__xludf.DUMMYFUNCTION("""COMPUTED_VALUE"""),"0xd699b3cdaf8fc21695ea8250dae9de3ce0d4680f")</f>
        <v>0xd699b3cdaf8fc21695ea8250dae9de3ce0d4680f</v>
      </c>
      <c r="J4623" s="18">
        <v>9.427969260022829</v>
      </c>
      <c r="K4623" s="4">
        <v>117.84961575028537</v>
      </c>
      <c r="L4623" s="19">
        <v>1.1784961575028536E20</v>
      </c>
      <c r="M4623" s="20">
        <v>1.1784961575028537E19</v>
      </c>
    </row>
    <row r="4624">
      <c r="A4624" s="6"/>
      <c r="B4624" s="6"/>
      <c r="C4624" s="4"/>
      <c r="D4624" s="4">
        <v>33.1310940944831</v>
      </c>
      <c r="E4624" s="4" t="s">
        <v>6900</v>
      </c>
      <c r="F4624" s="4"/>
      <c r="G4624" s="4"/>
      <c r="H4624" s="4"/>
      <c r="I4624" s="4" t="str">
        <f>IFERROR(__xludf.DUMMYFUNCTION("""COMPUTED_VALUE"""),"0x8f6304e498fc444cafc356fb5e792c01626c2e4f")</f>
        <v>0x8f6304e498fc444cafc356fb5e792c01626c2e4f</v>
      </c>
      <c r="J4624" s="18">
        <v>55.8035880622502</v>
      </c>
      <c r="K4624" s="4">
        <v>697.5448507781275</v>
      </c>
      <c r="L4624" s="19">
        <v>6.975448507781275E20</v>
      </c>
      <c r="M4624" s="20">
        <v>6.975448507781275E19</v>
      </c>
    </row>
    <row r="4625">
      <c r="A4625" s="6"/>
      <c r="B4625" s="6"/>
      <c r="C4625" s="4"/>
      <c r="D4625" s="4">
        <v>8.7055429679274</v>
      </c>
      <c r="E4625" s="4" t="s">
        <v>6902</v>
      </c>
      <c r="F4625" s="4"/>
      <c r="G4625" s="4"/>
      <c r="H4625" s="4"/>
      <c r="I4625" s="4" t="str">
        <f>IFERROR(__xludf.DUMMYFUNCTION("""COMPUTED_VALUE"""),"0xbe2fd7a9fa1945c122bcca3110dbae36d93a8af8")</f>
        <v>0xbe2fd7a9fa1945c122bcca3110dbae36d93a8af8</v>
      </c>
      <c r="J4625" s="18">
        <v>27.2387274216509</v>
      </c>
      <c r="K4625" s="4">
        <v>340.48409277063627</v>
      </c>
      <c r="L4625" s="19">
        <v>3.404840927706363E20</v>
      </c>
      <c r="M4625" s="20">
        <v>3.4048409277063627E19</v>
      </c>
    </row>
    <row r="4626">
      <c r="A4626" s="6"/>
      <c r="B4626" s="6"/>
      <c r="C4626" s="4"/>
      <c r="D4626" s="4">
        <v>31.533411194937</v>
      </c>
      <c r="E4626" s="4" t="s">
        <v>6903</v>
      </c>
      <c r="F4626" s="4"/>
      <c r="G4626" s="4"/>
      <c r="H4626" s="4"/>
      <c r="I4626" s="4" t="str">
        <f>IFERROR(__xludf.DUMMYFUNCTION("""COMPUTED_VALUE"""),"0x9c1ed1428a5f6375d3505d5e46680d5a1afacb73")</f>
        <v>0x9c1ed1428a5f6375d3505d5e46680d5a1afacb73</v>
      </c>
      <c r="J4626" s="18">
        <v>74.7050055960381</v>
      </c>
      <c r="K4626" s="4">
        <v>933.8125699504764</v>
      </c>
      <c r="L4626" s="19">
        <v>9.338125699504763E20</v>
      </c>
      <c r="M4626" s="20">
        <v>9.338125699504764E19</v>
      </c>
    </row>
    <row r="4627">
      <c r="A4627" s="6"/>
      <c r="B4627" s="6"/>
      <c r="C4627" s="4"/>
      <c r="D4627" s="4">
        <v>38.6610738430903</v>
      </c>
      <c r="E4627" s="4" t="s">
        <v>6905</v>
      </c>
      <c r="F4627" s="4"/>
      <c r="G4627" s="4"/>
      <c r="H4627" s="4"/>
      <c r="I4627" s="4" t="str">
        <f>IFERROR(__xludf.DUMMYFUNCTION("""COMPUTED_VALUE"""),"0x837fe0cdcff1f8e42c32877c1990134990532efb")</f>
        <v>0x837fe0cdcff1f8e42c32877c1990134990532efb</v>
      </c>
      <c r="J4627" s="18">
        <v>49.6430102577413</v>
      </c>
      <c r="K4627" s="4">
        <v>620.5376282217662</v>
      </c>
      <c r="L4627" s="19">
        <v>6.205376282217662E20</v>
      </c>
      <c r="M4627" s="20">
        <v>6.205376282217663E19</v>
      </c>
    </row>
    <row r="4628">
      <c r="A4628" s="6"/>
      <c r="B4628" s="6"/>
      <c r="C4628" s="4"/>
      <c r="D4628" s="4">
        <v>48.3641275995966</v>
      </c>
      <c r="E4628" s="4" t="s">
        <v>6907</v>
      </c>
      <c r="F4628" s="4"/>
      <c r="G4628" s="4"/>
      <c r="H4628" s="4"/>
      <c r="I4628" s="4" t="str">
        <f>IFERROR(__xludf.DUMMYFUNCTION("""COMPUTED_VALUE"""),"0xf84c1910fe90b560afcd00edfcdc311147c7c7a5")</f>
        <v>0xf84c1910fe90b560afcd00edfcdc311147c7c7a5</v>
      </c>
      <c r="J4628" s="18">
        <v>0.18787207980957502</v>
      </c>
      <c r="K4628" s="4">
        <v>2.3484009976196876</v>
      </c>
      <c r="L4628" s="19">
        <v>2.3484009976196874E18</v>
      </c>
      <c r="M4628" s="20">
        <v>2.3484009976196877E17</v>
      </c>
    </row>
    <row r="4629">
      <c r="A4629" s="6"/>
      <c r="B4629" s="6"/>
      <c r="C4629" s="4"/>
      <c r="D4629" s="4">
        <v>48.3641275995966</v>
      </c>
      <c r="E4629" s="4" t="s">
        <v>645</v>
      </c>
      <c r="F4629" s="4"/>
      <c r="G4629" s="4"/>
      <c r="H4629" s="4"/>
      <c r="I4629" s="4" t="str">
        <f>IFERROR(__xludf.DUMMYFUNCTION("""COMPUTED_VALUE"""),"0xe5305ba0e23bf9f60ef3a3d0c226f0e35468387f")</f>
        <v>0xe5305ba0e23bf9f60ef3a3d0c226f0e35468387f</v>
      </c>
      <c r="J4629" s="18">
        <v>69.5887070625957</v>
      </c>
      <c r="K4629" s="4">
        <v>869.8588382824463</v>
      </c>
      <c r="L4629" s="19">
        <v>8.698588382824463E20</v>
      </c>
      <c r="M4629" s="20">
        <v>8.698588382824463E19</v>
      </c>
    </row>
    <row r="4630">
      <c r="A4630" s="6"/>
      <c r="B4630" s="6"/>
      <c r="C4630" s="4"/>
      <c r="D4630" s="4">
        <v>9.70645907061563</v>
      </c>
      <c r="E4630" s="4" t="s">
        <v>6908</v>
      </c>
      <c r="F4630" s="4"/>
      <c r="G4630" s="4"/>
      <c r="H4630" s="4"/>
      <c r="I4630" s="4" t="str">
        <f>IFERROR(__xludf.DUMMYFUNCTION("""COMPUTED_VALUE"""),"0x0dd74b78b08518365a2804bf7690d5890e1d1120")</f>
        <v>0x0dd74b78b08518365a2804bf7690d5890e1d1120</v>
      </c>
      <c r="J4630" s="18">
        <v>54.535948437932205</v>
      </c>
      <c r="K4630" s="4">
        <v>681.6993554741525</v>
      </c>
      <c r="L4630" s="19">
        <v>6.816993554741525E20</v>
      </c>
      <c r="M4630" s="20">
        <v>6.816993554741526E19</v>
      </c>
    </row>
    <row r="4631">
      <c r="A4631" s="6"/>
      <c r="B4631" s="6"/>
      <c r="C4631" s="4"/>
      <c r="D4631" s="4">
        <v>9.672825519919328</v>
      </c>
      <c r="E4631" s="4" t="s">
        <v>6910</v>
      </c>
      <c r="F4631" s="4"/>
      <c r="G4631" s="4"/>
      <c r="H4631" s="4"/>
      <c r="I4631" s="4" t="str">
        <f>IFERROR(__xludf.DUMMYFUNCTION("""COMPUTED_VALUE"""),"0xcc2368eaf57c66f86cd91d0c905e3bc0dbb478a0")</f>
        <v>0xcc2368eaf57c66f86cd91d0c905e3bc0dbb478a0</v>
      </c>
      <c r="J4631" s="18">
        <v>184.999302567826</v>
      </c>
      <c r="K4631" s="4">
        <v>2312.4912820978248</v>
      </c>
      <c r="L4631" s="19">
        <v>2.3124912820978249E21</v>
      </c>
      <c r="M4631" s="20">
        <v>2.312491282097825E20</v>
      </c>
    </row>
    <row r="4632">
      <c r="A4632" s="6"/>
      <c r="B4632" s="6"/>
      <c r="C4632" s="4"/>
      <c r="D4632" s="4">
        <v>35.6169603466642</v>
      </c>
      <c r="E4632" s="4" t="s">
        <v>1198</v>
      </c>
      <c r="F4632" s="4"/>
      <c r="G4632" s="4"/>
      <c r="H4632" s="4"/>
      <c r="I4632" s="4" t="str">
        <f>IFERROR(__xludf.DUMMYFUNCTION("""COMPUTED_VALUE"""),"0x2a18f5c0dff157b52396eda0eb4ad6a69fabd504")</f>
        <v>0x2a18f5c0dff157b52396eda0eb4ad6a69fabd504</v>
      </c>
      <c r="J4632" s="18">
        <v>186.01196020749998</v>
      </c>
      <c r="K4632" s="4">
        <v>2325.1495025937497</v>
      </c>
      <c r="L4632" s="19">
        <v>2.3251495025937497E21</v>
      </c>
      <c r="M4632" s="20">
        <v>2.3251495025937498E20</v>
      </c>
    </row>
    <row r="4633">
      <c r="A4633" s="6"/>
      <c r="B4633" s="6"/>
      <c r="C4633" s="4"/>
      <c r="D4633" s="4">
        <v>48.3641275995966</v>
      </c>
      <c r="E4633" s="4" t="s">
        <v>6912</v>
      </c>
      <c r="F4633" s="4"/>
      <c r="G4633" s="4"/>
      <c r="H4633" s="4"/>
      <c r="I4633" s="4" t="str">
        <f>IFERROR(__xludf.DUMMYFUNCTION("""COMPUTED_VALUE"""),"0xd67394a279be2234abfd79e4b62ae14561a1ea16")</f>
        <v>0xd67394a279be2234abfd79e4b62ae14561a1ea16</v>
      </c>
      <c r="J4633" s="18">
        <v>12.319239861463599</v>
      </c>
      <c r="K4633" s="4">
        <v>153.99049826829497</v>
      </c>
      <c r="L4633" s="19">
        <v>1.5399049826829497E20</v>
      </c>
      <c r="M4633" s="20">
        <v>1.5399049826829498E19</v>
      </c>
    </row>
    <row r="4634">
      <c r="A4634" s="6"/>
      <c r="B4634" s="6"/>
      <c r="C4634" s="4"/>
      <c r="D4634" s="4">
        <v>3.8812164336340795</v>
      </c>
      <c r="E4634" s="4" t="s">
        <v>6913</v>
      </c>
      <c r="F4634" s="4"/>
      <c r="G4634" s="4"/>
      <c r="H4634" s="4"/>
      <c r="I4634" s="4" t="str">
        <f>IFERROR(__xludf.DUMMYFUNCTION("""COMPUTED_VALUE"""),"0x2c1abe91291ba0fa57db67e8fa6051993cbf2d4f")</f>
        <v>0x2c1abe91291ba0fa57db67e8fa6051993cbf2d4f</v>
      </c>
      <c r="J4634" s="18">
        <v>9.30059801037504</v>
      </c>
      <c r="K4634" s="4">
        <v>116.257475129688</v>
      </c>
      <c r="L4634" s="19">
        <v>1.16257475129688E20</v>
      </c>
      <c r="M4634" s="20">
        <v>1.16257475129688E19</v>
      </c>
    </row>
    <row r="4635">
      <c r="A4635" s="6"/>
      <c r="B4635" s="6"/>
      <c r="C4635" s="4"/>
      <c r="D4635" s="4">
        <v>38.6913020796773</v>
      </c>
      <c r="E4635" s="4" t="s">
        <v>6915</v>
      </c>
      <c r="F4635" s="4"/>
      <c r="G4635" s="4"/>
      <c r="H4635" s="4"/>
      <c r="I4635" s="4" t="str">
        <f>IFERROR(__xludf.DUMMYFUNCTION("""COMPUTED_VALUE"""),"0x193305e42f16c729a59b144115bdacfe575fb5d9")</f>
        <v>0x193305e42f16c729a59b144115bdacfe575fb5d9</v>
      </c>
      <c r="J4635" s="18">
        <v>18.60119602075</v>
      </c>
      <c r="K4635" s="4">
        <v>232.51495025937498</v>
      </c>
      <c r="L4635" s="19">
        <v>2.3251495025937498E20</v>
      </c>
      <c r="M4635" s="20">
        <v>2.32514950259375E19</v>
      </c>
    </row>
    <row r="4636">
      <c r="A4636" s="6"/>
      <c r="B4636" s="6"/>
      <c r="C4636" s="4"/>
      <c r="D4636" s="4">
        <v>48.3641275995966</v>
      </c>
      <c r="E4636" s="4" t="s">
        <v>6916</v>
      </c>
      <c r="F4636" s="4"/>
      <c r="G4636" s="4"/>
      <c r="H4636" s="4"/>
      <c r="I4636" s="4" t="str">
        <f>IFERROR(__xludf.DUMMYFUNCTION("""COMPUTED_VALUE"""),"0x3c0ccdfa2fd87dae7364d8ee5db53b305f6cc0da")</f>
        <v>0x3c0ccdfa2fd87dae7364d8ee5db53b305f6cc0da</v>
      </c>
      <c r="J4636" s="18">
        <v>186.01196020749998</v>
      </c>
      <c r="K4636" s="4">
        <v>2325.1495025937497</v>
      </c>
      <c r="L4636" s="19">
        <v>2.3251495025937497E21</v>
      </c>
      <c r="M4636" s="20">
        <v>2.3251495025937498E20</v>
      </c>
    </row>
    <row r="4637">
      <c r="A4637" s="6"/>
      <c r="B4637" s="6"/>
      <c r="C4637" s="4"/>
      <c r="D4637" s="4">
        <v>29.018476559758</v>
      </c>
      <c r="E4637" s="4" t="s">
        <v>6917</v>
      </c>
      <c r="F4637" s="4"/>
      <c r="G4637" s="4"/>
      <c r="H4637" s="4"/>
      <c r="I4637" s="4" t="str">
        <f>IFERROR(__xludf.DUMMYFUNCTION("""COMPUTED_VALUE"""),"0xdae81c4e69a45df98af3c455e88e26c38f3e6e02")</f>
        <v>0xdae81c4e69a45df98af3c455e88e26c38f3e6e02</v>
      </c>
      <c r="J4637" s="18">
        <v>109.617018413909</v>
      </c>
      <c r="K4637" s="4">
        <v>1370.2127301738624</v>
      </c>
      <c r="L4637" s="19">
        <v>1.3702127301738624E21</v>
      </c>
      <c r="M4637" s="20">
        <v>1.3702127301738625E20</v>
      </c>
    </row>
    <row r="4638">
      <c r="A4638" s="6"/>
      <c r="B4638" s="6"/>
      <c r="C4638" s="4"/>
      <c r="D4638" s="4">
        <v>7.75481963044356</v>
      </c>
      <c r="E4638" s="4" t="s">
        <v>6918</v>
      </c>
      <c r="F4638" s="4"/>
      <c r="G4638" s="4"/>
      <c r="H4638" s="4"/>
      <c r="I4638" s="4" t="str">
        <f>IFERROR(__xludf.DUMMYFUNCTION("""COMPUTED_VALUE"""),"0xb24db3063ce66a43aa33eb1384f5bbb8d7cdffdc")</f>
        <v>0xb24db3063ce66a43aa33eb1384f5bbb8d7cdffdc</v>
      </c>
      <c r="J4638" s="18">
        <v>122.693505371954</v>
      </c>
      <c r="K4638" s="4">
        <v>1533.668817149425</v>
      </c>
      <c r="L4638" s="19">
        <v>1.533668817149425E21</v>
      </c>
      <c r="M4638" s="20">
        <v>1.533668817149425E20</v>
      </c>
    </row>
    <row r="4639">
      <c r="A4639" s="6"/>
      <c r="B4639" s="6"/>
      <c r="C4639" s="4"/>
      <c r="D4639" s="4">
        <v>48.3641275995966</v>
      </c>
      <c r="E4639" s="4" t="s">
        <v>6920</v>
      </c>
      <c r="F4639" s="4"/>
      <c r="G4639" s="4"/>
      <c r="H4639" s="4"/>
      <c r="I4639" s="4" t="str">
        <f>IFERROR(__xludf.DUMMYFUNCTION("""COMPUTED_VALUE"""),"0xbcd55e7800f8894417ceafbf1e570a1aa4647230")</f>
        <v>0xbcd55e7800f8894417ceafbf1e570a1aa4647230</v>
      </c>
      <c r="J4639" s="18">
        <v>36.4941476225914</v>
      </c>
      <c r="K4639" s="4">
        <v>456.1768452823925</v>
      </c>
      <c r="L4639" s="19">
        <v>4.561768452823925E20</v>
      </c>
      <c r="M4639" s="20">
        <v>4.561768452823925E19</v>
      </c>
    </row>
    <row r="4640">
      <c r="A4640" s="6"/>
      <c r="B4640" s="6"/>
      <c r="C4640" s="4"/>
      <c r="D4640" s="4">
        <v>48.3641275995966</v>
      </c>
      <c r="E4640" s="4" t="s">
        <v>929</v>
      </c>
      <c r="F4640" s="4"/>
      <c r="G4640" s="4"/>
      <c r="H4640" s="4"/>
      <c r="I4640" s="4" t="str">
        <f>IFERROR(__xludf.DUMMYFUNCTION("""COMPUTED_VALUE"""),"0x35f507c4d462925fe01fd80920d7ebe118a5db59")</f>
        <v>0x35f507c4d462925fe01fd80920d7ebe118a5db59</v>
      </c>
      <c r="J4640" s="18">
        <v>46.5029900518752</v>
      </c>
      <c r="K4640" s="4">
        <v>581.28737564844</v>
      </c>
      <c r="L4640" s="19">
        <v>5.8128737564844006E20</v>
      </c>
      <c r="M4640" s="20">
        <v>5.812873756484401E19</v>
      </c>
    </row>
    <row r="4641">
      <c r="A4641" s="6"/>
      <c r="B4641" s="6"/>
      <c r="C4641" s="4"/>
      <c r="D4641" s="4">
        <v>9.345780613849891</v>
      </c>
      <c r="E4641" s="4" t="s">
        <v>6921</v>
      </c>
      <c r="F4641" s="4"/>
      <c r="G4641" s="4"/>
      <c r="H4641" s="4"/>
      <c r="I4641" s="4" t="str">
        <f>IFERROR(__xludf.DUMMYFUNCTION("""COMPUTED_VALUE"""),"0x983c96d82c204f0f97b61e2bbbcf88df4dc2906b")</f>
        <v>0x983c96d82c204f0f97b61e2bbbcf88df4dc2906b</v>
      </c>
      <c r="J4641" s="18">
        <v>46.5029900518752</v>
      </c>
      <c r="K4641" s="4">
        <v>581.28737564844</v>
      </c>
      <c r="L4641" s="19">
        <v>5.8128737564844006E20</v>
      </c>
      <c r="M4641" s="20">
        <v>5.812873756484401E19</v>
      </c>
    </row>
    <row r="4642">
      <c r="A4642" s="6"/>
      <c r="B4642" s="6"/>
      <c r="C4642" s="4"/>
      <c r="D4642" s="4">
        <v>1.5901438153232799</v>
      </c>
      <c r="E4642" s="4" t="s">
        <v>6923</v>
      </c>
      <c r="F4642" s="4"/>
      <c r="G4642" s="4"/>
      <c r="H4642" s="4"/>
      <c r="I4642" s="4" t="str">
        <f>IFERROR(__xludf.DUMMYFUNCTION("""COMPUTED_VALUE"""),"0x4ad17327f1c4eeebd18350f670b973462d043085")</f>
        <v>0x4ad17327f1c4eeebd18350f670b973462d043085</v>
      </c>
      <c r="J4642" s="18">
        <v>44.432428747389004</v>
      </c>
      <c r="K4642" s="4">
        <v>555.4053593423625</v>
      </c>
      <c r="L4642" s="19">
        <v>5.5540535934236256E20</v>
      </c>
      <c r="M4642" s="20">
        <v>5.554053593423626E19</v>
      </c>
    </row>
    <row r="4643">
      <c r="A4643" s="6"/>
      <c r="B4643" s="6"/>
      <c r="C4643" s="4"/>
      <c r="D4643" s="4">
        <v>9.672825519919328</v>
      </c>
      <c r="E4643" s="4" t="s">
        <v>6925</v>
      </c>
      <c r="F4643" s="4"/>
      <c r="G4643" s="4"/>
      <c r="H4643" s="4"/>
      <c r="I4643" s="4" t="str">
        <f>IFERROR(__xludf.DUMMYFUNCTION("""COMPUTED_VALUE"""),"0xe47d435bff9b3a36a9eda730951bb4e30f1d5469")</f>
        <v>0xe47d435bff9b3a36a9eda730951bb4e30f1d5469</v>
      </c>
      <c r="J4643" s="18">
        <v>105.12593925543</v>
      </c>
      <c r="K4643" s="4">
        <v>1314.074240692875</v>
      </c>
      <c r="L4643" s="19">
        <v>1.3140742406928752E21</v>
      </c>
      <c r="M4643" s="20">
        <v>1.3140742406928753E20</v>
      </c>
    </row>
    <row r="4644">
      <c r="A4644" s="6"/>
      <c r="B4644" s="6"/>
      <c r="C4644" s="4"/>
      <c r="D4644" s="4">
        <v>12.7758728417984</v>
      </c>
      <c r="E4644" s="4" t="s">
        <v>6926</v>
      </c>
      <c r="F4644" s="4"/>
      <c r="G4644" s="4"/>
      <c r="H4644" s="4"/>
      <c r="I4644" s="4" t="str">
        <f>IFERROR(__xludf.DUMMYFUNCTION("""COMPUTED_VALUE"""),"0xbd2fb957ef7dc7828e169624af9074fa2a1f898b")</f>
        <v>0xbd2fb957ef7dc7828e169624af9074fa2a1f898b</v>
      </c>
      <c r="J4644" s="18">
        <v>0.0609073999114954</v>
      </c>
      <c r="K4644" s="4">
        <v>0.7613424988936925</v>
      </c>
      <c r="L4644" s="19">
        <v>7.613424988936925E17</v>
      </c>
      <c r="M4644" s="20">
        <v>7.613424988936926E16</v>
      </c>
    </row>
    <row r="4645">
      <c r="A4645" s="6"/>
      <c r="B4645" s="6"/>
      <c r="C4645" s="4"/>
      <c r="D4645" s="4">
        <v>48.3641275995966</v>
      </c>
      <c r="E4645" s="4" t="s">
        <v>6928</v>
      </c>
      <c r="F4645" s="4"/>
      <c r="G4645" s="4"/>
      <c r="H4645" s="4"/>
      <c r="I4645" s="4" t="str">
        <f>IFERROR(__xludf.DUMMYFUNCTION("""COMPUTED_VALUE"""),"0xf7249a39ffa39a1fe9780e0dfcd31437ad5c9db8")</f>
        <v>0xf7249a39ffa39a1fe9780e0dfcd31437ad5c9db8</v>
      </c>
      <c r="J4645" s="18">
        <v>28.6458418719551</v>
      </c>
      <c r="K4645" s="4">
        <v>358.07302339943874</v>
      </c>
      <c r="L4645" s="19">
        <v>3.580730233994387E20</v>
      </c>
      <c r="M4645" s="20">
        <v>3.5807302339943875E19</v>
      </c>
    </row>
    <row r="4646">
      <c r="A4646" s="6"/>
      <c r="B4646" s="6"/>
      <c r="C4646" s="4"/>
      <c r="D4646" s="4">
        <v>48.3641275995966</v>
      </c>
      <c r="E4646" s="4" t="s">
        <v>6929</v>
      </c>
      <c r="F4646" s="4"/>
      <c r="G4646" s="4"/>
      <c r="H4646" s="4"/>
      <c r="I4646" s="4" t="str">
        <f>IFERROR(__xludf.DUMMYFUNCTION("""COMPUTED_VALUE"""),"0x8394edc8224c97d859438794250768b15034bd34")</f>
        <v>0x8394edc8224c97d859438794250768b15034bd34</v>
      </c>
      <c r="J4646" s="18">
        <v>80.81082512641231</v>
      </c>
      <c r="K4646" s="4">
        <v>1010.1353140801539</v>
      </c>
      <c r="L4646" s="19">
        <v>1.0101353140801539E21</v>
      </c>
      <c r="M4646" s="20">
        <v>1.010135314080154E20</v>
      </c>
    </row>
    <row r="4647">
      <c r="A4647" s="6"/>
      <c r="B4647" s="6"/>
      <c r="C4647" s="4"/>
      <c r="D4647" s="4">
        <v>19.3490125945246</v>
      </c>
      <c r="E4647" s="4" t="s">
        <v>6930</v>
      </c>
      <c r="F4647" s="4"/>
      <c r="G4647" s="4"/>
      <c r="H4647" s="4"/>
      <c r="I4647" s="4" t="str">
        <f>IFERROR(__xludf.DUMMYFUNCTION("""COMPUTED_VALUE"""),"0xfe07ee5fd4ebad480b4d6e183ee0592cc02cc864")</f>
        <v>0xfe07ee5fd4ebad480b4d6e183ee0592cc02cc864</v>
      </c>
      <c r="J4647" s="18">
        <v>84.9691461237446</v>
      </c>
      <c r="K4647" s="4">
        <v>1062.1143265468074</v>
      </c>
      <c r="L4647" s="19">
        <v>1.0621143265468074E21</v>
      </c>
      <c r="M4647" s="20">
        <v>1.0621143265468075E20</v>
      </c>
    </row>
    <row r="4648">
      <c r="A4648" s="6"/>
      <c r="B4648" s="6"/>
      <c r="C4648" s="4"/>
      <c r="D4648" s="4">
        <v>47.1012330713301</v>
      </c>
      <c r="E4648" s="4" t="s">
        <v>6932</v>
      </c>
      <c r="F4648" s="4"/>
      <c r="G4648" s="4"/>
      <c r="H4648" s="4"/>
      <c r="I4648" s="4" t="str">
        <f>IFERROR(__xludf.DUMMYFUNCTION("""COMPUTED_VALUE"""),"0xa1a11850bccde5dc23f94453573c14beb6c651c7")</f>
        <v>0xa1a11850bccde5dc23f94453573c14beb6c651c7</v>
      </c>
      <c r="J4648" s="18">
        <v>9.30059801037504</v>
      </c>
      <c r="K4648" s="4">
        <v>116.257475129688</v>
      </c>
      <c r="L4648" s="19">
        <v>1.16257475129688E20</v>
      </c>
      <c r="M4648" s="20">
        <v>1.16257475129688E19</v>
      </c>
    </row>
    <row r="4649">
      <c r="A4649" s="6"/>
      <c r="B4649" s="6"/>
      <c r="C4649" s="4"/>
      <c r="D4649" s="4">
        <v>48.223993139928595</v>
      </c>
      <c r="E4649" s="4" t="s">
        <v>392</v>
      </c>
      <c r="F4649" s="4"/>
      <c r="G4649" s="4"/>
      <c r="H4649" s="4"/>
      <c r="I4649" s="4" t="str">
        <f>IFERROR(__xludf.DUMMYFUNCTION("""COMPUTED_VALUE"""),"0xe5a78954da0475c81126de9a71954db7175b00db")</f>
        <v>0xe5a78954da0475c81126de9a71954db7175b00db</v>
      </c>
      <c r="J4649" s="18">
        <v>27.2298030454618</v>
      </c>
      <c r="K4649" s="4">
        <v>340.3725380682725</v>
      </c>
      <c r="L4649" s="19">
        <v>3.403725380682725E20</v>
      </c>
      <c r="M4649" s="20">
        <v>3.403725380682725E19</v>
      </c>
    </row>
    <row r="4650">
      <c r="A4650" s="6"/>
      <c r="B4650" s="6"/>
      <c r="C4650" s="4"/>
      <c r="D4650" s="4">
        <v>9.48712041530676</v>
      </c>
      <c r="E4650" s="4" t="s">
        <v>6935</v>
      </c>
      <c r="F4650" s="4"/>
      <c r="G4650" s="4"/>
      <c r="H4650" s="4"/>
      <c r="I4650" s="4" t="str">
        <f>IFERROR(__xludf.DUMMYFUNCTION("""COMPUTED_VALUE"""),"0x42771304372b7a86d0b4855b44cd88da34e6d61e")</f>
        <v>0x42771304372b7a86d0b4855b44cd88da34e6d61e</v>
      </c>
      <c r="J4650" s="18">
        <v>93.5146398035464</v>
      </c>
      <c r="K4650" s="4">
        <v>1168.93299754433</v>
      </c>
      <c r="L4650" s="19">
        <v>1.16893299754433E21</v>
      </c>
      <c r="M4650" s="20">
        <v>1.16893299754433E20</v>
      </c>
    </row>
    <row r="4651">
      <c r="A4651" s="6"/>
      <c r="B4651" s="6"/>
      <c r="C4651" s="4"/>
      <c r="D4651" s="4">
        <v>48.3641275995966</v>
      </c>
      <c r="E4651" s="4" t="s">
        <v>6937</v>
      </c>
      <c r="F4651" s="4"/>
      <c r="G4651" s="4"/>
      <c r="H4651" s="4"/>
      <c r="I4651" s="4" t="str">
        <f>IFERROR(__xludf.DUMMYFUNCTION("""COMPUTED_VALUE"""),"0x90104dcb1c42f83c5d79b41490f1ad9aab6a71b7")</f>
        <v>0x90104dcb1c42f83c5d79b41490f1ad9aab6a71b7</v>
      </c>
      <c r="J4651" s="18">
        <v>35.3383549602541</v>
      </c>
      <c r="K4651" s="4">
        <v>441.72943700317626</v>
      </c>
      <c r="L4651" s="19">
        <v>4.417294370031763E20</v>
      </c>
      <c r="M4651" s="20">
        <v>4.417294370031763E19</v>
      </c>
    </row>
    <row r="4652">
      <c r="A4652" s="6"/>
      <c r="B4652" s="6"/>
      <c r="C4652" s="4"/>
      <c r="D4652" s="4">
        <v>26.996338079685202</v>
      </c>
      <c r="E4652" s="4" t="s">
        <v>6938</v>
      </c>
      <c r="F4652" s="4"/>
      <c r="G4652" s="4"/>
      <c r="H4652" s="4"/>
      <c r="I4652" s="4" t="str">
        <f>IFERROR(__xludf.DUMMYFUNCTION("""COMPUTED_VALUE"""),"0x50ae4fcc68cfa2e9f14ec291f1e0bb91fda0857e")</f>
        <v>0x50ae4fcc68cfa2e9f14ec291f1e0bb91fda0857e</v>
      </c>
      <c r="J4652" s="18">
        <v>177.385069277405</v>
      </c>
      <c r="K4652" s="4">
        <v>2217.3133659675623</v>
      </c>
      <c r="L4652" s="19">
        <v>2.2173133659675623E21</v>
      </c>
      <c r="M4652" s="20">
        <v>2.2173133659675623E20</v>
      </c>
    </row>
    <row r="4653">
      <c r="A4653" s="6"/>
      <c r="B4653" s="6"/>
      <c r="C4653" s="4"/>
      <c r="D4653" s="4">
        <v>48.3641275995966</v>
      </c>
      <c r="E4653" s="4" t="s">
        <v>6940</v>
      </c>
      <c r="F4653" s="4"/>
      <c r="G4653" s="4"/>
      <c r="H4653" s="4"/>
      <c r="I4653" s="4" t="str">
        <f>IFERROR(__xludf.DUMMYFUNCTION("""COMPUTED_VALUE"""),"0xf85d61fb05cf8f09d974a8036e6b2b78d800d905")</f>
        <v>0xf85d61fb05cf8f09d974a8036e6b2b78d800d905</v>
      </c>
      <c r="J4653" s="18">
        <v>52.7738553347486</v>
      </c>
      <c r="K4653" s="4">
        <v>659.6731916843576</v>
      </c>
      <c r="L4653" s="19">
        <v>6.596731916843576E20</v>
      </c>
      <c r="M4653" s="20">
        <v>6.5967319168435765E19</v>
      </c>
    </row>
    <row r="4654">
      <c r="A4654" s="6"/>
      <c r="B4654" s="6"/>
      <c r="C4654" s="4"/>
      <c r="D4654" s="4">
        <v>19.3456510398386</v>
      </c>
      <c r="E4654" s="4" t="s">
        <v>6941</v>
      </c>
      <c r="F4654" s="4"/>
      <c r="G4654" s="4"/>
      <c r="H4654" s="4"/>
      <c r="I4654" s="4" t="str">
        <f>IFERROR(__xludf.DUMMYFUNCTION("""COMPUTED_VALUE"""),"0xd554ff20b3716fde0bb9b334cded4d7c04e5e47d")</f>
        <v>0xd554ff20b3716fde0bb9b334cded4d7c04e5e47d</v>
      </c>
      <c r="J4654" s="18">
        <v>112.504135694875</v>
      </c>
      <c r="K4654" s="4">
        <v>1406.3016961859375</v>
      </c>
      <c r="L4654" s="19">
        <v>1.4063016961859374E21</v>
      </c>
      <c r="M4654" s="20">
        <v>1.4063016961859374E20</v>
      </c>
    </row>
    <row r="4655">
      <c r="A4655" s="6"/>
      <c r="B4655" s="6"/>
      <c r="C4655" s="4"/>
      <c r="D4655" s="4">
        <v>48.3641275995966</v>
      </c>
      <c r="E4655" s="4" t="s">
        <v>6942</v>
      </c>
      <c r="F4655" s="4"/>
      <c r="G4655" s="4"/>
      <c r="H4655" s="4"/>
      <c r="I4655" s="4" t="str">
        <f>IFERROR(__xludf.DUMMYFUNCTION("""COMPUTED_VALUE"""),"0x49f2b625ebf315010a44caab9bcfa011d5aff045")</f>
        <v>0x49f2b625ebf315010a44caab9bcfa011d5aff045</v>
      </c>
      <c r="J4655" s="18">
        <v>2.79017940311251</v>
      </c>
      <c r="K4655" s="4">
        <v>34.87724253890637</v>
      </c>
      <c r="L4655" s="19">
        <v>3.4877242538906374E19</v>
      </c>
      <c r="M4655" s="20">
        <v>3.487724253890638E18</v>
      </c>
    </row>
    <row r="4656">
      <c r="A4656" s="6"/>
      <c r="B4656" s="6"/>
      <c r="C4656" s="4"/>
      <c r="D4656" s="4">
        <v>48.3641275995966</v>
      </c>
      <c r="E4656" s="4" t="s">
        <v>6943</v>
      </c>
      <c r="F4656" s="4"/>
      <c r="G4656" s="4"/>
      <c r="H4656" s="4"/>
      <c r="I4656" s="4" t="str">
        <f>IFERROR(__xludf.DUMMYFUNCTION("""COMPUTED_VALUE"""),"0xa0ec032d5b3dee52cb3064ae921bccf526b6400f")</f>
        <v>0xa0ec032d5b3dee52cb3064ae921bccf526b6400f</v>
      </c>
      <c r="J4656" s="18">
        <v>5.39434684601752</v>
      </c>
      <c r="K4656" s="4">
        <v>67.429335575219</v>
      </c>
      <c r="L4656" s="19">
        <v>6.7429335575219E19</v>
      </c>
      <c r="M4656" s="20">
        <v>6.742933557521901E18</v>
      </c>
    </row>
    <row r="4657">
      <c r="A4657" s="6"/>
      <c r="B4657" s="6"/>
      <c r="C4657" s="4"/>
      <c r="D4657" s="4">
        <v>7.7223543957727205</v>
      </c>
      <c r="E4657" s="4" t="s">
        <v>6944</v>
      </c>
      <c r="F4657" s="4"/>
      <c r="G4657" s="4"/>
      <c r="H4657" s="4"/>
      <c r="I4657" s="4" t="str">
        <f>IFERROR(__xludf.DUMMYFUNCTION("""COMPUTED_VALUE"""),"0x094685037f6d02209e94797d9ff0666510d48514")</f>
        <v>0x094685037f6d02209e94797d9ff0666510d48514</v>
      </c>
      <c r="J4657" s="18">
        <v>46.5029900518752</v>
      </c>
      <c r="K4657" s="4">
        <v>581.28737564844</v>
      </c>
      <c r="L4657" s="19">
        <v>5.8128737564844006E20</v>
      </c>
      <c r="M4657" s="20">
        <v>5.812873756484401E19</v>
      </c>
    </row>
    <row r="4658">
      <c r="A4658" s="6"/>
      <c r="B4658" s="6"/>
      <c r="C4658" s="4"/>
      <c r="D4658" s="4">
        <v>48.3641275995966</v>
      </c>
      <c r="E4658" s="4" t="s">
        <v>6946</v>
      </c>
      <c r="F4658" s="4"/>
      <c r="G4658" s="4"/>
      <c r="H4658" s="4"/>
      <c r="I4658" s="4" t="str">
        <f>IFERROR(__xludf.DUMMYFUNCTION("""COMPUTED_VALUE"""),"0x2128d946c718654919ac95a46c9b405c93c8a06e")</f>
        <v>0x2128d946c718654919ac95a46c9b405c93c8a06e</v>
      </c>
      <c r="J4658" s="18">
        <v>185.748027220053</v>
      </c>
      <c r="K4658" s="4">
        <v>2321.850340250662</v>
      </c>
      <c r="L4658" s="19">
        <v>2.3218503402506622E21</v>
      </c>
      <c r="M4658" s="20">
        <v>2.3218503402506623E20</v>
      </c>
    </row>
    <row r="4659">
      <c r="A4659" s="6"/>
      <c r="B4659" s="6"/>
      <c r="C4659" s="4"/>
      <c r="D4659" s="4">
        <v>48.249450847911</v>
      </c>
      <c r="E4659" s="4" t="s">
        <v>6947</v>
      </c>
      <c r="F4659" s="4"/>
      <c r="G4659" s="4"/>
      <c r="H4659" s="4"/>
      <c r="I4659" s="4" t="str">
        <f>IFERROR(__xludf.DUMMYFUNCTION("""COMPUTED_VALUE"""),"0x35175803173a529fff3b3a369e829cf9129d069e")</f>
        <v>0x35175803173a529fff3b3a369e829cf9129d069e</v>
      </c>
      <c r="J4659" s="18">
        <v>120.017275816984</v>
      </c>
      <c r="K4659" s="4">
        <v>1500.2159477123</v>
      </c>
      <c r="L4659" s="19">
        <v>1.5002159477123E21</v>
      </c>
      <c r="M4659" s="20">
        <v>1.5002159477123E20</v>
      </c>
    </row>
    <row r="4660">
      <c r="A4660" s="6"/>
      <c r="B4660" s="6"/>
      <c r="C4660" s="4"/>
      <c r="D4660" s="4">
        <v>29.7716027547389</v>
      </c>
      <c r="E4660" s="4" t="s">
        <v>6949</v>
      </c>
      <c r="F4660" s="4"/>
      <c r="G4660" s="4"/>
      <c r="H4660" s="4"/>
      <c r="I4660" s="4" t="str">
        <f>IFERROR(__xludf.DUMMYFUNCTION("""COMPUTED_VALUE"""),"0xd091ff5672b7082295c16fc35de0a40629b227bd")</f>
        <v>0xd091ff5672b7082295c16fc35de0a40629b227bd</v>
      </c>
      <c r="J4660" s="18">
        <v>186.01196020749998</v>
      </c>
      <c r="K4660" s="4">
        <v>2325.1495025937497</v>
      </c>
      <c r="L4660" s="19">
        <v>2.3251495025937497E21</v>
      </c>
      <c r="M4660" s="20">
        <v>2.3251495025937498E20</v>
      </c>
    </row>
    <row r="4661">
      <c r="A4661" s="6"/>
      <c r="B4661" s="6"/>
      <c r="C4661" s="4"/>
      <c r="D4661" s="4">
        <v>48.3641275995966</v>
      </c>
      <c r="E4661" s="4" t="s">
        <v>6951</v>
      </c>
      <c r="F4661" s="4"/>
      <c r="G4661" s="4"/>
      <c r="H4661" s="4"/>
      <c r="I4661" s="4" t="str">
        <f>IFERROR(__xludf.DUMMYFUNCTION("""COMPUTED_VALUE"""),"0x25875e88eeea22540ff8e05957d01476758f0257")</f>
        <v>0x25875e88eeea22540ff8e05957d01476758f0257</v>
      </c>
      <c r="J4661" s="18">
        <v>55.8035880622502</v>
      </c>
      <c r="K4661" s="4">
        <v>697.5448507781275</v>
      </c>
      <c r="L4661" s="19">
        <v>6.975448507781275E20</v>
      </c>
      <c r="M4661" s="20">
        <v>6.975448507781275E19</v>
      </c>
    </row>
    <row r="4662">
      <c r="A4662" s="6"/>
      <c r="B4662" s="6"/>
      <c r="C4662" s="4"/>
      <c r="D4662" s="4">
        <v>4.8710564990134895</v>
      </c>
      <c r="E4662" s="4" t="s">
        <v>6952</v>
      </c>
      <c r="F4662" s="4"/>
      <c r="G4662" s="4"/>
      <c r="H4662" s="4"/>
      <c r="I4662" s="4" t="str">
        <f>IFERROR(__xludf.DUMMYFUNCTION("""COMPUTED_VALUE"""),"0xd1d4319ce10f70bebcde4dd45b8f673e96af3e4c")</f>
        <v>0xd1d4319ce10f70bebcde4dd45b8f673e96af3e4c</v>
      </c>
      <c r="J4662" s="18">
        <v>88.07547942129159</v>
      </c>
      <c r="K4662" s="4">
        <v>1100.9434927661448</v>
      </c>
      <c r="L4662" s="19">
        <v>1.1009434927661448E21</v>
      </c>
      <c r="M4662" s="20">
        <v>1.100943492766145E20</v>
      </c>
    </row>
    <row r="4663">
      <c r="A4663" s="6"/>
      <c r="B4663" s="6"/>
      <c r="C4663" s="4"/>
      <c r="D4663" s="4">
        <v>48.3641275995966</v>
      </c>
      <c r="E4663" s="4" t="s">
        <v>6954</v>
      </c>
      <c r="F4663" s="4"/>
      <c r="G4663" s="4"/>
      <c r="H4663" s="4"/>
      <c r="I4663" s="4" t="str">
        <f>IFERROR(__xludf.DUMMYFUNCTION("""COMPUTED_VALUE"""),"0x6ff1ae273d33c4bbe46750808d8ddecdf0e74404")</f>
        <v>0x6ff1ae273d33c4bbe46750808d8ddecdf0e74404</v>
      </c>
      <c r="J4663" s="18">
        <v>48.565402013645</v>
      </c>
      <c r="K4663" s="4">
        <v>607.0675251705625</v>
      </c>
      <c r="L4663" s="19">
        <v>6.070675251705625E20</v>
      </c>
      <c r="M4663" s="20">
        <v>6.070675251705625E19</v>
      </c>
    </row>
    <row r="4664">
      <c r="A4664" s="6"/>
      <c r="B4664" s="6"/>
      <c r="C4664" s="4"/>
      <c r="D4664" s="4">
        <v>43.737264458359604</v>
      </c>
      <c r="E4664" s="4" t="s">
        <v>6955</v>
      </c>
      <c r="F4664" s="4"/>
      <c r="G4664" s="4"/>
      <c r="H4664" s="4"/>
      <c r="I4664" s="4" t="str">
        <f>IFERROR(__xludf.DUMMYFUNCTION("""COMPUTED_VALUE"""),"0x581ad4e711d56fabf25c34989276e2f35a7eeaae")</f>
        <v>0x581ad4e711d56fabf25c34989276e2f35a7eeaae</v>
      </c>
      <c r="J4664" s="18">
        <v>9.30059801037504</v>
      </c>
      <c r="K4664" s="4">
        <v>116.257475129688</v>
      </c>
      <c r="L4664" s="19">
        <v>1.16257475129688E20</v>
      </c>
      <c r="M4664" s="20">
        <v>1.16257475129688E19</v>
      </c>
    </row>
    <row r="4665">
      <c r="A4665" s="6"/>
      <c r="B4665" s="6"/>
      <c r="C4665" s="4"/>
      <c r="D4665" s="4">
        <v>4.642956249561281</v>
      </c>
      <c r="E4665" s="4" t="s">
        <v>6957</v>
      </c>
      <c r="F4665" s="4"/>
      <c r="G4665" s="4"/>
      <c r="H4665" s="4"/>
      <c r="I4665" s="4" t="str">
        <f>IFERROR(__xludf.DUMMYFUNCTION("""COMPUTED_VALUE"""),"0x488eec81c5278e2ed6d7d9478d629997158bc59d")</f>
        <v>0x488eec81c5278e2ed6d7d9478d629997158bc59d</v>
      </c>
      <c r="J4665" s="18">
        <v>83.7053820933753</v>
      </c>
      <c r="K4665" s="4">
        <v>1046.3172761671913</v>
      </c>
      <c r="L4665" s="19">
        <v>1.0463172761671913E21</v>
      </c>
      <c r="M4665" s="20">
        <v>1.0463172761671913E20</v>
      </c>
    </row>
    <row r="4666">
      <c r="A4666" s="6"/>
      <c r="B4666" s="6"/>
      <c r="C4666" s="4"/>
      <c r="D4666" s="4">
        <v>11.057636950403701</v>
      </c>
      <c r="E4666" s="4" t="s">
        <v>6959</v>
      </c>
      <c r="F4666" s="4"/>
      <c r="G4666" s="4"/>
      <c r="H4666" s="4"/>
      <c r="I4666" s="4" t="str">
        <f>IFERROR(__xludf.DUMMYFUNCTION("""COMPUTED_VALUE"""),"0xc9c8cf798d922d9392e48e306ad76ab3d60b2c6a")</f>
        <v>0xc9c8cf798d922d9392e48e306ad76ab3d60b2c6a</v>
      </c>
      <c r="J4666" s="18">
        <v>186.01196020749998</v>
      </c>
      <c r="K4666" s="4">
        <v>2325.1495025937497</v>
      </c>
      <c r="L4666" s="19">
        <v>2.3251495025937497E21</v>
      </c>
      <c r="M4666" s="20">
        <v>2.3251495025937498E20</v>
      </c>
    </row>
    <row r="4667">
      <c r="A4667" s="6"/>
      <c r="B4667" s="6"/>
      <c r="C4667" s="4"/>
      <c r="D4667" s="4">
        <v>48.3641275995966</v>
      </c>
      <c r="E4667" s="4" t="s">
        <v>6961</v>
      </c>
      <c r="F4667" s="4"/>
      <c r="G4667" s="4"/>
      <c r="H4667" s="4"/>
      <c r="I4667" s="4" t="str">
        <f>IFERROR(__xludf.DUMMYFUNCTION("""COMPUTED_VALUE"""),"0xdf374a7f4082b1be98f83e8baa106c8dc1888d0b")</f>
        <v>0xdf374a7f4082b1be98f83e8baa106c8dc1888d0b</v>
      </c>
      <c r="J4667" s="18">
        <v>48.6893955803598</v>
      </c>
      <c r="K4667" s="4">
        <v>608.6174447544975</v>
      </c>
      <c r="L4667" s="19">
        <v>6.086174447544975E20</v>
      </c>
      <c r="M4667" s="20">
        <v>6.086174447544975E19</v>
      </c>
    </row>
    <row r="4668">
      <c r="A4668" s="6"/>
      <c r="B4668" s="6"/>
      <c r="C4668" s="4"/>
      <c r="D4668" s="4">
        <v>48.3641275995966</v>
      </c>
      <c r="E4668" s="4" t="s">
        <v>6962</v>
      </c>
      <c r="F4668" s="4"/>
      <c r="G4668" s="4"/>
      <c r="H4668" s="4"/>
      <c r="I4668" s="4" t="str">
        <f>IFERROR(__xludf.DUMMYFUNCTION("""COMPUTED_VALUE"""),"0xc33866bf5aaff52d53736b39a3a7564b5b171bbf")</f>
        <v>0xc33866bf5aaff52d53736b39a3a7564b5b171bbf</v>
      </c>
      <c r="J4668" s="18">
        <v>97.90216786675511</v>
      </c>
      <c r="K4668" s="4">
        <v>1223.7770983344387</v>
      </c>
      <c r="L4668" s="19">
        <v>1.2237770983344387E21</v>
      </c>
      <c r="M4668" s="20">
        <v>1.2237770983344387E20</v>
      </c>
    </row>
    <row r="4669">
      <c r="A4669" s="6"/>
      <c r="B4669" s="6"/>
      <c r="C4669" s="4"/>
      <c r="D4669" s="4">
        <v>10.2714680885731</v>
      </c>
      <c r="E4669" s="4" t="s">
        <v>6963</v>
      </c>
      <c r="F4669" s="4"/>
      <c r="G4669" s="4"/>
      <c r="H4669" s="4"/>
      <c r="I4669" s="4" t="str">
        <f>IFERROR(__xludf.DUMMYFUNCTION("""COMPUTED_VALUE"""),"0xe1c5c9df47c4f3db50d3c15bfc7e7995631d4f18")</f>
        <v>0xe1c5c9df47c4f3db50d3c15bfc7e7995631d4f18</v>
      </c>
      <c r="J4669" s="18">
        <v>9.30059801037504</v>
      </c>
      <c r="K4669" s="4">
        <v>116.257475129688</v>
      </c>
      <c r="L4669" s="19">
        <v>1.16257475129688E20</v>
      </c>
      <c r="M4669" s="20">
        <v>1.16257475129688E19</v>
      </c>
    </row>
    <row r="4670">
      <c r="A4670" s="6"/>
      <c r="B4670" s="6"/>
      <c r="C4670" s="4"/>
      <c r="D4670" s="4">
        <v>25.515660165397097</v>
      </c>
      <c r="E4670" s="4" t="s">
        <v>681</v>
      </c>
      <c r="F4670" s="4"/>
      <c r="G4670" s="4"/>
      <c r="H4670" s="4"/>
      <c r="I4670" s="4" t="str">
        <f>IFERROR(__xludf.DUMMYFUNCTION("""COMPUTED_VALUE"""),"0xed70939ed71f00107e71da32a26a9247e3c9bf70")</f>
        <v>0xed70939ed71f00107e71da32a26a9247e3c9bf70</v>
      </c>
      <c r="J4670" s="18">
        <v>50.3741479250803</v>
      </c>
      <c r="K4670" s="4">
        <v>629.6768490635037</v>
      </c>
      <c r="L4670" s="19">
        <v>6.296768490635037E20</v>
      </c>
      <c r="M4670" s="20">
        <v>6.296768490635038E19</v>
      </c>
    </row>
    <row r="4671">
      <c r="A4671" s="6"/>
      <c r="B4671" s="6"/>
      <c r="C4671" s="4"/>
      <c r="D4671" s="4">
        <v>7.8125203977662805</v>
      </c>
      <c r="E4671" s="4" t="s">
        <v>6966</v>
      </c>
      <c r="F4671" s="4"/>
      <c r="G4671" s="4"/>
      <c r="H4671" s="4"/>
      <c r="I4671" s="4" t="str">
        <f>IFERROR(__xludf.DUMMYFUNCTION("""COMPUTED_VALUE"""),"0xd0471c359f65d6adcbd69694996ab49e5e6b6a47")</f>
        <v>0xd0471c359f65d6adcbd69694996ab49e5e6b6a47</v>
      </c>
      <c r="J4671" s="18">
        <v>44.316956722259796</v>
      </c>
      <c r="K4671" s="4">
        <v>553.9619590282474</v>
      </c>
      <c r="L4671" s="19">
        <v>5.539619590282474E20</v>
      </c>
      <c r="M4671" s="20">
        <v>5.539619590282474E19</v>
      </c>
    </row>
    <row r="4672">
      <c r="A4672" s="6"/>
      <c r="B4672" s="6"/>
      <c r="C4672" s="4"/>
      <c r="D4672" s="4">
        <v>48.3641275995966</v>
      </c>
      <c r="E4672" s="4" t="s">
        <v>6968</v>
      </c>
      <c r="F4672" s="4"/>
      <c r="G4672" s="4"/>
      <c r="H4672" s="4"/>
      <c r="I4672" s="4" t="str">
        <f>IFERROR(__xludf.DUMMYFUNCTION("""COMPUTED_VALUE"""),"0x467a1d403ca27ae77ae5c1f24337c377bce28e55")</f>
        <v>0x467a1d403ca27ae77ae5c1f24337c377bce28e55</v>
      </c>
      <c r="J4672" s="18">
        <v>27.7115069837235</v>
      </c>
      <c r="K4672" s="4">
        <v>346.3938372965437</v>
      </c>
      <c r="L4672" s="19">
        <v>3.463938372965437E20</v>
      </c>
      <c r="M4672" s="20">
        <v>3.4639383729654374E19</v>
      </c>
    </row>
    <row r="4673">
      <c r="A4673" s="6"/>
      <c r="B4673" s="6"/>
      <c r="C4673" s="4"/>
      <c r="D4673" s="4">
        <v>48.3641275995966</v>
      </c>
      <c r="E4673" s="4" t="s">
        <v>6969</v>
      </c>
      <c r="F4673" s="4"/>
      <c r="G4673" s="4"/>
      <c r="H4673" s="4"/>
      <c r="I4673" s="4" t="str">
        <f>IFERROR(__xludf.DUMMYFUNCTION("""COMPUTED_VALUE"""),"0x403fc04951b9364bbbe56b6f65cf6d83c2b7a880")</f>
        <v>0x403fc04951b9364bbbe56b6f65cf6d83c2b7a880</v>
      </c>
      <c r="J4673" s="18">
        <v>186.01196020749998</v>
      </c>
      <c r="K4673" s="4">
        <v>2325.1495025937497</v>
      </c>
      <c r="L4673" s="19">
        <v>2.3251495025937497E21</v>
      </c>
      <c r="M4673" s="20">
        <v>2.3251495025937498E20</v>
      </c>
    </row>
    <row r="4674">
      <c r="A4674" s="6"/>
      <c r="B4674" s="6"/>
      <c r="C4674" s="4"/>
      <c r="D4674" s="4">
        <v>48.3641275995966</v>
      </c>
      <c r="E4674" s="4" t="s">
        <v>6970</v>
      </c>
      <c r="F4674" s="4"/>
      <c r="G4674" s="4"/>
      <c r="H4674" s="4"/>
      <c r="I4674" s="4" t="str">
        <f>IFERROR(__xludf.DUMMYFUNCTION("""COMPUTED_VALUE"""),"0x4c8731fcb7d609ddc71a7400a5b50ff5b0aba26a")</f>
        <v>0x4c8731fcb7d609ddc71a7400a5b50ff5b0aba26a</v>
      </c>
      <c r="J4674" s="18">
        <v>34.440762297393704</v>
      </c>
      <c r="K4674" s="4">
        <v>430.5095287174213</v>
      </c>
      <c r="L4674" s="19">
        <v>4.305095287174213E20</v>
      </c>
      <c r="M4674" s="20">
        <v>4.305095287174214E19</v>
      </c>
    </row>
    <row r="4675">
      <c r="A4675" s="6"/>
      <c r="B4675" s="6"/>
      <c r="C4675" s="4"/>
      <c r="D4675" s="4">
        <v>9.672825519919328</v>
      </c>
      <c r="E4675" s="4" t="s">
        <v>6971</v>
      </c>
      <c r="F4675" s="4"/>
      <c r="G4675" s="4"/>
      <c r="H4675" s="4"/>
      <c r="I4675" s="4" t="str">
        <f>IFERROR(__xludf.DUMMYFUNCTION("""COMPUTED_VALUE"""),"0x6fa4a3823016ae260daceeef4119027ce2f37d93")</f>
        <v>0x6fa4a3823016ae260daceeef4119027ce2f37d93</v>
      </c>
      <c r="J4675" s="18">
        <v>186.01196020749998</v>
      </c>
      <c r="K4675" s="4">
        <v>2325.1495025937497</v>
      </c>
      <c r="L4675" s="19">
        <v>2.3251495025937497E21</v>
      </c>
      <c r="M4675" s="20">
        <v>2.3251495025937498E20</v>
      </c>
    </row>
    <row r="4676">
      <c r="A4676" s="6"/>
      <c r="B4676" s="6"/>
      <c r="C4676" s="4"/>
      <c r="D4676" s="4">
        <v>43.1113829826945</v>
      </c>
      <c r="E4676" s="4" t="s">
        <v>724</v>
      </c>
      <c r="F4676" s="4"/>
      <c r="G4676" s="4"/>
      <c r="H4676" s="4"/>
      <c r="I4676" s="4" t="str">
        <f>IFERROR(__xludf.DUMMYFUNCTION("""COMPUTED_VALUE"""),"0x21fe08549dba740263a3bbb242e6e772d45edd58")</f>
        <v>0x21fe08549dba740263a3bbb242e6e772d45edd58</v>
      </c>
      <c r="J4676" s="18">
        <v>180.568167267696</v>
      </c>
      <c r="K4676" s="4">
        <v>2257.1020908462</v>
      </c>
      <c r="L4676" s="19">
        <v>2.2571020908462001E21</v>
      </c>
      <c r="M4676" s="20">
        <v>2.2571020908462E20</v>
      </c>
    </row>
    <row r="4677">
      <c r="A4677" s="6"/>
      <c r="B4677" s="6"/>
      <c r="C4677" s="4"/>
      <c r="D4677" s="4">
        <v>31.6526633386868</v>
      </c>
      <c r="E4677" s="4" t="s">
        <v>6973</v>
      </c>
      <c r="F4677" s="4"/>
      <c r="G4677" s="4"/>
      <c r="H4677" s="4"/>
      <c r="I4677" s="4" t="str">
        <f>IFERROR(__xludf.DUMMYFUNCTION("""COMPUTED_VALUE"""),"0x3cf807b5f994f2860f44860b2e3221847f4cffe2")</f>
        <v>0x3cf807b5f994f2860f44860b2e3221847f4cffe2</v>
      </c>
      <c r="J4677" s="18">
        <v>131.245345587368</v>
      </c>
      <c r="K4677" s="4">
        <v>1640.5668198421001</v>
      </c>
      <c r="L4677" s="19">
        <v>1.6405668198421E21</v>
      </c>
      <c r="M4677" s="20">
        <v>1.6405668198421E20</v>
      </c>
    </row>
    <row r="4678">
      <c r="A4678" s="6"/>
      <c r="B4678" s="6"/>
      <c r="C4678" s="4"/>
      <c r="D4678" s="4">
        <v>48.3641275995966</v>
      </c>
      <c r="E4678" s="4" t="s">
        <v>1661</v>
      </c>
      <c r="F4678" s="4"/>
      <c r="G4678" s="4"/>
      <c r="H4678" s="4"/>
      <c r="I4678" s="4" t="str">
        <f>IFERROR(__xludf.DUMMYFUNCTION("""COMPUTED_VALUE"""),"0x18e5cefcbd90c57d25ae0ea490b65bbff5dde0be")</f>
        <v>0x18e5cefcbd90c57d25ae0ea490b65bbff5dde0be</v>
      </c>
      <c r="J4678" s="18">
        <v>18.620725324882898</v>
      </c>
      <c r="K4678" s="4">
        <v>232.7590665610362</v>
      </c>
      <c r="L4678" s="19">
        <v>2.3275906656103622E20</v>
      </c>
      <c r="M4678" s="20">
        <v>2.3275906656103625E19</v>
      </c>
    </row>
    <row r="4679">
      <c r="A4679" s="6"/>
      <c r="B4679" s="6"/>
      <c r="C4679" s="4"/>
      <c r="D4679" s="4">
        <v>25.420365176893696</v>
      </c>
      <c r="E4679" s="4" t="s">
        <v>6975</v>
      </c>
      <c r="F4679" s="4"/>
      <c r="G4679" s="4"/>
      <c r="H4679" s="4"/>
      <c r="I4679" s="4" t="str">
        <f>IFERROR(__xludf.DUMMYFUNCTION("""COMPUTED_VALUE"""),"0x7092e59c5c1db3e2e1e87eb12ac9dd19cbf5cc93")</f>
        <v>0x7092e59c5c1db3e2e1e87eb12ac9dd19cbf5cc93</v>
      </c>
      <c r="J4679" s="18">
        <v>157.80138632243097</v>
      </c>
      <c r="K4679" s="4">
        <v>1972.5173290303871</v>
      </c>
      <c r="L4679" s="19">
        <v>1.972517329030387E21</v>
      </c>
      <c r="M4679" s="20">
        <v>1.972517329030387E20</v>
      </c>
    </row>
    <row r="4680">
      <c r="A4680" s="6"/>
      <c r="B4680" s="6"/>
      <c r="C4680" s="4"/>
      <c r="D4680" s="4">
        <v>6.25022864578045</v>
      </c>
      <c r="E4680" s="4" t="s">
        <v>6977</v>
      </c>
      <c r="F4680" s="4"/>
      <c r="G4680" s="4"/>
      <c r="H4680" s="4"/>
      <c r="I4680" s="4" t="str">
        <f>IFERROR(__xludf.DUMMYFUNCTION("""COMPUTED_VALUE"""),"0xec834f2dd4a5f38073b86480b75ccf7f5659b610")</f>
        <v>0xec834f2dd4a5f38073b86480b75ccf7f5659b610</v>
      </c>
      <c r="J4680" s="18">
        <v>94.86609970582539</v>
      </c>
      <c r="K4680" s="4">
        <v>1185.8262463228173</v>
      </c>
      <c r="L4680" s="19">
        <v>1.1858262463228173E21</v>
      </c>
      <c r="M4680" s="20">
        <v>1.1858262463228174E20</v>
      </c>
    </row>
    <row r="4681">
      <c r="A4681" s="6"/>
      <c r="B4681" s="6"/>
      <c r="C4681" s="4"/>
      <c r="D4681" s="4">
        <v>25.683445627458198</v>
      </c>
      <c r="E4681" s="4" t="s">
        <v>6979</v>
      </c>
      <c r="F4681" s="4"/>
      <c r="G4681" s="4"/>
      <c r="H4681" s="4"/>
      <c r="I4681" s="4" t="str">
        <f>IFERROR(__xludf.DUMMYFUNCTION("""COMPUTED_VALUE"""),"0x5cb1868ba58abc5cea98b32c69cdc04cf886c4a0")</f>
        <v>0x5cb1868ba58abc5cea98b32c69cdc04cf886c4a0</v>
      </c>
      <c r="J4681" s="18">
        <v>55.8035880622502</v>
      </c>
      <c r="K4681" s="4">
        <v>697.5448507781275</v>
      </c>
      <c r="L4681" s="19">
        <v>6.975448507781275E20</v>
      </c>
      <c r="M4681" s="20">
        <v>6.975448507781275E19</v>
      </c>
    </row>
    <row r="4682">
      <c r="A4682" s="6"/>
      <c r="B4682" s="6"/>
      <c r="C4682" s="4"/>
      <c r="D4682" s="4">
        <v>42.866158655422204</v>
      </c>
      <c r="E4682" s="4" t="s">
        <v>6981</v>
      </c>
      <c r="F4682" s="4"/>
      <c r="G4682" s="4"/>
      <c r="H4682" s="4"/>
      <c r="I4682" s="4" t="str">
        <f>IFERROR(__xludf.DUMMYFUNCTION("""COMPUTED_VALUE"""),"0x0bc4bef6c59be91ca9299679899fabd10ad33fa1")</f>
        <v>0x0bc4bef6c59be91ca9299679899fabd10ad33fa1</v>
      </c>
      <c r="J4682" s="18">
        <v>56.158182341681204</v>
      </c>
      <c r="K4682" s="4">
        <v>701.977279271015</v>
      </c>
      <c r="L4682" s="19">
        <v>7.01977279271015E20</v>
      </c>
      <c r="M4682" s="20">
        <v>7.0197727927101506E19</v>
      </c>
    </row>
    <row r="4683">
      <c r="A4683" s="6"/>
      <c r="B4683" s="6"/>
      <c r="C4683" s="4"/>
      <c r="D4683" s="4">
        <v>10.5836761002467</v>
      </c>
      <c r="E4683" s="4" t="s">
        <v>6983</v>
      </c>
      <c r="F4683" s="4"/>
      <c r="G4683" s="4"/>
      <c r="H4683" s="4"/>
      <c r="I4683" s="4" t="str">
        <f>IFERROR(__xludf.DUMMYFUNCTION("""COMPUTED_VALUE"""),"0x0544af6d51cd15a39a204c13bb6eb4600eec592d")</f>
        <v>0x0544af6d51cd15a39a204c13bb6eb4600eec592d</v>
      </c>
      <c r="J4683" s="18">
        <v>13.600889643261</v>
      </c>
      <c r="K4683" s="4">
        <v>170.0111205407625</v>
      </c>
      <c r="L4683" s="19">
        <v>1.700111205407625E20</v>
      </c>
      <c r="M4683" s="20">
        <v>1.7001112054076252E19</v>
      </c>
    </row>
    <row r="4684">
      <c r="A4684" s="6"/>
      <c r="B4684" s="6"/>
      <c r="C4684" s="4"/>
      <c r="D4684" s="4">
        <v>48.3641275995966</v>
      </c>
      <c r="E4684" s="4" t="s">
        <v>6985</v>
      </c>
      <c r="F4684" s="4"/>
      <c r="G4684" s="4"/>
      <c r="H4684" s="4"/>
      <c r="I4684" s="4" t="str">
        <f>IFERROR(__xludf.DUMMYFUNCTION("""COMPUTED_VALUE"""),"0x904eca21b7f1296442fee4b4b00ad2e2bff3d890")</f>
        <v>0x904eca21b7f1296442fee4b4b00ad2e2bff3d890</v>
      </c>
      <c r="J4684" s="18">
        <v>62.896799029148696</v>
      </c>
      <c r="K4684" s="4">
        <v>786.2099878643587</v>
      </c>
      <c r="L4684" s="19">
        <v>7.862099878643587E20</v>
      </c>
      <c r="M4684" s="20">
        <v>7.862099878643587E19</v>
      </c>
    </row>
    <row r="4685">
      <c r="A4685" s="6"/>
      <c r="B4685" s="6"/>
      <c r="C4685" s="4"/>
      <c r="D4685" s="4">
        <v>8.26937762640787</v>
      </c>
      <c r="E4685" s="4" t="s">
        <v>6986</v>
      </c>
      <c r="F4685" s="4"/>
      <c r="G4685" s="4"/>
      <c r="H4685" s="4"/>
      <c r="I4685" s="4" t="str">
        <f>IFERROR(__xludf.DUMMYFUNCTION("""COMPUTED_VALUE"""),"0x7e649540c59a3f27c9b25320b9ad2913cb8f2f13")</f>
        <v>0x7e649540c59a3f27c9b25320b9ad2913cb8f2f13</v>
      </c>
      <c r="J4685" s="18">
        <v>186.01196020749998</v>
      </c>
      <c r="K4685" s="4">
        <v>2325.1495025937497</v>
      </c>
      <c r="L4685" s="19">
        <v>2.3251495025937497E21</v>
      </c>
      <c r="M4685" s="20">
        <v>2.3251495025937498E20</v>
      </c>
    </row>
    <row r="4686">
      <c r="A4686" s="6"/>
      <c r="B4686" s="6"/>
      <c r="C4686" s="4"/>
      <c r="D4686" s="4">
        <v>9.75211486530006</v>
      </c>
      <c r="E4686" s="4" t="s">
        <v>6988</v>
      </c>
      <c r="F4686" s="4"/>
      <c r="G4686" s="4"/>
      <c r="H4686" s="4"/>
      <c r="I4686" s="4" t="str">
        <f>IFERROR(__xludf.DUMMYFUNCTION("""COMPUTED_VALUE"""),"0x3197f2da2a86661edab45e65601861f29e5f4752")</f>
        <v>0x3197f2da2a86661edab45e65601861f29e5f4752</v>
      </c>
      <c r="J4686" s="18">
        <v>12.0907774134875</v>
      </c>
      <c r="K4686" s="4">
        <v>151.13471766859374</v>
      </c>
      <c r="L4686" s="19">
        <v>1.5113471766859373E20</v>
      </c>
      <c r="M4686" s="20">
        <v>1.5113471766859375E19</v>
      </c>
    </row>
    <row r="4687">
      <c r="A4687" s="6"/>
      <c r="B4687" s="6"/>
      <c r="C4687" s="4"/>
      <c r="D4687" s="4">
        <v>19.3521062773319</v>
      </c>
      <c r="E4687" s="4" t="s">
        <v>6990</v>
      </c>
      <c r="F4687" s="4"/>
      <c r="G4687" s="4"/>
      <c r="H4687" s="4"/>
      <c r="I4687" s="4" t="str">
        <f>IFERROR(__xludf.DUMMYFUNCTION("""COMPUTED_VALUE"""),"0xe41d7f167d254437610d82a3833c3a1e0ba3a780")</f>
        <v>0xe41d7f167d254437610d82a3833c3a1e0ba3a780</v>
      </c>
      <c r="J4687" s="18">
        <v>111.75385447365299</v>
      </c>
      <c r="K4687" s="4">
        <v>1396.9231809206624</v>
      </c>
      <c r="L4687" s="19">
        <v>1.3969231809206624E21</v>
      </c>
      <c r="M4687" s="20">
        <v>1.3969231809206624E20</v>
      </c>
    </row>
    <row r="4688">
      <c r="A4688" s="6"/>
      <c r="B4688" s="6"/>
      <c r="C4688" s="4"/>
      <c r="D4688" s="4">
        <v>48.3641275995966</v>
      </c>
      <c r="E4688" s="4" t="s">
        <v>6992</v>
      </c>
      <c r="F4688" s="4"/>
      <c r="G4688" s="4"/>
      <c r="H4688" s="4"/>
      <c r="I4688" s="4" t="str">
        <f>IFERROR(__xludf.DUMMYFUNCTION("""COMPUTED_VALUE"""),"0x7b04bb59bb4536acee489fc38928fb4752c33576")</f>
        <v>0x7b04bb59bb4536acee489fc38928fb4752c33576</v>
      </c>
      <c r="J4688" s="18">
        <v>169.64290770923998</v>
      </c>
      <c r="K4688" s="4">
        <v>2120.5363463655</v>
      </c>
      <c r="L4688" s="19">
        <v>2.1205363463654998E21</v>
      </c>
      <c r="M4688" s="20">
        <v>2.1205363463654998E20</v>
      </c>
    </row>
    <row r="4689">
      <c r="A4689" s="6"/>
      <c r="B4689" s="6"/>
      <c r="C4689" s="4"/>
      <c r="D4689" s="4">
        <v>48.3641275995966</v>
      </c>
      <c r="E4689" s="4" t="s">
        <v>6993</v>
      </c>
      <c r="F4689" s="4"/>
      <c r="G4689" s="4"/>
      <c r="H4689" s="4"/>
      <c r="I4689" s="4" t="str">
        <f>IFERROR(__xludf.DUMMYFUNCTION("""COMPUTED_VALUE"""),"0x12c73a4d59b60fc56b0d32a58ebd0d76ba558b5a")</f>
        <v>0x12c73a4d59b60fc56b0d32a58ebd0d76ba558b5a</v>
      </c>
      <c r="J4689" s="18">
        <v>55.8203302050755</v>
      </c>
      <c r="K4689" s="4">
        <v>697.7541275634437</v>
      </c>
      <c r="L4689" s="19">
        <v>6.977541275634437E20</v>
      </c>
      <c r="M4689" s="20">
        <v>6.977541275634437E19</v>
      </c>
    </row>
    <row r="4690">
      <c r="A4690" s="6"/>
      <c r="B4690" s="6"/>
      <c r="C4690" s="4"/>
      <c r="D4690" s="4">
        <v>45.0995760857916</v>
      </c>
      <c r="E4690" s="4" t="s">
        <v>6994</v>
      </c>
      <c r="F4690" s="4"/>
      <c r="G4690" s="4"/>
      <c r="H4690" s="4"/>
      <c r="I4690" s="4" t="str">
        <f>IFERROR(__xludf.DUMMYFUNCTION("""COMPUTED_VALUE"""),"0xa5e43d0180b47fa72e9b385b86493be5b41982ad")</f>
        <v>0xa5e43d0180b47fa72e9b385b86493be5b41982ad</v>
      </c>
      <c r="J4690" s="18">
        <v>55.8035880622502</v>
      </c>
      <c r="K4690" s="4">
        <v>697.5448507781275</v>
      </c>
      <c r="L4690" s="19">
        <v>6.975448507781275E20</v>
      </c>
      <c r="M4690" s="20">
        <v>6.975448507781275E19</v>
      </c>
    </row>
    <row r="4691">
      <c r="A4691" s="6"/>
      <c r="B4691" s="6"/>
      <c r="C4691" s="4"/>
      <c r="D4691" s="4">
        <v>29.0067377109857</v>
      </c>
      <c r="E4691" s="4" t="s">
        <v>6996</v>
      </c>
      <c r="F4691" s="4"/>
      <c r="G4691" s="4"/>
      <c r="H4691" s="4"/>
      <c r="I4691" s="4" t="str">
        <f>IFERROR(__xludf.DUMMYFUNCTION("""COMPUTED_VALUE"""),"0xb37b7e0be3471cbc4a738d50883f1951d09be9a6")</f>
        <v>0xb37b7e0be3471cbc4a738d50883f1951d09be9a6</v>
      </c>
      <c r="J4691" s="18">
        <v>186.01196020749998</v>
      </c>
      <c r="K4691" s="4">
        <v>2325.1495025937497</v>
      </c>
      <c r="L4691" s="19">
        <v>2.3251495025937497E21</v>
      </c>
      <c r="M4691" s="20">
        <v>2.3251495025937498E20</v>
      </c>
    </row>
    <row r="4692">
      <c r="A4692" s="6"/>
      <c r="B4692" s="6"/>
      <c r="C4692" s="4"/>
      <c r="D4692" s="4">
        <v>48.3641275995966</v>
      </c>
      <c r="E4692" s="4" t="s">
        <v>6998</v>
      </c>
      <c r="F4692" s="4"/>
      <c r="G4692" s="4"/>
      <c r="H4692" s="4"/>
      <c r="I4692" s="4" t="str">
        <f>IFERROR(__xludf.DUMMYFUNCTION("""COMPUTED_VALUE"""),"0x88c3cdf79f47ab7af8efcb081771487ff13bf029")</f>
        <v>0x88c3cdf79f47ab7af8efcb081771487ff13bf029</v>
      </c>
      <c r="J4692" s="18">
        <v>57.292677300754</v>
      </c>
      <c r="K4692" s="4">
        <v>716.158466259425</v>
      </c>
      <c r="L4692" s="19">
        <v>7.16158466259425E20</v>
      </c>
      <c r="M4692" s="20">
        <v>7.16158466259425E19</v>
      </c>
    </row>
    <row r="4693">
      <c r="A4693" s="6"/>
      <c r="B4693" s="6"/>
      <c r="C4693" s="4"/>
      <c r="D4693" s="4">
        <v>5.07949851512602</v>
      </c>
      <c r="E4693" s="4" t="s">
        <v>6999</v>
      </c>
      <c r="F4693" s="4"/>
      <c r="G4693" s="4"/>
      <c r="H4693" s="4"/>
      <c r="I4693" s="4" t="str">
        <f>IFERROR(__xludf.DUMMYFUNCTION("""COMPUTED_VALUE"""),"0x26e07d23a678a9533b7c154a213e1bc676202070")</f>
        <v>0x26e07d23a678a9533b7c154a213e1bc676202070</v>
      </c>
      <c r="J4693" s="18">
        <v>112.495642978193</v>
      </c>
      <c r="K4693" s="4">
        <v>1406.1955372274126</v>
      </c>
      <c r="L4693" s="19">
        <v>1.4061955372274127E21</v>
      </c>
      <c r="M4693" s="20">
        <v>1.4061955372274128E20</v>
      </c>
    </row>
    <row r="4694">
      <c r="A4694" s="6"/>
      <c r="B4694" s="6"/>
      <c r="C4694" s="4"/>
      <c r="D4694" s="4">
        <v>48.3641275995966</v>
      </c>
      <c r="E4694" s="4" t="s">
        <v>7001</v>
      </c>
      <c r="F4694" s="4"/>
      <c r="G4694" s="4"/>
      <c r="H4694" s="4"/>
      <c r="I4694" s="4" t="str">
        <f>IFERROR(__xludf.DUMMYFUNCTION("""COMPUTED_VALUE"""),"0x2a44a83e75ea6c154d39025bea5311bfedc6127c")</f>
        <v>0x2a44a83e75ea6c154d39025bea5311bfedc6127c</v>
      </c>
      <c r="J4694" s="18">
        <v>102.306578114125</v>
      </c>
      <c r="K4694" s="4">
        <v>1278.8322264265626</v>
      </c>
      <c r="L4694" s="19">
        <v>1.2788322264265625E21</v>
      </c>
      <c r="M4694" s="20">
        <v>1.2788322264265626E20</v>
      </c>
    </row>
    <row r="4695">
      <c r="A4695" s="6"/>
      <c r="B4695" s="6"/>
      <c r="C4695" s="4"/>
      <c r="D4695" s="4">
        <v>48.3641275995966</v>
      </c>
      <c r="E4695" s="4" t="s">
        <v>7002</v>
      </c>
      <c r="F4695" s="4"/>
      <c r="G4695" s="4"/>
      <c r="H4695" s="4"/>
      <c r="I4695" s="4" t="str">
        <f>IFERROR(__xludf.DUMMYFUNCTION("""COMPUTED_VALUE"""),"0xf1283e81a96bcabe15479bbbc25fa9c76a0d781c")</f>
        <v>0xf1283e81a96bcabe15479bbbc25fa9c76a0d781c</v>
      </c>
      <c r="J4695" s="18">
        <v>47.2109855150464</v>
      </c>
      <c r="K4695" s="4">
        <v>590.13731893808</v>
      </c>
      <c r="L4695" s="19">
        <v>5.9013731893808005E20</v>
      </c>
      <c r="M4695" s="20">
        <v>5.9013731893808005E19</v>
      </c>
    </row>
    <row r="4696">
      <c r="A4696" s="6"/>
      <c r="B4696" s="6"/>
      <c r="C4696" s="4"/>
      <c r="D4696" s="4">
        <v>5.69240580325424</v>
      </c>
      <c r="E4696" s="4" t="s">
        <v>7003</v>
      </c>
      <c r="F4696" s="4"/>
      <c r="G4696" s="4"/>
      <c r="H4696" s="4"/>
      <c r="I4696" s="4" t="str">
        <f>IFERROR(__xludf.DUMMYFUNCTION("""COMPUTED_VALUE"""),"0x086f5973b2973799f9b124315bd24968d7ff5eff")</f>
        <v>0x086f5973b2973799f9b124315bd24968d7ff5eff</v>
      </c>
      <c r="J4696" s="18">
        <v>6.49637715218425</v>
      </c>
      <c r="K4696" s="4">
        <v>81.20471440230313</v>
      </c>
      <c r="L4696" s="19">
        <v>8.120471440230313E19</v>
      </c>
      <c r="M4696" s="20">
        <v>8.120471440230314E18</v>
      </c>
    </row>
    <row r="4697">
      <c r="A4697" s="6"/>
      <c r="B4697" s="6"/>
      <c r="C4697" s="4"/>
      <c r="D4697" s="4">
        <v>48.3641275995966</v>
      </c>
      <c r="E4697" s="4" t="s">
        <v>7005</v>
      </c>
      <c r="F4697" s="4"/>
      <c r="G4697" s="4"/>
      <c r="H4697" s="4"/>
      <c r="I4697" s="4" t="str">
        <f>IFERROR(__xludf.DUMMYFUNCTION("""COMPUTED_VALUE"""),"0x3bef66616fa3261e7ad0c4243ce9f02ee7ac64c0")</f>
        <v>0x3bef66616fa3261e7ad0c4243ce9f02ee7ac64c0</v>
      </c>
      <c r="J4697" s="18">
        <v>9.30059801037504</v>
      </c>
      <c r="K4697" s="4">
        <v>116.257475129688</v>
      </c>
      <c r="L4697" s="19">
        <v>1.16257475129688E20</v>
      </c>
      <c r="M4697" s="20">
        <v>1.16257475129688E19</v>
      </c>
    </row>
    <row r="4698">
      <c r="A4698" s="6"/>
      <c r="B4698" s="6"/>
      <c r="C4698" s="4"/>
      <c r="D4698" s="4">
        <v>48.3641275995966</v>
      </c>
      <c r="E4698" s="4" t="s">
        <v>7006</v>
      </c>
      <c r="F4698" s="4"/>
      <c r="G4698" s="4"/>
      <c r="H4698" s="4"/>
      <c r="I4698" s="4" t="str">
        <f>IFERROR(__xludf.DUMMYFUNCTION("""COMPUTED_VALUE"""),"0x4dbf1f6b7c612bf2fc93d963aaf16ac46f16f175")</f>
        <v>0x4dbf1f6b7c612bf2fc93d963aaf16ac46f16f175</v>
      </c>
      <c r="J4698" s="18">
        <v>10.4629147111857</v>
      </c>
      <c r="K4698" s="4">
        <v>130.78643388982124</v>
      </c>
      <c r="L4698" s="19">
        <v>1.3078643388982125E20</v>
      </c>
      <c r="M4698" s="20">
        <v>1.3078643388982125E19</v>
      </c>
    </row>
    <row r="4699">
      <c r="A4699" s="6"/>
      <c r="B4699" s="6"/>
      <c r="C4699" s="4"/>
      <c r="D4699" s="4">
        <v>9.83156296283433</v>
      </c>
      <c r="E4699" s="4" t="s">
        <v>7007</v>
      </c>
      <c r="F4699" s="4"/>
      <c r="G4699" s="4"/>
      <c r="H4699" s="4"/>
      <c r="I4699" s="4" t="str">
        <f>IFERROR(__xludf.DUMMYFUNCTION("""COMPUTED_VALUE"""),"0x5e51b11ded469f5f7848559df74f692f06fe47a3")</f>
        <v>0x5e51b11ded469f5f7848559df74f692f06fe47a3</v>
      </c>
      <c r="J4699" s="18">
        <v>6.18810543287787</v>
      </c>
      <c r="K4699" s="4">
        <v>77.35131791097336</v>
      </c>
      <c r="L4699" s="19">
        <v>7.735131791097337E19</v>
      </c>
      <c r="M4699" s="20">
        <v>7.735131791097337E18</v>
      </c>
    </row>
    <row r="4700">
      <c r="A4700" s="6"/>
      <c r="B4700" s="6"/>
      <c r="C4700" s="4"/>
      <c r="D4700" s="4">
        <v>4.20797178016529</v>
      </c>
      <c r="E4700" s="4" t="s">
        <v>7009</v>
      </c>
      <c r="F4700" s="4"/>
      <c r="G4700" s="4"/>
      <c r="H4700" s="4"/>
      <c r="I4700" s="4" t="str">
        <f>IFERROR(__xludf.DUMMYFUNCTION("""COMPUTED_VALUE"""),"0x8edd9a2fee4db8d59bba6e01e8cf35337c1ad24b")</f>
        <v>0x8edd9a2fee4db8d59bba6e01e8cf35337c1ad24b</v>
      </c>
      <c r="J4700" s="18">
        <v>12.2705339425938</v>
      </c>
      <c r="K4700" s="4">
        <v>153.3816742824225</v>
      </c>
      <c r="L4700" s="19">
        <v>1.533816742824225E20</v>
      </c>
      <c r="M4700" s="20">
        <v>1.5338167428242252E19</v>
      </c>
    </row>
    <row r="4701">
      <c r="A4701" s="6"/>
      <c r="B4701" s="6"/>
      <c r="C4701" s="4"/>
      <c r="D4701" s="4">
        <v>39.8683343186648</v>
      </c>
      <c r="E4701" s="4" t="s">
        <v>7011</v>
      </c>
      <c r="F4701" s="4"/>
      <c r="G4701" s="4"/>
      <c r="H4701" s="4"/>
      <c r="I4701" s="4" t="str">
        <f>IFERROR(__xludf.DUMMYFUNCTION("""COMPUTED_VALUE"""),"0x69589b137819c972a4b1c1d3b85294af49006783")</f>
        <v>0x69589b137819c972a4b1c1d3b85294af49006783</v>
      </c>
      <c r="J4701" s="18">
        <v>145.529194632026</v>
      </c>
      <c r="K4701" s="4">
        <v>1819.114932900325</v>
      </c>
      <c r="L4701" s="19">
        <v>1.819114932900325E21</v>
      </c>
      <c r="M4701" s="20">
        <v>1.819114932900325E20</v>
      </c>
    </row>
    <row r="4702">
      <c r="A4702" s="6"/>
      <c r="B4702" s="6"/>
      <c r="C4702" s="4"/>
      <c r="D4702" s="4">
        <v>47.2228346837398</v>
      </c>
      <c r="E4702" s="4" t="s">
        <v>1489</v>
      </c>
      <c r="F4702" s="4"/>
      <c r="G4702" s="4"/>
      <c r="H4702" s="4"/>
      <c r="I4702" s="4" t="str">
        <f>IFERROR(__xludf.DUMMYFUNCTION("""COMPUTED_VALUE"""),"0xc905531b44606401fd27bc858adfcb0ab415b3b3")</f>
        <v>0xc905531b44606401fd27bc858adfcb0ab415b3b3</v>
      </c>
      <c r="J4702" s="18">
        <v>7.225545801062291</v>
      </c>
      <c r="K4702" s="4">
        <v>90.31932251327864</v>
      </c>
      <c r="L4702" s="19">
        <v>9.031932251327863E19</v>
      </c>
      <c r="M4702" s="20">
        <v>9.031932251327864E18</v>
      </c>
    </row>
    <row r="4703">
      <c r="A4703" s="6"/>
      <c r="B4703" s="6"/>
      <c r="C4703" s="4"/>
      <c r="D4703" s="4">
        <v>48.3641275995966</v>
      </c>
      <c r="E4703" s="4" t="s">
        <v>7014</v>
      </c>
      <c r="F4703" s="4"/>
      <c r="G4703" s="4"/>
      <c r="H4703" s="4"/>
      <c r="I4703" s="4" t="str">
        <f>IFERROR(__xludf.DUMMYFUNCTION("""COMPUTED_VALUE"""),"0x3ab2ef1c5ed8d5479d38a32b36e7609a3bc48893")</f>
        <v>0x3ab2ef1c5ed8d5479d38a32b36e7609a3bc48893</v>
      </c>
      <c r="J4703" s="18">
        <v>186.01196020749998</v>
      </c>
      <c r="K4703" s="4">
        <v>2325.1495025937497</v>
      </c>
      <c r="L4703" s="19">
        <v>2.3251495025937497E21</v>
      </c>
      <c r="M4703" s="20">
        <v>2.3251495025937498E20</v>
      </c>
    </row>
    <row r="4704">
      <c r="A4704" s="6"/>
      <c r="B4704" s="6"/>
      <c r="C4704" s="4"/>
      <c r="D4704" s="4">
        <v>48.3641275995966</v>
      </c>
      <c r="E4704" s="4" t="s">
        <v>7015</v>
      </c>
      <c r="F4704" s="4"/>
      <c r="G4704" s="4"/>
      <c r="H4704" s="4"/>
      <c r="I4704" s="4" t="str">
        <f>IFERROR(__xludf.DUMMYFUNCTION("""COMPUTED_VALUE"""),"0x9e3d212dd2ab77b80539e03b4520b3f5a16a00b5")</f>
        <v>0x9e3d212dd2ab77b80539e03b4520b3f5a16a00b5</v>
      </c>
      <c r="J4704" s="18">
        <v>46.5436099529339</v>
      </c>
      <c r="K4704" s="4">
        <v>581.7951244116737</v>
      </c>
      <c r="L4704" s="19">
        <v>5.817951244116737E20</v>
      </c>
      <c r="M4704" s="20">
        <v>5.817951244116737E19</v>
      </c>
    </row>
    <row r="4705">
      <c r="A4705" s="6"/>
      <c r="B4705" s="6"/>
      <c r="C4705" s="4"/>
      <c r="D4705" s="4">
        <v>48.3641275995966</v>
      </c>
      <c r="E4705" s="4" t="s">
        <v>1625</v>
      </c>
      <c r="F4705" s="4"/>
      <c r="G4705" s="4"/>
      <c r="H4705" s="4"/>
      <c r="I4705" s="4" t="str">
        <f>IFERROR(__xludf.DUMMYFUNCTION("""COMPUTED_VALUE"""),"0x2ead10e73ec1bcc92b00c2f872cd2a7ece499a28")</f>
        <v>0x2ead10e73ec1bcc92b00c2f872cd2a7ece499a28</v>
      </c>
      <c r="J4705" s="18">
        <v>52.1171894956789</v>
      </c>
      <c r="K4705" s="4">
        <v>651.4648686959863</v>
      </c>
      <c r="L4705" s="19">
        <v>6.514648686959863E20</v>
      </c>
      <c r="M4705" s="20">
        <v>6.514648686959863E19</v>
      </c>
    </row>
    <row r="4706">
      <c r="A4706" s="6"/>
      <c r="B4706" s="6"/>
      <c r="C4706" s="4"/>
      <c r="D4706" s="4">
        <v>20.1992329189735</v>
      </c>
      <c r="E4706" s="4" t="s">
        <v>7016</v>
      </c>
      <c r="F4706" s="4"/>
      <c r="G4706" s="4"/>
      <c r="H4706" s="4"/>
      <c r="I4706" s="4" t="str">
        <f>IFERROR(__xludf.DUMMYFUNCTION("""COMPUTED_VALUE"""),"0x7f5641d0f042af7356239272d60c08b6e70cf5be")</f>
        <v>0x7f5641d0f042af7356239272d60c08b6e70cf5be</v>
      </c>
      <c r="J4706" s="18">
        <v>83.7053825803547</v>
      </c>
      <c r="K4706" s="4">
        <v>1046.3172822544336</v>
      </c>
      <c r="L4706" s="19">
        <v>1.0463172822544337E21</v>
      </c>
      <c r="M4706" s="20">
        <v>1.0463172822544338E20</v>
      </c>
    </row>
    <row r="4707">
      <c r="A4707" s="6"/>
      <c r="B4707" s="6"/>
      <c r="C4707" s="4"/>
      <c r="D4707" s="4">
        <v>48.3641275995966</v>
      </c>
      <c r="E4707" s="4" t="s">
        <v>7018</v>
      </c>
      <c r="F4707" s="4"/>
      <c r="G4707" s="4"/>
      <c r="H4707" s="4"/>
      <c r="I4707" s="4" t="str">
        <f>IFERROR(__xludf.DUMMYFUNCTION("""COMPUTED_VALUE"""),"0x6d3ed1d6af678f0e16b548531dbe507ebdf2ccc9")</f>
        <v>0x6d3ed1d6af678f0e16b548531dbe507ebdf2ccc9</v>
      </c>
      <c r="J4707" s="18">
        <v>186.01196020749998</v>
      </c>
      <c r="K4707" s="4">
        <v>2325.1495025937497</v>
      </c>
      <c r="L4707" s="19">
        <v>2.3251495025937497E21</v>
      </c>
      <c r="M4707" s="20">
        <v>2.3251495025937498E20</v>
      </c>
    </row>
    <row r="4708">
      <c r="A4708" s="6"/>
      <c r="B4708" s="6"/>
      <c r="C4708" s="4"/>
      <c r="D4708" s="4">
        <v>42.487510702592694</v>
      </c>
      <c r="E4708" s="4" t="s">
        <v>7019</v>
      </c>
      <c r="F4708" s="4"/>
      <c r="G4708" s="4"/>
      <c r="H4708" s="4"/>
      <c r="I4708" s="4" t="str">
        <f>IFERROR(__xludf.DUMMYFUNCTION("""COMPUTED_VALUE"""),"0x422ffadbcb4177ceabb673f96b895f136f474926")</f>
        <v>0x422ffadbcb4177ceabb673f96b895f136f474926</v>
      </c>
      <c r="J4708" s="18">
        <v>51.6715451060062</v>
      </c>
      <c r="K4708" s="4">
        <v>645.8943138250775</v>
      </c>
      <c r="L4708" s="19">
        <v>6.458943138250774E20</v>
      </c>
      <c r="M4708" s="20">
        <v>6.458943138250775E19</v>
      </c>
    </row>
    <row r="4709">
      <c r="A4709" s="6"/>
      <c r="B4709" s="6"/>
      <c r="C4709" s="4"/>
      <c r="D4709" s="4">
        <v>48.3641275995966</v>
      </c>
      <c r="E4709" s="4" t="s">
        <v>7021</v>
      </c>
      <c r="F4709" s="4"/>
      <c r="G4709" s="4"/>
      <c r="H4709" s="4"/>
      <c r="I4709" s="4" t="str">
        <f>IFERROR(__xludf.DUMMYFUNCTION("""COMPUTED_VALUE"""),"0x5812106cf8d23a4f176dc80ad624af4c4d6ee0fc")</f>
        <v>0x5812106cf8d23a4f176dc80ad624af4c4d6ee0fc</v>
      </c>
      <c r="J4709" s="18">
        <v>46.6767163765382</v>
      </c>
      <c r="K4709" s="4">
        <v>583.4589547067275</v>
      </c>
      <c r="L4709" s="19">
        <v>5.834589547067275E20</v>
      </c>
      <c r="M4709" s="20">
        <v>5.834589547067275E19</v>
      </c>
    </row>
    <row r="4710">
      <c r="A4710" s="6"/>
      <c r="B4710" s="6"/>
      <c r="C4710" s="4"/>
      <c r="D4710" s="4">
        <v>41.6696811212675</v>
      </c>
      <c r="E4710" s="4" t="s">
        <v>7022</v>
      </c>
      <c r="F4710" s="4"/>
      <c r="G4710" s="4"/>
      <c r="H4710" s="4"/>
      <c r="I4710" s="4" t="str">
        <f>IFERROR(__xludf.DUMMYFUNCTION("""COMPUTED_VALUE"""),"0x31638f3b374ced49658183f15c953c0280b61306")</f>
        <v>0x31638f3b374ced49658183f15c953c0280b61306</v>
      </c>
      <c r="J4710" s="18">
        <v>25.932823714684698</v>
      </c>
      <c r="K4710" s="4">
        <v>324.1602964335587</v>
      </c>
      <c r="L4710" s="19">
        <v>3.241602964335587E20</v>
      </c>
      <c r="M4710" s="20">
        <v>3.241602964335587E19</v>
      </c>
    </row>
    <row r="4711">
      <c r="A4711" s="6"/>
      <c r="B4711" s="6"/>
      <c r="C4711" s="4"/>
      <c r="D4711" s="4">
        <v>48.3641275995966</v>
      </c>
      <c r="E4711" s="4" t="s">
        <v>1514</v>
      </c>
      <c r="F4711" s="4"/>
      <c r="G4711" s="4"/>
      <c r="H4711" s="4"/>
      <c r="I4711" s="4" t="str">
        <f>IFERROR(__xludf.DUMMYFUNCTION("""COMPUTED_VALUE"""),"0x545e484a27c4e6777bf9baab4c96f9e5e0d65fcd")</f>
        <v>0x545e484a27c4e6777bf9baab4c96f9e5e0d65fcd</v>
      </c>
      <c r="J4711" s="18">
        <v>186.01196020749998</v>
      </c>
      <c r="K4711" s="4">
        <v>2325.1495025937497</v>
      </c>
      <c r="L4711" s="19">
        <v>2.3251495025937497E21</v>
      </c>
      <c r="M4711" s="20">
        <v>2.3251495025937498E20</v>
      </c>
    </row>
    <row r="4712">
      <c r="A4712" s="6"/>
      <c r="B4712" s="6"/>
      <c r="C4712" s="4"/>
      <c r="D4712" s="4">
        <v>20.9545367488147</v>
      </c>
      <c r="E4712" s="4" t="s">
        <v>7024</v>
      </c>
      <c r="F4712" s="4"/>
      <c r="G4712" s="4"/>
      <c r="H4712" s="4"/>
      <c r="I4712" s="4" t="str">
        <f>IFERROR(__xludf.DUMMYFUNCTION("""COMPUTED_VALUE"""),"0x31483d1a4424b21ab21b76ccb5225b0ad9ec0bd8")</f>
        <v>0x31483d1a4424b21ab21b76ccb5225b0ad9ec0bd8</v>
      </c>
      <c r="J4712" s="18">
        <v>186.01196020749998</v>
      </c>
      <c r="K4712" s="4">
        <v>2325.1495025937497</v>
      </c>
      <c r="L4712" s="19">
        <v>2.3251495025937497E21</v>
      </c>
      <c r="M4712" s="20">
        <v>2.3251495025937498E20</v>
      </c>
    </row>
    <row r="4713">
      <c r="A4713" s="6"/>
      <c r="B4713" s="6"/>
      <c r="C4713" s="4"/>
      <c r="D4713" s="4">
        <v>48.3641275995966</v>
      </c>
      <c r="E4713" s="4" t="s">
        <v>1101</v>
      </c>
      <c r="F4713" s="4"/>
      <c r="G4713" s="4"/>
      <c r="H4713" s="4"/>
      <c r="I4713" s="4" t="str">
        <f>IFERROR(__xludf.DUMMYFUNCTION("""COMPUTED_VALUE"""),"0x34492ac8ad16adf5bffe937356942267335b2e8d")</f>
        <v>0x34492ac8ad16adf5bffe937356942267335b2e8d</v>
      </c>
      <c r="J4713" s="18">
        <v>102.492756869211</v>
      </c>
      <c r="K4713" s="4">
        <v>1281.1594608651374</v>
      </c>
      <c r="L4713" s="19">
        <v>1.2811594608651374E21</v>
      </c>
      <c r="M4713" s="20">
        <v>1.2811594608651375E20</v>
      </c>
    </row>
    <row r="4714">
      <c r="A4714" s="6"/>
      <c r="B4714" s="6"/>
      <c r="C4714" s="4"/>
      <c r="D4714" s="4">
        <v>48.3641275995966</v>
      </c>
      <c r="E4714" s="4" t="s">
        <v>208</v>
      </c>
      <c r="F4714" s="4"/>
      <c r="G4714" s="4"/>
      <c r="H4714" s="4"/>
      <c r="I4714" s="4" t="str">
        <f>IFERROR(__xludf.DUMMYFUNCTION("""COMPUTED_VALUE"""),"0x52018532ee87d80b9b2711c7cc033b301cfb85c4")</f>
        <v>0x52018532ee87d80b9b2711c7cc033b301cfb85c4</v>
      </c>
      <c r="J4714" s="18">
        <v>111.13841708391901</v>
      </c>
      <c r="K4714" s="4">
        <v>1389.2302135489876</v>
      </c>
      <c r="L4714" s="19">
        <v>1.3892302135489876E21</v>
      </c>
      <c r="M4714" s="20">
        <v>1.3892302135489877E20</v>
      </c>
    </row>
    <row r="4715">
      <c r="A4715" s="6"/>
      <c r="B4715" s="6"/>
      <c r="C4715" s="4"/>
      <c r="D4715" s="4">
        <v>48.3641275995966</v>
      </c>
      <c r="E4715" s="4" t="s">
        <v>7026</v>
      </c>
      <c r="F4715" s="4"/>
      <c r="G4715" s="4"/>
      <c r="H4715" s="4"/>
      <c r="I4715" s="4" t="str">
        <f>IFERROR(__xludf.DUMMYFUNCTION("""COMPUTED_VALUE"""),"0xacef77f47076e31b0accac72dcf6d2f892533ef1")</f>
        <v>0xacef77f47076e31b0accac72dcf6d2f892533ef1</v>
      </c>
      <c r="J4715" s="18">
        <v>117.187534930725</v>
      </c>
      <c r="K4715" s="4">
        <v>1464.8441866340625</v>
      </c>
      <c r="L4715" s="19">
        <v>1.4648441866340624E21</v>
      </c>
      <c r="M4715" s="20">
        <v>1.4648441866340624E20</v>
      </c>
    </row>
    <row r="4716">
      <c r="A4716" s="6"/>
      <c r="B4716" s="6"/>
      <c r="C4716" s="4"/>
      <c r="D4716" s="4">
        <v>10.1616088900811</v>
      </c>
      <c r="E4716" s="4" t="s">
        <v>7027</v>
      </c>
      <c r="F4716" s="4"/>
      <c r="G4716" s="4"/>
      <c r="H4716" s="4"/>
      <c r="I4716" s="4" t="str">
        <f>IFERROR(__xludf.DUMMYFUNCTION("""COMPUTED_VALUE"""),"0x53dc67f664ac27d9012d26a2d6eed5177351d855")</f>
        <v>0x53dc67f664ac27d9012d26a2d6eed5177351d855</v>
      </c>
      <c r="J4716" s="18">
        <v>131.510455866703</v>
      </c>
      <c r="K4716" s="4">
        <v>1643.8806983337877</v>
      </c>
      <c r="L4716" s="19">
        <v>1.6438806983337876E21</v>
      </c>
      <c r="M4716" s="20">
        <v>1.6438806983337876E20</v>
      </c>
    </row>
    <row r="4717">
      <c r="A4717" s="6"/>
      <c r="B4717" s="6"/>
      <c r="C4717" s="4"/>
      <c r="D4717" s="4">
        <v>48.3641275995966</v>
      </c>
      <c r="E4717" s="4" t="s">
        <v>7029</v>
      </c>
      <c r="F4717" s="4"/>
      <c r="G4717" s="4"/>
      <c r="H4717" s="4"/>
      <c r="I4717" s="4" t="str">
        <f>IFERROR(__xludf.DUMMYFUNCTION("""COMPUTED_VALUE"""),"0x8852ae619237638b71cc4c09f8fa6b0c5b5644ad")</f>
        <v>0x8852ae619237638b71cc4c09f8fa6b0c5b5644ad</v>
      </c>
      <c r="J4717" s="18">
        <v>186.01196020749998</v>
      </c>
      <c r="K4717" s="4">
        <v>2325.1495025937497</v>
      </c>
      <c r="L4717" s="19">
        <v>2.3251495025937497E21</v>
      </c>
      <c r="M4717" s="20">
        <v>2.3251495025937498E20</v>
      </c>
    </row>
    <row r="4718">
      <c r="A4718" s="6"/>
      <c r="B4718" s="6"/>
      <c r="C4718" s="4"/>
      <c r="D4718" s="4">
        <v>22.2279209803419</v>
      </c>
      <c r="E4718" s="4" t="s">
        <v>7030</v>
      </c>
      <c r="F4718" s="4"/>
      <c r="G4718" s="4"/>
      <c r="H4718" s="4"/>
      <c r="I4718" s="4" t="str">
        <f>IFERROR(__xludf.DUMMYFUNCTION("""COMPUTED_VALUE"""),"0xe5ed4bd829ad3fdcead7e35603fdf363fd76569b")</f>
        <v>0xe5ed4bd829ad3fdcead7e35603fdf363fd76569b</v>
      </c>
      <c r="J4718" s="18">
        <v>56.082298365193004</v>
      </c>
      <c r="K4718" s="4">
        <v>701.0287295649125</v>
      </c>
      <c r="L4718" s="19">
        <v>7.010287295649125E20</v>
      </c>
      <c r="M4718" s="20">
        <v>7.010287295649126E19</v>
      </c>
    </row>
    <row r="4719">
      <c r="A4719" s="6"/>
      <c r="B4719" s="6"/>
      <c r="C4719" s="4"/>
      <c r="D4719" s="4">
        <v>48.3641275995966</v>
      </c>
      <c r="E4719" s="4" t="s">
        <v>7032</v>
      </c>
      <c r="F4719" s="4"/>
      <c r="G4719" s="4"/>
      <c r="H4719" s="4"/>
      <c r="I4719" s="4" t="str">
        <f>IFERROR(__xludf.DUMMYFUNCTION("""COMPUTED_VALUE"""),"0x2994cd4d82b9e1dec9482909473bbcdab15c0ea7")</f>
        <v>0x2994cd4d82b9e1dec9482909473bbcdab15c0ea7</v>
      </c>
      <c r="J4719" s="18">
        <v>2.38068138428653</v>
      </c>
      <c r="K4719" s="4">
        <v>29.758517303581627</v>
      </c>
      <c r="L4719" s="19">
        <v>2.9758517303581626E19</v>
      </c>
      <c r="M4719" s="20">
        <v>2.975851730358163E18</v>
      </c>
    </row>
    <row r="4720">
      <c r="A4720" s="6"/>
      <c r="B4720" s="6"/>
      <c r="C4720" s="4"/>
      <c r="D4720" s="4">
        <v>48.3641275995966</v>
      </c>
      <c r="E4720" s="4" t="s">
        <v>7033</v>
      </c>
      <c r="F4720" s="4"/>
      <c r="G4720" s="4"/>
      <c r="H4720" s="4"/>
      <c r="I4720" s="4" t="str">
        <f>IFERROR(__xludf.DUMMYFUNCTION("""COMPUTED_VALUE"""),"0x0dbdc315a01b844aaeda14a266737e93cec545ed")</f>
        <v>0x0dbdc315a01b844aaeda14a266737e93cec545ed</v>
      </c>
      <c r="J4720" s="18">
        <v>118.84201717137</v>
      </c>
      <c r="K4720" s="4">
        <v>1485.525214642125</v>
      </c>
      <c r="L4720" s="19">
        <v>1.4855252146421251E21</v>
      </c>
      <c r="M4720" s="20">
        <v>1.4855252146421252E20</v>
      </c>
    </row>
    <row r="4721">
      <c r="A4721" s="6"/>
      <c r="B4721" s="6"/>
      <c r="C4721" s="4"/>
      <c r="D4721" s="4">
        <v>48.3641275995966</v>
      </c>
      <c r="E4721" s="4" t="s">
        <v>7034</v>
      </c>
      <c r="F4721" s="4"/>
      <c r="G4721" s="4"/>
      <c r="H4721" s="4"/>
      <c r="I4721" s="4" t="str">
        <f>IFERROR(__xludf.DUMMYFUNCTION("""COMPUTED_VALUE"""),"0x177e1cc973e5605bd4eff27c490f007c95d6ef8e")</f>
        <v>0x177e1cc973e5605bd4eff27c490f007c95d6ef8e</v>
      </c>
      <c r="J4721" s="18">
        <v>55.8035880622502</v>
      </c>
      <c r="K4721" s="4">
        <v>697.5448507781275</v>
      </c>
      <c r="L4721" s="19">
        <v>6.975448507781275E20</v>
      </c>
      <c r="M4721" s="20">
        <v>6.975448507781275E19</v>
      </c>
    </row>
    <row r="4722">
      <c r="A4722" s="6"/>
      <c r="B4722" s="6"/>
      <c r="C4722" s="4"/>
      <c r="D4722" s="4">
        <v>9.753567702026022</v>
      </c>
      <c r="E4722" s="4" t="s">
        <v>7035</v>
      </c>
      <c r="F4722" s="4"/>
      <c r="G4722" s="4"/>
      <c r="H4722" s="4"/>
      <c r="I4722" s="4" t="str">
        <f>IFERROR(__xludf.DUMMYFUNCTION("""COMPUTED_VALUE"""),"0x27a5f7646ac2b5086a7d186156b5c75964dd8fa1")</f>
        <v>0x27a5f7646ac2b5086a7d186156b5c75964dd8fa1</v>
      </c>
      <c r="J4722" s="18">
        <v>9.30059801037504</v>
      </c>
      <c r="K4722" s="4">
        <v>116.257475129688</v>
      </c>
      <c r="L4722" s="19">
        <v>1.16257475129688E20</v>
      </c>
      <c r="M4722" s="20">
        <v>1.16257475129688E19</v>
      </c>
    </row>
    <row r="4723">
      <c r="A4723" s="6"/>
      <c r="B4723" s="6"/>
      <c r="C4723" s="4"/>
      <c r="D4723" s="4">
        <v>4.57460089093226</v>
      </c>
      <c r="E4723" s="4" t="s">
        <v>7037</v>
      </c>
      <c r="F4723" s="4"/>
      <c r="G4723" s="4"/>
      <c r="H4723" s="4"/>
      <c r="I4723" s="4" t="str">
        <f>IFERROR(__xludf.DUMMYFUNCTION("""COMPUTED_VALUE"""),"0x0a58363c9caeb721d29b39106cb27beaa95b1e39")</f>
        <v>0x0a58363c9caeb721d29b39106cb27beaa95b1e39</v>
      </c>
      <c r="J4723" s="18">
        <v>0.13639260943148301</v>
      </c>
      <c r="K4723" s="4">
        <v>1.7049076178935376</v>
      </c>
      <c r="L4723" s="19">
        <v>1.7049076178935375E18</v>
      </c>
      <c r="M4723" s="20">
        <v>1.7049076178935376E17</v>
      </c>
    </row>
    <row r="4724">
      <c r="A4724" s="6"/>
      <c r="B4724" s="6"/>
      <c r="C4724" s="4"/>
      <c r="D4724" s="4">
        <v>18.1849119774483</v>
      </c>
      <c r="E4724" s="4" t="s">
        <v>7039</v>
      </c>
      <c r="F4724" s="4"/>
      <c r="G4724" s="4"/>
      <c r="H4724" s="4"/>
      <c r="I4724" s="4" t="str">
        <f>IFERROR(__xludf.DUMMYFUNCTION("""COMPUTED_VALUE"""),"0x1c8a699ceda9254fee295d467ed96cec93c90935")</f>
        <v>0x1c8a699ceda9254fee295d467ed96cec93c90935</v>
      </c>
      <c r="J4724" s="18">
        <v>13.4379890003205</v>
      </c>
      <c r="K4724" s="4">
        <v>167.97486250400624</v>
      </c>
      <c r="L4724" s="19">
        <v>1.6797486250400625E20</v>
      </c>
      <c r="M4724" s="20">
        <v>1.6797486250400627E19</v>
      </c>
    </row>
    <row r="4725">
      <c r="A4725" s="6"/>
      <c r="B4725" s="6"/>
      <c r="C4725" s="4"/>
      <c r="D4725" s="4">
        <v>10.962580584717001</v>
      </c>
      <c r="E4725" s="4" t="s">
        <v>7041</v>
      </c>
      <c r="F4725" s="4"/>
      <c r="G4725" s="4"/>
      <c r="H4725" s="4"/>
      <c r="I4725" s="4" t="str">
        <f>IFERROR(__xludf.DUMMYFUNCTION("""COMPUTED_VALUE"""),"0x15d61b5e4c87c86860b724a52d9b58150e5687c0")</f>
        <v>0x15d61b5e4c87c86860b724a52d9b58150e5687c0</v>
      </c>
      <c r="J4725" s="18">
        <v>130.354502625936</v>
      </c>
      <c r="K4725" s="4">
        <v>1629.4312828241998</v>
      </c>
      <c r="L4725" s="19">
        <v>1.6294312828241998E21</v>
      </c>
      <c r="M4725" s="20">
        <v>1.6294312828242E20</v>
      </c>
    </row>
    <row r="4726">
      <c r="A4726" s="6"/>
      <c r="B4726" s="6"/>
      <c r="C4726" s="4"/>
      <c r="D4726" s="4">
        <v>31.8109830685911</v>
      </c>
      <c r="E4726" s="4" t="s">
        <v>7043</v>
      </c>
      <c r="F4726" s="4"/>
      <c r="G4726" s="4"/>
      <c r="H4726" s="4"/>
      <c r="I4726" s="4" t="str">
        <f>IFERROR(__xludf.DUMMYFUNCTION("""COMPUTED_VALUE"""),"0x770ddfd777f5167f18a20c8d524d90b860e401f1")</f>
        <v>0x770ddfd777f5167f18a20c8d524d90b860e401f1</v>
      </c>
      <c r="J4726" s="18">
        <v>186.01196020749998</v>
      </c>
      <c r="K4726" s="4">
        <v>2325.1495025937497</v>
      </c>
      <c r="L4726" s="19">
        <v>2.3251495025937497E21</v>
      </c>
      <c r="M4726" s="20">
        <v>2.3251495025937498E20</v>
      </c>
    </row>
    <row r="4727">
      <c r="A4727" s="6"/>
      <c r="B4727" s="6"/>
      <c r="C4727" s="4"/>
      <c r="D4727" s="4">
        <v>44.0886381585832</v>
      </c>
      <c r="E4727" s="4" t="s">
        <v>7045</v>
      </c>
      <c r="F4727" s="4"/>
      <c r="G4727" s="4"/>
      <c r="H4727" s="4"/>
      <c r="I4727" s="4" t="str">
        <f>IFERROR(__xludf.DUMMYFUNCTION("""COMPUTED_VALUE"""),"0xf405f5bb7e319359a60cfc5a655462def1bffabd")</f>
        <v>0xf405f5bb7e319359a60cfc5a655462def1bffabd</v>
      </c>
      <c r="J4727" s="18">
        <v>55.8035880622502</v>
      </c>
      <c r="K4727" s="4">
        <v>697.5448507781275</v>
      </c>
      <c r="L4727" s="19">
        <v>6.975448507781275E20</v>
      </c>
      <c r="M4727" s="20">
        <v>6.975448507781275E19</v>
      </c>
    </row>
    <row r="4728">
      <c r="A4728" s="6"/>
      <c r="B4728" s="6"/>
      <c r="C4728" s="4"/>
      <c r="D4728" s="4">
        <v>28.3638467769811</v>
      </c>
      <c r="E4728" s="4" t="s">
        <v>7047</v>
      </c>
      <c r="F4728" s="4"/>
      <c r="G4728" s="4"/>
      <c r="H4728" s="4"/>
      <c r="I4728" s="4" t="str">
        <f>IFERROR(__xludf.DUMMYFUNCTION("""COMPUTED_VALUE"""),"0x78825da8e6c221dc034ab8d4688f55a55e6d0ead")</f>
        <v>0x78825da8e6c221dc034ab8d4688f55a55e6d0ead</v>
      </c>
      <c r="J4728" s="18">
        <v>69.882341808074</v>
      </c>
      <c r="K4728" s="4">
        <v>873.529272600925</v>
      </c>
      <c r="L4728" s="19">
        <v>8.735292726009249E20</v>
      </c>
      <c r="M4728" s="20">
        <v>8.73529272600925E19</v>
      </c>
    </row>
    <row r="4729">
      <c r="A4729" s="6"/>
      <c r="B4729" s="6"/>
      <c r="C4729" s="4"/>
      <c r="D4729" s="4">
        <v>48.3641275995966</v>
      </c>
      <c r="E4729" s="4" t="s">
        <v>7049</v>
      </c>
      <c r="F4729" s="4"/>
      <c r="G4729" s="4"/>
      <c r="H4729" s="4"/>
      <c r="I4729" s="4" t="str">
        <f>IFERROR(__xludf.DUMMYFUNCTION("""COMPUTED_VALUE"""),"0x4ca520f8965960ebb4b969f73257b53cfc56f6a9")</f>
        <v>0x4ca520f8965960ebb4b969f73257b53cfc56f6a9</v>
      </c>
      <c r="J4729" s="18">
        <v>12.0907774134875</v>
      </c>
      <c r="K4729" s="4">
        <v>151.13471766859374</v>
      </c>
      <c r="L4729" s="19">
        <v>1.5113471766859373E20</v>
      </c>
      <c r="M4729" s="20">
        <v>1.5113471766859375E19</v>
      </c>
    </row>
    <row r="4730">
      <c r="A4730" s="6"/>
      <c r="B4730" s="6"/>
      <c r="C4730" s="4"/>
      <c r="D4730" s="4">
        <v>29.018476559758</v>
      </c>
      <c r="E4730" s="4" t="s">
        <v>7050</v>
      </c>
      <c r="F4730" s="4"/>
      <c r="G4730" s="4"/>
      <c r="H4730" s="4"/>
      <c r="I4730" s="4" t="str">
        <f>IFERROR(__xludf.DUMMYFUNCTION("""COMPUTED_VALUE"""),"0x60db4780fcbb04114b0eeb3b8d61ace937709c0b")</f>
        <v>0x60db4780fcbb04114b0eeb3b8d61ace937709c0b</v>
      </c>
      <c r="J4730" s="18">
        <v>10.134083686272</v>
      </c>
      <c r="K4730" s="4">
        <v>126.67604607839999</v>
      </c>
      <c r="L4730" s="19">
        <v>1.2667604607839999E20</v>
      </c>
      <c r="M4730" s="20">
        <v>1.266760460784E19</v>
      </c>
    </row>
    <row r="4731">
      <c r="A4731" s="6"/>
      <c r="B4731" s="6"/>
      <c r="C4731" s="4"/>
      <c r="D4731" s="4">
        <v>46.7122924368877</v>
      </c>
      <c r="E4731" s="4" t="s">
        <v>1257</v>
      </c>
      <c r="F4731" s="4"/>
      <c r="G4731" s="4"/>
      <c r="H4731" s="4"/>
      <c r="I4731" s="4" t="str">
        <f>IFERROR(__xludf.DUMMYFUNCTION("""COMPUTED_VALUE"""),"0xbd20efd94ff2b649d1be1cb5f63edd50dcde2054")</f>
        <v>0xbd20efd94ff2b649d1be1cb5f63edd50dcde2054</v>
      </c>
      <c r="J4731" s="18">
        <v>8.00680952773921</v>
      </c>
      <c r="K4731" s="4">
        <v>100.08511909674012</v>
      </c>
      <c r="L4731" s="19">
        <v>1.0008511909674012E20</v>
      </c>
      <c r="M4731" s="20">
        <v>1.0008511909674013E19</v>
      </c>
    </row>
    <row r="4732">
      <c r="A4732" s="6"/>
      <c r="B4732" s="6"/>
      <c r="C4732" s="4"/>
      <c r="D4732" s="4">
        <v>48.3641275995966</v>
      </c>
      <c r="E4732" s="4" t="s">
        <v>7052</v>
      </c>
      <c r="F4732" s="4"/>
      <c r="G4732" s="4"/>
      <c r="H4732" s="4"/>
      <c r="I4732" s="4" t="str">
        <f>IFERROR(__xludf.DUMMYFUNCTION("""COMPUTED_VALUE"""),"0xa485bd744b741858ef0dbe51f03b7821b24ed9b3")</f>
        <v>0xa485bd744b741858ef0dbe51f03b7821b24ed9b3</v>
      </c>
      <c r="J4732" s="18">
        <v>78.4445891091535</v>
      </c>
      <c r="K4732" s="4">
        <v>980.5573638644187</v>
      </c>
      <c r="L4732" s="19">
        <v>9.805573638644186E20</v>
      </c>
      <c r="M4732" s="20">
        <v>9.805573638644187E19</v>
      </c>
    </row>
    <row r="4733">
      <c r="A4733" s="6"/>
      <c r="B4733" s="6"/>
      <c r="C4733" s="4"/>
      <c r="D4733" s="4">
        <v>9.71845424743414</v>
      </c>
      <c r="E4733" s="4" t="s">
        <v>7053</v>
      </c>
      <c r="F4733" s="4"/>
      <c r="G4733" s="4"/>
      <c r="H4733" s="4"/>
      <c r="I4733" s="4" t="str">
        <f>IFERROR(__xludf.DUMMYFUNCTION("""COMPUTED_VALUE"""),"0xb2b36627af83fff76216eaec068ece65a1f3c5e8")</f>
        <v>0xb2b36627af83fff76216eaec068ece65a1f3c5e8</v>
      </c>
      <c r="J4733" s="18">
        <v>186.01196020749998</v>
      </c>
      <c r="K4733" s="4">
        <v>2325.1495025937497</v>
      </c>
      <c r="L4733" s="19">
        <v>2.3251495025937497E21</v>
      </c>
      <c r="M4733" s="20">
        <v>2.3251495025937498E20</v>
      </c>
    </row>
    <row r="4734">
      <c r="A4734" s="6"/>
      <c r="B4734" s="6"/>
      <c r="C4734" s="4"/>
      <c r="D4734" s="4">
        <v>9.34751522782877</v>
      </c>
      <c r="E4734" s="4" t="s">
        <v>7055</v>
      </c>
      <c r="F4734" s="4"/>
      <c r="G4734" s="4"/>
      <c r="H4734" s="4"/>
      <c r="I4734" s="4" t="str">
        <f>IFERROR(__xludf.DUMMYFUNCTION("""COMPUTED_VALUE"""),"0x80e8c108a9a057efb7d38f0a362a8da47cdfaf27")</f>
        <v>0x80e8c108a9a057efb7d38f0a362a8da47cdfaf27</v>
      </c>
      <c r="J4734" s="18">
        <v>72.130861517416</v>
      </c>
      <c r="K4734" s="4">
        <v>901.6357689677</v>
      </c>
      <c r="L4734" s="19">
        <v>9.016357689677E20</v>
      </c>
      <c r="M4734" s="20">
        <v>9.016357689677002E19</v>
      </c>
    </row>
    <row r="4735">
      <c r="A4735" s="6"/>
      <c r="B4735" s="6"/>
      <c r="C4735" s="4"/>
      <c r="D4735" s="4">
        <v>48.3641275995966</v>
      </c>
      <c r="E4735" s="4" t="s">
        <v>7057</v>
      </c>
      <c r="F4735" s="4"/>
      <c r="G4735" s="4"/>
      <c r="H4735" s="4"/>
      <c r="I4735" s="4" t="str">
        <f>IFERROR(__xludf.DUMMYFUNCTION("""COMPUTED_VALUE"""),"0xb01df6b90a3499a38cc46c6c7f8d3b7fb5eb1106")</f>
        <v>0xb01df6b90a3499a38cc46c6c7f8d3b7fb5eb1106</v>
      </c>
      <c r="J4735" s="18">
        <v>46.5029900518752</v>
      </c>
      <c r="K4735" s="4">
        <v>581.28737564844</v>
      </c>
      <c r="L4735" s="19">
        <v>5.8128737564844006E20</v>
      </c>
      <c r="M4735" s="20">
        <v>5.812873756484401E19</v>
      </c>
    </row>
    <row r="4736">
      <c r="A4736" s="6"/>
      <c r="B4736" s="6"/>
      <c r="C4736" s="4"/>
      <c r="D4736" s="4">
        <v>48.3641275995966</v>
      </c>
      <c r="E4736" s="4" t="s">
        <v>938</v>
      </c>
      <c r="F4736" s="4"/>
      <c r="G4736" s="4"/>
      <c r="H4736" s="4"/>
      <c r="I4736" s="4" t="str">
        <f>IFERROR(__xludf.DUMMYFUNCTION("""COMPUTED_VALUE"""),"0xbb512977aae1240b049df4d0afe61e493fd09fa8")</f>
        <v>0xbb512977aae1240b049df4d0afe61e493fd09fa8</v>
      </c>
      <c r="J4736" s="18">
        <v>41.584914740300704</v>
      </c>
      <c r="K4736" s="4">
        <v>519.8114342537588</v>
      </c>
      <c r="L4736" s="19">
        <v>5.1981143425375876E20</v>
      </c>
      <c r="M4736" s="20">
        <v>5.198114342537588E19</v>
      </c>
    </row>
    <row r="4737">
      <c r="A4737" s="6"/>
      <c r="B4737" s="6"/>
      <c r="C4737" s="4"/>
      <c r="D4737" s="4">
        <v>48.3641275995966</v>
      </c>
      <c r="E4737" s="4" t="s">
        <v>107</v>
      </c>
      <c r="F4737" s="4"/>
      <c r="G4737" s="4"/>
      <c r="H4737" s="4"/>
      <c r="I4737" s="4" t="str">
        <f>IFERROR(__xludf.DUMMYFUNCTION("""COMPUTED_VALUE"""),"0x0f1ceab49f196eb1b181ef3936472d8134b13219")</f>
        <v>0x0f1ceab49f196eb1b181ef3936472d8134b13219</v>
      </c>
      <c r="J4737" s="18">
        <v>55.834312175761</v>
      </c>
      <c r="K4737" s="4">
        <v>697.9289021970125</v>
      </c>
      <c r="L4737" s="19">
        <v>6.979289021970125E20</v>
      </c>
      <c r="M4737" s="20">
        <v>6.979289021970125E19</v>
      </c>
    </row>
    <row r="4738">
      <c r="A4738" s="6"/>
      <c r="B4738" s="6"/>
      <c r="C4738" s="4"/>
      <c r="D4738" s="4">
        <v>34.1584360073192</v>
      </c>
      <c r="E4738" s="4" t="s">
        <v>7058</v>
      </c>
      <c r="F4738" s="4"/>
      <c r="G4738" s="4"/>
      <c r="H4738" s="4"/>
      <c r="I4738" s="4" t="str">
        <f>IFERROR(__xludf.DUMMYFUNCTION("""COMPUTED_VALUE"""),"0x30e996409627d6b820a5f7c9ff413680aad694cd")</f>
        <v>0x30e996409627d6b820a5f7c9ff413680aad694cd</v>
      </c>
      <c r="J4738" s="18">
        <v>37.2023920415001</v>
      </c>
      <c r="K4738" s="4">
        <v>465.0299005187512</v>
      </c>
      <c r="L4738" s="19">
        <v>4.650299005187512E20</v>
      </c>
      <c r="M4738" s="20">
        <v>4.650299005187513E19</v>
      </c>
    </row>
    <row r="4739">
      <c r="A4739" s="6"/>
      <c r="B4739" s="6"/>
      <c r="C4739" s="4"/>
      <c r="D4739" s="4">
        <v>48.3641275995966</v>
      </c>
      <c r="E4739" s="4" t="s">
        <v>1291</v>
      </c>
      <c r="F4739" s="4"/>
      <c r="G4739" s="4"/>
      <c r="H4739" s="4"/>
      <c r="I4739" s="4" t="str">
        <f>IFERROR(__xludf.DUMMYFUNCTION("""COMPUTED_VALUE"""),"0xb5e66cad45a8f21356b2d14c0c2d255361484ff1")</f>
        <v>0xb5e66cad45a8f21356b2d14c0c2d255361484ff1</v>
      </c>
      <c r="J4739" s="18">
        <v>109.954606168521</v>
      </c>
      <c r="K4739" s="4">
        <v>1374.4325771065123</v>
      </c>
      <c r="L4739" s="19">
        <v>1.3744325771065124E21</v>
      </c>
      <c r="M4739" s="20">
        <v>1.3744325771065124E20</v>
      </c>
    </row>
    <row r="4740">
      <c r="A4740" s="6"/>
      <c r="B4740" s="6"/>
      <c r="C4740" s="4"/>
      <c r="D4740" s="4">
        <v>48.3641275995966</v>
      </c>
      <c r="E4740" s="4" t="s">
        <v>7060</v>
      </c>
      <c r="F4740" s="4"/>
      <c r="G4740" s="4"/>
      <c r="H4740" s="4"/>
      <c r="I4740" s="4" t="str">
        <f>IFERROR(__xludf.DUMMYFUNCTION("""COMPUTED_VALUE"""),"0xc8019cc207bd23daaa0e1718de28466f76ccd19f")</f>
        <v>0xc8019cc207bd23daaa0e1718de28466f76ccd19f</v>
      </c>
      <c r="J4740" s="18">
        <v>66.9643056747003</v>
      </c>
      <c r="K4740" s="4">
        <v>837.0538209337537</v>
      </c>
      <c r="L4740" s="19">
        <v>8.370538209337538E20</v>
      </c>
      <c r="M4740" s="20">
        <v>8.370538209337539E19</v>
      </c>
    </row>
    <row r="4741">
      <c r="A4741" s="6"/>
      <c r="B4741" s="6"/>
      <c r="C4741" s="4"/>
      <c r="D4741" s="4">
        <v>48.3641275995966</v>
      </c>
      <c r="E4741" s="4" t="s">
        <v>280</v>
      </c>
      <c r="F4741" s="4"/>
      <c r="G4741" s="4"/>
      <c r="H4741" s="4"/>
      <c r="I4741" s="4" t="str">
        <f>IFERROR(__xludf.DUMMYFUNCTION("""COMPUTED_VALUE"""),"0x28735e52f09329e533f40a0fe3d48f7000741d7a")</f>
        <v>0x28735e52f09329e533f40a0fe3d48f7000741d7a</v>
      </c>
      <c r="J4741" s="18">
        <v>12.0907774134875</v>
      </c>
      <c r="K4741" s="4">
        <v>151.13471766859374</v>
      </c>
      <c r="L4741" s="19">
        <v>1.5113471766859373E20</v>
      </c>
      <c r="M4741" s="20">
        <v>1.5113471766859375E19</v>
      </c>
    </row>
    <row r="4742">
      <c r="A4742" s="6"/>
      <c r="B4742" s="6"/>
      <c r="C4742" s="4"/>
      <c r="D4742" s="4">
        <v>10.6447328509871</v>
      </c>
      <c r="E4742" s="4" t="s">
        <v>7061</v>
      </c>
      <c r="F4742" s="4"/>
      <c r="G4742" s="4"/>
      <c r="H4742" s="4"/>
      <c r="I4742" s="4" t="str">
        <f>IFERROR(__xludf.DUMMYFUNCTION("""COMPUTED_VALUE"""),"0x900328c10dbf57df58f9aba8f3093d650e937d02")</f>
        <v>0x900328c10dbf57df58f9aba8f3093d650e937d02</v>
      </c>
      <c r="J4742" s="18">
        <v>186.01196020749998</v>
      </c>
      <c r="K4742" s="4">
        <v>2325.1495025937497</v>
      </c>
      <c r="L4742" s="19">
        <v>2.3251495025937497E21</v>
      </c>
      <c r="M4742" s="20">
        <v>2.3251495025937498E20</v>
      </c>
    </row>
    <row r="4743">
      <c r="A4743" s="6"/>
      <c r="B4743" s="6"/>
      <c r="C4743" s="4"/>
      <c r="D4743" s="4">
        <v>48.3641275995966</v>
      </c>
      <c r="E4743" s="4" t="s">
        <v>7063</v>
      </c>
      <c r="F4743" s="4"/>
      <c r="G4743" s="4"/>
      <c r="H4743" s="4"/>
      <c r="I4743" s="4" t="str">
        <f>IFERROR(__xludf.DUMMYFUNCTION("""COMPUTED_VALUE"""),"0x1beb6c6c0e032c2e93eff2fa2008f3578b0f65ff")</f>
        <v>0x1beb6c6c0e032c2e93eff2fa2008f3578b0f65ff</v>
      </c>
      <c r="J4743" s="18">
        <v>186.01196020749998</v>
      </c>
      <c r="K4743" s="4">
        <v>2325.1495025937497</v>
      </c>
      <c r="L4743" s="19">
        <v>2.3251495025937497E21</v>
      </c>
      <c r="M4743" s="20">
        <v>2.3251495025937498E20</v>
      </c>
    </row>
    <row r="4744">
      <c r="A4744" s="6"/>
      <c r="B4744" s="6"/>
      <c r="C4744" s="4"/>
      <c r="D4744" s="4">
        <v>47.390505019146296</v>
      </c>
      <c r="E4744" s="4" t="s">
        <v>7064</v>
      </c>
      <c r="F4744" s="4"/>
      <c r="G4744" s="4"/>
      <c r="H4744" s="4"/>
      <c r="I4744" s="4" t="str">
        <f>IFERROR(__xludf.DUMMYFUNCTION("""COMPUTED_VALUE"""),"0xf5f9db57f7fd4cc090cd841698a1b4cbfd793182")</f>
        <v>0xf5f9db57f7fd4cc090cd841698a1b4cbfd793182</v>
      </c>
      <c r="J4744" s="18">
        <v>27.9017940311251</v>
      </c>
      <c r="K4744" s="4">
        <v>348.77242538906376</v>
      </c>
      <c r="L4744" s="19">
        <v>3.4877242538906373E20</v>
      </c>
      <c r="M4744" s="20">
        <v>3.4877242538906374E19</v>
      </c>
    </row>
    <row r="4745">
      <c r="A4745" s="6"/>
      <c r="B4745" s="6"/>
      <c r="C4745" s="4"/>
      <c r="D4745" s="4">
        <v>48.3641275995966</v>
      </c>
      <c r="E4745" s="4" t="s">
        <v>7066</v>
      </c>
      <c r="F4745" s="4"/>
      <c r="G4745" s="4"/>
      <c r="H4745" s="4"/>
      <c r="I4745" s="4" t="str">
        <f>IFERROR(__xludf.DUMMYFUNCTION("""COMPUTED_VALUE"""),"0x24b277989aa7bd31dbcd3d16252f536c197c3dd3")</f>
        <v>0x24b277989aa7bd31dbcd3d16252f536c197c3dd3</v>
      </c>
      <c r="J4745" s="18">
        <v>186.01196020749998</v>
      </c>
      <c r="K4745" s="4">
        <v>2325.1495025937497</v>
      </c>
      <c r="L4745" s="19">
        <v>2.3251495025937497E21</v>
      </c>
      <c r="M4745" s="20">
        <v>2.3251495025937498E20</v>
      </c>
    </row>
    <row r="4746">
      <c r="A4746" s="6"/>
      <c r="B4746" s="6"/>
      <c r="C4746" s="4"/>
      <c r="D4746" s="4">
        <v>4.12007650786926</v>
      </c>
      <c r="E4746" s="4" t="s">
        <v>7067</v>
      </c>
      <c r="F4746" s="4"/>
      <c r="G4746" s="4"/>
      <c r="H4746" s="4"/>
      <c r="I4746" s="4" t="str">
        <f>IFERROR(__xludf.DUMMYFUNCTION("""COMPUTED_VALUE"""),"0x200bf2b96a7433d3294d124d53e51f55d5d02bf3")</f>
        <v>0x200bf2b96a7433d3294d124d53e51f55d5d02bf3</v>
      </c>
      <c r="J4746" s="18">
        <v>186.01196020749998</v>
      </c>
      <c r="K4746" s="4">
        <v>2325.1495025937497</v>
      </c>
      <c r="L4746" s="19">
        <v>2.3251495025937497E21</v>
      </c>
      <c r="M4746" s="20">
        <v>2.3251495025937498E20</v>
      </c>
    </row>
    <row r="4747">
      <c r="A4747" s="6"/>
      <c r="B4747" s="6"/>
      <c r="C4747" s="4"/>
      <c r="D4747" s="4">
        <v>48.3641275995966</v>
      </c>
      <c r="E4747" s="4" t="s">
        <v>1556</v>
      </c>
      <c r="F4747" s="4"/>
      <c r="G4747" s="4"/>
      <c r="H4747" s="4"/>
      <c r="I4747" s="4" t="str">
        <f>IFERROR(__xludf.DUMMYFUNCTION("""COMPUTED_VALUE"""),"0x9b08ac8639a3bc32acf66e003da1135db515c9b9")</f>
        <v>0x9b08ac8639a3bc32acf66e003da1135db515c9b9</v>
      </c>
      <c r="J4747" s="18">
        <v>34.188591919599304</v>
      </c>
      <c r="K4747" s="4">
        <v>427.3573989949913</v>
      </c>
      <c r="L4747" s="19">
        <v>4.273573989949913E20</v>
      </c>
      <c r="M4747" s="20">
        <v>4.2735739899499135E19</v>
      </c>
    </row>
    <row r="4748">
      <c r="A4748" s="6"/>
      <c r="B4748" s="6"/>
      <c r="C4748" s="4"/>
      <c r="D4748" s="4">
        <v>13.0450526179748</v>
      </c>
      <c r="E4748" s="4" t="s">
        <v>7069</v>
      </c>
      <c r="F4748" s="4"/>
      <c r="G4748" s="4"/>
      <c r="H4748" s="4"/>
      <c r="I4748" s="4" t="str">
        <f>IFERROR(__xludf.DUMMYFUNCTION("""COMPUTED_VALUE"""),"0x0744e27db3ff5ef2f6f59d07bde5e360a6258604")</f>
        <v>0x0744e27db3ff5ef2f6f59d07bde5e360a6258604</v>
      </c>
      <c r="J4748" s="18">
        <v>9.563910374762282</v>
      </c>
      <c r="K4748" s="4">
        <v>119.54887968452852</v>
      </c>
      <c r="L4748" s="19">
        <v>1.1954887968452852E20</v>
      </c>
      <c r="M4748" s="20">
        <v>1.1954887968452854E19</v>
      </c>
    </row>
    <row r="4749">
      <c r="A4749" s="6"/>
      <c r="B4749" s="6"/>
      <c r="C4749" s="4"/>
      <c r="D4749" s="4">
        <v>48.3641275995966</v>
      </c>
      <c r="E4749" s="4" t="s">
        <v>7071</v>
      </c>
      <c r="F4749" s="4"/>
      <c r="G4749" s="4"/>
      <c r="H4749" s="4"/>
      <c r="I4749" s="4" t="str">
        <f>IFERROR(__xludf.DUMMYFUNCTION("""COMPUTED_VALUE"""),"0x54b081d051c7cfa2f0a123b2c8904021c36827ce")</f>
        <v>0x54b081d051c7cfa2f0a123b2c8904021c36827ce</v>
      </c>
      <c r="J4749" s="18">
        <v>45.8683783405098</v>
      </c>
      <c r="K4749" s="4">
        <v>573.3547292563725</v>
      </c>
      <c r="L4749" s="19">
        <v>5.733547292563725E20</v>
      </c>
      <c r="M4749" s="20">
        <v>5.733547292563725E19</v>
      </c>
    </row>
    <row r="4750">
      <c r="A4750" s="6"/>
      <c r="B4750" s="6"/>
      <c r="C4750" s="4"/>
      <c r="D4750" s="4">
        <v>48.3641275995966</v>
      </c>
      <c r="E4750" s="4" t="s">
        <v>7072</v>
      </c>
      <c r="F4750" s="4"/>
      <c r="G4750" s="4"/>
      <c r="H4750" s="4"/>
      <c r="I4750" s="4" t="str">
        <f>IFERROR(__xludf.DUMMYFUNCTION("""COMPUTED_VALUE"""),"0xab848bd927dcab1221d30b8c6e7c28ca255fb045")</f>
        <v>0xab848bd927dcab1221d30b8c6e7c28ca255fb045</v>
      </c>
      <c r="J4750" s="18">
        <v>55.8035880622502</v>
      </c>
      <c r="K4750" s="4">
        <v>697.5448507781275</v>
      </c>
      <c r="L4750" s="19">
        <v>6.975448507781275E20</v>
      </c>
      <c r="M4750" s="20">
        <v>6.975448507781275E19</v>
      </c>
    </row>
    <row r="4751">
      <c r="A4751" s="6"/>
      <c r="B4751" s="6"/>
      <c r="C4751" s="4"/>
      <c r="D4751" s="4">
        <v>48.1016133631526</v>
      </c>
      <c r="E4751" s="4" t="s">
        <v>7073</v>
      </c>
      <c r="F4751" s="4"/>
      <c r="G4751" s="4"/>
      <c r="H4751" s="4"/>
      <c r="I4751" s="4" t="str">
        <f>IFERROR(__xludf.DUMMYFUNCTION("""COMPUTED_VALUE"""),"0xcae3a4c9cdca6b799a0960a376ec6f640ca92204")</f>
        <v>0xcae3a4c9cdca6b799a0960a376ec6f640ca92204</v>
      </c>
      <c r="J4751" s="18">
        <v>82.4849195779668</v>
      </c>
      <c r="K4751" s="4">
        <v>1031.0614947245851</v>
      </c>
      <c r="L4751" s="19">
        <v>1.0310614947245852E21</v>
      </c>
      <c r="M4751" s="20">
        <v>1.0310614947245852E20</v>
      </c>
    </row>
    <row r="4752">
      <c r="A4752" s="6"/>
      <c r="B4752" s="6"/>
      <c r="C4752" s="4"/>
      <c r="D4752" s="4">
        <v>48.3641275995966</v>
      </c>
      <c r="E4752" s="4" t="s">
        <v>178</v>
      </c>
      <c r="F4752" s="4"/>
      <c r="G4752" s="4"/>
      <c r="H4752" s="4"/>
      <c r="I4752" s="4" t="str">
        <f>IFERROR(__xludf.DUMMYFUNCTION("""COMPUTED_VALUE"""),"0x20cb1ab611eee8234784862c9676dca56ca976e4")</f>
        <v>0x20cb1ab611eee8234784862c9676dca56ca976e4</v>
      </c>
      <c r="J4752" s="18">
        <v>111.325074737608</v>
      </c>
      <c r="K4752" s="4">
        <v>1391.5634342201001</v>
      </c>
      <c r="L4752" s="19">
        <v>1.3915634342201003E21</v>
      </c>
      <c r="M4752" s="20">
        <v>1.3915634342201003E20</v>
      </c>
    </row>
    <row r="4753">
      <c r="A4753" s="6"/>
      <c r="B4753" s="6"/>
      <c r="C4753" s="4"/>
      <c r="D4753" s="4">
        <v>20.3139571708074</v>
      </c>
      <c r="E4753" s="4" t="s">
        <v>7075</v>
      </c>
      <c r="F4753" s="4"/>
      <c r="G4753" s="4"/>
      <c r="H4753" s="4"/>
      <c r="I4753" s="4" t="str">
        <f>IFERROR(__xludf.DUMMYFUNCTION("""COMPUTED_VALUE"""),"0xdf9561578ed6977c70d8f6a65cad265bb8453305")</f>
        <v>0xdf9561578ed6977c70d8f6a65cad265bb8453305</v>
      </c>
      <c r="J4753" s="18">
        <v>56.0004209217025</v>
      </c>
      <c r="K4753" s="4">
        <v>700.0052615212812</v>
      </c>
      <c r="L4753" s="19">
        <v>7.000052615212812E20</v>
      </c>
      <c r="M4753" s="20">
        <v>7.000052615212813E19</v>
      </c>
    </row>
    <row r="4754">
      <c r="A4754" s="6"/>
      <c r="B4754" s="6"/>
      <c r="C4754" s="4"/>
      <c r="D4754" s="4">
        <v>48.3641275995966</v>
      </c>
      <c r="E4754" s="4" t="s">
        <v>7077</v>
      </c>
      <c r="F4754" s="4"/>
      <c r="G4754" s="4"/>
      <c r="H4754" s="4"/>
      <c r="I4754" s="4" t="str">
        <f>IFERROR(__xludf.DUMMYFUNCTION("""COMPUTED_VALUE"""),"0xc9eb4e98e81e6b0abcf7b85dfa0196e2f6cf2fcc")</f>
        <v>0xc9eb4e98e81e6b0abcf7b85dfa0196e2f6cf2fcc</v>
      </c>
      <c r="J4754" s="18">
        <v>55.8035880622502</v>
      </c>
      <c r="K4754" s="4">
        <v>697.5448507781275</v>
      </c>
      <c r="L4754" s="19">
        <v>6.975448507781275E20</v>
      </c>
      <c r="M4754" s="20">
        <v>6.975448507781275E19</v>
      </c>
    </row>
    <row r="4755">
      <c r="A4755" s="6"/>
      <c r="B4755" s="6"/>
      <c r="C4755" s="4"/>
      <c r="D4755" s="4">
        <v>8.3767015544845</v>
      </c>
      <c r="E4755" s="4" t="s">
        <v>7078</v>
      </c>
      <c r="F4755" s="4"/>
      <c r="G4755" s="4"/>
      <c r="H4755" s="4"/>
      <c r="I4755" s="4" t="str">
        <f>IFERROR(__xludf.DUMMYFUNCTION("""COMPUTED_VALUE"""),"0x9a5286489a7480c7c27b7dc098ca17b81f338534")</f>
        <v>0x9a5286489a7480c7c27b7dc098ca17b81f338534</v>
      </c>
      <c r="J4755" s="18">
        <v>65.161130666794</v>
      </c>
      <c r="K4755" s="4">
        <v>814.514133334925</v>
      </c>
      <c r="L4755" s="19">
        <v>8.14514133334925E20</v>
      </c>
      <c r="M4755" s="20">
        <v>8.14514133334925E19</v>
      </c>
    </row>
    <row r="4756">
      <c r="A4756" s="6"/>
      <c r="B4756" s="6"/>
      <c r="C4756" s="4"/>
      <c r="D4756" s="4">
        <v>48.3641275995966</v>
      </c>
      <c r="E4756" s="4" t="s">
        <v>1272</v>
      </c>
      <c r="F4756" s="4"/>
      <c r="G4756" s="4"/>
      <c r="H4756" s="4"/>
      <c r="I4756" s="4" t="str">
        <f>IFERROR(__xludf.DUMMYFUNCTION("""COMPUTED_VALUE"""),"0x1c49cfafb305c86fe1cf4d2ab1d38350a53b0b76")</f>
        <v>0x1c49cfafb305c86fe1cf4d2ab1d38350a53b0b76</v>
      </c>
      <c r="J4756" s="18">
        <v>12.0907774134875</v>
      </c>
      <c r="K4756" s="4">
        <v>151.13471766859374</v>
      </c>
      <c r="L4756" s="19">
        <v>1.5113471766859373E20</v>
      </c>
      <c r="M4756" s="20">
        <v>1.5113471766859375E19</v>
      </c>
    </row>
    <row r="4757">
      <c r="A4757" s="6"/>
      <c r="B4757" s="6"/>
      <c r="C4757" s="4"/>
      <c r="D4757" s="4">
        <v>9.75724900124546</v>
      </c>
      <c r="E4757" s="4" t="s">
        <v>7080</v>
      </c>
      <c r="F4757" s="4"/>
      <c r="G4757" s="4"/>
      <c r="H4757" s="4"/>
      <c r="I4757" s="4" t="str">
        <f>IFERROR(__xludf.DUMMYFUNCTION("""COMPUTED_VALUE"""),"0x969a053968b0a7ef3f3734f36f3045293516f44f")</f>
        <v>0x969a053968b0a7ef3f3734f36f3045293516f44f</v>
      </c>
      <c r="J4757" s="18">
        <v>111.6071761245</v>
      </c>
      <c r="K4757" s="4">
        <v>1395.08970155625</v>
      </c>
      <c r="L4757" s="19">
        <v>1.39508970155625E21</v>
      </c>
      <c r="M4757" s="20">
        <v>1.39508970155625E20</v>
      </c>
    </row>
    <row r="4758">
      <c r="A4758" s="6"/>
      <c r="B4758" s="6"/>
      <c r="C4758" s="4"/>
      <c r="D4758" s="4">
        <v>10.0405863461866</v>
      </c>
      <c r="E4758" s="4" t="s">
        <v>7082</v>
      </c>
      <c r="F4758" s="4"/>
      <c r="G4758" s="4"/>
      <c r="H4758" s="4"/>
      <c r="I4758" s="4" t="str">
        <f>IFERROR(__xludf.DUMMYFUNCTION("""COMPUTED_VALUE"""),"0x3a1682b631887c0d909b10bffb3e676beef05c56")</f>
        <v>0x3a1682b631887c0d909b10bffb3e676beef05c56</v>
      </c>
      <c r="J4758" s="18">
        <v>9.67262193079004</v>
      </c>
      <c r="K4758" s="4">
        <v>120.9077741348755</v>
      </c>
      <c r="L4758" s="19">
        <v>1.2090777413487549E20</v>
      </c>
      <c r="M4758" s="20">
        <v>1.209077741348755E19</v>
      </c>
    </row>
    <row r="4759">
      <c r="A4759" s="6"/>
      <c r="B4759" s="6"/>
      <c r="C4759" s="4"/>
      <c r="D4759" s="4">
        <v>8.95582730149209</v>
      </c>
      <c r="E4759" s="4" t="s">
        <v>7084</v>
      </c>
      <c r="F4759" s="4"/>
      <c r="G4759" s="4"/>
      <c r="H4759" s="4"/>
      <c r="I4759" s="4" t="str">
        <f>IFERROR(__xludf.DUMMYFUNCTION("""COMPUTED_VALUE"""),"0x0a5d300f2aaebb0dd0527696aa67cf8d648a7d7f")</f>
        <v>0x0a5d300f2aaebb0dd0527696aa67cf8d648a7d7f</v>
      </c>
      <c r="J4759" s="18">
        <v>157.51961216943002</v>
      </c>
      <c r="K4759" s="4">
        <v>1968.9951521178753</v>
      </c>
      <c r="L4759" s="19">
        <v>1.9689951521178753E21</v>
      </c>
      <c r="M4759" s="20">
        <v>1.9689951521178753E20</v>
      </c>
    </row>
    <row r="4760">
      <c r="A4760" s="6"/>
      <c r="B4760" s="6"/>
      <c r="C4760" s="4"/>
      <c r="D4760" s="4">
        <v>48.3641275995966</v>
      </c>
      <c r="E4760" s="4" t="s">
        <v>7086</v>
      </c>
      <c r="F4760" s="4"/>
      <c r="G4760" s="4"/>
      <c r="H4760" s="4"/>
      <c r="I4760" s="4" t="str">
        <f>IFERROR(__xludf.DUMMYFUNCTION("""COMPUTED_VALUE"""),"0x3ae8b126fe98a6d46dafa6e780b1400a7b4dbfbc")</f>
        <v>0x3ae8b126fe98a6d46dafa6e780b1400a7b4dbfbc</v>
      </c>
      <c r="J4760" s="18">
        <v>179.57334366014499</v>
      </c>
      <c r="K4760" s="4">
        <v>2244.666795751812</v>
      </c>
      <c r="L4760" s="19">
        <v>2.244666795751812E21</v>
      </c>
      <c r="M4760" s="20">
        <v>2.2446667957518123E20</v>
      </c>
    </row>
    <row r="4761">
      <c r="A4761" s="6"/>
      <c r="B4761" s="6"/>
      <c r="C4761" s="4"/>
      <c r="D4761" s="4">
        <v>30.3185196142257</v>
      </c>
      <c r="E4761" s="4" t="s">
        <v>7087</v>
      </c>
      <c r="F4761" s="4"/>
      <c r="G4761" s="4"/>
      <c r="H4761" s="4"/>
      <c r="I4761" s="4" t="str">
        <f>IFERROR(__xludf.DUMMYFUNCTION("""COMPUTED_VALUE"""),"0x5b3ab800bc1cafec959589e10dff4eb650a21540")</f>
        <v>0x5b3ab800bc1cafec959589e10dff4eb650a21540</v>
      </c>
      <c r="J4761" s="18">
        <v>0.124416022576431</v>
      </c>
      <c r="K4761" s="4">
        <v>1.5552002822053874</v>
      </c>
      <c r="L4761" s="19">
        <v>1.5552002822053875E18</v>
      </c>
      <c r="M4761" s="20">
        <v>1.5552002822053875E17</v>
      </c>
    </row>
    <row r="4762">
      <c r="A4762" s="6"/>
      <c r="B4762" s="6"/>
      <c r="C4762" s="4"/>
      <c r="D4762" s="4">
        <v>48.3641275995966</v>
      </c>
      <c r="E4762" s="4" t="s">
        <v>7089</v>
      </c>
      <c r="F4762" s="4"/>
      <c r="G4762" s="4"/>
      <c r="H4762" s="4"/>
      <c r="I4762" s="4" t="str">
        <f>IFERROR(__xludf.DUMMYFUNCTION("""COMPUTED_VALUE"""),"0x6cdad9a53d03d798c0f8ac904c69734f8f4c27b5")</f>
        <v>0x6cdad9a53d03d798c0f8ac904c69734f8f4c27b5</v>
      </c>
      <c r="J4762" s="18">
        <v>3.78026588633759</v>
      </c>
      <c r="K4762" s="4">
        <v>47.253323579219874</v>
      </c>
      <c r="L4762" s="19">
        <v>4.725332357921988E19</v>
      </c>
      <c r="M4762" s="20">
        <v>4.725332357921988E18</v>
      </c>
    </row>
    <row r="4763">
      <c r="A4763" s="6"/>
      <c r="B4763" s="6"/>
      <c r="C4763" s="4"/>
      <c r="D4763" s="4">
        <v>46.8393398241774</v>
      </c>
      <c r="E4763" s="4" t="s">
        <v>7090</v>
      </c>
      <c r="F4763" s="4"/>
      <c r="G4763" s="4"/>
      <c r="H4763" s="4"/>
      <c r="I4763" s="4" t="str">
        <f>IFERROR(__xludf.DUMMYFUNCTION("""COMPUTED_VALUE"""),"0xd2a86dd2db22e4b11457a1bc4a06c6b684317e0e")</f>
        <v>0xd2a86dd2db22e4b11457a1bc4a06c6b684317e0e</v>
      </c>
      <c r="J4763" s="18">
        <v>22.5156270101837</v>
      </c>
      <c r="K4763" s="4">
        <v>281.4453376272962</v>
      </c>
      <c r="L4763" s="19">
        <v>2.8144533762729624E20</v>
      </c>
      <c r="M4763" s="20">
        <v>2.8144533762729624E19</v>
      </c>
    </row>
    <row r="4764">
      <c r="A4764" s="6"/>
      <c r="B4764" s="6"/>
      <c r="C4764" s="4"/>
      <c r="D4764" s="4">
        <v>48.3641275995966</v>
      </c>
      <c r="E4764" s="4" t="s">
        <v>7092</v>
      </c>
      <c r="F4764" s="4"/>
      <c r="G4764" s="4"/>
      <c r="H4764" s="4"/>
      <c r="I4764" s="4" t="str">
        <f>IFERROR(__xludf.DUMMYFUNCTION("""COMPUTED_VALUE"""),"0x51cf356671ecb1d1efc488230c4142e957ef4879")</f>
        <v>0x51cf356671ecb1d1efc488230c4142e957ef4879</v>
      </c>
      <c r="J4764" s="18">
        <v>22.3214352249001</v>
      </c>
      <c r="K4764" s="4">
        <v>279.01794031125127</v>
      </c>
      <c r="L4764" s="19">
        <v>2.7901794031125126E20</v>
      </c>
      <c r="M4764" s="20">
        <v>2.7901794031125127E19</v>
      </c>
    </row>
    <row r="4765">
      <c r="A4765" s="6"/>
      <c r="B4765" s="6"/>
      <c r="C4765" s="4"/>
      <c r="D4765" s="4">
        <v>48.3641275995966</v>
      </c>
      <c r="E4765" s="4" t="s">
        <v>7093</v>
      </c>
      <c r="F4765" s="4"/>
      <c r="G4765" s="4"/>
      <c r="H4765" s="4"/>
      <c r="I4765" s="4" t="str">
        <f>IFERROR(__xludf.DUMMYFUNCTION("""COMPUTED_VALUE"""),"0x00d8f6f9c09e53cfedeec8c3ca0f7f0fbc63f295")</f>
        <v>0x00d8f6f9c09e53cfedeec8c3ca0f7f0fbc63f295</v>
      </c>
      <c r="J4765" s="18">
        <v>19.157695184396598</v>
      </c>
      <c r="K4765" s="4">
        <v>239.47118980495748</v>
      </c>
      <c r="L4765" s="19">
        <v>2.3947118980495747E20</v>
      </c>
      <c r="M4765" s="20">
        <v>2.394711898049575E19</v>
      </c>
    </row>
    <row r="4766">
      <c r="A4766" s="6"/>
      <c r="B4766" s="6"/>
      <c r="C4766" s="4"/>
      <c r="D4766" s="4">
        <v>48.3641275995966</v>
      </c>
      <c r="E4766" s="4" t="s">
        <v>7094</v>
      </c>
      <c r="F4766" s="4"/>
      <c r="G4766" s="4"/>
      <c r="H4766" s="4"/>
      <c r="I4766" s="4" t="str">
        <f>IFERROR(__xludf.DUMMYFUNCTION("""COMPUTED_VALUE"""),"0xb1fe569478506aefec2bcc84321e8d2053fe3fbb")</f>
        <v>0xb1fe569478506aefec2bcc84321e8d2053fe3fbb</v>
      </c>
      <c r="J4766" s="18">
        <v>155.161774693552</v>
      </c>
      <c r="K4766" s="4">
        <v>1939.5221836693997</v>
      </c>
      <c r="L4766" s="19">
        <v>1.9395221836693997E21</v>
      </c>
      <c r="M4766" s="20">
        <v>1.9395221836694E20</v>
      </c>
    </row>
    <row r="4767">
      <c r="A4767" s="6"/>
      <c r="B4767" s="6"/>
      <c r="C4767" s="4"/>
      <c r="D4767" s="4">
        <v>19.3456510398386</v>
      </c>
      <c r="E4767" s="4" t="s">
        <v>7095</v>
      </c>
      <c r="F4767" s="4"/>
      <c r="G4767" s="4"/>
      <c r="H4767" s="4"/>
      <c r="I4767" s="4" t="str">
        <f>IFERROR(__xludf.DUMMYFUNCTION("""COMPUTED_VALUE"""),"0xfd482854df90eeae9a589eb95c9854c62a3f51ab")</f>
        <v>0xfd482854df90eeae9a589eb95c9854c62a3f51ab</v>
      </c>
      <c r="J4767" s="18">
        <v>65.9464970335189</v>
      </c>
      <c r="K4767" s="4">
        <v>824.3312129189861</v>
      </c>
      <c r="L4767" s="19">
        <v>8.243312129189861E20</v>
      </c>
      <c r="M4767" s="20">
        <v>8.243312129189862E19</v>
      </c>
    </row>
    <row r="4768">
      <c r="A4768" s="6"/>
      <c r="B4768" s="6"/>
      <c r="C4768" s="4"/>
      <c r="D4768" s="4">
        <v>48.3641275995966</v>
      </c>
      <c r="E4768" s="4" t="s">
        <v>7096</v>
      </c>
      <c r="F4768" s="4"/>
      <c r="G4768" s="4"/>
      <c r="H4768" s="4"/>
      <c r="I4768" s="4" t="str">
        <f>IFERROR(__xludf.DUMMYFUNCTION("""COMPUTED_VALUE"""),"0x1f2eece230e6d0644315a7e2fa4decd6bec0db7c")</f>
        <v>0x1f2eece230e6d0644315a7e2fa4decd6bec0db7c</v>
      </c>
      <c r="J4768" s="18">
        <v>186.01196020749998</v>
      </c>
      <c r="K4768" s="4">
        <v>2325.1495025937497</v>
      </c>
      <c r="L4768" s="19">
        <v>2.3251495025937497E21</v>
      </c>
      <c r="M4768" s="20">
        <v>2.3251495025937498E20</v>
      </c>
    </row>
    <row r="4769">
      <c r="A4769" s="6"/>
      <c r="B4769" s="6"/>
      <c r="C4769" s="4"/>
      <c r="D4769" s="4">
        <v>9.53928016302363</v>
      </c>
      <c r="E4769" s="4" t="s">
        <v>7097</v>
      </c>
      <c r="F4769" s="4"/>
      <c r="G4769" s="4"/>
      <c r="H4769" s="4"/>
      <c r="I4769" s="4" t="str">
        <f>IFERROR(__xludf.DUMMYFUNCTION("""COMPUTED_VALUE"""),"0xb9bfc11c32b6f1b09df687d96dfa9072a292315f")</f>
        <v>0xb9bfc11c32b6f1b09df687d96dfa9072a292315f</v>
      </c>
      <c r="J4769" s="18">
        <v>117.187534930725</v>
      </c>
      <c r="K4769" s="4">
        <v>1464.8441866340625</v>
      </c>
      <c r="L4769" s="19">
        <v>1.4648441866340624E21</v>
      </c>
      <c r="M4769" s="20">
        <v>1.4648441866340624E20</v>
      </c>
    </row>
    <row r="4770">
      <c r="A4770" s="6"/>
      <c r="B4770" s="6"/>
      <c r="C4770" s="4"/>
      <c r="D4770" s="4">
        <v>48.3641275995966</v>
      </c>
      <c r="E4770" s="4" t="s">
        <v>7099</v>
      </c>
      <c r="F4770" s="4"/>
      <c r="G4770" s="4"/>
      <c r="H4770" s="4"/>
      <c r="I4770" s="4" t="str">
        <f>IFERROR(__xludf.DUMMYFUNCTION("""COMPUTED_VALUE"""),"0x426240ead0592e195cf492d1c270f893fbadd01c")</f>
        <v>0x426240ead0592e195cf492d1c270f893fbadd01c</v>
      </c>
      <c r="J4770" s="18">
        <v>186.01196020749998</v>
      </c>
      <c r="K4770" s="4">
        <v>2325.1495025937497</v>
      </c>
      <c r="L4770" s="19">
        <v>2.3251495025937497E21</v>
      </c>
      <c r="M4770" s="20">
        <v>2.3251495025937498E20</v>
      </c>
    </row>
    <row r="4771">
      <c r="A4771" s="6"/>
      <c r="B4771" s="6"/>
      <c r="C4771" s="4"/>
      <c r="D4771" s="4">
        <v>19.5310007316262</v>
      </c>
      <c r="E4771" s="4" t="s">
        <v>7100</v>
      </c>
      <c r="F4771" s="4"/>
      <c r="G4771" s="4"/>
      <c r="H4771" s="4"/>
      <c r="I4771" s="4" t="str">
        <f>IFERROR(__xludf.DUMMYFUNCTION("""COMPUTED_VALUE"""),"0x11c44309298e6e88b25f2c27bab5ad8d05c39142")</f>
        <v>0x11c44309298e6e88b25f2c27bab5ad8d05c39142</v>
      </c>
      <c r="J4771" s="18">
        <v>56.0805029554316</v>
      </c>
      <c r="K4771" s="4">
        <v>701.0062869428949</v>
      </c>
      <c r="L4771" s="19">
        <v>7.01006286942895E20</v>
      </c>
      <c r="M4771" s="20">
        <v>7.01006286942895E19</v>
      </c>
    </row>
    <row r="4772">
      <c r="A4772" s="6"/>
      <c r="B4772" s="6"/>
      <c r="C4772" s="4"/>
      <c r="D4772" s="4">
        <v>18.666407502302498</v>
      </c>
      <c r="E4772" s="4" t="s">
        <v>7102</v>
      </c>
      <c r="F4772" s="4"/>
      <c r="G4772" s="4"/>
      <c r="H4772" s="4"/>
      <c r="I4772" s="4" t="str">
        <f>IFERROR(__xludf.DUMMYFUNCTION("""COMPUTED_VALUE"""),"0xc4f88c35bd1485c846847c093b5a77a126cf1b05")</f>
        <v>0xc4f88c35bd1485c846847c093b5a77a126cf1b05</v>
      </c>
      <c r="J4772" s="18">
        <v>146.743300622591</v>
      </c>
      <c r="K4772" s="4">
        <v>1834.2912577823874</v>
      </c>
      <c r="L4772" s="19">
        <v>1.8342912577823873E21</v>
      </c>
      <c r="M4772" s="20">
        <v>1.8342912577823873E20</v>
      </c>
    </row>
    <row r="4773">
      <c r="A4773" s="6"/>
      <c r="B4773" s="6"/>
      <c r="C4773" s="4"/>
      <c r="D4773" s="4">
        <v>9.11588980017477</v>
      </c>
      <c r="E4773" s="4" t="s">
        <v>7104</v>
      </c>
      <c r="F4773" s="4"/>
      <c r="G4773" s="4"/>
      <c r="H4773" s="4"/>
      <c r="I4773" s="4" t="str">
        <f>IFERROR(__xludf.DUMMYFUNCTION("""COMPUTED_VALUE"""),"0x65037779f58635ad13f2decea1edcedbc6c5c82f")</f>
        <v>0x65037779f58635ad13f2decea1edcedbc6c5c82f</v>
      </c>
      <c r="J4773" s="18">
        <v>12.0911500802653</v>
      </c>
      <c r="K4773" s="4">
        <v>151.13937600331624</v>
      </c>
      <c r="L4773" s="19">
        <v>1.5113937600331625E20</v>
      </c>
      <c r="M4773" s="20">
        <v>1.5113937600331626E19</v>
      </c>
    </row>
    <row r="4774">
      <c r="A4774" s="6"/>
      <c r="B4774" s="6"/>
      <c r="C4774" s="4"/>
      <c r="D4774" s="4">
        <v>38.9811750941709</v>
      </c>
      <c r="E4774" s="4" t="s">
        <v>7106</v>
      </c>
      <c r="F4774" s="4"/>
      <c r="G4774" s="4"/>
      <c r="H4774" s="4"/>
      <c r="I4774" s="4" t="str">
        <f>IFERROR(__xludf.DUMMYFUNCTION("""COMPUTED_VALUE"""),"0x38aff7b6377eb66b7e431837ec2797439044ae8e")</f>
        <v>0x38aff7b6377eb66b7e431837ec2797439044ae8e</v>
      </c>
      <c r="J4774" s="18">
        <v>12.0907774134875</v>
      </c>
      <c r="K4774" s="4">
        <v>151.13471766859374</v>
      </c>
      <c r="L4774" s="19">
        <v>1.5113471766859373E20</v>
      </c>
      <c r="M4774" s="20">
        <v>1.5113471766859375E19</v>
      </c>
    </row>
    <row r="4775">
      <c r="A4775" s="6"/>
      <c r="B4775" s="6"/>
      <c r="C4775" s="4"/>
      <c r="D4775" s="4">
        <v>1.93456510398386</v>
      </c>
      <c r="E4775" s="4" t="s">
        <v>7108</v>
      </c>
      <c r="F4775" s="4"/>
      <c r="G4775" s="4"/>
      <c r="H4775" s="4"/>
      <c r="I4775" s="4" t="str">
        <f>IFERROR(__xludf.DUMMYFUNCTION("""COMPUTED_VALUE"""),"0x228bb7fa62ecb860010921934a32f21f80af9568")</f>
        <v>0x228bb7fa62ecb860010921934a32f21f80af9568</v>
      </c>
      <c r="J4775" s="18">
        <v>53.8517625276848</v>
      </c>
      <c r="K4775" s="4">
        <v>673.14703159606</v>
      </c>
      <c r="L4775" s="19">
        <v>6.7314703159606E20</v>
      </c>
      <c r="M4775" s="20">
        <v>6.7314703159606E19</v>
      </c>
    </row>
    <row r="4776">
      <c r="A4776" s="6"/>
      <c r="B4776" s="6"/>
      <c r="C4776" s="4"/>
      <c r="D4776" s="4">
        <v>48.3641275995966</v>
      </c>
      <c r="E4776" s="4" t="s">
        <v>7109</v>
      </c>
      <c r="F4776" s="4"/>
      <c r="G4776" s="4"/>
      <c r="H4776" s="4"/>
      <c r="I4776" s="4" t="str">
        <f>IFERROR(__xludf.DUMMYFUNCTION("""COMPUTED_VALUE"""),"0x49f9a0a6c5774135d06d779a2c9d8cbb7230fb90")</f>
        <v>0x49f9a0a6c5774135d06d779a2c9d8cbb7230fb90</v>
      </c>
      <c r="J4776" s="18">
        <v>111.79083395082101</v>
      </c>
      <c r="K4776" s="4">
        <v>1397.3854243852627</v>
      </c>
      <c r="L4776" s="19">
        <v>1.3973854243852627E21</v>
      </c>
      <c r="M4776" s="20">
        <v>1.3973854243852629E20</v>
      </c>
    </row>
    <row r="4777">
      <c r="A4777" s="6"/>
      <c r="B4777" s="6"/>
      <c r="C4777" s="4"/>
      <c r="D4777" s="4">
        <v>48.3641275995966</v>
      </c>
      <c r="E4777" s="4" t="s">
        <v>1570</v>
      </c>
      <c r="F4777" s="4"/>
      <c r="G4777" s="4"/>
      <c r="H4777" s="4"/>
      <c r="I4777" s="4" t="str">
        <f>IFERROR(__xludf.DUMMYFUNCTION("""COMPUTED_VALUE"""),"0xed83f0ae55018cc0a1ae3a21f0f1683c8fd37a8d")</f>
        <v>0xed83f0ae55018cc0a1ae3a21f0f1683c8fd37a8d</v>
      </c>
      <c r="J4777" s="18">
        <v>42.8725172738882</v>
      </c>
      <c r="K4777" s="4">
        <v>535.9064659236025</v>
      </c>
      <c r="L4777" s="19">
        <v>5.3590646592360245E20</v>
      </c>
      <c r="M4777" s="20">
        <v>5.359064659236025E19</v>
      </c>
    </row>
    <row r="4778">
      <c r="A4778" s="6"/>
      <c r="B4778" s="6"/>
      <c r="C4778" s="4"/>
      <c r="D4778" s="4">
        <v>48.3641275995966</v>
      </c>
      <c r="E4778" s="4" t="s">
        <v>7110</v>
      </c>
      <c r="F4778" s="4"/>
      <c r="G4778" s="4"/>
      <c r="H4778" s="4"/>
      <c r="I4778" s="4" t="str">
        <f>IFERROR(__xludf.DUMMYFUNCTION("""COMPUTED_VALUE"""),"0x91b65bebdba0e6b5b3bcd9a945327484c17db142")</f>
        <v>0x91b65bebdba0e6b5b3bcd9a945327484c17db142</v>
      </c>
      <c r="J4778" s="18">
        <v>186.01196020749998</v>
      </c>
      <c r="K4778" s="4">
        <v>2325.1495025937497</v>
      </c>
      <c r="L4778" s="19">
        <v>2.3251495025937497E21</v>
      </c>
      <c r="M4778" s="20">
        <v>2.3251495025937498E20</v>
      </c>
    </row>
    <row r="4779">
      <c r="A4779" s="6"/>
      <c r="B4779" s="6"/>
      <c r="C4779" s="4"/>
      <c r="D4779" s="4">
        <v>34.9950566419582</v>
      </c>
      <c r="E4779" s="4" t="s">
        <v>7111</v>
      </c>
      <c r="F4779" s="4"/>
      <c r="G4779" s="4"/>
      <c r="H4779" s="4"/>
      <c r="I4779" s="4" t="str">
        <f>IFERROR(__xludf.DUMMYFUNCTION("""COMPUTED_VALUE"""),"0x8a9933f2a9dd4124cce28dcec1b541f43e7aeafc")</f>
        <v>0x8a9933f2a9dd4124cce28dcec1b541f43e7aeafc</v>
      </c>
      <c r="J4779" s="18">
        <v>73.9303029287372</v>
      </c>
      <c r="K4779" s="4">
        <v>924.128786609215</v>
      </c>
      <c r="L4779" s="19">
        <v>9.24128786609215E20</v>
      </c>
      <c r="M4779" s="20">
        <v>9.24128786609215E19</v>
      </c>
    </row>
    <row r="4780">
      <c r="A4780" s="6"/>
      <c r="B4780" s="6"/>
      <c r="C4780" s="4"/>
      <c r="D4780" s="4">
        <v>0.97076305218429</v>
      </c>
      <c r="E4780" s="4" t="s">
        <v>7113</v>
      </c>
      <c r="F4780" s="4"/>
      <c r="G4780" s="4"/>
      <c r="H4780" s="4"/>
      <c r="I4780" s="4" t="str">
        <f>IFERROR(__xludf.DUMMYFUNCTION("""COMPUTED_VALUE"""),"0xef6389a54414ba4c31a6d108ec6e43cca771779b")</f>
        <v>0xef6389a54414ba4c31a6d108ec6e43cca771779b</v>
      </c>
      <c r="J4780" s="18">
        <v>18.60119602075</v>
      </c>
      <c r="K4780" s="4">
        <v>232.51495025937498</v>
      </c>
      <c r="L4780" s="19">
        <v>2.3251495025937498E20</v>
      </c>
      <c r="M4780" s="20">
        <v>2.32514950259375E19</v>
      </c>
    </row>
    <row r="4781">
      <c r="A4781" s="6"/>
      <c r="B4781" s="6"/>
      <c r="C4781" s="4"/>
      <c r="D4781" s="4">
        <v>14.509238279879</v>
      </c>
      <c r="E4781" s="4" t="s">
        <v>7115</v>
      </c>
      <c r="F4781" s="4"/>
      <c r="G4781" s="4"/>
      <c r="H4781" s="4"/>
      <c r="I4781" s="4" t="str">
        <f>IFERROR(__xludf.DUMMYFUNCTION("""COMPUTED_VALUE"""),"0x901ccaf46a8e464159fbc76366febbd748a7055b")</f>
        <v>0x901ccaf46a8e464159fbc76366febbd748a7055b</v>
      </c>
      <c r="J4781" s="18">
        <v>27.715782070917598</v>
      </c>
      <c r="K4781" s="4">
        <v>346.44727588647</v>
      </c>
      <c r="L4781" s="19">
        <v>3.4644727588647E20</v>
      </c>
      <c r="M4781" s="20">
        <v>3.4644727588647E19</v>
      </c>
    </row>
    <row r="4782">
      <c r="A4782" s="6"/>
      <c r="B4782" s="6"/>
      <c r="C4782" s="4"/>
      <c r="D4782" s="4">
        <v>39.9243375047684</v>
      </c>
      <c r="E4782" s="4" t="s">
        <v>7117</v>
      </c>
      <c r="F4782" s="4"/>
      <c r="G4782" s="4"/>
      <c r="H4782" s="4"/>
      <c r="I4782" s="4" t="str">
        <f>IFERROR(__xludf.DUMMYFUNCTION("""COMPUTED_VALUE"""),"0xe8c7b194b5b4c64ce1f693d15526dc4388b2a389")</f>
        <v>0xe8c7b194b5b4c64ce1f693d15526dc4388b2a389</v>
      </c>
      <c r="J4782" s="18">
        <v>80.8978425519693</v>
      </c>
      <c r="K4782" s="4">
        <v>1011.2230318996163</v>
      </c>
      <c r="L4782" s="19">
        <v>1.0112230318996163E21</v>
      </c>
      <c r="M4782" s="20">
        <v>1.0112230318996164E20</v>
      </c>
    </row>
    <row r="4783">
      <c r="A4783" s="6"/>
      <c r="B4783" s="6"/>
      <c r="C4783" s="4"/>
      <c r="D4783" s="4">
        <v>48.3641275995966</v>
      </c>
      <c r="E4783" s="4" t="s">
        <v>7119</v>
      </c>
      <c r="F4783" s="4"/>
      <c r="G4783" s="4"/>
      <c r="H4783" s="4"/>
      <c r="I4783" s="4" t="str">
        <f>IFERROR(__xludf.DUMMYFUNCTION("""COMPUTED_VALUE"""),"0x96cc7cd6de2f739a18d9914015a6eabbd6cdb6e3")</f>
        <v>0x96cc7cd6de2f739a18d9914015a6eabbd6cdb6e3</v>
      </c>
      <c r="J4783" s="18">
        <v>93.27721239330339</v>
      </c>
      <c r="K4783" s="4">
        <v>1165.9651549162922</v>
      </c>
      <c r="L4783" s="19">
        <v>1.1659651549162922E21</v>
      </c>
      <c r="M4783" s="20">
        <v>1.1659651549162924E20</v>
      </c>
    </row>
    <row r="4784">
      <c r="A4784" s="6"/>
      <c r="B4784" s="6"/>
      <c r="C4784" s="4"/>
      <c r="D4784" s="4">
        <v>9.672825519919328</v>
      </c>
      <c r="E4784" s="4" t="s">
        <v>7120</v>
      </c>
      <c r="F4784" s="4"/>
      <c r="G4784" s="4"/>
      <c r="H4784" s="4"/>
      <c r="I4784" s="4" t="str">
        <f>IFERROR(__xludf.DUMMYFUNCTION("""COMPUTED_VALUE"""),"0x88bc493ed713c0c720fe49a6992b64df4b4ecc10")</f>
        <v>0x88bc493ed713c0c720fe49a6992b64df4b4ecc10</v>
      </c>
      <c r="J4784" s="18">
        <v>62.7952851189596</v>
      </c>
      <c r="K4784" s="4">
        <v>784.941063986995</v>
      </c>
      <c r="L4784" s="19">
        <v>7.84941063986995E20</v>
      </c>
      <c r="M4784" s="20">
        <v>7.84941063986995E19</v>
      </c>
    </row>
    <row r="4785">
      <c r="A4785" s="6"/>
      <c r="B4785" s="6"/>
      <c r="C4785" s="4"/>
      <c r="D4785" s="4">
        <v>33.5428120345085</v>
      </c>
      <c r="E4785" s="4" t="s">
        <v>7121</v>
      </c>
      <c r="F4785" s="4"/>
      <c r="G4785" s="4"/>
      <c r="H4785" s="4"/>
      <c r="I4785" s="4" t="str">
        <f>IFERROR(__xludf.DUMMYFUNCTION("""COMPUTED_VALUE"""),"0x085d8439e34a1def00feca95602ef7f452437340")</f>
        <v>0x085d8439e34a1def00feca95602ef7f452437340</v>
      </c>
      <c r="J4785" s="18">
        <v>31.0875278177676</v>
      </c>
      <c r="K4785" s="4">
        <v>388.594097722095</v>
      </c>
      <c r="L4785" s="19">
        <v>3.88594097722095E20</v>
      </c>
      <c r="M4785" s="20">
        <v>3.88594097722095E19</v>
      </c>
    </row>
    <row r="4786">
      <c r="A4786" s="6"/>
      <c r="B4786" s="6"/>
      <c r="C4786" s="4"/>
      <c r="D4786" s="4">
        <v>48.3641275995966</v>
      </c>
      <c r="E4786" s="4" t="s">
        <v>1586</v>
      </c>
      <c r="F4786" s="4"/>
      <c r="G4786" s="4"/>
      <c r="H4786" s="4"/>
      <c r="I4786" s="4" t="str">
        <f>IFERROR(__xludf.DUMMYFUNCTION("""COMPUTED_VALUE"""),"0xf604556e7d829240424d51d2c5f2c1861adb3a26")</f>
        <v>0xf604556e7d829240424d51d2c5f2c1861adb3a26</v>
      </c>
      <c r="J4786" s="18">
        <v>55.8035880622502</v>
      </c>
      <c r="K4786" s="4">
        <v>697.5448507781275</v>
      </c>
      <c r="L4786" s="19">
        <v>6.975448507781275E20</v>
      </c>
      <c r="M4786" s="20">
        <v>6.975448507781275E19</v>
      </c>
    </row>
    <row r="4787">
      <c r="A4787" s="6"/>
      <c r="B4787" s="6"/>
      <c r="C4787" s="4"/>
      <c r="D4787" s="4">
        <v>45.9328070221513</v>
      </c>
      <c r="E4787" s="4" t="s">
        <v>7123</v>
      </c>
      <c r="F4787" s="4"/>
      <c r="G4787" s="4"/>
      <c r="H4787" s="4"/>
      <c r="I4787" s="4" t="str">
        <f>IFERROR(__xludf.DUMMYFUNCTION("""COMPUTED_VALUE"""),"0xf6762e66b28eb57d266905bc9c678aaa392af4a7")</f>
        <v>0xf6762e66b28eb57d266905bc9c678aaa392af4a7</v>
      </c>
      <c r="J4787" s="18">
        <v>93.2190859162936</v>
      </c>
      <c r="K4787" s="4">
        <v>1165.2385739536699</v>
      </c>
      <c r="L4787" s="19">
        <v>1.1652385739536698E21</v>
      </c>
      <c r="M4787" s="20">
        <v>1.1652385739536699E20</v>
      </c>
    </row>
    <row r="4788">
      <c r="A4788" s="6"/>
      <c r="B4788" s="6"/>
      <c r="C4788" s="4"/>
      <c r="D4788" s="4">
        <v>8.66853003882693</v>
      </c>
      <c r="E4788" s="4" t="s">
        <v>7125</v>
      </c>
      <c r="F4788" s="4"/>
      <c r="G4788" s="4"/>
      <c r="H4788" s="4"/>
      <c r="I4788" s="4" t="str">
        <f>IFERROR(__xludf.DUMMYFUNCTION("""COMPUTED_VALUE"""),"0xe6e1f9d27138b9b41e505b55e1f176665596b8a0")</f>
        <v>0xe6e1f9d27138b9b41e505b55e1f176665596b8a0</v>
      </c>
      <c r="J4788" s="18">
        <v>21.5024848768104</v>
      </c>
      <c r="K4788" s="4">
        <v>268.78106096013</v>
      </c>
      <c r="L4788" s="19">
        <v>2.6878106096013E20</v>
      </c>
      <c r="M4788" s="20">
        <v>2.6878106096013E19</v>
      </c>
    </row>
    <row r="4789">
      <c r="A4789" s="6"/>
      <c r="B4789" s="6"/>
      <c r="C4789" s="4"/>
      <c r="D4789" s="4">
        <v>29.018476559758</v>
      </c>
      <c r="E4789" s="4" t="s">
        <v>7127</v>
      </c>
      <c r="F4789" s="4"/>
      <c r="G4789" s="4"/>
      <c r="H4789" s="4"/>
      <c r="I4789" s="4" t="str">
        <f>IFERROR(__xludf.DUMMYFUNCTION("""COMPUTED_VALUE"""),"0xc3dbade79477dda19f0f31fa2a7385aa9f9e41b6")</f>
        <v>0xc3dbade79477dda19f0f31fa2a7385aa9f9e41b6</v>
      </c>
      <c r="J4789" s="18">
        <v>45.865657663426006</v>
      </c>
      <c r="K4789" s="4">
        <v>573.3207207928251</v>
      </c>
      <c r="L4789" s="19">
        <v>5.733207207928251E20</v>
      </c>
      <c r="M4789" s="20">
        <v>5.733207207928251E19</v>
      </c>
    </row>
    <row r="4790">
      <c r="A4790" s="6"/>
      <c r="B4790" s="6"/>
      <c r="C4790" s="4"/>
      <c r="D4790" s="4">
        <v>26.0523071166942</v>
      </c>
      <c r="E4790" s="4" t="s">
        <v>7128</v>
      </c>
      <c r="F4790" s="4"/>
      <c r="G4790" s="4"/>
      <c r="H4790" s="4"/>
      <c r="I4790" s="4" t="str">
        <f>IFERROR(__xludf.DUMMYFUNCTION("""COMPUTED_VALUE"""),"0xeb002be073cf0ece79ffd9154a95023e15d011c3")</f>
        <v>0xeb002be073cf0ece79ffd9154a95023e15d011c3</v>
      </c>
      <c r="J4790" s="18">
        <v>186.01196020749998</v>
      </c>
      <c r="K4790" s="4">
        <v>2325.1495025937497</v>
      </c>
      <c r="L4790" s="19">
        <v>2.3251495025937497E21</v>
      </c>
      <c r="M4790" s="20">
        <v>2.3251495025937498E20</v>
      </c>
    </row>
    <row r="4791">
      <c r="A4791" s="6"/>
      <c r="B4791" s="6"/>
      <c r="C4791" s="4"/>
      <c r="D4791" s="4">
        <v>48.3641275995966</v>
      </c>
      <c r="E4791" s="4" t="s">
        <v>1527</v>
      </c>
      <c r="F4791" s="4"/>
      <c r="G4791" s="4"/>
      <c r="H4791" s="4"/>
      <c r="I4791" s="4" t="str">
        <f>IFERROR(__xludf.DUMMYFUNCTION("""COMPUTED_VALUE"""),"0x6962d7eead33930f8030fba6856aeb2ef17513e9")</f>
        <v>0x6962d7eead33930f8030fba6856aeb2ef17513e9</v>
      </c>
      <c r="J4791" s="18">
        <v>21.2099330797865</v>
      </c>
      <c r="K4791" s="4">
        <v>265.1241634973312</v>
      </c>
      <c r="L4791" s="19">
        <v>2.651241634973312E20</v>
      </c>
      <c r="M4791" s="20">
        <v>2.6512416349733122E19</v>
      </c>
    </row>
    <row r="4792">
      <c r="A4792" s="6"/>
      <c r="B4792" s="6"/>
      <c r="C4792" s="4"/>
      <c r="D4792" s="4">
        <v>19.3456510398386</v>
      </c>
      <c r="E4792" s="4" t="s">
        <v>7130</v>
      </c>
      <c r="F4792" s="4"/>
      <c r="G4792" s="4"/>
      <c r="H4792" s="4"/>
      <c r="I4792" s="4" t="str">
        <f>IFERROR(__xludf.DUMMYFUNCTION("""COMPUTED_VALUE"""),"0x7c2fbbd1c81ba6cb32d87bbf44365ec0bc70dfb7")</f>
        <v>0x7c2fbbd1c81ba6cb32d87bbf44365ec0bc70dfb7</v>
      </c>
      <c r="J4792" s="18">
        <v>186.01196020749998</v>
      </c>
      <c r="K4792" s="4">
        <v>2325.1495025937497</v>
      </c>
      <c r="L4792" s="19">
        <v>2.3251495025937497E21</v>
      </c>
      <c r="M4792" s="20">
        <v>2.3251495025937498E20</v>
      </c>
    </row>
    <row r="4793">
      <c r="A4793" s="6"/>
      <c r="B4793" s="6"/>
      <c r="C4793" s="4"/>
      <c r="D4793" s="4">
        <v>30.9530416637418</v>
      </c>
      <c r="E4793" s="4" t="s">
        <v>7131</v>
      </c>
      <c r="F4793" s="4"/>
      <c r="G4793" s="4"/>
      <c r="H4793" s="4"/>
      <c r="I4793" s="4" t="str">
        <f>IFERROR(__xludf.DUMMYFUNCTION("""COMPUTED_VALUE"""),"0xe38c5fa37006b4cc9ff0f7054d902922307488d3")</f>
        <v>0xe38c5fa37006b4cc9ff0f7054d902922307488d3</v>
      </c>
      <c r="J4793" s="18">
        <v>33.8295719826706</v>
      </c>
      <c r="K4793" s="4">
        <v>422.8696497833825</v>
      </c>
      <c r="L4793" s="19">
        <v>4.228696497833825E20</v>
      </c>
      <c r="M4793" s="20">
        <v>4.228696497833825E19</v>
      </c>
    </row>
    <row r="4794">
      <c r="A4794" s="6"/>
      <c r="B4794" s="6"/>
      <c r="C4794" s="4"/>
      <c r="D4794" s="4">
        <v>48.3641275995966</v>
      </c>
      <c r="E4794" s="4" t="s">
        <v>7133</v>
      </c>
      <c r="F4794" s="4"/>
      <c r="G4794" s="4"/>
      <c r="H4794" s="4"/>
      <c r="I4794" s="4" t="str">
        <f>IFERROR(__xludf.DUMMYFUNCTION("""COMPUTED_VALUE"""),"0x435ca84cb4ad57edc475e1c9426c1eeb27a820d8")</f>
        <v>0x435ca84cb4ad57edc475e1c9426c1eeb27a820d8</v>
      </c>
      <c r="J4794" s="18">
        <v>55.8035880622502</v>
      </c>
      <c r="K4794" s="4">
        <v>697.5448507781275</v>
      </c>
      <c r="L4794" s="19">
        <v>6.975448507781275E20</v>
      </c>
      <c r="M4794" s="20">
        <v>6.975448507781275E19</v>
      </c>
    </row>
    <row r="4795">
      <c r="A4795" s="6"/>
      <c r="B4795" s="6"/>
      <c r="C4795" s="4"/>
      <c r="D4795" s="4">
        <v>48.3641275995966</v>
      </c>
      <c r="E4795" s="4" t="s">
        <v>7134</v>
      </c>
      <c r="F4795" s="4"/>
      <c r="G4795" s="4"/>
      <c r="H4795" s="4"/>
      <c r="I4795" s="4" t="str">
        <f>IFERROR(__xludf.DUMMYFUNCTION("""COMPUTED_VALUE"""),"0xd9f0e15e475f8882fcd54b7d75a613f7bae68323")</f>
        <v>0xd9f0e15e475f8882fcd54b7d75a613f7bae68323</v>
      </c>
      <c r="J4795" s="18">
        <v>37.218074209307</v>
      </c>
      <c r="K4795" s="4">
        <v>465.22592761633746</v>
      </c>
      <c r="L4795" s="19">
        <v>4.652259276163375E20</v>
      </c>
      <c r="M4795" s="20">
        <v>4.652259276163375E19</v>
      </c>
    </row>
    <row r="4796">
      <c r="A4796" s="6"/>
      <c r="B4796" s="6"/>
      <c r="C4796" s="4"/>
      <c r="D4796" s="4">
        <v>48.3641275995966</v>
      </c>
      <c r="E4796" s="4" t="s">
        <v>7135</v>
      </c>
      <c r="F4796" s="4"/>
      <c r="G4796" s="4"/>
      <c r="H4796" s="4"/>
      <c r="I4796" s="4" t="str">
        <f>IFERROR(__xludf.DUMMYFUNCTION("""COMPUTED_VALUE"""),"0x14921407dab91a7c38b4903c3561c55973db4f6b")</f>
        <v>0x14921407dab91a7c38b4903c3561c55973db4f6b</v>
      </c>
      <c r="J4796" s="18">
        <v>186.01196020749998</v>
      </c>
      <c r="K4796" s="4">
        <v>2325.1495025937497</v>
      </c>
      <c r="L4796" s="19">
        <v>2.3251495025937497E21</v>
      </c>
      <c r="M4796" s="20">
        <v>2.3251495025937498E20</v>
      </c>
    </row>
    <row r="4797">
      <c r="A4797" s="6"/>
      <c r="B4797" s="6"/>
      <c r="C4797" s="4"/>
      <c r="D4797" s="4">
        <v>3.58090234069076</v>
      </c>
      <c r="E4797" s="4" t="s">
        <v>7136</v>
      </c>
      <c r="F4797" s="4"/>
      <c r="G4797" s="4"/>
      <c r="H4797" s="4"/>
      <c r="I4797" s="4" t="str">
        <f>IFERROR(__xludf.DUMMYFUNCTION("""COMPUTED_VALUE"""),"0xde6d2f9656ec6104bd293941f7e4b7d583521776")</f>
        <v>0xde6d2f9656ec6104bd293941f7e4b7d583521776</v>
      </c>
      <c r="J4797" s="18">
        <v>167.53781035557202</v>
      </c>
      <c r="K4797" s="4">
        <v>2094.22262944465</v>
      </c>
      <c r="L4797" s="19">
        <v>2.09422262944465E21</v>
      </c>
      <c r="M4797" s="20">
        <v>2.0942226294446503E20</v>
      </c>
    </row>
    <row r="4798">
      <c r="A4798" s="6"/>
      <c r="B4798" s="6"/>
      <c r="C4798" s="4"/>
      <c r="D4798" s="4">
        <v>7.45239824899029</v>
      </c>
      <c r="E4798" s="4" t="s">
        <v>7138</v>
      </c>
      <c r="F4798" s="4"/>
      <c r="G4798" s="4"/>
      <c r="H4798" s="4"/>
      <c r="I4798" s="4" t="str">
        <f>IFERROR(__xludf.DUMMYFUNCTION("""COMPUTED_VALUE"""),"0xe9b2377fbc7a1903cd11a4a15ce8f09450b5332f")</f>
        <v>0xe9b2377fbc7a1903cd11a4a15ce8f09450b5332f</v>
      </c>
      <c r="J4798" s="18">
        <v>0.9128763344199979</v>
      </c>
      <c r="K4798" s="4">
        <v>11.410954180249973</v>
      </c>
      <c r="L4798" s="19">
        <v>1.1410954180249973E19</v>
      </c>
      <c r="M4798" s="20">
        <v>1.1410954180249974E18</v>
      </c>
    </row>
    <row r="4799">
      <c r="A4799" s="6"/>
      <c r="B4799" s="6"/>
      <c r="C4799" s="4"/>
      <c r="D4799" s="4">
        <v>7.2821154687551095</v>
      </c>
      <c r="E4799" s="4" t="s">
        <v>7140</v>
      </c>
      <c r="F4799" s="4"/>
      <c r="G4799" s="4"/>
      <c r="H4799" s="4"/>
      <c r="I4799" s="4" t="str">
        <f>IFERROR(__xludf.DUMMYFUNCTION("""COMPUTED_VALUE"""),"0x9572db37b9f42021f77d7b874ecb8e46d4f4d1b4")</f>
        <v>0x9572db37b9f42021f77d7b874ecb8e46d4f4d1b4</v>
      </c>
      <c r="J4799" s="18">
        <v>186.01196020749998</v>
      </c>
      <c r="K4799" s="4">
        <v>2325.1495025937497</v>
      </c>
      <c r="L4799" s="19">
        <v>2.3251495025937497E21</v>
      </c>
      <c r="M4799" s="20">
        <v>2.3251495025937498E20</v>
      </c>
    </row>
    <row r="4800">
      <c r="A4800" s="6"/>
      <c r="B4800" s="6"/>
      <c r="C4800" s="4"/>
      <c r="D4800" s="4">
        <v>9.672825519919328</v>
      </c>
      <c r="E4800" s="4" t="s">
        <v>7142</v>
      </c>
      <c r="F4800" s="4"/>
      <c r="G4800" s="4"/>
      <c r="H4800" s="4"/>
      <c r="I4800" s="4" t="str">
        <f>IFERROR(__xludf.DUMMYFUNCTION("""COMPUTED_VALUE"""),"0xc7811fac3b4519132769ceebb15a7ffe40e097ec")</f>
        <v>0xc7811fac3b4519132769ceebb15a7ffe40e097ec</v>
      </c>
      <c r="J4800" s="18">
        <v>186.01196020749998</v>
      </c>
      <c r="K4800" s="4">
        <v>2325.1495025937497</v>
      </c>
      <c r="L4800" s="19">
        <v>2.3251495025937497E21</v>
      </c>
      <c r="M4800" s="20">
        <v>2.3251495025937498E20</v>
      </c>
    </row>
    <row r="4801">
      <c r="A4801" s="6"/>
      <c r="B4801" s="6"/>
      <c r="C4801" s="4"/>
      <c r="D4801" s="4">
        <v>6.26722965341625</v>
      </c>
      <c r="E4801" s="4" t="s">
        <v>7143</v>
      </c>
      <c r="F4801" s="4"/>
      <c r="G4801" s="4"/>
      <c r="H4801" s="4"/>
      <c r="I4801" s="4" t="str">
        <f>IFERROR(__xludf.DUMMYFUNCTION("""COMPUTED_VALUE"""),"0x67714f0905355506b98abfad9f499399eae6e9ec")</f>
        <v>0x67714f0905355506b98abfad9f499399eae6e9ec</v>
      </c>
      <c r="J4801" s="18">
        <v>111.6071761245</v>
      </c>
      <c r="K4801" s="4">
        <v>1395.08970155625</v>
      </c>
      <c r="L4801" s="19">
        <v>1.39508970155625E21</v>
      </c>
      <c r="M4801" s="20">
        <v>1.39508970155625E20</v>
      </c>
    </row>
    <row r="4802">
      <c r="A4802" s="6"/>
      <c r="B4802" s="6"/>
      <c r="C4802" s="4"/>
      <c r="D4802" s="4">
        <v>48.3641275995966</v>
      </c>
      <c r="E4802" s="4" t="s">
        <v>7145</v>
      </c>
      <c r="F4802" s="4"/>
      <c r="G4802" s="4"/>
      <c r="H4802" s="4"/>
      <c r="I4802" s="4" t="str">
        <f>IFERROR(__xludf.DUMMYFUNCTION("""COMPUTED_VALUE"""),"0x6892612d4f4226ea40df1f8fd8a23b827862452d")</f>
        <v>0x6892612d4f4226ea40df1f8fd8a23b827862452d</v>
      </c>
      <c r="J4802" s="18">
        <v>55.8035880622502</v>
      </c>
      <c r="K4802" s="4">
        <v>697.5448507781275</v>
      </c>
      <c r="L4802" s="19">
        <v>6.975448507781275E20</v>
      </c>
      <c r="M4802" s="20">
        <v>6.975448507781275E19</v>
      </c>
    </row>
    <row r="4803">
      <c r="A4803" s="6"/>
      <c r="B4803" s="6"/>
      <c r="C4803" s="4"/>
      <c r="D4803" s="4">
        <v>48.3641275995966</v>
      </c>
      <c r="E4803" s="4" t="s">
        <v>7146</v>
      </c>
      <c r="F4803" s="4"/>
      <c r="G4803" s="4"/>
      <c r="H4803" s="4"/>
      <c r="I4803" s="4" t="str">
        <f>IFERROR(__xludf.DUMMYFUNCTION("""COMPUTED_VALUE"""),"0x18ec3f58cbc5fd041862264760a3cfcafdee08de")</f>
        <v>0x18ec3f58cbc5fd041862264760a3cfcafdee08de</v>
      </c>
      <c r="J4803" s="18">
        <v>17.5938335670245</v>
      </c>
      <c r="K4803" s="4">
        <v>219.92291958780626</v>
      </c>
      <c r="L4803" s="19">
        <v>2.1992291958780625E20</v>
      </c>
      <c r="M4803" s="20">
        <v>2.1992291958780625E19</v>
      </c>
    </row>
    <row r="4804">
      <c r="A4804" s="6"/>
      <c r="B4804" s="6"/>
      <c r="C4804" s="4"/>
      <c r="D4804" s="4">
        <v>1.34412176000392</v>
      </c>
      <c r="E4804" s="4" t="s">
        <v>7147</v>
      </c>
      <c r="F4804" s="4"/>
      <c r="G4804" s="4"/>
      <c r="H4804" s="4"/>
      <c r="I4804" s="4" t="str">
        <f>IFERROR(__xludf.DUMMYFUNCTION("""COMPUTED_VALUE"""),"0x97474bb99438d8e3fdb90a6073b84835c19166a6")</f>
        <v>0x97474bb99438d8e3fdb90a6073b84835c19166a6</v>
      </c>
      <c r="J4804" s="18">
        <v>9.807944729869</v>
      </c>
      <c r="K4804" s="4">
        <v>122.5993091233625</v>
      </c>
      <c r="L4804" s="19">
        <v>1.225993091233625E20</v>
      </c>
      <c r="M4804" s="20">
        <v>1.225993091233625E19</v>
      </c>
    </row>
    <row r="4805">
      <c r="A4805" s="6"/>
      <c r="B4805" s="6"/>
      <c r="C4805" s="4"/>
      <c r="D4805" s="4">
        <v>48.3641275995966</v>
      </c>
      <c r="E4805" s="4" t="s">
        <v>7149</v>
      </c>
      <c r="F4805" s="4"/>
      <c r="G4805" s="4"/>
      <c r="H4805" s="4"/>
      <c r="I4805" s="4" t="str">
        <f>IFERROR(__xludf.DUMMYFUNCTION("""COMPUTED_VALUE"""),"0xa83bf7db6abdef5b4f6361af0255392c4d84851b")</f>
        <v>0xa83bf7db6abdef5b4f6361af0255392c4d84851b</v>
      </c>
      <c r="J4805" s="18">
        <v>186.01196020749998</v>
      </c>
      <c r="K4805" s="4">
        <v>2325.1495025937497</v>
      </c>
      <c r="L4805" s="19">
        <v>2.3251495025937497E21</v>
      </c>
      <c r="M4805" s="20">
        <v>2.3251495025937498E20</v>
      </c>
    </row>
    <row r="4806">
      <c r="A4806" s="6"/>
      <c r="B4806" s="6"/>
      <c r="C4806" s="4"/>
      <c r="D4806" s="4">
        <v>9.672825519919328</v>
      </c>
      <c r="E4806" s="4" t="s">
        <v>7150</v>
      </c>
      <c r="F4806" s="4"/>
      <c r="G4806" s="4"/>
      <c r="H4806" s="4"/>
      <c r="I4806" s="4" t="str">
        <f>IFERROR(__xludf.DUMMYFUNCTION("""COMPUTED_VALUE"""),"0x02a256a455f2f7ac14c611ccae40dab294918fc9")</f>
        <v>0x02a256a455f2f7ac14c611ccae40dab294918fc9</v>
      </c>
      <c r="J4806" s="18">
        <v>9.30059801037504</v>
      </c>
      <c r="K4806" s="4">
        <v>116.257475129688</v>
      </c>
      <c r="L4806" s="19">
        <v>1.16257475129688E20</v>
      </c>
      <c r="M4806" s="20">
        <v>1.16257475129688E19</v>
      </c>
    </row>
    <row r="4807">
      <c r="A4807" s="6"/>
      <c r="B4807" s="6"/>
      <c r="C4807" s="4"/>
      <c r="D4807" s="4">
        <v>22.9031075924979</v>
      </c>
      <c r="E4807" s="4" t="s">
        <v>7151</v>
      </c>
      <c r="F4807" s="4"/>
      <c r="G4807" s="4"/>
      <c r="H4807" s="4"/>
      <c r="I4807" s="4" t="str">
        <f>IFERROR(__xludf.DUMMYFUNCTION("""COMPUTED_VALUE"""),"0xf3a0b253772857abf3455edb4b5cc5cb8ed79997")</f>
        <v>0xf3a0b253772857abf3455edb4b5cc5cb8ed79997</v>
      </c>
      <c r="J4807" s="18">
        <v>11.8194221222445</v>
      </c>
      <c r="K4807" s="4">
        <v>147.74277652805625</v>
      </c>
      <c r="L4807" s="19">
        <v>1.4774277652805625E20</v>
      </c>
      <c r="M4807" s="20">
        <v>1.4774277652805626E19</v>
      </c>
    </row>
    <row r="4808">
      <c r="A4808" s="6"/>
      <c r="B4808" s="6"/>
      <c r="C4808" s="4"/>
      <c r="D4808" s="4">
        <v>9.822349405198121</v>
      </c>
      <c r="E4808" s="4" t="s">
        <v>7153</v>
      </c>
      <c r="F4808" s="4"/>
      <c r="G4808" s="4"/>
      <c r="H4808" s="4"/>
      <c r="I4808" s="4"/>
      <c r="J4808" s="18">
        <v>0.0</v>
      </c>
      <c r="K4808" s="4" t="s">
        <v>8494</v>
      </c>
      <c r="L4808" s="19" t="s">
        <v>8494</v>
      </c>
      <c r="M4808" s="20" t="s">
        <v>8494</v>
      </c>
    </row>
    <row r="4809">
      <c r="A4809" s="6"/>
      <c r="B4809" s="6"/>
      <c r="C4809" s="4"/>
      <c r="D4809" s="4">
        <v>48.3641275995966</v>
      </c>
      <c r="E4809" s="4" t="s">
        <v>872</v>
      </c>
      <c r="F4809" s="4"/>
      <c r="G4809" s="4"/>
      <c r="H4809" s="4"/>
      <c r="I4809" s="4"/>
      <c r="J4809" s="18">
        <v>0.0</v>
      </c>
      <c r="K4809" s="4" t="s">
        <v>8494</v>
      </c>
      <c r="L4809" s="19" t="s">
        <v>8494</v>
      </c>
      <c r="M4809" s="20" t="s">
        <v>8494</v>
      </c>
    </row>
    <row r="4810">
      <c r="A4810" s="6"/>
      <c r="B4810" s="6"/>
      <c r="C4810" s="4"/>
      <c r="D4810" s="4">
        <v>48.3641275995966</v>
      </c>
      <c r="E4810" s="4" t="s">
        <v>7155</v>
      </c>
      <c r="F4810" s="4"/>
      <c r="G4810" s="4"/>
      <c r="H4810" s="4"/>
      <c r="I4810" s="4"/>
      <c r="J4810" s="18">
        <v>0.0</v>
      </c>
      <c r="K4810" s="4" t="s">
        <v>8494</v>
      </c>
      <c r="L4810" s="19" t="s">
        <v>8494</v>
      </c>
      <c r="M4810" s="20" t="s">
        <v>8494</v>
      </c>
    </row>
    <row r="4811">
      <c r="A4811" s="6"/>
      <c r="B4811" s="6"/>
      <c r="C4811" s="4"/>
      <c r="D4811" s="4">
        <v>38.8745463233552</v>
      </c>
      <c r="E4811" s="4" t="s">
        <v>7156</v>
      </c>
      <c r="F4811" s="4"/>
      <c r="G4811" s="4"/>
      <c r="H4811" s="4"/>
      <c r="I4811" s="4"/>
      <c r="J4811" s="18">
        <v>0.0</v>
      </c>
      <c r="K4811" s="4" t="s">
        <v>8494</v>
      </c>
      <c r="L4811" s="19" t="s">
        <v>8494</v>
      </c>
      <c r="M4811" s="20" t="s">
        <v>8494</v>
      </c>
    </row>
    <row r="4812">
      <c r="A4812" s="6"/>
      <c r="B4812" s="6"/>
      <c r="C4812" s="4"/>
      <c r="D4812" s="4">
        <v>9.69720163123916</v>
      </c>
      <c r="E4812" s="4" t="s">
        <v>7158</v>
      </c>
      <c r="F4812" s="4"/>
      <c r="G4812" s="4"/>
      <c r="H4812" s="4"/>
      <c r="I4812" s="4"/>
      <c r="J4812" s="18">
        <v>0.0</v>
      </c>
      <c r="K4812" s="4" t="s">
        <v>8494</v>
      </c>
      <c r="L4812" s="19" t="s">
        <v>8494</v>
      </c>
      <c r="M4812" s="20" t="s">
        <v>8494</v>
      </c>
    </row>
    <row r="4813">
      <c r="A4813" s="6"/>
      <c r="B4813" s="6"/>
      <c r="C4813" s="4"/>
      <c r="D4813" s="4">
        <v>48.3641275995966</v>
      </c>
      <c r="E4813" s="4" t="s">
        <v>7160</v>
      </c>
      <c r="F4813" s="4"/>
      <c r="G4813" s="4"/>
      <c r="H4813" s="4"/>
      <c r="I4813" s="4"/>
      <c r="J4813" s="18">
        <v>0.0</v>
      </c>
      <c r="K4813" s="4" t="s">
        <v>8494</v>
      </c>
      <c r="L4813" s="19" t="s">
        <v>8494</v>
      </c>
      <c r="M4813" s="20" t="s">
        <v>8494</v>
      </c>
    </row>
    <row r="4814">
      <c r="A4814" s="6"/>
      <c r="B4814" s="6"/>
      <c r="C4814" s="4"/>
      <c r="D4814" s="4">
        <v>48.3641275995966</v>
      </c>
      <c r="E4814" s="4" t="s">
        <v>778</v>
      </c>
      <c r="F4814" s="4"/>
      <c r="G4814" s="4"/>
      <c r="H4814" s="4"/>
      <c r="I4814" s="4"/>
      <c r="J4814" s="18">
        <v>0.0</v>
      </c>
      <c r="K4814" s="4" t="s">
        <v>8494</v>
      </c>
      <c r="L4814" s="19" t="s">
        <v>8494</v>
      </c>
      <c r="M4814" s="20" t="s">
        <v>8494</v>
      </c>
    </row>
    <row r="4815">
      <c r="A4815" s="6"/>
      <c r="B4815" s="6"/>
      <c r="C4815" s="4"/>
      <c r="D4815" s="4">
        <v>48.3641275995966</v>
      </c>
      <c r="E4815" s="4" t="s">
        <v>7161</v>
      </c>
      <c r="F4815" s="4"/>
      <c r="G4815" s="4"/>
      <c r="H4815" s="4"/>
      <c r="I4815" s="4"/>
      <c r="J4815" s="18">
        <v>0.0</v>
      </c>
      <c r="K4815" s="4" t="s">
        <v>8494</v>
      </c>
      <c r="L4815" s="19" t="s">
        <v>8494</v>
      </c>
      <c r="M4815" s="20" t="s">
        <v>8494</v>
      </c>
    </row>
    <row r="4816">
      <c r="A4816" s="6"/>
      <c r="B4816" s="6"/>
      <c r="C4816" s="4"/>
      <c r="D4816" s="4">
        <v>48.3641275995966</v>
      </c>
      <c r="E4816" s="4" t="s">
        <v>7162</v>
      </c>
      <c r="F4816" s="4"/>
      <c r="G4816" s="4"/>
      <c r="H4816" s="4"/>
      <c r="I4816" s="4"/>
      <c r="J4816" s="18">
        <v>0.0</v>
      </c>
      <c r="K4816" s="4" t="s">
        <v>8494</v>
      </c>
      <c r="L4816" s="19" t="s">
        <v>8494</v>
      </c>
      <c r="M4816" s="20" t="s">
        <v>8494</v>
      </c>
    </row>
    <row r="4817">
      <c r="A4817" s="6"/>
      <c r="B4817" s="6"/>
      <c r="C4817" s="4"/>
      <c r="D4817" s="4">
        <v>48.317733303029804</v>
      </c>
      <c r="E4817" s="4" t="s">
        <v>7163</v>
      </c>
      <c r="F4817" s="4"/>
      <c r="G4817" s="4"/>
      <c r="H4817" s="4"/>
      <c r="I4817" s="4"/>
      <c r="J4817" s="18">
        <v>0.0</v>
      </c>
      <c r="K4817" s="4" t="s">
        <v>8494</v>
      </c>
      <c r="L4817" s="19" t="s">
        <v>8494</v>
      </c>
      <c r="M4817" s="20" t="s">
        <v>8494</v>
      </c>
    </row>
    <row r="4818">
      <c r="A4818" s="6"/>
      <c r="B4818" s="6"/>
      <c r="C4818" s="4"/>
      <c r="D4818" s="4">
        <v>5.1393637230691605</v>
      </c>
      <c r="E4818" s="4" t="s">
        <v>1302</v>
      </c>
      <c r="F4818" s="4"/>
      <c r="G4818" s="4"/>
      <c r="H4818" s="4"/>
      <c r="I4818" s="4"/>
      <c r="J4818" s="18">
        <v>0.0</v>
      </c>
      <c r="K4818" s="4" t="s">
        <v>8494</v>
      </c>
      <c r="L4818" s="19" t="s">
        <v>8494</v>
      </c>
      <c r="M4818" s="20" t="s">
        <v>8494</v>
      </c>
    </row>
    <row r="4819">
      <c r="A4819" s="6"/>
      <c r="B4819" s="6"/>
      <c r="C4819" s="4"/>
      <c r="D4819" s="4">
        <v>27.2786260449833</v>
      </c>
      <c r="E4819" s="4" t="s">
        <v>7166</v>
      </c>
      <c r="F4819" s="4"/>
      <c r="G4819" s="4"/>
      <c r="H4819" s="4"/>
      <c r="I4819" s="4"/>
      <c r="J4819" s="18">
        <v>0.0</v>
      </c>
      <c r="K4819" s="4" t="s">
        <v>8494</v>
      </c>
      <c r="L4819" s="19" t="s">
        <v>8494</v>
      </c>
      <c r="M4819" s="20" t="s">
        <v>8494</v>
      </c>
    </row>
    <row r="4820">
      <c r="A4820" s="6"/>
      <c r="B4820" s="6"/>
      <c r="C4820" s="4"/>
      <c r="D4820" s="4">
        <v>29.103031706859998</v>
      </c>
      <c r="E4820" s="4" t="s">
        <v>7168</v>
      </c>
      <c r="F4820" s="4"/>
      <c r="G4820" s="4"/>
      <c r="H4820" s="4"/>
      <c r="I4820" s="4"/>
      <c r="J4820" s="18">
        <v>0.0</v>
      </c>
      <c r="K4820" s="4" t="s">
        <v>8494</v>
      </c>
      <c r="L4820" s="19" t="s">
        <v>8494</v>
      </c>
      <c r="M4820" s="20" t="s">
        <v>8494</v>
      </c>
    </row>
    <row r="4821">
      <c r="A4821" s="6"/>
      <c r="B4821" s="6"/>
      <c r="C4821" s="4"/>
      <c r="D4821" s="4">
        <v>8.08696542176043</v>
      </c>
      <c r="E4821" s="4" t="s">
        <v>7170</v>
      </c>
      <c r="F4821" s="4"/>
      <c r="G4821" s="4"/>
      <c r="H4821" s="4"/>
      <c r="I4821" s="4"/>
      <c r="J4821" s="18">
        <v>0.0</v>
      </c>
      <c r="K4821" s="4" t="s">
        <v>8494</v>
      </c>
      <c r="L4821" s="19" t="s">
        <v>8494</v>
      </c>
      <c r="M4821" s="20" t="s">
        <v>8494</v>
      </c>
    </row>
    <row r="4822">
      <c r="A4822" s="6"/>
      <c r="B4822" s="6"/>
      <c r="C4822" s="4"/>
      <c r="D4822" s="4">
        <v>48.3641275995966</v>
      </c>
      <c r="E4822" s="4" t="s">
        <v>7172</v>
      </c>
      <c r="F4822" s="4"/>
      <c r="G4822" s="4"/>
      <c r="H4822" s="4"/>
      <c r="I4822" s="4"/>
      <c r="J4822" s="18">
        <v>0.0</v>
      </c>
      <c r="K4822" s="4" t="s">
        <v>8494</v>
      </c>
      <c r="L4822" s="19" t="s">
        <v>8494</v>
      </c>
      <c r="M4822" s="20" t="s">
        <v>8494</v>
      </c>
    </row>
    <row r="4823">
      <c r="A4823" s="6"/>
      <c r="B4823" s="6"/>
      <c r="C4823" s="4"/>
      <c r="D4823" s="4">
        <v>46.1221879286455</v>
      </c>
      <c r="E4823" s="4" t="s">
        <v>7173</v>
      </c>
      <c r="F4823" s="4"/>
      <c r="G4823" s="4"/>
      <c r="H4823" s="4"/>
      <c r="I4823" s="4"/>
      <c r="J4823" s="18">
        <v>0.0</v>
      </c>
      <c r="K4823" s="4" t="s">
        <v>8494</v>
      </c>
      <c r="L4823" s="19" t="s">
        <v>8494</v>
      </c>
      <c r="M4823" s="20" t="s">
        <v>8494</v>
      </c>
    </row>
    <row r="4824">
      <c r="A4824" s="6"/>
      <c r="B4824" s="6"/>
      <c r="C4824" s="4"/>
      <c r="D4824" s="4">
        <v>8.98286840056583</v>
      </c>
      <c r="E4824" s="4" t="s">
        <v>7175</v>
      </c>
      <c r="F4824" s="4"/>
      <c r="G4824" s="4"/>
      <c r="H4824" s="4"/>
      <c r="I4824" s="4"/>
      <c r="J4824" s="18">
        <v>0.0</v>
      </c>
      <c r="K4824" s="4" t="s">
        <v>8494</v>
      </c>
      <c r="L4824" s="19" t="s">
        <v>8494</v>
      </c>
      <c r="M4824" s="20" t="s">
        <v>8494</v>
      </c>
    </row>
    <row r="4825">
      <c r="A4825" s="6"/>
      <c r="B4825" s="6"/>
      <c r="C4825" s="4"/>
      <c r="D4825" s="4">
        <v>9.577970604847069</v>
      </c>
      <c r="E4825" s="4" t="s">
        <v>7177</v>
      </c>
      <c r="F4825" s="4"/>
      <c r="G4825" s="4"/>
      <c r="H4825" s="4"/>
      <c r="I4825" s="4"/>
      <c r="J4825" s="18">
        <v>0.0</v>
      </c>
      <c r="K4825" s="4" t="s">
        <v>8494</v>
      </c>
      <c r="L4825" s="19" t="s">
        <v>8494</v>
      </c>
      <c r="M4825" s="20" t="s">
        <v>8494</v>
      </c>
    </row>
    <row r="4826">
      <c r="A4826" s="6"/>
      <c r="B4826" s="6"/>
      <c r="C4826" s="4"/>
      <c r="D4826" s="4">
        <v>19.3456510398386</v>
      </c>
      <c r="E4826" s="4" t="s">
        <v>7179</v>
      </c>
      <c r="F4826" s="4"/>
      <c r="G4826" s="4"/>
      <c r="H4826" s="4"/>
      <c r="I4826" s="4"/>
      <c r="J4826" s="18">
        <v>0.0</v>
      </c>
      <c r="K4826" s="4" t="s">
        <v>8494</v>
      </c>
      <c r="L4826" s="19" t="s">
        <v>8494</v>
      </c>
      <c r="M4826" s="20" t="s">
        <v>8494</v>
      </c>
    </row>
    <row r="4827">
      <c r="A4827" s="6"/>
      <c r="B4827" s="6"/>
      <c r="C4827" s="4"/>
      <c r="D4827" s="4">
        <v>34.2234259932327</v>
      </c>
      <c r="E4827" s="4" t="s">
        <v>7180</v>
      </c>
      <c r="F4827" s="4"/>
      <c r="G4827" s="4"/>
      <c r="H4827" s="4"/>
      <c r="I4827" s="4"/>
      <c r="J4827" s="18">
        <v>0.0</v>
      </c>
      <c r="K4827" s="4" t="s">
        <v>8494</v>
      </c>
      <c r="L4827" s="19" t="s">
        <v>8494</v>
      </c>
      <c r="M4827" s="20" t="s">
        <v>8494</v>
      </c>
    </row>
    <row r="4828">
      <c r="A4828" s="6"/>
      <c r="B4828" s="6"/>
      <c r="C4828" s="4"/>
      <c r="D4828" s="4">
        <v>19.3456510398386</v>
      </c>
      <c r="E4828" s="4" t="s">
        <v>7182</v>
      </c>
      <c r="F4828" s="4"/>
      <c r="G4828" s="4"/>
      <c r="H4828" s="4"/>
      <c r="I4828" s="4"/>
      <c r="J4828" s="18">
        <v>0.0</v>
      </c>
      <c r="K4828" s="4" t="s">
        <v>8494</v>
      </c>
      <c r="L4828" s="19" t="s">
        <v>8494</v>
      </c>
      <c r="M4828" s="20" t="s">
        <v>8494</v>
      </c>
    </row>
    <row r="4829">
      <c r="A4829" s="6"/>
      <c r="B4829" s="6"/>
      <c r="C4829" s="4"/>
      <c r="D4829" s="4">
        <v>44.809445518975195</v>
      </c>
      <c r="E4829" s="4" t="s">
        <v>7183</v>
      </c>
      <c r="F4829" s="4"/>
      <c r="G4829" s="4"/>
      <c r="H4829" s="4"/>
      <c r="I4829" s="4"/>
      <c r="J4829" s="18">
        <v>0.0</v>
      </c>
      <c r="K4829" s="4" t="s">
        <v>8494</v>
      </c>
      <c r="L4829" s="19" t="s">
        <v>8494</v>
      </c>
      <c r="M4829" s="20" t="s">
        <v>8494</v>
      </c>
    </row>
    <row r="4830">
      <c r="A4830" s="6"/>
      <c r="B4830" s="6"/>
      <c r="C4830" s="4"/>
      <c r="D4830" s="4">
        <v>48.3641275995966</v>
      </c>
      <c r="E4830" s="4" t="s">
        <v>7185</v>
      </c>
      <c r="F4830" s="4"/>
      <c r="G4830" s="4"/>
      <c r="H4830" s="4"/>
      <c r="I4830" s="4"/>
      <c r="J4830" s="18">
        <v>0.0</v>
      </c>
      <c r="K4830" s="4" t="s">
        <v>8494</v>
      </c>
      <c r="L4830" s="19" t="s">
        <v>8494</v>
      </c>
      <c r="M4830" s="20" t="s">
        <v>8494</v>
      </c>
    </row>
    <row r="4831">
      <c r="A4831" s="6"/>
      <c r="B4831" s="6"/>
      <c r="C4831" s="4"/>
      <c r="D4831" s="4">
        <v>48.3641275995966</v>
      </c>
      <c r="E4831" s="4" t="s">
        <v>7186</v>
      </c>
      <c r="F4831" s="4"/>
      <c r="G4831" s="4"/>
      <c r="H4831" s="4"/>
      <c r="I4831" s="4"/>
      <c r="J4831" s="18">
        <v>0.0</v>
      </c>
      <c r="K4831" s="4" t="s">
        <v>8494</v>
      </c>
      <c r="L4831" s="19" t="s">
        <v>8494</v>
      </c>
      <c r="M4831" s="20" t="s">
        <v>8494</v>
      </c>
    </row>
    <row r="4832">
      <c r="A4832" s="6"/>
      <c r="B4832" s="6"/>
      <c r="C4832" s="4"/>
      <c r="D4832" s="4">
        <v>48.3641275995966</v>
      </c>
      <c r="E4832" s="4" t="s">
        <v>7187</v>
      </c>
      <c r="F4832" s="4"/>
      <c r="G4832" s="4"/>
      <c r="H4832" s="4"/>
      <c r="I4832" s="4"/>
      <c r="J4832" s="18">
        <v>0.0</v>
      </c>
      <c r="K4832" s="4" t="s">
        <v>8494</v>
      </c>
      <c r="L4832" s="19" t="s">
        <v>8494</v>
      </c>
      <c r="M4832" s="20" t="s">
        <v>8494</v>
      </c>
    </row>
    <row r="4833">
      <c r="A4833" s="6"/>
      <c r="B4833" s="6"/>
      <c r="C4833" s="4"/>
      <c r="D4833" s="4">
        <v>48.3641275995966</v>
      </c>
      <c r="E4833" s="4" t="s">
        <v>7188</v>
      </c>
      <c r="F4833" s="4"/>
      <c r="G4833" s="4"/>
      <c r="H4833" s="4"/>
      <c r="I4833" s="4"/>
      <c r="J4833" s="18">
        <v>0.0</v>
      </c>
      <c r="K4833" s="4" t="s">
        <v>8494</v>
      </c>
      <c r="L4833" s="19" t="s">
        <v>8494</v>
      </c>
      <c r="M4833" s="20" t="s">
        <v>8494</v>
      </c>
    </row>
    <row r="4834">
      <c r="A4834" s="6"/>
      <c r="B4834" s="6"/>
      <c r="C4834" s="4"/>
      <c r="D4834" s="4">
        <v>4.908512642546611</v>
      </c>
      <c r="E4834" s="4" t="s">
        <v>7189</v>
      </c>
      <c r="F4834" s="4"/>
      <c r="G4834" s="4"/>
      <c r="H4834" s="4"/>
      <c r="I4834" s="4"/>
      <c r="J4834" s="18">
        <v>0.0</v>
      </c>
      <c r="K4834" s="4" t="s">
        <v>8494</v>
      </c>
      <c r="L4834" s="19" t="s">
        <v>8494</v>
      </c>
      <c r="M4834" s="20" t="s">
        <v>8494</v>
      </c>
    </row>
    <row r="4835">
      <c r="A4835" s="6"/>
      <c r="B4835" s="6"/>
      <c r="C4835" s="4"/>
      <c r="D4835" s="4">
        <v>48.3641275995966</v>
      </c>
      <c r="E4835" s="4" t="s">
        <v>7191</v>
      </c>
      <c r="F4835" s="4"/>
      <c r="G4835" s="4"/>
      <c r="H4835" s="4"/>
      <c r="I4835" s="4"/>
      <c r="J4835" s="18">
        <v>0.0</v>
      </c>
      <c r="K4835" s="4" t="s">
        <v>8494</v>
      </c>
      <c r="L4835" s="19" t="s">
        <v>8494</v>
      </c>
      <c r="M4835" s="20" t="s">
        <v>8494</v>
      </c>
    </row>
    <row r="4836">
      <c r="A4836" s="6"/>
      <c r="B4836" s="6"/>
      <c r="C4836" s="4"/>
      <c r="D4836" s="4">
        <v>7.23209632386922</v>
      </c>
      <c r="E4836" s="4" t="s">
        <v>7192</v>
      </c>
      <c r="F4836" s="4"/>
      <c r="G4836" s="4"/>
      <c r="H4836" s="4"/>
      <c r="I4836" s="4"/>
      <c r="J4836" s="18">
        <v>0.0</v>
      </c>
      <c r="K4836" s="4" t="s">
        <v>8494</v>
      </c>
      <c r="L4836" s="19" t="s">
        <v>8494</v>
      </c>
      <c r="M4836" s="20" t="s">
        <v>8494</v>
      </c>
    </row>
    <row r="4837">
      <c r="A4837" s="6"/>
      <c r="B4837" s="6"/>
      <c r="C4837" s="4"/>
      <c r="D4837" s="4">
        <v>37.2675921959059</v>
      </c>
      <c r="E4837" s="4" t="s">
        <v>7194</v>
      </c>
      <c r="F4837" s="4"/>
      <c r="G4837" s="4"/>
      <c r="H4837" s="4"/>
      <c r="I4837" s="4"/>
      <c r="J4837" s="18">
        <v>0.0</v>
      </c>
      <c r="K4837" s="4" t="s">
        <v>8494</v>
      </c>
      <c r="L4837" s="19" t="s">
        <v>8494</v>
      </c>
      <c r="M4837" s="20" t="s">
        <v>8494</v>
      </c>
    </row>
    <row r="4838">
      <c r="A4838" s="6"/>
      <c r="B4838" s="6"/>
      <c r="C4838" s="4"/>
      <c r="D4838" s="4">
        <v>48.3641275995966</v>
      </c>
      <c r="E4838" s="4" t="s">
        <v>7196</v>
      </c>
      <c r="F4838" s="4"/>
      <c r="G4838" s="4"/>
      <c r="H4838" s="4"/>
      <c r="I4838" s="4"/>
      <c r="J4838" s="18">
        <v>0.0</v>
      </c>
      <c r="K4838" s="4" t="s">
        <v>8494</v>
      </c>
      <c r="L4838" s="19" t="s">
        <v>8494</v>
      </c>
      <c r="M4838" s="20" t="s">
        <v>8494</v>
      </c>
    </row>
    <row r="4839">
      <c r="A4839" s="6"/>
      <c r="B4839" s="6"/>
      <c r="C4839" s="4"/>
      <c r="D4839" s="4">
        <v>19.5550243999471</v>
      </c>
      <c r="E4839" s="4" t="s">
        <v>7197</v>
      </c>
      <c r="F4839" s="4"/>
      <c r="G4839" s="4"/>
      <c r="H4839" s="4"/>
      <c r="I4839" s="4"/>
      <c r="J4839" s="18">
        <v>0.0</v>
      </c>
      <c r="K4839" s="4" t="s">
        <v>8494</v>
      </c>
      <c r="L4839" s="19" t="s">
        <v>8494</v>
      </c>
      <c r="M4839" s="20" t="s">
        <v>8494</v>
      </c>
    </row>
    <row r="4840">
      <c r="A4840" s="6"/>
      <c r="B4840" s="6"/>
      <c r="C4840" s="4"/>
      <c r="D4840" s="4">
        <v>9.672825519919328</v>
      </c>
      <c r="E4840" s="4" t="s">
        <v>7199</v>
      </c>
      <c r="F4840" s="4"/>
      <c r="G4840" s="4"/>
      <c r="H4840" s="4"/>
      <c r="I4840" s="4"/>
      <c r="J4840" s="18">
        <v>0.0</v>
      </c>
      <c r="K4840" s="4" t="s">
        <v>8494</v>
      </c>
      <c r="L4840" s="19" t="s">
        <v>8494</v>
      </c>
      <c r="M4840" s="20" t="s">
        <v>8494</v>
      </c>
    </row>
    <row r="4841">
      <c r="A4841" s="6"/>
      <c r="B4841" s="6"/>
      <c r="C4841" s="4"/>
      <c r="D4841" s="4">
        <v>48.3641275995966</v>
      </c>
      <c r="E4841" s="4" t="s">
        <v>7200</v>
      </c>
      <c r="F4841" s="4"/>
      <c r="G4841" s="4"/>
      <c r="H4841" s="4"/>
      <c r="I4841" s="4"/>
      <c r="J4841" s="18">
        <v>0.0</v>
      </c>
      <c r="K4841" s="4" t="s">
        <v>8494</v>
      </c>
      <c r="L4841" s="19" t="s">
        <v>8494</v>
      </c>
      <c r="M4841" s="20" t="s">
        <v>8494</v>
      </c>
    </row>
    <row r="4842">
      <c r="A4842" s="6"/>
      <c r="B4842" s="6"/>
      <c r="C4842" s="4"/>
      <c r="D4842" s="4">
        <v>48.3641275995966</v>
      </c>
      <c r="E4842" s="4" t="s">
        <v>7201</v>
      </c>
      <c r="F4842" s="4"/>
      <c r="G4842" s="4"/>
      <c r="H4842" s="4"/>
      <c r="I4842" s="4"/>
      <c r="J4842" s="18">
        <v>0.0</v>
      </c>
      <c r="K4842" s="4" t="s">
        <v>8494</v>
      </c>
      <c r="L4842" s="19" t="s">
        <v>8494</v>
      </c>
      <c r="M4842" s="20" t="s">
        <v>8494</v>
      </c>
    </row>
    <row r="4843">
      <c r="A4843" s="6"/>
      <c r="B4843" s="6"/>
      <c r="C4843" s="4"/>
      <c r="D4843" s="4">
        <v>19.3456510398386</v>
      </c>
      <c r="E4843" s="4" t="s">
        <v>7202</v>
      </c>
      <c r="F4843" s="4"/>
      <c r="G4843" s="4"/>
      <c r="H4843" s="4"/>
      <c r="I4843" s="4"/>
      <c r="J4843" s="18">
        <v>0.0</v>
      </c>
      <c r="K4843" s="4" t="s">
        <v>8494</v>
      </c>
      <c r="L4843" s="19" t="s">
        <v>8494</v>
      </c>
      <c r="M4843" s="20" t="s">
        <v>8494</v>
      </c>
    </row>
    <row r="4844">
      <c r="A4844" s="6"/>
      <c r="B4844" s="6"/>
      <c r="C4844" s="4"/>
      <c r="D4844" s="4">
        <v>48.3641275995966</v>
      </c>
      <c r="E4844" s="4" t="s">
        <v>7203</v>
      </c>
      <c r="F4844" s="4"/>
      <c r="G4844" s="4"/>
      <c r="H4844" s="4"/>
      <c r="I4844" s="4"/>
      <c r="J4844" s="18">
        <v>0.0</v>
      </c>
      <c r="K4844" s="4" t="s">
        <v>8494</v>
      </c>
      <c r="L4844" s="19" t="s">
        <v>8494</v>
      </c>
      <c r="M4844" s="20" t="s">
        <v>8494</v>
      </c>
    </row>
    <row r="4845">
      <c r="A4845" s="6"/>
      <c r="B4845" s="6"/>
      <c r="C4845" s="4"/>
      <c r="D4845" s="4">
        <v>9.672825519919328</v>
      </c>
      <c r="E4845" s="4" t="s">
        <v>7204</v>
      </c>
      <c r="F4845" s="4"/>
      <c r="G4845" s="4"/>
      <c r="H4845" s="4"/>
      <c r="I4845" s="4"/>
      <c r="J4845" s="18">
        <v>0.0</v>
      </c>
      <c r="K4845" s="4" t="s">
        <v>8494</v>
      </c>
      <c r="L4845" s="19" t="s">
        <v>8494</v>
      </c>
      <c r="M4845" s="20" t="s">
        <v>8494</v>
      </c>
    </row>
    <row r="4846">
      <c r="A4846" s="6"/>
      <c r="B4846" s="6"/>
      <c r="C4846" s="4"/>
      <c r="D4846" s="4">
        <v>41.7288176596114</v>
      </c>
      <c r="E4846" s="4" t="s">
        <v>7205</v>
      </c>
      <c r="F4846" s="4"/>
      <c r="G4846" s="4"/>
      <c r="H4846" s="4"/>
      <c r="I4846" s="4"/>
      <c r="J4846" s="18">
        <v>0.0</v>
      </c>
      <c r="K4846" s="4" t="s">
        <v>8494</v>
      </c>
      <c r="L4846" s="19" t="s">
        <v>8494</v>
      </c>
      <c r="M4846" s="20" t="s">
        <v>8494</v>
      </c>
    </row>
    <row r="4847">
      <c r="A4847" s="6"/>
      <c r="B4847" s="6"/>
      <c r="C4847" s="4"/>
      <c r="D4847" s="4">
        <v>48.2083450317085</v>
      </c>
      <c r="E4847" s="4" t="s">
        <v>7207</v>
      </c>
      <c r="F4847" s="4"/>
      <c r="G4847" s="4"/>
      <c r="H4847" s="4"/>
      <c r="I4847" s="4"/>
      <c r="J4847" s="18">
        <v>0.0</v>
      </c>
      <c r="K4847" s="4" t="s">
        <v>8494</v>
      </c>
      <c r="L4847" s="19" t="s">
        <v>8494</v>
      </c>
      <c r="M4847" s="20" t="s">
        <v>8494</v>
      </c>
    </row>
    <row r="4848">
      <c r="A4848" s="6"/>
      <c r="B4848" s="6"/>
      <c r="C4848" s="4"/>
      <c r="D4848" s="4">
        <v>48.3641275995966</v>
      </c>
      <c r="E4848" s="4" t="s">
        <v>7209</v>
      </c>
      <c r="F4848" s="4"/>
      <c r="G4848" s="4"/>
      <c r="H4848" s="4"/>
      <c r="I4848" s="4"/>
      <c r="J4848" s="18">
        <v>0.0</v>
      </c>
      <c r="K4848" s="4" t="s">
        <v>8494</v>
      </c>
      <c r="L4848" s="19" t="s">
        <v>8494</v>
      </c>
      <c r="M4848" s="20" t="s">
        <v>8494</v>
      </c>
    </row>
    <row r="4849">
      <c r="A4849" s="6"/>
      <c r="B4849" s="6"/>
      <c r="C4849" s="4"/>
      <c r="D4849" s="4">
        <v>9.483764069986941</v>
      </c>
      <c r="E4849" s="4" t="s">
        <v>7210</v>
      </c>
      <c r="F4849" s="4"/>
      <c r="G4849" s="4"/>
      <c r="H4849" s="4"/>
      <c r="I4849" s="4"/>
      <c r="J4849" s="18">
        <v>0.0</v>
      </c>
      <c r="K4849" s="4" t="s">
        <v>8494</v>
      </c>
      <c r="L4849" s="19" t="s">
        <v>8494</v>
      </c>
      <c r="M4849" s="20" t="s">
        <v>8494</v>
      </c>
    </row>
    <row r="4850">
      <c r="A4850" s="6"/>
      <c r="B4850" s="6"/>
      <c r="C4850" s="4"/>
      <c r="D4850" s="4">
        <v>16.9587117125803</v>
      </c>
      <c r="E4850" s="4" t="s">
        <v>7212</v>
      </c>
      <c r="F4850" s="4"/>
      <c r="G4850" s="4"/>
      <c r="H4850" s="4"/>
      <c r="I4850" s="4"/>
      <c r="J4850" s="18">
        <v>0.0</v>
      </c>
      <c r="K4850" s="4" t="s">
        <v>8494</v>
      </c>
      <c r="L4850" s="19" t="s">
        <v>8494</v>
      </c>
      <c r="M4850" s="20" t="s">
        <v>8494</v>
      </c>
    </row>
    <row r="4851">
      <c r="A4851" s="6"/>
      <c r="B4851" s="6"/>
      <c r="C4851" s="4"/>
      <c r="D4851" s="4">
        <v>48.3641275995966</v>
      </c>
      <c r="E4851" s="4" t="s">
        <v>7214</v>
      </c>
      <c r="F4851" s="4"/>
      <c r="G4851" s="4"/>
      <c r="H4851" s="4"/>
      <c r="I4851" s="4"/>
      <c r="J4851" s="18">
        <v>0.0</v>
      </c>
      <c r="K4851" s="4" t="s">
        <v>8494</v>
      </c>
      <c r="L4851" s="19" t="s">
        <v>8494</v>
      </c>
      <c r="M4851" s="20" t="s">
        <v>8494</v>
      </c>
    </row>
    <row r="4852">
      <c r="A4852" s="6"/>
      <c r="B4852" s="6"/>
      <c r="C4852" s="4"/>
      <c r="D4852" s="4">
        <v>24.017796538524298</v>
      </c>
      <c r="E4852" s="4" t="s">
        <v>7215</v>
      </c>
      <c r="F4852" s="4"/>
      <c r="G4852" s="4"/>
      <c r="H4852" s="4"/>
      <c r="I4852" s="4"/>
      <c r="J4852" s="18">
        <v>0.0</v>
      </c>
      <c r="K4852" s="4" t="s">
        <v>8494</v>
      </c>
      <c r="L4852" s="19" t="s">
        <v>8494</v>
      </c>
      <c r="M4852" s="20" t="s">
        <v>8494</v>
      </c>
    </row>
    <row r="4853">
      <c r="A4853" s="6"/>
      <c r="B4853" s="6"/>
      <c r="C4853" s="4"/>
      <c r="D4853" s="4">
        <v>48.3641275995966</v>
      </c>
      <c r="E4853" s="4" t="s">
        <v>7217</v>
      </c>
      <c r="F4853" s="4"/>
      <c r="G4853" s="4"/>
      <c r="H4853" s="4"/>
      <c r="I4853" s="4"/>
      <c r="J4853" s="18">
        <v>0.0</v>
      </c>
      <c r="K4853" s="4" t="s">
        <v>8494</v>
      </c>
      <c r="L4853" s="19" t="s">
        <v>8494</v>
      </c>
      <c r="M4853" s="20" t="s">
        <v>8494</v>
      </c>
    </row>
    <row r="4854">
      <c r="A4854" s="6"/>
      <c r="B4854" s="6"/>
      <c r="C4854" s="4"/>
      <c r="D4854" s="4">
        <v>18.7993111551001</v>
      </c>
      <c r="E4854" s="4" t="s">
        <v>7218</v>
      </c>
      <c r="F4854" s="4"/>
      <c r="G4854" s="4"/>
      <c r="H4854" s="4"/>
      <c r="I4854" s="4"/>
      <c r="J4854" s="18">
        <v>0.0</v>
      </c>
      <c r="K4854" s="4" t="s">
        <v>8494</v>
      </c>
      <c r="L4854" s="19" t="s">
        <v>8494</v>
      </c>
      <c r="M4854" s="20" t="s">
        <v>8494</v>
      </c>
    </row>
    <row r="4855">
      <c r="A4855" s="6"/>
      <c r="B4855" s="6"/>
      <c r="C4855" s="4"/>
      <c r="D4855" s="4">
        <v>48.3641275995966</v>
      </c>
      <c r="E4855" s="4" t="s">
        <v>7220</v>
      </c>
      <c r="F4855" s="4"/>
      <c r="G4855" s="4"/>
      <c r="H4855" s="4"/>
      <c r="I4855" s="4"/>
      <c r="J4855" s="18">
        <v>0.0</v>
      </c>
      <c r="K4855" s="4" t="s">
        <v>8494</v>
      </c>
      <c r="L4855" s="19" t="s">
        <v>8494</v>
      </c>
      <c r="M4855" s="20" t="s">
        <v>8494</v>
      </c>
    </row>
    <row r="4856">
      <c r="A4856" s="6"/>
      <c r="B4856" s="6"/>
      <c r="C4856" s="4"/>
      <c r="D4856" s="4">
        <v>10.9680939209788</v>
      </c>
      <c r="E4856" s="4" t="s">
        <v>7221</v>
      </c>
      <c r="F4856" s="4"/>
      <c r="G4856" s="4"/>
      <c r="H4856" s="4"/>
      <c r="I4856" s="4"/>
      <c r="J4856" s="18">
        <v>0.0</v>
      </c>
      <c r="K4856" s="4" t="s">
        <v>8494</v>
      </c>
      <c r="L4856" s="19" t="s">
        <v>8494</v>
      </c>
      <c r="M4856" s="20" t="s">
        <v>8494</v>
      </c>
    </row>
    <row r="4857">
      <c r="A4857" s="6"/>
      <c r="B4857" s="6"/>
      <c r="C4857" s="4"/>
      <c r="D4857" s="4">
        <v>48.3641275995966</v>
      </c>
      <c r="E4857" s="4" t="s">
        <v>7223</v>
      </c>
      <c r="F4857" s="4"/>
      <c r="G4857" s="4"/>
      <c r="H4857" s="4"/>
      <c r="I4857" s="4"/>
      <c r="J4857" s="18">
        <v>0.0</v>
      </c>
      <c r="K4857" s="4" t="s">
        <v>8494</v>
      </c>
      <c r="L4857" s="19" t="s">
        <v>8494</v>
      </c>
      <c r="M4857" s="20" t="s">
        <v>8494</v>
      </c>
    </row>
    <row r="4858">
      <c r="A4858" s="6"/>
      <c r="B4858" s="6"/>
      <c r="C4858" s="4"/>
      <c r="D4858" s="4">
        <v>9.802135486517441</v>
      </c>
      <c r="E4858" s="4" t="s">
        <v>7224</v>
      </c>
      <c r="F4858" s="4"/>
      <c r="G4858" s="4"/>
      <c r="H4858" s="4"/>
      <c r="I4858" s="4"/>
      <c r="J4858" s="18">
        <v>0.0</v>
      </c>
      <c r="K4858" s="4" t="s">
        <v>8494</v>
      </c>
      <c r="L4858" s="19" t="s">
        <v>8494</v>
      </c>
      <c r="M4858" s="20" t="s">
        <v>8494</v>
      </c>
    </row>
    <row r="4859">
      <c r="A4859" s="6"/>
      <c r="B4859" s="6"/>
      <c r="C4859" s="4"/>
      <c r="D4859" s="4">
        <v>12.5653132874922</v>
      </c>
      <c r="E4859" s="4" t="s">
        <v>7226</v>
      </c>
      <c r="F4859" s="4"/>
      <c r="G4859" s="4"/>
      <c r="H4859" s="4"/>
      <c r="I4859" s="4"/>
      <c r="J4859" s="18">
        <v>0.0</v>
      </c>
      <c r="K4859" s="4" t="s">
        <v>8494</v>
      </c>
      <c r="L4859" s="19" t="s">
        <v>8494</v>
      </c>
      <c r="M4859" s="20" t="s">
        <v>8494</v>
      </c>
    </row>
    <row r="4860">
      <c r="A4860" s="6"/>
      <c r="B4860" s="6"/>
      <c r="C4860" s="4"/>
      <c r="D4860" s="4">
        <v>44.1949085441492</v>
      </c>
      <c r="E4860" s="4" t="s">
        <v>7228</v>
      </c>
      <c r="F4860" s="4"/>
      <c r="G4860" s="4"/>
      <c r="H4860" s="4"/>
      <c r="I4860" s="4"/>
      <c r="J4860" s="18">
        <v>0.0</v>
      </c>
      <c r="K4860" s="4" t="s">
        <v>8494</v>
      </c>
      <c r="L4860" s="19" t="s">
        <v>8494</v>
      </c>
      <c r="M4860" s="20" t="s">
        <v>8494</v>
      </c>
    </row>
    <row r="4861">
      <c r="A4861" s="6"/>
      <c r="B4861" s="6"/>
      <c r="C4861" s="4"/>
      <c r="D4861" s="4">
        <v>31.143166113177898</v>
      </c>
      <c r="E4861" s="4" t="s">
        <v>7230</v>
      </c>
      <c r="F4861" s="4"/>
      <c r="G4861" s="4"/>
      <c r="H4861" s="4"/>
      <c r="I4861" s="4"/>
      <c r="J4861" s="18">
        <v>0.0</v>
      </c>
      <c r="K4861" s="4" t="s">
        <v>8494</v>
      </c>
      <c r="L4861" s="19" t="s">
        <v>8494</v>
      </c>
      <c r="M4861" s="20" t="s">
        <v>8494</v>
      </c>
    </row>
    <row r="4862">
      <c r="A4862" s="6"/>
      <c r="B4862" s="6"/>
      <c r="C4862" s="4"/>
      <c r="D4862" s="4">
        <v>19.663992667518002</v>
      </c>
      <c r="E4862" s="4" t="s">
        <v>7232</v>
      </c>
      <c r="F4862" s="4"/>
      <c r="G4862" s="4"/>
      <c r="H4862" s="4"/>
      <c r="I4862" s="4"/>
      <c r="J4862" s="18">
        <v>0.0</v>
      </c>
      <c r="K4862" s="4" t="s">
        <v>8494</v>
      </c>
      <c r="L4862" s="19" t="s">
        <v>8494</v>
      </c>
      <c r="M4862" s="20" t="s">
        <v>8494</v>
      </c>
    </row>
    <row r="4863">
      <c r="A4863" s="6"/>
      <c r="B4863" s="6"/>
      <c r="C4863" s="4"/>
      <c r="D4863" s="4">
        <v>48.3641275995966</v>
      </c>
      <c r="E4863" s="4" t="s">
        <v>788</v>
      </c>
      <c r="F4863" s="4"/>
      <c r="G4863" s="4"/>
      <c r="H4863" s="4"/>
      <c r="I4863" s="4"/>
      <c r="J4863" s="18">
        <v>0.0</v>
      </c>
      <c r="K4863" s="4" t="s">
        <v>8494</v>
      </c>
      <c r="L4863" s="19" t="s">
        <v>8494</v>
      </c>
      <c r="M4863" s="20" t="s">
        <v>8494</v>
      </c>
    </row>
    <row r="4864">
      <c r="A4864" s="6"/>
      <c r="B4864" s="6"/>
      <c r="C4864" s="4"/>
      <c r="D4864" s="4">
        <v>48.3641275995966</v>
      </c>
      <c r="E4864" s="4" t="s">
        <v>7234</v>
      </c>
      <c r="F4864" s="4"/>
      <c r="G4864" s="4"/>
      <c r="H4864" s="4"/>
      <c r="I4864" s="4"/>
      <c r="J4864" s="18">
        <v>0.0</v>
      </c>
      <c r="K4864" s="4" t="s">
        <v>8494</v>
      </c>
      <c r="L4864" s="19" t="s">
        <v>8494</v>
      </c>
      <c r="M4864" s="20" t="s">
        <v>8494</v>
      </c>
    </row>
    <row r="4865">
      <c r="A4865" s="6"/>
      <c r="B4865" s="6"/>
      <c r="C4865" s="4"/>
      <c r="D4865" s="4">
        <v>48.3641275995966</v>
      </c>
      <c r="E4865" s="4" t="s">
        <v>7235</v>
      </c>
      <c r="F4865" s="4"/>
      <c r="G4865" s="4"/>
      <c r="H4865" s="4"/>
      <c r="I4865" s="4"/>
      <c r="J4865" s="18">
        <v>0.0</v>
      </c>
      <c r="K4865" s="4" t="s">
        <v>8494</v>
      </c>
      <c r="L4865" s="19" t="s">
        <v>8494</v>
      </c>
      <c r="M4865" s="20" t="s">
        <v>8494</v>
      </c>
    </row>
    <row r="4866">
      <c r="A4866" s="6"/>
      <c r="B4866" s="6"/>
      <c r="C4866" s="4"/>
      <c r="D4866" s="4">
        <v>48.3641275995966</v>
      </c>
      <c r="E4866" s="4" t="s">
        <v>7236</v>
      </c>
      <c r="F4866" s="4"/>
      <c r="G4866" s="4"/>
      <c r="H4866" s="4"/>
      <c r="I4866" s="4"/>
      <c r="J4866" s="18">
        <v>0.0</v>
      </c>
      <c r="K4866" s="4" t="s">
        <v>8494</v>
      </c>
      <c r="L4866" s="19" t="s">
        <v>8494</v>
      </c>
      <c r="M4866" s="20" t="s">
        <v>8494</v>
      </c>
    </row>
    <row r="4867">
      <c r="A4867" s="6"/>
      <c r="B4867" s="6"/>
      <c r="C4867" s="4"/>
      <c r="D4867" s="4">
        <v>48.3641275995966</v>
      </c>
      <c r="E4867" s="4" t="s">
        <v>798</v>
      </c>
      <c r="F4867" s="4"/>
      <c r="G4867" s="4"/>
      <c r="H4867" s="4"/>
      <c r="I4867" s="4"/>
      <c r="J4867" s="18">
        <v>0.0</v>
      </c>
      <c r="K4867" s="4" t="s">
        <v>8494</v>
      </c>
      <c r="L4867" s="19" t="s">
        <v>8494</v>
      </c>
      <c r="M4867" s="20" t="s">
        <v>8494</v>
      </c>
    </row>
    <row r="4868">
      <c r="A4868" s="6"/>
      <c r="B4868" s="6"/>
      <c r="C4868" s="4"/>
      <c r="D4868" s="4">
        <v>10.637725600817799</v>
      </c>
      <c r="E4868" s="4" t="s">
        <v>7237</v>
      </c>
      <c r="F4868" s="4"/>
      <c r="G4868" s="4"/>
      <c r="H4868" s="4"/>
      <c r="I4868" s="4"/>
      <c r="J4868" s="18">
        <v>0.0</v>
      </c>
      <c r="K4868" s="4" t="s">
        <v>8494</v>
      </c>
      <c r="L4868" s="19" t="s">
        <v>8494</v>
      </c>
      <c r="M4868" s="20" t="s">
        <v>8494</v>
      </c>
    </row>
    <row r="4869">
      <c r="A4869" s="6"/>
      <c r="B4869" s="6"/>
      <c r="C4869" s="4"/>
      <c r="D4869" s="4">
        <v>8.36460599921459</v>
      </c>
      <c r="E4869" s="4" t="s">
        <v>7239</v>
      </c>
      <c r="F4869" s="4"/>
      <c r="G4869" s="4"/>
      <c r="H4869" s="4"/>
      <c r="I4869" s="4"/>
      <c r="J4869" s="18">
        <v>0.0</v>
      </c>
      <c r="K4869" s="4" t="s">
        <v>8494</v>
      </c>
      <c r="L4869" s="19" t="s">
        <v>8494</v>
      </c>
      <c r="M4869" s="20" t="s">
        <v>8494</v>
      </c>
    </row>
    <row r="4870">
      <c r="A4870" s="6"/>
      <c r="B4870" s="6"/>
      <c r="C4870" s="4"/>
      <c r="D4870" s="4">
        <v>45.150618400803396</v>
      </c>
      <c r="E4870" s="4" t="s">
        <v>7241</v>
      </c>
      <c r="F4870" s="4"/>
      <c r="G4870" s="4"/>
      <c r="H4870" s="4"/>
      <c r="I4870" s="4"/>
      <c r="J4870" s="18">
        <v>0.0</v>
      </c>
      <c r="K4870" s="4" t="s">
        <v>8494</v>
      </c>
      <c r="L4870" s="19" t="s">
        <v>8494</v>
      </c>
      <c r="M4870" s="20" t="s">
        <v>8494</v>
      </c>
    </row>
    <row r="4871">
      <c r="A4871" s="6"/>
      <c r="B4871" s="6"/>
      <c r="C4871" s="4"/>
      <c r="D4871" s="4">
        <v>24.168679963040802</v>
      </c>
      <c r="E4871" s="4" t="s">
        <v>7243</v>
      </c>
      <c r="F4871" s="4"/>
      <c r="G4871" s="4"/>
      <c r="H4871" s="4"/>
      <c r="I4871" s="4"/>
      <c r="J4871" s="18">
        <v>0.0</v>
      </c>
      <c r="K4871" s="4" t="s">
        <v>8494</v>
      </c>
      <c r="L4871" s="19" t="s">
        <v>8494</v>
      </c>
      <c r="M4871" s="20" t="s">
        <v>8494</v>
      </c>
    </row>
    <row r="4872">
      <c r="A4872" s="6"/>
      <c r="B4872" s="6"/>
      <c r="C4872" s="4"/>
      <c r="D4872" s="4">
        <v>7.9422621225209</v>
      </c>
      <c r="E4872" s="4" t="s">
        <v>7245</v>
      </c>
      <c r="F4872" s="4"/>
      <c r="G4872" s="4"/>
      <c r="H4872" s="4"/>
      <c r="I4872" s="4"/>
      <c r="J4872" s="18">
        <v>0.0</v>
      </c>
      <c r="K4872" s="4" t="s">
        <v>8494</v>
      </c>
      <c r="L4872" s="19" t="s">
        <v>8494</v>
      </c>
      <c r="M4872" s="20" t="s">
        <v>8494</v>
      </c>
    </row>
    <row r="4873">
      <c r="A4873" s="6"/>
      <c r="B4873" s="6"/>
      <c r="C4873" s="4"/>
      <c r="D4873" s="4">
        <v>9.11573129496927</v>
      </c>
      <c r="E4873" s="4" t="s">
        <v>7247</v>
      </c>
      <c r="F4873" s="4"/>
      <c r="G4873" s="4"/>
      <c r="H4873" s="4"/>
      <c r="I4873" s="4"/>
      <c r="J4873" s="18">
        <v>0.0</v>
      </c>
      <c r="K4873" s="4" t="s">
        <v>8494</v>
      </c>
      <c r="L4873" s="19" t="s">
        <v>8494</v>
      </c>
      <c r="M4873" s="20" t="s">
        <v>8494</v>
      </c>
    </row>
    <row r="4874">
      <c r="A4874" s="6"/>
      <c r="B4874" s="6"/>
      <c r="C4874" s="4"/>
      <c r="D4874" s="4">
        <v>48.3641275995966</v>
      </c>
      <c r="E4874" s="4" t="s">
        <v>7249</v>
      </c>
      <c r="F4874" s="4"/>
      <c r="G4874" s="4"/>
      <c r="H4874" s="4"/>
      <c r="I4874" s="4"/>
      <c r="J4874" s="18">
        <v>0.0</v>
      </c>
      <c r="K4874" s="4" t="s">
        <v>8494</v>
      </c>
      <c r="L4874" s="19" t="s">
        <v>8494</v>
      </c>
      <c r="M4874" s="20" t="s">
        <v>8494</v>
      </c>
    </row>
    <row r="4875">
      <c r="A4875" s="6"/>
      <c r="B4875" s="6"/>
      <c r="C4875" s="4"/>
      <c r="D4875" s="4">
        <v>8.30229745339952</v>
      </c>
      <c r="E4875" s="4" t="s">
        <v>7250</v>
      </c>
      <c r="F4875" s="4"/>
      <c r="G4875" s="4"/>
      <c r="H4875" s="4"/>
      <c r="I4875" s="4"/>
      <c r="J4875" s="18">
        <v>0.0</v>
      </c>
      <c r="K4875" s="4" t="s">
        <v>8494</v>
      </c>
      <c r="L4875" s="19" t="s">
        <v>8494</v>
      </c>
      <c r="M4875" s="20" t="s">
        <v>8494</v>
      </c>
    </row>
    <row r="4876">
      <c r="A4876" s="6"/>
      <c r="B4876" s="6"/>
      <c r="C4876" s="4"/>
      <c r="D4876" s="4">
        <v>48.3641275995966</v>
      </c>
      <c r="E4876" s="4" t="s">
        <v>7252</v>
      </c>
      <c r="F4876" s="4"/>
      <c r="G4876" s="4"/>
      <c r="H4876" s="4"/>
      <c r="I4876" s="4"/>
      <c r="J4876" s="18">
        <v>0.0</v>
      </c>
      <c r="K4876" s="4" t="s">
        <v>8494</v>
      </c>
      <c r="L4876" s="19" t="s">
        <v>8494</v>
      </c>
      <c r="M4876" s="20" t="s">
        <v>8494</v>
      </c>
    </row>
    <row r="4877">
      <c r="A4877" s="6"/>
      <c r="B4877" s="6"/>
      <c r="C4877" s="4"/>
      <c r="D4877" s="4">
        <v>38.6913020796773</v>
      </c>
      <c r="E4877" s="4" t="s">
        <v>7253</v>
      </c>
      <c r="F4877" s="4"/>
      <c r="G4877" s="4"/>
      <c r="H4877" s="4"/>
      <c r="I4877" s="4"/>
      <c r="J4877" s="18">
        <v>0.0</v>
      </c>
      <c r="K4877" s="4" t="s">
        <v>8494</v>
      </c>
      <c r="L4877" s="19" t="s">
        <v>8494</v>
      </c>
      <c r="M4877" s="20" t="s">
        <v>8494</v>
      </c>
    </row>
    <row r="4878">
      <c r="A4878" s="6"/>
      <c r="B4878" s="6"/>
      <c r="C4878" s="4"/>
      <c r="D4878" s="4">
        <v>19.3456510398386</v>
      </c>
      <c r="E4878" s="4" t="s">
        <v>7254</v>
      </c>
      <c r="F4878" s="4"/>
      <c r="G4878" s="4"/>
      <c r="H4878" s="4"/>
      <c r="I4878" s="4"/>
      <c r="J4878" s="18">
        <v>0.0</v>
      </c>
      <c r="K4878" s="4" t="s">
        <v>8494</v>
      </c>
      <c r="L4878" s="19" t="s">
        <v>8494</v>
      </c>
      <c r="M4878" s="20" t="s">
        <v>8494</v>
      </c>
    </row>
    <row r="4879">
      <c r="A4879" s="6"/>
      <c r="B4879" s="6"/>
      <c r="C4879" s="4"/>
      <c r="D4879" s="4">
        <v>48.3641275995966</v>
      </c>
      <c r="E4879" s="4" t="s">
        <v>7255</v>
      </c>
      <c r="F4879" s="4"/>
      <c r="G4879" s="4"/>
      <c r="H4879" s="4"/>
      <c r="I4879" s="4"/>
      <c r="J4879" s="18">
        <v>0.0</v>
      </c>
      <c r="K4879" s="4" t="s">
        <v>8494</v>
      </c>
      <c r="L4879" s="19" t="s">
        <v>8494</v>
      </c>
      <c r="M4879" s="20" t="s">
        <v>8494</v>
      </c>
    </row>
    <row r="4880">
      <c r="A4880" s="6"/>
      <c r="B4880" s="6"/>
      <c r="C4880" s="4"/>
      <c r="D4880" s="4">
        <v>5.53055207868242</v>
      </c>
      <c r="E4880" s="4" t="s">
        <v>958</v>
      </c>
      <c r="F4880" s="4"/>
      <c r="G4880" s="4"/>
      <c r="H4880" s="4"/>
      <c r="I4880" s="4"/>
      <c r="J4880" s="18">
        <v>0.0</v>
      </c>
      <c r="K4880" s="4" t="s">
        <v>8494</v>
      </c>
      <c r="L4880" s="19" t="s">
        <v>8494</v>
      </c>
      <c r="M4880" s="20" t="s">
        <v>8494</v>
      </c>
    </row>
    <row r="4881">
      <c r="A4881" s="6"/>
      <c r="B4881" s="6"/>
      <c r="C4881" s="4"/>
      <c r="D4881" s="4">
        <v>38.6913512565157</v>
      </c>
      <c r="E4881" s="4" t="s">
        <v>7257</v>
      </c>
      <c r="F4881" s="4"/>
      <c r="G4881" s="4"/>
      <c r="H4881" s="4"/>
      <c r="I4881" s="4"/>
      <c r="J4881" s="18">
        <v>0.0</v>
      </c>
      <c r="K4881" s="4" t="s">
        <v>8494</v>
      </c>
      <c r="L4881" s="19" t="s">
        <v>8494</v>
      </c>
      <c r="M4881" s="20" t="s">
        <v>8494</v>
      </c>
    </row>
    <row r="4882">
      <c r="A4882" s="6"/>
      <c r="B4882" s="6"/>
      <c r="C4882" s="4"/>
      <c r="D4882" s="4">
        <v>43.5763374246588</v>
      </c>
      <c r="E4882" s="4" t="s">
        <v>1665</v>
      </c>
      <c r="F4882" s="4"/>
      <c r="G4882" s="4"/>
      <c r="H4882" s="4"/>
      <c r="I4882" s="4"/>
      <c r="J4882" s="18">
        <v>0.0</v>
      </c>
      <c r="K4882" s="4" t="s">
        <v>8494</v>
      </c>
      <c r="L4882" s="19" t="s">
        <v>8494</v>
      </c>
      <c r="M4882" s="20" t="s">
        <v>8494</v>
      </c>
    </row>
    <row r="4883">
      <c r="A4883" s="6"/>
      <c r="B4883" s="6"/>
      <c r="C4883" s="4"/>
      <c r="D4883" s="4">
        <v>10.479933607188899</v>
      </c>
      <c r="E4883" s="4" t="s">
        <v>7260</v>
      </c>
      <c r="F4883" s="4"/>
      <c r="G4883" s="4"/>
      <c r="H4883" s="4"/>
      <c r="I4883" s="4"/>
      <c r="J4883" s="18">
        <v>0.0</v>
      </c>
      <c r="K4883" s="4" t="s">
        <v>8494</v>
      </c>
      <c r="L4883" s="19" t="s">
        <v>8494</v>
      </c>
      <c r="M4883" s="20" t="s">
        <v>8494</v>
      </c>
    </row>
    <row r="4884">
      <c r="A4884" s="6"/>
      <c r="B4884" s="6"/>
      <c r="C4884" s="4"/>
      <c r="D4884" s="4">
        <v>3.8691302079677303</v>
      </c>
      <c r="E4884" s="4" t="s">
        <v>7262</v>
      </c>
      <c r="F4884" s="4"/>
      <c r="G4884" s="4"/>
      <c r="H4884" s="4"/>
      <c r="I4884" s="4"/>
      <c r="J4884" s="18">
        <v>0.0</v>
      </c>
      <c r="K4884" s="4" t="s">
        <v>8494</v>
      </c>
      <c r="L4884" s="19" t="s">
        <v>8494</v>
      </c>
      <c r="M4884" s="20" t="s">
        <v>8494</v>
      </c>
    </row>
    <row r="4885">
      <c r="A4885" s="6"/>
      <c r="B4885" s="6"/>
      <c r="C4885" s="4"/>
      <c r="D4885" s="4">
        <v>9.672825519919328</v>
      </c>
      <c r="E4885" s="4" t="s">
        <v>7263</v>
      </c>
      <c r="F4885" s="4"/>
      <c r="G4885" s="4"/>
      <c r="H4885" s="4"/>
      <c r="I4885" s="4"/>
      <c r="J4885" s="18">
        <v>0.0</v>
      </c>
      <c r="K4885" s="4" t="s">
        <v>8494</v>
      </c>
      <c r="L4885" s="19" t="s">
        <v>8494</v>
      </c>
      <c r="M4885" s="20" t="s">
        <v>8494</v>
      </c>
    </row>
    <row r="4886">
      <c r="A4886" s="6"/>
      <c r="B4886" s="6"/>
      <c r="C4886" s="4"/>
      <c r="D4886" s="4">
        <v>48.3641275995966</v>
      </c>
      <c r="E4886" s="4" t="s">
        <v>7264</v>
      </c>
      <c r="F4886" s="4"/>
      <c r="G4886" s="4"/>
      <c r="H4886" s="4"/>
      <c r="I4886" s="4"/>
      <c r="J4886" s="18">
        <v>0.0</v>
      </c>
      <c r="K4886" s="4" t="s">
        <v>8494</v>
      </c>
      <c r="L4886" s="19" t="s">
        <v>8494</v>
      </c>
      <c r="M4886" s="20" t="s">
        <v>8494</v>
      </c>
    </row>
    <row r="4887">
      <c r="A4887" s="6"/>
      <c r="B4887" s="6"/>
      <c r="C4887" s="4"/>
      <c r="D4887" s="4">
        <v>46.37108132004111</v>
      </c>
      <c r="E4887" s="4" t="s">
        <v>7265</v>
      </c>
      <c r="F4887" s="4"/>
      <c r="G4887" s="4"/>
      <c r="H4887" s="4"/>
      <c r="I4887" s="4"/>
      <c r="J4887" s="18">
        <v>0.0</v>
      </c>
      <c r="K4887" s="4" t="s">
        <v>8494</v>
      </c>
      <c r="L4887" s="19" t="s">
        <v>8494</v>
      </c>
      <c r="M4887" s="20" t="s">
        <v>8494</v>
      </c>
    </row>
    <row r="4888">
      <c r="A4888" s="6"/>
      <c r="B4888" s="6"/>
      <c r="C4888" s="4"/>
      <c r="D4888" s="4">
        <v>0.140663210238656</v>
      </c>
      <c r="E4888" s="4" t="s">
        <v>7267</v>
      </c>
      <c r="F4888" s="4"/>
      <c r="G4888" s="4"/>
      <c r="H4888" s="4"/>
      <c r="I4888" s="4"/>
      <c r="J4888" s="18">
        <v>0.0</v>
      </c>
      <c r="K4888" s="4" t="s">
        <v>8494</v>
      </c>
      <c r="L4888" s="19" t="s">
        <v>8494</v>
      </c>
      <c r="M4888" s="20" t="s">
        <v>8494</v>
      </c>
    </row>
    <row r="4889">
      <c r="A4889" s="6"/>
      <c r="B4889" s="6"/>
      <c r="C4889" s="4"/>
      <c r="D4889" s="4">
        <v>35.5815835310063</v>
      </c>
      <c r="E4889" s="4" t="s">
        <v>7269</v>
      </c>
      <c r="F4889" s="4"/>
      <c r="G4889" s="4"/>
      <c r="H4889" s="4"/>
      <c r="I4889" s="4"/>
      <c r="J4889" s="18">
        <v>0.0</v>
      </c>
      <c r="K4889" s="4" t="s">
        <v>8494</v>
      </c>
      <c r="L4889" s="19" t="s">
        <v>8494</v>
      </c>
      <c r="M4889" s="20" t="s">
        <v>8494</v>
      </c>
    </row>
    <row r="4890">
      <c r="A4890" s="6"/>
      <c r="B4890" s="6"/>
      <c r="C4890" s="4"/>
      <c r="D4890" s="4">
        <v>9.672825519919328</v>
      </c>
      <c r="E4890" s="4" t="s">
        <v>7271</v>
      </c>
      <c r="F4890" s="4"/>
      <c r="G4890" s="4"/>
      <c r="H4890" s="4"/>
      <c r="I4890" s="4"/>
      <c r="J4890" s="18">
        <v>0.0</v>
      </c>
      <c r="K4890" s="4" t="s">
        <v>8494</v>
      </c>
      <c r="L4890" s="19" t="s">
        <v>8494</v>
      </c>
      <c r="M4890" s="20" t="s">
        <v>8494</v>
      </c>
    </row>
    <row r="4891">
      <c r="A4891" s="6"/>
      <c r="B4891" s="6"/>
      <c r="C4891" s="4"/>
      <c r="D4891" s="4">
        <v>9.672825519919328</v>
      </c>
      <c r="E4891" s="4" t="s">
        <v>7272</v>
      </c>
      <c r="F4891" s="4"/>
      <c r="G4891" s="4"/>
      <c r="H4891" s="4"/>
      <c r="I4891" s="4"/>
      <c r="J4891" s="18">
        <v>0.0</v>
      </c>
      <c r="K4891" s="4" t="s">
        <v>8494</v>
      </c>
      <c r="L4891" s="19" t="s">
        <v>8494</v>
      </c>
      <c r="M4891" s="20" t="s">
        <v>8494</v>
      </c>
    </row>
    <row r="4892">
      <c r="A4892" s="6"/>
      <c r="B4892" s="6"/>
      <c r="C4892" s="4"/>
      <c r="D4892" s="4">
        <v>33.2797365521211</v>
      </c>
      <c r="E4892" s="4" t="s">
        <v>7273</v>
      </c>
      <c r="F4892" s="4"/>
      <c r="G4892" s="4"/>
      <c r="H4892" s="4"/>
      <c r="I4892" s="4"/>
      <c r="J4892" s="18">
        <v>0.0</v>
      </c>
      <c r="K4892" s="4" t="s">
        <v>8494</v>
      </c>
      <c r="L4892" s="19" t="s">
        <v>8494</v>
      </c>
      <c r="M4892" s="20" t="s">
        <v>8494</v>
      </c>
    </row>
    <row r="4893">
      <c r="A4893" s="6"/>
      <c r="B4893" s="6"/>
      <c r="C4893" s="4"/>
      <c r="D4893" s="4">
        <v>44.513852019271</v>
      </c>
      <c r="E4893" s="4" t="s">
        <v>7275</v>
      </c>
      <c r="F4893" s="4"/>
      <c r="G4893" s="4"/>
      <c r="H4893" s="4"/>
      <c r="I4893" s="4"/>
      <c r="J4893" s="18">
        <v>0.0</v>
      </c>
      <c r="K4893" s="4" t="s">
        <v>8494</v>
      </c>
      <c r="L4893" s="19" t="s">
        <v>8494</v>
      </c>
      <c r="M4893" s="20" t="s">
        <v>8494</v>
      </c>
    </row>
    <row r="4894">
      <c r="A4894" s="6"/>
      <c r="B4894" s="6"/>
      <c r="C4894" s="4"/>
      <c r="D4894" s="4">
        <v>45.456440365225305</v>
      </c>
      <c r="E4894" s="4" t="s">
        <v>7277</v>
      </c>
      <c r="F4894" s="4"/>
      <c r="G4894" s="4"/>
      <c r="H4894" s="4"/>
      <c r="I4894" s="4"/>
      <c r="J4894" s="18">
        <v>0.0</v>
      </c>
      <c r="K4894" s="4" t="s">
        <v>8494</v>
      </c>
      <c r="L4894" s="19" t="s">
        <v>8494</v>
      </c>
      <c r="M4894" s="20" t="s">
        <v>8494</v>
      </c>
    </row>
    <row r="4895">
      <c r="A4895" s="6"/>
      <c r="B4895" s="6"/>
      <c r="C4895" s="4"/>
      <c r="D4895" s="4">
        <v>186.01196020749998</v>
      </c>
      <c r="E4895" s="4" t="s">
        <v>5353</v>
      </c>
      <c r="F4895" s="4"/>
      <c r="G4895" s="4"/>
      <c r="H4895" s="4"/>
      <c r="I4895" s="4"/>
      <c r="J4895" s="18">
        <v>0.0</v>
      </c>
      <c r="K4895" s="4" t="s">
        <v>8494</v>
      </c>
      <c r="L4895" s="19" t="s">
        <v>8494</v>
      </c>
      <c r="M4895" s="20" t="s">
        <v>8494</v>
      </c>
    </row>
    <row r="4896">
      <c r="A4896" s="6"/>
      <c r="B4896" s="6"/>
      <c r="C4896" s="4"/>
      <c r="D4896" s="4">
        <v>14.159792857927</v>
      </c>
      <c r="E4896" s="4" t="s">
        <v>6764</v>
      </c>
      <c r="F4896" s="4"/>
      <c r="G4896" s="4"/>
      <c r="H4896" s="4"/>
      <c r="I4896" s="4"/>
      <c r="J4896" s="18">
        <v>0.0</v>
      </c>
      <c r="K4896" s="4" t="s">
        <v>8494</v>
      </c>
      <c r="L4896" s="19" t="s">
        <v>8494</v>
      </c>
      <c r="M4896" s="20" t="s">
        <v>8494</v>
      </c>
    </row>
    <row r="4897">
      <c r="A4897" s="6"/>
      <c r="B4897" s="6"/>
      <c r="C4897" s="4"/>
      <c r="D4897" s="4">
        <v>4.61177654665637</v>
      </c>
      <c r="E4897" s="4" t="s">
        <v>6899</v>
      </c>
      <c r="F4897" s="4"/>
      <c r="G4897" s="4"/>
      <c r="H4897" s="4"/>
      <c r="I4897" s="4"/>
      <c r="J4897" s="18">
        <v>0.0</v>
      </c>
      <c r="K4897" s="4" t="s">
        <v>8494</v>
      </c>
      <c r="L4897" s="19" t="s">
        <v>8494</v>
      </c>
      <c r="M4897" s="20" t="s">
        <v>8494</v>
      </c>
    </row>
    <row r="4898">
      <c r="A4898" s="6"/>
      <c r="B4898" s="6"/>
      <c r="C4898" s="4"/>
      <c r="D4898" s="4">
        <v>166.504435956655</v>
      </c>
      <c r="E4898" s="4" t="s">
        <v>80</v>
      </c>
      <c r="F4898" s="4"/>
      <c r="G4898" s="4"/>
      <c r="H4898" s="4"/>
      <c r="I4898" s="4"/>
      <c r="J4898" s="18">
        <v>0.0</v>
      </c>
      <c r="K4898" s="4" t="s">
        <v>8494</v>
      </c>
      <c r="L4898" s="19" t="s">
        <v>8494</v>
      </c>
      <c r="M4898" s="20" t="s">
        <v>8494</v>
      </c>
    </row>
    <row r="4899">
      <c r="A4899" s="6"/>
      <c r="B4899" s="6"/>
      <c r="C4899" s="4"/>
      <c r="D4899" s="4">
        <v>186.01196020749998</v>
      </c>
      <c r="E4899" s="4" t="s">
        <v>1019</v>
      </c>
      <c r="F4899" s="4"/>
      <c r="G4899" s="4"/>
      <c r="H4899" s="4"/>
      <c r="I4899" s="4"/>
      <c r="J4899" s="18">
        <v>0.0</v>
      </c>
      <c r="K4899" s="4" t="s">
        <v>8494</v>
      </c>
      <c r="L4899" s="19" t="s">
        <v>8494</v>
      </c>
      <c r="M4899" s="20" t="s">
        <v>8494</v>
      </c>
    </row>
    <row r="4900">
      <c r="A4900" s="6"/>
      <c r="B4900" s="6"/>
      <c r="C4900" s="4"/>
      <c r="D4900" s="4">
        <v>65.1041860726253</v>
      </c>
      <c r="E4900" s="4" t="s">
        <v>1848</v>
      </c>
      <c r="F4900" s="4"/>
      <c r="G4900" s="4"/>
      <c r="H4900" s="4"/>
      <c r="I4900" s="4"/>
      <c r="J4900" s="18">
        <v>0.0</v>
      </c>
      <c r="K4900" s="4" t="s">
        <v>8494</v>
      </c>
      <c r="L4900" s="19" t="s">
        <v>8494</v>
      </c>
      <c r="M4900" s="20" t="s">
        <v>8494</v>
      </c>
    </row>
    <row r="4901">
      <c r="A4901" s="6"/>
      <c r="B4901" s="6"/>
      <c r="C4901" s="4"/>
      <c r="D4901" s="4">
        <v>29.7619136332001</v>
      </c>
      <c r="E4901" s="4" t="s">
        <v>5089</v>
      </c>
      <c r="F4901" s="4"/>
      <c r="G4901" s="4"/>
      <c r="H4901" s="4"/>
      <c r="I4901" s="4"/>
      <c r="J4901" s="18">
        <v>0.0</v>
      </c>
      <c r="K4901" s="4" t="s">
        <v>8494</v>
      </c>
      <c r="L4901" s="19" t="s">
        <v>8494</v>
      </c>
      <c r="M4901" s="20" t="s">
        <v>8494</v>
      </c>
    </row>
    <row r="4902">
      <c r="A4902" s="6"/>
      <c r="B4902" s="6"/>
      <c r="C4902" s="4"/>
      <c r="D4902" s="4">
        <v>8.80717589452728</v>
      </c>
      <c r="E4902" s="4" t="s">
        <v>4782</v>
      </c>
      <c r="F4902" s="4"/>
      <c r="G4902" s="4"/>
      <c r="H4902" s="4"/>
      <c r="I4902" s="4"/>
      <c r="J4902" s="18">
        <v>0.0</v>
      </c>
      <c r="K4902" s="4" t="s">
        <v>8494</v>
      </c>
      <c r="L4902" s="19" t="s">
        <v>8494</v>
      </c>
      <c r="M4902" s="20" t="s">
        <v>8494</v>
      </c>
    </row>
    <row r="4903">
      <c r="A4903" s="6"/>
      <c r="B4903" s="6"/>
      <c r="C4903" s="4"/>
      <c r="D4903" s="4">
        <v>118.540514328249</v>
      </c>
      <c r="E4903" s="4" t="s">
        <v>5351</v>
      </c>
      <c r="F4903" s="4"/>
      <c r="G4903" s="4"/>
      <c r="H4903" s="4"/>
      <c r="I4903" s="4"/>
      <c r="J4903" s="18">
        <v>0.0</v>
      </c>
      <c r="K4903" s="4" t="s">
        <v>8494</v>
      </c>
      <c r="L4903" s="19" t="s">
        <v>8494</v>
      </c>
      <c r="M4903" s="20" t="s">
        <v>8494</v>
      </c>
    </row>
    <row r="4904">
      <c r="A4904" s="6"/>
      <c r="B4904" s="6"/>
      <c r="C4904" s="4"/>
      <c r="D4904" s="4">
        <v>9.34729123746278</v>
      </c>
      <c r="E4904" s="4" t="s">
        <v>4111</v>
      </c>
      <c r="F4904" s="4"/>
      <c r="G4904" s="4"/>
      <c r="H4904" s="4"/>
      <c r="I4904" s="4"/>
      <c r="J4904" s="18">
        <v>0.0</v>
      </c>
      <c r="K4904" s="4" t="s">
        <v>8494</v>
      </c>
      <c r="L4904" s="19" t="s">
        <v>8494</v>
      </c>
      <c r="M4904" s="20" t="s">
        <v>8494</v>
      </c>
    </row>
    <row r="4905">
      <c r="A4905" s="6"/>
      <c r="B4905" s="6"/>
      <c r="C4905" s="4"/>
      <c r="D4905" s="4">
        <v>4.7910681053744995</v>
      </c>
      <c r="E4905" s="4" t="s">
        <v>7289</v>
      </c>
      <c r="F4905" s="4"/>
      <c r="G4905" s="4"/>
      <c r="H4905" s="4"/>
      <c r="I4905" s="4"/>
      <c r="J4905" s="18">
        <v>0.0</v>
      </c>
      <c r="K4905" s="4" t="s">
        <v>8494</v>
      </c>
      <c r="L4905" s="19" t="s">
        <v>8494</v>
      </c>
      <c r="M4905" s="20" t="s">
        <v>8494</v>
      </c>
    </row>
    <row r="4906">
      <c r="A4906" s="6"/>
      <c r="B4906" s="6"/>
      <c r="C4906" s="4"/>
      <c r="D4906" s="4">
        <v>9.30059801037504</v>
      </c>
      <c r="E4906" s="4" t="s">
        <v>4973</v>
      </c>
      <c r="F4906" s="4"/>
      <c r="G4906" s="4"/>
      <c r="H4906" s="4"/>
      <c r="I4906" s="4"/>
      <c r="J4906" s="18">
        <v>0.0</v>
      </c>
      <c r="K4906" s="4" t="s">
        <v>8494</v>
      </c>
      <c r="L4906" s="19" t="s">
        <v>8494</v>
      </c>
      <c r="M4906" s="20" t="s">
        <v>8494</v>
      </c>
    </row>
    <row r="4907">
      <c r="A4907" s="6"/>
      <c r="B4907" s="6"/>
      <c r="C4907" s="4"/>
      <c r="D4907" s="4">
        <v>0.545040155888966</v>
      </c>
      <c r="E4907" s="4" t="s">
        <v>264</v>
      </c>
      <c r="F4907" s="4"/>
      <c r="G4907" s="4"/>
      <c r="H4907" s="4"/>
      <c r="I4907" s="4"/>
      <c r="J4907" s="18">
        <v>0.0</v>
      </c>
      <c r="K4907" s="4" t="s">
        <v>8494</v>
      </c>
      <c r="L4907" s="19" t="s">
        <v>8494</v>
      </c>
      <c r="M4907" s="20" t="s">
        <v>8494</v>
      </c>
    </row>
    <row r="4908">
      <c r="A4908" s="6"/>
      <c r="B4908" s="6"/>
      <c r="C4908" s="4"/>
      <c r="D4908" s="4">
        <v>186.01196020749998</v>
      </c>
      <c r="E4908" s="4" t="s">
        <v>749</v>
      </c>
      <c r="F4908" s="4"/>
      <c r="G4908" s="4"/>
      <c r="H4908" s="4"/>
      <c r="I4908" s="4"/>
      <c r="J4908" s="18">
        <v>0.0</v>
      </c>
      <c r="K4908" s="4" t="s">
        <v>8494</v>
      </c>
      <c r="L4908" s="19" t="s">
        <v>8494</v>
      </c>
      <c r="M4908" s="20" t="s">
        <v>8494</v>
      </c>
    </row>
    <row r="4909">
      <c r="A4909" s="6"/>
      <c r="B4909" s="6"/>
      <c r="C4909" s="4"/>
      <c r="D4909" s="4">
        <v>9.30059801037504</v>
      </c>
      <c r="E4909" s="4" t="s">
        <v>3612</v>
      </c>
      <c r="F4909" s="4"/>
      <c r="G4909" s="4"/>
      <c r="H4909" s="4"/>
      <c r="I4909" s="4"/>
      <c r="J4909" s="18">
        <v>0.0</v>
      </c>
      <c r="K4909" s="4" t="s">
        <v>8494</v>
      </c>
      <c r="L4909" s="19" t="s">
        <v>8494</v>
      </c>
      <c r="M4909" s="20" t="s">
        <v>8494</v>
      </c>
    </row>
    <row r="4910">
      <c r="A4910" s="6"/>
      <c r="B4910" s="6"/>
      <c r="C4910" s="4"/>
      <c r="D4910" s="4">
        <v>56.1932450395552</v>
      </c>
      <c r="E4910" s="4" t="s">
        <v>5965</v>
      </c>
      <c r="F4910" s="4"/>
      <c r="G4910" s="4"/>
      <c r="H4910" s="4"/>
      <c r="I4910" s="4"/>
      <c r="J4910" s="18">
        <v>0.0</v>
      </c>
      <c r="K4910" s="4" t="s">
        <v>8494</v>
      </c>
      <c r="L4910" s="19" t="s">
        <v>8494</v>
      </c>
      <c r="M4910" s="20" t="s">
        <v>8494</v>
      </c>
    </row>
    <row r="4911">
      <c r="A4911" s="6"/>
      <c r="B4911" s="6"/>
      <c r="C4911" s="4"/>
      <c r="D4911" s="4">
        <v>186.01196020749998</v>
      </c>
      <c r="E4911" s="4" t="s">
        <v>580</v>
      </c>
      <c r="F4911" s="4"/>
      <c r="G4911" s="4"/>
      <c r="H4911" s="4"/>
      <c r="I4911" s="4"/>
      <c r="J4911" s="18">
        <v>0.0</v>
      </c>
      <c r="K4911" s="4" t="s">
        <v>8494</v>
      </c>
      <c r="L4911" s="19" t="s">
        <v>8494</v>
      </c>
      <c r="M4911" s="20" t="s">
        <v>8494</v>
      </c>
    </row>
    <row r="4912">
      <c r="A4912" s="6"/>
      <c r="B4912" s="6"/>
      <c r="C4912" s="4"/>
      <c r="D4912" s="4">
        <v>9.30059801037504</v>
      </c>
      <c r="E4912" s="4" t="s">
        <v>3244</v>
      </c>
      <c r="F4912" s="4"/>
      <c r="G4912" s="4"/>
      <c r="H4912" s="4"/>
      <c r="I4912" s="4"/>
      <c r="J4912" s="18">
        <v>0.0</v>
      </c>
      <c r="K4912" s="4" t="s">
        <v>8494</v>
      </c>
      <c r="L4912" s="19" t="s">
        <v>8494</v>
      </c>
      <c r="M4912" s="20" t="s">
        <v>8494</v>
      </c>
    </row>
    <row r="4913">
      <c r="A4913" s="6"/>
      <c r="B4913" s="6"/>
      <c r="C4913" s="4"/>
      <c r="D4913" s="4">
        <v>3.92659126120179</v>
      </c>
      <c r="E4913" s="4" t="s">
        <v>6506</v>
      </c>
      <c r="F4913" s="4"/>
      <c r="G4913" s="4"/>
      <c r="H4913" s="4"/>
      <c r="I4913" s="4"/>
      <c r="J4913" s="18">
        <v>0.0</v>
      </c>
      <c r="K4913" s="4" t="s">
        <v>8494</v>
      </c>
      <c r="L4913" s="19" t="s">
        <v>8494</v>
      </c>
      <c r="M4913" s="20" t="s">
        <v>8494</v>
      </c>
    </row>
    <row r="4914">
      <c r="A4914" s="6"/>
      <c r="B4914" s="6"/>
      <c r="C4914" s="4"/>
      <c r="D4914" s="4">
        <v>25.7204514480707</v>
      </c>
      <c r="E4914" s="4" t="s">
        <v>1825</v>
      </c>
      <c r="F4914" s="4"/>
      <c r="G4914" s="4"/>
      <c r="H4914" s="4"/>
      <c r="I4914" s="4"/>
      <c r="J4914" s="18">
        <v>0.0</v>
      </c>
      <c r="K4914" s="4" t="s">
        <v>8494</v>
      </c>
      <c r="L4914" s="19" t="s">
        <v>8494</v>
      </c>
      <c r="M4914" s="20" t="s">
        <v>8494</v>
      </c>
    </row>
    <row r="4915">
      <c r="A4915" s="6"/>
      <c r="B4915" s="6"/>
      <c r="C4915" s="4"/>
      <c r="D4915" s="4">
        <v>9.30059801037504</v>
      </c>
      <c r="E4915" s="4" t="s">
        <v>6509</v>
      </c>
      <c r="F4915" s="4"/>
      <c r="G4915" s="4"/>
      <c r="H4915" s="4"/>
      <c r="I4915" s="4"/>
      <c r="J4915" s="18">
        <v>0.0</v>
      </c>
      <c r="K4915" s="4" t="s">
        <v>8494</v>
      </c>
      <c r="L4915" s="19" t="s">
        <v>8494</v>
      </c>
      <c r="M4915" s="20" t="s">
        <v>8494</v>
      </c>
    </row>
    <row r="4916">
      <c r="A4916" s="6"/>
      <c r="B4916" s="6"/>
      <c r="C4916" s="4"/>
      <c r="D4916" s="4">
        <v>186.01196020749998</v>
      </c>
      <c r="E4916" s="4" t="s">
        <v>542</v>
      </c>
      <c r="F4916" s="4"/>
      <c r="G4916" s="4"/>
      <c r="H4916" s="4"/>
      <c r="I4916" s="4"/>
      <c r="J4916" s="18">
        <v>0.0</v>
      </c>
      <c r="K4916" s="4" t="s">
        <v>8494</v>
      </c>
      <c r="L4916" s="19" t="s">
        <v>8494</v>
      </c>
      <c r="M4916" s="20" t="s">
        <v>8494</v>
      </c>
    </row>
    <row r="4917">
      <c r="A4917" s="6"/>
      <c r="B4917" s="6"/>
      <c r="C4917" s="4"/>
      <c r="D4917" s="4">
        <v>9.30059801037504</v>
      </c>
      <c r="E4917" s="4" t="s">
        <v>5349</v>
      </c>
      <c r="F4917" s="4"/>
      <c r="G4917" s="4"/>
      <c r="H4917" s="4"/>
      <c r="I4917" s="4"/>
      <c r="J4917" s="18">
        <v>0.0</v>
      </c>
      <c r="K4917" s="4" t="s">
        <v>8494</v>
      </c>
      <c r="L4917" s="19" t="s">
        <v>8494</v>
      </c>
      <c r="M4917" s="20" t="s">
        <v>8494</v>
      </c>
    </row>
    <row r="4918">
      <c r="A4918" s="6"/>
      <c r="B4918" s="6"/>
      <c r="C4918" s="4"/>
      <c r="D4918" s="4">
        <v>158.110166176375</v>
      </c>
      <c r="E4918" s="4" t="s">
        <v>7296</v>
      </c>
      <c r="F4918" s="4"/>
      <c r="G4918" s="4"/>
      <c r="H4918" s="4"/>
      <c r="I4918" s="4"/>
      <c r="J4918" s="18">
        <v>0.0</v>
      </c>
      <c r="K4918" s="4" t="s">
        <v>8494</v>
      </c>
      <c r="L4918" s="19" t="s">
        <v>8494</v>
      </c>
      <c r="M4918" s="20" t="s">
        <v>8494</v>
      </c>
    </row>
    <row r="4919">
      <c r="A4919" s="6"/>
      <c r="B4919" s="6"/>
      <c r="C4919" s="4"/>
      <c r="D4919" s="4">
        <v>106.323396053813</v>
      </c>
      <c r="E4919" s="4" t="s">
        <v>7298</v>
      </c>
      <c r="F4919" s="4"/>
      <c r="G4919" s="4"/>
      <c r="H4919" s="4"/>
      <c r="I4919" s="4"/>
      <c r="J4919" s="18">
        <v>0.0</v>
      </c>
      <c r="K4919" s="4" t="s">
        <v>8494</v>
      </c>
      <c r="L4919" s="19" t="s">
        <v>8494</v>
      </c>
      <c r="M4919" s="20" t="s">
        <v>8494</v>
      </c>
    </row>
    <row r="4920">
      <c r="A4920" s="6"/>
      <c r="B4920" s="6"/>
      <c r="C4920" s="4"/>
      <c r="D4920" s="4">
        <v>6.77569406064516</v>
      </c>
      <c r="E4920" s="4" t="s">
        <v>7111</v>
      </c>
      <c r="F4920" s="4"/>
      <c r="G4920" s="4"/>
      <c r="H4920" s="4"/>
      <c r="I4920" s="4"/>
      <c r="J4920" s="18">
        <v>0.0</v>
      </c>
      <c r="K4920" s="4" t="s">
        <v>8494</v>
      </c>
      <c r="L4920" s="19" t="s">
        <v>8494</v>
      </c>
      <c r="M4920" s="20" t="s">
        <v>8494</v>
      </c>
    </row>
    <row r="4921">
      <c r="A4921" s="6"/>
      <c r="B4921" s="6"/>
      <c r="C4921" s="4"/>
      <c r="D4921" s="4">
        <v>84.11722742911991</v>
      </c>
      <c r="E4921" s="4" t="s">
        <v>3412</v>
      </c>
      <c r="F4921" s="4"/>
      <c r="G4921" s="4"/>
      <c r="H4921" s="4"/>
      <c r="I4921" s="4"/>
      <c r="J4921" s="18">
        <v>0.0</v>
      </c>
      <c r="K4921" s="4" t="s">
        <v>8494</v>
      </c>
      <c r="L4921" s="19" t="s">
        <v>8494</v>
      </c>
      <c r="M4921" s="20" t="s">
        <v>8494</v>
      </c>
    </row>
    <row r="4922">
      <c r="A4922" s="6"/>
      <c r="B4922" s="6"/>
      <c r="C4922" s="4"/>
      <c r="D4922" s="4">
        <v>186.01196020749998</v>
      </c>
      <c r="E4922" s="4" t="s">
        <v>2817</v>
      </c>
      <c r="F4922" s="4"/>
      <c r="G4922" s="4"/>
      <c r="H4922" s="4"/>
      <c r="I4922" s="4"/>
      <c r="J4922" s="18">
        <v>0.0</v>
      </c>
      <c r="K4922" s="4" t="s">
        <v>8494</v>
      </c>
      <c r="L4922" s="19" t="s">
        <v>8494</v>
      </c>
      <c r="M4922" s="20" t="s">
        <v>8494</v>
      </c>
    </row>
    <row r="4923">
      <c r="A4923" s="6"/>
      <c r="B4923" s="6"/>
      <c r="C4923" s="4"/>
      <c r="D4923" s="4">
        <v>1.1801006412339998</v>
      </c>
      <c r="E4923" s="4" t="s">
        <v>796</v>
      </c>
      <c r="F4923" s="4"/>
      <c r="G4923" s="4"/>
      <c r="H4923" s="4"/>
      <c r="I4923" s="4"/>
      <c r="J4923" s="18">
        <v>0.0</v>
      </c>
      <c r="K4923" s="4" t="s">
        <v>8494</v>
      </c>
      <c r="L4923" s="19" t="s">
        <v>8494</v>
      </c>
      <c r="M4923" s="20" t="s">
        <v>8494</v>
      </c>
    </row>
    <row r="4924">
      <c r="A4924" s="6"/>
      <c r="B4924" s="6"/>
      <c r="C4924" s="4"/>
      <c r="D4924" s="4">
        <v>23.043428719929597</v>
      </c>
      <c r="E4924" s="4" t="s">
        <v>5900</v>
      </c>
      <c r="F4924" s="4"/>
      <c r="G4924" s="4"/>
      <c r="H4924" s="4"/>
      <c r="I4924" s="4"/>
      <c r="J4924" s="18">
        <v>0.0</v>
      </c>
      <c r="K4924" s="4" t="s">
        <v>8494</v>
      </c>
      <c r="L4924" s="19" t="s">
        <v>8494</v>
      </c>
      <c r="M4924" s="20" t="s">
        <v>8494</v>
      </c>
    </row>
    <row r="4925">
      <c r="A4925" s="6"/>
      <c r="B4925" s="6"/>
      <c r="C4925" s="4"/>
      <c r="D4925" s="4">
        <v>55.8035880622502</v>
      </c>
      <c r="E4925" s="4" t="s">
        <v>7304</v>
      </c>
      <c r="F4925" s="4"/>
      <c r="G4925" s="4"/>
      <c r="H4925" s="4"/>
      <c r="I4925" s="4"/>
      <c r="J4925" s="18">
        <v>0.0</v>
      </c>
      <c r="K4925" s="4" t="s">
        <v>8494</v>
      </c>
      <c r="L4925" s="19" t="s">
        <v>8494</v>
      </c>
      <c r="M4925" s="20" t="s">
        <v>8494</v>
      </c>
    </row>
    <row r="4926">
      <c r="A4926" s="6"/>
      <c r="B4926" s="6"/>
      <c r="C4926" s="4"/>
      <c r="D4926" s="4">
        <v>186.01196020749998</v>
      </c>
      <c r="E4926" s="4" t="s">
        <v>7066</v>
      </c>
      <c r="F4926" s="4"/>
      <c r="G4926" s="4"/>
      <c r="H4926" s="4"/>
      <c r="I4926" s="4"/>
      <c r="J4926" s="18">
        <v>0.0</v>
      </c>
      <c r="K4926" s="4" t="s">
        <v>8494</v>
      </c>
      <c r="L4926" s="19" t="s">
        <v>8494</v>
      </c>
      <c r="M4926" s="20" t="s">
        <v>8494</v>
      </c>
    </row>
    <row r="4927">
      <c r="A4927" s="6"/>
      <c r="B4927" s="6"/>
      <c r="C4927" s="4"/>
      <c r="D4927" s="4">
        <v>65.1041860726253</v>
      </c>
      <c r="E4927" s="4" t="s">
        <v>5738</v>
      </c>
      <c r="F4927" s="4"/>
      <c r="G4927" s="4"/>
      <c r="H4927" s="4"/>
      <c r="I4927" s="4"/>
      <c r="J4927" s="18">
        <v>0.0</v>
      </c>
      <c r="K4927" s="4" t="s">
        <v>8494</v>
      </c>
      <c r="L4927" s="19" t="s">
        <v>8494</v>
      </c>
      <c r="M4927" s="20" t="s">
        <v>8494</v>
      </c>
    </row>
    <row r="4928">
      <c r="A4928" s="6"/>
      <c r="B4928" s="6"/>
      <c r="C4928" s="4"/>
      <c r="D4928" s="4">
        <v>9.30059801037504</v>
      </c>
      <c r="E4928" s="4" t="s">
        <v>7306</v>
      </c>
      <c r="F4928" s="4"/>
      <c r="G4928" s="4"/>
      <c r="H4928" s="4"/>
      <c r="I4928" s="4"/>
      <c r="J4928" s="18">
        <v>0.0</v>
      </c>
      <c r="K4928" s="4" t="s">
        <v>8494</v>
      </c>
      <c r="L4928" s="19" t="s">
        <v>8494</v>
      </c>
      <c r="M4928" s="20" t="s">
        <v>8494</v>
      </c>
    </row>
    <row r="4929">
      <c r="A4929" s="6"/>
      <c r="B4929" s="6"/>
      <c r="C4929" s="4"/>
      <c r="D4929" s="4">
        <v>77.18191136466619</v>
      </c>
      <c r="E4929" s="4" t="s">
        <v>4375</v>
      </c>
      <c r="F4929" s="4"/>
      <c r="G4929" s="4"/>
      <c r="H4929" s="4"/>
      <c r="I4929" s="4"/>
      <c r="J4929" s="18">
        <v>0.0</v>
      </c>
      <c r="K4929" s="4" t="s">
        <v>8494</v>
      </c>
      <c r="L4929" s="19" t="s">
        <v>8494</v>
      </c>
      <c r="M4929" s="20" t="s">
        <v>8494</v>
      </c>
    </row>
    <row r="4930">
      <c r="A4930" s="6"/>
      <c r="B4930" s="6"/>
      <c r="C4930" s="4"/>
      <c r="D4930" s="4">
        <v>28.0945355193802</v>
      </c>
      <c r="E4930" s="4" t="s">
        <v>1856</v>
      </c>
      <c r="F4930" s="4"/>
      <c r="G4930" s="4"/>
      <c r="H4930" s="4"/>
      <c r="I4930" s="4"/>
      <c r="J4930" s="18">
        <v>0.0</v>
      </c>
      <c r="K4930" s="4" t="s">
        <v>8494</v>
      </c>
      <c r="L4930" s="19" t="s">
        <v>8494</v>
      </c>
      <c r="M4930" s="20" t="s">
        <v>8494</v>
      </c>
    </row>
    <row r="4931">
      <c r="A4931" s="6"/>
      <c r="B4931" s="6"/>
      <c r="C4931" s="4"/>
      <c r="D4931" s="4">
        <v>19.4382498416838</v>
      </c>
      <c r="E4931" s="4" t="s">
        <v>6681</v>
      </c>
      <c r="F4931" s="4"/>
      <c r="G4931" s="4"/>
      <c r="H4931" s="4"/>
      <c r="I4931" s="4"/>
      <c r="J4931" s="18">
        <v>0.0</v>
      </c>
      <c r="K4931" s="4" t="s">
        <v>8494</v>
      </c>
      <c r="L4931" s="19" t="s">
        <v>8494</v>
      </c>
      <c r="M4931" s="20" t="s">
        <v>8494</v>
      </c>
    </row>
    <row r="4932">
      <c r="A4932" s="6"/>
      <c r="B4932" s="6"/>
      <c r="C4932" s="4"/>
      <c r="D4932" s="4">
        <v>3.73605191998691</v>
      </c>
      <c r="E4932" s="4" t="s">
        <v>4296</v>
      </c>
      <c r="F4932" s="4"/>
      <c r="G4932" s="4"/>
      <c r="H4932" s="4"/>
      <c r="I4932" s="4"/>
      <c r="J4932" s="18">
        <v>0.0</v>
      </c>
      <c r="K4932" s="4" t="s">
        <v>8494</v>
      </c>
      <c r="L4932" s="19" t="s">
        <v>8494</v>
      </c>
      <c r="M4932" s="20" t="s">
        <v>8494</v>
      </c>
    </row>
    <row r="4933">
      <c r="A4933" s="6"/>
      <c r="B4933" s="6"/>
      <c r="C4933" s="4"/>
      <c r="D4933" s="4">
        <v>186.01196020749998</v>
      </c>
      <c r="E4933" s="4" t="s">
        <v>7311</v>
      </c>
      <c r="F4933" s="4"/>
      <c r="G4933" s="4"/>
      <c r="H4933" s="4"/>
      <c r="I4933" s="4"/>
      <c r="J4933" s="18">
        <v>0.0</v>
      </c>
      <c r="K4933" s="4" t="s">
        <v>8494</v>
      </c>
      <c r="L4933" s="19" t="s">
        <v>8494</v>
      </c>
      <c r="M4933" s="20" t="s">
        <v>8494</v>
      </c>
    </row>
    <row r="4934">
      <c r="A4934" s="6"/>
      <c r="B4934" s="6"/>
      <c r="C4934" s="4"/>
      <c r="D4934" s="4">
        <v>78.6494975555466</v>
      </c>
      <c r="E4934" s="4" t="s">
        <v>7312</v>
      </c>
      <c r="F4934" s="4"/>
      <c r="G4934" s="4"/>
      <c r="H4934" s="4"/>
      <c r="I4934" s="4"/>
      <c r="J4934" s="18">
        <v>0.0</v>
      </c>
      <c r="K4934" s="4" t="s">
        <v>8494</v>
      </c>
      <c r="L4934" s="19" t="s">
        <v>8494</v>
      </c>
      <c r="M4934" s="20" t="s">
        <v>8494</v>
      </c>
    </row>
    <row r="4935">
      <c r="A4935" s="6"/>
      <c r="B4935" s="6"/>
      <c r="C4935" s="4"/>
      <c r="D4935" s="4">
        <v>57.874877118281596</v>
      </c>
      <c r="E4935" s="4" t="s">
        <v>3285</v>
      </c>
      <c r="F4935" s="4"/>
      <c r="G4935" s="4"/>
      <c r="H4935" s="4"/>
      <c r="I4935" s="4"/>
      <c r="J4935" s="18">
        <v>0.0</v>
      </c>
      <c r="K4935" s="4" t="s">
        <v>8494</v>
      </c>
      <c r="L4935" s="19" t="s">
        <v>8494</v>
      </c>
      <c r="M4935" s="20" t="s">
        <v>8494</v>
      </c>
    </row>
    <row r="4936">
      <c r="A4936" s="6"/>
      <c r="B4936" s="6"/>
      <c r="C4936" s="4"/>
      <c r="D4936" s="4">
        <v>149.531497410679</v>
      </c>
      <c r="E4936" s="4" t="s">
        <v>6905</v>
      </c>
      <c r="F4936" s="4"/>
      <c r="G4936" s="4"/>
      <c r="H4936" s="4"/>
      <c r="I4936" s="4"/>
      <c r="J4936" s="18">
        <v>0.0</v>
      </c>
      <c r="K4936" s="4" t="s">
        <v>8494</v>
      </c>
      <c r="L4936" s="19" t="s">
        <v>8494</v>
      </c>
      <c r="M4936" s="20" t="s">
        <v>8494</v>
      </c>
    </row>
    <row r="4937">
      <c r="A4937" s="6"/>
      <c r="B4937" s="6"/>
      <c r="C4937" s="4"/>
      <c r="D4937" s="4">
        <v>52.1668203281602</v>
      </c>
      <c r="E4937" s="4" t="s">
        <v>6638</v>
      </c>
      <c r="F4937" s="4"/>
      <c r="G4937" s="4"/>
      <c r="H4937" s="4"/>
      <c r="I4937" s="4"/>
      <c r="J4937" s="18">
        <v>0.0</v>
      </c>
      <c r="K4937" s="4" t="s">
        <v>8494</v>
      </c>
      <c r="L4937" s="19" t="s">
        <v>8494</v>
      </c>
      <c r="M4937" s="20" t="s">
        <v>8494</v>
      </c>
    </row>
    <row r="4938">
      <c r="A4938" s="6"/>
      <c r="B4938" s="6"/>
      <c r="C4938" s="4"/>
      <c r="D4938" s="4">
        <v>46.8928479629111</v>
      </c>
      <c r="E4938" s="4" t="s">
        <v>6560</v>
      </c>
      <c r="F4938" s="4"/>
      <c r="G4938" s="4"/>
      <c r="H4938" s="4"/>
      <c r="I4938" s="4"/>
      <c r="J4938" s="18">
        <v>0.0</v>
      </c>
      <c r="K4938" s="4" t="s">
        <v>8494</v>
      </c>
      <c r="L4938" s="19" t="s">
        <v>8494</v>
      </c>
      <c r="M4938" s="20" t="s">
        <v>8494</v>
      </c>
    </row>
    <row r="4939">
      <c r="A4939" s="6"/>
      <c r="B4939" s="6"/>
      <c r="C4939" s="4"/>
      <c r="D4939" s="4">
        <v>43.4296054623934</v>
      </c>
      <c r="E4939" s="4" t="s">
        <v>5377</v>
      </c>
      <c r="F4939" s="4"/>
      <c r="G4939" s="4"/>
      <c r="H4939" s="4"/>
      <c r="I4939" s="4"/>
      <c r="J4939" s="18">
        <v>0.0</v>
      </c>
      <c r="K4939" s="4" t="s">
        <v>8494</v>
      </c>
      <c r="L4939" s="19" t="s">
        <v>8494</v>
      </c>
      <c r="M4939" s="20" t="s">
        <v>8494</v>
      </c>
    </row>
    <row r="4940">
      <c r="A4940" s="6"/>
      <c r="B4940" s="6"/>
      <c r="C4940" s="4"/>
      <c r="D4940" s="4">
        <v>35.3422724394251</v>
      </c>
      <c r="E4940" s="4" t="s">
        <v>6751</v>
      </c>
      <c r="F4940" s="4"/>
      <c r="G4940" s="4"/>
      <c r="H4940" s="4"/>
      <c r="I4940" s="4"/>
      <c r="J4940" s="18">
        <v>0.0</v>
      </c>
      <c r="K4940" s="4" t="s">
        <v>8494</v>
      </c>
      <c r="L4940" s="19" t="s">
        <v>8494</v>
      </c>
      <c r="M4940" s="20" t="s">
        <v>8494</v>
      </c>
    </row>
    <row r="4941">
      <c r="A4941" s="6"/>
      <c r="B4941" s="6"/>
      <c r="C4941" s="4"/>
      <c r="D4941" s="4">
        <v>12.051492414612401</v>
      </c>
      <c r="E4941" s="4" t="s">
        <v>2197</v>
      </c>
      <c r="F4941" s="4"/>
      <c r="G4941" s="4"/>
      <c r="H4941" s="4"/>
      <c r="I4941" s="4"/>
      <c r="J4941" s="18">
        <v>0.0</v>
      </c>
      <c r="K4941" s="4" t="s">
        <v>8494</v>
      </c>
      <c r="L4941" s="19" t="s">
        <v>8494</v>
      </c>
      <c r="M4941" s="20" t="s">
        <v>8494</v>
      </c>
    </row>
    <row r="4942">
      <c r="A4942" s="6"/>
      <c r="B4942" s="6"/>
      <c r="C4942" s="4"/>
      <c r="D4942" s="4">
        <v>186.01196020749998</v>
      </c>
      <c r="E4942" s="4" t="s">
        <v>7321</v>
      </c>
      <c r="F4942" s="4"/>
      <c r="G4942" s="4"/>
      <c r="H4942" s="4"/>
      <c r="I4942" s="4"/>
      <c r="J4942" s="18">
        <v>0.0</v>
      </c>
      <c r="K4942" s="4" t="s">
        <v>8494</v>
      </c>
      <c r="L4942" s="19" t="s">
        <v>8494</v>
      </c>
      <c r="M4942" s="20" t="s">
        <v>8494</v>
      </c>
    </row>
    <row r="4943">
      <c r="A4943" s="6"/>
      <c r="B4943" s="6"/>
      <c r="C4943" s="4"/>
      <c r="D4943" s="4">
        <v>186.01196020749998</v>
      </c>
      <c r="E4943" s="4" t="s">
        <v>3105</v>
      </c>
      <c r="F4943" s="4"/>
      <c r="G4943" s="4"/>
      <c r="H4943" s="4"/>
      <c r="I4943" s="4"/>
      <c r="J4943" s="18">
        <v>0.0</v>
      </c>
      <c r="K4943" s="4" t="s">
        <v>8494</v>
      </c>
      <c r="L4943" s="19" t="s">
        <v>8494</v>
      </c>
      <c r="M4943" s="20" t="s">
        <v>8494</v>
      </c>
    </row>
    <row r="4944">
      <c r="A4944" s="6"/>
      <c r="B4944" s="6"/>
      <c r="C4944" s="4"/>
      <c r="D4944" s="4">
        <v>175.337087798147</v>
      </c>
      <c r="E4944" s="4" t="s">
        <v>675</v>
      </c>
      <c r="F4944" s="4"/>
      <c r="G4944" s="4"/>
      <c r="H4944" s="4"/>
      <c r="I4944" s="4"/>
      <c r="J4944" s="18">
        <v>0.0</v>
      </c>
      <c r="K4944" s="4" t="s">
        <v>8494</v>
      </c>
      <c r="L4944" s="19" t="s">
        <v>8494</v>
      </c>
      <c r="M4944" s="20" t="s">
        <v>8494</v>
      </c>
    </row>
    <row r="4945">
      <c r="A4945" s="6"/>
      <c r="B4945" s="6"/>
      <c r="C4945" s="4"/>
      <c r="D4945" s="4">
        <v>186.01196020749998</v>
      </c>
      <c r="E4945" s="4" t="s">
        <v>3068</v>
      </c>
      <c r="F4945" s="4"/>
      <c r="G4945" s="4"/>
      <c r="H4945" s="4"/>
      <c r="I4945" s="4"/>
      <c r="J4945" s="18">
        <v>0.0</v>
      </c>
      <c r="K4945" s="4" t="s">
        <v>8494</v>
      </c>
      <c r="L4945" s="19" t="s">
        <v>8494</v>
      </c>
      <c r="M4945" s="20" t="s">
        <v>8494</v>
      </c>
    </row>
    <row r="4946">
      <c r="A4946" s="6"/>
      <c r="B4946" s="6"/>
      <c r="C4946" s="4"/>
      <c r="D4946" s="4">
        <v>11.7864313793927</v>
      </c>
      <c r="E4946" s="4" t="s">
        <v>4214</v>
      </c>
      <c r="F4946" s="4"/>
      <c r="G4946" s="4"/>
      <c r="H4946" s="4"/>
      <c r="I4946" s="4"/>
      <c r="J4946" s="18">
        <v>0.0</v>
      </c>
      <c r="K4946" s="4" t="s">
        <v>8494</v>
      </c>
      <c r="L4946" s="19" t="s">
        <v>8494</v>
      </c>
      <c r="M4946" s="20" t="s">
        <v>8494</v>
      </c>
    </row>
    <row r="4947">
      <c r="A4947" s="6"/>
      <c r="B4947" s="6"/>
      <c r="C4947" s="4"/>
      <c r="D4947" s="4">
        <v>72.1752193029084</v>
      </c>
      <c r="E4947" s="4" t="s">
        <v>5981</v>
      </c>
      <c r="F4947" s="4"/>
      <c r="G4947" s="4"/>
      <c r="H4947" s="4"/>
      <c r="I4947" s="4"/>
      <c r="J4947" s="18">
        <v>0.0</v>
      </c>
      <c r="K4947" s="4" t="s">
        <v>8494</v>
      </c>
      <c r="L4947" s="19" t="s">
        <v>8494</v>
      </c>
      <c r="M4947" s="20" t="s">
        <v>8494</v>
      </c>
    </row>
    <row r="4948">
      <c r="A4948" s="6"/>
      <c r="B4948" s="6"/>
      <c r="C4948" s="4"/>
      <c r="D4948" s="4">
        <v>39.1271638881878</v>
      </c>
      <c r="E4948" s="4" t="s">
        <v>3750</v>
      </c>
      <c r="F4948" s="4"/>
      <c r="G4948" s="4"/>
      <c r="H4948" s="4"/>
      <c r="I4948" s="4"/>
      <c r="J4948" s="18">
        <v>0.0</v>
      </c>
      <c r="K4948" s="4" t="s">
        <v>8494</v>
      </c>
      <c r="L4948" s="19" t="s">
        <v>8494</v>
      </c>
      <c r="M4948" s="20" t="s">
        <v>8494</v>
      </c>
    </row>
    <row r="4949">
      <c r="A4949" s="6"/>
      <c r="B4949" s="6"/>
      <c r="C4949" s="4"/>
      <c r="D4949" s="4">
        <v>162.603459354257</v>
      </c>
      <c r="E4949" s="4" t="s">
        <v>7045</v>
      </c>
      <c r="F4949" s="4"/>
      <c r="G4949" s="4"/>
      <c r="H4949" s="4"/>
      <c r="I4949" s="4"/>
      <c r="J4949" s="18">
        <v>0.0</v>
      </c>
      <c r="K4949" s="4" t="s">
        <v>8494</v>
      </c>
      <c r="L4949" s="19" t="s">
        <v>8494</v>
      </c>
      <c r="M4949" s="20" t="s">
        <v>8494</v>
      </c>
    </row>
    <row r="4950">
      <c r="A4950" s="6"/>
      <c r="B4950" s="6"/>
      <c r="C4950" s="4"/>
      <c r="D4950" s="4">
        <v>2.84513376826538</v>
      </c>
      <c r="E4950" s="4" t="s">
        <v>6848</v>
      </c>
      <c r="F4950" s="4"/>
      <c r="G4950" s="4"/>
      <c r="H4950" s="4"/>
      <c r="I4950" s="4"/>
      <c r="J4950" s="18">
        <v>0.0</v>
      </c>
      <c r="K4950" s="4" t="s">
        <v>8494</v>
      </c>
      <c r="L4950" s="19" t="s">
        <v>8494</v>
      </c>
      <c r="M4950" s="20" t="s">
        <v>8494</v>
      </c>
    </row>
    <row r="4951">
      <c r="A4951" s="6"/>
      <c r="B4951" s="6"/>
      <c r="C4951" s="4"/>
      <c r="D4951" s="4">
        <v>186.01196020749998</v>
      </c>
      <c r="E4951" s="4" t="s">
        <v>1311</v>
      </c>
      <c r="F4951" s="4"/>
      <c r="G4951" s="4"/>
      <c r="H4951" s="4"/>
      <c r="I4951" s="4"/>
      <c r="J4951" s="18">
        <v>0.0</v>
      </c>
      <c r="K4951" s="4" t="s">
        <v>8494</v>
      </c>
      <c r="L4951" s="19" t="s">
        <v>8494</v>
      </c>
      <c r="M4951" s="20" t="s">
        <v>8494</v>
      </c>
    </row>
    <row r="4952">
      <c r="A4952" s="6"/>
      <c r="B4952" s="6"/>
      <c r="C4952" s="4"/>
      <c r="D4952" s="4">
        <v>16.4077560871776</v>
      </c>
      <c r="E4952" s="4" t="s">
        <v>5889</v>
      </c>
      <c r="F4952" s="4"/>
      <c r="G4952" s="4"/>
      <c r="H4952" s="4"/>
      <c r="I4952" s="4"/>
      <c r="J4952" s="18">
        <v>0.0</v>
      </c>
      <c r="K4952" s="4" t="s">
        <v>8494</v>
      </c>
      <c r="L4952" s="19" t="s">
        <v>8494</v>
      </c>
      <c r="M4952" s="20" t="s">
        <v>8494</v>
      </c>
    </row>
    <row r="4953">
      <c r="A4953" s="6"/>
      <c r="B4953" s="6"/>
      <c r="C4953" s="4"/>
      <c r="D4953" s="4">
        <v>186.01196020749998</v>
      </c>
      <c r="E4953" s="4" t="s">
        <v>784</v>
      </c>
      <c r="F4953" s="4"/>
      <c r="G4953" s="4"/>
      <c r="H4953" s="4"/>
      <c r="I4953" s="4"/>
      <c r="J4953" s="18">
        <v>0.0</v>
      </c>
      <c r="K4953" s="4" t="s">
        <v>8494</v>
      </c>
      <c r="L4953" s="19" t="s">
        <v>8494</v>
      </c>
      <c r="M4953" s="20" t="s">
        <v>8494</v>
      </c>
    </row>
    <row r="4954">
      <c r="A4954" s="6"/>
      <c r="B4954" s="6"/>
      <c r="C4954" s="4"/>
      <c r="D4954" s="4">
        <v>9.30059801037504</v>
      </c>
      <c r="E4954" s="4" t="s">
        <v>2317</v>
      </c>
      <c r="F4954" s="4"/>
      <c r="G4954" s="4"/>
      <c r="H4954" s="4"/>
      <c r="I4954" s="4"/>
      <c r="J4954" s="18">
        <v>0.0</v>
      </c>
      <c r="K4954" s="4" t="s">
        <v>8494</v>
      </c>
      <c r="L4954" s="19" t="s">
        <v>8494</v>
      </c>
      <c r="M4954" s="20" t="s">
        <v>8494</v>
      </c>
    </row>
    <row r="4955">
      <c r="A4955" s="6"/>
      <c r="B4955" s="6"/>
      <c r="C4955" s="4"/>
      <c r="D4955" s="4">
        <v>186.01196020749998</v>
      </c>
      <c r="E4955" s="4" t="s">
        <v>4028</v>
      </c>
      <c r="F4955" s="4"/>
      <c r="G4955" s="4"/>
      <c r="H4955" s="4"/>
      <c r="I4955" s="4"/>
      <c r="J4955" s="18">
        <v>0.0</v>
      </c>
      <c r="K4955" s="4" t="s">
        <v>8494</v>
      </c>
      <c r="L4955" s="19" t="s">
        <v>8494</v>
      </c>
      <c r="M4955" s="20" t="s">
        <v>8494</v>
      </c>
    </row>
    <row r="4956">
      <c r="A4956" s="6"/>
      <c r="B4956" s="6"/>
      <c r="C4956" s="4"/>
      <c r="D4956" s="4">
        <v>186.01196020749998</v>
      </c>
      <c r="E4956" s="4" t="s">
        <v>3294</v>
      </c>
      <c r="F4956" s="4"/>
      <c r="G4956" s="4"/>
      <c r="H4956" s="4"/>
      <c r="I4956" s="4"/>
      <c r="J4956" s="18">
        <v>0.0</v>
      </c>
      <c r="K4956" s="4" t="s">
        <v>8494</v>
      </c>
      <c r="L4956" s="19" t="s">
        <v>8494</v>
      </c>
      <c r="M4956" s="20" t="s">
        <v>8494</v>
      </c>
    </row>
    <row r="4957">
      <c r="A4957" s="6"/>
      <c r="B4957" s="6"/>
      <c r="C4957" s="4"/>
      <c r="D4957" s="4">
        <v>172.639434441233</v>
      </c>
      <c r="E4957" s="4" t="s">
        <v>7329</v>
      </c>
      <c r="F4957" s="4"/>
      <c r="G4957" s="4"/>
      <c r="H4957" s="4"/>
      <c r="I4957" s="4"/>
      <c r="J4957" s="18">
        <v>0.0</v>
      </c>
      <c r="K4957" s="4" t="s">
        <v>8494</v>
      </c>
      <c r="L4957" s="19" t="s">
        <v>8494</v>
      </c>
      <c r="M4957" s="20" t="s">
        <v>8494</v>
      </c>
    </row>
    <row r="4958">
      <c r="A4958" s="6"/>
      <c r="B4958" s="6"/>
      <c r="C4958" s="4"/>
      <c r="D4958" s="4">
        <v>9.30059801037504</v>
      </c>
      <c r="E4958" s="4" t="s">
        <v>7331</v>
      </c>
      <c r="F4958" s="4"/>
      <c r="G4958" s="4"/>
      <c r="H4958" s="4"/>
      <c r="I4958" s="4"/>
      <c r="J4958" s="18">
        <v>0.0</v>
      </c>
      <c r="K4958" s="4" t="s">
        <v>8494</v>
      </c>
      <c r="L4958" s="19" t="s">
        <v>8494</v>
      </c>
      <c r="M4958" s="20" t="s">
        <v>8494</v>
      </c>
    </row>
    <row r="4959">
      <c r="A4959" s="6"/>
      <c r="B4959" s="6"/>
      <c r="C4959" s="4"/>
      <c r="D4959" s="4">
        <v>111.6071761245</v>
      </c>
      <c r="E4959" s="4" t="s">
        <v>7332</v>
      </c>
      <c r="F4959" s="4"/>
      <c r="G4959" s="4"/>
      <c r="H4959" s="4"/>
      <c r="I4959" s="4"/>
      <c r="J4959" s="18">
        <v>0.0</v>
      </c>
      <c r="K4959" s="4" t="s">
        <v>8494</v>
      </c>
      <c r="L4959" s="19" t="s">
        <v>8494</v>
      </c>
      <c r="M4959" s="20" t="s">
        <v>8494</v>
      </c>
    </row>
    <row r="4960">
      <c r="A4960" s="6"/>
      <c r="B4960" s="6"/>
      <c r="C4960" s="4"/>
      <c r="D4960" s="4">
        <v>5.39750879444376</v>
      </c>
      <c r="E4960" s="4" t="s">
        <v>3461</v>
      </c>
      <c r="F4960" s="4"/>
      <c r="G4960" s="4"/>
      <c r="H4960" s="4"/>
      <c r="I4960" s="4"/>
      <c r="J4960" s="18">
        <v>0.0</v>
      </c>
      <c r="K4960" s="4" t="s">
        <v>8494</v>
      </c>
      <c r="L4960" s="19" t="s">
        <v>8494</v>
      </c>
      <c r="M4960" s="20" t="s">
        <v>8494</v>
      </c>
    </row>
    <row r="4961">
      <c r="A4961" s="6"/>
      <c r="B4961" s="6"/>
      <c r="C4961" s="4"/>
      <c r="D4961" s="4">
        <v>11.3961907215152</v>
      </c>
      <c r="E4961" s="4" t="s">
        <v>3677</v>
      </c>
      <c r="F4961" s="4"/>
      <c r="G4961" s="4"/>
      <c r="H4961" s="4"/>
      <c r="I4961" s="4"/>
      <c r="J4961" s="18">
        <v>0.0</v>
      </c>
      <c r="K4961" s="4" t="s">
        <v>8494</v>
      </c>
      <c r="L4961" s="19" t="s">
        <v>8494</v>
      </c>
      <c r="M4961" s="20" t="s">
        <v>8494</v>
      </c>
    </row>
    <row r="4962">
      <c r="A4962" s="6"/>
      <c r="B4962" s="6"/>
      <c r="C4962" s="4"/>
      <c r="D4962" s="4">
        <v>9.33567517503455</v>
      </c>
      <c r="E4962" s="4" t="s">
        <v>4051</v>
      </c>
      <c r="F4962" s="4"/>
      <c r="G4962" s="4"/>
      <c r="H4962" s="4"/>
      <c r="I4962" s="4"/>
      <c r="J4962" s="18">
        <v>0.0</v>
      </c>
      <c r="K4962" s="4" t="s">
        <v>8494</v>
      </c>
      <c r="L4962" s="19" t="s">
        <v>8494</v>
      </c>
      <c r="M4962" s="20" t="s">
        <v>8494</v>
      </c>
    </row>
    <row r="4963">
      <c r="A4963" s="6"/>
      <c r="B4963" s="6"/>
      <c r="C4963" s="4"/>
      <c r="D4963" s="4">
        <v>93.4623485506085</v>
      </c>
      <c r="E4963" s="4" t="s">
        <v>5318</v>
      </c>
      <c r="F4963" s="4"/>
      <c r="G4963" s="4"/>
      <c r="H4963" s="4"/>
      <c r="I4963" s="4"/>
      <c r="J4963" s="18">
        <v>0.0</v>
      </c>
      <c r="K4963" s="4" t="s">
        <v>8494</v>
      </c>
      <c r="L4963" s="19" t="s">
        <v>8494</v>
      </c>
      <c r="M4963" s="20" t="s">
        <v>8494</v>
      </c>
    </row>
    <row r="4964">
      <c r="A4964" s="6"/>
      <c r="B4964" s="6"/>
      <c r="C4964" s="4"/>
      <c r="D4964" s="4">
        <v>103.441738117853</v>
      </c>
      <c r="E4964" s="4" t="s">
        <v>2675</v>
      </c>
      <c r="F4964" s="4"/>
      <c r="G4964" s="4"/>
      <c r="H4964" s="4"/>
      <c r="I4964" s="4"/>
      <c r="J4964" s="18">
        <v>0.0</v>
      </c>
      <c r="K4964" s="4" t="s">
        <v>8494</v>
      </c>
      <c r="L4964" s="19" t="s">
        <v>8494</v>
      </c>
      <c r="M4964" s="20" t="s">
        <v>8494</v>
      </c>
    </row>
    <row r="4965">
      <c r="A4965" s="6"/>
      <c r="B4965" s="6"/>
      <c r="C4965" s="4"/>
      <c r="D4965" s="4">
        <v>58.1530173726764</v>
      </c>
      <c r="E4965" s="4" t="s">
        <v>7339</v>
      </c>
      <c r="F4965" s="4"/>
      <c r="G4965" s="4"/>
      <c r="H4965" s="4"/>
      <c r="I4965" s="4"/>
      <c r="J4965" s="18">
        <v>0.0</v>
      </c>
      <c r="K4965" s="4" t="s">
        <v>8494</v>
      </c>
      <c r="L4965" s="19" t="s">
        <v>8494</v>
      </c>
      <c r="M4965" s="20" t="s">
        <v>8494</v>
      </c>
    </row>
    <row r="4966">
      <c r="A4966" s="6"/>
      <c r="B4966" s="6"/>
      <c r="C4966" s="4"/>
      <c r="D4966" s="4">
        <v>186.01196020749998</v>
      </c>
      <c r="E4966" s="4" t="s">
        <v>1734</v>
      </c>
      <c r="F4966" s="4"/>
      <c r="G4966" s="4"/>
      <c r="H4966" s="4"/>
      <c r="I4966" s="4"/>
      <c r="J4966" s="18">
        <v>0.0</v>
      </c>
      <c r="K4966" s="4" t="s">
        <v>8494</v>
      </c>
      <c r="L4966" s="19" t="s">
        <v>8494</v>
      </c>
      <c r="M4966" s="20" t="s">
        <v>8494</v>
      </c>
    </row>
    <row r="4967">
      <c r="A4967" s="6"/>
      <c r="B4967" s="6"/>
      <c r="C4967" s="4"/>
      <c r="D4967" s="4">
        <v>186.01196020749998</v>
      </c>
      <c r="E4967" s="4" t="s">
        <v>1054</v>
      </c>
      <c r="F4967" s="4"/>
      <c r="G4967" s="4"/>
      <c r="H4967" s="4"/>
      <c r="I4967" s="4"/>
      <c r="J4967" s="18">
        <v>0.0</v>
      </c>
      <c r="K4967" s="4" t="s">
        <v>8494</v>
      </c>
      <c r="L4967" s="19" t="s">
        <v>8494</v>
      </c>
      <c r="M4967" s="20" t="s">
        <v>8494</v>
      </c>
    </row>
    <row r="4968">
      <c r="A4968" s="6"/>
      <c r="B4968" s="6"/>
      <c r="C4968" s="4"/>
      <c r="D4968" s="4">
        <v>34.0122864553979</v>
      </c>
      <c r="E4968" s="4" t="s">
        <v>3693</v>
      </c>
      <c r="F4968" s="4"/>
      <c r="G4968" s="4"/>
      <c r="H4968" s="4"/>
      <c r="I4968" s="4"/>
      <c r="J4968" s="18">
        <v>0.0</v>
      </c>
      <c r="K4968" s="4" t="s">
        <v>8494</v>
      </c>
      <c r="L4968" s="19" t="s">
        <v>8494</v>
      </c>
      <c r="M4968" s="20" t="s">
        <v>8494</v>
      </c>
    </row>
    <row r="4969">
      <c r="A4969" s="6"/>
      <c r="B4969" s="6"/>
      <c r="C4969" s="4"/>
      <c r="D4969" s="4">
        <v>54.2364995190851</v>
      </c>
      <c r="E4969" s="4" t="s">
        <v>7342</v>
      </c>
      <c r="F4969" s="4"/>
      <c r="G4969" s="4"/>
      <c r="H4969" s="4"/>
      <c r="I4969" s="4"/>
      <c r="J4969" s="18">
        <v>0.0</v>
      </c>
      <c r="K4969" s="4" t="s">
        <v>8494</v>
      </c>
      <c r="L4969" s="19" t="s">
        <v>8494</v>
      </c>
      <c r="M4969" s="20" t="s">
        <v>8494</v>
      </c>
    </row>
    <row r="4970">
      <c r="A4970" s="6"/>
      <c r="B4970" s="6"/>
      <c r="C4970" s="4"/>
      <c r="D4970" s="4">
        <v>65.1041860726253</v>
      </c>
      <c r="E4970" s="4" t="s">
        <v>3277</v>
      </c>
      <c r="F4970" s="4"/>
      <c r="G4970" s="4"/>
      <c r="H4970" s="4"/>
      <c r="I4970" s="4"/>
      <c r="J4970" s="18">
        <v>0.0</v>
      </c>
      <c r="K4970" s="4" t="s">
        <v>8494</v>
      </c>
      <c r="L4970" s="19" t="s">
        <v>8494</v>
      </c>
      <c r="M4970" s="20" t="s">
        <v>8494</v>
      </c>
    </row>
    <row r="4971">
      <c r="A4971" s="6"/>
      <c r="B4971" s="6"/>
      <c r="C4971" s="4"/>
      <c r="D4971" s="4">
        <v>55.8035880622502</v>
      </c>
      <c r="E4971" s="4" t="s">
        <v>7344</v>
      </c>
      <c r="F4971" s="4"/>
      <c r="G4971" s="4"/>
      <c r="H4971" s="4"/>
      <c r="I4971" s="4"/>
      <c r="J4971" s="18">
        <v>0.0</v>
      </c>
      <c r="K4971" s="4" t="s">
        <v>8494</v>
      </c>
      <c r="L4971" s="19" t="s">
        <v>8494</v>
      </c>
      <c r="M4971" s="20" t="s">
        <v>8494</v>
      </c>
    </row>
    <row r="4972">
      <c r="A4972" s="6"/>
      <c r="B4972" s="6"/>
      <c r="C4972" s="4"/>
      <c r="D4972" s="4">
        <v>186.01196020749998</v>
      </c>
      <c r="E4972" s="4" t="s">
        <v>1412</v>
      </c>
      <c r="F4972" s="4"/>
      <c r="G4972" s="4"/>
      <c r="H4972" s="4"/>
      <c r="I4972" s="4"/>
      <c r="J4972" s="18">
        <v>0.0</v>
      </c>
      <c r="K4972" s="4" t="s">
        <v>8494</v>
      </c>
      <c r="L4972" s="19" t="s">
        <v>8494</v>
      </c>
      <c r="M4972" s="20" t="s">
        <v>8494</v>
      </c>
    </row>
    <row r="4973">
      <c r="A4973" s="6"/>
      <c r="B4973" s="6"/>
      <c r="C4973" s="4"/>
      <c r="D4973" s="4">
        <v>99.3429953959328</v>
      </c>
      <c r="E4973" s="4" t="s">
        <v>7345</v>
      </c>
      <c r="F4973" s="4"/>
      <c r="G4973" s="4"/>
      <c r="H4973" s="4"/>
      <c r="I4973" s="4"/>
      <c r="J4973" s="18">
        <v>0.0</v>
      </c>
      <c r="K4973" s="4" t="s">
        <v>8494</v>
      </c>
      <c r="L4973" s="19" t="s">
        <v>8494</v>
      </c>
      <c r="M4973" s="20" t="s">
        <v>8494</v>
      </c>
    </row>
    <row r="4974">
      <c r="A4974" s="6"/>
      <c r="B4974" s="6"/>
      <c r="C4974" s="4"/>
      <c r="D4974" s="4">
        <v>2.79017940311251</v>
      </c>
      <c r="E4974" s="4" t="s">
        <v>6566</v>
      </c>
      <c r="F4974" s="4"/>
      <c r="G4974" s="4"/>
      <c r="H4974" s="4"/>
      <c r="I4974" s="4"/>
      <c r="J4974" s="18">
        <v>0.0</v>
      </c>
      <c r="K4974" s="4" t="s">
        <v>8494</v>
      </c>
      <c r="L4974" s="19" t="s">
        <v>8494</v>
      </c>
      <c r="M4974" s="20" t="s">
        <v>8494</v>
      </c>
    </row>
    <row r="4975">
      <c r="A4975" s="6"/>
      <c r="B4975" s="6"/>
      <c r="C4975" s="4"/>
      <c r="D4975" s="4">
        <v>186.01196020749998</v>
      </c>
      <c r="E4975" s="4" t="s">
        <v>649</v>
      </c>
      <c r="F4975" s="4"/>
      <c r="G4975" s="4"/>
      <c r="H4975" s="4"/>
      <c r="I4975" s="4"/>
      <c r="J4975" s="18">
        <v>0.0</v>
      </c>
      <c r="K4975" s="4" t="s">
        <v>8494</v>
      </c>
      <c r="L4975" s="19" t="s">
        <v>8494</v>
      </c>
      <c r="M4975" s="20" t="s">
        <v>8494</v>
      </c>
    </row>
    <row r="4976">
      <c r="A4976" s="6"/>
      <c r="B4976" s="6"/>
      <c r="C4976" s="4"/>
      <c r="D4976" s="4">
        <v>186.01196020749998</v>
      </c>
      <c r="E4976" s="4" t="s">
        <v>1218</v>
      </c>
      <c r="F4976" s="4"/>
      <c r="G4976" s="4"/>
      <c r="H4976" s="4"/>
      <c r="I4976" s="4"/>
      <c r="J4976" s="18">
        <v>0.0</v>
      </c>
      <c r="K4976" s="4" t="s">
        <v>8494</v>
      </c>
      <c r="L4976" s="19" t="s">
        <v>8494</v>
      </c>
      <c r="M4976" s="20" t="s">
        <v>8494</v>
      </c>
    </row>
    <row r="4977">
      <c r="A4977" s="6"/>
      <c r="B4977" s="6"/>
      <c r="C4977" s="4"/>
      <c r="D4977" s="4">
        <v>56.1756119826652</v>
      </c>
      <c r="E4977" s="4" t="s">
        <v>7348</v>
      </c>
      <c r="F4977" s="4"/>
      <c r="G4977" s="4"/>
      <c r="H4977" s="4"/>
      <c r="I4977" s="4"/>
      <c r="J4977" s="18">
        <v>0.0</v>
      </c>
      <c r="K4977" s="4" t="s">
        <v>8494</v>
      </c>
      <c r="L4977" s="19" t="s">
        <v>8494</v>
      </c>
      <c r="M4977" s="20" t="s">
        <v>8494</v>
      </c>
    </row>
    <row r="4978">
      <c r="A4978" s="6"/>
      <c r="B4978" s="6"/>
      <c r="C4978" s="4"/>
      <c r="D4978" s="4">
        <v>115.634946120392</v>
      </c>
      <c r="E4978" s="4" t="s">
        <v>5124</v>
      </c>
      <c r="F4978" s="4"/>
      <c r="G4978" s="4"/>
      <c r="H4978" s="4"/>
      <c r="I4978" s="4"/>
      <c r="J4978" s="18">
        <v>0.0</v>
      </c>
      <c r="K4978" s="4" t="s">
        <v>8494</v>
      </c>
      <c r="L4978" s="19" t="s">
        <v>8494</v>
      </c>
      <c r="M4978" s="20" t="s">
        <v>8494</v>
      </c>
    </row>
    <row r="4979">
      <c r="A4979" s="6"/>
      <c r="B4979" s="6"/>
      <c r="C4979" s="4"/>
      <c r="D4979" s="4">
        <v>83.02453573759101</v>
      </c>
      <c r="E4979" s="4" t="s">
        <v>6439</v>
      </c>
      <c r="F4979" s="4"/>
      <c r="G4979" s="4"/>
      <c r="H4979" s="4"/>
      <c r="I4979" s="4"/>
      <c r="J4979" s="18">
        <v>0.0</v>
      </c>
      <c r="K4979" s="4" t="s">
        <v>8494</v>
      </c>
      <c r="L4979" s="19" t="s">
        <v>8494</v>
      </c>
      <c r="M4979" s="20" t="s">
        <v>8494</v>
      </c>
    </row>
    <row r="4980">
      <c r="A4980" s="6"/>
      <c r="B4980" s="6"/>
      <c r="C4980" s="4"/>
      <c r="D4980" s="4">
        <v>186.01196020749998</v>
      </c>
      <c r="E4980" s="4" t="s">
        <v>6335</v>
      </c>
      <c r="F4980" s="4"/>
      <c r="G4980" s="4"/>
      <c r="H4980" s="4"/>
      <c r="I4980" s="4"/>
      <c r="J4980" s="18">
        <v>0.0</v>
      </c>
      <c r="K4980" s="4" t="s">
        <v>8494</v>
      </c>
      <c r="L4980" s="19" t="s">
        <v>8494</v>
      </c>
      <c r="M4980" s="20" t="s">
        <v>8494</v>
      </c>
    </row>
    <row r="4981">
      <c r="A4981" s="6"/>
      <c r="B4981" s="6"/>
      <c r="C4981" s="4"/>
      <c r="D4981" s="4">
        <v>186.01196020749998</v>
      </c>
      <c r="E4981" s="4" t="s">
        <v>5971</v>
      </c>
      <c r="F4981" s="4"/>
      <c r="G4981" s="4"/>
      <c r="H4981" s="4"/>
      <c r="I4981" s="4"/>
      <c r="J4981" s="18">
        <v>0.0</v>
      </c>
      <c r="K4981" s="4" t="s">
        <v>8494</v>
      </c>
      <c r="L4981" s="19" t="s">
        <v>8494</v>
      </c>
      <c r="M4981" s="20" t="s">
        <v>8494</v>
      </c>
    </row>
    <row r="4982">
      <c r="A4982" s="6"/>
      <c r="B4982" s="6"/>
      <c r="C4982" s="4"/>
      <c r="D4982" s="4">
        <v>2.9166394329267797</v>
      </c>
      <c r="E4982" s="4" t="s">
        <v>7352</v>
      </c>
      <c r="F4982" s="4"/>
      <c r="G4982" s="4"/>
      <c r="H4982" s="4"/>
      <c r="I4982" s="4"/>
      <c r="J4982" s="18">
        <v>0.0</v>
      </c>
      <c r="K4982" s="4" t="s">
        <v>8494</v>
      </c>
      <c r="L4982" s="19" t="s">
        <v>8494</v>
      </c>
      <c r="M4982" s="20" t="s">
        <v>8494</v>
      </c>
    </row>
    <row r="4983">
      <c r="A4983" s="6"/>
      <c r="B4983" s="6"/>
      <c r="C4983" s="4"/>
      <c r="D4983" s="4">
        <v>59.5238272664002</v>
      </c>
      <c r="E4983" s="4" t="s">
        <v>7354</v>
      </c>
      <c r="F4983" s="4"/>
      <c r="G4983" s="4"/>
      <c r="H4983" s="4"/>
      <c r="I4983" s="4"/>
      <c r="J4983" s="18">
        <v>0.0</v>
      </c>
      <c r="K4983" s="4" t="s">
        <v>8494</v>
      </c>
      <c r="L4983" s="19" t="s">
        <v>8494</v>
      </c>
      <c r="M4983" s="20" t="s">
        <v>8494</v>
      </c>
    </row>
    <row r="4984">
      <c r="A4984" s="6"/>
      <c r="B4984" s="6"/>
      <c r="C4984" s="4"/>
      <c r="D4984" s="4">
        <v>9.30059801037504</v>
      </c>
      <c r="E4984" s="4" t="s">
        <v>2020</v>
      </c>
      <c r="F4984" s="4"/>
      <c r="G4984" s="4"/>
      <c r="H4984" s="4"/>
      <c r="I4984" s="4"/>
      <c r="J4984" s="18">
        <v>0.0</v>
      </c>
      <c r="K4984" s="4" t="s">
        <v>8494</v>
      </c>
      <c r="L4984" s="19" t="s">
        <v>8494</v>
      </c>
      <c r="M4984" s="20" t="s">
        <v>8494</v>
      </c>
    </row>
    <row r="4985">
      <c r="A4985" s="6"/>
      <c r="B4985" s="6"/>
      <c r="C4985" s="4"/>
      <c r="D4985" s="4">
        <v>186.01196020749998</v>
      </c>
      <c r="E4985" s="4" t="s">
        <v>1794</v>
      </c>
      <c r="F4985" s="4"/>
      <c r="G4985" s="4"/>
      <c r="H4985" s="4"/>
      <c r="I4985" s="4"/>
      <c r="J4985" s="18">
        <v>0.0</v>
      </c>
      <c r="K4985" s="4" t="s">
        <v>8494</v>
      </c>
      <c r="L4985" s="19" t="s">
        <v>8494</v>
      </c>
      <c r="M4985" s="20" t="s">
        <v>8494</v>
      </c>
    </row>
    <row r="4986">
      <c r="A4986" s="6"/>
      <c r="B4986" s="6"/>
      <c r="C4986" s="4"/>
      <c r="D4986" s="4">
        <v>175.956308990106</v>
      </c>
      <c r="E4986" s="4" t="s">
        <v>4523</v>
      </c>
      <c r="F4986" s="4"/>
      <c r="G4986" s="4"/>
      <c r="H4986" s="4"/>
      <c r="I4986" s="4"/>
      <c r="J4986" s="18">
        <v>0.0</v>
      </c>
      <c r="K4986" s="4" t="s">
        <v>8494</v>
      </c>
      <c r="L4986" s="19" t="s">
        <v>8494</v>
      </c>
      <c r="M4986" s="20" t="s">
        <v>8494</v>
      </c>
    </row>
    <row r="4987">
      <c r="A4987" s="6"/>
      <c r="B4987" s="6"/>
      <c r="C4987" s="4"/>
      <c r="D4987" s="4">
        <v>84.07740601379031</v>
      </c>
      <c r="E4987" s="4" t="s">
        <v>2489</v>
      </c>
      <c r="F4987" s="4"/>
      <c r="G4987" s="4"/>
      <c r="H4987" s="4"/>
      <c r="I4987" s="4"/>
      <c r="J4987" s="18">
        <v>0.0</v>
      </c>
      <c r="K4987" s="4" t="s">
        <v>8494</v>
      </c>
      <c r="L4987" s="19" t="s">
        <v>8494</v>
      </c>
      <c r="M4987" s="20" t="s">
        <v>8494</v>
      </c>
    </row>
    <row r="4988">
      <c r="A4988" s="6"/>
      <c r="B4988" s="6"/>
      <c r="C4988" s="4"/>
      <c r="D4988" s="4">
        <v>8.92012429676799</v>
      </c>
      <c r="E4988" s="4" t="s">
        <v>3856</v>
      </c>
      <c r="F4988" s="4"/>
      <c r="G4988" s="4"/>
      <c r="H4988" s="4"/>
      <c r="I4988" s="4"/>
      <c r="J4988" s="18">
        <v>0.0</v>
      </c>
      <c r="K4988" s="4" t="s">
        <v>8494</v>
      </c>
      <c r="L4988" s="19" t="s">
        <v>8494</v>
      </c>
      <c r="M4988" s="20" t="s">
        <v>8494</v>
      </c>
    </row>
    <row r="4989">
      <c r="A4989" s="6"/>
      <c r="B4989" s="6"/>
      <c r="C4989" s="4"/>
      <c r="D4989" s="4">
        <v>36.8303681210851</v>
      </c>
      <c r="E4989" s="4" t="s">
        <v>4435</v>
      </c>
      <c r="F4989" s="4"/>
      <c r="G4989" s="4"/>
      <c r="H4989" s="4"/>
      <c r="I4989" s="4"/>
      <c r="J4989" s="18">
        <v>0.0</v>
      </c>
      <c r="K4989" s="4" t="s">
        <v>8494</v>
      </c>
      <c r="L4989" s="19" t="s">
        <v>8494</v>
      </c>
      <c r="M4989" s="20" t="s">
        <v>8494</v>
      </c>
    </row>
    <row r="4990">
      <c r="A4990" s="6"/>
      <c r="B4990" s="6"/>
      <c r="C4990" s="4"/>
      <c r="D4990" s="4">
        <v>57.1653495189391</v>
      </c>
      <c r="E4990" s="4" t="s">
        <v>6016</v>
      </c>
      <c r="F4990" s="4"/>
      <c r="G4990" s="4"/>
      <c r="H4990" s="4"/>
      <c r="I4990" s="4"/>
      <c r="J4990" s="18">
        <v>0.0</v>
      </c>
      <c r="K4990" s="4" t="s">
        <v>8494</v>
      </c>
      <c r="L4990" s="19" t="s">
        <v>8494</v>
      </c>
      <c r="M4990" s="20" t="s">
        <v>8494</v>
      </c>
    </row>
    <row r="4991">
      <c r="A4991" s="6"/>
      <c r="B4991" s="6"/>
      <c r="C4991" s="4"/>
      <c r="D4991" s="4">
        <v>8.63345624162575</v>
      </c>
      <c r="E4991" s="4" t="s">
        <v>2828</v>
      </c>
      <c r="F4991" s="4"/>
      <c r="G4991" s="4"/>
      <c r="H4991" s="4"/>
      <c r="I4991" s="4"/>
      <c r="J4991" s="18">
        <v>0.0</v>
      </c>
      <c r="K4991" s="4" t="s">
        <v>8494</v>
      </c>
      <c r="L4991" s="19" t="s">
        <v>8494</v>
      </c>
      <c r="M4991" s="20" t="s">
        <v>8494</v>
      </c>
    </row>
    <row r="4992">
      <c r="A4992" s="6"/>
      <c r="B4992" s="6"/>
      <c r="C4992" s="4"/>
      <c r="D4992" s="4">
        <v>65.1041860726253</v>
      </c>
      <c r="E4992" s="4" t="s">
        <v>4731</v>
      </c>
      <c r="F4992" s="4"/>
      <c r="G4992" s="4"/>
      <c r="H4992" s="4"/>
      <c r="I4992" s="4"/>
      <c r="J4992" s="18">
        <v>0.0</v>
      </c>
      <c r="K4992" s="4" t="s">
        <v>8494</v>
      </c>
      <c r="L4992" s="19" t="s">
        <v>8494</v>
      </c>
      <c r="M4992" s="20" t="s">
        <v>8494</v>
      </c>
    </row>
    <row r="4993">
      <c r="A4993" s="6"/>
      <c r="B4993" s="6"/>
      <c r="C4993" s="4"/>
      <c r="D4993" s="4">
        <v>26.1208825633011</v>
      </c>
      <c r="E4993" s="4" t="s">
        <v>7362</v>
      </c>
      <c r="F4993" s="4"/>
      <c r="G4993" s="4"/>
      <c r="H4993" s="4"/>
      <c r="I4993" s="4"/>
      <c r="J4993" s="18">
        <v>0.0</v>
      </c>
      <c r="K4993" s="4" t="s">
        <v>8494</v>
      </c>
      <c r="L4993" s="19" t="s">
        <v>8494</v>
      </c>
      <c r="M4993" s="20" t="s">
        <v>8494</v>
      </c>
    </row>
    <row r="4994">
      <c r="A4994" s="6"/>
      <c r="B4994" s="6"/>
      <c r="C4994" s="4"/>
      <c r="D4994" s="4">
        <v>0.11853633667205501</v>
      </c>
      <c r="E4994" s="4" t="s">
        <v>2568</v>
      </c>
      <c r="F4994" s="4"/>
      <c r="G4994" s="4"/>
      <c r="H4994" s="4"/>
      <c r="I4994" s="4"/>
      <c r="J4994" s="18">
        <v>0.0</v>
      </c>
      <c r="K4994" s="4" t="s">
        <v>8494</v>
      </c>
      <c r="L4994" s="19" t="s">
        <v>8494</v>
      </c>
      <c r="M4994" s="20" t="s">
        <v>8494</v>
      </c>
    </row>
    <row r="4995">
      <c r="A4995" s="6"/>
      <c r="B4995" s="6"/>
      <c r="C4995" s="4"/>
      <c r="D4995" s="4">
        <v>186.01196020749998</v>
      </c>
      <c r="E4995" s="4" t="s">
        <v>2900</v>
      </c>
      <c r="F4995" s="4"/>
      <c r="G4995" s="4"/>
      <c r="H4995" s="4"/>
      <c r="I4995" s="4"/>
      <c r="J4995" s="18">
        <v>0.0</v>
      </c>
      <c r="K4995" s="4" t="s">
        <v>8494</v>
      </c>
      <c r="L4995" s="19" t="s">
        <v>8494</v>
      </c>
      <c r="M4995" s="20" t="s">
        <v>8494</v>
      </c>
    </row>
    <row r="4996">
      <c r="A4996" s="6"/>
      <c r="B4996" s="6"/>
      <c r="C4996" s="4"/>
      <c r="D4996" s="4">
        <v>55.1133170167558</v>
      </c>
      <c r="E4996" s="4" t="s">
        <v>5615</v>
      </c>
      <c r="F4996" s="4"/>
      <c r="G4996" s="4"/>
      <c r="H4996" s="4"/>
      <c r="I4996" s="4"/>
      <c r="J4996" s="18">
        <v>0.0</v>
      </c>
      <c r="K4996" s="4" t="s">
        <v>8494</v>
      </c>
      <c r="L4996" s="19" t="s">
        <v>8494</v>
      </c>
      <c r="M4996" s="20" t="s">
        <v>8494</v>
      </c>
    </row>
    <row r="4997">
      <c r="A4997" s="6"/>
      <c r="B4997" s="6"/>
      <c r="C4997" s="4"/>
      <c r="D4997" s="4">
        <v>10.6421917501149</v>
      </c>
      <c r="E4997" s="4" t="s">
        <v>3267</v>
      </c>
      <c r="F4997" s="4"/>
      <c r="G4997" s="4"/>
      <c r="H4997" s="4"/>
      <c r="I4997" s="4"/>
      <c r="J4997" s="18">
        <v>0.0</v>
      </c>
      <c r="K4997" s="4" t="s">
        <v>8494</v>
      </c>
      <c r="L4997" s="19" t="s">
        <v>8494</v>
      </c>
      <c r="M4997" s="20" t="s">
        <v>8494</v>
      </c>
    </row>
    <row r="4998">
      <c r="A4998" s="6"/>
      <c r="B4998" s="6"/>
      <c r="C4998" s="4"/>
      <c r="D4998" s="4">
        <v>65.6300146315196</v>
      </c>
      <c r="E4998" s="4" t="s">
        <v>3393</v>
      </c>
      <c r="F4998" s="4"/>
      <c r="G4998" s="4"/>
      <c r="H4998" s="4"/>
      <c r="I4998" s="4"/>
      <c r="J4998" s="18">
        <v>0.0</v>
      </c>
      <c r="K4998" s="4" t="s">
        <v>8494</v>
      </c>
      <c r="L4998" s="19" t="s">
        <v>8494</v>
      </c>
      <c r="M4998" s="20" t="s">
        <v>8494</v>
      </c>
    </row>
    <row r="4999">
      <c r="A4999" s="6"/>
      <c r="B4999" s="6"/>
      <c r="C4999" s="4"/>
      <c r="D4999" s="4">
        <v>93.0059801037504</v>
      </c>
      <c r="E4999" s="4" t="s">
        <v>7368</v>
      </c>
      <c r="F4999" s="4"/>
      <c r="G4999" s="4"/>
      <c r="H4999" s="4"/>
      <c r="I4999" s="4"/>
      <c r="J4999" s="18">
        <v>0.0</v>
      </c>
      <c r="K4999" s="4" t="s">
        <v>8494</v>
      </c>
      <c r="L4999" s="19" t="s">
        <v>8494</v>
      </c>
      <c r="M4999" s="20" t="s">
        <v>8494</v>
      </c>
    </row>
    <row r="5000">
      <c r="A5000" s="6"/>
      <c r="B5000" s="6"/>
      <c r="C5000" s="4"/>
      <c r="D5000" s="4">
        <v>186.01196020749998</v>
      </c>
      <c r="E5000" s="4" t="s">
        <v>7370</v>
      </c>
      <c r="F5000" s="4"/>
      <c r="G5000" s="4"/>
      <c r="H5000" s="4"/>
      <c r="I5000" s="4"/>
      <c r="J5000" s="18">
        <v>0.0</v>
      </c>
      <c r="K5000" s="4" t="s">
        <v>8494</v>
      </c>
      <c r="L5000" s="19" t="s">
        <v>8494</v>
      </c>
      <c r="M5000" s="20" t="s">
        <v>8494</v>
      </c>
    </row>
    <row r="5001">
      <c r="A5001" s="6"/>
      <c r="B5001" s="6"/>
      <c r="C5001" s="6"/>
      <c r="D5001" s="4">
        <v>65.1041860726253</v>
      </c>
      <c r="E5001" s="4" t="s">
        <v>6626</v>
      </c>
      <c r="F5001" s="4"/>
      <c r="G5001" s="4"/>
      <c r="H5001" s="4"/>
      <c r="I5001" s="4"/>
      <c r="J5001" s="18">
        <v>0.0</v>
      </c>
      <c r="K5001" s="4" t="s">
        <v>8494</v>
      </c>
      <c r="L5001" s="19" t="s">
        <v>8494</v>
      </c>
      <c r="M5001" s="20" t="s">
        <v>8494</v>
      </c>
    </row>
    <row r="5002">
      <c r="A5002" s="6"/>
      <c r="B5002" s="6"/>
      <c r="C5002" s="6"/>
      <c r="D5002" s="4">
        <v>65.1041860726253</v>
      </c>
      <c r="E5002" s="4" t="s">
        <v>5872</v>
      </c>
      <c r="F5002" s="4"/>
      <c r="G5002" s="4"/>
      <c r="H5002" s="4"/>
      <c r="I5002" s="4"/>
      <c r="J5002" s="18">
        <v>0.0</v>
      </c>
      <c r="K5002" s="4" t="s">
        <v>8494</v>
      </c>
      <c r="L5002" s="19" t="s">
        <v>8494</v>
      </c>
      <c r="M5002" s="20" t="s">
        <v>8494</v>
      </c>
    </row>
    <row r="5003">
      <c r="A5003" s="6"/>
      <c r="B5003" s="6"/>
      <c r="C5003" s="6"/>
      <c r="D5003" s="4">
        <v>162.08559887393</v>
      </c>
      <c r="E5003" s="4" t="s">
        <v>244</v>
      </c>
      <c r="F5003" s="4"/>
      <c r="G5003" s="4"/>
      <c r="H5003" s="4"/>
      <c r="I5003" s="4"/>
      <c r="J5003" s="18">
        <v>0.0</v>
      </c>
      <c r="K5003" s="4" t="s">
        <v>8494</v>
      </c>
      <c r="L5003" s="19" t="s">
        <v>8494</v>
      </c>
      <c r="M5003" s="20" t="s">
        <v>8494</v>
      </c>
    </row>
    <row r="5004">
      <c r="A5004" s="6"/>
      <c r="B5004" s="6"/>
      <c r="C5004" s="6"/>
      <c r="D5004" s="4">
        <v>52.484319637801</v>
      </c>
      <c r="E5004" s="4" t="s">
        <v>7372</v>
      </c>
      <c r="F5004" s="4"/>
      <c r="G5004" s="4"/>
      <c r="H5004" s="4"/>
      <c r="I5004" s="4"/>
      <c r="J5004" s="18">
        <v>0.0</v>
      </c>
      <c r="K5004" s="4" t="s">
        <v>8494</v>
      </c>
      <c r="L5004" s="19" t="s">
        <v>8494</v>
      </c>
      <c r="M5004" s="20" t="s">
        <v>8494</v>
      </c>
    </row>
    <row r="5005">
      <c r="A5005" s="6"/>
      <c r="B5005" s="6"/>
      <c r="C5005" s="6"/>
      <c r="D5005" s="4">
        <v>7.44047840830003</v>
      </c>
      <c r="E5005" s="4" t="s">
        <v>7374</v>
      </c>
      <c r="F5005" s="4"/>
      <c r="G5005" s="4"/>
      <c r="H5005" s="4"/>
      <c r="I5005" s="4"/>
      <c r="J5005" s="18">
        <v>0.0</v>
      </c>
      <c r="K5005" s="4" t="s">
        <v>8494</v>
      </c>
      <c r="L5005" s="19" t="s">
        <v>8494</v>
      </c>
      <c r="M5005" s="20" t="s">
        <v>8494</v>
      </c>
    </row>
    <row r="5006">
      <c r="A5006" s="6"/>
      <c r="B5006" s="6"/>
      <c r="C5006" s="6"/>
      <c r="D5006" s="4">
        <v>65.1041860726253</v>
      </c>
      <c r="E5006" s="4" t="s">
        <v>6356</v>
      </c>
      <c r="F5006" s="4"/>
      <c r="G5006" s="4"/>
      <c r="H5006" s="4"/>
      <c r="I5006" s="4"/>
      <c r="J5006" s="18">
        <v>0.0</v>
      </c>
      <c r="K5006" s="4" t="s">
        <v>8494</v>
      </c>
      <c r="L5006" s="19" t="s">
        <v>8494</v>
      </c>
      <c r="M5006" s="20" t="s">
        <v>8494</v>
      </c>
    </row>
    <row r="5007">
      <c r="A5007" s="6"/>
      <c r="B5007" s="6"/>
      <c r="C5007" s="6"/>
      <c r="D5007" s="4">
        <v>9.30059801037504</v>
      </c>
      <c r="E5007" s="4" t="s">
        <v>2292</v>
      </c>
      <c r="F5007" s="4"/>
      <c r="G5007" s="4"/>
      <c r="H5007" s="4"/>
      <c r="I5007" s="4"/>
      <c r="J5007" s="18">
        <v>0.0</v>
      </c>
      <c r="K5007" s="4" t="s">
        <v>8494</v>
      </c>
      <c r="L5007" s="19" t="s">
        <v>8494</v>
      </c>
      <c r="M5007" s="20" t="s">
        <v>8494</v>
      </c>
    </row>
    <row r="5008">
      <c r="A5008" s="6"/>
      <c r="B5008" s="6"/>
      <c r="C5008" s="6"/>
      <c r="D5008" s="4">
        <v>46.5029900518752</v>
      </c>
      <c r="E5008" s="4" t="s">
        <v>7376</v>
      </c>
      <c r="F5008" s="4"/>
      <c r="G5008" s="4"/>
      <c r="H5008" s="4"/>
      <c r="I5008" s="4"/>
      <c r="J5008" s="18">
        <v>0.0</v>
      </c>
      <c r="K5008" s="4" t="s">
        <v>8494</v>
      </c>
      <c r="L5008" s="19" t="s">
        <v>8494</v>
      </c>
      <c r="M5008" s="20" t="s">
        <v>8494</v>
      </c>
    </row>
    <row r="5009">
      <c r="A5009" s="6"/>
      <c r="B5009" s="6"/>
      <c r="C5009" s="6"/>
      <c r="D5009" s="4">
        <v>41.936980929591904</v>
      </c>
      <c r="E5009" s="4" t="s">
        <v>7378</v>
      </c>
      <c r="F5009" s="4"/>
      <c r="G5009" s="4"/>
      <c r="H5009" s="4"/>
      <c r="I5009" s="4"/>
      <c r="J5009" s="18">
        <v>0.0</v>
      </c>
      <c r="K5009" s="4" t="s">
        <v>8494</v>
      </c>
      <c r="L5009" s="19" t="s">
        <v>8494</v>
      </c>
      <c r="M5009" s="20" t="s">
        <v>8494</v>
      </c>
    </row>
    <row r="5010">
      <c r="A5010" s="6"/>
      <c r="B5010" s="6"/>
      <c r="C5010" s="6"/>
      <c r="D5010" s="4">
        <v>185.82595375882698</v>
      </c>
      <c r="E5010" s="4" t="s">
        <v>5940</v>
      </c>
      <c r="F5010" s="4"/>
      <c r="G5010" s="4"/>
      <c r="H5010" s="4"/>
      <c r="I5010" s="4"/>
      <c r="J5010" s="18">
        <v>0.0</v>
      </c>
      <c r="K5010" s="4" t="s">
        <v>8494</v>
      </c>
      <c r="L5010" s="19" t="s">
        <v>8494</v>
      </c>
      <c r="M5010" s="20" t="s">
        <v>8494</v>
      </c>
    </row>
    <row r="5011">
      <c r="A5011" s="6"/>
      <c r="B5011" s="6"/>
      <c r="C5011" s="6"/>
      <c r="D5011" s="4">
        <v>38.1660215523207</v>
      </c>
      <c r="E5011" s="4" t="s">
        <v>5916</v>
      </c>
      <c r="F5011" s="4"/>
      <c r="G5011" s="4"/>
      <c r="H5011" s="4"/>
      <c r="I5011" s="4"/>
      <c r="J5011" s="18">
        <v>0.0</v>
      </c>
      <c r="K5011" s="4" t="s">
        <v>8494</v>
      </c>
      <c r="L5011" s="19" t="s">
        <v>8494</v>
      </c>
      <c r="M5011" s="20" t="s">
        <v>8494</v>
      </c>
    </row>
    <row r="5012">
      <c r="A5012" s="6"/>
      <c r="B5012" s="6"/>
      <c r="C5012" s="6"/>
      <c r="D5012" s="4">
        <v>93.0540589395101</v>
      </c>
      <c r="E5012" s="4" t="s">
        <v>7382</v>
      </c>
      <c r="F5012" s="4"/>
      <c r="G5012" s="4"/>
      <c r="H5012" s="4"/>
      <c r="I5012" s="4"/>
      <c r="J5012" s="18">
        <v>0.0</v>
      </c>
      <c r="K5012" s="4" t="s">
        <v>8494</v>
      </c>
      <c r="L5012" s="19" t="s">
        <v>8494</v>
      </c>
      <c r="M5012" s="20" t="s">
        <v>8494</v>
      </c>
    </row>
    <row r="5013">
      <c r="A5013" s="6"/>
      <c r="B5013" s="6"/>
      <c r="C5013" s="6"/>
      <c r="D5013" s="4">
        <v>9.30059801037504</v>
      </c>
      <c r="E5013" s="4" t="s">
        <v>7384</v>
      </c>
      <c r="F5013" s="4"/>
      <c r="G5013" s="4"/>
      <c r="H5013" s="4"/>
      <c r="I5013" s="4"/>
      <c r="J5013" s="18">
        <v>0.0</v>
      </c>
      <c r="K5013" s="4" t="s">
        <v>8494</v>
      </c>
      <c r="L5013" s="19" t="s">
        <v>8494</v>
      </c>
      <c r="M5013" s="20" t="s">
        <v>8494</v>
      </c>
    </row>
    <row r="5014">
      <c r="A5014" s="6"/>
      <c r="B5014" s="6"/>
      <c r="C5014" s="6"/>
      <c r="D5014" s="4">
        <v>46.5029900518752</v>
      </c>
      <c r="E5014" s="4" t="s">
        <v>4538</v>
      </c>
      <c r="F5014" s="4"/>
      <c r="G5014" s="4"/>
      <c r="H5014" s="4"/>
      <c r="I5014" s="4"/>
      <c r="J5014" s="18">
        <v>0.0</v>
      </c>
      <c r="K5014" s="4" t="s">
        <v>8494</v>
      </c>
      <c r="L5014" s="19" t="s">
        <v>8494</v>
      </c>
      <c r="M5014" s="20" t="s">
        <v>8494</v>
      </c>
    </row>
    <row r="5015">
      <c r="A5015" s="6"/>
      <c r="B5015" s="6"/>
      <c r="C5015" s="6"/>
      <c r="D5015" s="4">
        <v>13.1803501247384</v>
      </c>
      <c r="E5015" s="4" t="s">
        <v>6787</v>
      </c>
      <c r="F5015" s="4"/>
      <c r="G5015" s="4"/>
      <c r="H5015" s="4"/>
      <c r="I5015" s="4"/>
      <c r="J5015" s="18">
        <v>0.0</v>
      </c>
      <c r="K5015" s="4" t="s">
        <v>8494</v>
      </c>
      <c r="L5015" s="19" t="s">
        <v>8494</v>
      </c>
      <c r="M5015" s="20" t="s">
        <v>8494</v>
      </c>
    </row>
    <row r="5016">
      <c r="A5016" s="6"/>
      <c r="B5016" s="6"/>
      <c r="C5016" s="6"/>
      <c r="D5016" s="4">
        <v>176.954599918438</v>
      </c>
      <c r="E5016" s="4" t="s">
        <v>4931</v>
      </c>
      <c r="F5016" s="4"/>
      <c r="G5016" s="4"/>
      <c r="H5016" s="4"/>
      <c r="I5016" s="4"/>
      <c r="J5016" s="18">
        <v>0.0</v>
      </c>
      <c r="K5016" s="4" t="s">
        <v>8494</v>
      </c>
      <c r="L5016" s="19" t="s">
        <v>8494</v>
      </c>
      <c r="M5016" s="20" t="s">
        <v>8494</v>
      </c>
    </row>
    <row r="5017">
      <c r="A5017" s="6"/>
      <c r="B5017" s="6"/>
      <c r="C5017" s="6"/>
      <c r="D5017" s="4">
        <v>9.30059801037504</v>
      </c>
      <c r="E5017" s="4" t="s">
        <v>2721</v>
      </c>
      <c r="F5017" s="4"/>
      <c r="G5017" s="4"/>
      <c r="H5017" s="4"/>
      <c r="I5017" s="4"/>
      <c r="J5017" s="18">
        <v>0.0</v>
      </c>
      <c r="K5017" s="4" t="s">
        <v>8494</v>
      </c>
      <c r="L5017" s="19" t="s">
        <v>8494</v>
      </c>
      <c r="M5017" s="20" t="s">
        <v>8494</v>
      </c>
    </row>
    <row r="5018">
      <c r="A5018" s="6"/>
      <c r="B5018" s="6"/>
      <c r="C5018" s="6"/>
      <c r="D5018" s="4">
        <v>2.9990859249835102</v>
      </c>
      <c r="E5018" s="4" t="s">
        <v>5884</v>
      </c>
      <c r="F5018" s="4"/>
      <c r="G5018" s="4"/>
      <c r="H5018" s="4"/>
      <c r="I5018" s="4"/>
      <c r="J5018" s="18">
        <v>0.0</v>
      </c>
      <c r="K5018" s="4" t="s">
        <v>8494</v>
      </c>
      <c r="L5018" s="19" t="s">
        <v>8494</v>
      </c>
      <c r="M5018" s="20" t="s">
        <v>8494</v>
      </c>
    </row>
    <row r="5019">
      <c r="A5019" s="6"/>
      <c r="B5019" s="6"/>
      <c r="C5019" s="6"/>
      <c r="D5019" s="4">
        <v>7.77035228703383</v>
      </c>
      <c r="E5019" s="4" t="s">
        <v>4961</v>
      </c>
      <c r="F5019" s="4"/>
      <c r="G5019" s="4"/>
      <c r="H5019" s="4"/>
      <c r="I5019" s="4"/>
      <c r="J5019" s="18">
        <v>0.0</v>
      </c>
      <c r="K5019" s="4" t="s">
        <v>8494</v>
      </c>
      <c r="L5019" s="19" t="s">
        <v>8494</v>
      </c>
      <c r="M5019" s="20" t="s">
        <v>8494</v>
      </c>
    </row>
    <row r="5020">
      <c r="A5020" s="6"/>
      <c r="B5020" s="6"/>
      <c r="C5020" s="6"/>
      <c r="D5020" s="4">
        <v>2.4497662656874</v>
      </c>
      <c r="E5020" s="4" t="s">
        <v>7389</v>
      </c>
      <c r="F5020" s="4"/>
      <c r="G5020" s="4"/>
      <c r="H5020" s="4"/>
      <c r="I5020" s="4"/>
      <c r="J5020" s="18">
        <v>0.0</v>
      </c>
      <c r="K5020" s="4" t="s">
        <v>8494</v>
      </c>
      <c r="L5020" s="19" t="s">
        <v>8494</v>
      </c>
      <c r="M5020" s="20" t="s">
        <v>8494</v>
      </c>
    </row>
    <row r="5021">
      <c r="A5021" s="6"/>
      <c r="B5021" s="6"/>
      <c r="C5021" s="6"/>
      <c r="D5021" s="4">
        <v>33.6788218267759</v>
      </c>
      <c r="E5021" s="4" t="s">
        <v>2947</v>
      </c>
      <c r="F5021" s="4"/>
      <c r="G5021" s="4"/>
      <c r="H5021" s="4"/>
      <c r="I5021" s="4"/>
      <c r="J5021" s="18">
        <v>0.0</v>
      </c>
      <c r="K5021" s="4" t="s">
        <v>8494</v>
      </c>
      <c r="L5021" s="19" t="s">
        <v>8494</v>
      </c>
      <c r="M5021" s="20" t="s">
        <v>8494</v>
      </c>
    </row>
    <row r="5022">
      <c r="A5022" s="6"/>
      <c r="B5022" s="6"/>
      <c r="C5022" s="6"/>
      <c r="D5022" s="4">
        <v>186.01196020749998</v>
      </c>
      <c r="E5022" s="4" t="s">
        <v>1735</v>
      </c>
      <c r="F5022" s="4"/>
      <c r="G5022" s="4"/>
      <c r="H5022" s="4"/>
      <c r="I5022" s="4"/>
      <c r="J5022" s="18">
        <v>0.0</v>
      </c>
      <c r="K5022" s="4" t="s">
        <v>8494</v>
      </c>
      <c r="L5022" s="19" t="s">
        <v>8494</v>
      </c>
      <c r="M5022" s="20" t="s">
        <v>8494</v>
      </c>
    </row>
    <row r="5023">
      <c r="A5023" s="6"/>
      <c r="B5023" s="6"/>
      <c r="C5023" s="6"/>
      <c r="D5023" s="4">
        <v>185.835880407265</v>
      </c>
      <c r="E5023" s="4" t="s">
        <v>4026</v>
      </c>
      <c r="F5023" s="4"/>
      <c r="G5023" s="4"/>
      <c r="H5023" s="4"/>
      <c r="I5023" s="4"/>
      <c r="J5023" s="18">
        <v>0.0</v>
      </c>
      <c r="K5023" s="4" t="s">
        <v>8494</v>
      </c>
      <c r="L5023" s="19" t="s">
        <v>8494</v>
      </c>
      <c r="M5023" s="20" t="s">
        <v>8494</v>
      </c>
    </row>
    <row r="5024">
      <c r="A5024" s="6"/>
      <c r="B5024" s="6"/>
      <c r="C5024" s="6"/>
      <c r="D5024" s="4">
        <v>12.9936422051483</v>
      </c>
      <c r="E5024" s="4" t="s">
        <v>7121</v>
      </c>
      <c r="F5024" s="4"/>
      <c r="G5024" s="4"/>
      <c r="H5024" s="4"/>
      <c r="I5024" s="4"/>
      <c r="J5024" s="18">
        <v>0.0</v>
      </c>
      <c r="K5024" s="4" t="s">
        <v>8494</v>
      </c>
      <c r="L5024" s="19" t="s">
        <v>8494</v>
      </c>
      <c r="M5024" s="20" t="s">
        <v>8494</v>
      </c>
    </row>
    <row r="5025">
      <c r="A5025" s="6"/>
      <c r="B5025" s="6"/>
      <c r="C5025" s="6"/>
      <c r="D5025" s="4">
        <v>55.8035880622502</v>
      </c>
      <c r="E5025" s="4" t="s">
        <v>7394</v>
      </c>
      <c r="F5025" s="4"/>
      <c r="G5025" s="4"/>
      <c r="H5025" s="4"/>
      <c r="I5025" s="4"/>
      <c r="J5025" s="18">
        <v>0.0</v>
      </c>
      <c r="K5025" s="4" t="s">
        <v>8494</v>
      </c>
      <c r="L5025" s="19" t="s">
        <v>8494</v>
      </c>
      <c r="M5025" s="20" t="s">
        <v>8494</v>
      </c>
    </row>
    <row r="5026">
      <c r="A5026" s="6"/>
      <c r="B5026" s="6"/>
      <c r="C5026" s="6"/>
      <c r="D5026" s="4">
        <v>6.87836139460231</v>
      </c>
      <c r="E5026" s="4" t="s">
        <v>4150</v>
      </c>
      <c r="F5026" s="4"/>
      <c r="G5026" s="4"/>
      <c r="H5026" s="4"/>
      <c r="I5026" s="4"/>
      <c r="J5026" s="18">
        <v>0.0</v>
      </c>
      <c r="K5026" s="4" t="s">
        <v>8494</v>
      </c>
      <c r="L5026" s="19" t="s">
        <v>8494</v>
      </c>
      <c r="M5026" s="20" t="s">
        <v>8494</v>
      </c>
    </row>
    <row r="5027">
      <c r="A5027" s="6"/>
      <c r="B5027" s="6"/>
      <c r="C5027" s="6"/>
      <c r="D5027" s="4">
        <v>71.5260505523015</v>
      </c>
      <c r="E5027" s="4" t="s">
        <v>5794</v>
      </c>
      <c r="F5027" s="4"/>
      <c r="G5027" s="4"/>
      <c r="H5027" s="4"/>
      <c r="I5027" s="4"/>
      <c r="J5027" s="18">
        <v>0.0</v>
      </c>
      <c r="K5027" s="4" t="s">
        <v>8494</v>
      </c>
      <c r="L5027" s="19" t="s">
        <v>8494</v>
      </c>
      <c r="M5027" s="20" t="s">
        <v>8494</v>
      </c>
    </row>
    <row r="5028">
      <c r="A5028" s="6"/>
      <c r="B5028" s="6"/>
      <c r="C5028" s="6"/>
      <c r="D5028" s="4">
        <v>9.30059801037504</v>
      </c>
      <c r="E5028" s="4" t="s">
        <v>2629</v>
      </c>
      <c r="F5028" s="4"/>
      <c r="G5028" s="4"/>
      <c r="H5028" s="4"/>
      <c r="I5028" s="4"/>
      <c r="J5028" s="18">
        <v>0.0</v>
      </c>
      <c r="K5028" s="4" t="s">
        <v>8494</v>
      </c>
      <c r="L5028" s="19" t="s">
        <v>8494</v>
      </c>
      <c r="M5028" s="20" t="s">
        <v>8494</v>
      </c>
    </row>
    <row r="5029">
      <c r="A5029" s="6"/>
      <c r="B5029" s="6"/>
      <c r="C5029" s="6"/>
      <c r="D5029" s="4">
        <v>61.346744476433706</v>
      </c>
      <c r="E5029" s="4" t="s">
        <v>7397</v>
      </c>
      <c r="F5029" s="4"/>
      <c r="G5029" s="4"/>
      <c r="H5029" s="4"/>
      <c r="I5029" s="4"/>
      <c r="J5029" s="18">
        <v>0.0</v>
      </c>
      <c r="K5029" s="4" t="s">
        <v>8494</v>
      </c>
      <c r="L5029" s="19" t="s">
        <v>8494</v>
      </c>
      <c r="M5029" s="20" t="s">
        <v>8494</v>
      </c>
    </row>
    <row r="5030">
      <c r="A5030" s="6"/>
      <c r="B5030" s="6"/>
      <c r="C5030" s="6"/>
      <c r="D5030" s="4">
        <v>117.521139748284</v>
      </c>
      <c r="E5030" s="4" t="s">
        <v>1541</v>
      </c>
      <c r="F5030" s="4"/>
      <c r="G5030" s="4"/>
      <c r="H5030" s="4"/>
      <c r="I5030" s="4"/>
      <c r="J5030" s="18">
        <v>0.0</v>
      </c>
      <c r="K5030" s="4" t="s">
        <v>8494</v>
      </c>
      <c r="L5030" s="19" t="s">
        <v>8494</v>
      </c>
      <c r="M5030" s="20" t="s">
        <v>8494</v>
      </c>
    </row>
    <row r="5031">
      <c r="A5031" s="6"/>
      <c r="B5031" s="6"/>
      <c r="C5031" s="6"/>
      <c r="D5031" s="4">
        <v>60.0519801249085</v>
      </c>
      <c r="E5031" s="4" t="s">
        <v>7400</v>
      </c>
      <c r="F5031" s="4"/>
      <c r="G5031" s="4"/>
      <c r="H5031" s="4"/>
      <c r="I5031" s="4"/>
      <c r="J5031" s="18">
        <v>0.0</v>
      </c>
      <c r="K5031" s="4" t="s">
        <v>8494</v>
      </c>
      <c r="L5031" s="19" t="s">
        <v>8494</v>
      </c>
      <c r="M5031" s="20" t="s">
        <v>8494</v>
      </c>
    </row>
    <row r="5032">
      <c r="A5032" s="6"/>
      <c r="B5032" s="6"/>
      <c r="C5032" s="6"/>
      <c r="D5032" s="4">
        <v>186.01196020749998</v>
      </c>
      <c r="E5032" s="4" t="s">
        <v>1038</v>
      </c>
      <c r="F5032" s="4"/>
      <c r="G5032" s="4"/>
      <c r="H5032" s="4"/>
      <c r="I5032" s="4"/>
      <c r="J5032" s="18">
        <v>0.0</v>
      </c>
      <c r="K5032" s="4" t="s">
        <v>8494</v>
      </c>
      <c r="L5032" s="19" t="s">
        <v>8494</v>
      </c>
      <c r="M5032" s="20" t="s">
        <v>8494</v>
      </c>
    </row>
    <row r="5033">
      <c r="A5033" s="6"/>
      <c r="B5033" s="6"/>
      <c r="C5033" s="6"/>
      <c r="D5033" s="4">
        <v>186.01196020749998</v>
      </c>
      <c r="E5033" s="4" t="s">
        <v>2874</v>
      </c>
      <c r="F5033" s="4"/>
      <c r="G5033" s="4"/>
      <c r="H5033" s="4"/>
      <c r="I5033" s="4"/>
      <c r="J5033" s="18">
        <v>0.0</v>
      </c>
      <c r="K5033" s="4" t="s">
        <v>8494</v>
      </c>
      <c r="L5033" s="19" t="s">
        <v>8494</v>
      </c>
      <c r="M5033" s="20" t="s">
        <v>8494</v>
      </c>
    </row>
    <row r="5034">
      <c r="A5034" s="6"/>
      <c r="B5034" s="6"/>
      <c r="C5034" s="6"/>
      <c r="D5034" s="4">
        <v>9.30059801037504</v>
      </c>
      <c r="E5034" s="4" t="s">
        <v>6761</v>
      </c>
      <c r="F5034" s="4"/>
      <c r="G5034" s="4"/>
      <c r="H5034" s="4"/>
      <c r="I5034" s="4"/>
      <c r="J5034" s="18">
        <v>0.0</v>
      </c>
      <c r="K5034" s="4" t="s">
        <v>8494</v>
      </c>
      <c r="L5034" s="19" t="s">
        <v>8494</v>
      </c>
      <c r="M5034" s="20" t="s">
        <v>8494</v>
      </c>
    </row>
    <row r="5035">
      <c r="A5035" s="6"/>
      <c r="B5035" s="6"/>
      <c r="C5035" s="6"/>
      <c r="D5035" s="4">
        <v>99.9847074934936</v>
      </c>
      <c r="E5035" s="4" t="s">
        <v>4712</v>
      </c>
      <c r="F5035" s="4"/>
      <c r="G5035" s="4"/>
      <c r="H5035" s="4"/>
      <c r="I5035" s="4"/>
      <c r="J5035" s="18">
        <v>0.0</v>
      </c>
      <c r="K5035" s="4" t="s">
        <v>8494</v>
      </c>
      <c r="L5035" s="19" t="s">
        <v>8494</v>
      </c>
      <c r="M5035" s="20" t="s">
        <v>8494</v>
      </c>
    </row>
    <row r="5036">
      <c r="A5036" s="6"/>
      <c r="B5036" s="6"/>
      <c r="C5036" s="6"/>
      <c r="D5036" s="4">
        <v>65.1041860726253</v>
      </c>
      <c r="E5036" s="4" t="s">
        <v>6220</v>
      </c>
      <c r="F5036" s="4"/>
      <c r="G5036" s="4"/>
      <c r="H5036" s="4"/>
      <c r="I5036" s="4"/>
      <c r="J5036" s="18">
        <v>0.0</v>
      </c>
      <c r="K5036" s="4" t="s">
        <v>8494</v>
      </c>
      <c r="L5036" s="19" t="s">
        <v>8494</v>
      </c>
      <c r="M5036" s="20" t="s">
        <v>8494</v>
      </c>
    </row>
    <row r="5037">
      <c r="A5037" s="6"/>
      <c r="B5037" s="6"/>
      <c r="C5037" s="6"/>
      <c r="D5037" s="4">
        <v>6.22623475015345</v>
      </c>
      <c r="E5037" s="4" t="s">
        <v>6019</v>
      </c>
      <c r="F5037" s="4"/>
      <c r="G5037" s="4"/>
      <c r="H5037" s="4"/>
      <c r="I5037" s="4"/>
      <c r="J5037" s="18">
        <v>0.0</v>
      </c>
      <c r="K5037" s="4" t="s">
        <v>8494</v>
      </c>
      <c r="L5037" s="19" t="s">
        <v>8494</v>
      </c>
      <c r="M5037" s="20" t="s">
        <v>8494</v>
      </c>
    </row>
    <row r="5038">
      <c r="A5038" s="6"/>
      <c r="B5038" s="6"/>
      <c r="C5038" s="6"/>
      <c r="D5038" s="4">
        <v>5.0465700118220695</v>
      </c>
      <c r="E5038" s="4" t="s">
        <v>4454</v>
      </c>
      <c r="F5038" s="4"/>
      <c r="G5038" s="4"/>
      <c r="H5038" s="4"/>
      <c r="I5038" s="4"/>
      <c r="J5038" s="18">
        <v>0.0</v>
      </c>
      <c r="K5038" s="4" t="s">
        <v>8494</v>
      </c>
      <c r="L5038" s="19" t="s">
        <v>8494</v>
      </c>
      <c r="M5038" s="20" t="s">
        <v>8494</v>
      </c>
    </row>
    <row r="5039">
      <c r="A5039" s="6"/>
      <c r="B5039" s="6"/>
      <c r="C5039" s="6"/>
      <c r="D5039" s="4">
        <v>9.30059801037504</v>
      </c>
      <c r="E5039" s="4" t="s">
        <v>4307</v>
      </c>
      <c r="F5039" s="4"/>
      <c r="G5039" s="4"/>
      <c r="H5039" s="4"/>
      <c r="I5039" s="4"/>
      <c r="J5039" s="18">
        <v>0.0</v>
      </c>
      <c r="K5039" s="4" t="s">
        <v>8494</v>
      </c>
      <c r="L5039" s="19" t="s">
        <v>8494</v>
      </c>
      <c r="M5039" s="20" t="s">
        <v>8494</v>
      </c>
    </row>
    <row r="5040">
      <c r="A5040" s="6"/>
      <c r="B5040" s="6"/>
      <c r="C5040" s="6"/>
      <c r="D5040" s="4">
        <v>186.01196020749998</v>
      </c>
      <c r="E5040" s="4" t="s">
        <v>7052</v>
      </c>
      <c r="F5040" s="4"/>
      <c r="G5040" s="4"/>
      <c r="H5040" s="4"/>
      <c r="I5040" s="4"/>
      <c r="J5040" s="18">
        <v>0.0</v>
      </c>
      <c r="K5040" s="4" t="s">
        <v>8494</v>
      </c>
      <c r="L5040" s="19" t="s">
        <v>8494</v>
      </c>
      <c r="M5040" s="20" t="s">
        <v>8494</v>
      </c>
    </row>
    <row r="5041">
      <c r="A5041" s="6"/>
      <c r="B5041" s="6"/>
      <c r="C5041" s="6"/>
      <c r="D5041" s="4">
        <v>21.231356820068</v>
      </c>
      <c r="E5041" s="4" t="s">
        <v>628</v>
      </c>
      <c r="F5041" s="4"/>
      <c r="G5041" s="4"/>
      <c r="H5041" s="4"/>
      <c r="I5041" s="4"/>
      <c r="J5041" s="18">
        <v>0.0</v>
      </c>
      <c r="K5041" s="4" t="s">
        <v>8494</v>
      </c>
      <c r="L5041" s="19" t="s">
        <v>8494</v>
      </c>
      <c r="M5041" s="20" t="s">
        <v>8494</v>
      </c>
    </row>
    <row r="5042">
      <c r="A5042" s="6"/>
      <c r="B5042" s="6"/>
      <c r="C5042" s="6"/>
      <c r="D5042" s="4">
        <v>9.30059801037504</v>
      </c>
      <c r="E5042" s="4" t="s">
        <v>7406</v>
      </c>
      <c r="F5042" s="4"/>
      <c r="G5042" s="4"/>
      <c r="H5042" s="4"/>
      <c r="I5042" s="4"/>
      <c r="J5042" s="18">
        <v>0.0</v>
      </c>
      <c r="K5042" s="4" t="s">
        <v>8494</v>
      </c>
      <c r="L5042" s="19" t="s">
        <v>8494</v>
      </c>
      <c r="M5042" s="20" t="s">
        <v>8494</v>
      </c>
    </row>
    <row r="5043">
      <c r="A5043" s="6"/>
      <c r="B5043" s="6"/>
      <c r="C5043" s="6"/>
      <c r="D5043" s="4">
        <v>186.01196020749998</v>
      </c>
      <c r="E5043" s="4" t="s">
        <v>7407</v>
      </c>
      <c r="F5043" s="4"/>
      <c r="G5043" s="4"/>
      <c r="H5043" s="4"/>
      <c r="I5043" s="4"/>
      <c r="J5043" s="18">
        <v>0.0</v>
      </c>
      <c r="K5043" s="4" t="s">
        <v>8494</v>
      </c>
      <c r="L5043" s="19" t="s">
        <v>8494</v>
      </c>
      <c r="M5043" s="20" t="s">
        <v>8494</v>
      </c>
    </row>
    <row r="5044">
      <c r="A5044" s="6"/>
      <c r="B5044" s="6"/>
      <c r="C5044" s="6"/>
      <c r="D5044" s="4">
        <v>63.04817301706991</v>
      </c>
      <c r="E5044" s="4" t="s">
        <v>7408</v>
      </c>
      <c r="F5044" s="4"/>
      <c r="G5044" s="4"/>
      <c r="H5044" s="4"/>
      <c r="I5044" s="4"/>
      <c r="J5044" s="18">
        <v>0.0</v>
      </c>
      <c r="K5044" s="4" t="s">
        <v>8494</v>
      </c>
      <c r="L5044" s="19" t="s">
        <v>8494</v>
      </c>
      <c r="M5044" s="20" t="s">
        <v>8494</v>
      </c>
    </row>
    <row r="5045">
      <c r="A5045" s="6"/>
      <c r="B5045" s="6"/>
      <c r="C5045" s="6"/>
      <c r="D5045" s="4">
        <v>24.5979860790777</v>
      </c>
      <c r="E5045" s="4" t="s">
        <v>4391</v>
      </c>
      <c r="F5045" s="4"/>
      <c r="G5045" s="4"/>
      <c r="H5045" s="4"/>
      <c r="I5045" s="4"/>
      <c r="J5045" s="18">
        <v>0.0</v>
      </c>
      <c r="K5045" s="4" t="s">
        <v>8494</v>
      </c>
      <c r="L5045" s="19" t="s">
        <v>8494</v>
      </c>
      <c r="M5045" s="20" t="s">
        <v>8494</v>
      </c>
    </row>
    <row r="5046">
      <c r="A5046" s="6"/>
      <c r="B5046" s="6"/>
      <c r="C5046" s="6"/>
      <c r="D5046" s="4">
        <v>55.847293190418995</v>
      </c>
      <c r="E5046" s="4" t="s">
        <v>7049</v>
      </c>
      <c r="F5046" s="4"/>
      <c r="G5046" s="4"/>
      <c r="H5046" s="4"/>
      <c r="I5046" s="4"/>
      <c r="J5046" s="18">
        <v>0.0</v>
      </c>
      <c r="K5046" s="4" t="s">
        <v>8494</v>
      </c>
      <c r="L5046" s="19" t="s">
        <v>8494</v>
      </c>
      <c r="M5046" s="20" t="s">
        <v>8494</v>
      </c>
    </row>
    <row r="5047">
      <c r="A5047" s="6"/>
      <c r="B5047" s="6"/>
      <c r="C5047" s="6"/>
      <c r="D5047" s="4">
        <v>186.01196020749998</v>
      </c>
      <c r="E5047" s="4" t="s">
        <v>302</v>
      </c>
      <c r="F5047" s="4"/>
      <c r="G5047" s="4"/>
      <c r="H5047" s="4"/>
      <c r="I5047" s="4"/>
      <c r="J5047" s="18">
        <v>0.0</v>
      </c>
      <c r="K5047" s="4" t="s">
        <v>8494</v>
      </c>
      <c r="L5047" s="19" t="s">
        <v>8494</v>
      </c>
      <c r="M5047" s="20" t="s">
        <v>8494</v>
      </c>
    </row>
    <row r="5048">
      <c r="A5048" s="6"/>
      <c r="B5048" s="6"/>
      <c r="C5048" s="6"/>
      <c r="D5048" s="4">
        <v>55.8036832529408</v>
      </c>
      <c r="E5048" s="4" t="s">
        <v>7412</v>
      </c>
      <c r="F5048" s="4"/>
      <c r="G5048" s="4"/>
      <c r="H5048" s="4"/>
      <c r="I5048" s="4"/>
      <c r="J5048" s="18">
        <v>0.0</v>
      </c>
      <c r="K5048" s="4" t="s">
        <v>8494</v>
      </c>
      <c r="L5048" s="19" t="s">
        <v>8494</v>
      </c>
      <c r="M5048" s="20" t="s">
        <v>8494</v>
      </c>
    </row>
    <row r="5049">
      <c r="A5049" s="6"/>
      <c r="B5049" s="6"/>
      <c r="C5049" s="6"/>
      <c r="D5049" s="4">
        <v>139.508970155625</v>
      </c>
      <c r="E5049" s="4" t="s">
        <v>7414</v>
      </c>
      <c r="F5049" s="4"/>
      <c r="G5049" s="4"/>
      <c r="H5049" s="4"/>
      <c r="I5049" s="4"/>
      <c r="J5049" s="18">
        <v>0.0</v>
      </c>
      <c r="K5049" s="4" t="s">
        <v>8494</v>
      </c>
      <c r="L5049" s="19" t="s">
        <v>8494</v>
      </c>
      <c r="M5049" s="20" t="s">
        <v>8494</v>
      </c>
    </row>
    <row r="5050">
      <c r="A5050" s="6"/>
      <c r="B5050" s="6"/>
      <c r="C5050" s="6"/>
      <c r="D5050" s="4">
        <v>55.8035880622502</v>
      </c>
      <c r="E5050" s="4" t="s">
        <v>7416</v>
      </c>
      <c r="F5050" s="4"/>
      <c r="G5050" s="4"/>
      <c r="H5050" s="4"/>
      <c r="I5050" s="4"/>
      <c r="J5050" s="18">
        <v>0.0</v>
      </c>
      <c r="K5050" s="4" t="s">
        <v>8494</v>
      </c>
      <c r="L5050" s="19" t="s">
        <v>8494</v>
      </c>
      <c r="M5050" s="20" t="s">
        <v>8494</v>
      </c>
    </row>
    <row r="5051">
      <c r="A5051" s="6"/>
      <c r="B5051" s="6"/>
      <c r="C5051" s="6"/>
      <c r="D5051" s="4">
        <v>65.1041860726253</v>
      </c>
      <c r="E5051" s="4" t="s">
        <v>3501</v>
      </c>
      <c r="F5051" s="4"/>
      <c r="G5051" s="4"/>
      <c r="H5051" s="4"/>
      <c r="I5051" s="4"/>
      <c r="J5051" s="18">
        <v>0.0</v>
      </c>
      <c r="K5051" s="4" t="s">
        <v>8494</v>
      </c>
      <c r="L5051" s="19" t="s">
        <v>8494</v>
      </c>
      <c r="M5051" s="20" t="s">
        <v>8494</v>
      </c>
    </row>
    <row r="5052">
      <c r="A5052" s="6"/>
      <c r="B5052" s="6"/>
      <c r="C5052" s="6"/>
      <c r="D5052" s="4">
        <v>186.01196020749998</v>
      </c>
      <c r="E5052" s="4" t="s">
        <v>6644</v>
      </c>
      <c r="F5052" s="4"/>
      <c r="G5052" s="4"/>
      <c r="H5052" s="4"/>
      <c r="I5052" s="4"/>
      <c r="J5052" s="18">
        <v>0.0</v>
      </c>
      <c r="K5052" s="4" t="s">
        <v>8494</v>
      </c>
      <c r="L5052" s="19" t="s">
        <v>8494</v>
      </c>
      <c r="M5052" s="20" t="s">
        <v>8494</v>
      </c>
    </row>
    <row r="5053">
      <c r="A5053" s="6"/>
      <c r="B5053" s="6"/>
      <c r="C5053" s="6"/>
      <c r="D5053" s="4">
        <v>56.130411076334795</v>
      </c>
      <c r="E5053" s="4" t="s">
        <v>7417</v>
      </c>
      <c r="F5053" s="4"/>
      <c r="G5053" s="4"/>
      <c r="H5053" s="4"/>
      <c r="I5053" s="4"/>
      <c r="J5053" s="18">
        <v>0.0</v>
      </c>
      <c r="K5053" s="4" t="s">
        <v>8494</v>
      </c>
      <c r="L5053" s="19" t="s">
        <v>8494</v>
      </c>
      <c r="M5053" s="20" t="s">
        <v>8494</v>
      </c>
    </row>
    <row r="5054">
      <c r="A5054" s="6"/>
      <c r="B5054" s="6"/>
      <c r="C5054" s="6"/>
      <c r="D5054" s="4">
        <v>186.01196020749998</v>
      </c>
      <c r="E5054" s="4" t="s">
        <v>4771</v>
      </c>
      <c r="F5054" s="4"/>
      <c r="G5054" s="4"/>
      <c r="H5054" s="4"/>
      <c r="I5054" s="4"/>
      <c r="J5054" s="18">
        <v>0.0</v>
      </c>
      <c r="K5054" s="4" t="s">
        <v>8494</v>
      </c>
      <c r="L5054" s="19" t="s">
        <v>8494</v>
      </c>
      <c r="M5054" s="20" t="s">
        <v>8494</v>
      </c>
    </row>
    <row r="5055">
      <c r="A5055" s="6"/>
      <c r="B5055" s="6"/>
      <c r="C5055" s="6"/>
      <c r="D5055" s="4">
        <v>4.29583547879231</v>
      </c>
      <c r="E5055" s="4" t="s">
        <v>7419</v>
      </c>
      <c r="F5055" s="4"/>
      <c r="G5055" s="4"/>
      <c r="H5055" s="4"/>
      <c r="I5055" s="4"/>
      <c r="J5055" s="18">
        <v>0.0</v>
      </c>
      <c r="K5055" s="4" t="s">
        <v>8494</v>
      </c>
      <c r="L5055" s="19" t="s">
        <v>8494</v>
      </c>
      <c r="M5055" s="20" t="s">
        <v>8494</v>
      </c>
    </row>
    <row r="5056">
      <c r="A5056" s="6"/>
      <c r="B5056" s="6"/>
      <c r="C5056" s="6"/>
      <c r="D5056" s="4">
        <v>92.4746790411787</v>
      </c>
      <c r="E5056" s="4" t="s">
        <v>2102</v>
      </c>
      <c r="F5056" s="4"/>
      <c r="G5056" s="4"/>
      <c r="H5056" s="4"/>
      <c r="I5056" s="4"/>
      <c r="J5056" s="18">
        <v>0.0</v>
      </c>
      <c r="K5056" s="4" t="s">
        <v>8494</v>
      </c>
      <c r="L5056" s="19" t="s">
        <v>8494</v>
      </c>
      <c r="M5056" s="20" t="s">
        <v>8494</v>
      </c>
    </row>
    <row r="5057">
      <c r="A5057" s="6"/>
      <c r="B5057" s="6"/>
      <c r="C5057" s="6"/>
      <c r="D5057" s="4">
        <v>8.661641273750151</v>
      </c>
      <c r="E5057" s="4" t="s">
        <v>1967</v>
      </c>
      <c r="F5057" s="4"/>
      <c r="G5057" s="4"/>
      <c r="H5057" s="4"/>
      <c r="I5057" s="4"/>
      <c r="J5057" s="18">
        <v>0.0</v>
      </c>
      <c r="K5057" s="4" t="s">
        <v>8494</v>
      </c>
      <c r="L5057" s="19" t="s">
        <v>8494</v>
      </c>
      <c r="M5057" s="20" t="s">
        <v>8494</v>
      </c>
    </row>
    <row r="5058">
      <c r="A5058" s="6"/>
      <c r="B5058" s="6"/>
      <c r="C5058" s="6"/>
      <c r="D5058" s="4">
        <v>186.01196020749998</v>
      </c>
      <c r="E5058" s="4" t="s">
        <v>1451</v>
      </c>
      <c r="F5058" s="4"/>
      <c r="G5058" s="4"/>
      <c r="H5058" s="4"/>
      <c r="I5058" s="4"/>
      <c r="J5058" s="18">
        <v>0.0</v>
      </c>
      <c r="K5058" s="4" t="s">
        <v>8494</v>
      </c>
      <c r="L5058" s="19" t="s">
        <v>8494</v>
      </c>
      <c r="M5058" s="20" t="s">
        <v>8494</v>
      </c>
    </row>
    <row r="5059">
      <c r="A5059" s="6"/>
      <c r="B5059" s="6"/>
      <c r="C5059" s="6"/>
      <c r="D5059" s="4">
        <v>71.4285927196803</v>
      </c>
      <c r="E5059" s="4" t="s">
        <v>552</v>
      </c>
      <c r="F5059" s="4"/>
      <c r="G5059" s="4"/>
      <c r="H5059" s="4"/>
      <c r="I5059" s="4"/>
      <c r="J5059" s="18">
        <v>0.0</v>
      </c>
      <c r="K5059" s="4" t="s">
        <v>8494</v>
      </c>
      <c r="L5059" s="19" t="s">
        <v>8494</v>
      </c>
      <c r="M5059" s="20" t="s">
        <v>8494</v>
      </c>
    </row>
    <row r="5060">
      <c r="A5060" s="6"/>
      <c r="B5060" s="6"/>
      <c r="C5060" s="6"/>
      <c r="D5060" s="4">
        <v>19.2698273519351</v>
      </c>
      <c r="E5060" s="4" t="s">
        <v>3935</v>
      </c>
      <c r="F5060" s="4"/>
      <c r="G5060" s="4"/>
      <c r="H5060" s="4"/>
      <c r="I5060" s="4"/>
      <c r="J5060" s="18">
        <v>0.0</v>
      </c>
      <c r="K5060" s="4" t="s">
        <v>8494</v>
      </c>
      <c r="L5060" s="19" t="s">
        <v>8494</v>
      </c>
      <c r="M5060" s="20" t="s">
        <v>8494</v>
      </c>
    </row>
    <row r="5061">
      <c r="A5061" s="6"/>
      <c r="B5061" s="6"/>
      <c r="C5061" s="6"/>
      <c r="D5061" s="4">
        <v>55.889231180598294</v>
      </c>
      <c r="E5061" s="4" t="s">
        <v>7425</v>
      </c>
      <c r="F5061" s="4"/>
      <c r="G5061" s="4"/>
      <c r="H5061" s="4"/>
      <c r="I5061" s="4"/>
      <c r="J5061" s="18">
        <v>0.0</v>
      </c>
      <c r="K5061" s="4" t="s">
        <v>8494</v>
      </c>
      <c r="L5061" s="19" t="s">
        <v>8494</v>
      </c>
      <c r="M5061" s="20" t="s">
        <v>8494</v>
      </c>
    </row>
    <row r="5062">
      <c r="A5062" s="6"/>
      <c r="B5062" s="6"/>
      <c r="C5062" s="6"/>
      <c r="D5062" s="4">
        <v>186.01196020749998</v>
      </c>
      <c r="E5062" s="4" t="s">
        <v>1183</v>
      </c>
      <c r="F5062" s="4"/>
      <c r="G5062" s="4"/>
      <c r="H5062" s="4"/>
      <c r="I5062" s="4"/>
      <c r="J5062" s="18">
        <v>0.0</v>
      </c>
      <c r="K5062" s="4" t="s">
        <v>8494</v>
      </c>
      <c r="L5062" s="19" t="s">
        <v>8494</v>
      </c>
      <c r="M5062" s="20" t="s">
        <v>8494</v>
      </c>
    </row>
    <row r="5063">
      <c r="A5063" s="6"/>
      <c r="B5063" s="6"/>
      <c r="C5063" s="6"/>
      <c r="D5063" s="4">
        <v>186.01196020749998</v>
      </c>
      <c r="E5063" s="4" t="s">
        <v>4709</v>
      </c>
      <c r="F5063" s="4"/>
      <c r="G5063" s="4"/>
      <c r="H5063" s="4"/>
      <c r="I5063" s="4"/>
      <c r="J5063" s="18">
        <v>0.0</v>
      </c>
      <c r="K5063" s="4" t="s">
        <v>8494</v>
      </c>
      <c r="L5063" s="19" t="s">
        <v>8494</v>
      </c>
      <c r="M5063" s="20" t="s">
        <v>8494</v>
      </c>
    </row>
    <row r="5064">
      <c r="A5064" s="6"/>
      <c r="B5064" s="6"/>
      <c r="C5064" s="6"/>
      <c r="D5064" s="4">
        <v>50.2906296018266</v>
      </c>
      <c r="E5064" s="4" t="s">
        <v>7427</v>
      </c>
      <c r="F5064" s="4"/>
      <c r="G5064" s="4"/>
      <c r="H5064" s="4"/>
      <c r="I5064" s="4"/>
      <c r="J5064" s="18">
        <v>0.0</v>
      </c>
      <c r="K5064" s="4" t="s">
        <v>8494</v>
      </c>
      <c r="L5064" s="19" t="s">
        <v>8494</v>
      </c>
      <c r="M5064" s="20" t="s">
        <v>8494</v>
      </c>
    </row>
    <row r="5065">
      <c r="A5065" s="6"/>
      <c r="B5065" s="6"/>
      <c r="C5065" s="6"/>
      <c r="D5065" s="4">
        <v>65.1041860726253</v>
      </c>
      <c r="E5065" s="4" t="s">
        <v>3790</v>
      </c>
      <c r="F5065" s="4"/>
      <c r="G5065" s="4"/>
      <c r="H5065" s="4"/>
      <c r="I5065" s="4"/>
      <c r="J5065" s="18">
        <v>0.0</v>
      </c>
      <c r="K5065" s="4" t="s">
        <v>8494</v>
      </c>
      <c r="L5065" s="19" t="s">
        <v>8494</v>
      </c>
      <c r="M5065" s="20" t="s">
        <v>8494</v>
      </c>
    </row>
    <row r="5066">
      <c r="A5066" s="6"/>
      <c r="B5066" s="6"/>
      <c r="C5066" s="6"/>
      <c r="D5066" s="4">
        <v>149.045190046372</v>
      </c>
      <c r="E5066" s="4" t="s">
        <v>5483</v>
      </c>
      <c r="F5066" s="4"/>
      <c r="G5066" s="4"/>
      <c r="H5066" s="4"/>
      <c r="I5066" s="4"/>
      <c r="J5066" s="18">
        <v>0.0</v>
      </c>
      <c r="K5066" s="4" t="s">
        <v>8494</v>
      </c>
      <c r="L5066" s="19" t="s">
        <v>8494</v>
      </c>
      <c r="M5066" s="20" t="s">
        <v>8494</v>
      </c>
    </row>
    <row r="5067">
      <c r="A5067" s="6"/>
      <c r="B5067" s="6"/>
      <c r="C5067" s="6"/>
      <c r="D5067" s="4">
        <v>88.5292715932287</v>
      </c>
      <c r="E5067" s="4" t="s">
        <v>3349</v>
      </c>
      <c r="F5067" s="4"/>
      <c r="G5067" s="4"/>
      <c r="H5067" s="4"/>
      <c r="I5067" s="4"/>
      <c r="J5067" s="18">
        <v>0.0</v>
      </c>
      <c r="K5067" s="4" t="s">
        <v>8494</v>
      </c>
      <c r="L5067" s="19" t="s">
        <v>8494</v>
      </c>
      <c r="M5067" s="20" t="s">
        <v>8494</v>
      </c>
    </row>
    <row r="5068">
      <c r="A5068" s="6"/>
      <c r="B5068" s="6"/>
      <c r="C5068" s="6"/>
      <c r="D5068" s="4">
        <v>186.01196020749998</v>
      </c>
      <c r="E5068" s="4" t="s">
        <v>7431</v>
      </c>
      <c r="F5068" s="4"/>
      <c r="G5068" s="4"/>
      <c r="H5068" s="4"/>
      <c r="I5068" s="4"/>
      <c r="J5068" s="18">
        <v>0.0</v>
      </c>
      <c r="K5068" s="4" t="s">
        <v>8494</v>
      </c>
      <c r="L5068" s="19" t="s">
        <v>8494</v>
      </c>
      <c r="M5068" s="20" t="s">
        <v>8494</v>
      </c>
    </row>
    <row r="5069">
      <c r="A5069" s="6"/>
      <c r="B5069" s="6"/>
      <c r="C5069" s="6"/>
      <c r="D5069" s="4">
        <v>9.40959797999323</v>
      </c>
      <c r="E5069" s="4" t="s">
        <v>7235</v>
      </c>
      <c r="F5069" s="4"/>
      <c r="G5069" s="4"/>
      <c r="H5069" s="4"/>
      <c r="I5069" s="4"/>
      <c r="J5069" s="18">
        <v>0.0</v>
      </c>
      <c r="K5069" s="4" t="s">
        <v>8494</v>
      </c>
      <c r="L5069" s="19" t="s">
        <v>8494</v>
      </c>
      <c r="M5069" s="20" t="s">
        <v>8494</v>
      </c>
    </row>
    <row r="5070">
      <c r="A5070" s="6"/>
      <c r="B5070" s="6"/>
      <c r="C5070" s="6"/>
      <c r="D5070" s="4">
        <v>18.60119602075</v>
      </c>
      <c r="E5070" s="4" t="s">
        <v>3585</v>
      </c>
      <c r="F5070" s="4"/>
      <c r="G5070" s="4"/>
      <c r="H5070" s="4"/>
      <c r="I5070" s="4"/>
      <c r="J5070" s="18">
        <v>0.0</v>
      </c>
      <c r="K5070" s="4" t="s">
        <v>8494</v>
      </c>
      <c r="L5070" s="19" t="s">
        <v>8494</v>
      </c>
      <c r="M5070" s="20" t="s">
        <v>8494</v>
      </c>
    </row>
    <row r="5071">
      <c r="A5071" s="6"/>
      <c r="B5071" s="6"/>
      <c r="C5071" s="6"/>
      <c r="D5071" s="4">
        <v>9.38946164754019</v>
      </c>
      <c r="E5071" s="4" t="s">
        <v>3110</v>
      </c>
      <c r="F5071" s="4"/>
      <c r="G5071" s="4"/>
      <c r="H5071" s="4"/>
      <c r="I5071" s="4"/>
      <c r="J5071" s="18">
        <v>0.0</v>
      </c>
      <c r="K5071" s="4" t="s">
        <v>8494</v>
      </c>
      <c r="L5071" s="19" t="s">
        <v>8494</v>
      </c>
      <c r="M5071" s="20" t="s">
        <v>8494</v>
      </c>
    </row>
    <row r="5072">
      <c r="A5072" s="6"/>
      <c r="B5072" s="6"/>
      <c r="C5072" s="6"/>
      <c r="D5072" s="4">
        <v>186.01196020749998</v>
      </c>
      <c r="E5072" s="4" t="s">
        <v>1171</v>
      </c>
      <c r="F5072" s="4"/>
      <c r="G5072" s="4"/>
      <c r="H5072" s="4"/>
      <c r="I5072" s="4"/>
      <c r="J5072" s="18">
        <v>0.0</v>
      </c>
      <c r="K5072" s="4" t="s">
        <v>8494</v>
      </c>
      <c r="L5072" s="19" t="s">
        <v>8494</v>
      </c>
      <c r="M5072" s="20" t="s">
        <v>8494</v>
      </c>
    </row>
    <row r="5073">
      <c r="A5073" s="6"/>
      <c r="B5073" s="6"/>
      <c r="C5073" s="6"/>
      <c r="D5073" s="4">
        <v>46.846689956826104</v>
      </c>
      <c r="E5073" s="4" t="s">
        <v>2076</v>
      </c>
      <c r="F5073" s="4"/>
      <c r="G5073" s="4"/>
      <c r="H5073" s="4"/>
      <c r="I5073" s="4"/>
      <c r="J5073" s="18">
        <v>0.0</v>
      </c>
      <c r="K5073" s="4" t="s">
        <v>8494</v>
      </c>
      <c r="L5073" s="19" t="s">
        <v>8494</v>
      </c>
      <c r="M5073" s="20" t="s">
        <v>8494</v>
      </c>
    </row>
    <row r="5074">
      <c r="A5074" s="6"/>
      <c r="B5074" s="6"/>
      <c r="C5074" s="6"/>
      <c r="D5074" s="4">
        <v>173.842074092107</v>
      </c>
      <c r="E5074" s="4" t="s">
        <v>4518</v>
      </c>
      <c r="F5074" s="4"/>
      <c r="G5074" s="4"/>
      <c r="H5074" s="4"/>
      <c r="I5074" s="4"/>
      <c r="J5074" s="18">
        <v>0.0</v>
      </c>
      <c r="K5074" s="4" t="s">
        <v>8494</v>
      </c>
      <c r="L5074" s="19" t="s">
        <v>8494</v>
      </c>
      <c r="M5074" s="20" t="s">
        <v>8494</v>
      </c>
    </row>
    <row r="5075">
      <c r="A5075" s="6"/>
      <c r="B5075" s="6"/>
      <c r="C5075" s="6"/>
      <c r="D5075" s="4">
        <v>65.1041860726253</v>
      </c>
      <c r="E5075" s="4" t="s">
        <v>7135</v>
      </c>
      <c r="F5075" s="4"/>
      <c r="G5075" s="4"/>
      <c r="H5075" s="4"/>
      <c r="I5075" s="4"/>
      <c r="J5075" s="18">
        <v>0.0</v>
      </c>
      <c r="K5075" s="4" t="s">
        <v>8494</v>
      </c>
      <c r="L5075" s="19" t="s">
        <v>8494</v>
      </c>
      <c r="M5075" s="20" t="s">
        <v>8494</v>
      </c>
    </row>
    <row r="5076">
      <c r="A5076" s="6"/>
      <c r="B5076" s="6"/>
      <c r="C5076" s="6"/>
      <c r="D5076" s="4">
        <v>148.809568166</v>
      </c>
      <c r="E5076" s="4" t="s">
        <v>7018</v>
      </c>
      <c r="F5076" s="4"/>
      <c r="G5076" s="4"/>
      <c r="H5076" s="4"/>
      <c r="I5076" s="4"/>
      <c r="J5076" s="18">
        <v>0.0</v>
      </c>
      <c r="K5076" s="4" t="s">
        <v>8494</v>
      </c>
      <c r="L5076" s="19" t="s">
        <v>8494</v>
      </c>
      <c r="M5076" s="20" t="s">
        <v>8494</v>
      </c>
    </row>
    <row r="5077">
      <c r="A5077" s="6"/>
      <c r="B5077" s="6"/>
      <c r="C5077" s="6"/>
      <c r="D5077" s="4">
        <v>46.7558136995943</v>
      </c>
      <c r="E5077" s="4" t="s">
        <v>5205</v>
      </c>
      <c r="F5077" s="4"/>
      <c r="G5077" s="4"/>
      <c r="H5077" s="4"/>
      <c r="I5077" s="4"/>
      <c r="J5077" s="18">
        <v>0.0</v>
      </c>
      <c r="K5077" s="4" t="s">
        <v>8494</v>
      </c>
      <c r="L5077" s="19" t="s">
        <v>8494</v>
      </c>
      <c r="M5077" s="20" t="s">
        <v>8494</v>
      </c>
    </row>
    <row r="5078">
      <c r="A5078" s="6"/>
      <c r="B5078" s="6"/>
      <c r="C5078" s="6"/>
      <c r="D5078" s="4">
        <v>9.30059801037504</v>
      </c>
      <c r="E5078" s="4" t="s">
        <v>5337</v>
      </c>
      <c r="F5078" s="4"/>
      <c r="G5078" s="4"/>
      <c r="H5078" s="4"/>
      <c r="I5078" s="4"/>
      <c r="J5078" s="18">
        <v>0.0</v>
      </c>
      <c r="K5078" s="4" t="s">
        <v>8494</v>
      </c>
      <c r="L5078" s="19" t="s">
        <v>8494</v>
      </c>
      <c r="M5078" s="20" t="s">
        <v>8494</v>
      </c>
    </row>
    <row r="5079">
      <c r="A5079" s="6"/>
      <c r="B5079" s="6"/>
      <c r="C5079" s="6"/>
      <c r="D5079" s="4">
        <v>186.01196020749998</v>
      </c>
      <c r="E5079" s="4" t="s">
        <v>1069</v>
      </c>
      <c r="F5079" s="4"/>
      <c r="G5079" s="4"/>
      <c r="H5079" s="4"/>
      <c r="I5079" s="4"/>
      <c r="J5079" s="18">
        <v>0.0</v>
      </c>
      <c r="K5079" s="4" t="s">
        <v>8494</v>
      </c>
      <c r="L5079" s="19" t="s">
        <v>8494</v>
      </c>
      <c r="M5079" s="20" t="s">
        <v>8494</v>
      </c>
    </row>
    <row r="5080">
      <c r="A5080" s="6"/>
      <c r="B5080" s="6"/>
      <c r="C5080" s="6"/>
      <c r="D5080" s="4">
        <v>56.7336478632877</v>
      </c>
      <c r="E5080" s="4" t="s">
        <v>7439</v>
      </c>
      <c r="F5080" s="4"/>
      <c r="G5080" s="4"/>
      <c r="H5080" s="4"/>
      <c r="I5080" s="4"/>
      <c r="J5080" s="18">
        <v>0.0</v>
      </c>
      <c r="K5080" s="4" t="s">
        <v>8494</v>
      </c>
      <c r="L5080" s="19" t="s">
        <v>8494</v>
      </c>
      <c r="M5080" s="20" t="s">
        <v>8494</v>
      </c>
    </row>
    <row r="5081">
      <c r="A5081" s="6"/>
      <c r="B5081" s="6"/>
      <c r="C5081" s="6"/>
      <c r="D5081" s="4">
        <v>0.924854717714783</v>
      </c>
      <c r="E5081" s="4" t="s">
        <v>7441</v>
      </c>
      <c r="F5081" s="4"/>
      <c r="G5081" s="4"/>
      <c r="H5081" s="4"/>
      <c r="I5081" s="4"/>
      <c r="J5081" s="18">
        <v>0.0</v>
      </c>
      <c r="K5081" s="4" t="s">
        <v>8494</v>
      </c>
      <c r="L5081" s="19" t="s">
        <v>8494</v>
      </c>
      <c r="M5081" s="20" t="s">
        <v>8494</v>
      </c>
    </row>
    <row r="5082">
      <c r="A5082" s="6"/>
      <c r="B5082" s="6"/>
      <c r="C5082" s="6"/>
      <c r="D5082" s="4">
        <v>95.5208159093507</v>
      </c>
      <c r="E5082" s="4" t="s">
        <v>3732</v>
      </c>
      <c r="F5082" s="4"/>
      <c r="G5082" s="4"/>
      <c r="H5082" s="4"/>
      <c r="I5082" s="4"/>
      <c r="J5082" s="18">
        <v>0.0</v>
      </c>
      <c r="K5082" s="4" t="s">
        <v>8494</v>
      </c>
      <c r="L5082" s="19" t="s">
        <v>8494</v>
      </c>
      <c r="M5082" s="20" t="s">
        <v>8494</v>
      </c>
    </row>
    <row r="5083">
      <c r="A5083" s="6"/>
      <c r="B5083" s="6"/>
      <c r="C5083" s="6"/>
      <c r="D5083" s="4">
        <v>93.0059801037504</v>
      </c>
      <c r="E5083" s="4" t="s">
        <v>7444</v>
      </c>
      <c r="F5083" s="4"/>
      <c r="G5083" s="4"/>
      <c r="H5083" s="4"/>
      <c r="I5083" s="4"/>
      <c r="J5083" s="18">
        <v>0.0</v>
      </c>
      <c r="K5083" s="4" t="s">
        <v>8494</v>
      </c>
      <c r="L5083" s="19" t="s">
        <v>8494</v>
      </c>
      <c r="M5083" s="20" t="s">
        <v>8494</v>
      </c>
    </row>
    <row r="5084">
      <c r="A5084" s="6"/>
      <c r="B5084" s="6"/>
      <c r="C5084" s="6"/>
      <c r="D5084" s="4">
        <v>9.30059801037504</v>
      </c>
      <c r="E5084" s="4" t="s">
        <v>7445</v>
      </c>
      <c r="F5084" s="4"/>
      <c r="G5084" s="4"/>
      <c r="H5084" s="4"/>
      <c r="I5084" s="4"/>
      <c r="J5084" s="18">
        <v>0.0</v>
      </c>
      <c r="K5084" s="4" t="s">
        <v>8494</v>
      </c>
      <c r="L5084" s="19" t="s">
        <v>8494</v>
      </c>
      <c r="M5084" s="20" t="s">
        <v>8494</v>
      </c>
    </row>
    <row r="5085">
      <c r="A5085" s="6"/>
      <c r="B5085" s="6"/>
      <c r="C5085" s="6"/>
      <c r="D5085" s="4">
        <v>186.01196020749998</v>
      </c>
      <c r="E5085" s="4" t="s">
        <v>3018</v>
      </c>
      <c r="F5085" s="4"/>
      <c r="G5085" s="4"/>
      <c r="H5085" s="4"/>
      <c r="I5085" s="4"/>
      <c r="J5085" s="18">
        <v>0.0</v>
      </c>
      <c r="K5085" s="4" t="s">
        <v>8494</v>
      </c>
      <c r="L5085" s="19" t="s">
        <v>8494</v>
      </c>
      <c r="M5085" s="20" t="s">
        <v>8494</v>
      </c>
    </row>
    <row r="5086">
      <c r="A5086" s="6"/>
      <c r="B5086" s="6"/>
      <c r="C5086" s="6"/>
      <c r="D5086" s="4">
        <v>33.161981944196505</v>
      </c>
      <c r="E5086" s="4" t="s">
        <v>7446</v>
      </c>
      <c r="F5086" s="4"/>
      <c r="G5086" s="4"/>
      <c r="H5086" s="4"/>
      <c r="I5086" s="4"/>
      <c r="J5086" s="18">
        <v>0.0</v>
      </c>
      <c r="K5086" s="4" t="s">
        <v>8494</v>
      </c>
      <c r="L5086" s="19" t="s">
        <v>8494</v>
      </c>
      <c r="M5086" s="20" t="s">
        <v>8494</v>
      </c>
    </row>
    <row r="5087">
      <c r="A5087" s="6"/>
      <c r="B5087" s="6"/>
      <c r="C5087" s="6"/>
      <c r="D5087" s="4">
        <v>111.96941004889499</v>
      </c>
      <c r="E5087" s="4" t="s">
        <v>4424</v>
      </c>
      <c r="F5087" s="4"/>
      <c r="G5087" s="4"/>
      <c r="H5087" s="4"/>
      <c r="I5087" s="4"/>
      <c r="J5087" s="18">
        <v>0.0</v>
      </c>
      <c r="K5087" s="4" t="s">
        <v>8494</v>
      </c>
      <c r="L5087" s="19" t="s">
        <v>8494</v>
      </c>
      <c r="M5087" s="20" t="s">
        <v>8494</v>
      </c>
    </row>
    <row r="5088">
      <c r="A5088" s="6"/>
      <c r="B5088" s="6"/>
      <c r="C5088" s="6"/>
      <c r="D5088" s="4">
        <v>186.01196020749998</v>
      </c>
      <c r="E5088" s="4" t="s">
        <v>1146</v>
      </c>
      <c r="F5088" s="4"/>
      <c r="G5088" s="4"/>
      <c r="H5088" s="4"/>
      <c r="I5088" s="4"/>
      <c r="J5088" s="18">
        <v>0.0</v>
      </c>
      <c r="K5088" s="4" t="s">
        <v>8494</v>
      </c>
      <c r="L5088" s="19" t="s">
        <v>8494</v>
      </c>
      <c r="M5088" s="20" t="s">
        <v>8494</v>
      </c>
    </row>
    <row r="5089">
      <c r="A5089" s="6"/>
      <c r="B5089" s="6"/>
      <c r="C5089" s="6"/>
      <c r="D5089" s="4">
        <v>186.01196020749998</v>
      </c>
      <c r="E5089" s="4" t="s">
        <v>4990</v>
      </c>
      <c r="F5089" s="4"/>
      <c r="G5089" s="4"/>
      <c r="H5089" s="4"/>
      <c r="I5089" s="4"/>
      <c r="J5089" s="18">
        <v>0.0</v>
      </c>
      <c r="K5089" s="4" t="s">
        <v>8494</v>
      </c>
      <c r="L5089" s="19" t="s">
        <v>8494</v>
      </c>
      <c r="M5089" s="20" t="s">
        <v>8494</v>
      </c>
    </row>
    <row r="5090">
      <c r="A5090" s="6"/>
      <c r="B5090" s="6"/>
      <c r="C5090" s="6"/>
      <c r="D5090" s="4">
        <v>177.67235363726</v>
      </c>
      <c r="E5090" s="4" t="s">
        <v>373</v>
      </c>
      <c r="F5090" s="4"/>
      <c r="G5090" s="4"/>
      <c r="H5090" s="4"/>
      <c r="I5090" s="4"/>
      <c r="J5090" s="18">
        <v>0.0</v>
      </c>
      <c r="K5090" s="4" t="s">
        <v>8494</v>
      </c>
      <c r="L5090" s="19" t="s">
        <v>8494</v>
      </c>
      <c r="M5090" s="20" t="s">
        <v>8494</v>
      </c>
    </row>
    <row r="5091">
      <c r="A5091" s="6"/>
      <c r="B5091" s="6"/>
      <c r="C5091" s="6"/>
      <c r="D5091" s="4">
        <v>8.95998758646837</v>
      </c>
      <c r="E5091" s="4" t="s">
        <v>2957</v>
      </c>
      <c r="F5091" s="4"/>
      <c r="G5091" s="4"/>
      <c r="H5091" s="4"/>
      <c r="I5091" s="4"/>
      <c r="J5091" s="18">
        <v>0.0</v>
      </c>
      <c r="K5091" s="4" t="s">
        <v>8494</v>
      </c>
      <c r="L5091" s="19" t="s">
        <v>8494</v>
      </c>
      <c r="M5091" s="20" t="s">
        <v>8494</v>
      </c>
    </row>
    <row r="5092">
      <c r="A5092" s="6"/>
      <c r="B5092" s="6"/>
      <c r="C5092" s="6"/>
      <c r="D5092" s="4">
        <v>139.036650782235</v>
      </c>
      <c r="E5092" s="4" t="s">
        <v>6736</v>
      </c>
      <c r="F5092" s="4"/>
      <c r="G5092" s="4"/>
      <c r="H5092" s="4"/>
      <c r="I5092" s="4"/>
      <c r="J5092" s="18">
        <v>0.0</v>
      </c>
      <c r="K5092" s="4" t="s">
        <v>8494</v>
      </c>
      <c r="L5092" s="19" t="s">
        <v>8494</v>
      </c>
      <c r="M5092" s="20" t="s">
        <v>8494</v>
      </c>
    </row>
    <row r="5093">
      <c r="A5093" s="6"/>
      <c r="B5093" s="6"/>
      <c r="C5093" s="6"/>
      <c r="D5093" s="4">
        <v>186.01196020749998</v>
      </c>
      <c r="E5093" s="4" t="s">
        <v>3854</v>
      </c>
      <c r="F5093" s="4"/>
      <c r="G5093" s="4"/>
      <c r="H5093" s="4"/>
      <c r="I5093" s="4"/>
      <c r="J5093" s="18">
        <v>0.0</v>
      </c>
      <c r="K5093" s="4" t="s">
        <v>8494</v>
      </c>
      <c r="L5093" s="19" t="s">
        <v>8494</v>
      </c>
      <c r="M5093" s="20" t="s">
        <v>8494</v>
      </c>
    </row>
    <row r="5094">
      <c r="A5094" s="6"/>
      <c r="B5094" s="6"/>
      <c r="C5094" s="6"/>
      <c r="D5094" s="4">
        <v>46.5029900518752</v>
      </c>
      <c r="E5094" s="4" t="s">
        <v>7452</v>
      </c>
      <c r="F5094" s="4"/>
      <c r="G5094" s="4"/>
      <c r="H5094" s="4"/>
      <c r="I5094" s="4"/>
      <c r="J5094" s="18">
        <v>0.0</v>
      </c>
      <c r="K5094" s="4" t="s">
        <v>8494</v>
      </c>
      <c r="L5094" s="19" t="s">
        <v>8494</v>
      </c>
      <c r="M5094" s="20" t="s">
        <v>8494</v>
      </c>
    </row>
    <row r="5095">
      <c r="A5095" s="6"/>
      <c r="B5095" s="6"/>
      <c r="C5095" s="6"/>
      <c r="D5095" s="4">
        <v>186.01196020749998</v>
      </c>
      <c r="E5095" s="4" t="s">
        <v>7453</v>
      </c>
      <c r="F5095" s="4"/>
      <c r="G5095" s="4"/>
      <c r="H5095" s="4"/>
      <c r="I5095" s="4"/>
      <c r="J5095" s="18">
        <v>0.0</v>
      </c>
      <c r="K5095" s="4" t="s">
        <v>8494</v>
      </c>
      <c r="L5095" s="19" t="s">
        <v>8494</v>
      </c>
      <c r="M5095" s="20" t="s">
        <v>8494</v>
      </c>
    </row>
    <row r="5096">
      <c r="A5096" s="6"/>
      <c r="B5096" s="6"/>
      <c r="C5096" s="6"/>
      <c r="D5096" s="4">
        <v>65.4315108331392</v>
      </c>
      <c r="E5096" s="4" t="s">
        <v>3042</v>
      </c>
      <c r="F5096" s="4"/>
      <c r="G5096" s="4"/>
      <c r="H5096" s="4"/>
      <c r="I5096" s="4"/>
      <c r="J5096" s="18">
        <v>0.0</v>
      </c>
      <c r="K5096" s="4" t="s">
        <v>8494</v>
      </c>
      <c r="L5096" s="19" t="s">
        <v>8494</v>
      </c>
      <c r="M5096" s="20" t="s">
        <v>8494</v>
      </c>
    </row>
    <row r="5097">
      <c r="A5097" s="6"/>
      <c r="B5097" s="6"/>
      <c r="C5097" s="6"/>
      <c r="D5097" s="4">
        <v>29.9479255934076</v>
      </c>
      <c r="E5097" s="4" t="s">
        <v>5055</v>
      </c>
      <c r="F5097" s="4"/>
      <c r="G5097" s="4"/>
      <c r="H5097" s="4"/>
      <c r="I5097" s="4"/>
      <c r="J5097" s="18">
        <v>0.0</v>
      </c>
      <c r="K5097" s="4" t="s">
        <v>8494</v>
      </c>
      <c r="L5097" s="19" t="s">
        <v>8494</v>
      </c>
      <c r="M5097" s="20" t="s">
        <v>8494</v>
      </c>
    </row>
    <row r="5098">
      <c r="A5098" s="6"/>
      <c r="B5098" s="6"/>
      <c r="C5098" s="6"/>
      <c r="D5098" s="4">
        <v>57.2845961573482</v>
      </c>
      <c r="E5098" s="4" t="s">
        <v>7456</v>
      </c>
      <c r="F5098" s="4"/>
      <c r="G5098" s="4"/>
      <c r="H5098" s="4"/>
      <c r="I5098" s="4"/>
      <c r="J5098" s="18">
        <v>0.0</v>
      </c>
      <c r="K5098" s="4" t="s">
        <v>8494</v>
      </c>
      <c r="L5098" s="19" t="s">
        <v>8494</v>
      </c>
      <c r="M5098" s="20" t="s">
        <v>8494</v>
      </c>
    </row>
    <row r="5099">
      <c r="A5099" s="6"/>
      <c r="B5099" s="6"/>
      <c r="C5099" s="6"/>
      <c r="D5099" s="4">
        <v>14.8264680762139</v>
      </c>
      <c r="E5099" s="4" t="s">
        <v>1845</v>
      </c>
      <c r="F5099" s="4"/>
      <c r="G5099" s="4"/>
      <c r="H5099" s="4"/>
      <c r="I5099" s="4"/>
      <c r="J5099" s="18">
        <v>0.0</v>
      </c>
      <c r="K5099" s="4" t="s">
        <v>8494</v>
      </c>
      <c r="L5099" s="19" t="s">
        <v>8494</v>
      </c>
      <c r="M5099" s="20" t="s">
        <v>8494</v>
      </c>
    </row>
    <row r="5100">
      <c r="A5100" s="6"/>
      <c r="B5100" s="6"/>
      <c r="C5100" s="6"/>
      <c r="D5100" s="4">
        <v>186.01196020749998</v>
      </c>
      <c r="E5100" s="4" t="s">
        <v>1576</v>
      </c>
      <c r="F5100" s="4"/>
      <c r="G5100" s="4"/>
      <c r="H5100" s="4"/>
      <c r="I5100" s="4"/>
      <c r="J5100" s="18">
        <v>0.0</v>
      </c>
      <c r="K5100" s="4" t="s">
        <v>8494</v>
      </c>
      <c r="L5100" s="19" t="s">
        <v>8494</v>
      </c>
      <c r="M5100" s="20" t="s">
        <v>8494</v>
      </c>
    </row>
    <row r="5101">
      <c r="A5101" s="6"/>
      <c r="B5101" s="6"/>
      <c r="C5101" s="6"/>
      <c r="D5101" s="4">
        <v>186.01196020749998</v>
      </c>
      <c r="E5101" s="4" t="s">
        <v>2478</v>
      </c>
      <c r="F5101" s="4"/>
      <c r="G5101" s="4"/>
      <c r="H5101" s="4"/>
      <c r="I5101" s="4"/>
      <c r="J5101" s="18">
        <v>0.0</v>
      </c>
      <c r="K5101" s="4" t="s">
        <v>8494</v>
      </c>
      <c r="L5101" s="19" t="s">
        <v>8494</v>
      </c>
      <c r="M5101" s="20" t="s">
        <v>8494</v>
      </c>
    </row>
    <row r="5102">
      <c r="A5102" s="6"/>
      <c r="B5102" s="6"/>
      <c r="C5102" s="6"/>
      <c r="D5102" s="4">
        <v>65.1041860726253</v>
      </c>
      <c r="E5102" s="4" t="s">
        <v>6022</v>
      </c>
      <c r="F5102" s="4"/>
      <c r="G5102" s="4"/>
      <c r="H5102" s="4"/>
      <c r="I5102" s="4"/>
      <c r="J5102" s="18">
        <v>0.0</v>
      </c>
      <c r="K5102" s="4" t="s">
        <v>8494</v>
      </c>
      <c r="L5102" s="19" t="s">
        <v>8494</v>
      </c>
      <c r="M5102" s="20" t="s">
        <v>8494</v>
      </c>
    </row>
    <row r="5103">
      <c r="A5103" s="6"/>
      <c r="B5103" s="6"/>
      <c r="C5103" s="6"/>
      <c r="D5103" s="4">
        <v>10.2306578114125</v>
      </c>
      <c r="E5103" s="4" t="s">
        <v>3071</v>
      </c>
      <c r="F5103" s="4"/>
      <c r="G5103" s="4"/>
      <c r="H5103" s="4"/>
      <c r="I5103" s="4"/>
      <c r="J5103" s="18">
        <v>0.0</v>
      </c>
      <c r="K5103" s="4" t="s">
        <v>8494</v>
      </c>
      <c r="L5103" s="19" t="s">
        <v>8494</v>
      </c>
      <c r="M5103" s="20" t="s">
        <v>8494</v>
      </c>
    </row>
    <row r="5104">
      <c r="A5104" s="6"/>
      <c r="B5104" s="6"/>
      <c r="C5104" s="6"/>
      <c r="D5104" s="4">
        <v>25.838807492650403</v>
      </c>
      <c r="E5104" s="4" t="s">
        <v>4472</v>
      </c>
      <c r="F5104" s="4"/>
      <c r="G5104" s="4"/>
      <c r="H5104" s="4"/>
      <c r="I5104" s="4"/>
      <c r="J5104" s="18">
        <v>0.0</v>
      </c>
      <c r="K5104" s="4" t="s">
        <v>8494</v>
      </c>
      <c r="L5104" s="19" t="s">
        <v>8494</v>
      </c>
      <c r="M5104" s="20" t="s">
        <v>8494</v>
      </c>
    </row>
    <row r="5105">
      <c r="A5105" s="6"/>
      <c r="B5105" s="6"/>
      <c r="C5105" s="6"/>
      <c r="D5105" s="4">
        <v>186.01196020749998</v>
      </c>
      <c r="E5105" s="4" t="s">
        <v>7461</v>
      </c>
      <c r="F5105" s="4"/>
      <c r="G5105" s="4"/>
      <c r="H5105" s="4"/>
      <c r="I5105" s="4"/>
      <c r="J5105" s="18">
        <v>0.0</v>
      </c>
      <c r="K5105" s="4" t="s">
        <v>8494</v>
      </c>
      <c r="L5105" s="19" t="s">
        <v>8494</v>
      </c>
      <c r="M5105" s="20" t="s">
        <v>8494</v>
      </c>
    </row>
    <row r="5106">
      <c r="A5106" s="6"/>
      <c r="B5106" s="6"/>
      <c r="C5106" s="6"/>
      <c r="D5106" s="4">
        <v>93.0059801037504</v>
      </c>
      <c r="E5106" s="4" t="s">
        <v>6951</v>
      </c>
      <c r="F5106" s="4"/>
      <c r="G5106" s="4"/>
      <c r="H5106" s="4"/>
      <c r="I5106" s="4"/>
      <c r="J5106" s="18">
        <v>0.0</v>
      </c>
      <c r="K5106" s="4" t="s">
        <v>8494</v>
      </c>
      <c r="L5106" s="19" t="s">
        <v>8494</v>
      </c>
      <c r="M5106" s="20" t="s">
        <v>8494</v>
      </c>
    </row>
    <row r="5107">
      <c r="A5107" s="6"/>
      <c r="B5107" s="6"/>
      <c r="C5107" s="6"/>
      <c r="D5107" s="4">
        <v>6.8228789009557405</v>
      </c>
      <c r="E5107" s="4" t="s">
        <v>2476</v>
      </c>
      <c r="F5107" s="4"/>
      <c r="G5107" s="4"/>
      <c r="H5107" s="4"/>
      <c r="I5107" s="4"/>
      <c r="J5107" s="18">
        <v>0.0</v>
      </c>
      <c r="K5107" s="4" t="s">
        <v>8494</v>
      </c>
      <c r="L5107" s="19" t="s">
        <v>8494</v>
      </c>
      <c r="M5107" s="20" t="s">
        <v>8494</v>
      </c>
    </row>
    <row r="5108">
      <c r="A5108" s="6"/>
      <c r="B5108" s="6"/>
      <c r="C5108" s="6"/>
      <c r="D5108" s="4">
        <v>186.01196020749998</v>
      </c>
      <c r="E5108" s="4" t="s">
        <v>7463</v>
      </c>
      <c r="F5108" s="4"/>
      <c r="G5108" s="4"/>
      <c r="H5108" s="4"/>
      <c r="I5108" s="4"/>
      <c r="J5108" s="18">
        <v>0.0</v>
      </c>
      <c r="K5108" s="4" t="s">
        <v>8494</v>
      </c>
      <c r="L5108" s="19" t="s">
        <v>8494</v>
      </c>
      <c r="M5108" s="20" t="s">
        <v>8494</v>
      </c>
    </row>
    <row r="5109">
      <c r="A5109" s="6"/>
      <c r="B5109" s="6"/>
      <c r="C5109" s="6"/>
      <c r="D5109" s="4">
        <v>186.01196020749998</v>
      </c>
      <c r="E5109" s="4" t="s">
        <v>1485</v>
      </c>
      <c r="F5109" s="4"/>
      <c r="G5109" s="4"/>
      <c r="H5109" s="4"/>
      <c r="I5109" s="4"/>
      <c r="J5109" s="18">
        <v>0.0</v>
      </c>
      <c r="K5109" s="4" t="s">
        <v>8494</v>
      </c>
      <c r="L5109" s="19" t="s">
        <v>8494</v>
      </c>
      <c r="M5109" s="20" t="s">
        <v>8494</v>
      </c>
    </row>
    <row r="5110">
      <c r="A5110" s="6"/>
      <c r="B5110" s="6"/>
      <c r="C5110" s="6"/>
      <c r="D5110" s="4">
        <v>9.504918324254088</v>
      </c>
      <c r="E5110" s="4" t="s">
        <v>4732</v>
      </c>
      <c r="F5110" s="4"/>
      <c r="G5110" s="4"/>
      <c r="H5110" s="4"/>
      <c r="I5110" s="4"/>
      <c r="J5110" s="18">
        <v>0.0</v>
      </c>
      <c r="K5110" s="4" t="s">
        <v>8494</v>
      </c>
      <c r="L5110" s="19" t="s">
        <v>8494</v>
      </c>
      <c r="M5110" s="20" t="s">
        <v>8494</v>
      </c>
    </row>
    <row r="5111">
      <c r="A5111" s="6"/>
      <c r="B5111" s="6"/>
      <c r="C5111" s="6"/>
      <c r="D5111" s="4">
        <v>186.01196020749998</v>
      </c>
      <c r="E5111" s="4" t="s">
        <v>7465</v>
      </c>
      <c r="F5111" s="4"/>
      <c r="G5111" s="4"/>
      <c r="H5111" s="4"/>
      <c r="I5111" s="4"/>
      <c r="J5111" s="18">
        <v>0.0</v>
      </c>
      <c r="K5111" s="4" t="s">
        <v>8494</v>
      </c>
      <c r="L5111" s="19" t="s">
        <v>8494</v>
      </c>
      <c r="M5111" s="20" t="s">
        <v>8494</v>
      </c>
    </row>
    <row r="5112">
      <c r="A5112" s="6"/>
      <c r="B5112" s="6"/>
      <c r="C5112" s="6"/>
      <c r="D5112" s="4">
        <v>158.541900811623</v>
      </c>
      <c r="E5112" s="4" t="s">
        <v>4309</v>
      </c>
      <c r="F5112" s="4"/>
      <c r="G5112" s="4"/>
      <c r="H5112" s="4"/>
      <c r="I5112" s="4"/>
      <c r="J5112" s="18">
        <v>0.0</v>
      </c>
      <c r="K5112" s="4" t="s">
        <v>8494</v>
      </c>
      <c r="L5112" s="19" t="s">
        <v>8494</v>
      </c>
      <c r="M5112" s="20" t="s">
        <v>8494</v>
      </c>
    </row>
    <row r="5113">
      <c r="A5113" s="6"/>
      <c r="B5113" s="6"/>
      <c r="C5113" s="6"/>
      <c r="D5113" s="4">
        <v>18.60119602075</v>
      </c>
      <c r="E5113" s="4" t="s">
        <v>7467</v>
      </c>
      <c r="F5113" s="4"/>
      <c r="G5113" s="4"/>
      <c r="H5113" s="4"/>
      <c r="I5113" s="4"/>
      <c r="J5113" s="18">
        <v>0.0</v>
      </c>
      <c r="K5113" s="4" t="s">
        <v>8494</v>
      </c>
      <c r="L5113" s="19" t="s">
        <v>8494</v>
      </c>
      <c r="M5113" s="20" t="s">
        <v>8494</v>
      </c>
    </row>
    <row r="5114">
      <c r="A5114" s="6"/>
      <c r="B5114" s="6"/>
      <c r="C5114" s="6"/>
      <c r="D5114" s="4">
        <v>9.30059801037504</v>
      </c>
      <c r="E5114" s="4" t="s">
        <v>6272</v>
      </c>
      <c r="F5114" s="4"/>
      <c r="G5114" s="4"/>
      <c r="H5114" s="4"/>
      <c r="I5114" s="4"/>
      <c r="J5114" s="18">
        <v>0.0</v>
      </c>
      <c r="K5114" s="4" t="s">
        <v>8494</v>
      </c>
      <c r="L5114" s="19" t="s">
        <v>8494</v>
      </c>
      <c r="M5114" s="20" t="s">
        <v>8494</v>
      </c>
    </row>
    <row r="5115">
      <c r="A5115" s="6"/>
      <c r="B5115" s="6"/>
      <c r="C5115" s="6"/>
      <c r="D5115" s="4">
        <v>186.01196020749998</v>
      </c>
      <c r="E5115" s="4" t="s">
        <v>1517</v>
      </c>
      <c r="F5115" s="4"/>
      <c r="G5115" s="4"/>
      <c r="H5115" s="4"/>
      <c r="I5115" s="4"/>
      <c r="J5115" s="18">
        <v>0.0</v>
      </c>
      <c r="K5115" s="4" t="s">
        <v>8494</v>
      </c>
      <c r="L5115" s="19" t="s">
        <v>8494</v>
      </c>
      <c r="M5115" s="20" t="s">
        <v>8494</v>
      </c>
    </row>
    <row r="5116">
      <c r="A5116" s="6"/>
      <c r="B5116" s="6"/>
      <c r="C5116" s="6"/>
      <c r="D5116" s="4">
        <v>65.1041860726253</v>
      </c>
      <c r="E5116" s="4" t="s">
        <v>2028</v>
      </c>
      <c r="F5116" s="4"/>
      <c r="G5116" s="4"/>
      <c r="H5116" s="4"/>
      <c r="I5116" s="4"/>
      <c r="J5116" s="18">
        <v>0.0</v>
      </c>
      <c r="K5116" s="4" t="s">
        <v>8494</v>
      </c>
      <c r="L5116" s="19" t="s">
        <v>8494</v>
      </c>
      <c r="M5116" s="20" t="s">
        <v>8494</v>
      </c>
    </row>
    <row r="5117">
      <c r="A5117" s="6"/>
      <c r="B5117" s="6"/>
      <c r="C5117" s="6"/>
      <c r="D5117" s="4">
        <v>19.7319634329358</v>
      </c>
      <c r="E5117" s="4" t="s">
        <v>5049</v>
      </c>
      <c r="F5117" s="4"/>
      <c r="G5117" s="4"/>
      <c r="H5117" s="4"/>
      <c r="I5117" s="4"/>
      <c r="J5117" s="18">
        <v>0.0</v>
      </c>
      <c r="K5117" s="4" t="s">
        <v>8494</v>
      </c>
      <c r="L5117" s="19" t="s">
        <v>8494</v>
      </c>
      <c r="M5117" s="20" t="s">
        <v>8494</v>
      </c>
    </row>
    <row r="5118">
      <c r="A5118" s="6"/>
      <c r="B5118" s="6"/>
      <c r="C5118" s="6"/>
      <c r="D5118" s="4">
        <v>5.330300920059541</v>
      </c>
      <c r="E5118" s="4" t="s">
        <v>7183</v>
      </c>
      <c r="F5118" s="4"/>
      <c r="G5118" s="4"/>
      <c r="H5118" s="4"/>
      <c r="I5118" s="4"/>
      <c r="J5118" s="18">
        <v>0.0</v>
      </c>
      <c r="K5118" s="4" t="s">
        <v>8494</v>
      </c>
      <c r="L5118" s="19" t="s">
        <v>8494</v>
      </c>
      <c r="M5118" s="20" t="s">
        <v>8494</v>
      </c>
    </row>
    <row r="5119">
      <c r="A5119" s="6"/>
      <c r="B5119" s="6"/>
      <c r="C5119" s="6"/>
      <c r="D5119" s="4">
        <v>88.6339134445197</v>
      </c>
      <c r="E5119" s="4" t="s">
        <v>7151</v>
      </c>
      <c r="F5119" s="4"/>
      <c r="G5119" s="4"/>
      <c r="H5119" s="4"/>
      <c r="I5119" s="4"/>
      <c r="J5119" s="18">
        <v>0.0</v>
      </c>
      <c r="K5119" s="4" t="s">
        <v>8494</v>
      </c>
      <c r="L5119" s="19" t="s">
        <v>8494</v>
      </c>
      <c r="M5119" s="20" t="s">
        <v>8494</v>
      </c>
    </row>
    <row r="5120">
      <c r="A5120" s="6"/>
      <c r="B5120" s="6"/>
      <c r="C5120" s="6"/>
      <c r="D5120" s="4">
        <v>18.715789344156</v>
      </c>
      <c r="E5120" s="4" t="s">
        <v>7471</v>
      </c>
      <c r="F5120" s="4"/>
      <c r="G5120" s="4"/>
      <c r="H5120" s="4"/>
      <c r="I5120" s="4"/>
      <c r="J5120" s="18">
        <v>0.0</v>
      </c>
      <c r="K5120" s="4" t="s">
        <v>8494</v>
      </c>
      <c r="L5120" s="19" t="s">
        <v>8494</v>
      </c>
      <c r="M5120" s="20" t="s">
        <v>8494</v>
      </c>
    </row>
    <row r="5121">
      <c r="A5121" s="6"/>
      <c r="B5121" s="6"/>
      <c r="C5121" s="6"/>
      <c r="D5121" s="4">
        <v>48.889611182167094</v>
      </c>
      <c r="E5121" s="4" t="s">
        <v>4555</v>
      </c>
      <c r="F5121" s="4"/>
      <c r="G5121" s="4"/>
      <c r="H5121" s="4"/>
      <c r="I5121" s="4"/>
      <c r="J5121" s="18">
        <v>0.0</v>
      </c>
      <c r="K5121" s="4" t="s">
        <v>8494</v>
      </c>
      <c r="L5121" s="19" t="s">
        <v>8494</v>
      </c>
      <c r="M5121" s="20" t="s">
        <v>8494</v>
      </c>
    </row>
    <row r="5122">
      <c r="A5122" s="6"/>
      <c r="B5122" s="6"/>
      <c r="C5122" s="6"/>
      <c r="D5122" s="4">
        <v>54.5027956800963</v>
      </c>
      <c r="E5122" s="4" t="s">
        <v>7474</v>
      </c>
      <c r="F5122" s="4"/>
      <c r="G5122" s="4"/>
      <c r="H5122" s="4"/>
      <c r="I5122" s="4"/>
      <c r="J5122" s="18">
        <v>0.0</v>
      </c>
      <c r="K5122" s="4" t="s">
        <v>8494</v>
      </c>
      <c r="L5122" s="19" t="s">
        <v>8494</v>
      </c>
      <c r="M5122" s="20" t="s">
        <v>8494</v>
      </c>
    </row>
    <row r="5123">
      <c r="A5123" s="6"/>
      <c r="B5123" s="6"/>
      <c r="C5123" s="6"/>
      <c r="D5123" s="4">
        <v>18.610579756806</v>
      </c>
      <c r="E5123" s="4" t="s">
        <v>3576</v>
      </c>
      <c r="F5123" s="4"/>
      <c r="G5123" s="4"/>
      <c r="H5123" s="4"/>
      <c r="I5123" s="4"/>
      <c r="J5123" s="18">
        <v>0.0</v>
      </c>
      <c r="K5123" s="4" t="s">
        <v>8494</v>
      </c>
      <c r="L5123" s="19" t="s">
        <v>8494</v>
      </c>
      <c r="M5123" s="20" t="s">
        <v>8494</v>
      </c>
    </row>
    <row r="5124">
      <c r="A5124" s="6"/>
      <c r="B5124" s="6"/>
      <c r="C5124" s="6"/>
      <c r="D5124" s="4">
        <v>9.06028104026804</v>
      </c>
      <c r="E5124" s="4" t="s">
        <v>7477</v>
      </c>
      <c r="F5124" s="4"/>
      <c r="G5124" s="4"/>
      <c r="H5124" s="4"/>
      <c r="I5124" s="4"/>
      <c r="J5124" s="18">
        <v>0.0</v>
      </c>
      <c r="K5124" s="4" t="s">
        <v>8494</v>
      </c>
      <c r="L5124" s="19" t="s">
        <v>8494</v>
      </c>
      <c r="M5124" s="20" t="s">
        <v>8494</v>
      </c>
    </row>
    <row r="5125">
      <c r="A5125" s="6"/>
      <c r="B5125" s="6"/>
      <c r="C5125" s="6"/>
      <c r="D5125" s="4">
        <v>65.1041860726253</v>
      </c>
      <c r="E5125" s="4" t="s">
        <v>4354</v>
      </c>
      <c r="F5125" s="4"/>
      <c r="G5125" s="4"/>
      <c r="H5125" s="4"/>
      <c r="I5125" s="4"/>
      <c r="J5125" s="18">
        <v>0.0</v>
      </c>
      <c r="K5125" s="4" t="s">
        <v>8494</v>
      </c>
      <c r="L5125" s="19" t="s">
        <v>8494</v>
      </c>
      <c r="M5125" s="20" t="s">
        <v>8494</v>
      </c>
    </row>
    <row r="5126">
      <c r="A5126" s="6"/>
      <c r="B5126" s="6"/>
      <c r="C5126" s="6"/>
      <c r="D5126" s="4">
        <v>186.01196020749998</v>
      </c>
      <c r="E5126" s="4" t="s">
        <v>7479</v>
      </c>
      <c r="F5126" s="4"/>
      <c r="G5126" s="4"/>
      <c r="H5126" s="4"/>
      <c r="I5126" s="4"/>
      <c r="J5126" s="18">
        <v>0.0</v>
      </c>
      <c r="K5126" s="4" t="s">
        <v>8494</v>
      </c>
      <c r="L5126" s="19" t="s">
        <v>8494</v>
      </c>
      <c r="M5126" s="20" t="s">
        <v>8494</v>
      </c>
    </row>
    <row r="5127">
      <c r="A5127" s="6"/>
      <c r="B5127" s="6"/>
      <c r="C5127" s="6"/>
      <c r="D5127" s="4">
        <v>55.8035880622502</v>
      </c>
      <c r="E5127" s="4" t="s">
        <v>7480</v>
      </c>
      <c r="F5127" s="4"/>
      <c r="G5127" s="4"/>
      <c r="H5127" s="4"/>
      <c r="I5127" s="4"/>
      <c r="J5127" s="18">
        <v>0.0</v>
      </c>
      <c r="K5127" s="4" t="s">
        <v>8494</v>
      </c>
      <c r="L5127" s="19" t="s">
        <v>8494</v>
      </c>
      <c r="M5127" s="20" t="s">
        <v>8494</v>
      </c>
    </row>
    <row r="5128">
      <c r="A5128" s="6"/>
      <c r="B5128" s="6"/>
      <c r="C5128" s="6"/>
      <c r="D5128" s="4">
        <v>21.1919760409518</v>
      </c>
      <c r="E5128" s="4" t="s">
        <v>1963</v>
      </c>
      <c r="F5128" s="4"/>
      <c r="G5128" s="4"/>
      <c r="H5128" s="4"/>
      <c r="I5128" s="4"/>
      <c r="J5128" s="18">
        <v>0.0</v>
      </c>
      <c r="K5128" s="4" t="s">
        <v>8494</v>
      </c>
      <c r="L5128" s="19" t="s">
        <v>8494</v>
      </c>
      <c r="M5128" s="20" t="s">
        <v>8494</v>
      </c>
    </row>
    <row r="5129">
      <c r="A5129" s="6"/>
      <c r="B5129" s="6"/>
      <c r="C5129" s="6"/>
      <c r="D5129" s="4">
        <v>148.69453667410198</v>
      </c>
      <c r="E5129" s="4" t="s">
        <v>4277</v>
      </c>
      <c r="F5129" s="4"/>
      <c r="G5129" s="4"/>
      <c r="H5129" s="4"/>
      <c r="I5129" s="4"/>
      <c r="J5129" s="18">
        <v>0.0</v>
      </c>
      <c r="K5129" s="4" t="s">
        <v>8494</v>
      </c>
      <c r="L5129" s="19" t="s">
        <v>8494</v>
      </c>
      <c r="M5129" s="20" t="s">
        <v>8494</v>
      </c>
    </row>
    <row r="5130">
      <c r="A5130" s="6"/>
      <c r="B5130" s="6"/>
      <c r="C5130" s="6"/>
      <c r="D5130" s="4">
        <v>70.5759705873724</v>
      </c>
      <c r="E5130" s="4" t="s">
        <v>4569</v>
      </c>
      <c r="F5130" s="4"/>
      <c r="G5130" s="4"/>
      <c r="H5130" s="4"/>
      <c r="I5130" s="4"/>
      <c r="J5130" s="18">
        <v>0.0</v>
      </c>
      <c r="K5130" s="4" t="s">
        <v>8494</v>
      </c>
      <c r="L5130" s="19" t="s">
        <v>8494</v>
      </c>
      <c r="M5130" s="20" t="s">
        <v>8494</v>
      </c>
    </row>
    <row r="5131">
      <c r="A5131" s="6"/>
      <c r="B5131" s="6"/>
      <c r="C5131" s="6"/>
      <c r="D5131" s="4">
        <v>27.4515347201243</v>
      </c>
      <c r="E5131" s="4" t="s">
        <v>2749</v>
      </c>
      <c r="F5131" s="4"/>
      <c r="G5131" s="4"/>
      <c r="H5131" s="4"/>
      <c r="I5131" s="4"/>
      <c r="J5131" s="18">
        <v>0.0</v>
      </c>
      <c r="K5131" s="4" t="s">
        <v>8494</v>
      </c>
      <c r="L5131" s="19" t="s">
        <v>8494</v>
      </c>
      <c r="M5131" s="20" t="s">
        <v>8494</v>
      </c>
    </row>
    <row r="5132">
      <c r="A5132" s="6"/>
      <c r="B5132" s="6"/>
      <c r="C5132" s="6"/>
      <c r="D5132" s="4">
        <v>186.01196020749998</v>
      </c>
      <c r="E5132" s="4" t="s">
        <v>742</v>
      </c>
      <c r="F5132" s="4"/>
      <c r="G5132" s="4"/>
      <c r="H5132" s="4"/>
      <c r="I5132" s="4"/>
      <c r="J5132" s="18">
        <v>0.0</v>
      </c>
      <c r="K5132" s="4" t="s">
        <v>8494</v>
      </c>
      <c r="L5132" s="19" t="s">
        <v>8494</v>
      </c>
      <c r="M5132" s="20" t="s">
        <v>8494</v>
      </c>
    </row>
    <row r="5133">
      <c r="A5133" s="6"/>
      <c r="B5133" s="6"/>
      <c r="C5133" s="6"/>
      <c r="D5133" s="4">
        <v>186.01196020749998</v>
      </c>
      <c r="E5133" s="4" t="s">
        <v>7485</v>
      </c>
      <c r="F5133" s="4"/>
      <c r="G5133" s="4"/>
      <c r="H5133" s="4"/>
      <c r="I5133" s="4"/>
      <c r="J5133" s="18">
        <v>0.0</v>
      </c>
      <c r="K5133" s="4" t="s">
        <v>8494</v>
      </c>
      <c r="L5133" s="19" t="s">
        <v>8494</v>
      </c>
      <c r="M5133" s="20" t="s">
        <v>8494</v>
      </c>
    </row>
    <row r="5134">
      <c r="A5134" s="6"/>
      <c r="B5134" s="6"/>
      <c r="C5134" s="6"/>
      <c r="D5134" s="4">
        <v>139.508970155625</v>
      </c>
      <c r="E5134" s="4" t="s">
        <v>6447</v>
      </c>
      <c r="F5134" s="4"/>
      <c r="G5134" s="4"/>
      <c r="H5134" s="4"/>
      <c r="I5134" s="4"/>
      <c r="J5134" s="18">
        <v>0.0</v>
      </c>
      <c r="K5134" s="4" t="s">
        <v>8494</v>
      </c>
      <c r="L5134" s="19" t="s">
        <v>8494</v>
      </c>
      <c r="M5134" s="20" t="s">
        <v>8494</v>
      </c>
    </row>
    <row r="5135">
      <c r="A5135" s="6"/>
      <c r="B5135" s="6"/>
      <c r="C5135" s="6"/>
      <c r="D5135" s="4">
        <v>9.30059801037504</v>
      </c>
      <c r="E5135" s="4" t="s">
        <v>7092</v>
      </c>
      <c r="F5135" s="4"/>
      <c r="G5135" s="4"/>
      <c r="H5135" s="4"/>
      <c r="I5135" s="4"/>
      <c r="J5135" s="18">
        <v>0.0</v>
      </c>
      <c r="K5135" s="4" t="s">
        <v>8494</v>
      </c>
      <c r="L5135" s="19" t="s">
        <v>8494</v>
      </c>
      <c r="M5135" s="20" t="s">
        <v>8494</v>
      </c>
    </row>
    <row r="5136">
      <c r="A5136" s="6"/>
      <c r="B5136" s="6"/>
      <c r="C5136" s="6"/>
      <c r="D5136" s="4">
        <v>9.30059801037504</v>
      </c>
      <c r="E5136" s="4" t="s">
        <v>5382</v>
      </c>
      <c r="F5136" s="4"/>
      <c r="G5136" s="4"/>
      <c r="H5136" s="4"/>
      <c r="I5136" s="4"/>
      <c r="J5136" s="18">
        <v>0.0</v>
      </c>
      <c r="K5136" s="4" t="s">
        <v>8494</v>
      </c>
      <c r="L5136" s="19" t="s">
        <v>8494</v>
      </c>
      <c r="M5136" s="20" t="s">
        <v>8494</v>
      </c>
    </row>
    <row r="5137">
      <c r="A5137" s="6"/>
      <c r="B5137" s="6"/>
      <c r="C5137" s="6"/>
      <c r="D5137" s="4">
        <v>4.20413287461451</v>
      </c>
      <c r="E5137" s="4" t="s">
        <v>3770</v>
      </c>
      <c r="F5137" s="4"/>
      <c r="G5137" s="4"/>
      <c r="H5137" s="4"/>
      <c r="I5137" s="4"/>
      <c r="J5137" s="18">
        <v>0.0</v>
      </c>
      <c r="K5137" s="4" t="s">
        <v>8494</v>
      </c>
      <c r="L5137" s="19" t="s">
        <v>8494</v>
      </c>
      <c r="M5137" s="20" t="s">
        <v>8494</v>
      </c>
    </row>
    <row r="5138">
      <c r="A5138" s="6"/>
      <c r="B5138" s="6"/>
      <c r="C5138" s="6"/>
      <c r="D5138" s="4">
        <v>48.1669642171358</v>
      </c>
      <c r="E5138" s="4" t="s">
        <v>4729</v>
      </c>
      <c r="F5138" s="4"/>
      <c r="G5138" s="4"/>
      <c r="H5138" s="4"/>
      <c r="I5138" s="4"/>
      <c r="J5138" s="18">
        <v>0.0</v>
      </c>
      <c r="K5138" s="4" t="s">
        <v>8494</v>
      </c>
      <c r="L5138" s="19" t="s">
        <v>8494</v>
      </c>
      <c r="M5138" s="20" t="s">
        <v>8494</v>
      </c>
    </row>
    <row r="5139">
      <c r="A5139" s="6"/>
      <c r="B5139" s="6"/>
      <c r="C5139" s="6"/>
      <c r="D5139" s="4">
        <v>10.328501489014801</v>
      </c>
      <c r="E5139" s="4" t="s">
        <v>2384</v>
      </c>
      <c r="F5139" s="4"/>
      <c r="G5139" s="4"/>
      <c r="H5139" s="4"/>
      <c r="I5139" s="4"/>
      <c r="J5139" s="18">
        <v>0.0</v>
      </c>
      <c r="K5139" s="4" t="s">
        <v>8494</v>
      </c>
      <c r="L5139" s="19" t="s">
        <v>8494</v>
      </c>
      <c r="M5139" s="20" t="s">
        <v>8494</v>
      </c>
    </row>
    <row r="5140">
      <c r="A5140" s="6"/>
      <c r="B5140" s="6"/>
      <c r="C5140" s="6"/>
      <c r="D5140" s="4">
        <v>66.3891566937387</v>
      </c>
      <c r="E5140" s="4" t="s">
        <v>5384</v>
      </c>
      <c r="F5140" s="4"/>
      <c r="G5140" s="4"/>
      <c r="H5140" s="4"/>
      <c r="I5140" s="4"/>
      <c r="J5140" s="18">
        <v>0.0</v>
      </c>
      <c r="K5140" s="4" t="s">
        <v>8494</v>
      </c>
      <c r="L5140" s="19" t="s">
        <v>8494</v>
      </c>
      <c r="M5140" s="20" t="s">
        <v>8494</v>
      </c>
    </row>
    <row r="5141">
      <c r="A5141" s="6"/>
      <c r="B5141" s="6"/>
      <c r="C5141" s="6"/>
      <c r="D5141" s="4">
        <v>29.6416011866236</v>
      </c>
      <c r="E5141" s="4" t="s">
        <v>6825</v>
      </c>
      <c r="F5141" s="4"/>
      <c r="G5141" s="4"/>
      <c r="H5141" s="4"/>
      <c r="I5141" s="4"/>
      <c r="J5141" s="18">
        <v>0.0</v>
      </c>
      <c r="K5141" s="4" t="s">
        <v>8494</v>
      </c>
      <c r="L5141" s="19" t="s">
        <v>8494</v>
      </c>
      <c r="M5141" s="20" t="s">
        <v>8494</v>
      </c>
    </row>
    <row r="5142">
      <c r="A5142" s="6"/>
      <c r="B5142" s="6"/>
      <c r="C5142" s="6"/>
      <c r="D5142" s="4">
        <v>186.01196020749998</v>
      </c>
      <c r="E5142" s="4" t="s">
        <v>3952</v>
      </c>
      <c r="F5142" s="4"/>
      <c r="G5142" s="4"/>
      <c r="H5142" s="4"/>
      <c r="I5142" s="4"/>
      <c r="J5142" s="18">
        <v>0.0</v>
      </c>
      <c r="K5142" s="4" t="s">
        <v>8494</v>
      </c>
      <c r="L5142" s="19" t="s">
        <v>8494</v>
      </c>
      <c r="M5142" s="20" t="s">
        <v>8494</v>
      </c>
    </row>
    <row r="5143">
      <c r="A5143" s="6"/>
      <c r="B5143" s="6"/>
      <c r="C5143" s="6"/>
      <c r="D5143" s="4">
        <v>113.786959227398</v>
      </c>
      <c r="E5143" s="4" t="s">
        <v>7491</v>
      </c>
      <c r="F5143" s="4"/>
      <c r="G5143" s="4"/>
      <c r="H5143" s="4"/>
      <c r="I5143" s="4"/>
      <c r="J5143" s="18">
        <v>0.0</v>
      </c>
      <c r="K5143" s="4" t="s">
        <v>8494</v>
      </c>
      <c r="L5143" s="19" t="s">
        <v>8494</v>
      </c>
      <c r="M5143" s="20" t="s">
        <v>8494</v>
      </c>
    </row>
    <row r="5144">
      <c r="A5144" s="6"/>
      <c r="B5144" s="6"/>
      <c r="C5144" s="6"/>
      <c r="D5144" s="4">
        <v>65.1041860726253</v>
      </c>
      <c r="E5144" s="4" t="s">
        <v>4862</v>
      </c>
      <c r="F5144" s="4"/>
      <c r="G5144" s="4"/>
      <c r="H5144" s="4"/>
      <c r="I5144" s="4"/>
      <c r="J5144" s="18">
        <v>0.0</v>
      </c>
      <c r="K5144" s="4" t="s">
        <v>8494</v>
      </c>
      <c r="L5144" s="19" t="s">
        <v>8494</v>
      </c>
      <c r="M5144" s="20" t="s">
        <v>8494</v>
      </c>
    </row>
    <row r="5145">
      <c r="A5145" s="6"/>
      <c r="B5145" s="6"/>
      <c r="C5145" s="6"/>
      <c r="D5145" s="4">
        <v>107.348376116775</v>
      </c>
      <c r="E5145" s="4" t="s">
        <v>6501</v>
      </c>
      <c r="F5145" s="4"/>
      <c r="G5145" s="4"/>
      <c r="H5145" s="4"/>
      <c r="I5145" s="4"/>
      <c r="J5145" s="18">
        <v>0.0</v>
      </c>
      <c r="K5145" s="4" t="s">
        <v>8494</v>
      </c>
      <c r="L5145" s="19" t="s">
        <v>8494</v>
      </c>
      <c r="M5145" s="20" t="s">
        <v>8494</v>
      </c>
    </row>
    <row r="5146">
      <c r="A5146" s="6"/>
      <c r="B5146" s="6"/>
      <c r="C5146" s="6"/>
      <c r="D5146" s="4">
        <v>34.212313374835105</v>
      </c>
      <c r="E5146" s="4" t="s">
        <v>6717</v>
      </c>
      <c r="F5146" s="4"/>
      <c r="G5146" s="4"/>
      <c r="H5146" s="4"/>
      <c r="I5146" s="4"/>
      <c r="J5146" s="18">
        <v>0.0</v>
      </c>
      <c r="K5146" s="4" t="s">
        <v>8494</v>
      </c>
      <c r="L5146" s="19" t="s">
        <v>8494</v>
      </c>
      <c r="M5146" s="20" t="s">
        <v>8494</v>
      </c>
    </row>
    <row r="5147">
      <c r="A5147" s="6"/>
      <c r="B5147" s="6"/>
      <c r="C5147" s="6"/>
      <c r="D5147" s="4">
        <v>0.0947796504613059</v>
      </c>
      <c r="E5147" s="4" t="s">
        <v>3680</v>
      </c>
      <c r="F5147" s="4"/>
      <c r="G5147" s="4"/>
      <c r="H5147" s="4"/>
      <c r="I5147" s="4"/>
      <c r="J5147" s="18">
        <v>0.0</v>
      </c>
      <c r="K5147" s="4" t="s">
        <v>8494</v>
      </c>
      <c r="L5147" s="19" t="s">
        <v>8494</v>
      </c>
      <c r="M5147" s="20" t="s">
        <v>8494</v>
      </c>
    </row>
    <row r="5148">
      <c r="A5148" s="6"/>
      <c r="B5148" s="6"/>
      <c r="C5148" s="6"/>
      <c r="D5148" s="4">
        <v>60.4194126286664</v>
      </c>
      <c r="E5148" s="4" t="s">
        <v>7496</v>
      </c>
      <c r="F5148" s="4"/>
      <c r="G5148" s="4"/>
      <c r="H5148" s="4"/>
      <c r="I5148" s="4"/>
      <c r="J5148" s="18">
        <v>0.0</v>
      </c>
      <c r="K5148" s="4" t="s">
        <v>8494</v>
      </c>
      <c r="L5148" s="19" t="s">
        <v>8494</v>
      </c>
      <c r="M5148" s="20" t="s">
        <v>8494</v>
      </c>
    </row>
    <row r="5149">
      <c r="A5149" s="6"/>
      <c r="B5149" s="6"/>
      <c r="C5149" s="6"/>
      <c r="D5149" s="4">
        <v>38.2487927892119</v>
      </c>
      <c r="E5149" s="4" t="s">
        <v>1527</v>
      </c>
      <c r="F5149" s="4"/>
      <c r="G5149" s="4"/>
      <c r="H5149" s="4"/>
      <c r="I5149" s="4"/>
      <c r="J5149" s="18">
        <v>0.0</v>
      </c>
      <c r="K5149" s="4" t="s">
        <v>8494</v>
      </c>
      <c r="L5149" s="19" t="s">
        <v>8494</v>
      </c>
      <c r="M5149" s="20" t="s">
        <v>8494</v>
      </c>
    </row>
    <row r="5150">
      <c r="A5150" s="6"/>
      <c r="B5150" s="6"/>
      <c r="C5150" s="6"/>
      <c r="D5150" s="4">
        <v>62.4803967975109</v>
      </c>
      <c r="E5150" s="4" t="s">
        <v>3626</v>
      </c>
      <c r="F5150" s="4"/>
      <c r="G5150" s="4"/>
      <c r="H5150" s="4"/>
      <c r="I5150" s="4"/>
      <c r="J5150" s="18">
        <v>0.0</v>
      </c>
      <c r="K5150" s="4" t="s">
        <v>8494</v>
      </c>
      <c r="L5150" s="19" t="s">
        <v>8494</v>
      </c>
      <c r="M5150" s="20" t="s">
        <v>8494</v>
      </c>
    </row>
    <row r="5151">
      <c r="A5151" s="6"/>
      <c r="B5151" s="6"/>
      <c r="C5151" s="6"/>
      <c r="D5151" s="4">
        <v>96.1172892335362</v>
      </c>
      <c r="E5151" s="4" t="s">
        <v>7500</v>
      </c>
      <c r="F5151" s="4"/>
      <c r="G5151" s="4"/>
      <c r="H5151" s="4"/>
      <c r="I5151" s="4"/>
      <c r="J5151" s="18">
        <v>0.0</v>
      </c>
      <c r="K5151" s="4" t="s">
        <v>8494</v>
      </c>
      <c r="L5151" s="19" t="s">
        <v>8494</v>
      </c>
      <c r="M5151" s="20" t="s">
        <v>8494</v>
      </c>
    </row>
    <row r="5152">
      <c r="A5152" s="6"/>
      <c r="B5152" s="6"/>
      <c r="C5152" s="6"/>
      <c r="D5152" s="4">
        <v>9.30059801037504</v>
      </c>
      <c r="E5152" s="4" t="s">
        <v>6287</v>
      </c>
      <c r="F5152" s="4"/>
      <c r="G5152" s="4"/>
      <c r="H5152" s="4"/>
      <c r="I5152" s="4"/>
      <c r="J5152" s="18">
        <v>0.0</v>
      </c>
      <c r="K5152" s="4" t="s">
        <v>8494</v>
      </c>
      <c r="L5152" s="19" t="s">
        <v>8494</v>
      </c>
      <c r="M5152" s="20" t="s">
        <v>8494</v>
      </c>
    </row>
    <row r="5153">
      <c r="A5153" s="6"/>
      <c r="B5153" s="6"/>
      <c r="C5153" s="6"/>
      <c r="D5153" s="4">
        <v>15.4861266784325</v>
      </c>
      <c r="E5153" s="4" t="s">
        <v>657</v>
      </c>
      <c r="F5153" s="4"/>
      <c r="G5153" s="4"/>
      <c r="H5153" s="4"/>
      <c r="I5153" s="4"/>
      <c r="J5153" s="18">
        <v>0.0</v>
      </c>
      <c r="K5153" s="4" t="s">
        <v>8494</v>
      </c>
      <c r="L5153" s="19" t="s">
        <v>8494</v>
      </c>
      <c r="M5153" s="20" t="s">
        <v>8494</v>
      </c>
    </row>
    <row r="5154">
      <c r="A5154" s="6"/>
      <c r="B5154" s="6"/>
      <c r="C5154" s="6"/>
      <c r="D5154" s="4">
        <v>65.1041860726253</v>
      </c>
      <c r="E5154" s="4" t="s">
        <v>3167</v>
      </c>
      <c r="F5154" s="4"/>
      <c r="G5154" s="4"/>
      <c r="H5154" s="4"/>
      <c r="I5154" s="4"/>
      <c r="J5154" s="18">
        <v>0.0</v>
      </c>
      <c r="K5154" s="4" t="s">
        <v>8494</v>
      </c>
      <c r="L5154" s="19" t="s">
        <v>8494</v>
      </c>
      <c r="M5154" s="20" t="s">
        <v>8494</v>
      </c>
    </row>
    <row r="5155">
      <c r="A5155" s="6"/>
      <c r="B5155" s="6"/>
      <c r="C5155" s="6"/>
      <c r="D5155" s="4">
        <v>9.608884366590539</v>
      </c>
      <c r="E5155" s="4" t="s">
        <v>3233</v>
      </c>
      <c r="F5155" s="4"/>
      <c r="G5155" s="4"/>
      <c r="H5155" s="4"/>
      <c r="I5155" s="4"/>
      <c r="J5155" s="18">
        <v>0.0</v>
      </c>
      <c r="K5155" s="4" t="s">
        <v>8494</v>
      </c>
      <c r="L5155" s="19" t="s">
        <v>8494</v>
      </c>
      <c r="M5155" s="20" t="s">
        <v>8494</v>
      </c>
    </row>
    <row r="5156">
      <c r="A5156" s="6"/>
      <c r="B5156" s="6"/>
      <c r="C5156" s="6"/>
      <c r="D5156" s="4">
        <v>186.01196020749998</v>
      </c>
      <c r="E5156" s="4" t="s">
        <v>1472</v>
      </c>
      <c r="F5156" s="4"/>
      <c r="G5156" s="4"/>
      <c r="H5156" s="4"/>
      <c r="I5156" s="4"/>
      <c r="J5156" s="18">
        <v>0.0</v>
      </c>
      <c r="K5156" s="4" t="s">
        <v>8494</v>
      </c>
      <c r="L5156" s="19" t="s">
        <v>8494</v>
      </c>
      <c r="M5156" s="20" t="s">
        <v>8494</v>
      </c>
    </row>
    <row r="5157">
      <c r="A5157" s="6"/>
      <c r="B5157" s="6"/>
      <c r="C5157" s="6"/>
      <c r="D5157" s="4">
        <v>186.01196020749998</v>
      </c>
      <c r="E5157" s="4" t="s">
        <v>534</v>
      </c>
      <c r="F5157" s="4"/>
      <c r="G5157" s="4"/>
      <c r="H5157" s="4"/>
      <c r="I5157" s="4"/>
      <c r="J5157" s="18">
        <v>0.0</v>
      </c>
      <c r="K5157" s="4" t="s">
        <v>8494</v>
      </c>
      <c r="L5157" s="19" t="s">
        <v>8494</v>
      </c>
      <c r="M5157" s="20" t="s">
        <v>8494</v>
      </c>
    </row>
    <row r="5158">
      <c r="A5158" s="6"/>
      <c r="B5158" s="6"/>
      <c r="C5158" s="6"/>
      <c r="D5158" s="4">
        <v>6.03380222496701</v>
      </c>
      <c r="E5158" s="4" t="s">
        <v>2009</v>
      </c>
      <c r="F5158" s="4"/>
      <c r="G5158" s="4"/>
      <c r="H5158" s="4"/>
      <c r="I5158" s="4"/>
      <c r="J5158" s="18">
        <v>0.0</v>
      </c>
      <c r="K5158" s="4" t="s">
        <v>8494</v>
      </c>
      <c r="L5158" s="19" t="s">
        <v>8494</v>
      </c>
      <c r="M5158" s="20" t="s">
        <v>8494</v>
      </c>
    </row>
    <row r="5159">
      <c r="A5159" s="6"/>
      <c r="B5159" s="6"/>
      <c r="C5159" s="6"/>
      <c r="D5159" s="4">
        <v>186.01196020749998</v>
      </c>
      <c r="E5159" s="4" t="s">
        <v>7264</v>
      </c>
      <c r="F5159" s="4"/>
      <c r="G5159" s="4"/>
      <c r="H5159" s="4"/>
      <c r="I5159" s="4"/>
      <c r="J5159" s="18">
        <v>0.0</v>
      </c>
      <c r="K5159" s="4" t="s">
        <v>8494</v>
      </c>
      <c r="L5159" s="19" t="s">
        <v>8494</v>
      </c>
      <c r="M5159" s="20" t="s">
        <v>8494</v>
      </c>
    </row>
    <row r="5160">
      <c r="A5160" s="6"/>
      <c r="B5160" s="6"/>
      <c r="C5160" s="6"/>
      <c r="D5160" s="4">
        <v>103.443170327797</v>
      </c>
      <c r="E5160" s="4" t="s">
        <v>1457</v>
      </c>
      <c r="F5160" s="4"/>
      <c r="G5160" s="4"/>
      <c r="H5160" s="4"/>
      <c r="I5160" s="4"/>
      <c r="J5160" s="18">
        <v>0.0</v>
      </c>
      <c r="K5160" s="4" t="s">
        <v>8494</v>
      </c>
      <c r="L5160" s="19" t="s">
        <v>8494</v>
      </c>
      <c r="M5160" s="20" t="s">
        <v>8494</v>
      </c>
    </row>
    <row r="5161">
      <c r="A5161" s="6"/>
      <c r="B5161" s="6"/>
      <c r="C5161" s="6"/>
      <c r="D5161" s="4">
        <v>45.7459386707601</v>
      </c>
      <c r="E5161" s="4" t="s">
        <v>7506</v>
      </c>
      <c r="F5161" s="4"/>
      <c r="G5161" s="4"/>
      <c r="H5161" s="4"/>
      <c r="I5161" s="4"/>
      <c r="J5161" s="18">
        <v>0.0</v>
      </c>
      <c r="K5161" s="4" t="s">
        <v>8494</v>
      </c>
      <c r="L5161" s="19" t="s">
        <v>8494</v>
      </c>
      <c r="M5161" s="20" t="s">
        <v>8494</v>
      </c>
    </row>
    <row r="5162">
      <c r="A5162" s="6"/>
      <c r="B5162" s="6"/>
      <c r="C5162" s="6"/>
      <c r="D5162" s="4">
        <v>28.0056990334508</v>
      </c>
      <c r="E5162" s="4" t="s">
        <v>3773</v>
      </c>
      <c r="F5162" s="4"/>
      <c r="G5162" s="4"/>
      <c r="H5162" s="4"/>
      <c r="I5162" s="4"/>
      <c r="J5162" s="18">
        <v>0.0</v>
      </c>
      <c r="K5162" s="4" t="s">
        <v>8494</v>
      </c>
      <c r="L5162" s="19" t="s">
        <v>8494</v>
      </c>
      <c r="M5162" s="20" t="s">
        <v>8494</v>
      </c>
    </row>
    <row r="5163">
      <c r="A5163" s="6"/>
      <c r="B5163" s="6"/>
      <c r="C5163" s="6"/>
      <c r="D5163" s="4">
        <v>60.4573660316366</v>
      </c>
      <c r="E5163" s="4" t="s">
        <v>6149</v>
      </c>
      <c r="F5163" s="4"/>
      <c r="G5163" s="4"/>
      <c r="H5163" s="4"/>
      <c r="I5163" s="4"/>
      <c r="J5163" s="18">
        <v>0.0</v>
      </c>
      <c r="K5163" s="4" t="s">
        <v>8494</v>
      </c>
      <c r="L5163" s="19" t="s">
        <v>8494</v>
      </c>
      <c r="M5163" s="20" t="s">
        <v>8494</v>
      </c>
    </row>
    <row r="5164">
      <c r="A5164" s="6"/>
      <c r="B5164" s="6"/>
      <c r="C5164" s="6"/>
      <c r="D5164" s="4">
        <v>9.30059801037504</v>
      </c>
      <c r="E5164" s="4" t="s">
        <v>3582</v>
      </c>
      <c r="F5164" s="4"/>
      <c r="G5164" s="4"/>
      <c r="H5164" s="4"/>
      <c r="I5164" s="4"/>
      <c r="J5164" s="18">
        <v>0.0</v>
      </c>
      <c r="K5164" s="4" t="s">
        <v>8494</v>
      </c>
      <c r="L5164" s="19" t="s">
        <v>8494</v>
      </c>
      <c r="M5164" s="20" t="s">
        <v>8494</v>
      </c>
    </row>
    <row r="5165">
      <c r="A5165" s="6"/>
      <c r="B5165" s="6"/>
      <c r="C5165" s="6"/>
      <c r="D5165" s="4">
        <v>186.01196020749998</v>
      </c>
      <c r="E5165" s="4" t="s">
        <v>2002</v>
      </c>
      <c r="F5165" s="4"/>
      <c r="G5165" s="4"/>
      <c r="H5165" s="4"/>
      <c r="I5165" s="4"/>
      <c r="J5165" s="18">
        <v>0.0</v>
      </c>
      <c r="K5165" s="4" t="s">
        <v>8494</v>
      </c>
      <c r="L5165" s="19" t="s">
        <v>8494</v>
      </c>
      <c r="M5165" s="20" t="s">
        <v>8494</v>
      </c>
    </row>
    <row r="5166">
      <c r="A5166" s="6"/>
      <c r="B5166" s="6"/>
      <c r="C5166" s="6"/>
      <c r="D5166" s="4">
        <v>9.30059801037504</v>
      </c>
      <c r="E5166" s="4" t="s">
        <v>5554</v>
      </c>
      <c r="F5166" s="4"/>
      <c r="G5166" s="4"/>
      <c r="H5166" s="4"/>
      <c r="I5166" s="4"/>
      <c r="J5166" s="18">
        <v>0.0</v>
      </c>
      <c r="K5166" s="4" t="s">
        <v>8494</v>
      </c>
      <c r="L5166" s="19" t="s">
        <v>8494</v>
      </c>
      <c r="M5166" s="20" t="s">
        <v>8494</v>
      </c>
    </row>
    <row r="5167">
      <c r="A5167" s="6"/>
      <c r="B5167" s="6"/>
      <c r="C5167" s="6"/>
      <c r="D5167" s="4">
        <v>64.95948519968451</v>
      </c>
      <c r="E5167" s="4" t="s">
        <v>5870</v>
      </c>
      <c r="F5167" s="4"/>
      <c r="G5167" s="4"/>
      <c r="H5167" s="4"/>
      <c r="I5167" s="4"/>
      <c r="J5167" s="18">
        <v>0.0</v>
      </c>
      <c r="K5167" s="4" t="s">
        <v>8494</v>
      </c>
      <c r="L5167" s="19" t="s">
        <v>8494</v>
      </c>
      <c r="M5167" s="20" t="s">
        <v>8494</v>
      </c>
    </row>
    <row r="5168">
      <c r="A5168" s="6"/>
      <c r="B5168" s="6"/>
      <c r="C5168" s="6"/>
      <c r="D5168" s="4">
        <v>54.4543975438322</v>
      </c>
      <c r="E5168" s="4" t="s">
        <v>7511</v>
      </c>
      <c r="F5168" s="4"/>
      <c r="G5168" s="4"/>
      <c r="H5168" s="4"/>
      <c r="I5168" s="4"/>
      <c r="J5168" s="18">
        <v>0.0</v>
      </c>
      <c r="K5168" s="4" t="s">
        <v>8494</v>
      </c>
      <c r="L5168" s="19" t="s">
        <v>8494</v>
      </c>
      <c r="M5168" s="20" t="s">
        <v>8494</v>
      </c>
    </row>
    <row r="5169">
      <c r="A5169" s="6"/>
      <c r="B5169" s="6"/>
      <c r="C5169" s="6"/>
      <c r="D5169" s="4">
        <v>46.5029900518752</v>
      </c>
      <c r="E5169" s="4" t="s">
        <v>1319</v>
      </c>
      <c r="F5169" s="4"/>
      <c r="G5169" s="4"/>
      <c r="H5169" s="4"/>
      <c r="I5169" s="4"/>
      <c r="J5169" s="18">
        <v>0.0</v>
      </c>
      <c r="K5169" s="4" t="s">
        <v>8494</v>
      </c>
      <c r="L5169" s="19" t="s">
        <v>8494</v>
      </c>
      <c r="M5169" s="20" t="s">
        <v>8494</v>
      </c>
    </row>
    <row r="5170">
      <c r="A5170" s="6"/>
      <c r="B5170" s="6"/>
      <c r="C5170" s="6"/>
      <c r="D5170" s="4">
        <v>95.6037925405393</v>
      </c>
      <c r="E5170" s="4" t="s">
        <v>7513</v>
      </c>
      <c r="F5170" s="4"/>
      <c r="G5170" s="4"/>
      <c r="H5170" s="4"/>
      <c r="I5170" s="4"/>
      <c r="J5170" s="18">
        <v>0.0</v>
      </c>
      <c r="K5170" s="4" t="s">
        <v>8494</v>
      </c>
      <c r="L5170" s="19" t="s">
        <v>8494</v>
      </c>
      <c r="M5170" s="20" t="s">
        <v>8494</v>
      </c>
    </row>
    <row r="5171">
      <c r="A5171" s="6"/>
      <c r="B5171" s="6"/>
      <c r="C5171" s="6"/>
      <c r="D5171" s="4">
        <v>186.01196020749998</v>
      </c>
      <c r="E5171" s="4" t="s">
        <v>6172</v>
      </c>
      <c r="F5171" s="4"/>
      <c r="G5171" s="4"/>
      <c r="H5171" s="4"/>
      <c r="I5171" s="4"/>
      <c r="J5171" s="18">
        <v>0.0</v>
      </c>
      <c r="K5171" s="4" t="s">
        <v>8494</v>
      </c>
      <c r="L5171" s="19" t="s">
        <v>8494</v>
      </c>
      <c r="M5171" s="20" t="s">
        <v>8494</v>
      </c>
    </row>
    <row r="5172">
      <c r="A5172" s="6"/>
      <c r="B5172" s="6"/>
      <c r="C5172" s="6"/>
      <c r="D5172" s="4">
        <v>86.8806851209564</v>
      </c>
      <c r="E5172" s="4" t="s">
        <v>6656</v>
      </c>
      <c r="F5172" s="4"/>
      <c r="G5172" s="4"/>
      <c r="H5172" s="4"/>
      <c r="I5172" s="4"/>
      <c r="J5172" s="18">
        <v>0.0</v>
      </c>
      <c r="K5172" s="4" t="s">
        <v>8494</v>
      </c>
      <c r="L5172" s="19" t="s">
        <v>8494</v>
      </c>
      <c r="M5172" s="20" t="s">
        <v>8494</v>
      </c>
    </row>
    <row r="5173">
      <c r="A5173" s="6"/>
      <c r="B5173" s="6"/>
      <c r="C5173" s="6"/>
      <c r="D5173" s="4">
        <v>9.30059801037504</v>
      </c>
      <c r="E5173" s="4" t="s">
        <v>6726</v>
      </c>
      <c r="F5173" s="4"/>
      <c r="G5173" s="4"/>
      <c r="H5173" s="4"/>
      <c r="I5173" s="4"/>
      <c r="J5173" s="18">
        <v>0.0</v>
      </c>
      <c r="K5173" s="4" t="s">
        <v>8494</v>
      </c>
      <c r="L5173" s="19" t="s">
        <v>8494</v>
      </c>
      <c r="M5173" s="20" t="s">
        <v>8494</v>
      </c>
    </row>
    <row r="5174">
      <c r="A5174" s="6"/>
      <c r="B5174" s="6"/>
      <c r="C5174" s="6"/>
      <c r="D5174" s="4">
        <v>107.774011937079</v>
      </c>
      <c r="E5174" s="4" t="s">
        <v>2200</v>
      </c>
      <c r="F5174" s="4"/>
      <c r="G5174" s="4"/>
      <c r="H5174" s="4"/>
      <c r="I5174" s="4"/>
      <c r="J5174" s="18">
        <v>0.0</v>
      </c>
      <c r="K5174" s="4" t="s">
        <v>8494</v>
      </c>
      <c r="L5174" s="19" t="s">
        <v>8494</v>
      </c>
      <c r="M5174" s="20" t="s">
        <v>8494</v>
      </c>
    </row>
    <row r="5175">
      <c r="A5175" s="6"/>
      <c r="B5175" s="6"/>
      <c r="C5175" s="6"/>
      <c r="D5175" s="4">
        <v>11.832420846894399</v>
      </c>
      <c r="E5175" s="4" t="s">
        <v>7517</v>
      </c>
      <c r="F5175" s="4"/>
      <c r="G5175" s="4"/>
      <c r="H5175" s="4"/>
      <c r="I5175" s="4"/>
      <c r="J5175" s="18">
        <v>0.0</v>
      </c>
      <c r="K5175" s="4" t="s">
        <v>8494</v>
      </c>
      <c r="L5175" s="19" t="s">
        <v>8494</v>
      </c>
      <c r="M5175" s="20" t="s">
        <v>8494</v>
      </c>
    </row>
    <row r="5176">
      <c r="A5176" s="6"/>
      <c r="B5176" s="6"/>
      <c r="C5176" s="6"/>
      <c r="D5176" s="4">
        <v>186.01196020749998</v>
      </c>
      <c r="E5176" s="4" t="s">
        <v>3288</v>
      </c>
      <c r="F5176" s="4"/>
      <c r="G5176" s="4"/>
      <c r="H5176" s="4"/>
      <c r="I5176" s="4"/>
      <c r="J5176" s="18">
        <v>0.0</v>
      </c>
      <c r="K5176" s="4" t="s">
        <v>8494</v>
      </c>
      <c r="L5176" s="19" t="s">
        <v>8494</v>
      </c>
      <c r="M5176" s="20" t="s">
        <v>8494</v>
      </c>
    </row>
    <row r="5177">
      <c r="A5177" s="6"/>
      <c r="B5177" s="6"/>
      <c r="C5177" s="6"/>
      <c r="D5177" s="4">
        <v>179.75286221272702</v>
      </c>
      <c r="E5177" s="4" t="s">
        <v>1050</v>
      </c>
      <c r="F5177" s="4"/>
      <c r="G5177" s="4"/>
      <c r="H5177" s="4"/>
      <c r="I5177" s="4"/>
      <c r="J5177" s="18">
        <v>0.0</v>
      </c>
      <c r="K5177" s="4" t="s">
        <v>8494</v>
      </c>
      <c r="L5177" s="19" t="s">
        <v>8494</v>
      </c>
      <c r="M5177" s="20" t="s">
        <v>8494</v>
      </c>
    </row>
    <row r="5178">
      <c r="A5178" s="6"/>
      <c r="B5178" s="6"/>
      <c r="C5178" s="6"/>
      <c r="D5178" s="4">
        <v>172.589331785703</v>
      </c>
      <c r="E5178" s="4" t="s">
        <v>2394</v>
      </c>
      <c r="F5178" s="4"/>
      <c r="G5178" s="4"/>
      <c r="H5178" s="4"/>
      <c r="I5178" s="4"/>
      <c r="J5178" s="18">
        <v>0.0</v>
      </c>
      <c r="K5178" s="4" t="s">
        <v>8494</v>
      </c>
      <c r="L5178" s="19" t="s">
        <v>8494</v>
      </c>
      <c r="M5178" s="20" t="s">
        <v>8494</v>
      </c>
    </row>
    <row r="5179">
      <c r="A5179" s="6"/>
      <c r="B5179" s="6"/>
      <c r="C5179" s="6"/>
      <c r="D5179" s="4">
        <v>46.6029796875204</v>
      </c>
      <c r="E5179" s="4" t="s">
        <v>5746</v>
      </c>
      <c r="F5179" s="4"/>
      <c r="G5179" s="4"/>
      <c r="H5179" s="4"/>
      <c r="I5179" s="4"/>
      <c r="J5179" s="18">
        <v>0.0</v>
      </c>
      <c r="K5179" s="4" t="s">
        <v>8494</v>
      </c>
      <c r="L5179" s="19" t="s">
        <v>8494</v>
      </c>
      <c r="M5179" s="20" t="s">
        <v>8494</v>
      </c>
    </row>
    <row r="5180">
      <c r="A5180" s="6"/>
      <c r="B5180" s="6"/>
      <c r="C5180" s="6"/>
      <c r="D5180" s="4">
        <v>45.58193227123029</v>
      </c>
      <c r="E5180" s="4" t="s">
        <v>2826</v>
      </c>
      <c r="F5180" s="4"/>
      <c r="G5180" s="4"/>
      <c r="H5180" s="4"/>
      <c r="I5180" s="4"/>
      <c r="J5180" s="18">
        <v>0.0</v>
      </c>
      <c r="K5180" s="4" t="s">
        <v>8494</v>
      </c>
      <c r="L5180" s="19" t="s">
        <v>8494</v>
      </c>
      <c r="M5180" s="20" t="s">
        <v>8494</v>
      </c>
    </row>
    <row r="5181">
      <c r="A5181" s="6"/>
      <c r="B5181" s="6"/>
      <c r="C5181" s="6"/>
      <c r="D5181" s="4">
        <v>98.7436585221587</v>
      </c>
      <c r="E5181" s="4" t="s">
        <v>5222</v>
      </c>
      <c r="F5181" s="4"/>
      <c r="G5181" s="4"/>
      <c r="H5181" s="4"/>
      <c r="I5181" s="4"/>
      <c r="J5181" s="18">
        <v>0.0</v>
      </c>
      <c r="K5181" s="4" t="s">
        <v>8494</v>
      </c>
      <c r="L5181" s="19" t="s">
        <v>8494</v>
      </c>
      <c r="M5181" s="20" t="s">
        <v>8494</v>
      </c>
    </row>
    <row r="5182">
      <c r="A5182" s="6"/>
      <c r="B5182" s="6"/>
      <c r="C5182" s="6"/>
      <c r="D5182" s="4">
        <v>65.1041860726253</v>
      </c>
      <c r="E5182" s="4" t="s">
        <v>5443</v>
      </c>
      <c r="F5182" s="4"/>
      <c r="G5182" s="4"/>
      <c r="H5182" s="4"/>
      <c r="I5182" s="4"/>
      <c r="J5182" s="18">
        <v>0.0</v>
      </c>
      <c r="K5182" s="4" t="s">
        <v>8494</v>
      </c>
      <c r="L5182" s="19" t="s">
        <v>8494</v>
      </c>
      <c r="M5182" s="20" t="s">
        <v>8494</v>
      </c>
    </row>
    <row r="5183">
      <c r="A5183" s="6"/>
      <c r="B5183" s="6"/>
      <c r="C5183" s="6"/>
      <c r="D5183" s="4">
        <v>186.01196020749998</v>
      </c>
      <c r="E5183" s="4" t="s">
        <v>591</v>
      </c>
      <c r="F5183" s="4"/>
      <c r="G5183" s="4"/>
      <c r="H5183" s="4"/>
      <c r="I5183" s="4"/>
      <c r="J5183" s="18">
        <v>0.0</v>
      </c>
      <c r="K5183" s="4" t="s">
        <v>8494</v>
      </c>
      <c r="L5183" s="19" t="s">
        <v>8494</v>
      </c>
      <c r="M5183" s="20" t="s">
        <v>8494</v>
      </c>
    </row>
    <row r="5184">
      <c r="A5184" s="6"/>
      <c r="B5184" s="6"/>
      <c r="C5184" s="6"/>
      <c r="D5184" s="4">
        <v>9.30059801037504</v>
      </c>
      <c r="E5184" s="4" t="s">
        <v>2428</v>
      </c>
      <c r="F5184" s="4"/>
      <c r="G5184" s="4"/>
      <c r="H5184" s="4"/>
      <c r="I5184" s="4"/>
      <c r="J5184" s="18">
        <v>0.0</v>
      </c>
      <c r="K5184" s="4" t="s">
        <v>8494</v>
      </c>
      <c r="L5184" s="19" t="s">
        <v>8494</v>
      </c>
      <c r="M5184" s="20" t="s">
        <v>8494</v>
      </c>
    </row>
    <row r="5185">
      <c r="A5185" s="6"/>
      <c r="B5185" s="6"/>
      <c r="C5185" s="6"/>
      <c r="D5185" s="4">
        <v>139.508970155625</v>
      </c>
      <c r="E5185" s="4" t="s">
        <v>2071</v>
      </c>
      <c r="F5185" s="4"/>
      <c r="G5185" s="4"/>
      <c r="H5185" s="4"/>
      <c r="I5185" s="4"/>
      <c r="J5185" s="18">
        <v>0.0</v>
      </c>
      <c r="K5185" s="4" t="s">
        <v>8494</v>
      </c>
      <c r="L5185" s="19" t="s">
        <v>8494</v>
      </c>
      <c r="M5185" s="20" t="s">
        <v>8494</v>
      </c>
    </row>
    <row r="5186">
      <c r="A5186" s="6"/>
      <c r="B5186" s="6"/>
      <c r="C5186" s="6"/>
      <c r="D5186" s="4">
        <v>37.0831658910415</v>
      </c>
      <c r="E5186" s="4" t="s">
        <v>7524</v>
      </c>
      <c r="F5186" s="4"/>
      <c r="G5186" s="4"/>
      <c r="H5186" s="4"/>
      <c r="I5186" s="4"/>
      <c r="J5186" s="18">
        <v>0.0</v>
      </c>
      <c r="K5186" s="4" t="s">
        <v>8494</v>
      </c>
      <c r="L5186" s="19" t="s">
        <v>8494</v>
      </c>
      <c r="M5186" s="20" t="s">
        <v>8494</v>
      </c>
    </row>
    <row r="5187">
      <c r="A5187" s="6"/>
      <c r="B5187" s="6"/>
      <c r="C5187" s="6"/>
      <c r="D5187" s="4">
        <v>9.30059801037504</v>
      </c>
      <c r="E5187" s="4" t="s">
        <v>5282</v>
      </c>
      <c r="F5187" s="4"/>
      <c r="G5187" s="4"/>
      <c r="H5187" s="4"/>
      <c r="I5187" s="4"/>
      <c r="J5187" s="18">
        <v>0.0</v>
      </c>
      <c r="K5187" s="4" t="s">
        <v>8494</v>
      </c>
      <c r="L5187" s="19" t="s">
        <v>8494</v>
      </c>
      <c r="M5187" s="20" t="s">
        <v>8494</v>
      </c>
    </row>
    <row r="5188">
      <c r="A5188" s="6"/>
      <c r="B5188" s="6"/>
      <c r="C5188" s="6"/>
      <c r="D5188" s="4">
        <v>37.5744159619151</v>
      </c>
      <c r="E5188" s="4" t="s">
        <v>7526</v>
      </c>
      <c r="F5188" s="4"/>
      <c r="G5188" s="4"/>
      <c r="H5188" s="4"/>
      <c r="I5188" s="4"/>
      <c r="J5188" s="18">
        <v>0.0</v>
      </c>
      <c r="K5188" s="4" t="s">
        <v>8494</v>
      </c>
      <c r="L5188" s="19" t="s">
        <v>8494</v>
      </c>
      <c r="M5188" s="20" t="s">
        <v>8494</v>
      </c>
    </row>
    <row r="5189">
      <c r="A5189" s="6"/>
      <c r="B5189" s="6"/>
      <c r="C5189" s="6"/>
      <c r="D5189" s="4">
        <v>53.5714445397602</v>
      </c>
      <c r="E5189" s="4" t="s">
        <v>7528</v>
      </c>
      <c r="F5189" s="4"/>
      <c r="G5189" s="4"/>
      <c r="H5189" s="4"/>
      <c r="I5189" s="4"/>
      <c r="J5189" s="18">
        <v>0.0</v>
      </c>
      <c r="K5189" s="4" t="s">
        <v>8494</v>
      </c>
      <c r="L5189" s="19" t="s">
        <v>8494</v>
      </c>
      <c r="M5189" s="20" t="s">
        <v>8494</v>
      </c>
    </row>
    <row r="5190">
      <c r="A5190" s="6"/>
      <c r="B5190" s="6"/>
      <c r="C5190" s="6"/>
      <c r="D5190" s="4">
        <v>31.1411012174595</v>
      </c>
      <c r="E5190" s="4" t="s">
        <v>3701</v>
      </c>
      <c r="F5190" s="4"/>
      <c r="G5190" s="4"/>
      <c r="H5190" s="4"/>
      <c r="I5190" s="4"/>
      <c r="J5190" s="18">
        <v>0.0</v>
      </c>
      <c r="K5190" s="4" t="s">
        <v>8494</v>
      </c>
      <c r="L5190" s="19" t="s">
        <v>8494</v>
      </c>
      <c r="M5190" s="20" t="s">
        <v>8494</v>
      </c>
    </row>
    <row r="5191">
      <c r="A5191" s="6"/>
      <c r="B5191" s="6"/>
      <c r="C5191" s="6"/>
      <c r="D5191" s="4">
        <v>46.6890020120827</v>
      </c>
      <c r="E5191" s="4" t="s">
        <v>7531</v>
      </c>
      <c r="F5191" s="4"/>
      <c r="G5191" s="4"/>
      <c r="H5191" s="4"/>
      <c r="I5191" s="4"/>
      <c r="J5191" s="18">
        <v>0.0</v>
      </c>
      <c r="K5191" s="4" t="s">
        <v>8494</v>
      </c>
      <c r="L5191" s="19" t="s">
        <v>8494</v>
      </c>
      <c r="M5191" s="20" t="s">
        <v>8494</v>
      </c>
    </row>
    <row r="5192">
      <c r="A5192" s="6"/>
      <c r="B5192" s="6"/>
      <c r="C5192" s="6"/>
      <c r="D5192" s="4">
        <v>9.30059801037504</v>
      </c>
      <c r="E5192" s="4" t="s">
        <v>4635</v>
      </c>
      <c r="F5192" s="4"/>
      <c r="G5192" s="4"/>
      <c r="H5192" s="4"/>
      <c r="I5192" s="4"/>
      <c r="J5192" s="18">
        <v>0.0</v>
      </c>
      <c r="K5192" s="4" t="s">
        <v>8494</v>
      </c>
      <c r="L5192" s="19" t="s">
        <v>8494</v>
      </c>
      <c r="M5192" s="20" t="s">
        <v>8494</v>
      </c>
    </row>
    <row r="5193">
      <c r="A5193" s="6"/>
      <c r="B5193" s="6"/>
      <c r="C5193" s="6"/>
      <c r="D5193" s="4">
        <v>10.0074435233843</v>
      </c>
      <c r="E5193" s="4" t="s">
        <v>7533</v>
      </c>
      <c r="F5193" s="4"/>
      <c r="G5193" s="4"/>
      <c r="H5193" s="4"/>
      <c r="I5193" s="4"/>
      <c r="J5193" s="18">
        <v>0.0</v>
      </c>
      <c r="K5193" s="4" t="s">
        <v>8494</v>
      </c>
      <c r="L5193" s="19" t="s">
        <v>8494</v>
      </c>
      <c r="M5193" s="20" t="s">
        <v>8494</v>
      </c>
    </row>
    <row r="5194">
      <c r="A5194" s="6"/>
      <c r="B5194" s="6"/>
      <c r="C5194" s="6"/>
      <c r="D5194" s="4">
        <v>9.30059801037504</v>
      </c>
      <c r="E5194" s="4" t="s">
        <v>3607</v>
      </c>
      <c r="F5194" s="4"/>
      <c r="G5194" s="4"/>
      <c r="H5194" s="4"/>
      <c r="I5194" s="4"/>
      <c r="J5194" s="18">
        <v>0.0</v>
      </c>
      <c r="K5194" s="4" t="s">
        <v>8494</v>
      </c>
      <c r="L5194" s="19" t="s">
        <v>8494</v>
      </c>
      <c r="M5194" s="20" t="s">
        <v>8494</v>
      </c>
    </row>
    <row r="5195">
      <c r="A5195" s="6"/>
      <c r="B5195" s="6"/>
      <c r="C5195" s="6"/>
      <c r="D5195" s="4">
        <v>18.60119602075</v>
      </c>
      <c r="E5195" s="4" t="s">
        <v>7535</v>
      </c>
      <c r="F5195" s="4"/>
      <c r="G5195" s="4"/>
      <c r="H5195" s="4"/>
      <c r="I5195" s="4"/>
      <c r="J5195" s="18">
        <v>0.0</v>
      </c>
      <c r="K5195" s="4" t="s">
        <v>8494</v>
      </c>
      <c r="L5195" s="19" t="s">
        <v>8494</v>
      </c>
      <c r="M5195" s="20" t="s">
        <v>8494</v>
      </c>
    </row>
    <row r="5196">
      <c r="A5196" s="6"/>
      <c r="B5196" s="6"/>
      <c r="C5196" s="6"/>
      <c r="D5196" s="4">
        <v>55.8035880622502</v>
      </c>
      <c r="E5196" s="4" t="s">
        <v>7536</v>
      </c>
      <c r="F5196" s="4"/>
      <c r="G5196" s="4"/>
      <c r="H5196" s="4"/>
      <c r="I5196" s="4"/>
      <c r="J5196" s="18">
        <v>0.0</v>
      </c>
      <c r="K5196" s="4" t="s">
        <v>8494</v>
      </c>
      <c r="L5196" s="19" t="s">
        <v>8494</v>
      </c>
      <c r="M5196" s="20" t="s">
        <v>8494</v>
      </c>
    </row>
    <row r="5197">
      <c r="A5197" s="6"/>
      <c r="B5197" s="6"/>
      <c r="C5197" s="6"/>
      <c r="D5197" s="4">
        <v>56.4379883672348</v>
      </c>
      <c r="E5197" s="4" t="s">
        <v>7537</v>
      </c>
      <c r="F5197" s="4"/>
      <c r="G5197" s="4"/>
      <c r="H5197" s="4"/>
      <c r="I5197" s="4"/>
      <c r="J5197" s="18">
        <v>0.0</v>
      </c>
      <c r="K5197" s="4" t="s">
        <v>8494</v>
      </c>
      <c r="L5197" s="19" t="s">
        <v>8494</v>
      </c>
      <c r="M5197" s="20" t="s">
        <v>8494</v>
      </c>
    </row>
    <row r="5198">
      <c r="A5198" s="6"/>
      <c r="B5198" s="6"/>
      <c r="C5198" s="6"/>
      <c r="D5198" s="4">
        <v>31.8135587694847</v>
      </c>
      <c r="E5198" s="4" t="s">
        <v>3060</v>
      </c>
      <c r="F5198" s="4"/>
      <c r="G5198" s="4"/>
      <c r="H5198" s="4"/>
      <c r="I5198" s="4"/>
      <c r="J5198" s="18">
        <v>0.0</v>
      </c>
      <c r="K5198" s="4" t="s">
        <v>8494</v>
      </c>
      <c r="L5198" s="19" t="s">
        <v>8494</v>
      </c>
      <c r="M5198" s="20" t="s">
        <v>8494</v>
      </c>
    </row>
    <row r="5199">
      <c r="A5199" s="6"/>
      <c r="B5199" s="6"/>
      <c r="C5199" s="6"/>
      <c r="D5199" s="4">
        <v>55.1620776535838</v>
      </c>
      <c r="E5199" s="4" t="s">
        <v>4746</v>
      </c>
      <c r="F5199" s="4"/>
      <c r="G5199" s="4"/>
      <c r="H5199" s="4"/>
      <c r="I5199" s="4"/>
      <c r="J5199" s="18">
        <v>0.0</v>
      </c>
      <c r="K5199" s="4" t="s">
        <v>8494</v>
      </c>
      <c r="L5199" s="19" t="s">
        <v>8494</v>
      </c>
      <c r="M5199" s="20" t="s">
        <v>8494</v>
      </c>
    </row>
    <row r="5200">
      <c r="A5200" s="6"/>
      <c r="B5200" s="6"/>
      <c r="C5200" s="6"/>
      <c r="D5200" s="4">
        <v>9.30059801037504</v>
      </c>
      <c r="E5200" s="4" t="s">
        <v>2146</v>
      </c>
      <c r="F5200" s="4"/>
      <c r="G5200" s="4"/>
      <c r="H5200" s="4"/>
      <c r="I5200" s="4"/>
      <c r="J5200" s="18">
        <v>0.0</v>
      </c>
      <c r="K5200" s="4" t="s">
        <v>8494</v>
      </c>
      <c r="L5200" s="19" t="s">
        <v>8494</v>
      </c>
      <c r="M5200" s="20" t="s">
        <v>8494</v>
      </c>
    </row>
    <row r="5201">
      <c r="A5201" s="6"/>
      <c r="B5201" s="6"/>
      <c r="C5201" s="6"/>
      <c r="D5201" s="4">
        <v>83.7053820933753</v>
      </c>
      <c r="E5201" s="4" t="s">
        <v>2608</v>
      </c>
      <c r="F5201" s="4"/>
      <c r="G5201" s="4"/>
      <c r="H5201" s="4"/>
      <c r="I5201" s="4"/>
      <c r="J5201" s="18">
        <v>0.0</v>
      </c>
      <c r="K5201" s="4" t="s">
        <v>8494</v>
      </c>
      <c r="L5201" s="19" t="s">
        <v>8494</v>
      </c>
      <c r="M5201" s="20" t="s">
        <v>8494</v>
      </c>
    </row>
    <row r="5202">
      <c r="A5202" s="6"/>
      <c r="B5202" s="6"/>
      <c r="C5202" s="6"/>
      <c r="D5202" s="4">
        <v>46.1449209141238</v>
      </c>
      <c r="E5202" s="4" t="s">
        <v>2929</v>
      </c>
      <c r="F5202" s="4"/>
      <c r="G5202" s="4"/>
      <c r="H5202" s="4"/>
      <c r="I5202" s="4"/>
      <c r="J5202" s="18">
        <v>0.0</v>
      </c>
      <c r="K5202" s="4" t="s">
        <v>8494</v>
      </c>
      <c r="L5202" s="19" t="s">
        <v>8494</v>
      </c>
      <c r="M5202" s="20" t="s">
        <v>8494</v>
      </c>
    </row>
    <row r="5203">
      <c r="A5203" s="6"/>
      <c r="B5203" s="6"/>
      <c r="C5203" s="6"/>
      <c r="D5203" s="4">
        <v>186.01196020749998</v>
      </c>
      <c r="E5203" s="4" t="s">
        <v>3989</v>
      </c>
      <c r="F5203" s="4"/>
      <c r="G5203" s="4"/>
      <c r="H5203" s="4"/>
      <c r="I5203" s="4"/>
      <c r="J5203" s="18">
        <v>0.0</v>
      </c>
      <c r="K5203" s="4" t="s">
        <v>8494</v>
      </c>
      <c r="L5203" s="19" t="s">
        <v>8494</v>
      </c>
      <c r="M5203" s="20" t="s">
        <v>8494</v>
      </c>
    </row>
    <row r="5204">
      <c r="A5204" s="6"/>
      <c r="B5204" s="6"/>
      <c r="C5204" s="6"/>
      <c r="D5204" s="4">
        <v>186.01196020749998</v>
      </c>
      <c r="E5204" s="4" t="s">
        <v>117</v>
      </c>
      <c r="F5204" s="4"/>
      <c r="G5204" s="4"/>
      <c r="H5204" s="4"/>
      <c r="I5204" s="4"/>
      <c r="J5204" s="18">
        <v>0.0</v>
      </c>
      <c r="K5204" s="4" t="s">
        <v>8494</v>
      </c>
      <c r="L5204" s="19" t="s">
        <v>8494</v>
      </c>
      <c r="M5204" s="20" t="s">
        <v>8494</v>
      </c>
    </row>
    <row r="5205">
      <c r="A5205" s="6"/>
      <c r="B5205" s="6"/>
      <c r="C5205" s="6"/>
      <c r="D5205" s="4">
        <v>9.30059801037504</v>
      </c>
      <c r="E5205" s="4" t="s">
        <v>3445</v>
      </c>
      <c r="F5205" s="4"/>
      <c r="G5205" s="4"/>
      <c r="H5205" s="4"/>
      <c r="I5205" s="4"/>
      <c r="J5205" s="18">
        <v>0.0</v>
      </c>
      <c r="K5205" s="4" t="s">
        <v>8494</v>
      </c>
      <c r="L5205" s="19" t="s">
        <v>8494</v>
      </c>
      <c r="M5205" s="20" t="s">
        <v>8494</v>
      </c>
    </row>
    <row r="5206">
      <c r="A5206" s="6"/>
      <c r="B5206" s="6"/>
      <c r="C5206" s="6"/>
      <c r="D5206" s="4">
        <v>147.911517492494</v>
      </c>
      <c r="E5206" s="4" t="s">
        <v>6994</v>
      </c>
      <c r="F5206" s="4"/>
      <c r="G5206" s="4"/>
      <c r="H5206" s="4"/>
      <c r="I5206" s="4"/>
      <c r="J5206" s="18">
        <v>0.0</v>
      </c>
      <c r="K5206" s="4" t="s">
        <v>8494</v>
      </c>
      <c r="L5206" s="19" t="s">
        <v>8494</v>
      </c>
      <c r="M5206" s="20" t="s">
        <v>8494</v>
      </c>
    </row>
    <row r="5207">
      <c r="A5207" s="6"/>
      <c r="B5207" s="6"/>
      <c r="C5207" s="6"/>
      <c r="D5207" s="4">
        <v>50.0979902641008</v>
      </c>
      <c r="E5207" s="4" t="s">
        <v>6003</v>
      </c>
      <c r="F5207" s="4"/>
      <c r="G5207" s="4"/>
      <c r="H5207" s="4"/>
      <c r="I5207" s="4"/>
      <c r="J5207" s="18">
        <v>0.0</v>
      </c>
      <c r="K5207" s="4" t="s">
        <v>8494</v>
      </c>
      <c r="L5207" s="19" t="s">
        <v>8494</v>
      </c>
      <c r="M5207" s="20" t="s">
        <v>8494</v>
      </c>
    </row>
    <row r="5208">
      <c r="A5208" s="6"/>
      <c r="B5208" s="6"/>
      <c r="C5208" s="6"/>
      <c r="D5208" s="4">
        <v>9.38169350831993</v>
      </c>
      <c r="E5208" s="4" t="s">
        <v>6163</v>
      </c>
      <c r="F5208" s="4"/>
      <c r="G5208" s="4"/>
      <c r="H5208" s="4"/>
      <c r="I5208" s="4"/>
      <c r="J5208" s="18">
        <v>0.0</v>
      </c>
      <c r="K5208" s="4" t="s">
        <v>8494</v>
      </c>
      <c r="L5208" s="19" t="s">
        <v>8494</v>
      </c>
      <c r="M5208" s="20" t="s">
        <v>8494</v>
      </c>
    </row>
    <row r="5209">
      <c r="A5209" s="6"/>
      <c r="B5209" s="6"/>
      <c r="C5209" s="6"/>
      <c r="D5209" s="4">
        <v>46.1246069831733</v>
      </c>
      <c r="E5209" s="4" t="s">
        <v>6569</v>
      </c>
      <c r="F5209" s="4"/>
      <c r="G5209" s="4"/>
      <c r="H5209" s="4"/>
      <c r="I5209" s="4"/>
      <c r="J5209" s="18">
        <v>0.0</v>
      </c>
      <c r="K5209" s="4" t="s">
        <v>8494</v>
      </c>
      <c r="L5209" s="19" t="s">
        <v>8494</v>
      </c>
      <c r="M5209" s="20" t="s">
        <v>8494</v>
      </c>
    </row>
    <row r="5210">
      <c r="A5210" s="6"/>
      <c r="B5210" s="6"/>
      <c r="C5210" s="6"/>
      <c r="D5210" s="4">
        <v>48.2097381869883</v>
      </c>
      <c r="E5210" s="4" t="s">
        <v>7547</v>
      </c>
      <c r="F5210" s="4"/>
      <c r="G5210" s="4"/>
      <c r="H5210" s="4"/>
      <c r="I5210" s="4"/>
      <c r="J5210" s="18">
        <v>0.0</v>
      </c>
      <c r="K5210" s="4" t="s">
        <v>8494</v>
      </c>
      <c r="L5210" s="19" t="s">
        <v>8494</v>
      </c>
      <c r="M5210" s="20" t="s">
        <v>8494</v>
      </c>
    </row>
    <row r="5211">
      <c r="A5211" s="6"/>
      <c r="B5211" s="6"/>
      <c r="C5211" s="6"/>
      <c r="D5211" s="4">
        <v>120.907789755973</v>
      </c>
      <c r="E5211" s="4" t="s">
        <v>7549</v>
      </c>
      <c r="F5211" s="4"/>
      <c r="G5211" s="4"/>
      <c r="H5211" s="4"/>
      <c r="I5211" s="4"/>
      <c r="J5211" s="18">
        <v>0.0</v>
      </c>
      <c r="K5211" s="4" t="s">
        <v>8494</v>
      </c>
      <c r="L5211" s="19" t="s">
        <v>8494</v>
      </c>
      <c r="M5211" s="20" t="s">
        <v>8494</v>
      </c>
    </row>
    <row r="5212">
      <c r="A5212" s="6"/>
      <c r="B5212" s="6"/>
      <c r="C5212" s="6"/>
      <c r="D5212" s="4">
        <v>186.01196020749998</v>
      </c>
      <c r="E5212" s="4" t="s">
        <v>3261</v>
      </c>
      <c r="F5212" s="4"/>
      <c r="G5212" s="4"/>
      <c r="H5212" s="4"/>
      <c r="I5212" s="4"/>
      <c r="J5212" s="18">
        <v>0.0</v>
      </c>
      <c r="K5212" s="4" t="s">
        <v>8494</v>
      </c>
      <c r="L5212" s="19" t="s">
        <v>8494</v>
      </c>
      <c r="M5212" s="20" t="s">
        <v>8494</v>
      </c>
    </row>
    <row r="5213">
      <c r="A5213" s="6"/>
      <c r="B5213" s="6"/>
      <c r="C5213" s="6"/>
      <c r="D5213" s="4">
        <v>111.623820597281</v>
      </c>
      <c r="E5213" s="4" t="s">
        <v>7551</v>
      </c>
      <c r="F5213" s="4"/>
      <c r="G5213" s="4"/>
      <c r="H5213" s="4"/>
      <c r="I5213" s="4"/>
      <c r="J5213" s="18">
        <v>0.0</v>
      </c>
      <c r="K5213" s="4" t="s">
        <v>8494</v>
      </c>
      <c r="L5213" s="19" t="s">
        <v>8494</v>
      </c>
      <c r="M5213" s="20" t="s">
        <v>8494</v>
      </c>
    </row>
    <row r="5214">
      <c r="A5214" s="6"/>
      <c r="B5214" s="6"/>
      <c r="C5214" s="6"/>
      <c r="D5214" s="4">
        <v>43.3024516489791</v>
      </c>
      <c r="E5214" s="4" t="s">
        <v>3849</v>
      </c>
      <c r="F5214" s="4"/>
      <c r="G5214" s="4"/>
      <c r="H5214" s="4"/>
      <c r="I5214" s="4"/>
      <c r="J5214" s="18">
        <v>0.0</v>
      </c>
      <c r="K5214" s="4" t="s">
        <v>8494</v>
      </c>
      <c r="L5214" s="19" t="s">
        <v>8494</v>
      </c>
      <c r="M5214" s="20" t="s">
        <v>8494</v>
      </c>
    </row>
    <row r="5215">
      <c r="A5215" s="6"/>
      <c r="B5215" s="6"/>
      <c r="C5215" s="6"/>
      <c r="D5215" s="4">
        <v>55.8035880622502</v>
      </c>
      <c r="E5215" s="4" t="s">
        <v>1701</v>
      </c>
      <c r="F5215" s="4"/>
      <c r="G5215" s="4"/>
      <c r="H5215" s="4"/>
      <c r="I5215" s="4"/>
      <c r="J5215" s="18">
        <v>0.0</v>
      </c>
      <c r="K5215" s="4" t="s">
        <v>8494</v>
      </c>
      <c r="L5215" s="19" t="s">
        <v>8494</v>
      </c>
      <c r="M5215" s="20" t="s">
        <v>8494</v>
      </c>
    </row>
    <row r="5216">
      <c r="A5216" s="6"/>
      <c r="B5216" s="6"/>
      <c r="C5216" s="6"/>
      <c r="D5216" s="4">
        <v>6.519471003849921</v>
      </c>
      <c r="E5216" s="4" t="s">
        <v>5780</v>
      </c>
      <c r="F5216" s="4"/>
      <c r="G5216" s="4"/>
      <c r="H5216" s="4"/>
      <c r="I5216" s="4"/>
      <c r="J5216" s="18">
        <v>0.0</v>
      </c>
      <c r="K5216" s="4" t="s">
        <v>8494</v>
      </c>
      <c r="L5216" s="19" t="s">
        <v>8494</v>
      </c>
      <c r="M5216" s="20" t="s">
        <v>8494</v>
      </c>
    </row>
    <row r="5217">
      <c r="A5217" s="6"/>
      <c r="B5217" s="6"/>
      <c r="C5217" s="6"/>
      <c r="D5217" s="4">
        <v>30.454701023482798</v>
      </c>
      <c r="E5217" s="4" t="s">
        <v>6101</v>
      </c>
      <c r="F5217" s="4"/>
      <c r="G5217" s="4"/>
      <c r="H5217" s="4"/>
      <c r="I5217" s="4"/>
      <c r="J5217" s="18">
        <v>0.0</v>
      </c>
      <c r="K5217" s="4" t="s">
        <v>8494</v>
      </c>
      <c r="L5217" s="19" t="s">
        <v>8494</v>
      </c>
      <c r="M5217" s="20" t="s">
        <v>8494</v>
      </c>
    </row>
    <row r="5218">
      <c r="A5218" s="6"/>
      <c r="B5218" s="6"/>
      <c r="C5218" s="6"/>
      <c r="D5218" s="4">
        <v>186.01196020749998</v>
      </c>
      <c r="E5218" s="4" t="s">
        <v>408</v>
      </c>
      <c r="F5218" s="4"/>
      <c r="G5218" s="4"/>
      <c r="H5218" s="4"/>
      <c r="I5218" s="4"/>
      <c r="J5218" s="18">
        <v>0.0</v>
      </c>
      <c r="K5218" s="4" t="s">
        <v>8494</v>
      </c>
      <c r="L5218" s="19" t="s">
        <v>8494</v>
      </c>
      <c r="M5218" s="20" t="s">
        <v>8494</v>
      </c>
    </row>
    <row r="5219">
      <c r="A5219" s="6"/>
      <c r="B5219" s="6"/>
      <c r="C5219" s="6"/>
      <c r="D5219" s="4">
        <v>9.48660997058254</v>
      </c>
      <c r="E5219" s="4" t="s">
        <v>1876</v>
      </c>
      <c r="F5219" s="4"/>
      <c r="G5219" s="4"/>
      <c r="H5219" s="4"/>
      <c r="I5219" s="4"/>
      <c r="J5219" s="18">
        <v>0.0</v>
      </c>
      <c r="K5219" s="4" t="s">
        <v>8494</v>
      </c>
      <c r="L5219" s="19" t="s">
        <v>8494</v>
      </c>
      <c r="M5219" s="20" t="s">
        <v>8494</v>
      </c>
    </row>
    <row r="5220">
      <c r="A5220" s="6"/>
      <c r="B5220" s="6"/>
      <c r="C5220" s="6"/>
      <c r="D5220" s="4">
        <v>78.333572510214</v>
      </c>
      <c r="E5220" s="4" t="s">
        <v>5582</v>
      </c>
      <c r="F5220" s="4"/>
      <c r="G5220" s="4"/>
      <c r="H5220" s="4"/>
      <c r="I5220" s="4"/>
      <c r="J5220" s="18">
        <v>0.0</v>
      </c>
      <c r="K5220" s="4" t="s">
        <v>8494</v>
      </c>
      <c r="L5220" s="19" t="s">
        <v>8494</v>
      </c>
      <c r="M5220" s="20" t="s">
        <v>8494</v>
      </c>
    </row>
    <row r="5221">
      <c r="A5221" s="6"/>
      <c r="B5221" s="6"/>
      <c r="C5221" s="6"/>
      <c r="D5221" s="4">
        <v>186.01196020749998</v>
      </c>
      <c r="E5221" s="4" t="s">
        <v>1573</v>
      </c>
      <c r="F5221" s="4"/>
      <c r="G5221" s="4"/>
      <c r="H5221" s="4"/>
      <c r="I5221" s="4"/>
      <c r="J5221" s="18">
        <v>0.0</v>
      </c>
      <c r="K5221" s="4" t="s">
        <v>8494</v>
      </c>
      <c r="L5221" s="19" t="s">
        <v>8494</v>
      </c>
      <c r="M5221" s="20" t="s">
        <v>8494</v>
      </c>
    </row>
    <row r="5222">
      <c r="A5222" s="6"/>
      <c r="B5222" s="6"/>
      <c r="C5222" s="6"/>
      <c r="D5222" s="4">
        <v>0.0780692476570333</v>
      </c>
      <c r="E5222" s="4" t="s">
        <v>5885</v>
      </c>
      <c r="F5222" s="4"/>
      <c r="G5222" s="4"/>
      <c r="H5222" s="4"/>
      <c r="I5222" s="4"/>
      <c r="J5222" s="18">
        <v>0.0</v>
      </c>
      <c r="K5222" s="4" t="s">
        <v>8494</v>
      </c>
      <c r="L5222" s="19" t="s">
        <v>8494</v>
      </c>
      <c r="M5222" s="20" t="s">
        <v>8494</v>
      </c>
    </row>
    <row r="5223">
      <c r="A5223" s="6"/>
      <c r="B5223" s="6"/>
      <c r="C5223" s="6"/>
      <c r="D5223" s="4">
        <v>32.2419532446488</v>
      </c>
      <c r="E5223" s="4" t="s">
        <v>6383</v>
      </c>
      <c r="F5223" s="4"/>
      <c r="G5223" s="4"/>
      <c r="H5223" s="4"/>
      <c r="I5223" s="4"/>
      <c r="J5223" s="18">
        <v>0.0</v>
      </c>
      <c r="K5223" s="4" t="s">
        <v>8494</v>
      </c>
      <c r="L5223" s="19" t="s">
        <v>8494</v>
      </c>
      <c r="M5223" s="20" t="s">
        <v>8494</v>
      </c>
    </row>
    <row r="5224">
      <c r="A5224" s="6"/>
      <c r="B5224" s="6"/>
      <c r="C5224" s="6"/>
      <c r="D5224" s="4">
        <v>46.5029900518752</v>
      </c>
      <c r="E5224" s="4" t="s">
        <v>7096</v>
      </c>
      <c r="F5224" s="4"/>
      <c r="G5224" s="4"/>
      <c r="H5224" s="4"/>
      <c r="I5224" s="4"/>
      <c r="J5224" s="18">
        <v>0.0</v>
      </c>
      <c r="K5224" s="4" t="s">
        <v>8494</v>
      </c>
      <c r="L5224" s="19" t="s">
        <v>8494</v>
      </c>
      <c r="M5224" s="20" t="s">
        <v>8494</v>
      </c>
    </row>
    <row r="5225">
      <c r="A5225" s="6"/>
      <c r="B5225" s="6"/>
      <c r="C5225" s="6"/>
      <c r="D5225" s="4">
        <v>18.7223816314633</v>
      </c>
      <c r="E5225" s="4" t="s">
        <v>1985</v>
      </c>
      <c r="F5225" s="4"/>
      <c r="G5225" s="4"/>
      <c r="H5225" s="4"/>
      <c r="I5225" s="4"/>
      <c r="J5225" s="18">
        <v>0.0</v>
      </c>
      <c r="K5225" s="4" t="s">
        <v>8494</v>
      </c>
      <c r="L5225" s="19" t="s">
        <v>8494</v>
      </c>
      <c r="M5225" s="20" t="s">
        <v>8494</v>
      </c>
    </row>
    <row r="5226">
      <c r="A5226" s="6"/>
      <c r="B5226" s="6"/>
      <c r="C5226" s="6"/>
      <c r="D5226" s="4">
        <v>9.67262193079004</v>
      </c>
      <c r="E5226" s="4" t="s">
        <v>5912</v>
      </c>
      <c r="F5226" s="4"/>
      <c r="G5226" s="4"/>
      <c r="H5226" s="4"/>
      <c r="I5226" s="4"/>
      <c r="J5226" s="18">
        <v>0.0</v>
      </c>
      <c r="K5226" s="4" t="s">
        <v>8494</v>
      </c>
      <c r="L5226" s="19" t="s">
        <v>8494</v>
      </c>
      <c r="M5226" s="20" t="s">
        <v>8494</v>
      </c>
    </row>
    <row r="5227">
      <c r="A5227" s="6"/>
      <c r="B5227" s="6"/>
      <c r="C5227" s="6"/>
      <c r="D5227" s="4">
        <v>57.648826707508604</v>
      </c>
      <c r="E5227" s="4" t="s">
        <v>5461</v>
      </c>
      <c r="F5227" s="4"/>
      <c r="G5227" s="4"/>
      <c r="H5227" s="4"/>
      <c r="I5227" s="4"/>
      <c r="J5227" s="18">
        <v>0.0</v>
      </c>
      <c r="K5227" s="4" t="s">
        <v>8494</v>
      </c>
      <c r="L5227" s="19" t="s">
        <v>8494</v>
      </c>
      <c r="M5227" s="20" t="s">
        <v>8494</v>
      </c>
    </row>
    <row r="5228">
      <c r="A5228" s="6"/>
      <c r="B5228" s="6"/>
      <c r="C5228" s="6"/>
      <c r="D5228" s="4">
        <v>186.01196020749998</v>
      </c>
      <c r="E5228" s="4" t="s">
        <v>872</v>
      </c>
      <c r="F5228" s="4"/>
      <c r="G5228" s="4"/>
      <c r="H5228" s="4"/>
      <c r="I5228" s="4"/>
      <c r="J5228" s="18">
        <v>0.0</v>
      </c>
      <c r="K5228" s="4" t="s">
        <v>8494</v>
      </c>
      <c r="L5228" s="19" t="s">
        <v>8494</v>
      </c>
      <c r="M5228" s="20" t="s">
        <v>8494</v>
      </c>
    </row>
    <row r="5229">
      <c r="A5229" s="6"/>
      <c r="B5229" s="6"/>
      <c r="C5229" s="6"/>
      <c r="D5229" s="4">
        <v>54.654241510901706</v>
      </c>
      <c r="E5229" s="4" t="s">
        <v>7563</v>
      </c>
      <c r="F5229" s="4"/>
      <c r="G5229" s="4"/>
      <c r="H5229" s="4"/>
      <c r="I5229" s="4"/>
      <c r="J5229" s="18">
        <v>0.0</v>
      </c>
      <c r="K5229" s="4" t="s">
        <v>8494</v>
      </c>
      <c r="L5229" s="19" t="s">
        <v>8494</v>
      </c>
      <c r="M5229" s="20" t="s">
        <v>8494</v>
      </c>
    </row>
    <row r="5230">
      <c r="A5230" s="6"/>
      <c r="B5230" s="6"/>
      <c r="C5230" s="6"/>
      <c r="D5230" s="4">
        <v>40.2156020031195</v>
      </c>
      <c r="E5230" s="4" t="s">
        <v>2648</v>
      </c>
      <c r="F5230" s="4"/>
      <c r="G5230" s="4"/>
      <c r="H5230" s="4"/>
      <c r="I5230" s="4"/>
      <c r="J5230" s="18">
        <v>0.0</v>
      </c>
      <c r="K5230" s="4" t="s">
        <v>8494</v>
      </c>
      <c r="L5230" s="19" t="s">
        <v>8494</v>
      </c>
      <c r="M5230" s="20" t="s">
        <v>8494</v>
      </c>
    </row>
    <row r="5231">
      <c r="A5231" s="6"/>
      <c r="B5231" s="6"/>
      <c r="C5231" s="6"/>
      <c r="D5231" s="4">
        <v>93.48536805133169</v>
      </c>
      <c r="E5231" s="4" t="s">
        <v>7566</v>
      </c>
      <c r="F5231" s="4"/>
      <c r="G5231" s="4"/>
      <c r="H5231" s="4"/>
      <c r="I5231" s="4"/>
      <c r="J5231" s="18">
        <v>0.0</v>
      </c>
      <c r="K5231" s="4" t="s">
        <v>8494</v>
      </c>
      <c r="L5231" s="19" t="s">
        <v>8494</v>
      </c>
      <c r="M5231" s="20" t="s">
        <v>8494</v>
      </c>
    </row>
    <row r="5232">
      <c r="A5232" s="6"/>
      <c r="B5232" s="6"/>
      <c r="C5232" s="6"/>
      <c r="D5232" s="4">
        <v>186.01196020749998</v>
      </c>
      <c r="E5232" s="4" t="s">
        <v>3871</v>
      </c>
      <c r="F5232" s="4"/>
      <c r="G5232" s="4"/>
      <c r="H5232" s="4"/>
      <c r="I5232" s="4"/>
      <c r="J5232" s="18">
        <v>0.0</v>
      </c>
      <c r="K5232" s="4" t="s">
        <v>8494</v>
      </c>
      <c r="L5232" s="19" t="s">
        <v>8494</v>
      </c>
      <c r="M5232" s="20" t="s">
        <v>8494</v>
      </c>
    </row>
    <row r="5233">
      <c r="A5233" s="6"/>
      <c r="B5233" s="6"/>
      <c r="C5233" s="6"/>
      <c r="D5233" s="4">
        <v>186.01196020749998</v>
      </c>
      <c r="E5233" s="4" t="s">
        <v>7568</v>
      </c>
      <c r="F5233" s="4"/>
      <c r="G5233" s="4"/>
      <c r="H5233" s="4"/>
      <c r="I5233" s="4"/>
      <c r="J5233" s="18">
        <v>0.0</v>
      </c>
      <c r="K5233" s="4" t="s">
        <v>8494</v>
      </c>
      <c r="L5233" s="19" t="s">
        <v>8494</v>
      </c>
      <c r="M5233" s="20" t="s">
        <v>8494</v>
      </c>
    </row>
    <row r="5234">
      <c r="A5234" s="6"/>
      <c r="B5234" s="6"/>
      <c r="C5234" s="6"/>
      <c r="D5234" s="4">
        <v>26.7165905394522</v>
      </c>
      <c r="E5234" s="4" t="s">
        <v>6992</v>
      </c>
      <c r="F5234" s="4"/>
      <c r="G5234" s="4"/>
      <c r="H5234" s="4"/>
      <c r="I5234" s="4"/>
      <c r="J5234" s="18">
        <v>0.0</v>
      </c>
      <c r="K5234" s="4" t="s">
        <v>8494</v>
      </c>
      <c r="L5234" s="19" t="s">
        <v>8494</v>
      </c>
      <c r="M5234" s="20" t="s">
        <v>8494</v>
      </c>
    </row>
    <row r="5235">
      <c r="A5235" s="6"/>
      <c r="B5235" s="6"/>
      <c r="C5235" s="6"/>
      <c r="D5235" s="4">
        <v>65.1041860726253</v>
      </c>
      <c r="E5235" s="4" t="s">
        <v>6058</v>
      </c>
      <c r="F5235" s="4"/>
      <c r="G5235" s="4"/>
      <c r="H5235" s="4"/>
      <c r="I5235" s="4"/>
      <c r="J5235" s="18">
        <v>0.0</v>
      </c>
      <c r="K5235" s="4" t="s">
        <v>8494</v>
      </c>
      <c r="L5235" s="19" t="s">
        <v>8494</v>
      </c>
      <c r="M5235" s="20" t="s">
        <v>8494</v>
      </c>
    </row>
    <row r="5236">
      <c r="A5236" s="6"/>
      <c r="B5236" s="6"/>
      <c r="C5236" s="6"/>
      <c r="D5236" s="4">
        <v>186.01196020749998</v>
      </c>
      <c r="E5236" s="4" t="s">
        <v>7570</v>
      </c>
      <c r="F5236" s="4"/>
      <c r="G5236" s="4"/>
      <c r="H5236" s="4"/>
      <c r="I5236" s="4"/>
      <c r="J5236" s="18">
        <v>0.0</v>
      </c>
      <c r="K5236" s="4" t="s">
        <v>8494</v>
      </c>
      <c r="L5236" s="19" t="s">
        <v>8494</v>
      </c>
      <c r="M5236" s="20" t="s">
        <v>8494</v>
      </c>
    </row>
    <row r="5237">
      <c r="A5237" s="6"/>
      <c r="B5237" s="6"/>
      <c r="C5237" s="6"/>
      <c r="D5237" s="4">
        <v>185.489169795792</v>
      </c>
      <c r="E5237" s="4" t="s">
        <v>3669</v>
      </c>
      <c r="F5237" s="4"/>
      <c r="G5237" s="4"/>
      <c r="H5237" s="4"/>
      <c r="I5237" s="4"/>
      <c r="J5237" s="18">
        <v>0.0</v>
      </c>
      <c r="K5237" s="4" t="s">
        <v>8494</v>
      </c>
      <c r="L5237" s="19" t="s">
        <v>8494</v>
      </c>
      <c r="M5237" s="20" t="s">
        <v>8494</v>
      </c>
    </row>
    <row r="5238">
      <c r="A5238" s="6"/>
      <c r="B5238" s="6"/>
      <c r="C5238" s="6"/>
      <c r="D5238" s="4">
        <v>52.0833488581002</v>
      </c>
      <c r="E5238" s="4" t="s">
        <v>7572</v>
      </c>
      <c r="F5238" s="4"/>
      <c r="G5238" s="4"/>
      <c r="H5238" s="4"/>
      <c r="I5238" s="4"/>
      <c r="J5238" s="18">
        <v>0.0</v>
      </c>
      <c r="K5238" s="4" t="s">
        <v>8494</v>
      </c>
      <c r="L5238" s="19" t="s">
        <v>8494</v>
      </c>
      <c r="M5238" s="20" t="s">
        <v>8494</v>
      </c>
    </row>
    <row r="5239">
      <c r="A5239" s="6"/>
      <c r="B5239" s="6"/>
      <c r="C5239" s="6"/>
      <c r="D5239" s="4">
        <v>23.2514950259376</v>
      </c>
      <c r="E5239" s="4" t="s">
        <v>7574</v>
      </c>
      <c r="F5239" s="4"/>
      <c r="G5239" s="4"/>
      <c r="H5239" s="4"/>
      <c r="I5239" s="4"/>
      <c r="J5239" s="18">
        <v>0.0</v>
      </c>
      <c r="K5239" s="4" t="s">
        <v>8494</v>
      </c>
      <c r="L5239" s="19" t="s">
        <v>8494</v>
      </c>
      <c r="M5239" s="20" t="s">
        <v>8494</v>
      </c>
    </row>
    <row r="5240">
      <c r="A5240" s="6"/>
      <c r="B5240" s="6"/>
      <c r="C5240" s="6"/>
      <c r="D5240" s="4">
        <v>186.01196020749998</v>
      </c>
      <c r="E5240" s="4" t="s">
        <v>5297</v>
      </c>
      <c r="F5240" s="4"/>
      <c r="G5240" s="4"/>
      <c r="H5240" s="4"/>
      <c r="I5240" s="4"/>
      <c r="J5240" s="18">
        <v>0.0</v>
      </c>
      <c r="K5240" s="4" t="s">
        <v>8494</v>
      </c>
      <c r="L5240" s="19" t="s">
        <v>8494</v>
      </c>
      <c r="M5240" s="20" t="s">
        <v>8494</v>
      </c>
    </row>
    <row r="5241">
      <c r="A5241" s="6"/>
      <c r="B5241" s="6"/>
      <c r="C5241" s="6"/>
      <c r="D5241" s="4">
        <v>11.0676758466213</v>
      </c>
      <c r="E5241" s="4" t="s">
        <v>4223</v>
      </c>
      <c r="F5241" s="4"/>
      <c r="G5241" s="4"/>
      <c r="H5241" s="4"/>
      <c r="I5241" s="4"/>
      <c r="J5241" s="18">
        <v>0.0</v>
      </c>
      <c r="K5241" s="4" t="s">
        <v>8494</v>
      </c>
      <c r="L5241" s="19" t="s">
        <v>8494</v>
      </c>
      <c r="M5241" s="20" t="s">
        <v>8494</v>
      </c>
    </row>
    <row r="5242">
      <c r="A5242" s="6"/>
      <c r="B5242" s="6"/>
      <c r="C5242" s="6"/>
      <c r="D5242" s="4">
        <v>6.0208691914366</v>
      </c>
      <c r="E5242" s="4" t="s">
        <v>1554</v>
      </c>
      <c r="F5242" s="4"/>
      <c r="G5242" s="4"/>
      <c r="H5242" s="4"/>
      <c r="I5242" s="4"/>
      <c r="J5242" s="18">
        <v>0.0</v>
      </c>
      <c r="K5242" s="4" t="s">
        <v>8494</v>
      </c>
      <c r="L5242" s="19" t="s">
        <v>8494</v>
      </c>
      <c r="M5242" s="20" t="s">
        <v>8494</v>
      </c>
    </row>
    <row r="5243">
      <c r="A5243" s="6"/>
      <c r="B5243" s="6"/>
      <c r="C5243" s="6"/>
      <c r="D5243" s="4">
        <v>26.0277249243881</v>
      </c>
      <c r="E5243" s="4" t="s">
        <v>5323</v>
      </c>
      <c r="F5243" s="4"/>
      <c r="G5243" s="4"/>
      <c r="H5243" s="4"/>
      <c r="I5243" s="4"/>
      <c r="J5243" s="18">
        <v>0.0</v>
      </c>
      <c r="K5243" s="4" t="s">
        <v>8494</v>
      </c>
      <c r="L5243" s="19" t="s">
        <v>8494</v>
      </c>
      <c r="M5243" s="20" t="s">
        <v>8494</v>
      </c>
    </row>
    <row r="5244">
      <c r="A5244" s="6"/>
      <c r="B5244" s="6"/>
      <c r="C5244" s="6"/>
      <c r="D5244" s="4">
        <v>175.69242325486297</v>
      </c>
      <c r="E5244" s="4" t="s">
        <v>7579</v>
      </c>
      <c r="F5244" s="4"/>
      <c r="G5244" s="4"/>
      <c r="H5244" s="4"/>
      <c r="I5244" s="4"/>
      <c r="J5244" s="18">
        <v>0.0</v>
      </c>
      <c r="K5244" s="4" t="s">
        <v>8494</v>
      </c>
      <c r="L5244" s="19" t="s">
        <v>8494</v>
      </c>
      <c r="M5244" s="20" t="s">
        <v>8494</v>
      </c>
    </row>
    <row r="5245">
      <c r="A5245" s="6"/>
      <c r="B5245" s="6"/>
      <c r="C5245" s="6"/>
      <c r="D5245" s="4">
        <v>16.9666111661314</v>
      </c>
      <c r="E5245" s="4" t="s">
        <v>2014</v>
      </c>
      <c r="F5245" s="4"/>
      <c r="G5245" s="4"/>
      <c r="H5245" s="4"/>
      <c r="I5245" s="4"/>
      <c r="J5245" s="18">
        <v>0.0</v>
      </c>
      <c r="K5245" s="4" t="s">
        <v>8494</v>
      </c>
      <c r="L5245" s="19" t="s">
        <v>8494</v>
      </c>
      <c r="M5245" s="20" t="s">
        <v>8494</v>
      </c>
    </row>
    <row r="5246">
      <c r="A5246" s="6"/>
      <c r="B5246" s="6"/>
      <c r="C5246" s="6"/>
      <c r="D5246" s="4">
        <v>17.7293125275702</v>
      </c>
      <c r="E5246" s="4" t="s">
        <v>3703</v>
      </c>
      <c r="F5246" s="4"/>
      <c r="G5246" s="4"/>
      <c r="H5246" s="4"/>
      <c r="I5246" s="4"/>
      <c r="J5246" s="18">
        <v>0.0</v>
      </c>
      <c r="K5246" s="4" t="s">
        <v>8494</v>
      </c>
      <c r="L5246" s="19" t="s">
        <v>8494</v>
      </c>
      <c r="M5246" s="20" t="s">
        <v>8494</v>
      </c>
    </row>
    <row r="5247">
      <c r="A5247" s="6"/>
      <c r="B5247" s="6"/>
      <c r="C5247" s="6"/>
      <c r="D5247" s="4">
        <v>62.325556009911296</v>
      </c>
      <c r="E5247" s="4" t="s">
        <v>4914</v>
      </c>
      <c r="F5247" s="4"/>
      <c r="G5247" s="4"/>
      <c r="H5247" s="4"/>
      <c r="I5247" s="4"/>
      <c r="J5247" s="18">
        <v>0.0</v>
      </c>
      <c r="K5247" s="4" t="s">
        <v>8494</v>
      </c>
      <c r="L5247" s="19" t="s">
        <v>8494</v>
      </c>
      <c r="M5247" s="20" t="s">
        <v>8494</v>
      </c>
    </row>
    <row r="5248">
      <c r="A5248" s="6"/>
      <c r="B5248" s="6"/>
      <c r="C5248" s="6"/>
      <c r="D5248" s="4">
        <v>61.7078094049595</v>
      </c>
      <c r="E5248" s="4" t="s">
        <v>6157</v>
      </c>
      <c r="F5248" s="4"/>
      <c r="G5248" s="4"/>
      <c r="H5248" s="4"/>
      <c r="I5248" s="4"/>
      <c r="J5248" s="18">
        <v>0.0</v>
      </c>
      <c r="K5248" s="4" t="s">
        <v>8494</v>
      </c>
      <c r="L5248" s="19" t="s">
        <v>8494</v>
      </c>
      <c r="M5248" s="20" t="s">
        <v>8494</v>
      </c>
    </row>
    <row r="5249">
      <c r="A5249" s="6"/>
      <c r="B5249" s="6"/>
      <c r="C5249" s="6"/>
      <c r="D5249" s="4">
        <v>186.01196020749998</v>
      </c>
      <c r="E5249" s="4" t="s">
        <v>3189</v>
      </c>
      <c r="F5249" s="4"/>
      <c r="G5249" s="4"/>
      <c r="H5249" s="4"/>
      <c r="I5249" s="4"/>
      <c r="J5249" s="18">
        <v>0.0</v>
      </c>
      <c r="K5249" s="4" t="s">
        <v>8494</v>
      </c>
      <c r="L5249" s="19" t="s">
        <v>8494</v>
      </c>
      <c r="M5249" s="20" t="s">
        <v>8494</v>
      </c>
    </row>
    <row r="5250">
      <c r="A5250" s="6"/>
      <c r="B5250" s="6"/>
      <c r="C5250" s="6"/>
      <c r="D5250" s="4">
        <v>186.01196020749998</v>
      </c>
      <c r="E5250" s="4" t="s">
        <v>5565</v>
      </c>
      <c r="F5250" s="4"/>
      <c r="G5250" s="4"/>
      <c r="H5250" s="4"/>
      <c r="I5250" s="4"/>
      <c r="J5250" s="18">
        <v>0.0</v>
      </c>
      <c r="K5250" s="4" t="s">
        <v>8494</v>
      </c>
      <c r="L5250" s="19" t="s">
        <v>8494</v>
      </c>
      <c r="M5250" s="20" t="s">
        <v>8494</v>
      </c>
    </row>
    <row r="5251">
      <c r="A5251" s="6"/>
      <c r="B5251" s="6"/>
      <c r="C5251" s="6"/>
      <c r="D5251" s="4">
        <v>186.01196020749998</v>
      </c>
      <c r="E5251" s="4" t="s">
        <v>3772</v>
      </c>
      <c r="F5251" s="4"/>
      <c r="G5251" s="4"/>
      <c r="H5251" s="4"/>
      <c r="I5251" s="4"/>
      <c r="J5251" s="18">
        <v>0.0</v>
      </c>
      <c r="K5251" s="4" t="s">
        <v>8494</v>
      </c>
      <c r="L5251" s="19" t="s">
        <v>8494</v>
      </c>
      <c r="M5251" s="20" t="s">
        <v>8494</v>
      </c>
    </row>
    <row r="5252">
      <c r="A5252" s="6"/>
      <c r="B5252" s="6"/>
      <c r="C5252" s="6"/>
      <c r="D5252" s="4">
        <v>55.8035880622502</v>
      </c>
      <c r="E5252" s="4" t="s">
        <v>5961</v>
      </c>
      <c r="F5252" s="4"/>
      <c r="G5252" s="4"/>
      <c r="H5252" s="4"/>
      <c r="I5252" s="4"/>
      <c r="J5252" s="18">
        <v>0.0</v>
      </c>
      <c r="K5252" s="4" t="s">
        <v>8494</v>
      </c>
      <c r="L5252" s="19" t="s">
        <v>8494</v>
      </c>
      <c r="M5252" s="20" t="s">
        <v>8494</v>
      </c>
    </row>
    <row r="5253">
      <c r="A5253" s="6"/>
      <c r="B5253" s="6"/>
      <c r="C5253" s="6"/>
      <c r="D5253" s="4">
        <v>186.01196020749998</v>
      </c>
      <c r="E5253" s="4" t="s">
        <v>1721</v>
      </c>
      <c r="F5253" s="4"/>
      <c r="G5253" s="4"/>
      <c r="H5253" s="4"/>
      <c r="I5253" s="4"/>
      <c r="J5253" s="18">
        <v>0.0</v>
      </c>
      <c r="K5253" s="4" t="s">
        <v>8494</v>
      </c>
      <c r="L5253" s="19" t="s">
        <v>8494</v>
      </c>
      <c r="M5253" s="20" t="s">
        <v>8494</v>
      </c>
    </row>
    <row r="5254">
      <c r="A5254" s="6"/>
      <c r="B5254" s="6"/>
      <c r="C5254" s="6"/>
      <c r="D5254" s="4">
        <v>186.01196020749998</v>
      </c>
      <c r="E5254" s="4" t="s">
        <v>909</v>
      </c>
      <c r="F5254" s="4"/>
      <c r="G5254" s="4"/>
      <c r="H5254" s="4"/>
      <c r="I5254" s="4"/>
      <c r="J5254" s="18">
        <v>0.0</v>
      </c>
      <c r="K5254" s="4" t="s">
        <v>8494</v>
      </c>
      <c r="L5254" s="19" t="s">
        <v>8494</v>
      </c>
      <c r="M5254" s="20" t="s">
        <v>8494</v>
      </c>
    </row>
    <row r="5255">
      <c r="A5255" s="6"/>
      <c r="B5255" s="6"/>
      <c r="C5255" s="6"/>
      <c r="D5255" s="4">
        <v>55.8035880622502</v>
      </c>
      <c r="E5255" s="4" t="s">
        <v>7585</v>
      </c>
      <c r="F5255" s="4"/>
      <c r="G5255" s="4"/>
      <c r="H5255" s="4"/>
      <c r="I5255" s="4"/>
      <c r="J5255" s="18">
        <v>0.0</v>
      </c>
      <c r="K5255" s="4" t="s">
        <v>8494</v>
      </c>
      <c r="L5255" s="19" t="s">
        <v>8494</v>
      </c>
      <c r="M5255" s="20" t="s">
        <v>8494</v>
      </c>
    </row>
    <row r="5256">
      <c r="A5256" s="6"/>
      <c r="B5256" s="6"/>
      <c r="C5256" s="6"/>
      <c r="D5256" s="4">
        <v>75.7571572623079</v>
      </c>
      <c r="E5256" s="4" t="s">
        <v>3250</v>
      </c>
      <c r="F5256" s="4"/>
      <c r="G5256" s="4"/>
      <c r="H5256" s="4"/>
      <c r="I5256" s="4"/>
      <c r="J5256" s="18">
        <v>0.0</v>
      </c>
      <c r="K5256" s="4" t="s">
        <v>8494</v>
      </c>
      <c r="L5256" s="19" t="s">
        <v>8494</v>
      </c>
      <c r="M5256" s="20" t="s">
        <v>8494</v>
      </c>
    </row>
    <row r="5257">
      <c r="A5257" s="6"/>
      <c r="B5257" s="6"/>
      <c r="C5257" s="6"/>
      <c r="D5257" s="4">
        <v>30.918996711671703</v>
      </c>
      <c r="E5257" s="4" t="s">
        <v>7022</v>
      </c>
      <c r="F5257" s="4"/>
      <c r="G5257" s="4"/>
      <c r="H5257" s="4"/>
      <c r="I5257" s="4"/>
      <c r="J5257" s="18">
        <v>0.0</v>
      </c>
      <c r="K5257" s="4" t="s">
        <v>8494</v>
      </c>
      <c r="L5257" s="19" t="s">
        <v>8494</v>
      </c>
      <c r="M5257" s="20" t="s">
        <v>8494</v>
      </c>
    </row>
    <row r="5258">
      <c r="A5258" s="6"/>
      <c r="B5258" s="6"/>
      <c r="C5258" s="6"/>
      <c r="D5258" s="4">
        <v>171.502430971696</v>
      </c>
      <c r="E5258" s="4" t="s">
        <v>475</v>
      </c>
      <c r="F5258" s="4"/>
      <c r="G5258" s="4"/>
      <c r="H5258" s="4"/>
      <c r="I5258" s="4"/>
      <c r="J5258" s="18">
        <v>0.0</v>
      </c>
      <c r="K5258" s="4" t="s">
        <v>8494</v>
      </c>
      <c r="L5258" s="19" t="s">
        <v>8494</v>
      </c>
      <c r="M5258" s="20" t="s">
        <v>8494</v>
      </c>
    </row>
    <row r="5259">
      <c r="A5259" s="6"/>
      <c r="B5259" s="6"/>
      <c r="C5259" s="6"/>
      <c r="D5259" s="4">
        <v>186.01196020749998</v>
      </c>
      <c r="E5259" s="4" t="s">
        <v>7589</v>
      </c>
      <c r="F5259" s="4"/>
      <c r="G5259" s="4"/>
      <c r="H5259" s="4"/>
      <c r="I5259" s="4"/>
      <c r="J5259" s="18">
        <v>0.0</v>
      </c>
      <c r="K5259" s="4" t="s">
        <v>8494</v>
      </c>
      <c r="L5259" s="19" t="s">
        <v>8494</v>
      </c>
      <c r="M5259" s="20" t="s">
        <v>8494</v>
      </c>
    </row>
    <row r="5260">
      <c r="A5260" s="6"/>
      <c r="B5260" s="6"/>
      <c r="C5260" s="6"/>
      <c r="D5260" s="4">
        <v>186.01196020749998</v>
      </c>
      <c r="E5260" s="4" t="s">
        <v>532</v>
      </c>
      <c r="F5260" s="4"/>
      <c r="G5260" s="4"/>
      <c r="H5260" s="4"/>
      <c r="I5260" s="4"/>
      <c r="J5260" s="18">
        <v>0.0</v>
      </c>
      <c r="K5260" s="4" t="s">
        <v>8494</v>
      </c>
      <c r="L5260" s="19" t="s">
        <v>8494</v>
      </c>
      <c r="M5260" s="20" t="s">
        <v>8494</v>
      </c>
    </row>
    <row r="5261">
      <c r="A5261" s="6"/>
      <c r="B5261" s="6"/>
      <c r="C5261" s="6"/>
      <c r="D5261" s="4">
        <v>178.96546139054</v>
      </c>
      <c r="E5261" s="4" t="s">
        <v>369</v>
      </c>
      <c r="F5261" s="4"/>
      <c r="G5261" s="4"/>
      <c r="H5261" s="4"/>
      <c r="I5261" s="4"/>
      <c r="J5261" s="18">
        <v>0.0</v>
      </c>
      <c r="K5261" s="4" t="s">
        <v>8494</v>
      </c>
      <c r="L5261" s="19" t="s">
        <v>8494</v>
      </c>
      <c r="M5261" s="20" t="s">
        <v>8494</v>
      </c>
    </row>
    <row r="5262">
      <c r="A5262" s="6"/>
      <c r="B5262" s="6"/>
      <c r="C5262" s="6"/>
      <c r="D5262" s="4">
        <v>186.01196020749998</v>
      </c>
      <c r="E5262" s="4" t="s">
        <v>5328</v>
      </c>
      <c r="F5262" s="4"/>
      <c r="G5262" s="4"/>
      <c r="H5262" s="4"/>
      <c r="I5262" s="4"/>
      <c r="J5262" s="18">
        <v>0.0</v>
      </c>
      <c r="K5262" s="4" t="s">
        <v>8494</v>
      </c>
      <c r="L5262" s="19" t="s">
        <v>8494</v>
      </c>
      <c r="M5262" s="20" t="s">
        <v>8494</v>
      </c>
    </row>
    <row r="5263">
      <c r="A5263" s="6"/>
      <c r="B5263" s="6"/>
      <c r="C5263" s="6"/>
      <c r="D5263" s="4">
        <v>56.066699910208605</v>
      </c>
      <c r="E5263" s="4" t="s">
        <v>6731</v>
      </c>
      <c r="F5263" s="4"/>
      <c r="G5263" s="4"/>
      <c r="H5263" s="4"/>
      <c r="I5263" s="4"/>
      <c r="J5263" s="18">
        <v>0.0</v>
      </c>
      <c r="K5263" s="4" t="s">
        <v>8494</v>
      </c>
      <c r="L5263" s="19" t="s">
        <v>8494</v>
      </c>
      <c r="M5263" s="20" t="s">
        <v>8494</v>
      </c>
    </row>
    <row r="5264">
      <c r="A5264" s="6"/>
      <c r="B5264" s="6"/>
      <c r="C5264" s="6"/>
      <c r="D5264" s="4">
        <v>46.8192103842279</v>
      </c>
      <c r="E5264" s="4" t="s">
        <v>4002</v>
      </c>
      <c r="F5264" s="4"/>
      <c r="G5264" s="4"/>
      <c r="H5264" s="4"/>
      <c r="I5264" s="4"/>
      <c r="J5264" s="18">
        <v>0.0</v>
      </c>
      <c r="K5264" s="4" t="s">
        <v>8494</v>
      </c>
      <c r="L5264" s="19" t="s">
        <v>8494</v>
      </c>
      <c r="M5264" s="20" t="s">
        <v>8494</v>
      </c>
    </row>
    <row r="5265">
      <c r="A5265" s="6"/>
      <c r="B5265" s="6"/>
      <c r="C5265" s="6"/>
      <c r="D5265" s="4">
        <v>65.0205705558677</v>
      </c>
      <c r="E5265" s="4" t="s">
        <v>6559</v>
      </c>
      <c r="F5265" s="4"/>
      <c r="G5265" s="4"/>
      <c r="H5265" s="4"/>
      <c r="I5265" s="4"/>
      <c r="J5265" s="18">
        <v>0.0</v>
      </c>
      <c r="K5265" s="4" t="s">
        <v>8494</v>
      </c>
      <c r="L5265" s="19" t="s">
        <v>8494</v>
      </c>
      <c r="M5265" s="20" t="s">
        <v>8494</v>
      </c>
    </row>
    <row r="5266">
      <c r="A5266" s="6"/>
      <c r="B5266" s="6"/>
      <c r="C5266" s="6"/>
      <c r="D5266" s="4">
        <v>9.30059801037504</v>
      </c>
      <c r="E5266" s="4" t="s">
        <v>5014</v>
      </c>
      <c r="F5266" s="4"/>
      <c r="G5266" s="4"/>
      <c r="H5266" s="4"/>
      <c r="I5266" s="4"/>
      <c r="J5266" s="18">
        <v>0.0</v>
      </c>
      <c r="K5266" s="4" t="s">
        <v>8494</v>
      </c>
      <c r="L5266" s="19" t="s">
        <v>8494</v>
      </c>
      <c r="M5266" s="20" t="s">
        <v>8494</v>
      </c>
    </row>
    <row r="5267">
      <c r="A5267" s="6"/>
      <c r="B5267" s="6"/>
      <c r="C5267" s="6"/>
      <c r="D5267" s="4">
        <v>181.024375295021</v>
      </c>
      <c r="E5267" s="4" t="s">
        <v>4894</v>
      </c>
      <c r="F5267" s="4"/>
      <c r="G5267" s="4"/>
      <c r="H5267" s="4"/>
      <c r="I5267" s="4"/>
      <c r="J5267" s="18">
        <v>0.0</v>
      </c>
      <c r="K5267" s="4" t="s">
        <v>8494</v>
      </c>
      <c r="L5267" s="19" t="s">
        <v>8494</v>
      </c>
      <c r="M5267" s="20" t="s">
        <v>8494</v>
      </c>
    </row>
    <row r="5268">
      <c r="A5268" s="6"/>
      <c r="B5268" s="6"/>
      <c r="C5268" s="6"/>
      <c r="D5268" s="4">
        <v>9.33594028281446</v>
      </c>
      <c r="E5268" s="4" t="s">
        <v>3081</v>
      </c>
      <c r="F5268" s="4"/>
      <c r="G5268" s="4"/>
      <c r="H5268" s="4"/>
      <c r="I5268" s="4"/>
      <c r="J5268" s="18">
        <v>0.0</v>
      </c>
      <c r="K5268" s="4" t="s">
        <v>8494</v>
      </c>
      <c r="L5268" s="19" t="s">
        <v>8494</v>
      </c>
      <c r="M5268" s="20" t="s">
        <v>8494</v>
      </c>
    </row>
    <row r="5269">
      <c r="A5269" s="6"/>
      <c r="B5269" s="6"/>
      <c r="C5269" s="6"/>
      <c r="D5269" s="4">
        <v>6.410098355816291</v>
      </c>
      <c r="E5269" s="4" t="s">
        <v>7596</v>
      </c>
      <c r="F5269" s="4"/>
      <c r="G5269" s="4"/>
      <c r="H5269" s="4"/>
      <c r="I5269" s="4"/>
      <c r="J5269" s="18">
        <v>0.0</v>
      </c>
      <c r="K5269" s="4" t="s">
        <v>8494</v>
      </c>
      <c r="L5269" s="19" t="s">
        <v>8494</v>
      </c>
      <c r="M5269" s="20" t="s">
        <v>8494</v>
      </c>
    </row>
    <row r="5270">
      <c r="A5270" s="6"/>
      <c r="B5270" s="6"/>
      <c r="C5270" s="6"/>
      <c r="D5270" s="4">
        <v>26.644353180122398</v>
      </c>
      <c r="E5270" s="4" t="s">
        <v>7598</v>
      </c>
      <c r="F5270" s="4"/>
      <c r="G5270" s="4"/>
      <c r="H5270" s="4"/>
      <c r="I5270" s="4"/>
      <c r="J5270" s="18">
        <v>0.0</v>
      </c>
      <c r="K5270" s="4" t="s">
        <v>8494</v>
      </c>
      <c r="L5270" s="19" t="s">
        <v>8494</v>
      </c>
      <c r="M5270" s="20" t="s">
        <v>8494</v>
      </c>
    </row>
    <row r="5271">
      <c r="A5271" s="6"/>
      <c r="B5271" s="6"/>
      <c r="C5271" s="6"/>
      <c r="D5271" s="4">
        <v>186.01196020749998</v>
      </c>
      <c r="E5271" s="4" t="s">
        <v>6477</v>
      </c>
      <c r="F5271" s="4"/>
      <c r="G5271" s="4"/>
      <c r="H5271" s="4"/>
      <c r="I5271" s="4"/>
      <c r="J5271" s="18">
        <v>0.0</v>
      </c>
      <c r="K5271" s="4" t="s">
        <v>8494</v>
      </c>
      <c r="L5271" s="19" t="s">
        <v>8494</v>
      </c>
      <c r="M5271" s="20" t="s">
        <v>8494</v>
      </c>
    </row>
    <row r="5272">
      <c r="A5272" s="6"/>
      <c r="B5272" s="6"/>
      <c r="C5272" s="6"/>
      <c r="D5272" s="4">
        <v>65.1041860726253</v>
      </c>
      <c r="E5272" s="4" t="s">
        <v>4995</v>
      </c>
      <c r="F5272" s="4"/>
      <c r="G5272" s="4"/>
      <c r="H5272" s="4"/>
      <c r="I5272" s="4"/>
      <c r="J5272" s="18">
        <v>0.0</v>
      </c>
      <c r="K5272" s="4" t="s">
        <v>8494</v>
      </c>
      <c r="L5272" s="19" t="s">
        <v>8494</v>
      </c>
      <c r="M5272" s="20" t="s">
        <v>8494</v>
      </c>
    </row>
    <row r="5273">
      <c r="A5273" s="6"/>
      <c r="B5273" s="6"/>
      <c r="C5273" s="6"/>
      <c r="D5273" s="4">
        <v>9.684341604484281</v>
      </c>
      <c r="E5273" s="4" t="s">
        <v>4103</v>
      </c>
      <c r="F5273" s="4"/>
      <c r="G5273" s="4"/>
      <c r="H5273" s="4"/>
      <c r="I5273" s="4"/>
      <c r="J5273" s="18">
        <v>0.0</v>
      </c>
      <c r="K5273" s="4" t="s">
        <v>8494</v>
      </c>
      <c r="L5273" s="19" t="s">
        <v>8494</v>
      </c>
      <c r="M5273" s="20" t="s">
        <v>8494</v>
      </c>
    </row>
    <row r="5274">
      <c r="A5274" s="6"/>
      <c r="B5274" s="6"/>
      <c r="C5274" s="6"/>
      <c r="D5274" s="4">
        <v>23.2514950259376</v>
      </c>
      <c r="E5274" s="4" t="s">
        <v>4589</v>
      </c>
      <c r="F5274" s="4"/>
      <c r="G5274" s="4"/>
      <c r="H5274" s="4"/>
      <c r="I5274" s="4"/>
      <c r="J5274" s="18">
        <v>0.0</v>
      </c>
      <c r="K5274" s="4" t="s">
        <v>8494</v>
      </c>
      <c r="L5274" s="19" t="s">
        <v>8494</v>
      </c>
      <c r="M5274" s="20" t="s">
        <v>8494</v>
      </c>
    </row>
    <row r="5275">
      <c r="A5275" s="6"/>
      <c r="B5275" s="6"/>
      <c r="C5275" s="6"/>
      <c r="D5275" s="4">
        <v>5.14710805328359</v>
      </c>
      <c r="E5275" s="4" t="s">
        <v>4032</v>
      </c>
      <c r="F5275" s="4"/>
      <c r="G5275" s="4"/>
      <c r="H5275" s="4"/>
      <c r="I5275" s="4"/>
      <c r="J5275" s="18">
        <v>0.0</v>
      </c>
      <c r="K5275" s="4" t="s">
        <v>8494</v>
      </c>
      <c r="L5275" s="19" t="s">
        <v>8494</v>
      </c>
      <c r="M5275" s="20" t="s">
        <v>8494</v>
      </c>
    </row>
    <row r="5276">
      <c r="A5276" s="6"/>
      <c r="B5276" s="6"/>
      <c r="C5276" s="6"/>
      <c r="D5276" s="4">
        <v>65.2972652302518</v>
      </c>
      <c r="E5276" s="4" t="s">
        <v>3999</v>
      </c>
      <c r="F5276" s="4"/>
      <c r="G5276" s="4"/>
      <c r="H5276" s="4"/>
      <c r="I5276" s="4"/>
      <c r="J5276" s="18">
        <v>0.0</v>
      </c>
      <c r="K5276" s="4" t="s">
        <v>8494</v>
      </c>
      <c r="L5276" s="19" t="s">
        <v>8494</v>
      </c>
      <c r="M5276" s="20" t="s">
        <v>8494</v>
      </c>
    </row>
    <row r="5277">
      <c r="A5277" s="6"/>
      <c r="B5277" s="6"/>
      <c r="C5277" s="6"/>
      <c r="D5277" s="4">
        <v>32.8921703318777</v>
      </c>
      <c r="E5277" s="4" t="s">
        <v>7146</v>
      </c>
      <c r="F5277" s="4"/>
      <c r="G5277" s="4"/>
      <c r="H5277" s="4"/>
      <c r="I5277" s="4"/>
      <c r="J5277" s="18">
        <v>0.0</v>
      </c>
      <c r="K5277" s="4" t="s">
        <v>8494</v>
      </c>
      <c r="L5277" s="19" t="s">
        <v>8494</v>
      </c>
      <c r="M5277" s="20" t="s">
        <v>8494</v>
      </c>
    </row>
    <row r="5278">
      <c r="A5278" s="6"/>
      <c r="B5278" s="6"/>
      <c r="C5278" s="6"/>
      <c r="D5278" s="4">
        <v>75.50258403029291</v>
      </c>
      <c r="E5278" s="4" t="s">
        <v>952</v>
      </c>
      <c r="F5278" s="4"/>
      <c r="G5278" s="4"/>
      <c r="H5278" s="4"/>
      <c r="I5278" s="4"/>
      <c r="J5278" s="18">
        <v>0.0</v>
      </c>
      <c r="K5278" s="4" t="s">
        <v>8494</v>
      </c>
      <c r="L5278" s="19" t="s">
        <v>8494</v>
      </c>
      <c r="M5278" s="20" t="s">
        <v>8494</v>
      </c>
    </row>
    <row r="5279">
      <c r="A5279" s="6"/>
      <c r="B5279" s="6"/>
      <c r="C5279" s="6"/>
      <c r="D5279" s="4">
        <v>186.01196020749998</v>
      </c>
      <c r="E5279" s="4" t="s">
        <v>753</v>
      </c>
      <c r="F5279" s="4"/>
      <c r="G5279" s="4"/>
      <c r="H5279" s="4"/>
      <c r="I5279" s="4"/>
      <c r="J5279" s="18">
        <v>0.0</v>
      </c>
      <c r="K5279" s="4" t="s">
        <v>8494</v>
      </c>
      <c r="L5279" s="19" t="s">
        <v>8494</v>
      </c>
      <c r="M5279" s="20" t="s">
        <v>8494</v>
      </c>
    </row>
    <row r="5280">
      <c r="A5280" s="6"/>
      <c r="B5280" s="6"/>
      <c r="C5280" s="6"/>
      <c r="D5280" s="4">
        <v>67.0424306979874</v>
      </c>
      <c r="E5280" s="4" t="s">
        <v>4227</v>
      </c>
      <c r="F5280" s="4"/>
      <c r="G5280" s="4"/>
      <c r="H5280" s="4"/>
      <c r="I5280" s="4"/>
      <c r="J5280" s="18">
        <v>0.0</v>
      </c>
      <c r="K5280" s="4" t="s">
        <v>8494</v>
      </c>
      <c r="L5280" s="19" t="s">
        <v>8494</v>
      </c>
      <c r="M5280" s="20" t="s">
        <v>8494</v>
      </c>
    </row>
    <row r="5281">
      <c r="A5281" s="6"/>
      <c r="B5281" s="6"/>
      <c r="C5281" s="6"/>
      <c r="D5281" s="4">
        <v>37.2023920415001</v>
      </c>
      <c r="E5281" s="4" t="s">
        <v>2251</v>
      </c>
      <c r="F5281" s="4"/>
      <c r="G5281" s="4"/>
      <c r="H5281" s="4"/>
      <c r="I5281" s="4"/>
      <c r="J5281" s="18">
        <v>0.0</v>
      </c>
      <c r="K5281" s="4" t="s">
        <v>8494</v>
      </c>
      <c r="L5281" s="19" t="s">
        <v>8494</v>
      </c>
      <c r="M5281" s="20" t="s">
        <v>8494</v>
      </c>
    </row>
    <row r="5282">
      <c r="A5282" s="6"/>
      <c r="B5282" s="6"/>
      <c r="C5282" s="6"/>
      <c r="D5282" s="4">
        <v>40.813055968299</v>
      </c>
      <c r="E5282" s="4" t="s">
        <v>7607</v>
      </c>
      <c r="F5282" s="4"/>
      <c r="G5282" s="4"/>
      <c r="H5282" s="4"/>
      <c r="I5282" s="4"/>
      <c r="J5282" s="18">
        <v>0.0</v>
      </c>
      <c r="K5282" s="4" t="s">
        <v>8494</v>
      </c>
      <c r="L5282" s="19" t="s">
        <v>8494</v>
      </c>
      <c r="M5282" s="20" t="s">
        <v>8494</v>
      </c>
    </row>
    <row r="5283">
      <c r="A5283" s="6"/>
      <c r="B5283" s="6"/>
      <c r="C5283" s="6"/>
      <c r="D5283" s="4">
        <v>186.01196020749998</v>
      </c>
      <c r="E5283" s="4" t="s">
        <v>683</v>
      </c>
      <c r="F5283" s="4"/>
      <c r="G5283" s="4"/>
      <c r="H5283" s="4"/>
      <c r="I5283" s="4"/>
      <c r="J5283" s="18">
        <v>0.0</v>
      </c>
      <c r="K5283" s="4" t="s">
        <v>8494</v>
      </c>
      <c r="L5283" s="19" t="s">
        <v>8494</v>
      </c>
      <c r="M5283" s="20" t="s">
        <v>8494</v>
      </c>
    </row>
    <row r="5284">
      <c r="A5284" s="6"/>
      <c r="B5284" s="6"/>
      <c r="C5284" s="6"/>
      <c r="D5284" s="4">
        <v>24.2768734980583</v>
      </c>
      <c r="E5284" s="4" t="s">
        <v>5189</v>
      </c>
      <c r="F5284" s="4"/>
      <c r="G5284" s="4"/>
      <c r="H5284" s="4"/>
      <c r="I5284" s="4"/>
      <c r="J5284" s="18">
        <v>0.0</v>
      </c>
      <c r="K5284" s="4" t="s">
        <v>8494</v>
      </c>
      <c r="L5284" s="19" t="s">
        <v>8494</v>
      </c>
      <c r="M5284" s="20" t="s">
        <v>8494</v>
      </c>
    </row>
    <row r="5285">
      <c r="A5285" s="6"/>
      <c r="B5285" s="6"/>
      <c r="C5285" s="6"/>
      <c r="D5285" s="4">
        <v>186.01196020749998</v>
      </c>
      <c r="E5285" s="4" t="s">
        <v>7610</v>
      </c>
      <c r="F5285" s="4"/>
      <c r="G5285" s="4"/>
      <c r="H5285" s="4"/>
      <c r="I5285" s="4"/>
      <c r="J5285" s="18">
        <v>0.0</v>
      </c>
      <c r="K5285" s="4" t="s">
        <v>8494</v>
      </c>
      <c r="L5285" s="19" t="s">
        <v>8494</v>
      </c>
      <c r="M5285" s="20" t="s">
        <v>8494</v>
      </c>
    </row>
    <row r="5286">
      <c r="A5286" s="6"/>
      <c r="B5286" s="6"/>
      <c r="C5286" s="6"/>
      <c r="D5286" s="4">
        <v>9.30059801037504</v>
      </c>
      <c r="E5286" s="4" t="s">
        <v>4490</v>
      </c>
      <c r="F5286" s="4"/>
      <c r="G5286" s="4"/>
      <c r="H5286" s="4"/>
      <c r="I5286" s="4"/>
      <c r="J5286" s="18">
        <v>0.0</v>
      </c>
      <c r="K5286" s="4" t="s">
        <v>8494</v>
      </c>
      <c r="L5286" s="19" t="s">
        <v>8494</v>
      </c>
      <c r="M5286" s="20" t="s">
        <v>8494</v>
      </c>
    </row>
    <row r="5287">
      <c r="A5287" s="6"/>
      <c r="B5287" s="6"/>
      <c r="C5287" s="6"/>
      <c r="D5287" s="4">
        <v>9.521696348414439</v>
      </c>
      <c r="E5287" s="4" t="s">
        <v>3229</v>
      </c>
      <c r="F5287" s="4"/>
      <c r="G5287" s="4"/>
      <c r="H5287" s="4"/>
      <c r="I5287" s="4"/>
      <c r="J5287" s="18">
        <v>0.0</v>
      </c>
      <c r="K5287" s="4" t="s">
        <v>8494</v>
      </c>
      <c r="L5287" s="19" t="s">
        <v>8494</v>
      </c>
      <c r="M5287" s="20" t="s">
        <v>8494</v>
      </c>
    </row>
    <row r="5288">
      <c r="A5288" s="6"/>
      <c r="B5288" s="6"/>
      <c r="C5288" s="6"/>
      <c r="D5288" s="4">
        <v>75.50499358686561</v>
      </c>
      <c r="E5288" s="4" t="s">
        <v>7228</v>
      </c>
      <c r="F5288" s="4"/>
      <c r="G5288" s="4"/>
      <c r="H5288" s="4"/>
      <c r="I5288" s="4"/>
      <c r="J5288" s="18">
        <v>0.0</v>
      </c>
      <c r="K5288" s="4" t="s">
        <v>8494</v>
      </c>
      <c r="L5288" s="19" t="s">
        <v>8494</v>
      </c>
      <c r="M5288" s="20" t="s">
        <v>8494</v>
      </c>
    </row>
    <row r="5289">
      <c r="A5289" s="6"/>
      <c r="B5289" s="6"/>
      <c r="C5289" s="6"/>
      <c r="D5289" s="4">
        <v>56.9315464774165</v>
      </c>
      <c r="E5289" s="4" t="s">
        <v>1389</v>
      </c>
      <c r="F5289" s="4"/>
      <c r="G5289" s="4"/>
      <c r="H5289" s="4"/>
      <c r="I5289" s="4"/>
      <c r="J5289" s="18">
        <v>0.0</v>
      </c>
      <c r="K5289" s="4" t="s">
        <v>8494</v>
      </c>
      <c r="L5289" s="19" t="s">
        <v>8494</v>
      </c>
      <c r="M5289" s="20" t="s">
        <v>8494</v>
      </c>
    </row>
    <row r="5290">
      <c r="A5290" s="6"/>
      <c r="B5290" s="6"/>
      <c r="C5290" s="6"/>
      <c r="D5290" s="4">
        <v>140.439029956663</v>
      </c>
      <c r="E5290" s="4" t="s">
        <v>2603</v>
      </c>
      <c r="F5290" s="4"/>
      <c r="G5290" s="4"/>
      <c r="H5290" s="4"/>
      <c r="I5290" s="4"/>
      <c r="J5290" s="18">
        <v>0.0</v>
      </c>
      <c r="K5290" s="4" t="s">
        <v>8494</v>
      </c>
      <c r="L5290" s="19" t="s">
        <v>8494</v>
      </c>
      <c r="M5290" s="20" t="s">
        <v>8494</v>
      </c>
    </row>
    <row r="5291">
      <c r="A5291" s="6"/>
      <c r="B5291" s="6"/>
      <c r="C5291" s="6"/>
      <c r="D5291" s="4">
        <v>186.01196020749998</v>
      </c>
      <c r="E5291" s="4" t="s">
        <v>1719</v>
      </c>
      <c r="F5291" s="4"/>
      <c r="G5291" s="4"/>
      <c r="H5291" s="4"/>
      <c r="I5291" s="4"/>
      <c r="J5291" s="18">
        <v>0.0</v>
      </c>
      <c r="K5291" s="4" t="s">
        <v>8494</v>
      </c>
      <c r="L5291" s="19" t="s">
        <v>8494</v>
      </c>
      <c r="M5291" s="20" t="s">
        <v>8494</v>
      </c>
    </row>
    <row r="5292">
      <c r="A5292" s="6"/>
      <c r="B5292" s="6"/>
      <c r="C5292" s="6"/>
      <c r="D5292" s="4">
        <v>186.01196020749998</v>
      </c>
      <c r="E5292" s="4" t="s">
        <v>3309</v>
      </c>
      <c r="F5292" s="4"/>
      <c r="G5292" s="4"/>
      <c r="H5292" s="4"/>
      <c r="I5292" s="4"/>
      <c r="J5292" s="18">
        <v>0.0</v>
      </c>
      <c r="K5292" s="4" t="s">
        <v>8494</v>
      </c>
      <c r="L5292" s="19" t="s">
        <v>8494</v>
      </c>
      <c r="M5292" s="20" t="s">
        <v>8494</v>
      </c>
    </row>
    <row r="5293">
      <c r="A5293" s="6"/>
      <c r="B5293" s="6"/>
      <c r="C5293" s="6"/>
      <c r="D5293" s="4">
        <v>95.1758077825168</v>
      </c>
      <c r="E5293" s="4" t="s">
        <v>7615</v>
      </c>
      <c r="F5293" s="4"/>
      <c r="G5293" s="4"/>
      <c r="H5293" s="4"/>
      <c r="I5293" s="4"/>
      <c r="J5293" s="18">
        <v>0.0</v>
      </c>
      <c r="K5293" s="4" t="s">
        <v>8494</v>
      </c>
      <c r="L5293" s="19" t="s">
        <v>8494</v>
      </c>
      <c r="M5293" s="20" t="s">
        <v>8494</v>
      </c>
    </row>
    <row r="5294">
      <c r="A5294" s="6"/>
      <c r="B5294" s="6"/>
      <c r="C5294" s="6"/>
      <c r="D5294" s="4">
        <v>141.519685807321</v>
      </c>
      <c r="E5294" s="4" t="s">
        <v>5275</v>
      </c>
      <c r="F5294" s="4"/>
      <c r="G5294" s="4"/>
      <c r="H5294" s="4"/>
      <c r="I5294" s="4"/>
      <c r="J5294" s="18">
        <v>0.0</v>
      </c>
      <c r="K5294" s="4" t="s">
        <v>8494</v>
      </c>
      <c r="L5294" s="19" t="s">
        <v>8494</v>
      </c>
      <c r="M5294" s="20" t="s">
        <v>8494</v>
      </c>
    </row>
    <row r="5295">
      <c r="A5295" s="6"/>
      <c r="B5295" s="6"/>
      <c r="C5295" s="6"/>
      <c r="D5295" s="4">
        <v>54.7585793371356</v>
      </c>
      <c r="E5295" s="4" t="s">
        <v>1817</v>
      </c>
      <c r="F5295" s="4"/>
      <c r="G5295" s="4"/>
      <c r="H5295" s="4"/>
      <c r="I5295" s="4"/>
      <c r="J5295" s="18">
        <v>0.0</v>
      </c>
      <c r="K5295" s="4" t="s">
        <v>8494</v>
      </c>
      <c r="L5295" s="19" t="s">
        <v>8494</v>
      </c>
      <c r="M5295" s="20" t="s">
        <v>8494</v>
      </c>
    </row>
    <row r="5296">
      <c r="A5296" s="6"/>
      <c r="B5296" s="6"/>
      <c r="C5296" s="6"/>
      <c r="D5296" s="4">
        <v>186.01196020749998</v>
      </c>
      <c r="E5296" s="4" t="s">
        <v>1420</v>
      </c>
      <c r="F5296" s="4"/>
      <c r="G5296" s="4"/>
      <c r="H5296" s="4"/>
      <c r="I5296" s="4"/>
      <c r="J5296" s="18">
        <v>0.0</v>
      </c>
      <c r="K5296" s="4" t="s">
        <v>8494</v>
      </c>
      <c r="L5296" s="19" t="s">
        <v>8494</v>
      </c>
      <c r="M5296" s="20" t="s">
        <v>8494</v>
      </c>
    </row>
    <row r="5297">
      <c r="A5297" s="6"/>
      <c r="B5297" s="6"/>
      <c r="C5297" s="6"/>
      <c r="D5297" s="4">
        <v>10.2244024400101</v>
      </c>
      <c r="E5297" s="4" t="s">
        <v>6233</v>
      </c>
      <c r="F5297" s="4"/>
      <c r="G5297" s="4"/>
      <c r="H5297" s="4"/>
      <c r="I5297" s="4"/>
      <c r="J5297" s="18">
        <v>0.0</v>
      </c>
      <c r="K5297" s="4" t="s">
        <v>8494</v>
      </c>
      <c r="L5297" s="19" t="s">
        <v>8494</v>
      </c>
      <c r="M5297" s="20" t="s">
        <v>8494</v>
      </c>
    </row>
    <row r="5298">
      <c r="A5298" s="6"/>
      <c r="B5298" s="6"/>
      <c r="C5298" s="6"/>
      <c r="D5298" s="4">
        <v>46.8750139722902</v>
      </c>
      <c r="E5298" s="4" t="s">
        <v>3601</v>
      </c>
      <c r="F5298" s="4"/>
      <c r="G5298" s="4"/>
      <c r="H5298" s="4"/>
      <c r="I5298" s="4"/>
      <c r="J5298" s="18">
        <v>0.0</v>
      </c>
      <c r="K5298" s="4" t="s">
        <v>8494</v>
      </c>
      <c r="L5298" s="19" t="s">
        <v>8494</v>
      </c>
      <c r="M5298" s="20" t="s">
        <v>8494</v>
      </c>
    </row>
    <row r="5299">
      <c r="A5299" s="6"/>
      <c r="B5299" s="6"/>
      <c r="C5299" s="6"/>
      <c r="D5299" s="4">
        <v>44.6428704498002</v>
      </c>
      <c r="E5299" s="4" t="s">
        <v>3160</v>
      </c>
      <c r="F5299" s="4"/>
      <c r="G5299" s="4"/>
      <c r="H5299" s="4"/>
      <c r="I5299" s="4"/>
      <c r="J5299" s="18">
        <v>0.0</v>
      </c>
      <c r="K5299" s="4" t="s">
        <v>8494</v>
      </c>
      <c r="L5299" s="19" t="s">
        <v>8494</v>
      </c>
      <c r="M5299" s="20" t="s">
        <v>8494</v>
      </c>
    </row>
    <row r="5300">
      <c r="A5300" s="6"/>
      <c r="B5300" s="6"/>
      <c r="C5300" s="6"/>
      <c r="D5300" s="4">
        <v>17.9082588093404</v>
      </c>
      <c r="E5300" s="4" t="s">
        <v>7163</v>
      </c>
      <c r="F5300" s="4"/>
      <c r="G5300" s="4"/>
      <c r="H5300" s="4"/>
      <c r="I5300" s="4"/>
      <c r="J5300" s="18">
        <v>0.0</v>
      </c>
      <c r="K5300" s="4" t="s">
        <v>8494</v>
      </c>
      <c r="L5300" s="19" t="s">
        <v>8494</v>
      </c>
      <c r="M5300" s="20" t="s">
        <v>8494</v>
      </c>
    </row>
    <row r="5301">
      <c r="A5301" s="6"/>
      <c r="B5301" s="6"/>
      <c r="C5301" s="6"/>
      <c r="D5301" s="4">
        <v>123.88281940522</v>
      </c>
      <c r="E5301" s="4" t="s">
        <v>5102</v>
      </c>
      <c r="F5301" s="4"/>
      <c r="G5301" s="4"/>
      <c r="H5301" s="4"/>
      <c r="I5301" s="4"/>
      <c r="J5301" s="18">
        <v>0.0</v>
      </c>
      <c r="K5301" s="4" t="s">
        <v>8494</v>
      </c>
      <c r="L5301" s="19" t="s">
        <v>8494</v>
      </c>
      <c r="M5301" s="20" t="s">
        <v>8494</v>
      </c>
    </row>
    <row r="5302">
      <c r="A5302" s="6"/>
      <c r="B5302" s="6"/>
      <c r="C5302" s="6"/>
      <c r="D5302" s="4">
        <v>186.01196020749998</v>
      </c>
      <c r="E5302" s="4" t="s">
        <v>5002</v>
      </c>
      <c r="F5302" s="4"/>
      <c r="G5302" s="4"/>
      <c r="H5302" s="4"/>
      <c r="I5302" s="4"/>
      <c r="J5302" s="18">
        <v>0.0</v>
      </c>
      <c r="K5302" s="4" t="s">
        <v>8494</v>
      </c>
      <c r="L5302" s="19" t="s">
        <v>8494</v>
      </c>
      <c r="M5302" s="20" t="s">
        <v>8494</v>
      </c>
    </row>
    <row r="5303">
      <c r="A5303" s="6"/>
      <c r="B5303" s="6"/>
      <c r="C5303" s="6"/>
      <c r="D5303" s="4">
        <v>40.833200820769</v>
      </c>
      <c r="E5303" s="4" t="s">
        <v>7624</v>
      </c>
      <c r="F5303" s="4"/>
      <c r="G5303" s="4"/>
      <c r="H5303" s="4"/>
      <c r="I5303" s="4"/>
      <c r="J5303" s="18">
        <v>0.0</v>
      </c>
      <c r="K5303" s="4" t="s">
        <v>8494</v>
      </c>
      <c r="L5303" s="19" t="s">
        <v>8494</v>
      </c>
      <c r="M5303" s="20" t="s">
        <v>8494</v>
      </c>
    </row>
    <row r="5304">
      <c r="A5304" s="6"/>
      <c r="B5304" s="6"/>
      <c r="C5304" s="6"/>
      <c r="D5304" s="4">
        <v>9.30059801037504</v>
      </c>
      <c r="E5304" s="4" t="s">
        <v>7626</v>
      </c>
      <c r="F5304" s="4"/>
      <c r="G5304" s="4"/>
      <c r="H5304" s="4"/>
      <c r="I5304" s="4"/>
      <c r="J5304" s="18">
        <v>0.0</v>
      </c>
      <c r="K5304" s="4" t="s">
        <v>8494</v>
      </c>
      <c r="L5304" s="19" t="s">
        <v>8494</v>
      </c>
      <c r="M5304" s="20" t="s">
        <v>8494</v>
      </c>
    </row>
    <row r="5305">
      <c r="A5305" s="6"/>
      <c r="B5305" s="6"/>
      <c r="C5305" s="6"/>
      <c r="D5305" s="4">
        <v>9.30059801037504</v>
      </c>
      <c r="E5305" s="4" t="s">
        <v>5064</v>
      </c>
      <c r="F5305" s="4"/>
      <c r="G5305" s="4"/>
      <c r="H5305" s="4"/>
      <c r="I5305" s="4"/>
      <c r="J5305" s="18">
        <v>0.0</v>
      </c>
      <c r="K5305" s="4" t="s">
        <v>8494</v>
      </c>
      <c r="L5305" s="19" t="s">
        <v>8494</v>
      </c>
      <c r="M5305" s="20" t="s">
        <v>8494</v>
      </c>
    </row>
    <row r="5306">
      <c r="A5306" s="6"/>
      <c r="B5306" s="6"/>
      <c r="C5306" s="6"/>
      <c r="D5306" s="4">
        <v>65.5096634691577</v>
      </c>
      <c r="E5306" s="4" t="s">
        <v>4543</v>
      </c>
      <c r="F5306" s="4"/>
      <c r="G5306" s="4"/>
      <c r="H5306" s="4"/>
      <c r="I5306" s="4"/>
      <c r="J5306" s="18">
        <v>0.0</v>
      </c>
      <c r="K5306" s="4" t="s">
        <v>8494</v>
      </c>
      <c r="L5306" s="19" t="s">
        <v>8494</v>
      </c>
      <c r="M5306" s="20" t="s">
        <v>8494</v>
      </c>
    </row>
    <row r="5307">
      <c r="A5307" s="6"/>
      <c r="B5307" s="6"/>
      <c r="C5307" s="6"/>
      <c r="D5307" s="4">
        <v>49.3499985284457</v>
      </c>
      <c r="E5307" s="4" t="s">
        <v>7628</v>
      </c>
      <c r="F5307" s="4"/>
      <c r="G5307" s="4"/>
      <c r="H5307" s="4"/>
      <c r="I5307" s="4"/>
      <c r="J5307" s="18">
        <v>0.0</v>
      </c>
      <c r="K5307" s="4" t="s">
        <v>8494</v>
      </c>
      <c r="L5307" s="19" t="s">
        <v>8494</v>
      </c>
      <c r="M5307" s="20" t="s">
        <v>8494</v>
      </c>
    </row>
    <row r="5308">
      <c r="A5308" s="6"/>
      <c r="B5308" s="6"/>
      <c r="C5308" s="6"/>
      <c r="D5308" s="4">
        <v>186.01196020749998</v>
      </c>
      <c r="E5308" s="4" t="s">
        <v>1101</v>
      </c>
      <c r="F5308" s="4"/>
      <c r="G5308" s="4"/>
      <c r="H5308" s="4"/>
      <c r="I5308" s="4"/>
      <c r="J5308" s="18">
        <v>0.0</v>
      </c>
      <c r="K5308" s="4" t="s">
        <v>8494</v>
      </c>
      <c r="L5308" s="19" t="s">
        <v>8494</v>
      </c>
      <c r="M5308" s="20" t="s">
        <v>8494</v>
      </c>
    </row>
    <row r="5309">
      <c r="A5309" s="6"/>
      <c r="B5309" s="6"/>
      <c r="C5309" s="6"/>
      <c r="D5309" s="4">
        <v>139.703444547857</v>
      </c>
      <c r="E5309" s="4" t="s">
        <v>2471</v>
      </c>
      <c r="F5309" s="4"/>
      <c r="G5309" s="4"/>
      <c r="H5309" s="4"/>
      <c r="I5309" s="4"/>
      <c r="J5309" s="18">
        <v>0.0</v>
      </c>
      <c r="K5309" s="4" t="s">
        <v>8494</v>
      </c>
      <c r="L5309" s="19" t="s">
        <v>8494</v>
      </c>
      <c r="M5309" s="20" t="s">
        <v>8494</v>
      </c>
    </row>
    <row r="5310">
      <c r="A5310" s="6"/>
      <c r="B5310" s="6"/>
      <c r="C5310" s="6"/>
      <c r="D5310" s="4">
        <v>83.6697320769826</v>
      </c>
      <c r="E5310" s="4" t="s">
        <v>2256</v>
      </c>
      <c r="F5310" s="4"/>
      <c r="G5310" s="4"/>
      <c r="H5310" s="4"/>
      <c r="I5310" s="4"/>
      <c r="J5310" s="18">
        <v>0.0</v>
      </c>
      <c r="K5310" s="4" t="s">
        <v>8494</v>
      </c>
      <c r="L5310" s="19" t="s">
        <v>8494</v>
      </c>
      <c r="M5310" s="20" t="s">
        <v>8494</v>
      </c>
    </row>
    <row r="5311">
      <c r="A5311" s="6"/>
      <c r="B5311" s="6"/>
      <c r="C5311" s="6"/>
      <c r="D5311" s="4">
        <v>9.301931326434671</v>
      </c>
      <c r="E5311" s="4" t="s">
        <v>6200</v>
      </c>
      <c r="F5311" s="4"/>
      <c r="G5311" s="4"/>
      <c r="H5311" s="4"/>
      <c r="I5311" s="4"/>
      <c r="J5311" s="18">
        <v>0.0</v>
      </c>
      <c r="K5311" s="4" t="s">
        <v>8494</v>
      </c>
      <c r="L5311" s="19" t="s">
        <v>8494</v>
      </c>
      <c r="M5311" s="20" t="s">
        <v>8494</v>
      </c>
    </row>
    <row r="5312">
      <c r="A5312" s="6"/>
      <c r="B5312" s="6"/>
      <c r="C5312" s="6"/>
      <c r="D5312" s="4">
        <v>18.60119602075</v>
      </c>
      <c r="E5312" s="4" t="s">
        <v>4428</v>
      </c>
      <c r="F5312" s="4"/>
      <c r="G5312" s="4"/>
      <c r="H5312" s="4"/>
      <c r="I5312" s="4"/>
      <c r="J5312" s="18">
        <v>0.0</v>
      </c>
      <c r="K5312" s="4" t="s">
        <v>8494</v>
      </c>
      <c r="L5312" s="19" t="s">
        <v>8494</v>
      </c>
      <c r="M5312" s="20" t="s">
        <v>8494</v>
      </c>
    </row>
    <row r="5313">
      <c r="A5313" s="6"/>
      <c r="B5313" s="6"/>
      <c r="C5313" s="6"/>
      <c r="D5313" s="4">
        <v>186.01196020749998</v>
      </c>
      <c r="E5313" s="4" t="s">
        <v>778</v>
      </c>
      <c r="F5313" s="4"/>
      <c r="G5313" s="4"/>
      <c r="H5313" s="4"/>
      <c r="I5313" s="4"/>
      <c r="J5313" s="18">
        <v>0.0</v>
      </c>
      <c r="K5313" s="4" t="s">
        <v>8494</v>
      </c>
      <c r="L5313" s="19" t="s">
        <v>8494</v>
      </c>
      <c r="M5313" s="20" t="s">
        <v>8494</v>
      </c>
    </row>
    <row r="5314">
      <c r="A5314" s="6"/>
      <c r="B5314" s="6"/>
      <c r="C5314" s="6"/>
      <c r="D5314" s="4">
        <v>186.01196020749998</v>
      </c>
      <c r="E5314" s="4" t="s">
        <v>4237</v>
      </c>
      <c r="F5314" s="4"/>
      <c r="G5314" s="4"/>
      <c r="H5314" s="4"/>
      <c r="I5314" s="4"/>
      <c r="J5314" s="18">
        <v>0.0</v>
      </c>
      <c r="K5314" s="4" t="s">
        <v>8494</v>
      </c>
      <c r="L5314" s="19" t="s">
        <v>8494</v>
      </c>
      <c r="M5314" s="20" t="s">
        <v>8494</v>
      </c>
    </row>
    <row r="5315">
      <c r="A5315" s="6"/>
      <c r="B5315" s="6"/>
      <c r="C5315" s="6"/>
      <c r="D5315" s="4">
        <v>14.0504742506642</v>
      </c>
      <c r="E5315" s="4" t="s">
        <v>1753</v>
      </c>
      <c r="F5315" s="4"/>
      <c r="G5315" s="4"/>
      <c r="H5315" s="4"/>
      <c r="I5315" s="4"/>
      <c r="J5315" s="18">
        <v>0.0</v>
      </c>
      <c r="K5315" s="4" t="s">
        <v>8494</v>
      </c>
      <c r="L5315" s="19" t="s">
        <v>8494</v>
      </c>
      <c r="M5315" s="20" t="s">
        <v>8494</v>
      </c>
    </row>
    <row r="5316">
      <c r="A5316" s="6"/>
      <c r="B5316" s="6"/>
      <c r="C5316" s="6"/>
      <c r="D5316" s="4">
        <v>6.77197461124735</v>
      </c>
      <c r="E5316" s="4" t="s">
        <v>3108</v>
      </c>
      <c r="F5316" s="4"/>
      <c r="G5316" s="4"/>
      <c r="H5316" s="4"/>
      <c r="I5316" s="4"/>
      <c r="J5316" s="18">
        <v>0.0</v>
      </c>
      <c r="K5316" s="4" t="s">
        <v>8494</v>
      </c>
      <c r="L5316" s="19" t="s">
        <v>8494</v>
      </c>
      <c r="M5316" s="20" t="s">
        <v>8494</v>
      </c>
    </row>
    <row r="5317">
      <c r="A5317" s="6"/>
      <c r="B5317" s="6"/>
      <c r="C5317" s="6"/>
      <c r="D5317" s="4">
        <v>186.01196020749998</v>
      </c>
      <c r="E5317" s="4" t="s">
        <v>487</v>
      </c>
      <c r="F5317" s="4"/>
      <c r="G5317" s="4"/>
      <c r="H5317" s="4"/>
      <c r="I5317" s="4"/>
      <c r="J5317" s="18">
        <v>0.0</v>
      </c>
      <c r="K5317" s="4" t="s">
        <v>8494</v>
      </c>
      <c r="L5317" s="19" t="s">
        <v>8494</v>
      </c>
      <c r="M5317" s="20" t="s">
        <v>8494</v>
      </c>
    </row>
    <row r="5318">
      <c r="A5318" s="6"/>
      <c r="B5318" s="6"/>
      <c r="C5318" s="6"/>
      <c r="D5318" s="4">
        <v>55.8035880622502</v>
      </c>
      <c r="E5318" s="4" t="s">
        <v>7635</v>
      </c>
      <c r="F5318" s="4"/>
      <c r="G5318" s="4"/>
      <c r="H5318" s="4"/>
      <c r="I5318" s="4"/>
      <c r="J5318" s="18">
        <v>0.0</v>
      </c>
      <c r="K5318" s="4" t="s">
        <v>8494</v>
      </c>
      <c r="L5318" s="19" t="s">
        <v>8494</v>
      </c>
      <c r="M5318" s="20" t="s">
        <v>8494</v>
      </c>
    </row>
    <row r="5319">
      <c r="A5319" s="6"/>
      <c r="B5319" s="6"/>
      <c r="C5319" s="6"/>
      <c r="D5319" s="4">
        <v>23.7244839619388</v>
      </c>
      <c r="E5319" s="4" t="s">
        <v>7636</v>
      </c>
      <c r="F5319" s="4"/>
      <c r="G5319" s="4"/>
      <c r="H5319" s="4"/>
      <c r="I5319" s="4"/>
      <c r="J5319" s="18">
        <v>0.0</v>
      </c>
      <c r="K5319" s="4" t="s">
        <v>8494</v>
      </c>
      <c r="L5319" s="19" t="s">
        <v>8494</v>
      </c>
      <c r="M5319" s="20" t="s">
        <v>8494</v>
      </c>
    </row>
    <row r="5320">
      <c r="A5320" s="6"/>
      <c r="B5320" s="6"/>
      <c r="C5320" s="6"/>
      <c r="D5320" s="4">
        <v>139.508970155625</v>
      </c>
      <c r="E5320" s="4" t="s">
        <v>5951</v>
      </c>
      <c r="F5320" s="4"/>
      <c r="G5320" s="4"/>
      <c r="H5320" s="4"/>
      <c r="I5320" s="4"/>
      <c r="J5320" s="18">
        <v>0.0</v>
      </c>
      <c r="K5320" s="4" t="s">
        <v>8494</v>
      </c>
      <c r="L5320" s="19" t="s">
        <v>8494</v>
      </c>
      <c r="M5320" s="20" t="s">
        <v>8494</v>
      </c>
    </row>
    <row r="5321">
      <c r="A5321" s="6"/>
      <c r="B5321" s="6"/>
      <c r="C5321" s="6"/>
      <c r="D5321" s="4">
        <v>1.38686828674445</v>
      </c>
      <c r="E5321" s="4" t="s">
        <v>3014</v>
      </c>
      <c r="F5321" s="4"/>
      <c r="G5321" s="4"/>
      <c r="H5321" s="4"/>
      <c r="I5321" s="4"/>
      <c r="J5321" s="18">
        <v>0.0</v>
      </c>
      <c r="K5321" s="4" t="s">
        <v>8494</v>
      </c>
      <c r="L5321" s="19" t="s">
        <v>8494</v>
      </c>
      <c r="M5321" s="20" t="s">
        <v>8494</v>
      </c>
    </row>
    <row r="5322">
      <c r="A5322" s="6"/>
      <c r="B5322" s="6"/>
      <c r="C5322" s="6"/>
      <c r="D5322" s="4">
        <v>86.93097616570878</v>
      </c>
      <c r="E5322" s="4" t="s">
        <v>3044</v>
      </c>
      <c r="F5322" s="4"/>
      <c r="G5322" s="4"/>
      <c r="H5322" s="4"/>
      <c r="I5322" s="4"/>
      <c r="J5322" s="18">
        <v>0.0</v>
      </c>
      <c r="K5322" s="4" t="s">
        <v>8494</v>
      </c>
      <c r="L5322" s="19" t="s">
        <v>8494</v>
      </c>
      <c r="M5322" s="20" t="s">
        <v>8494</v>
      </c>
    </row>
    <row r="5323">
      <c r="A5323" s="6"/>
      <c r="B5323" s="6"/>
      <c r="C5323" s="6"/>
      <c r="D5323" s="4">
        <v>106.580832071769</v>
      </c>
      <c r="E5323" s="4" t="s">
        <v>5899</v>
      </c>
      <c r="F5323" s="4"/>
      <c r="G5323" s="4"/>
      <c r="H5323" s="4"/>
      <c r="I5323" s="4"/>
      <c r="J5323" s="18">
        <v>0.0</v>
      </c>
      <c r="K5323" s="4" t="s">
        <v>8494</v>
      </c>
      <c r="L5323" s="19" t="s">
        <v>8494</v>
      </c>
      <c r="M5323" s="20" t="s">
        <v>8494</v>
      </c>
    </row>
    <row r="5324">
      <c r="A5324" s="6"/>
      <c r="B5324" s="6"/>
      <c r="C5324" s="6"/>
      <c r="D5324" s="4">
        <v>8.943867431095521</v>
      </c>
      <c r="E5324" s="4" t="s">
        <v>4121</v>
      </c>
      <c r="F5324" s="4"/>
      <c r="G5324" s="4"/>
      <c r="H5324" s="4"/>
      <c r="I5324" s="4"/>
      <c r="J5324" s="18">
        <v>0.0</v>
      </c>
      <c r="K5324" s="4" t="s">
        <v>8494</v>
      </c>
      <c r="L5324" s="19" t="s">
        <v>8494</v>
      </c>
      <c r="M5324" s="20" t="s">
        <v>8494</v>
      </c>
    </row>
    <row r="5325">
      <c r="A5325" s="6"/>
      <c r="B5325" s="6"/>
      <c r="C5325" s="6"/>
      <c r="D5325" s="4">
        <v>163.556965517909</v>
      </c>
      <c r="E5325" s="4" t="s">
        <v>417</v>
      </c>
      <c r="F5325" s="4"/>
      <c r="G5325" s="4"/>
      <c r="H5325" s="4"/>
      <c r="I5325" s="4"/>
      <c r="J5325" s="18">
        <v>0.0</v>
      </c>
      <c r="K5325" s="4" t="s">
        <v>8494</v>
      </c>
      <c r="L5325" s="19" t="s">
        <v>8494</v>
      </c>
      <c r="M5325" s="20" t="s">
        <v>8494</v>
      </c>
    </row>
    <row r="5326">
      <c r="A5326" s="6"/>
      <c r="B5326" s="6"/>
      <c r="C5326" s="6"/>
      <c r="D5326" s="4">
        <v>9.55333696740674</v>
      </c>
      <c r="E5326" s="4" t="s">
        <v>4736</v>
      </c>
      <c r="F5326" s="4"/>
      <c r="G5326" s="4"/>
      <c r="H5326" s="4"/>
      <c r="I5326" s="4"/>
      <c r="J5326" s="18">
        <v>0.0</v>
      </c>
      <c r="K5326" s="4" t="s">
        <v>8494</v>
      </c>
      <c r="L5326" s="19" t="s">
        <v>8494</v>
      </c>
      <c r="M5326" s="20" t="s">
        <v>8494</v>
      </c>
    </row>
    <row r="5327">
      <c r="A5327" s="6"/>
      <c r="B5327" s="6"/>
      <c r="C5327" s="6"/>
      <c r="D5327" s="4">
        <v>111.6071761245</v>
      </c>
      <c r="E5327" s="4" t="s">
        <v>7644</v>
      </c>
      <c r="F5327" s="4"/>
      <c r="G5327" s="4"/>
      <c r="H5327" s="4"/>
      <c r="I5327" s="4"/>
      <c r="J5327" s="18">
        <v>0.0</v>
      </c>
      <c r="K5327" s="4" t="s">
        <v>8494</v>
      </c>
      <c r="L5327" s="19" t="s">
        <v>8494</v>
      </c>
      <c r="M5327" s="20" t="s">
        <v>8494</v>
      </c>
    </row>
    <row r="5328">
      <c r="A5328" s="6"/>
      <c r="B5328" s="6"/>
      <c r="C5328" s="6"/>
      <c r="D5328" s="4">
        <v>186.01196020749998</v>
      </c>
      <c r="E5328" s="4" t="s">
        <v>208</v>
      </c>
      <c r="F5328" s="4"/>
      <c r="G5328" s="4"/>
      <c r="H5328" s="4"/>
      <c r="I5328" s="4"/>
      <c r="J5328" s="18">
        <v>0.0</v>
      </c>
      <c r="K5328" s="4" t="s">
        <v>8494</v>
      </c>
      <c r="L5328" s="19" t="s">
        <v>8494</v>
      </c>
      <c r="M5328" s="20" t="s">
        <v>8494</v>
      </c>
    </row>
    <row r="5329">
      <c r="A5329" s="6"/>
      <c r="B5329" s="6"/>
      <c r="C5329" s="6"/>
      <c r="D5329" s="4">
        <v>9.32170025662046</v>
      </c>
      <c r="E5329" s="4" t="s">
        <v>3417</v>
      </c>
      <c r="F5329" s="4"/>
      <c r="G5329" s="4"/>
      <c r="H5329" s="4"/>
      <c r="I5329" s="4"/>
      <c r="J5329" s="18">
        <v>0.0</v>
      </c>
      <c r="K5329" s="4" t="s">
        <v>8494</v>
      </c>
      <c r="L5329" s="19" t="s">
        <v>8494</v>
      </c>
      <c r="M5329" s="20" t="s">
        <v>8494</v>
      </c>
    </row>
    <row r="5330">
      <c r="A5330" s="6"/>
      <c r="B5330" s="6"/>
      <c r="C5330" s="6"/>
      <c r="D5330" s="4">
        <v>148.99767310674198</v>
      </c>
      <c r="E5330" s="4" t="s">
        <v>7646</v>
      </c>
      <c r="F5330" s="4"/>
      <c r="G5330" s="4"/>
      <c r="H5330" s="4"/>
      <c r="I5330" s="4"/>
      <c r="J5330" s="18">
        <v>0.0</v>
      </c>
      <c r="K5330" s="4" t="s">
        <v>8494</v>
      </c>
      <c r="L5330" s="19" t="s">
        <v>8494</v>
      </c>
      <c r="M5330" s="20" t="s">
        <v>8494</v>
      </c>
    </row>
    <row r="5331">
      <c r="A5331" s="6"/>
      <c r="B5331" s="6"/>
      <c r="C5331" s="6"/>
      <c r="D5331" s="4">
        <v>64.1741262715877</v>
      </c>
      <c r="E5331" s="4" t="s">
        <v>7119</v>
      </c>
      <c r="F5331" s="4"/>
      <c r="G5331" s="4"/>
      <c r="H5331" s="4"/>
      <c r="I5331" s="4"/>
      <c r="J5331" s="18">
        <v>0.0</v>
      </c>
      <c r="K5331" s="4" t="s">
        <v>8494</v>
      </c>
      <c r="L5331" s="19" t="s">
        <v>8494</v>
      </c>
      <c r="M5331" s="20" t="s">
        <v>8494</v>
      </c>
    </row>
    <row r="5332">
      <c r="A5332" s="6"/>
      <c r="B5332" s="6"/>
      <c r="C5332" s="6"/>
      <c r="D5332" s="4">
        <v>37.2023920415001</v>
      </c>
      <c r="E5332" s="4" t="s">
        <v>4974</v>
      </c>
      <c r="F5332" s="4"/>
      <c r="G5332" s="4"/>
      <c r="H5332" s="4"/>
      <c r="I5332" s="4"/>
      <c r="J5332" s="18">
        <v>0.0</v>
      </c>
      <c r="K5332" s="4" t="s">
        <v>8494</v>
      </c>
      <c r="L5332" s="19" t="s">
        <v>8494</v>
      </c>
      <c r="M5332" s="20" t="s">
        <v>8494</v>
      </c>
    </row>
    <row r="5333">
      <c r="A5333" s="6"/>
      <c r="B5333" s="6"/>
      <c r="C5333" s="6"/>
      <c r="D5333" s="4">
        <v>9.50584594283417</v>
      </c>
      <c r="E5333" s="4" t="s">
        <v>4403</v>
      </c>
      <c r="F5333" s="4"/>
      <c r="G5333" s="4"/>
      <c r="H5333" s="4"/>
      <c r="I5333" s="4"/>
      <c r="J5333" s="18">
        <v>0.0</v>
      </c>
      <c r="K5333" s="4" t="s">
        <v>8494</v>
      </c>
      <c r="L5333" s="19" t="s">
        <v>8494</v>
      </c>
      <c r="M5333" s="20" t="s">
        <v>8494</v>
      </c>
    </row>
    <row r="5334">
      <c r="A5334" s="6"/>
      <c r="B5334" s="6"/>
      <c r="C5334" s="6"/>
      <c r="D5334" s="4">
        <v>186.01196020749998</v>
      </c>
      <c r="E5334" s="4" t="s">
        <v>489</v>
      </c>
      <c r="F5334" s="4"/>
      <c r="G5334" s="4"/>
      <c r="H5334" s="4"/>
      <c r="I5334" s="4"/>
      <c r="J5334" s="18">
        <v>0.0</v>
      </c>
      <c r="K5334" s="4" t="s">
        <v>8494</v>
      </c>
      <c r="L5334" s="19" t="s">
        <v>8494</v>
      </c>
      <c r="M5334" s="20" t="s">
        <v>8494</v>
      </c>
    </row>
    <row r="5335">
      <c r="A5335" s="6"/>
      <c r="B5335" s="6"/>
      <c r="C5335" s="6"/>
      <c r="D5335" s="4">
        <v>66.9901981727456</v>
      </c>
      <c r="E5335" s="4" t="s">
        <v>7650</v>
      </c>
      <c r="F5335" s="4"/>
      <c r="G5335" s="4"/>
      <c r="H5335" s="4"/>
      <c r="I5335" s="4"/>
      <c r="J5335" s="18">
        <v>0.0</v>
      </c>
      <c r="K5335" s="4" t="s">
        <v>8494</v>
      </c>
      <c r="L5335" s="19" t="s">
        <v>8494</v>
      </c>
      <c r="M5335" s="20" t="s">
        <v>8494</v>
      </c>
    </row>
    <row r="5336">
      <c r="A5336" s="6"/>
      <c r="B5336" s="6"/>
      <c r="C5336" s="6"/>
      <c r="D5336" s="4">
        <v>186.01196020749998</v>
      </c>
      <c r="E5336" s="4" t="s">
        <v>1568</v>
      </c>
      <c r="F5336" s="4"/>
      <c r="G5336" s="4"/>
      <c r="H5336" s="4"/>
      <c r="I5336" s="4"/>
      <c r="J5336" s="18">
        <v>0.0</v>
      </c>
      <c r="K5336" s="4" t="s">
        <v>8494</v>
      </c>
      <c r="L5336" s="19" t="s">
        <v>8494</v>
      </c>
      <c r="M5336" s="20" t="s">
        <v>8494</v>
      </c>
    </row>
    <row r="5337">
      <c r="A5337" s="6"/>
      <c r="B5337" s="6"/>
      <c r="C5337" s="6"/>
      <c r="D5337" s="4">
        <v>78.11707452975871</v>
      </c>
      <c r="E5337" s="4" t="s">
        <v>5739</v>
      </c>
      <c r="F5337" s="4"/>
      <c r="G5337" s="4"/>
      <c r="H5337" s="4"/>
      <c r="I5337" s="4"/>
      <c r="J5337" s="18">
        <v>0.0</v>
      </c>
      <c r="K5337" s="4" t="s">
        <v>8494</v>
      </c>
      <c r="L5337" s="19" t="s">
        <v>8494</v>
      </c>
      <c r="M5337" s="20" t="s">
        <v>8494</v>
      </c>
    </row>
    <row r="5338">
      <c r="A5338" s="6"/>
      <c r="B5338" s="6"/>
      <c r="C5338" s="6"/>
      <c r="D5338" s="4">
        <v>96.3213069336717</v>
      </c>
      <c r="E5338" s="4" t="s">
        <v>7653</v>
      </c>
      <c r="F5338" s="4"/>
      <c r="G5338" s="4"/>
      <c r="H5338" s="4"/>
      <c r="I5338" s="4"/>
      <c r="J5338" s="18">
        <v>0.0</v>
      </c>
      <c r="K5338" s="4" t="s">
        <v>8494</v>
      </c>
      <c r="L5338" s="19" t="s">
        <v>8494</v>
      </c>
      <c r="M5338" s="20" t="s">
        <v>8494</v>
      </c>
    </row>
    <row r="5339">
      <c r="A5339" s="6"/>
      <c r="B5339" s="6"/>
      <c r="C5339" s="6"/>
      <c r="D5339" s="4">
        <v>95.44456186200729</v>
      </c>
      <c r="E5339" s="4" t="s">
        <v>5230</v>
      </c>
      <c r="F5339" s="4"/>
      <c r="G5339" s="4"/>
      <c r="H5339" s="4"/>
      <c r="I5339" s="4"/>
      <c r="J5339" s="18">
        <v>0.0</v>
      </c>
      <c r="K5339" s="4" t="s">
        <v>8494</v>
      </c>
      <c r="L5339" s="19" t="s">
        <v>8494</v>
      </c>
      <c r="M5339" s="20" t="s">
        <v>8494</v>
      </c>
    </row>
    <row r="5340">
      <c r="A5340" s="6"/>
      <c r="B5340" s="6"/>
      <c r="C5340" s="6"/>
      <c r="D5340" s="4">
        <v>186.01196020749998</v>
      </c>
      <c r="E5340" s="4" t="s">
        <v>4335</v>
      </c>
      <c r="F5340" s="4"/>
      <c r="G5340" s="4"/>
      <c r="H5340" s="4"/>
      <c r="I5340" s="4"/>
      <c r="J5340" s="18">
        <v>0.0</v>
      </c>
      <c r="K5340" s="4" t="s">
        <v>8494</v>
      </c>
      <c r="L5340" s="19" t="s">
        <v>8494</v>
      </c>
      <c r="M5340" s="20" t="s">
        <v>8494</v>
      </c>
    </row>
    <row r="5341">
      <c r="A5341" s="6"/>
      <c r="B5341" s="6"/>
      <c r="C5341" s="6"/>
      <c r="D5341" s="4">
        <v>89.4662697291873</v>
      </c>
      <c r="E5341" s="4" t="s">
        <v>846</v>
      </c>
      <c r="F5341" s="4"/>
      <c r="G5341" s="4"/>
      <c r="H5341" s="4"/>
      <c r="I5341" s="4"/>
      <c r="J5341" s="18">
        <v>0.0</v>
      </c>
      <c r="K5341" s="4" t="s">
        <v>8494</v>
      </c>
      <c r="L5341" s="19" t="s">
        <v>8494</v>
      </c>
      <c r="M5341" s="20" t="s">
        <v>8494</v>
      </c>
    </row>
    <row r="5342">
      <c r="A5342" s="6"/>
      <c r="B5342" s="6"/>
      <c r="C5342" s="6"/>
      <c r="D5342" s="4">
        <v>9.31874931991496</v>
      </c>
      <c r="E5342" s="4" t="s">
        <v>4662</v>
      </c>
      <c r="F5342" s="4"/>
      <c r="G5342" s="4"/>
      <c r="H5342" s="4"/>
      <c r="I5342" s="4"/>
      <c r="J5342" s="18">
        <v>0.0</v>
      </c>
      <c r="K5342" s="4" t="s">
        <v>8494</v>
      </c>
      <c r="L5342" s="19" t="s">
        <v>8494</v>
      </c>
      <c r="M5342" s="20" t="s">
        <v>8494</v>
      </c>
    </row>
    <row r="5343">
      <c r="A5343" s="6"/>
      <c r="B5343" s="6"/>
      <c r="C5343" s="6"/>
      <c r="D5343" s="4">
        <v>1.01000323155277</v>
      </c>
      <c r="E5343" s="4" t="s">
        <v>6859</v>
      </c>
      <c r="F5343" s="4"/>
      <c r="G5343" s="4"/>
      <c r="H5343" s="4"/>
      <c r="I5343" s="4"/>
      <c r="J5343" s="18">
        <v>0.0</v>
      </c>
      <c r="K5343" s="4" t="s">
        <v>8494</v>
      </c>
      <c r="L5343" s="19" t="s">
        <v>8494</v>
      </c>
      <c r="M5343" s="20" t="s">
        <v>8494</v>
      </c>
    </row>
    <row r="5344">
      <c r="A5344" s="6"/>
      <c r="B5344" s="6"/>
      <c r="C5344" s="6"/>
      <c r="D5344" s="4">
        <v>186.01196020749998</v>
      </c>
      <c r="E5344" s="4" t="s">
        <v>7659</v>
      </c>
      <c r="F5344" s="4"/>
      <c r="G5344" s="4"/>
      <c r="H5344" s="4"/>
      <c r="I5344" s="4"/>
      <c r="J5344" s="18">
        <v>0.0</v>
      </c>
      <c r="K5344" s="4" t="s">
        <v>8494</v>
      </c>
      <c r="L5344" s="19" t="s">
        <v>8494</v>
      </c>
      <c r="M5344" s="20" t="s">
        <v>8494</v>
      </c>
    </row>
    <row r="5345">
      <c r="A5345" s="6"/>
      <c r="B5345" s="6"/>
      <c r="C5345" s="6"/>
      <c r="D5345" s="4">
        <v>186.01196020749998</v>
      </c>
      <c r="E5345" s="4" t="s">
        <v>507</v>
      </c>
      <c r="F5345" s="4"/>
      <c r="G5345" s="4"/>
      <c r="H5345" s="4"/>
      <c r="I5345" s="4"/>
      <c r="J5345" s="18">
        <v>0.0</v>
      </c>
      <c r="K5345" s="4" t="s">
        <v>8494</v>
      </c>
      <c r="L5345" s="19" t="s">
        <v>8494</v>
      </c>
      <c r="M5345" s="20" t="s">
        <v>8494</v>
      </c>
    </row>
    <row r="5346">
      <c r="A5346" s="6"/>
      <c r="B5346" s="6"/>
      <c r="C5346" s="6"/>
      <c r="D5346" s="4">
        <v>169.45211456959402</v>
      </c>
      <c r="E5346" s="4" t="s">
        <v>7660</v>
      </c>
      <c r="F5346" s="4"/>
      <c r="G5346" s="4"/>
      <c r="H5346" s="4"/>
      <c r="I5346" s="4"/>
      <c r="J5346" s="18">
        <v>0.0</v>
      </c>
      <c r="K5346" s="4" t="s">
        <v>8494</v>
      </c>
      <c r="L5346" s="19" t="s">
        <v>8494</v>
      </c>
      <c r="M5346" s="20" t="s">
        <v>8494</v>
      </c>
    </row>
    <row r="5347">
      <c r="A5347" s="6"/>
      <c r="B5347" s="6"/>
      <c r="C5347" s="6"/>
      <c r="D5347" s="4">
        <v>186.01196020749998</v>
      </c>
      <c r="E5347" s="4" t="s">
        <v>1066</v>
      </c>
      <c r="F5347" s="4"/>
      <c r="G5347" s="4"/>
      <c r="H5347" s="4"/>
      <c r="I5347" s="4"/>
      <c r="J5347" s="18">
        <v>0.0</v>
      </c>
      <c r="K5347" s="4" t="s">
        <v>8494</v>
      </c>
      <c r="L5347" s="19" t="s">
        <v>8494</v>
      </c>
      <c r="M5347" s="20" t="s">
        <v>8494</v>
      </c>
    </row>
    <row r="5348">
      <c r="A5348" s="6"/>
      <c r="B5348" s="6"/>
      <c r="C5348" s="6"/>
      <c r="D5348" s="4">
        <v>186.01196020749998</v>
      </c>
      <c r="E5348" s="4" t="s">
        <v>5644</v>
      </c>
      <c r="F5348" s="4"/>
      <c r="G5348" s="4"/>
      <c r="H5348" s="4"/>
      <c r="I5348" s="4"/>
      <c r="J5348" s="18">
        <v>0.0</v>
      </c>
      <c r="K5348" s="4" t="s">
        <v>8494</v>
      </c>
      <c r="L5348" s="19" t="s">
        <v>8494</v>
      </c>
      <c r="M5348" s="20" t="s">
        <v>8494</v>
      </c>
    </row>
    <row r="5349">
      <c r="A5349" s="6"/>
      <c r="B5349" s="6"/>
      <c r="C5349" s="6"/>
      <c r="D5349" s="4">
        <v>35.8506391336705</v>
      </c>
      <c r="E5349" s="4" t="s">
        <v>6729</v>
      </c>
      <c r="F5349" s="4"/>
      <c r="G5349" s="4"/>
      <c r="H5349" s="4"/>
      <c r="I5349" s="4"/>
      <c r="J5349" s="18">
        <v>0.0</v>
      </c>
      <c r="K5349" s="4" t="s">
        <v>8494</v>
      </c>
      <c r="L5349" s="19" t="s">
        <v>8494</v>
      </c>
      <c r="M5349" s="20" t="s">
        <v>8494</v>
      </c>
    </row>
    <row r="5350">
      <c r="A5350" s="6"/>
      <c r="B5350" s="6"/>
      <c r="C5350" s="6"/>
      <c r="D5350" s="4">
        <v>186.01196020749998</v>
      </c>
      <c r="E5350" s="4" t="s">
        <v>932</v>
      </c>
      <c r="F5350" s="4"/>
      <c r="G5350" s="4"/>
      <c r="H5350" s="4"/>
      <c r="I5350" s="4"/>
      <c r="J5350" s="18">
        <v>0.0</v>
      </c>
      <c r="K5350" s="4" t="s">
        <v>8494</v>
      </c>
      <c r="L5350" s="19" t="s">
        <v>8494</v>
      </c>
      <c r="M5350" s="20" t="s">
        <v>8494</v>
      </c>
    </row>
    <row r="5351">
      <c r="A5351" s="6"/>
      <c r="B5351" s="6"/>
      <c r="C5351" s="6"/>
      <c r="D5351" s="4">
        <v>15.560616590432499</v>
      </c>
      <c r="E5351" s="4" t="s">
        <v>6033</v>
      </c>
      <c r="F5351" s="4"/>
      <c r="G5351" s="4"/>
      <c r="H5351" s="4"/>
      <c r="I5351" s="4"/>
      <c r="J5351" s="18">
        <v>0.0</v>
      </c>
      <c r="K5351" s="4" t="s">
        <v>8494</v>
      </c>
      <c r="L5351" s="19" t="s">
        <v>8494</v>
      </c>
      <c r="M5351" s="20" t="s">
        <v>8494</v>
      </c>
    </row>
    <row r="5352">
      <c r="A5352" s="6"/>
      <c r="B5352" s="6"/>
      <c r="C5352" s="6"/>
      <c r="D5352" s="4">
        <v>111.6071761245</v>
      </c>
      <c r="E5352" s="4" t="s">
        <v>4859</v>
      </c>
      <c r="F5352" s="4"/>
      <c r="G5352" s="4"/>
      <c r="H5352" s="4"/>
      <c r="I5352" s="4"/>
      <c r="J5352" s="18">
        <v>0.0</v>
      </c>
      <c r="K5352" s="4" t="s">
        <v>8494</v>
      </c>
      <c r="L5352" s="19" t="s">
        <v>8494</v>
      </c>
      <c r="M5352" s="20" t="s">
        <v>8494</v>
      </c>
    </row>
    <row r="5353">
      <c r="A5353" s="6"/>
      <c r="B5353" s="6"/>
      <c r="C5353" s="6"/>
      <c r="D5353" s="4">
        <v>79.27581897430859</v>
      </c>
      <c r="E5353" s="4" t="s">
        <v>724</v>
      </c>
      <c r="F5353" s="4"/>
      <c r="G5353" s="4"/>
      <c r="H5353" s="4"/>
      <c r="I5353" s="4"/>
      <c r="J5353" s="18">
        <v>0.0</v>
      </c>
      <c r="K5353" s="4" t="s">
        <v>8494</v>
      </c>
      <c r="L5353" s="19" t="s">
        <v>8494</v>
      </c>
      <c r="M5353" s="20" t="s">
        <v>8494</v>
      </c>
    </row>
    <row r="5354">
      <c r="A5354" s="6"/>
      <c r="B5354" s="6"/>
      <c r="C5354" s="6"/>
      <c r="D5354" s="4">
        <v>18.1186870976268</v>
      </c>
      <c r="E5354" s="4" t="s">
        <v>7064</v>
      </c>
      <c r="F5354" s="4"/>
      <c r="G5354" s="4"/>
      <c r="H5354" s="4"/>
      <c r="I5354" s="4"/>
      <c r="J5354" s="18">
        <v>0.0</v>
      </c>
      <c r="K5354" s="4" t="s">
        <v>8494</v>
      </c>
      <c r="L5354" s="19" t="s">
        <v>8494</v>
      </c>
      <c r="M5354" s="20" t="s">
        <v>8494</v>
      </c>
    </row>
    <row r="5355">
      <c r="A5355" s="6"/>
      <c r="B5355" s="6"/>
      <c r="C5355" s="6"/>
      <c r="D5355" s="4">
        <v>186.01196020749998</v>
      </c>
      <c r="E5355" s="4" t="s">
        <v>568</v>
      </c>
      <c r="F5355" s="4"/>
      <c r="G5355" s="4"/>
      <c r="H5355" s="4"/>
      <c r="I5355" s="4"/>
      <c r="J5355" s="18">
        <v>0.0</v>
      </c>
      <c r="K5355" s="4" t="s">
        <v>8494</v>
      </c>
      <c r="L5355" s="19" t="s">
        <v>8494</v>
      </c>
      <c r="M5355" s="20" t="s">
        <v>8494</v>
      </c>
    </row>
    <row r="5356">
      <c r="A5356" s="6"/>
      <c r="B5356" s="6"/>
      <c r="C5356" s="6"/>
      <c r="D5356" s="4">
        <v>18.2378451112908</v>
      </c>
      <c r="E5356" s="4" t="s">
        <v>7666</v>
      </c>
      <c r="F5356" s="4"/>
      <c r="G5356" s="4"/>
      <c r="H5356" s="4"/>
      <c r="I5356" s="4"/>
      <c r="J5356" s="18">
        <v>0.0</v>
      </c>
      <c r="K5356" s="4" t="s">
        <v>8494</v>
      </c>
      <c r="L5356" s="19" t="s">
        <v>8494</v>
      </c>
      <c r="M5356" s="20" t="s">
        <v>8494</v>
      </c>
    </row>
    <row r="5357">
      <c r="A5357" s="6"/>
      <c r="B5357" s="6"/>
      <c r="C5357" s="6"/>
      <c r="D5357" s="4">
        <v>21.5395304184325</v>
      </c>
      <c r="E5357" s="4" t="s">
        <v>7668</v>
      </c>
      <c r="F5357" s="4"/>
      <c r="G5357" s="4"/>
      <c r="H5357" s="4"/>
      <c r="I5357" s="4"/>
      <c r="J5357" s="18">
        <v>0.0</v>
      </c>
      <c r="K5357" s="4" t="s">
        <v>8494</v>
      </c>
      <c r="L5357" s="19" t="s">
        <v>8494</v>
      </c>
      <c r="M5357" s="20" t="s">
        <v>8494</v>
      </c>
    </row>
    <row r="5358">
      <c r="A5358" s="6"/>
      <c r="B5358" s="6"/>
      <c r="C5358" s="6"/>
      <c r="D5358" s="4">
        <v>42.4468005615747</v>
      </c>
      <c r="E5358" s="4" t="s">
        <v>3818</v>
      </c>
      <c r="F5358" s="4"/>
      <c r="G5358" s="4"/>
      <c r="H5358" s="4"/>
      <c r="I5358" s="4"/>
      <c r="J5358" s="18">
        <v>0.0</v>
      </c>
      <c r="K5358" s="4" t="s">
        <v>8494</v>
      </c>
      <c r="L5358" s="19" t="s">
        <v>8494</v>
      </c>
      <c r="M5358" s="20" t="s">
        <v>8494</v>
      </c>
    </row>
    <row r="5359">
      <c r="A5359" s="6"/>
      <c r="B5359" s="6"/>
      <c r="C5359" s="6"/>
      <c r="D5359" s="4">
        <v>186.01196020749998</v>
      </c>
      <c r="E5359" s="4" t="s">
        <v>6660</v>
      </c>
      <c r="F5359" s="4"/>
      <c r="G5359" s="4"/>
      <c r="H5359" s="4"/>
      <c r="I5359" s="4"/>
      <c r="J5359" s="18">
        <v>0.0</v>
      </c>
      <c r="K5359" s="4" t="s">
        <v>8494</v>
      </c>
      <c r="L5359" s="19" t="s">
        <v>8494</v>
      </c>
      <c r="M5359" s="20" t="s">
        <v>8494</v>
      </c>
    </row>
    <row r="5360">
      <c r="A5360" s="6"/>
      <c r="B5360" s="6"/>
      <c r="C5360" s="6"/>
      <c r="D5360" s="4">
        <v>77.4877128734162</v>
      </c>
      <c r="E5360" s="4" t="s">
        <v>4844</v>
      </c>
      <c r="F5360" s="4"/>
      <c r="G5360" s="4"/>
      <c r="H5360" s="4"/>
      <c r="I5360" s="4"/>
      <c r="J5360" s="18">
        <v>0.0</v>
      </c>
      <c r="K5360" s="4" t="s">
        <v>8494</v>
      </c>
      <c r="L5360" s="19" t="s">
        <v>8494</v>
      </c>
      <c r="M5360" s="20" t="s">
        <v>8494</v>
      </c>
    </row>
    <row r="5361">
      <c r="A5361" s="6"/>
      <c r="B5361" s="6"/>
      <c r="C5361" s="6"/>
      <c r="D5361" s="4">
        <v>139.508970155625</v>
      </c>
      <c r="E5361" s="4" t="s">
        <v>4141</v>
      </c>
      <c r="F5361" s="4"/>
      <c r="G5361" s="4"/>
      <c r="H5361" s="4"/>
      <c r="I5361" s="4"/>
      <c r="J5361" s="18">
        <v>0.0</v>
      </c>
      <c r="K5361" s="4" t="s">
        <v>8494</v>
      </c>
      <c r="L5361" s="19" t="s">
        <v>8494</v>
      </c>
      <c r="M5361" s="20" t="s">
        <v>8494</v>
      </c>
    </row>
    <row r="5362">
      <c r="A5362" s="6"/>
      <c r="B5362" s="6"/>
      <c r="C5362" s="6"/>
      <c r="D5362" s="4">
        <v>183.34906515309999</v>
      </c>
      <c r="E5362" s="4" t="s">
        <v>2127</v>
      </c>
      <c r="F5362" s="4"/>
      <c r="G5362" s="4"/>
      <c r="H5362" s="4"/>
      <c r="I5362" s="4"/>
      <c r="J5362" s="18">
        <v>0.0</v>
      </c>
      <c r="K5362" s="4" t="s">
        <v>8494</v>
      </c>
      <c r="L5362" s="19" t="s">
        <v>8494</v>
      </c>
      <c r="M5362" s="20" t="s">
        <v>8494</v>
      </c>
    </row>
    <row r="5363">
      <c r="A5363" s="6"/>
      <c r="B5363" s="6"/>
      <c r="C5363" s="6"/>
      <c r="D5363" s="4">
        <v>139.879474390505</v>
      </c>
      <c r="E5363" s="4" t="s">
        <v>2329</v>
      </c>
      <c r="F5363" s="4"/>
      <c r="G5363" s="4"/>
      <c r="H5363" s="4"/>
      <c r="I5363" s="4"/>
      <c r="J5363" s="18">
        <v>0.0</v>
      </c>
      <c r="K5363" s="4" t="s">
        <v>8494</v>
      </c>
      <c r="L5363" s="19" t="s">
        <v>8494</v>
      </c>
      <c r="M5363" s="20" t="s">
        <v>8494</v>
      </c>
    </row>
    <row r="5364">
      <c r="A5364" s="6"/>
      <c r="B5364" s="6"/>
      <c r="C5364" s="6"/>
      <c r="D5364" s="4">
        <v>27.9017940311251</v>
      </c>
      <c r="E5364" s="4" t="s">
        <v>7674</v>
      </c>
      <c r="F5364" s="4"/>
      <c r="G5364" s="4"/>
      <c r="H5364" s="4"/>
      <c r="I5364" s="4"/>
      <c r="J5364" s="18">
        <v>0.0</v>
      </c>
      <c r="K5364" s="4" t="s">
        <v>8494</v>
      </c>
      <c r="L5364" s="19" t="s">
        <v>8494</v>
      </c>
      <c r="M5364" s="20" t="s">
        <v>8494</v>
      </c>
    </row>
    <row r="5365">
      <c r="A5365" s="6"/>
      <c r="B5365" s="6"/>
      <c r="C5365" s="6"/>
      <c r="D5365" s="4">
        <v>2.95021097462351</v>
      </c>
      <c r="E5365" s="4" t="s">
        <v>2503</v>
      </c>
      <c r="F5365" s="4"/>
      <c r="G5365" s="4"/>
      <c r="H5365" s="4"/>
      <c r="I5365" s="4"/>
      <c r="J5365" s="18">
        <v>0.0</v>
      </c>
      <c r="K5365" s="4" t="s">
        <v>8494</v>
      </c>
      <c r="L5365" s="19" t="s">
        <v>8494</v>
      </c>
      <c r="M5365" s="20" t="s">
        <v>8494</v>
      </c>
    </row>
    <row r="5366">
      <c r="A5366" s="6"/>
      <c r="B5366" s="6"/>
      <c r="C5366" s="6"/>
      <c r="D5366" s="4">
        <v>84.9973474580172</v>
      </c>
      <c r="E5366" s="4" t="s">
        <v>4829</v>
      </c>
      <c r="F5366" s="4"/>
      <c r="G5366" s="4"/>
      <c r="H5366" s="4"/>
      <c r="I5366" s="4"/>
      <c r="J5366" s="18">
        <v>0.0</v>
      </c>
      <c r="K5366" s="4" t="s">
        <v>8494</v>
      </c>
      <c r="L5366" s="19" t="s">
        <v>8494</v>
      </c>
      <c r="M5366" s="20" t="s">
        <v>8494</v>
      </c>
    </row>
    <row r="5367">
      <c r="A5367" s="6"/>
      <c r="B5367" s="6"/>
      <c r="C5367" s="6"/>
      <c r="D5367" s="4">
        <v>102.306578114125</v>
      </c>
      <c r="E5367" s="4" t="s">
        <v>5816</v>
      </c>
      <c r="F5367" s="4"/>
      <c r="G5367" s="4"/>
      <c r="H5367" s="4"/>
      <c r="I5367" s="4"/>
      <c r="J5367" s="18">
        <v>0.0</v>
      </c>
      <c r="K5367" s="4" t="s">
        <v>8494</v>
      </c>
      <c r="L5367" s="19" t="s">
        <v>8494</v>
      </c>
      <c r="M5367" s="20" t="s">
        <v>8494</v>
      </c>
    </row>
    <row r="5368">
      <c r="A5368" s="6"/>
      <c r="B5368" s="6"/>
      <c r="C5368" s="6"/>
      <c r="D5368" s="4">
        <v>65.1041860726253</v>
      </c>
      <c r="E5368" s="4" t="s">
        <v>4076</v>
      </c>
      <c r="F5368" s="4"/>
      <c r="G5368" s="4"/>
      <c r="H5368" s="4"/>
      <c r="I5368" s="4"/>
      <c r="J5368" s="18">
        <v>0.0</v>
      </c>
      <c r="K5368" s="4" t="s">
        <v>8494</v>
      </c>
      <c r="L5368" s="19" t="s">
        <v>8494</v>
      </c>
      <c r="M5368" s="20" t="s">
        <v>8494</v>
      </c>
    </row>
    <row r="5369">
      <c r="A5369" s="6"/>
      <c r="B5369" s="6"/>
      <c r="C5369" s="6"/>
      <c r="D5369" s="4">
        <v>186.01196020749998</v>
      </c>
      <c r="E5369" s="4" t="s">
        <v>7679</v>
      </c>
      <c r="F5369" s="4"/>
      <c r="G5369" s="4"/>
      <c r="H5369" s="4"/>
      <c r="I5369" s="4"/>
      <c r="J5369" s="18">
        <v>0.0</v>
      </c>
      <c r="K5369" s="4" t="s">
        <v>8494</v>
      </c>
      <c r="L5369" s="19" t="s">
        <v>8494</v>
      </c>
      <c r="M5369" s="20" t="s">
        <v>8494</v>
      </c>
    </row>
    <row r="5370">
      <c r="A5370" s="6"/>
      <c r="B5370" s="6"/>
      <c r="C5370" s="6"/>
      <c r="D5370" s="4">
        <v>186.01196020749998</v>
      </c>
      <c r="E5370" s="4" t="s">
        <v>308</v>
      </c>
      <c r="F5370" s="4"/>
      <c r="G5370" s="4"/>
      <c r="H5370" s="4"/>
      <c r="I5370" s="4"/>
      <c r="J5370" s="18">
        <v>0.0</v>
      </c>
      <c r="K5370" s="4" t="s">
        <v>8494</v>
      </c>
      <c r="L5370" s="19" t="s">
        <v>8494</v>
      </c>
      <c r="M5370" s="20" t="s">
        <v>8494</v>
      </c>
    </row>
    <row r="5371">
      <c r="A5371" s="6"/>
      <c r="B5371" s="6"/>
      <c r="C5371" s="6"/>
      <c r="D5371" s="4">
        <v>19.2108508335667</v>
      </c>
      <c r="E5371" s="4" t="s">
        <v>1313</v>
      </c>
      <c r="F5371" s="4"/>
      <c r="G5371" s="4"/>
      <c r="H5371" s="4"/>
      <c r="I5371" s="4"/>
      <c r="J5371" s="18">
        <v>0.0</v>
      </c>
      <c r="K5371" s="4" t="s">
        <v>8494</v>
      </c>
      <c r="L5371" s="19" t="s">
        <v>8494</v>
      </c>
      <c r="M5371" s="20" t="s">
        <v>8494</v>
      </c>
    </row>
    <row r="5372">
      <c r="A5372" s="6"/>
      <c r="B5372" s="6"/>
      <c r="C5372" s="6"/>
      <c r="D5372" s="4">
        <v>176.402353230214</v>
      </c>
      <c r="E5372" s="4" t="s">
        <v>6325</v>
      </c>
      <c r="F5372" s="4"/>
      <c r="G5372" s="4"/>
      <c r="H5372" s="4"/>
      <c r="I5372" s="4"/>
      <c r="J5372" s="18">
        <v>0.0</v>
      </c>
      <c r="K5372" s="4" t="s">
        <v>8494</v>
      </c>
      <c r="L5372" s="19" t="s">
        <v>8494</v>
      </c>
      <c r="M5372" s="20" t="s">
        <v>8494</v>
      </c>
    </row>
    <row r="5373">
      <c r="A5373" s="6"/>
      <c r="B5373" s="6"/>
      <c r="C5373" s="6"/>
      <c r="D5373" s="4">
        <v>65.1041860726253</v>
      </c>
      <c r="E5373" s="4" t="s">
        <v>4008</v>
      </c>
      <c r="F5373" s="4"/>
      <c r="G5373" s="4"/>
      <c r="H5373" s="4"/>
      <c r="I5373" s="4"/>
      <c r="J5373" s="18">
        <v>0.0</v>
      </c>
      <c r="K5373" s="4" t="s">
        <v>8494</v>
      </c>
      <c r="L5373" s="19" t="s">
        <v>8494</v>
      </c>
      <c r="M5373" s="20" t="s">
        <v>8494</v>
      </c>
    </row>
    <row r="5374">
      <c r="A5374" s="6"/>
      <c r="B5374" s="6"/>
      <c r="C5374" s="6"/>
      <c r="D5374" s="4">
        <v>142.518380323977</v>
      </c>
      <c r="E5374" s="4" t="s">
        <v>4663</v>
      </c>
      <c r="F5374" s="4"/>
      <c r="G5374" s="4"/>
      <c r="H5374" s="4"/>
      <c r="I5374" s="4"/>
      <c r="J5374" s="18">
        <v>0.0</v>
      </c>
      <c r="K5374" s="4" t="s">
        <v>8494</v>
      </c>
      <c r="L5374" s="19" t="s">
        <v>8494</v>
      </c>
      <c r="M5374" s="20" t="s">
        <v>8494</v>
      </c>
    </row>
    <row r="5375">
      <c r="A5375" s="6"/>
      <c r="B5375" s="6"/>
      <c r="C5375" s="6"/>
      <c r="D5375" s="4">
        <v>55.8035880622502</v>
      </c>
      <c r="E5375" s="4" t="s">
        <v>7683</v>
      </c>
      <c r="F5375" s="4"/>
      <c r="G5375" s="4"/>
      <c r="H5375" s="4"/>
      <c r="I5375" s="4"/>
      <c r="J5375" s="18">
        <v>0.0</v>
      </c>
      <c r="K5375" s="4" t="s">
        <v>8494</v>
      </c>
      <c r="L5375" s="19" t="s">
        <v>8494</v>
      </c>
      <c r="M5375" s="20" t="s">
        <v>8494</v>
      </c>
    </row>
    <row r="5376">
      <c r="A5376" s="6"/>
      <c r="B5376" s="6"/>
      <c r="C5376" s="6"/>
      <c r="D5376" s="4">
        <v>149.36760404662303</v>
      </c>
      <c r="E5376" s="4" t="s">
        <v>6835</v>
      </c>
      <c r="F5376" s="4"/>
      <c r="G5376" s="4"/>
      <c r="H5376" s="4"/>
      <c r="I5376" s="4"/>
      <c r="J5376" s="18">
        <v>0.0</v>
      </c>
      <c r="K5376" s="4" t="s">
        <v>8494</v>
      </c>
      <c r="L5376" s="19" t="s">
        <v>8494</v>
      </c>
      <c r="M5376" s="20" t="s">
        <v>8494</v>
      </c>
    </row>
    <row r="5377">
      <c r="A5377" s="6"/>
      <c r="B5377" s="6"/>
      <c r="C5377" s="6"/>
      <c r="D5377" s="4">
        <v>26.0416744290501</v>
      </c>
      <c r="E5377" s="4" t="s">
        <v>3698</v>
      </c>
      <c r="F5377" s="4"/>
      <c r="G5377" s="4"/>
      <c r="H5377" s="4"/>
      <c r="I5377" s="4"/>
      <c r="J5377" s="18">
        <v>0.0</v>
      </c>
      <c r="K5377" s="4" t="s">
        <v>8494</v>
      </c>
      <c r="L5377" s="19" t="s">
        <v>8494</v>
      </c>
      <c r="M5377" s="20" t="s">
        <v>8494</v>
      </c>
    </row>
    <row r="5378">
      <c r="A5378" s="6"/>
      <c r="B5378" s="6"/>
      <c r="C5378" s="6"/>
      <c r="D5378" s="4">
        <v>186.01196020749998</v>
      </c>
      <c r="E5378" s="4" t="s">
        <v>2743</v>
      </c>
      <c r="F5378" s="4"/>
      <c r="G5378" s="4"/>
      <c r="H5378" s="4"/>
      <c r="I5378" s="4"/>
      <c r="J5378" s="18">
        <v>0.0</v>
      </c>
      <c r="K5378" s="4" t="s">
        <v>8494</v>
      </c>
      <c r="L5378" s="19" t="s">
        <v>8494</v>
      </c>
      <c r="M5378" s="20" t="s">
        <v>8494</v>
      </c>
    </row>
    <row r="5379">
      <c r="A5379" s="6"/>
      <c r="B5379" s="6"/>
      <c r="C5379" s="6"/>
      <c r="D5379" s="4">
        <v>74.4047840830003</v>
      </c>
      <c r="E5379" s="4" t="s">
        <v>3228</v>
      </c>
      <c r="F5379" s="4"/>
      <c r="G5379" s="4"/>
      <c r="H5379" s="4"/>
      <c r="I5379" s="4"/>
      <c r="J5379" s="18">
        <v>0.0</v>
      </c>
      <c r="K5379" s="4" t="s">
        <v>8494</v>
      </c>
      <c r="L5379" s="19" t="s">
        <v>8494</v>
      </c>
      <c r="M5379" s="20" t="s">
        <v>8494</v>
      </c>
    </row>
    <row r="5380">
      <c r="A5380" s="6"/>
      <c r="B5380" s="6"/>
      <c r="C5380" s="6"/>
      <c r="D5380" s="4">
        <v>113.110286510406</v>
      </c>
      <c r="E5380" s="4" t="s">
        <v>6894</v>
      </c>
      <c r="F5380" s="4"/>
      <c r="G5380" s="4"/>
      <c r="H5380" s="4"/>
      <c r="I5380" s="4"/>
      <c r="J5380" s="18">
        <v>0.0</v>
      </c>
      <c r="K5380" s="4" t="s">
        <v>8494</v>
      </c>
      <c r="L5380" s="19" t="s">
        <v>8494</v>
      </c>
      <c r="M5380" s="20" t="s">
        <v>8494</v>
      </c>
    </row>
    <row r="5381">
      <c r="A5381" s="6"/>
      <c r="B5381" s="6"/>
      <c r="C5381" s="6"/>
      <c r="D5381" s="4">
        <v>158.57385229947602</v>
      </c>
      <c r="E5381" s="4" t="s">
        <v>1791</v>
      </c>
      <c r="F5381" s="4"/>
      <c r="G5381" s="4"/>
      <c r="H5381" s="4"/>
      <c r="I5381" s="4"/>
      <c r="J5381" s="18">
        <v>0.0</v>
      </c>
      <c r="K5381" s="4" t="s">
        <v>8494</v>
      </c>
      <c r="L5381" s="19" t="s">
        <v>8494</v>
      </c>
      <c r="M5381" s="20" t="s">
        <v>8494</v>
      </c>
    </row>
    <row r="5382">
      <c r="A5382" s="6"/>
      <c r="B5382" s="6"/>
      <c r="C5382" s="6"/>
      <c r="D5382" s="4">
        <v>172.53769553619102</v>
      </c>
      <c r="E5382" s="4" t="s">
        <v>6409</v>
      </c>
      <c r="F5382" s="4"/>
      <c r="G5382" s="4"/>
      <c r="H5382" s="4"/>
      <c r="I5382" s="4"/>
      <c r="J5382" s="18">
        <v>0.0</v>
      </c>
      <c r="K5382" s="4" t="s">
        <v>8494</v>
      </c>
      <c r="L5382" s="19" t="s">
        <v>8494</v>
      </c>
      <c r="M5382" s="20" t="s">
        <v>8494</v>
      </c>
    </row>
    <row r="5383">
      <c r="A5383" s="6"/>
      <c r="B5383" s="6"/>
      <c r="C5383" s="6"/>
      <c r="D5383" s="4">
        <v>186.01196020749998</v>
      </c>
      <c r="E5383" s="4" t="s">
        <v>2588</v>
      </c>
      <c r="F5383" s="4"/>
      <c r="G5383" s="4"/>
      <c r="H5383" s="4"/>
      <c r="I5383" s="4"/>
      <c r="J5383" s="18">
        <v>0.0</v>
      </c>
      <c r="K5383" s="4" t="s">
        <v>8494</v>
      </c>
      <c r="L5383" s="19" t="s">
        <v>8494</v>
      </c>
      <c r="M5383" s="20" t="s">
        <v>8494</v>
      </c>
    </row>
    <row r="5384">
      <c r="A5384" s="6"/>
      <c r="B5384" s="6"/>
      <c r="C5384" s="6"/>
      <c r="D5384" s="4">
        <v>65.1041860726253</v>
      </c>
      <c r="E5384" s="4" t="s">
        <v>5968</v>
      </c>
      <c r="F5384" s="4"/>
      <c r="G5384" s="4"/>
      <c r="H5384" s="4"/>
      <c r="I5384" s="4"/>
      <c r="J5384" s="18">
        <v>0.0</v>
      </c>
      <c r="K5384" s="4" t="s">
        <v>8494</v>
      </c>
      <c r="L5384" s="19" t="s">
        <v>8494</v>
      </c>
      <c r="M5384" s="20" t="s">
        <v>8494</v>
      </c>
    </row>
    <row r="5385">
      <c r="A5385" s="6"/>
      <c r="B5385" s="6"/>
      <c r="C5385" s="6"/>
      <c r="D5385" s="4">
        <v>65.1041860726253</v>
      </c>
      <c r="E5385" s="4" t="s">
        <v>6372</v>
      </c>
      <c r="F5385" s="4"/>
      <c r="G5385" s="4"/>
      <c r="H5385" s="4"/>
      <c r="I5385" s="4"/>
      <c r="J5385" s="18">
        <v>0.0</v>
      </c>
      <c r="K5385" s="4" t="s">
        <v>8494</v>
      </c>
      <c r="L5385" s="19" t="s">
        <v>8494</v>
      </c>
      <c r="M5385" s="20" t="s">
        <v>8494</v>
      </c>
    </row>
    <row r="5386">
      <c r="A5386" s="6"/>
      <c r="B5386" s="6"/>
      <c r="C5386" s="6"/>
      <c r="D5386" s="4">
        <v>186.01196020749998</v>
      </c>
      <c r="E5386" s="4" t="s">
        <v>870</v>
      </c>
      <c r="F5386" s="4"/>
      <c r="G5386" s="4"/>
      <c r="H5386" s="4"/>
      <c r="I5386" s="4"/>
      <c r="J5386" s="18">
        <v>0.0</v>
      </c>
      <c r="K5386" s="4" t="s">
        <v>8494</v>
      </c>
      <c r="L5386" s="19" t="s">
        <v>8494</v>
      </c>
      <c r="M5386" s="20" t="s">
        <v>8494</v>
      </c>
    </row>
    <row r="5387">
      <c r="A5387" s="6"/>
      <c r="B5387" s="6"/>
      <c r="C5387" s="6"/>
      <c r="D5387" s="4">
        <v>90.3598203138565</v>
      </c>
      <c r="E5387" s="4" t="s">
        <v>3117</v>
      </c>
      <c r="F5387" s="4"/>
      <c r="G5387" s="4"/>
      <c r="H5387" s="4"/>
      <c r="I5387" s="4"/>
      <c r="J5387" s="18">
        <v>0.0</v>
      </c>
      <c r="K5387" s="4" t="s">
        <v>8494</v>
      </c>
      <c r="L5387" s="19" t="s">
        <v>8494</v>
      </c>
      <c r="M5387" s="20" t="s">
        <v>8494</v>
      </c>
    </row>
    <row r="5388">
      <c r="A5388" s="6"/>
      <c r="B5388" s="6"/>
      <c r="C5388" s="6"/>
      <c r="D5388" s="4">
        <v>65.01345105444301</v>
      </c>
      <c r="E5388" s="4" t="s">
        <v>4660</v>
      </c>
      <c r="F5388" s="4"/>
      <c r="G5388" s="4"/>
      <c r="H5388" s="4"/>
      <c r="I5388" s="4"/>
      <c r="J5388" s="18">
        <v>0.0</v>
      </c>
      <c r="K5388" s="4" t="s">
        <v>8494</v>
      </c>
      <c r="L5388" s="19" t="s">
        <v>8494</v>
      </c>
      <c r="M5388" s="20" t="s">
        <v>8494</v>
      </c>
    </row>
    <row r="5389">
      <c r="A5389" s="6"/>
      <c r="B5389" s="6"/>
      <c r="C5389" s="6"/>
      <c r="D5389" s="4">
        <v>56.913227796598704</v>
      </c>
      <c r="E5389" s="4" t="s">
        <v>3368</v>
      </c>
      <c r="F5389" s="4"/>
      <c r="G5389" s="4"/>
      <c r="H5389" s="4"/>
      <c r="I5389" s="4"/>
      <c r="J5389" s="18">
        <v>0.0</v>
      </c>
      <c r="K5389" s="4" t="s">
        <v>8494</v>
      </c>
      <c r="L5389" s="19" t="s">
        <v>8494</v>
      </c>
      <c r="M5389" s="20" t="s">
        <v>8494</v>
      </c>
    </row>
    <row r="5390">
      <c r="A5390" s="6"/>
      <c r="B5390" s="6"/>
      <c r="C5390" s="6"/>
      <c r="D5390" s="4">
        <v>67.0769419506479</v>
      </c>
      <c r="E5390" s="4" t="s">
        <v>3314</v>
      </c>
      <c r="F5390" s="4"/>
      <c r="G5390" s="4"/>
      <c r="H5390" s="4"/>
      <c r="I5390" s="4"/>
      <c r="J5390" s="18">
        <v>0.0</v>
      </c>
      <c r="K5390" s="4" t="s">
        <v>8494</v>
      </c>
      <c r="L5390" s="19" t="s">
        <v>8494</v>
      </c>
      <c r="M5390" s="20" t="s">
        <v>8494</v>
      </c>
    </row>
    <row r="5391">
      <c r="A5391" s="6"/>
      <c r="B5391" s="6"/>
      <c r="C5391" s="6"/>
      <c r="D5391" s="4">
        <v>186.01196020749998</v>
      </c>
      <c r="E5391" s="4" t="s">
        <v>6156</v>
      </c>
      <c r="F5391" s="4"/>
      <c r="G5391" s="4"/>
      <c r="H5391" s="4"/>
      <c r="I5391" s="4"/>
      <c r="J5391" s="18">
        <v>0.0</v>
      </c>
      <c r="K5391" s="4" t="s">
        <v>8494</v>
      </c>
      <c r="L5391" s="19" t="s">
        <v>8494</v>
      </c>
      <c r="M5391" s="20" t="s">
        <v>8494</v>
      </c>
    </row>
    <row r="5392">
      <c r="A5392" s="6"/>
      <c r="B5392" s="6"/>
      <c r="C5392" s="6"/>
      <c r="D5392" s="4">
        <v>25.8019353404766</v>
      </c>
      <c r="E5392" s="4" t="s">
        <v>5202</v>
      </c>
      <c r="F5392" s="4"/>
      <c r="G5392" s="4"/>
      <c r="H5392" s="4"/>
      <c r="I5392" s="4"/>
      <c r="J5392" s="18">
        <v>0.0</v>
      </c>
      <c r="K5392" s="4" t="s">
        <v>8494</v>
      </c>
      <c r="L5392" s="19" t="s">
        <v>8494</v>
      </c>
      <c r="M5392" s="20" t="s">
        <v>8494</v>
      </c>
    </row>
    <row r="5393">
      <c r="A5393" s="6"/>
      <c r="B5393" s="6"/>
      <c r="C5393" s="6"/>
      <c r="D5393" s="4">
        <v>14.2891584457251</v>
      </c>
      <c r="E5393" s="4" t="s">
        <v>338</v>
      </c>
      <c r="F5393" s="4"/>
      <c r="G5393" s="4"/>
      <c r="H5393" s="4"/>
      <c r="I5393" s="4"/>
      <c r="J5393" s="18">
        <v>0.0</v>
      </c>
      <c r="K5393" s="4" t="s">
        <v>8494</v>
      </c>
      <c r="L5393" s="19" t="s">
        <v>8494</v>
      </c>
      <c r="M5393" s="20" t="s">
        <v>8494</v>
      </c>
    </row>
    <row r="5394">
      <c r="A5394" s="6"/>
      <c r="B5394" s="6"/>
      <c r="C5394" s="6"/>
      <c r="D5394" s="4">
        <v>186.01196020749998</v>
      </c>
      <c r="E5394" s="4" t="s">
        <v>1645</v>
      </c>
      <c r="F5394" s="4"/>
      <c r="G5394" s="4"/>
      <c r="H5394" s="4"/>
      <c r="I5394" s="4"/>
      <c r="J5394" s="18">
        <v>0.0</v>
      </c>
      <c r="K5394" s="4" t="s">
        <v>8494</v>
      </c>
      <c r="L5394" s="19" t="s">
        <v>8494</v>
      </c>
      <c r="M5394" s="20" t="s">
        <v>8494</v>
      </c>
    </row>
    <row r="5395">
      <c r="A5395" s="6"/>
      <c r="B5395" s="6"/>
      <c r="C5395" s="6"/>
      <c r="D5395" s="4">
        <v>9.30059801037504</v>
      </c>
      <c r="E5395" s="4" t="s">
        <v>5117</v>
      </c>
      <c r="F5395" s="4"/>
      <c r="G5395" s="4"/>
      <c r="H5395" s="4"/>
      <c r="I5395" s="4"/>
      <c r="J5395" s="18">
        <v>0.0</v>
      </c>
      <c r="K5395" s="4" t="s">
        <v>8494</v>
      </c>
      <c r="L5395" s="19" t="s">
        <v>8494</v>
      </c>
      <c r="M5395" s="20" t="s">
        <v>8494</v>
      </c>
    </row>
    <row r="5396">
      <c r="A5396" s="6"/>
      <c r="B5396" s="6"/>
      <c r="C5396" s="6"/>
      <c r="D5396" s="4">
        <v>9.31942379463238</v>
      </c>
      <c r="E5396" s="4" t="s">
        <v>5032</v>
      </c>
      <c r="F5396" s="4"/>
      <c r="G5396" s="4"/>
      <c r="H5396" s="4"/>
      <c r="I5396" s="4"/>
      <c r="J5396" s="18">
        <v>0.0</v>
      </c>
      <c r="K5396" s="4" t="s">
        <v>8494</v>
      </c>
      <c r="L5396" s="19" t="s">
        <v>8494</v>
      </c>
      <c r="M5396" s="20" t="s">
        <v>8494</v>
      </c>
    </row>
    <row r="5397">
      <c r="A5397" s="6"/>
      <c r="B5397" s="6"/>
      <c r="C5397" s="6"/>
      <c r="D5397" s="4">
        <v>186.01196020749998</v>
      </c>
      <c r="E5397" s="4" t="s">
        <v>2840</v>
      </c>
      <c r="F5397" s="4"/>
      <c r="G5397" s="4"/>
      <c r="H5397" s="4"/>
      <c r="I5397" s="4"/>
      <c r="J5397" s="18">
        <v>0.0</v>
      </c>
      <c r="K5397" s="4" t="s">
        <v>8494</v>
      </c>
      <c r="L5397" s="19" t="s">
        <v>8494</v>
      </c>
      <c r="M5397" s="20" t="s">
        <v>8494</v>
      </c>
    </row>
    <row r="5398">
      <c r="A5398" s="6"/>
      <c r="B5398" s="6"/>
      <c r="C5398" s="6"/>
      <c r="D5398" s="4">
        <v>52.2503518585865</v>
      </c>
      <c r="E5398" s="4" t="s">
        <v>7697</v>
      </c>
      <c r="F5398" s="4"/>
      <c r="G5398" s="4"/>
      <c r="H5398" s="4"/>
      <c r="I5398" s="4"/>
      <c r="J5398" s="18">
        <v>0.0</v>
      </c>
      <c r="K5398" s="4" t="s">
        <v>8494</v>
      </c>
      <c r="L5398" s="19" t="s">
        <v>8494</v>
      </c>
      <c r="M5398" s="20" t="s">
        <v>8494</v>
      </c>
    </row>
    <row r="5399">
      <c r="A5399" s="6"/>
      <c r="B5399" s="6"/>
      <c r="C5399" s="6"/>
      <c r="D5399" s="4">
        <v>40.789285111036904</v>
      </c>
      <c r="E5399" s="4" t="s">
        <v>7699</v>
      </c>
      <c r="F5399" s="4"/>
      <c r="G5399" s="4"/>
      <c r="H5399" s="4"/>
      <c r="I5399" s="4"/>
      <c r="J5399" s="18">
        <v>0.0</v>
      </c>
      <c r="K5399" s="4" t="s">
        <v>8494</v>
      </c>
      <c r="L5399" s="19" t="s">
        <v>8494</v>
      </c>
      <c r="M5399" s="20" t="s">
        <v>8494</v>
      </c>
    </row>
    <row r="5400">
      <c r="A5400" s="6"/>
      <c r="B5400" s="6"/>
      <c r="C5400" s="6"/>
      <c r="D5400" s="4">
        <v>14.8707822877116</v>
      </c>
      <c r="E5400" s="4" t="s">
        <v>3495</v>
      </c>
      <c r="F5400" s="4"/>
      <c r="G5400" s="4"/>
      <c r="H5400" s="4"/>
      <c r="I5400" s="4"/>
      <c r="J5400" s="18">
        <v>0.0</v>
      </c>
      <c r="K5400" s="4" t="s">
        <v>8494</v>
      </c>
      <c r="L5400" s="19" t="s">
        <v>8494</v>
      </c>
      <c r="M5400" s="20" t="s">
        <v>8494</v>
      </c>
    </row>
    <row r="5401">
      <c r="A5401" s="6"/>
      <c r="B5401" s="6"/>
      <c r="C5401" s="6"/>
      <c r="D5401" s="4">
        <v>1.41235021048296</v>
      </c>
      <c r="E5401" s="4" t="s">
        <v>6544</v>
      </c>
      <c r="F5401" s="4"/>
      <c r="G5401" s="4"/>
      <c r="H5401" s="4"/>
      <c r="I5401" s="4"/>
      <c r="J5401" s="18">
        <v>0.0</v>
      </c>
      <c r="K5401" s="4" t="s">
        <v>8494</v>
      </c>
      <c r="L5401" s="19" t="s">
        <v>8494</v>
      </c>
      <c r="M5401" s="20" t="s">
        <v>8494</v>
      </c>
    </row>
    <row r="5402">
      <c r="A5402" s="6"/>
      <c r="B5402" s="6"/>
      <c r="C5402" s="6"/>
      <c r="D5402" s="4">
        <v>24.246634203806998</v>
      </c>
      <c r="E5402" s="4" t="s">
        <v>5550</v>
      </c>
      <c r="F5402" s="4"/>
      <c r="G5402" s="4"/>
      <c r="H5402" s="4"/>
      <c r="I5402" s="4"/>
      <c r="J5402" s="18">
        <v>0.0</v>
      </c>
      <c r="K5402" s="4" t="s">
        <v>8494</v>
      </c>
      <c r="L5402" s="19" t="s">
        <v>8494</v>
      </c>
      <c r="M5402" s="20" t="s">
        <v>8494</v>
      </c>
    </row>
    <row r="5403">
      <c r="A5403" s="6"/>
      <c r="B5403" s="6"/>
      <c r="C5403" s="6"/>
      <c r="D5403" s="4">
        <v>61.022193468234704</v>
      </c>
      <c r="E5403" s="4" t="s">
        <v>7704</v>
      </c>
      <c r="F5403" s="4"/>
      <c r="G5403" s="4"/>
      <c r="H5403" s="4"/>
      <c r="I5403" s="4"/>
      <c r="J5403" s="18">
        <v>0.0</v>
      </c>
      <c r="K5403" s="4" t="s">
        <v>8494</v>
      </c>
      <c r="L5403" s="19" t="s">
        <v>8494</v>
      </c>
      <c r="M5403" s="20" t="s">
        <v>8494</v>
      </c>
    </row>
    <row r="5404">
      <c r="A5404" s="6"/>
      <c r="B5404" s="6"/>
      <c r="C5404" s="6"/>
      <c r="D5404" s="4">
        <v>7.34245431525612</v>
      </c>
      <c r="E5404" s="4" t="s">
        <v>4594</v>
      </c>
      <c r="F5404" s="4"/>
      <c r="G5404" s="4"/>
      <c r="H5404" s="4"/>
      <c r="I5404" s="4"/>
      <c r="J5404" s="18">
        <v>0.0</v>
      </c>
      <c r="K5404" s="4" t="s">
        <v>8494</v>
      </c>
      <c r="L5404" s="19" t="s">
        <v>8494</v>
      </c>
      <c r="M5404" s="20" t="s">
        <v>8494</v>
      </c>
    </row>
    <row r="5405">
      <c r="A5405" s="6"/>
      <c r="B5405" s="6"/>
      <c r="C5405" s="6"/>
      <c r="D5405" s="4">
        <v>186.01196020749998</v>
      </c>
      <c r="E5405" s="4" t="s">
        <v>6088</v>
      </c>
      <c r="F5405" s="4"/>
      <c r="G5405" s="4"/>
      <c r="H5405" s="4"/>
      <c r="I5405" s="4"/>
      <c r="J5405" s="18">
        <v>0.0</v>
      </c>
      <c r="K5405" s="4" t="s">
        <v>8494</v>
      </c>
      <c r="L5405" s="19" t="s">
        <v>8494</v>
      </c>
      <c r="M5405" s="20" t="s">
        <v>8494</v>
      </c>
    </row>
    <row r="5406">
      <c r="A5406" s="6"/>
      <c r="B5406" s="6"/>
      <c r="C5406" s="6"/>
      <c r="D5406" s="4">
        <v>11.2305929961874</v>
      </c>
      <c r="E5406" s="4" t="s">
        <v>6747</v>
      </c>
      <c r="F5406" s="4"/>
      <c r="G5406" s="4"/>
      <c r="H5406" s="4"/>
      <c r="I5406" s="4"/>
      <c r="J5406" s="18">
        <v>0.0</v>
      </c>
      <c r="K5406" s="4" t="s">
        <v>8494</v>
      </c>
      <c r="L5406" s="19" t="s">
        <v>8494</v>
      </c>
      <c r="M5406" s="20" t="s">
        <v>8494</v>
      </c>
    </row>
    <row r="5407">
      <c r="A5407" s="6"/>
      <c r="B5407" s="6"/>
      <c r="C5407" s="6"/>
      <c r="D5407" s="4">
        <v>186.01196020749998</v>
      </c>
      <c r="E5407" s="4" t="s">
        <v>4154</v>
      </c>
      <c r="F5407" s="4"/>
      <c r="G5407" s="4"/>
      <c r="H5407" s="4"/>
      <c r="I5407" s="4"/>
      <c r="J5407" s="18">
        <v>0.0</v>
      </c>
      <c r="K5407" s="4" t="s">
        <v>8494</v>
      </c>
      <c r="L5407" s="19" t="s">
        <v>8494</v>
      </c>
      <c r="M5407" s="20" t="s">
        <v>8494</v>
      </c>
    </row>
    <row r="5408">
      <c r="A5408" s="6"/>
      <c r="B5408" s="6"/>
      <c r="C5408" s="6"/>
      <c r="D5408" s="4">
        <v>56.2604172612918</v>
      </c>
      <c r="E5408" s="4" t="s">
        <v>7708</v>
      </c>
      <c r="F5408" s="4"/>
      <c r="G5408" s="4"/>
      <c r="H5408" s="4"/>
      <c r="I5408" s="4"/>
      <c r="J5408" s="18">
        <v>0.0</v>
      </c>
      <c r="K5408" s="4" t="s">
        <v>8494</v>
      </c>
      <c r="L5408" s="19" t="s">
        <v>8494</v>
      </c>
      <c r="M5408" s="20" t="s">
        <v>8494</v>
      </c>
    </row>
    <row r="5409">
      <c r="A5409" s="6"/>
      <c r="B5409" s="6"/>
      <c r="C5409" s="6"/>
      <c r="D5409" s="4">
        <v>186.01196020749998</v>
      </c>
      <c r="E5409" s="4" t="s">
        <v>1514</v>
      </c>
      <c r="F5409" s="4"/>
      <c r="G5409" s="4"/>
      <c r="H5409" s="4"/>
      <c r="I5409" s="4"/>
      <c r="J5409" s="18">
        <v>0.0</v>
      </c>
      <c r="K5409" s="4" t="s">
        <v>8494</v>
      </c>
      <c r="L5409" s="19" t="s">
        <v>8494</v>
      </c>
      <c r="M5409" s="20" t="s">
        <v>8494</v>
      </c>
    </row>
    <row r="5410">
      <c r="A5410" s="6"/>
      <c r="B5410" s="6"/>
      <c r="C5410" s="6"/>
      <c r="D5410" s="4">
        <v>157.01272114954898</v>
      </c>
      <c r="E5410" s="4" t="s">
        <v>321</v>
      </c>
      <c r="F5410" s="4"/>
      <c r="G5410" s="4"/>
      <c r="H5410" s="4"/>
      <c r="I5410" s="4"/>
      <c r="J5410" s="18">
        <v>0.0</v>
      </c>
      <c r="K5410" s="4" t="s">
        <v>8494</v>
      </c>
      <c r="L5410" s="19" t="s">
        <v>8494</v>
      </c>
      <c r="M5410" s="20" t="s">
        <v>8494</v>
      </c>
    </row>
    <row r="5411">
      <c r="A5411" s="6"/>
      <c r="B5411" s="6"/>
      <c r="C5411" s="6"/>
      <c r="D5411" s="4">
        <v>186.01196020749998</v>
      </c>
      <c r="E5411" s="4" t="s">
        <v>6689</v>
      </c>
      <c r="F5411" s="4"/>
      <c r="G5411" s="4"/>
      <c r="H5411" s="4"/>
      <c r="I5411" s="4"/>
      <c r="J5411" s="18">
        <v>0.0</v>
      </c>
      <c r="K5411" s="4" t="s">
        <v>8494</v>
      </c>
      <c r="L5411" s="19" t="s">
        <v>8494</v>
      </c>
      <c r="M5411" s="20" t="s">
        <v>8494</v>
      </c>
    </row>
    <row r="5412">
      <c r="A5412" s="6"/>
      <c r="B5412" s="6"/>
      <c r="C5412" s="6"/>
      <c r="D5412" s="4">
        <v>186.01196020749998</v>
      </c>
      <c r="E5412" s="4" t="s">
        <v>610</v>
      </c>
      <c r="F5412" s="4"/>
      <c r="G5412" s="4"/>
      <c r="H5412" s="4"/>
      <c r="I5412" s="4"/>
      <c r="J5412" s="18">
        <v>0.0</v>
      </c>
      <c r="K5412" s="4" t="s">
        <v>8494</v>
      </c>
      <c r="L5412" s="19" t="s">
        <v>8494</v>
      </c>
      <c r="M5412" s="20" t="s">
        <v>8494</v>
      </c>
    </row>
    <row r="5413">
      <c r="A5413" s="6"/>
      <c r="B5413" s="6"/>
      <c r="C5413" s="6"/>
      <c r="D5413" s="4">
        <v>18.60119602075</v>
      </c>
      <c r="E5413" s="4" t="s">
        <v>480</v>
      </c>
      <c r="F5413" s="4"/>
      <c r="G5413" s="4"/>
      <c r="H5413" s="4"/>
      <c r="I5413" s="4"/>
      <c r="J5413" s="18">
        <v>0.0</v>
      </c>
      <c r="K5413" s="4" t="s">
        <v>8494</v>
      </c>
      <c r="L5413" s="19" t="s">
        <v>8494</v>
      </c>
      <c r="M5413" s="20" t="s">
        <v>8494</v>
      </c>
    </row>
    <row r="5414">
      <c r="A5414" s="6"/>
      <c r="B5414" s="6"/>
      <c r="C5414" s="6"/>
      <c r="D5414" s="4">
        <v>6.89524258575822</v>
      </c>
      <c r="E5414" s="4" t="s">
        <v>5595</v>
      </c>
      <c r="F5414" s="4"/>
      <c r="G5414" s="4"/>
      <c r="H5414" s="4"/>
      <c r="I5414" s="4"/>
      <c r="J5414" s="18">
        <v>0.0</v>
      </c>
      <c r="K5414" s="4" t="s">
        <v>8494</v>
      </c>
      <c r="L5414" s="19" t="s">
        <v>8494</v>
      </c>
      <c r="M5414" s="20" t="s">
        <v>8494</v>
      </c>
    </row>
    <row r="5415">
      <c r="A5415" s="6"/>
      <c r="B5415" s="6"/>
      <c r="C5415" s="6"/>
      <c r="D5415" s="4">
        <v>186.01196020749998</v>
      </c>
      <c r="E5415" s="4" t="s">
        <v>613</v>
      </c>
      <c r="F5415" s="4"/>
      <c r="G5415" s="4"/>
      <c r="H5415" s="4"/>
      <c r="I5415" s="4"/>
      <c r="J5415" s="18">
        <v>0.0</v>
      </c>
      <c r="K5415" s="4" t="s">
        <v>8494</v>
      </c>
      <c r="L5415" s="19" t="s">
        <v>8494</v>
      </c>
      <c r="M5415" s="20" t="s">
        <v>8494</v>
      </c>
    </row>
    <row r="5416">
      <c r="A5416" s="6"/>
      <c r="B5416" s="6"/>
      <c r="C5416" s="6"/>
      <c r="D5416" s="4">
        <v>9.30059801037504</v>
      </c>
      <c r="E5416" s="4" t="s">
        <v>4800</v>
      </c>
      <c r="F5416" s="4"/>
      <c r="G5416" s="4"/>
      <c r="H5416" s="4"/>
      <c r="I5416" s="4"/>
      <c r="J5416" s="18">
        <v>0.0</v>
      </c>
      <c r="K5416" s="4" t="s">
        <v>8494</v>
      </c>
      <c r="L5416" s="19" t="s">
        <v>8494</v>
      </c>
      <c r="M5416" s="20" t="s">
        <v>8494</v>
      </c>
    </row>
    <row r="5417">
      <c r="A5417" s="6"/>
      <c r="B5417" s="6"/>
      <c r="C5417" s="6"/>
      <c r="D5417" s="4">
        <v>167.87557816501</v>
      </c>
      <c r="E5417" s="4" t="s">
        <v>2658</v>
      </c>
      <c r="F5417" s="4"/>
      <c r="G5417" s="4"/>
      <c r="H5417" s="4"/>
      <c r="I5417" s="4"/>
      <c r="J5417" s="18">
        <v>0.0</v>
      </c>
      <c r="K5417" s="4" t="s">
        <v>8494</v>
      </c>
      <c r="L5417" s="19" t="s">
        <v>8494</v>
      </c>
      <c r="M5417" s="20" t="s">
        <v>8494</v>
      </c>
    </row>
    <row r="5418">
      <c r="A5418" s="6"/>
      <c r="B5418" s="6"/>
      <c r="C5418" s="6"/>
      <c r="D5418" s="4">
        <v>186.01196020749998</v>
      </c>
      <c r="E5418" s="4" t="s">
        <v>97</v>
      </c>
      <c r="F5418" s="4"/>
      <c r="G5418" s="4"/>
      <c r="H5418" s="4"/>
      <c r="I5418" s="4"/>
      <c r="J5418" s="18">
        <v>0.0</v>
      </c>
      <c r="K5418" s="4" t="s">
        <v>8494</v>
      </c>
      <c r="L5418" s="19" t="s">
        <v>8494</v>
      </c>
      <c r="M5418" s="20" t="s">
        <v>8494</v>
      </c>
    </row>
    <row r="5419">
      <c r="A5419" s="6"/>
      <c r="B5419" s="6"/>
      <c r="C5419" s="6"/>
      <c r="D5419" s="4">
        <v>88.5636617836755</v>
      </c>
      <c r="E5419" s="4" t="s">
        <v>2366</v>
      </c>
      <c r="F5419" s="4"/>
      <c r="G5419" s="4"/>
      <c r="H5419" s="4"/>
      <c r="I5419" s="4"/>
      <c r="J5419" s="18">
        <v>0.0</v>
      </c>
      <c r="K5419" s="4" t="s">
        <v>8494</v>
      </c>
      <c r="L5419" s="19" t="s">
        <v>8494</v>
      </c>
      <c r="M5419" s="20" t="s">
        <v>8494</v>
      </c>
    </row>
    <row r="5420">
      <c r="A5420" s="6"/>
      <c r="B5420" s="6"/>
      <c r="C5420" s="6"/>
      <c r="D5420" s="4">
        <v>140.729516063035</v>
      </c>
      <c r="E5420" s="4" t="s">
        <v>4629</v>
      </c>
      <c r="F5420" s="4"/>
      <c r="G5420" s="4"/>
      <c r="H5420" s="4"/>
      <c r="I5420" s="4"/>
      <c r="J5420" s="18">
        <v>0.0</v>
      </c>
      <c r="K5420" s="4" t="s">
        <v>8494</v>
      </c>
      <c r="L5420" s="19" t="s">
        <v>8494</v>
      </c>
      <c r="M5420" s="20" t="s">
        <v>8494</v>
      </c>
    </row>
    <row r="5421">
      <c r="A5421" s="6"/>
      <c r="B5421" s="6"/>
      <c r="C5421" s="6"/>
      <c r="D5421" s="4">
        <v>186.01196020749998</v>
      </c>
      <c r="E5421" s="4" t="s">
        <v>761</v>
      </c>
      <c r="F5421" s="4"/>
      <c r="G5421" s="4"/>
      <c r="H5421" s="4"/>
      <c r="I5421" s="4"/>
      <c r="J5421" s="18">
        <v>0.0</v>
      </c>
      <c r="K5421" s="4" t="s">
        <v>8494</v>
      </c>
      <c r="L5421" s="19" t="s">
        <v>8494</v>
      </c>
      <c r="M5421" s="20" t="s">
        <v>8494</v>
      </c>
    </row>
    <row r="5422">
      <c r="A5422" s="6"/>
      <c r="B5422" s="6"/>
      <c r="C5422" s="6"/>
      <c r="D5422" s="4">
        <v>139.88099407604</v>
      </c>
      <c r="E5422" s="4" t="s">
        <v>4770</v>
      </c>
      <c r="F5422" s="4"/>
      <c r="G5422" s="4"/>
      <c r="H5422" s="4"/>
      <c r="I5422" s="4"/>
      <c r="J5422" s="18">
        <v>0.0</v>
      </c>
      <c r="K5422" s="4" t="s">
        <v>8494</v>
      </c>
      <c r="L5422" s="19" t="s">
        <v>8494</v>
      </c>
      <c r="M5422" s="20" t="s">
        <v>8494</v>
      </c>
    </row>
    <row r="5423">
      <c r="A5423" s="6"/>
      <c r="B5423" s="6"/>
      <c r="C5423" s="6"/>
      <c r="D5423" s="4">
        <v>186.01196020749998</v>
      </c>
      <c r="E5423" s="4" t="s">
        <v>5286</v>
      </c>
      <c r="F5423" s="4"/>
      <c r="G5423" s="4"/>
      <c r="H5423" s="4"/>
      <c r="I5423" s="4"/>
      <c r="J5423" s="18">
        <v>0.0</v>
      </c>
      <c r="K5423" s="4" t="s">
        <v>8494</v>
      </c>
      <c r="L5423" s="19" t="s">
        <v>8494</v>
      </c>
      <c r="M5423" s="20" t="s">
        <v>8494</v>
      </c>
    </row>
    <row r="5424">
      <c r="A5424" s="6"/>
      <c r="B5424" s="6"/>
      <c r="C5424" s="6"/>
      <c r="D5424" s="4">
        <v>16.8195345611091</v>
      </c>
      <c r="E5424" s="4" t="s">
        <v>7716</v>
      </c>
      <c r="F5424" s="4"/>
      <c r="G5424" s="4"/>
      <c r="H5424" s="4"/>
      <c r="I5424" s="4"/>
      <c r="J5424" s="18">
        <v>0.0</v>
      </c>
      <c r="K5424" s="4" t="s">
        <v>8494</v>
      </c>
      <c r="L5424" s="19" t="s">
        <v>8494</v>
      </c>
      <c r="M5424" s="20" t="s">
        <v>8494</v>
      </c>
    </row>
    <row r="5425">
      <c r="A5425" s="6"/>
      <c r="B5425" s="6"/>
      <c r="C5425" s="6"/>
      <c r="D5425" s="4">
        <v>139.508970155625</v>
      </c>
      <c r="E5425" s="4" t="s">
        <v>2692</v>
      </c>
      <c r="F5425" s="4"/>
      <c r="G5425" s="4"/>
      <c r="H5425" s="4"/>
      <c r="I5425" s="4"/>
      <c r="J5425" s="18">
        <v>0.0</v>
      </c>
      <c r="K5425" s="4" t="s">
        <v>8494</v>
      </c>
      <c r="L5425" s="19" t="s">
        <v>8494</v>
      </c>
      <c r="M5425" s="20" t="s">
        <v>8494</v>
      </c>
    </row>
    <row r="5426">
      <c r="A5426" s="6"/>
      <c r="B5426" s="6"/>
      <c r="C5426" s="6"/>
      <c r="D5426" s="4">
        <v>108.493656329243</v>
      </c>
      <c r="E5426" s="4" t="s">
        <v>7718</v>
      </c>
      <c r="F5426" s="4"/>
      <c r="G5426" s="4"/>
      <c r="H5426" s="4"/>
      <c r="I5426" s="4"/>
      <c r="J5426" s="18">
        <v>0.0</v>
      </c>
      <c r="K5426" s="4" t="s">
        <v>8494</v>
      </c>
      <c r="L5426" s="19" t="s">
        <v>8494</v>
      </c>
      <c r="M5426" s="20" t="s">
        <v>8494</v>
      </c>
    </row>
    <row r="5427">
      <c r="A5427" s="6"/>
      <c r="B5427" s="6"/>
      <c r="C5427" s="6"/>
      <c r="D5427" s="4">
        <v>46.5029900518752</v>
      </c>
      <c r="E5427" s="4" t="s">
        <v>7720</v>
      </c>
      <c r="F5427" s="4"/>
      <c r="G5427" s="4"/>
      <c r="H5427" s="4"/>
      <c r="I5427" s="4"/>
      <c r="J5427" s="18">
        <v>0.0</v>
      </c>
      <c r="K5427" s="4" t="s">
        <v>8494</v>
      </c>
      <c r="L5427" s="19" t="s">
        <v>8494</v>
      </c>
      <c r="M5427" s="20" t="s">
        <v>8494</v>
      </c>
    </row>
    <row r="5428">
      <c r="A5428" s="6"/>
      <c r="B5428" s="6"/>
      <c r="C5428" s="6"/>
      <c r="D5428" s="4">
        <v>92.26193226292041</v>
      </c>
      <c r="E5428" s="4" t="s">
        <v>5252</v>
      </c>
      <c r="F5428" s="4"/>
      <c r="G5428" s="4"/>
      <c r="H5428" s="4"/>
      <c r="I5428" s="4"/>
      <c r="J5428" s="18">
        <v>0.0</v>
      </c>
      <c r="K5428" s="4" t="s">
        <v>8494</v>
      </c>
      <c r="L5428" s="19" t="s">
        <v>8494</v>
      </c>
      <c r="M5428" s="20" t="s">
        <v>8494</v>
      </c>
    </row>
    <row r="5429">
      <c r="A5429" s="6"/>
      <c r="B5429" s="6"/>
      <c r="C5429" s="6"/>
      <c r="D5429" s="4">
        <v>9.519415512541121</v>
      </c>
      <c r="E5429" s="4" t="s">
        <v>5879</v>
      </c>
      <c r="F5429" s="4"/>
      <c r="G5429" s="4"/>
      <c r="H5429" s="4"/>
      <c r="I5429" s="4"/>
      <c r="J5429" s="18">
        <v>0.0</v>
      </c>
      <c r="K5429" s="4" t="s">
        <v>8494</v>
      </c>
      <c r="L5429" s="19" t="s">
        <v>8494</v>
      </c>
      <c r="M5429" s="20" t="s">
        <v>8494</v>
      </c>
    </row>
    <row r="5430">
      <c r="A5430" s="6"/>
      <c r="B5430" s="6"/>
      <c r="C5430" s="6"/>
      <c r="D5430" s="4">
        <v>140.180363305714</v>
      </c>
      <c r="E5430" s="4" t="s">
        <v>3843</v>
      </c>
      <c r="F5430" s="4"/>
      <c r="G5430" s="4"/>
      <c r="H5430" s="4"/>
      <c r="I5430" s="4"/>
      <c r="J5430" s="18">
        <v>0.0</v>
      </c>
      <c r="K5430" s="4" t="s">
        <v>8494</v>
      </c>
      <c r="L5430" s="19" t="s">
        <v>8494</v>
      </c>
      <c r="M5430" s="20" t="s">
        <v>8494</v>
      </c>
    </row>
    <row r="5431">
      <c r="A5431" s="6"/>
      <c r="B5431" s="6"/>
      <c r="C5431" s="6"/>
      <c r="D5431" s="4">
        <v>8.70091944470552</v>
      </c>
      <c r="E5431" s="4" t="s">
        <v>7241</v>
      </c>
      <c r="F5431" s="4"/>
      <c r="G5431" s="4"/>
      <c r="H5431" s="4"/>
      <c r="I5431" s="4"/>
      <c r="J5431" s="18">
        <v>0.0</v>
      </c>
      <c r="K5431" s="4" t="s">
        <v>8494</v>
      </c>
      <c r="L5431" s="19" t="s">
        <v>8494</v>
      </c>
      <c r="M5431" s="20" t="s">
        <v>8494</v>
      </c>
    </row>
    <row r="5432">
      <c r="A5432" s="6"/>
      <c r="B5432" s="6"/>
      <c r="C5432" s="6"/>
      <c r="D5432" s="4">
        <v>9.593006373018419</v>
      </c>
      <c r="E5432" s="4" t="s">
        <v>4622</v>
      </c>
      <c r="F5432" s="4"/>
      <c r="G5432" s="4"/>
      <c r="H5432" s="4"/>
      <c r="I5432" s="4"/>
      <c r="J5432" s="18">
        <v>0.0</v>
      </c>
      <c r="K5432" s="4" t="s">
        <v>8494</v>
      </c>
      <c r="L5432" s="19" t="s">
        <v>8494</v>
      </c>
      <c r="M5432" s="20" t="s">
        <v>8494</v>
      </c>
    </row>
    <row r="5433">
      <c r="A5433" s="6"/>
      <c r="B5433" s="6"/>
      <c r="C5433" s="6"/>
      <c r="D5433" s="4">
        <v>13.596010610167099</v>
      </c>
      <c r="E5433" s="4" t="s">
        <v>2974</v>
      </c>
      <c r="F5433" s="4"/>
      <c r="G5433" s="4"/>
      <c r="H5433" s="4"/>
      <c r="I5433" s="4"/>
      <c r="J5433" s="18">
        <v>0.0</v>
      </c>
      <c r="K5433" s="4" t="s">
        <v>8494</v>
      </c>
      <c r="L5433" s="19" t="s">
        <v>8494</v>
      </c>
      <c r="M5433" s="20" t="s">
        <v>8494</v>
      </c>
    </row>
    <row r="5434">
      <c r="A5434" s="6"/>
      <c r="B5434" s="6"/>
      <c r="C5434" s="6"/>
      <c r="D5434" s="4">
        <v>18.600348422097102</v>
      </c>
      <c r="E5434" s="4" t="s">
        <v>4184</v>
      </c>
      <c r="F5434" s="4"/>
      <c r="G5434" s="4"/>
      <c r="H5434" s="4"/>
      <c r="I5434" s="4"/>
      <c r="J5434" s="18">
        <v>0.0</v>
      </c>
      <c r="K5434" s="4" t="s">
        <v>8494</v>
      </c>
      <c r="L5434" s="19" t="s">
        <v>8494</v>
      </c>
      <c r="M5434" s="20" t="s">
        <v>8494</v>
      </c>
    </row>
    <row r="5435">
      <c r="A5435" s="6"/>
      <c r="B5435" s="6"/>
      <c r="C5435" s="6"/>
      <c r="D5435" s="4">
        <v>186.01196020749998</v>
      </c>
      <c r="E5435" s="4" t="s">
        <v>5031</v>
      </c>
      <c r="F5435" s="4"/>
      <c r="G5435" s="4"/>
      <c r="H5435" s="4"/>
      <c r="I5435" s="4"/>
      <c r="J5435" s="18">
        <v>0.0</v>
      </c>
      <c r="K5435" s="4" t="s">
        <v>8494</v>
      </c>
      <c r="L5435" s="19" t="s">
        <v>8494</v>
      </c>
      <c r="M5435" s="20" t="s">
        <v>8494</v>
      </c>
    </row>
    <row r="5436">
      <c r="A5436" s="6"/>
      <c r="B5436" s="6"/>
      <c r="C5436" s="6"/>
      <c r="D5436" s="4">
        <v>18.368681070490698</v>
      </c>
      <c r="E5436" s="4" t="s">
        <v>7728</v>
      </c>
      <c r="F5436" s="4"/>
      <c r="G5436" s="4"/>
      <c r="H5436" s="4"/>
      <c r="I5436" s="4"/>
      <c r="J5436" s="18">
        <v>0.0</v>
      </c>
      <c r="K5436" s="4" t="s">
        <v>8494</v>
      </c>
      <c r="L5436" s="19" t="s">
        <v>8494</v>
      </c>
      <c r="M5436" s="20" t="s">
        <v>8494</v>
      </c>
    </row>
    <row r="5437">
      <c r="A5437" s="6"/>
      <c r="B5437" s="6"/>
      <c r="C5437" s="6"/>
      <c r="D5437" s="4">
        <v>131.275820237947</v>
      </c>
      <c r="E5437" s="4" t="s">
        <v>4114</v>
      </c>
      <c r="F5437" s="4"/>
      <c r="G5437" s="4"/>
      <c r="H5437" s="4"/>
      <c r="I5437" s="4"/>
      <c r="J5437" s="18">
        <v>0.0</v>
      </c>
      <c r="K5437" s="4" t="s">
        <v>8494</v>
      </c>
      <c r="L5437" s="19" t="s">
        <v>8494</v>
      </c>
      <c r="M5437" s="20" t="s">
        <v>8494</v>
      </c>
    </row>
    <row r="5438">
      <c r="A5438" s="6"/>
      <c r="B5438" s="6"/>
      <c r="C5438" s="6"/>
      <c r="D5438" s="4">
        <v>65.1041860726253</v>
      </c>
      <c r="E5438" s="4" t="s">
        <v>7162</v>
      </c>
      <c r="F5438" s="4"/>
      <c r="G5438" s="4"/>
      <c r="H5438" s="4"/>
      <c r="I5438" s="4"/>
      <c r="J5438" s="18">
        <v>0.0</v>
      </c>
      <c r="K5438" s="4" t="s">
        <v>8494</v>
      </c>
      <c r="L5438" s="19" t="s">
        <v>8494</v>
      </c>
      <c r="M5438" s="20" t="s">
        <v>8494</v>
      </c>
    </row>
    <row r="5439">
      <c r="A5439" s="6"/>
      <c r="B5439" s="6"/>
      <c r="C5439" s="6"/>
      <c r="D5439" s="4">
        <v>74.6972599382454</v>
      </c>
      <c r="E5439" s="4" t="s">
        <v>1885</v>
      </c>
      <c r="F5439" s="4"/>
      <c r="G5439" s="4"/>
      <c r="H5439" s="4"/>
      <c r="I5439" s="4"/>
      <c r="J5439" s="18">
        <v>0.0</v>
      </c>
      <c r="K5439" s="4" t="s">
        <v>8494</v>
      </c>
      <c r="L5439" s="19" t="s">
        <v>8494</v>
      </c>
      <c r="M5439" s="20" t="s">
        <v>8494</v>
      </c>
    </row>
    <row r="5440">
      <c r="A5440" s="6"/>
      <c r="B5440" s="6"/>
      <c r="C5440" s="6"/>
      <c r="D5440" s="4">
        <v>8.18300260656903</v>
      </c>
      <c r="E5440" s="4" t="s">
        <v>4567</v>
      </c>
      <c r="F5440" s="4"/>
      <c r="G5440" s="4"/>
      <c r="H5440" s="4"/>
      <c r="I5440" s="4"/>
      <c r="J5440" s="18">
        <v>0.0</v>
      </c>
      <c r="K5440" s="4" t="s">
        <v>8494</v>
      </c>
      <c r="L5440" s="19" t="s">
        <v>8494</v>
      </c>
      <c r="M5440" s="20" t="s">
        <v>8494</v>
      </c>
    </row>
    <row r="5441">
      <c r="A5441" s="6"/>
      <c r="B5441" s="6"/>
      <c r="C5441" s="6"/>
      <c r="D5441" s="4">
        <v>157.46813127991499</v>
      </c>
      <c r="E5441" s="4" t="s">
        <v>1499</v>
      </c>
      <c r="F5441" s="4"/>
      <c r="G5441" s="4"/>
      <c r="H5441" s="4"/>
      <c r="I5441" s="4"/>
      <c r="J5441" s="18">
        <v>0.0</v>
      </c>
      <c r="K5441" s="4" t="s">
        <v>8494</v>
      </c>
      <c r="L5441" s="19" t="s">
        <v>8494</v>
      </c>
      <c r="M5441" s="20" t="s">
        <v>8494</v>
      </c>
    </row>
    <row r="5442">
      <c r="A5442" s="6"/>
      <c r="B5442" s="6"/>
      <c r="C5442" s="6"/>
      <c r="D5442" s="4">
        <v>186.01196020749998</v>
      </c>
      <c r="E5442" s="4" t="s">
        <v>7734</v>
      </c>
      <c r="F5442" s="4"/>
      <c r="G5442" s="4"/>
      <c r="H5442" s="4"/>
      <c r="I5442" s="4"/>
      <c r="J5442" s="18">
        <v>0.0</v>
      </c>
      <c r="K5442" s="4" t="s">
        <v>8494</v>
      </c>
      <c r="L5442" s="19" t="s">
        <v>8494</v>
      </c>
      <c r="M5442" s="20" t="s">
        <v>8494</v>
      </c>
    </row>
    <row r="5443">
      <c r="A5443" s="6"/>
      <c r="B5443" s="6"/>
      <c r="C5443" s="6"/>
      <c r="D5443" s="4">
        <v>18.7872079809575</v>
      </c>
      <c r="E5443" s="4" t="s">
        <v>4860</v>
      </c>
      <c r="F5443" s="4"/>
      <c r="G5443" s="4"/>
      <c r="H5443" s="4"/>
      <c r="I5443" s="4"/>
      <c r="J5443" s="18">
        <v>0.0</v>
      </c>
      <c r="K5443" s="4" t="s">
        <v>8494</v>
      </c>
      <c r="L5443" s="19" t="s">
        <v>8494</v>
      </c>
      <c r="M5443" s="20" t="s">
        <v>8494</v>
      </c>
    </row>
    <row r="5444">
      <c r="A5444" s="6"/>
      <c r="B5444" s="6"/>
      <c r="C5444" s="6"/>
      <c r="D5444" s="4">
        <v>44.7082450823748</v>
      </c>
      <c r="E5444" s="4" t="s">
        <v>4643</v>
      </c>
      <c r="F5444" s="4"/>
      <c r="G5444" s="4"/>
      <c r="H5444" s="4"/>
      <c r="I5444" s="4"/>
      <c r="J5444" s="18">
        <v>0.0</v>
      </c>
      <c r="K5444" s="4" t="s">
        <v>8494</v>
      </c>
      <c r="L5444" s="19" t="s">
        <v>8494</v>
      </c>
      <c r="M5444" s="20" t="s">
        <v>8494</v>
      </c>
    </row>
    <row r="5445">
      <c r="A5445" s="6"/>
      <c r="B5445" s="6"/>
      <c r="C5445" s="6"/>
      <c r="D5445" s="4">
        <v>177.78678997459198</v>
      </c>
      <c r="E5445" s="4" t="s">
        <v>505</v>
      </c>
      <c r="F5445" s="4"/>
      <c r="G5445" s="4"/>
      <c r="H5445" s="4"/>
      <c r="I5445" s="4"/>
      <c r="J5445" s="18">
        <v>0.0</v>
      </c>
      <c r="K5445" s="4" t="s">
        <v>8494</v>
      </c>
      <c r="L5445" s="19" t="s">
        <v>8494</v>
      </c>
      <c r="M5445" s="20" t="s">
        <v>8494</v>
      </c>
    </row>
    <row r="5446">
      <c r="A5446" s="6"/>
      <c r="B5446" s="6"/>
      <c r="C5446" s="6"/>
      <c r="D5446" s="4">
        <v>8.65912777233087</v>
      </c>
      <c r="E5446" s="4" t="s">
        <v>6576</v>
      </c>
      <c r="F5446" s="4"/>
      <c r="G5446" s="4"/>
      <c r="H5446" s="4"/>
      <c r="I5446" s="4"/>
      <c r="J5446" s="18">
        <v>0.0</v>
      </c>
      <c r="K5446" s="4" t="s">
        <v>8494</v>
      </c>
      <c r="L5446" s="19" t="s">
        <v>8494</v>
      </c>
      <c r="M5446" s="20" t="s">
        <v>8494</v>
      </c>
    </row>
    <row r="5447">
      <c r="A5447" s="6"/>
      <c r="B5447" s="6"/>
      <c r="C5447" s="6"/>
      <c r="D5447" s="4">
        <v>174.467465664087</v>
      </c>
      <c r="E5447" s="4" t="s">
        <v>1628</v>
      </c>
      <c r="F5447" s="4"/>
      <c r="G5447" s="4"/>
      <c r="H5447" s="4"/>
      <c r="I5447" s="4"/>
      <c r="J5447" s="18">
        <v>0.0</v>
      </c>
      <c r="K5447" s="4" t="s">
        <v>8494</v>
      </c>
      <c r="L5447" s="19" t="s">
        <v>8494</v>
      </c>
      <c r="M5447" s="20" t="s">
        <v>8494</v>
      </c>
    </row>
    <row r="5448">
      <c r="A5448" s="6"/>
      <c r="B5448" s="6"/>
      <c r="C5448" s="6"/>
      <c r="D5448" s="4">
        <v>143.780041718808</v>
      </c>
      <c r="E5448" s="4" t="s">
        <v>3689</v>
      </c>
      <c r="F5448" s="4"/>
      <c r="G5448" s="4"/>
      <c r="H5448" s="4"/>
      <c r="I5448" s="4"/>
      <c r="J5448" s="18">
        <v>0.0</v>
      </c>
      <c r="K5448" s="4" t="s">
        <v>8494</v>
      </c>
      <c r="L5448" s="19" t="s">
        <v>8494</v>
      </c>
      <c r="M5448" s="20" t="s">
        <v>8494</v>
      </c>
    </row>
    <row r="5449">
      <c r="A5449" s="6"/>
      <c r="B5449" s="6"/>
      <c r="C5449" s="6"/>
      <c r="D5449" s="4">
        <v>186.01196020749998</v>
      </c>
      <c r="E5449" s="4" t="s">
        <v>7741</v>
      </c>
      <c r="F5449" s="4"/>
      <c r="G5449" s="4"/>
      <c r="H5449" s="4"/>
      <c r="I5449" s="4"/>
      <c r="J5449" s="18">
        <v>0.0</v>
      </c>
      <c r="K5449" s="4" t="s">
        <v>8494</v>
      </c>
      <c r="L5449" s="19" t="s">
        <v>8494</v>
      </c>
      <c r="M5449" s="20" t="s">
        <v>8494</v>
      </c>
    </row>
    <row r="5450">
      <c r="A5450" s="6"/>
      <c r="B5450" s="6"/>
      <c r="C5450" s="6"/>
      <c r="D5450" s="4">
        <v>186.01196020749998</v>
      </c>
      <c r="E5450" s="4" t="s">
        <v>7742</v>
      </c>
      <c r="F5450" s="4"/>
      <c r="G5450" s="4"/>
      <c r="H5450" s="4"/>
      <c r="I5450" s="4"/>
      <c r="J5450" s="18">
        <v>0.0</v>
      </c>
      <c r="K5450" s="4" t="s">
        <v>8494</v>
      </c>
      <c r="L5450" s="19" t="s">
        <v>8494</v>
      </c>
      <c r="M5450" s="20" t="s">
        <v>8494</v>
      </c>
    </row>
    <row r="5451">
      <c r="A5451" s="6"/>
      <c r="B5451" s="6"/>
      <c r="C5451" s="6"/>
      <c r="D5451" s="4">
        <v>28.1074489988618</v>
      </c>
      <c r="E5451" s="4" t="s">
        <v>5624</v>
      </c>
      <c r="F5451" s="4"/>
      <c r="G5451" s="4"/>
      <c r="H5451" s="4"/>
      <c r="I5451" s="4"/>
      <c r="J5451" s="18">
        <v>0.0</v>
      </c>
      <c r="K5451" s="4" t="s">
        <v>8494</v>
      </c>
      <c r="L5451" s="19" t="s">
        <v>8494</v>
      </c>
      <c r="M5451" s="20" t="s">
        <v>8494</v>
      </c>
    </row>
    <row r="5452">
      <c r="A5452" s="6"/>
      <c r="B5452" s="6"/>
      <c r="C5452" s="6"/>
      <c r="D5452" s="4">
        <v>99.2783034019473</v>
      </c>
      <c r="E5452" s="4" t="s">
        <v>7744</v>
      </c>
      <c r="F5452" s="4"/>
      <c r="G5452" s="4"/>
      <c r="H5452" s="4"/>
      <c r="I5452" s="4"/>
      <c r="J5452" s="18">
        <v>0.0</v>
      </c>
      <c r="K5452" s="4" t="s">
        <v>8494</v>
      </c>
      <c r="L5452" s="19" t="s">
        <v>8494</v>
      </c>
      <c r="M5452" s="20" t="s">
        <v>8494</v>
      </c>
    </row>
    <row r="5453">
      <c r="A5453" s="6"/>
      <c r="B5453" s="6"/>
      <c r="C5453" s="6"/>
      <c r="D5453" s="4">
        <v>61.7454448153286</v>
      </c>
      <c r="E5453" s="4" t="s">
        <v>6928</v>
      </c>
      <c r="F5453" s="4"/>
      <c r="G5453" s="4"/>
      <c r="H5453" s="4"/>
      <c r="I5453" s="4"/>
      <c r="J5453" s="18">
        <v>0.0</v>
      </c>
      <c r="K5453" s="4" t="s">
        <v>8494</v>
      </c>
      <c r="L5453" s="19" t="s">
        <v>8494</v>
      </c>
      <c r="M5453" s="20" t="s">
        <v>8494</v>
      </c>
    </row>
    <row r="5454">
      <c r="A5454" s="6"/>
      <c r="B5454" s="6"/>
      <c r="C5454" s="6"/>
      <c r="D5454" s="4">
        <v>74.6057879126319</v>
      </c>
      <c r="E5454" s="4" t="s">
        <v>7747</v>
      </c>
      <c r="F5454" s="4"/>
      <c r="G5454" s="4"/>
      <c r="H5454" s="4"/>
      <c r="I5454" s="4"/>
      <c r="J5454" s="18">
        <v>0.0</v>
      </c>
      <c r="K5454" s="4" t="s">
        <v>8494</v>
      </c>
      <c r="L5454" s="19" t="s">
        <v>8494</v>
      </c>
      <c r="M5454" s="20" t="s">
        <v>8494</v>
      </c>
    </row>
    <row r="5455">
      <c r="A5455" s="6"/>
      <c r="B5455" s="6"/>
      <c r="C5455" s="6"/>
      <c r="D5455" s="4">
        <v>186.01196020749998</v>
      </c>
      <c r="E5455" s="4" t="s">
        <v>570</v>
      </c>
      <c r="F5455" s="4"/>
      <c r="G5455" s="4"/>
      <c r="H5455" s="4"/>
      <c r="I5455" s="4"/>
      <c r="J5455" s="18">
        <v>0.0</v>
      </c>
      <c r="K5455" s="4" t="s">
        <v>8494</v>
      </c>
      <c r="L5455" s="19" t="s">
        <v>8494</v>
      </c>
      <c r="M5455" s="20" t="s">
        <v>8494</v>
      </c>
    </row>
    <row r="5456">
      <c r="A5456" s="6"/>
      <c r="B5456" s="6"/>
      <c r="C5456" s="6"/>
      <c r="D5456" s="4">
        <v>3.69910141715819</v>
      </c>
      <c r="E5456" s="4" t="s">
        <v>7749</v>
      </c>
      <c r="F5456" s="4"/>
      <c r="G5456" s="4"/>
      <c r="H5456" s="4"/>
      <c r="I5456" s="4"/>
      <c r="J5456" s="18">
        <v>0.0</v>
      </c>
      <c r="K5456" s="4" t="s">
        <v>8494</v>
      </c>
      <c r="L5456" s="19" t="s">
        <v>8494</v>
      </c>
      <c r="M5456" s="20" t="s">
        <v>8494</v>
      </c>
    </row>
    <row r="5457">
      <c r="A5457" s="6"/>
      <c r="B5457" s="6"/>
      <c r="C5457" s="6"/>
      <c r="D5457" s="4">
        <v>34.0924365804534</v>
      </c>
      <c r="E5457" s="4" t="s">
        <v>7751</v>
      </c>
      <c r="F5457" s="4"/>
      <c r="G5457" s="4"/>
      <c r="H5457" s="4"/>
      <c r="I5457" s="4"/>
      <c r="J5457" s="18">
        <v>0.0</v>
      </c>
      <c r="K5457" s="4" t="s">
        <v>8494</v>
      </c>
      <c r="L5457" s="19" t="s">
        <v>8494</v>
      </c>
      <c r="M5457" s="20" t="s">
        <v>8494</v>
      </c>
    </row>
    <row r="5458">
      <c r="A5458" s="6"/>
      <c r="B5458" s="6"/>
      <c r="C5458" s="6"/>
      <c r="D5458" s="4">
        <v>186.01196020749998</v>
      </c>
      <c r="E5458" s="4" t="s">
        <v>5494</v>
      </c>
      <c r="F5458" s="4"/>
      <c r="G5458" s="4"/>
      <c r="H5458" s="4"/>
      <c r="I5458" s="4"/>
      <c r="J5458" s="18">
        <v>0.0</v>
      </c>
      <c r="K5458" s="4" t="s">
        <v>8494</v>
      </c>
      <c r="L5458" s="19" t="s">
        <v>8494</v>
      </c>
      <c r="M5458" s="20" t="s">
        <v>8494</v>
      </c>
    </row>
    <row r="5459">
      <c r="A5459" s="6"/>
      <c r="B5459" s="6"/>
      <c r="C5459" s="6"/>
      <c r="D5459" s="4">
        <v>22.3437845827401</v>
      </c>
      <c r="E5459" s="4" t="s">
        <v>7753</v>
      </c>
      <c r="F5459" s="4"/>
      <c r="G5459" s="4"/>
      <c r="H5459" s="4"/>
      <c r="I5459" s="4"/>
      <c r="J5459" s="18">
        <v>0.0</v>
      </c>
      <c r="K5459" s="4" t="s">
        <v>8494</v>
      </c>
      <c r="L5459" s="19" t="s">
        <v>8494</v>
      </c>
      <c r="M5459" s="20" t="s">
        <v>8494</v>
      </c>
    </row>
    <row r="5460">
      <c r="A5460" s="6"/>
      <c r="B5460" s="6"/>
      <c r="C5460" s="6"/>
      <c r="D5460" s="4">
        <v>9.30059801037504</v>
      </c>
      <c r="E5460" s="4" t="s">
        <v>5163</v>
      </c>
      <c r="F5460" s="4"/>
      <c r="G5460" s="4"/>
      <c r="H5460" s="4"/>
      <c r="I5460" s="4"/>
      <c r="J5460" s="18">
        <v>0.0</v>
      </c>
      <c r="K5460" s="4" t="s">
        <v>8494</v>
      </c>
      <c r="L5460" s="19" t="s">
        <v>8494</v>
      </c>
      <c r="M5460" s="20" t="s">
        <v>8494</v>
      </c>
    </row>
    <row r="5461">
      <c r="A5461" s="6"/>
      <c r="B5461" s="6"/>
      <c r="C5461" s="6"/>
      <c r="D5461" s="4">
        <v>17.2174318718628</v>
      </c>
      <c r="E5461" s="4" t="s">
        <v>6800</v>
      </c>
      <c r="F5461" s="4"/>
      <c r="G5461" s="4"/>
      <c r="H5461" s="4"/>
      <c r="I5461" s="4"/>
      <c r="J5461" s="18">
        <v>0.0</v>
      </c>
      <c r="K5461" s="4" t="s">
        <v>8494</v>
      </c>
      <c r="L5461" s="19" t="s">
        <v>8494</v>
      </c>
      <c r="M5461" s="20" t="s">
        <v>8494</v>
      </c>
    </row>
    <row r="5462">
      <c r="A5462" s="6"/>
      <c r="B5462" s="6"/>
      <c r="C5462" s="6"/>
      <c r="D5462" s="4">
        <v>15.1943101524071</v>
      </c>
      <c r="E5462" s="4" t="s">
        <v>4333</v>
      </c>
      <c r="F5462" s="4"/>
      <c r="G5462" s="4"/>
      <c r="H5462" s="4"/>
      <c r="I5462" s="4"/>
      <c r="J5462" s="18">
        <v>0.0</v>
      </c>
      <c r="K5462" s="4" t="s">
        <v>8494</v>
      </c>
      <c r="L5462" s="19" t="s">
        <v>8494</v>
      </c>
      <c r="M5462" s="20" t="s">
        <v>8494</v>
      </c>
    </row>
    <row r="5463">
      <c r="A5463" s="6"/>
      <c r="B5463" s="6"/>
      <c r="C5463" s="6"/>
      <c r="D5463" s="4">
        <v>9.662318540256049</v>
      </c>
      <c r="E5463" s="4" t="s">
        <v>7757</v>
      </c>
      <c r="F5463" s="4"/>
      <c r="G5463" s="4"/>
      <c r="H5463" s="4"/>
      <c r="I5463" s="4"/>
      <c r="J5463" s="18">
        <v>0.0</v>
      </c>
      <c r="K5463" s="4" t="s">
        <v>8494</v>
      </c>
      <c r="L5463" s="19" t="s">
        <v>8494</v>
      </c>
      <c r="M5463" s="20" t="s">
        <v>8494</v>
      </c>
    </row>
    <row r="5464">
      <c r="A5464" s="6"/>
      <c r="B5464" s="6"/>
      <c r="C5464" s="6"/>
      <c r="D5464" s="4">
        <v>32.830153883008904</v>
      </c>
      <c r="E5464" s="4" t="s">
        <v>6979</v>
      </c>
      <c r="F5464" s="4"/>
      <c r="G5464" s="4"/>
      <c r="H5464" s="4"/>
      <c r="I5464" s="4"/>
      <c r="J5464" s="18">
        <v>0.0</v>
      </c>
      <c r="K5464" s="4" t="s">
        <v>8494</v>
      </c>
      <c r="L5464" s="19" t="s">
        <v>8494</v>
      </c>
      <c r="M5464" s="20" t="s">
        <v>8494</v>
      </c>
    </row>
    <row r="5465">
      <c r="A5465" s="6"/>
      <c r="B5465" s="6"/>
      <c r="C5465" s="6"/>
      <c r="D5465" s="4">
        <v>186.01196020749998</v>
      </c>
      <c r="E5465" s="4" t="s">
        <v>856</v>
      </c>
      <c r="F5465" s="4"/>
      <c r="G5465" s="4"/>
      <c r="H5465" s="4"/>
      <c r="I5465" s="4"/>
      <c r="J5465" s="18">
        <v>0.0</v>
      </c>
      <c r="K5465" s="4" t="s">
        <v>8494</v>
      </c>
      <c r="L5465" s="19" t="s">
        <v>8494</v>
      </c>
      <c r="M5465" s="20" t="s">
        <v>8494</v>
      </c>
    </row>
    <row r="5466">
      <c r="A5466" s="6"/>
      <c r="B5466" s="6"/>
      <c r="C5466" s="6"/>
      <c r="D5466" s="4">
        <v>37.3772060817031</v>
      </c>
      <c r="E5466" s="4" t="s">
        <v>6874</v>
      </c>
      <c r="F5466" s="4"/>
      <c r="G5466" s="4"/>
      <c r="H5466" s="4"/>
      <c r="I5466" s="4"/>
      <c r="J5466" s="18">
        <v>0.0</v>
      </c>
      <c r="K5466" s="4" t="s">
        <v>8494</v>
      </c>
      <c r="L5466" s="19" t="s">
        <v>8494</v>
      </c>
      <c r="M5466" s="20" t="s">
        <v>8494</v>
      </c>
    </row>
    <row r="5467">
      <c r="A5467" s="6"/>
      <c r="B5467" s="6"/>
      <c r="C5467" s="6"/>
      <c r="D5467" s="4">
        <v>17.9043348520559</v>
      </c>
      <c r="E5467" s="4" t="s">
        <v>274</v>
      </c>
      <c r="F5467" s="4"/>
      <c r="G5467" s="4"/>
      <c r="H5467" s="4"/>
      <c r="I5467" s="4"/>
      <c r="J5467" s="18">
        <v>0.0</v>
      </c>
      <c r="K5467" s="4" t="s">
        <v>8494</v>
      </c>
      <c r="L5467" s="19" t="s">
        <v>8494</v>
      </c>
      <c r="M5467" s="20" t="s">
        <v>8494</v>
      </c>
    </row>
    <row r="5468">
      <c r="A5468" s="6"/>
      <c r="B5468" s="6"/>
      <c r="C5468" s="6"/>
      <c r="D5468" s="4">
        <v>9.30059801037504</v>
      </c>
      <c r="E5468" s="4" t="s">
        <v>4203</v>
      </c>
      <c r="F5468" s="4"/>
      <c r="G5468" s="4"/>
      <c r="H5468" s="4"/>
      <c r="I5468" s="4"/>
      <c r="J5468" s="18">
        <v>0.0</v>
      </c>
      <c r="K5468" s="4" t="s">
        <v>8494</v>
      </c>
      <c r="L5468" s="19" t="s">
        <v>8494</v>
      </c>
      <c r="M5468" s="20" t="s">
        <v>8494</v>
      </c>
    </row>
    <row r="5469">
      <c r="A5469" s="6"/>
      <c r="B5469" s="6"/>
      <c r="C5469" s="6"/>
      <c r="D5469" s="4">
        <v>7.72357553909615</v>
      </c>
      <c r="E5469" s="4" t="s">
        <v>6805</v>
      </c>
      <c r="F5469" s="4"/>
      <c r="G5469" s="4"/>
      <c r="H5469" s="4"/>
      <c r="I5469" s="4"/>
      <c r="J5469" s="18">
        <v>0.0</v>
      </c>
      <c r="K5469" s="4" t="s">
        <v>8494</v>
      </c>
      <c r="L5469" s="19" t="s">
        <v>8494</v>
      </c>
      <c r="M5469" s="20" t="s">
        <v>8494</v>
      </c>
    </row>
    <row r="5470">
      <c r="A5470" s="6"/>
      <c r="B5470" s="6"/>
      <c r="C5470" s="6"/>
      <c r="D5470" s="4">
        <v>186.01196020749998</v>
      </c>
      <c r="E5470" s="4" t="s">
        <v>3912</v>
      </c>
      <c r="F5470" s="4"/>
      <c r="G5470" s="4"/>
      <c r="H5470" s="4"/>
      <c r="I5470" s="4"/>
      <c r="J5470" s="18">
        <v>0.0</v>
      </c>
      <c r="K5470" s="4" t="s">
        <v>8494</v>
      </c>
      <c r="L5470" s="19" t="s">
        <v>8494</v>
      </c>
      <c r="M5470" s="20" t="s">
        <v>8494</v>
      </c>
    </row>
    <row r="5471">
      <c r="A5471" s="6"/>
      <c r="B5471" s="6"/>
      <c r="C5471" s="6"/>
      <c r="D5471" s="4">
        <v>9.63393900445306</v>
      </c>
      <c r="E5471" s="4" t="s">
        <v>5890</v>
      </c>
      <c r="F5471" s="4"/>
      <c r="G5471" s="4"/>
      <c r="H5471" s="4"/>
      <c r="I5471" s="4"/>
      <c r="J5471" s="18">
        <v>0.0</v>
      </c>
      <c r="K5471" s="4" t="s">
        <v>8494</v>
      </c>
      <c r="L5471" s="19" t="s">
        <v>8494</v>
      </c>
      <c r="M5471" s="20" t="s">
        <v>8494</v>
      </c>
    </row>
    <row r="5472">
      <c r="A5472" s="6"/>
      <c r="B5472" s="6"/>
      <c r="C5472" s="6"/>
      <c r="D5472" s="4">
        <v>8.1964619083086</v>
      </c>
      <c r="E5472" s="4" t="s">
        <v>5807</v>
      </c>
      <c r="F5472" s="4"/>
      <c r="G5472" s="4"/>
      <c r="H5472" s="4"/>
      <c r="I5472" s="4"/>
      <c r="J5472" s="18">
        <v>0.0</v>
      </c>
      <c r="K5472" s="4" t="s">
        <v>8494</v>
      </c>
      <c r="L5472" s="19" t="s">
        <v>8494</v>
      </c>
      <c r="M5472" s="20" t="s">
        <v>8494</v>
      </c>
    </row>
    <row r="5473">
      <c r="A5473" s="6"/>
      <c r="B5473" s="6"/>
      <c r="C5473" s="6"/>
      <c r="D5473" s="4">
        <v>186.01196020749998</v>
      </c>
      <c r="E5473" s="4" t="s">
        <v>1091</v>
      </c>
      <c r="F5473" s="4"/>
      <c r="G5473" s="4"/>
      <c r="H5473" s="4"/>
      <c r="I5473" s="4"/>
      <c r="J5473" s="18">
        <v>0.0</v>
      </c>
      <c r="K5473" s="4" t="s">
        <v>8494</v>
      </c>
      <c r="L5473" s="19" t="s">
        <v>8494</v>
      </c>
      <c r="M5473" s="20" t="s">
        <v>8494</v>
      </c>
    </row>
    <row r="5474">
      <c r="A5474" s="6"/>
      <c r="B5474" s="6"/>
      <c r="C5474" s="6"/>
      <c r="D5474" s="4">
        <v>186.01196020749998</v>
      </c>
      <c r="E5474" s="4" t="s">
        <v>1661</v>
      </c>
      <c r="F5474" s="4"/>
      <c r="G5474" s="4"/>
      <c r="H5474" s="4"/>
      <c r="I5474" s="4"/>
      <c r="J5474" s="18">
        <v>0.0</v>
      </c>
      <c r="K5474" s="4" t="s">
        <v>8494</v>
      </c>
      <c r="L5474" s="19" t="s">
        <v>8494</v>
      </c>
      <c r="M5474" s="20" t="s">
        <v>8494</v>
      </c>
    </row>
    <row r="5475">
      <c r="A5475" s="6"/>
      <c r="B5475" s="6"/>
      <c r="C5475" s="6"/>
      <c r="D5475" s="4">
        <v>54.045421482060995</v>
      </c>
      <c r="E5475" s="4" t="s">
        <v>7765</v>
      </c>
      <c r="F5475" s="4"/>
      <c r="G5475" s="4"/>
      <c r="H5475" s="4"/>
      <c r="I5475" s="4"/>
      <c r="J5475" s="18">
        <v>0.0</v>
      </c>
      <c r="K5475" s="4" t="s">
        <v>8494</v>
      </c>
      <c r="L5475" s="19" t="s">
        <v>8494</v>
      </c>
      <c r="M5475" s="20" t="s">
        <v>8494</v>
      </c>
    </row>
    <row r="5476">
      <c r="A5476" s="6"/>
      <c r="B5476" s="6"/>
      <c r="C5476" s="6"/>
      <c r="D5476" s="4">
        <v>186.01196020749998</v>
      </c>
      <c r="E5476" s="4" t="s">
        <v>5827</v>
      </c>
      <c r="F5476" s="4"/>
      <c r="G5476" s="4"/>
      <c r="H5476" s="4"/>
      <c r="I5476" s="4"/>
      <c r="J5476" s="18">
        <v>0.0</v>
      </c>
      <c r="K5476" s="4" t="s">
        <v>8494</v>
      </c>
      <c r="L5476" s="19" t="s">
        <v>8494</v>
      </c>
      <c r="M5476" s="20" t="s">
        <v>8494</v>
      </c>
    </row>
    <row r="5477">
      <c r="A5477" s="6"/>
      <c r="B5477" s="6"/>
      <c r="C5477" s="6"/>
      <c r="D5477" s="4">
        <v>186.01196020749998</v>
      </c>
      <c r="E5477" s="4" t="s">
        <v>5131</v>
      </c>
      <c r="F5477" s="4"/>
      <c r="G5477" s="4"/>
      <c r="H5477" s="4"/>
      <c r="I5477" s="4"/>
      <c r="J5477" s="18">
        <v>0.0</v>
      </c>
      <c r="K5477" s="4" t="s">
        <v>8494</v>
      </c>
      <c r="L5477" s="19" t="s">
        <v>8494</v>
      </c>
      <c r="M5477" s="20" t="s">
        <v>8494</v>
      </c>
    </row>
    <row r="5478">
      <c r="A5478" s="6"/>
      <c r="B5478" s="6"/>
      <c r="C5478" s="6"/>
      <c r="D5478" s="4">
        <v>1.8601196020750002</v>
      </c>
      <c r="E5478" s="4" t="s">
        <v>2359</v>
      </c>
      <c r="F5478" s="4"/>
      <c r="G5478" s="4"/>
      <c r="H5478" s="4"/>
      <c r="I5478" s="4"/>
      <c r="J5478" s="18">
        <v>0.0</v>
      </c>
      <c r="K5478" s="4" t="s">
        <v>8494</v>
      </c>
      <c r="L5478" s="19" t="s">
        <v>8494</v>
      </c>
      <c r="M5478" s="20" t="s">
        <v>8494</v>
      </c>
    </row>
    <row r="5479">
      <c r="A5479" s="6"/>
      <c r="B5479" s="6"/>
      <c r="C5479" s="6"/>
      <c r="D5479" s="4">
        <v>145.789805458583</v>
      </c>
      <c r="E5479" s="4" t="s">
        <v>2707</v>
      </c>
      <c r="F5479" s="4"/>
      <c r="G5479" s="4"/>
      <c r="H5479" s="4"/>
      <c r="I5479" s="4"/>
      <c r="J5479" s="18">
        <v>0.0</v>
      </c>
      <c r="K5479" s="4" t="s">
        <v>8494</v>
      </c>
      <c r="L5479" s="19" t="s">
        <v>8494</v>
      </c>
      <c r="M5479" s="20" t="s">
        <v>8494</v>
      </c>
    </row>
    <row r="5480">
      <c r="A5480" s="6"/>
      <c r="B5480" s="6"/>
      <c r="C5480" s="6"/>
      <c r="D5480" s="4">
        <v>176.809975264652</v>
      </c>
      <c r="E5480" s="4" t="s">
        <v>6508</v>
      </c>
      <c r="F5480" s="4"/>
      <c r="G5480" s="4"/>
      <c r="H5480" s="4"/>
      <c r="I5480" s="4"/>
      <c r="J5480" s="18">
        <v>0.0</v>
      </c>
      <c r="K5480" s="4" t="s">
        <v>8494</v>
      </c>
      <c r="L5480" s="19" t="s">
        <v>8494</v>
      </c>
      <c r="M5480" s="20" t="s">
        <v>8494</v>
      </c>
    </row>
    <row r="5481">
      <c r="A5481" s="6"/>
      <c r="B5481" s="6"/>
      <c r="C5481" s="6"/>
      <c r="D5481" s="4">
        <v>113.770205458234</v>
      </c>
      <c r="E5481" s="4" t="s">
        <v>7770</v>
      </c>
      <c r="F5481" s="4"/>
      <c r="G5481" s="4"/>
      <c r="H5481" s="4"/>
      <c r="I5481" s="4"/>
      <c r="J5481" s="18">
        <v>0.0</v>
      </c>
      <c r="K5481" s="4" t="s">
        <v>8494</v>
      </c>
      <c r="L5481" s="19" t="s">
        <v>8494</v>
      </c>
      <c r="M5481" s="20" t="s">
        <v>8494</v>
      </c>
    </row>
    <row r="5482">
      <c r="A5482" s="6"/>
      <c r="B5482" s="6"/>
      <c r="C5482" s="6"/>
      <c r="D5482" s="4">
        <v>186.01196020749998</v>
      </c>
      <c r="E5482" s="4" t="s">
        <v>1652</v>
      </c>
      <c r="F5482" s="4"/>
      <c r="G5482" s="4"/>
      <c r="H5482" s="4"/>
      <c r="I5482" s="4"/>
      <c r="J5482" s="18">
        <v>0.0</v>
      </c>
      <c r="K5482" s="4" t="s">
        <v>8494</v>
      </c>
      <c r="L5482" s="19" t="s">
        <v>8494</v>
      </c>
      <c r="M5482" s="20" t="s">
        <v>8494</v>
      </c>
    </row>
    <row r="5483">
      <c r="A5483" s="6"/>
      <c r="B5483" s="6"/>
      <c r="C5483" s="6"/>
      <c r="D5483" s="4">
        <v>93.0059801037504</v>
      </c>
      <c r="E5483" s="4" t="s">
        <v>1867</v>
      </c>
      <c r="F5483" s="4"/>
      <c r="G5483" s="4"/>
      <c r="H5483" s="4"/>
      <c r="I5483" s="4"/>
      <c r="J5483" s="18">
        <v>0.0</v>
      </c>
      <c r="K5483" s="4" t="s">
        <v>8494</v>
      </c>
      <c r="L5483" s="19" t="s">
        <v>8494</v>
      </c>
      <c r="M5483" s="20" t="s">
        <v>8494</v>
      </c>
    </row>
    <row r="5484">
      <c r="A5484" s="6"/>
      <c r="B5484" s="6"/>
      <c r="C5484" s="6"/>
      <c r="D5484" s="4">
        <v>186.01196020749998</v>
      </c>
      <c r="E5484" s="4" t="s">
        <v>5676</v>
      </c>
      <c r="F5484" s="4"/>
      <c r="G5484" s="4"/>
      <c r="H5484" s="4"/>
      <c r="I5484" s="4"/>
      <c r="J5484" s="18">
        <v>0.0</v>
      </c>
      <c r="K5484" s="4" t="s">
        <v>8494</v>
      </c>
      <c r="L5484" s="19" t="s">
        <v>8494</v>
      </c>
      <c r="M5484" s="20" t="s">
        <v>8494</v>
      </c>
    </row>
    <row r="5485">
      <c r="A5485" s="6"/>
      <c r="B5485" s="6"/>
      <c r="C5485" s="6"/>
      <c r="D5485" s="4">
        <v>46.536560331040896</v>
      </c>
      <c r="E5485" s="4" t="s">
        <v>7772</v>
      </c>
      <c r="F5485" s="4"/>
      <c r="G5485" s="4"/>
      <c r="H5485" s="4"/>
      <c r="I5485" s="4"/>
      <c r="J5485" s="18">
        <v>0.0</v>
      </c>
      <c r="K5485" s="4" t="s">
        <v>8494</v>
      </c>
      <c r="L5485" s="19" t="s">
        <v>8494</v>
      </c>
      <c r="M5485" s="20" t="s">
        <v>8494</v>
      </c>
    </row>
    <row r="5486">
      <c r="A5486" s="6"/>
      <c r="B5486" s="6"/>
      <c r="C5486" s="6"/>
      <c r="D5486" s="4">
        <v>18.60119602075</v>
      </c>
      <c r="E5486" s="4" t="s">
        <v>3834</v>
      </c>
      <c r="F5486" s="4"/>
      <c r="G5486" s="4"/>
      <c r="H5486" s="4"/>
      <c r="I5486" s="4"/>
      <c r="J5486" s="18">
        <v>0.0</v>
      </c>
      <c r="K5486" s="4" t="s">
        <v>8494</v>
      </c>
      <c r="L5486" s="19" t="s">
        <v>8494</v>
      </c>
      <c r="M5486" s="20" t="s">
        <v>8494</v>
      </c>
    </row>
    <row r="5487">
      <c r="A5487" s="6"/>
      <c r="B5487" s="6"/>
      <c r="C5487" s="6"/>
      <c r="D5487" s="4">
        <v>139.624253165621</v>
      </c>
      <c r="E5487" s="4" t="s">
        <v>6587</v>
      </c>
      <c r="F5487" s="4"/>
      <c r="G5487" s="4"/>
      <c r="H5487" s="4"/>
      <c r="I5487" s="4"/>
      <c r="J5487" s="18">
        <v>0.0</v>
      </c>
      <c r="K5487" s="4" t="s">
        <v>8494</v>
      </c>
      <c r="L5487" s="19" t="s">
        <v>8494</v>
      </c>
      <c r="M5487" s="20" t="s">
        <v>8494</v>
      </c>
    </row>
    <row r="5488">
      <c r="A5488" s="6"/>
      <c r="B5488" s="6"/>
      <c r="C5488" s="6"/>
      <c r="D5488" s="4">
        <v>42.0836917106865</v>
      </c>
      <c r="E5488" s="4" t="s">
        <v>4768</v>
      </c>
      <c r="F5488" s="4"/>
      <c r="G5488" s="4"/>
      <c r="H5488" s="4"/>
      <c r="I5488" s="4"/>
      <c r="J5488" s="18">
        <v>0.0</v>
      </c>
      <c r="K5488" s="4" t="s">
        <v>8494</v>
      </c>
      <c r="L5488" s="19" t="s">
        <v>8494</v>
      </c>
      <c r="M5488" s="20" t="s">
        <v>8494</v>
      </c>
    </row>
    <row r="5489">
      <c r="A5489" s="6"/>
      <c r="B5489" s="6"/>
      <c r="C5489" s="6"/>
      <c r="D5489" s="4">
        <v>9.25844022807852</v>
      </c>
      <c r="E5489" s="4" t="s">
        <v>3797</v>
      </c>
      <c r="F5489" s="4"/>
      <c r="G5489" s="4"/>
      <c r="H5489" s="4"/>
      <c r="I5489" s="4"/>
      <c r="J5489" s="18">
        <v>0.0</v>
      </c>
      <c r="K5489" s="4" t="s">
        <v>8494</v>
      </c>
      <c r="L5489" s="19" t="s">
        <v>8494</v>
      </c>
      <c r="M5489" s="20" t="s">
        <v>8494</v>
      </c>
    </row>
    <row r="5490">
      <c r="A5490" s="6"/>
      <c r="B5490" s="6"/>
      <c r="C5490" s="6"/>
      <c r="D5490" s="4">
        <v>47.2098157868553</v>
      </c>
      <c r="E5490" s="4" t="s">
        <v>4759</v>
      </c>
      <c r="F5490" s="4"/>
      <c r="G5490" s="4"/>
      <c r="H5490" s="4"/>
      <c r="I5490" s="4"/>
      <c r="J5490" s="18">
        <v>0.0</v>
      </c>
      <c r="K5490" s="4" t="s">
        <v>8494</v>
      </c>
      <c r="L5490" s="19" t="s">
        <v>8494</v>
      </c>
      <c r="M5490" s="20" t="s">
        <v>8494</v>
      </c>
    </row>
    <row r="5491">
      <c r="A5491" s="6"/>
      <c r="B5491" s="6"/>
      <c r="C5491" s="6"/>
      <c r="D5491" s="4">
        <v>9.30059801037504</v>
      </c>
      <c r="E5491" s="4" t="s">
        <v>5786</v>
      </c>
      <c r="F5491" s="4"/>
      <c r="G5491" s="4"/>
      <c r="H5491" s="4"/>
      <c r="I5491" s="4"/>
      <c r="J5491" s="18">
        <v>0.0</v>
      </c>
      <c r="K5491" s="4" t="s">
        <v>8494</v>
      </c>
      <c r="L5491" s="19" t="s">
        <v>8494</v>
      </c>
      <c r="M5491" s="20" t="s">
        <v>8494</v>
      </c>
    </row>
    <row r="5492">
      <c r="A5492" s="6"/>
      <c r="B5492" s="6"/>
      <c r="C5492" s="6"/>
      <c r="D5492" s="4">
        <v>79.52404279276529</v>
      </c>
      <c r="E5492" s="4" t="s">
        <v>4204</v>
      </c>
      <c r="F5492" s="4"/>
      <c r="G5492" s="4"/>
      <c r="H5492" s="4"/>
      <c r="I5492" s="4"/>
      <c r="J5492" s="18">
        <v>0.0</v>
      </c>
      <c r="K5492" s="4" t="s">
        <v>8494</v>
      </c>
      <c r="L5492" s="19" t="s">
        <v>8494</v>
      </c>
      <c r="M5492" s="20" t="s">
        <v>8494</v>
      </c>
    </row>
    <row r="5493">
      <c r="A5493" s="6"/>
      <c r="B5493" s="6"/>
      <c r="C5493" s="6"/>
      <c r="D5493" s="4">
        <v>186.01196020749998</v>
      </c>
      <c r="E5493" s="4" t="s">
        <v>6775</v>
      </c>
      <c r="F5493" s="4"/>
      <c r="G5493" s="4"/>
      <c r="H5493" s="4"/>
      <c r="I5493" s="4"/>
      <c r="J5493" s="18">
        <v>0.0</v>
      </c>
      <c r="K5493" s="4" t="s">
        <v>8494</v>
      </c>
      <c r="L5493" s="19" t="s">
        <v>8494</v>
      </c>
      <c r="M5493" s="20" t="s">
        <v>8494</v>
      </c>
    </row>
    <row r="5494">
      <c r="A5494" s="6"/>
      <c r="B5494" s="6"/>
      <c r="C5494" s="6"/>
      <c r="D5494" s="4">
        <v>12.817346539491899</v>
      </c>
      <c r="E5494" s="4" t="s">
        <v>4601</v>
      </c>
      <c r="F5494" s="4"/>
      <c r="G5494" s="4"/>
      <c r="H5494" s="4"/>
      <c r="I5494" s="4"/>
      <c r="J5494" s="18">
        <v>0.0</v>
      </c>
      <c r="K5494" s="4" t="s">
        <v>8494</v>
      </c>
      <c r="L5494" s="19" t="s">
        <v>8494</v>
      </c>
      <c r="M5494" s="20" t="s">
        <v>8494</v>
      </c>
    </row>
    <row r="5495">
      <c r="A5495" s="6"/>
      <c r="B5495" s="6"/>
      <c r="C5495" s="6"/>
      <c r="D5495" s="4">
        <v>186.01196020749998</v>
      </c>
      <c r="E5495" s="4" t="s">
        <v>1428</v>
      </c>
      <c r="F5495" s="4"/>
      <c r="G5495" s="4"/>
      <c r="H5495" s="4"/>
      <c r="I5495" s="4"/>
      <c r="J5495" s="18">
        <v>0.0</v>
      </c>
      <c r="K5495" s="4" t="s">
        <v>8494</v>
      </c>
      <c r="L5495" s="19" t="s">
        <v>8494</v>
      </c>
      <c r="M5495" s="20" t="s">
        <v>8494</v>
      </c>
    </row>
    <row r="5496">
      <c r="A5496" s="6"/>
      <c r="B5496" s="6"/>
      <c r="C5496" s="6"/>
      <c r="D5496" s="4">
        <v>186.01196020749998</v>
      </c>
      <c r="E5496" s="4" t="s">
        <v>7780</v>
      </c>
      <c r="F5496" s="4"/>
      <c r="G5496" s="4"/>
      <c r="H5496" s="4"/>
      <c r="I5496" s="4"/>
      <c r="J5496" s="18">
        <v>0.0</v>
      </c>
      <c r="K5496" s="4" t="s">
        <v>8494</v>
      </c>
      <c r="L5496" s="19" t="s">
        <v>8494</v>
      </c>
      <c r="M5496" s="20" t="s">
        <v>8494</v>
      </c>
    </row>
    <row r="5497">
      <c r="A5497" s="6"/>
      <c r="B5497" s="6"/>
      <c r="C5497" s="6"/>
      <c r="D5497" s="4">
        <v>186.01196020749998</v>
      </c>
      <c r="E5497" s="4" t="s">
        <v>1960</v>
      </c>
      <c r="F5497" s="4"/>
      <c r="G5497" s="4"/>
      <c r="H5497" s="4"/>
      <c r="I5497" s="4"/>
      <c r="J5497" s="18">
        <v>0.0</v>
      </c>
      <c r="K5497" s="4" t="s">
        <v>8494</v>
      </c>
      <c r="L5497" s="19" t="s">
        <v>8494</v>
      </c>
      <c r="M5497" s="20" t="s">
        <v>8494</v>
      </c>
    </row>
    <row r="5498">
      <c r="A5498" s="6"/>
      <c r="B5498" s="6"/>
      <c r="C5498" s="6"/>
      <c r="D5498" s="4">
        <v>6.0257592362832995</v>
      </c>
      <c r="E5498" s="4" t="s">
        <v>2048</v>
      </c>
      <c r="F5498" s="4"/>
      <c r="G5498" s="4"/>
      <c r="H5498" s="4"/>
      <c r="I5498" s="4"/>
      <c r="J5498" s="18">
        <v>0.0</v>
      </c>
      <c r="K5498" s="4" t="s">
        <v>8494</v>
      </c>
      <c r="L5498" s="19" t="s">
        <v>8494</v>
      </c>
      <c r="M5498" s="20" t="s">
        <v>8494</v>
      </c>
    </row>
    <row r="5499">
      <c r="A5499" s="6"/>
      <c r="B5499" s="6"/>
      <c r="C5499" s="6"/>
      <c r="D5499" s="4">
        <v>9.36571446784269</v>
      </c>
      <c r="E5499" s="4" t="s">
        <v>7223</v>
      </c>
      <c r="F5499" s="4"/>
      <c r="G5499" s="4"/>
      <c r="H5499" s="4"/>
      <c r="I5499" s="4"/>
      <c r="J5499" s="18">
        <v>0.0</v>
      </c>
      <c r="K5499" s="4" t="s">
        <v>8494</v>
      </c>
      <c r="L5499" s="19" t="s">
        <v>8494</v>
      </c>
      <c r="M5499" s="20" t="s">
        <v>8494</v>
      </c>
    </row>
    <row r="5500">
      <c r="A5500" s="6"/>
      <c r="B5500" s="6"/>
      <c r="C5500" s="6"/>
      <c r="D5500" s="4">
        <v>86.4700129977538</v>
      </c>
      <c r="E5500" s="4" t="s">
        <v>1362</v>
      </c>
      <c r="F5500" s="4"/>
      <c r="G5500" s="4"/>
      <c r="H5500" s="4"/>
      <c r="I5500" s="4"/>
      <c r="J5500" s="18">
        <v>0.0</v>
      </c>
      <c r="K5500" s="4" t="s">
        <v>8494</v>
      </c>
      <c r="L5500" s="19" t="s">
        <v>8494</v>
      </c>
      <c r="M5500" s="20" t="s">
        <v>8494</v>
      </c>
    </row>
    <row r="5501">
      <c r="A5501" s="6"/>
      <c r="B5501" s="6"/>
      <c r="C5501" s="6"/>
      <c r="D5501" s="4">
        <v>9.391522758831641</v>
      </c>
      <c r="E5501" s="4" t="s">
        <v>7784</v>
      </c>
      <c r="F5501" s="4"/>
      <c r="G5501" s="4"/>
      <c r="H5501" s="4"/>
      <c r="I5501" s="4"/>
      <c r="J5501" s="18">
        <v>0.0</v>
      </c>
      <c r="K5501" s="4" t="s">
        <v>8494</v>
      </c>
      <c r="L5501" s="19" t="s">
        <v>8494</v>
      </c>
      <c r="M5501" s="20" t="s">
        <v>8494</v>
      </c>
    </row>
    <row r="5502">
      <c r="A5502" s="6"/>
      <c r="B5502" s="6"/>
      <c r="C5502" s="6"/>
      <c r="D5502" s="4">
        <v>186.01196020749998</v>
      </c>
      <c r="E5502" s="4" t="s">
        <v>3795</v>
      </c>
      <c r="F5502" s="4"/>
      <c r="G5502" s="4"/>
      <c r="H5502" s="4"/>
      <c r="I5502" s="4"/>
      <c r="J5502" s="18">
        <v>0.0</v>
      </c>
      <c r="K5502" s="4" t="s">
        <v>8494</v>
      </c>
      <c r="L5502" s="19" t="s">
        <v>8494</v>
      </c>
      <c r="M5502" s="20" t="s">
        <v>8494</v>
      </c>
    </row>
    <row r="5503">
      <c r="A5503" s="6"/>
      <c r="B5503" s="6"/>
      <c r="C5503" s="6"/>
      <c r="D5503" s="4">
        <v>93.0059801037504</v>
      </c>
      <c r="E5503" s="4" t="s">
        <v>7786</v>
      </c>
      <c r="F5503" s="4"/>
      <c r="G5503" s="4"/>
      <c r="H5503" s="4"/>
      <c r="I5503" s="4"/>
      <c r="J5503" s="18">
        <v>0.0</v>
      </c>
      <c r="K5503" s="4" t="s">
        <v>8494</v>
      </c>
      <c r="L5503" s="19" t="s">
        <v>8494</v>
      </c>
      <c r="M5503" s="20" t="s">
        <v>8494</v>
      </c>
    </row>
    <row r="5504">
      <c r="A5504" s="6"/>
      <c r="B5504" s="6"/>
      <c r="C5504" s="6"/>
      <c r="D5504" s="4">
        <v>55.8696341038771</v>
      </c>
      <c r="E5504" s="4" t="s">
        <v>2021</v>
      </c>
      <c r="F5504" s="4"/>
      <c r="G5504" s="4"/>
      <c r="H5504" s="4"/>
      <c r="I5504" s="4"/>
      <c r="J5504" s="18">
        <v>0.0</v>
      </c>
      <c r="K5504" s="4" t="s">
        <v>8494</v>
      </c>
      <c r="L5504" s="19" t="s">
        <v>8494</v>
      </c>
      <c r="M5504" s="20" t="s">
        <v>8494</v>
      </c>
    </row>
    <row r="5505">
      <c r="A5505" s="6"/>
      <c r="B5505" s="6"/>
      <c r="C5505" s="6"/>
      <c r="D5505" s="4">
        <v>183.729519191754</v>
      </c>
      <c r="E5505" s="4" t="s">
        <v>4175</v>
      </c>
      <c r="F5505" s="4"/>
      <c r="G5505" s="4"/>
      <c r="H5505" s="4"/>
      <c r="I5505" s="4"/>
      <c r="J5505" s="18">
        <v>0.0</v>
      </c>
      <c r="K5505" s="4" t="s">
        <v>8494</v>
      </c>
      <c r="L5505" s="19" t="s">
        <v>8494</v>
      </c>
      <c r="M5505" s="20" t="s">
        <v>8494</v>
      </c>
    </row>
    <row r="5506">
      <c r="A5506" s="6"/>
      <c r="B5506" s="6"/>
      <c r="C5506" s="6"/>
      <c r="D5506" s="4">
        <v>186.01196020749998</v>
      </c>
      <c r="E5506" s="4" t="s">
        <v>7789</v>
      </c>
      <c r="F5506" s="4"/>
      <c r="G5506" s="4"/>
      <c r="H5506" s="4"/>
      <c r="I5506" s="4"/>
      <c r="J5506" s="18">
        <v>0.0</v>
      </c>
      <c r="K5506" s="4" t="s">
        <v>8494</v>
      </c>
      <c r="L5506" s="19" t="s">
        <v>8494</v>
      </c>
      <c r="M5506" s="20" t="s">
        <v>8494</v>
      </c>
    </row>
    <row r="5507">
      <c r="A5507" s="6"/>
      <c r="B5507" s="6"/>
      <c r="C5507" s="6"/>
      <c r="D5507" s="4">
        <v>183.264538830814</v>
      </c>
      <c r="E5507" s="4" t="s">
        <v>1611</v>
      </c>
      <c r="F5507" s="4"/>
      <c r="G5507" s="4"/>
      <c r="H5507" s="4"/>
      <c r="I5507" s="4"/>
      <c r="J5507" s="18">
        <v>0.0</v>
      </c>
      <c r="K5507" s="4" t="s">
        <v>8494</v>
      </c>
      <c r="L5507" s="19" t="s">
        <v>8494</v>
      </c>
      <c r="M5507" s="20" t="s">
        <v>8494</v>
      </c>
    </row>
    <row r="5508">
      <c r="A5508" s="6"/>
      <c r="B5508" s="6"/>
      <c r="C5508" s="6"/>
      <c r="D5508" s="4">
        <v>186.01196020749998</v>
      </c>
      <c r="E5508" s="4" t="s">
        <v>7186</v>
      </c>
      <c r="F5508" s="4"/>
      <c r="G5508" s="4"/>
      <c r="H5508" s="4"/>
      <c r="I5508" s="4"/>
      <c r="J5508" s="18">
        <v>0.0</v>
      </c>
      <c r="K5508" s="4" t="s">
        <v>8494</v>
      </c>
      <c r="L5508" s="19" t="s">
        <v>8494</v>
      </c>
      <c r="M5508" s="20" t="s">
        <v>8494</v>
      </c>
    </row>
    <row r="5509">
      <c r="A5509" s="6"/>
      <c r="B5509" s="6"/>
      <c r="C5509" s="6"/>
      <c r="D5509" s="4">
        <v>9.364010744492589</v>
      </c>
      <c r="E5509" s="4" t="s">
        <v>2470</v>
      </c>
      <c r="F5509" s="4"/>
      <c r="G5509" s="4"/>
      <c r="H5509" s="4"/>
      <c r="I5509" s="4"/>
      <c r="J5509" s="18">
        <v>0.0</v>
      </c>
      <c r="K5509" s="4" t="s">
        <v>8494</v>
      </c>
      <c r="L5509" s="19" t="s">
        <v>8494</v>
      </c>
      <c r="M5509" s="20" t="s">
        <v>8494</v>
      </c>
    </row>
    <row r="5510">
      <c r="A5510" s="6"/>
      <c r="B5510" s="6"/>
      <c r="C5510" s="6"/>
      <c r="D5510" s="4">
        <v>114.878056669968</v>
      </c>
      <c r="E5510" s="4" t="s">
        <v>197</v>
      </c>
      <c r="F5510" s="4"/>
      <c r="G5510" s="4"/>
      <c r="H5510" s="4"/>
      <c r="I5510" s="4"/>
      <c r="J5510" s="18">
        <v>0.0</v>
      </c>
      <c r="K5510" s="4" t="s">
        <v>8494</v>
      </c>
      <c r="L5510" s="19" t="s">
        <v>8494</v>
      </c>
      <c r="M5510" s="20" t="s">
        <v>8494</v>
      </c>
    </row>
    <row r="5511">
      <c r="A5511" s="6"/>
      <c r="B5511" s="6"/>
      <c r="C5511" s="6"/>
      <c r="D5511" s="4">
        <v>149.14595221399898</v>
      </c>
      <c r="E5511" s="4" t="s">
        <v>7793</v>
      </c>
      <c r="F5511" s="4"/>
      <c r="G5511" s="4"/>
      <c r="H5511" s="4"/>
      <c r="I5511" s="4"/>
      <c r="J5511" s="18">
        <v>0.0</v>
      </c>
      <c r="K5511" s="4" t="s">
        <v>8494</v>
      </c>
      <c r="L5511" s="19" t="s">
        <v>8494</v>
      </c>
      <c r="M5511" s="20" t="s">
        <v>8494</v>
      </c>
    </row>
    <row r="5512">
      <c r="A5512" s="6"/>
      <c r="B5512" s="6"/>
      <c r="C5512" s="6"/>
      <c r="D5512" s="4">
        <v>168.960310586669</v>
      </c>
      <c r="E5512" s="4" t="s">
        <v>1749</v>
      </c>
      <c r="F5512" s="4"/>
      <c r="G5512" s="4"/>
      <c r="H5512" s="4"/>
      <c r="I5512" s="4"/>
      <c r="J5512" s="18">
        <v>0.0</v>
      </c>
      <c r="K5512" s="4" t="s">
        <v>8494</v>
      </c>
      <c r="L5512" s="19" t="s">
        <v>8494</v>
      </c>
      <c r="M5512" s="20" t="s">
        <v>8494</v>
      </c>
    </row>
    <row r="5513">
      <c r="A5513" s="6"/>
      <c r="B5513" s="6"/>
      <c r="C5513" s="6"/>
      <c r="D5513" s="4">
        <v>186.01196020749998</v>
      </c>
      <c r="E5513" s="4" t="s">
        <v>5980</v>
      </c>
      <c r="F5513" s="4"/>
      <c r="G5513" s="4"/>
      <c r="H5513" s="4"/>
      <c r="I5513" s="4"/>
      <c r="J5513" s="18">
        <v>0.0</v>
      </c>
      <c r="K5513" s="4" t="s">
        <v>8494</v>
      </c>
      <c r="L5513" s="19" t="s">
        <v>8494</v>
      </c>
      <c r="M5513" s="20" t="s">
        <v>8494</v>
      </c>
    </row>
    <row r="5514">
      <c r="A5514" s="6"/>
      <c r="B5514" s="6"/>
      <c r="C5514" s="6"/>
      <c r="D5514" s="4">
        <v>130.06651411115598</v>
      </c>
      <c r="E5514" s="4" t="s">
        <v>5396</v>
      </c>
      <c r="F5514" s="4"/>
      <c r="G5514" s="4"/>
      <c r="H5514" s="4"/>
      <c r="I5514" s="4"/>
      <c r="J5514" s="18">
        <v>0.0</v>
      </c>
      <c r="K5514" s="4" t="s">
        <v>8494</v>
      </c>
      <c r="L5514" s="19" t="s">
        <v>8494</v>
      </c>
      <c r="M5514" s="20" t="s">
        <v>8494</v>
      </c>
    </row>
    <row r="5515">
      <c r="A5515" s="6"/>
      <c r="B5515" s="6"/>
      <c r="C5515" s="6"/>
      <c r="D5515" s="4">
        <v>186.01196020749998</v>
      </c>
      <c r="E5515" s="4" t="s">
        <v>4574</v>
      </c>
      <c r="F5515" s="4"/>
      <c r="G5515" s="4"/>
      <c r="H5515" s="4"/>
      <c r="I5515" s="4"/>
      <c r="J5515" s="18">
        <v>0.0</v>
      </c>
      <c r="K5515" s="4" t="s">
        <v>8494</v>
      </c>
      <c r="L5515" s="19" t="s">
        <v>8494</v>
      </c>
      <c r="M5515" s="20" t="s">
        <v>8494</v>
      </c>
    </row>
    <row r="5516">
      <c r="A5516" s="6"/>
      <c r="B5516" s="6"/>
      <c r="C5516" s="6"/>
      <c r="D5516" s="4">
        <v>81.8452624913003</v>
      </c>
      <c r="E5516" s="4" t="s">
        <v>7797</v>
      </c>
      <c r="F5516" s="4"/>
      <c r="G5516" s="4"/>
      <c r="H5516" s="4"/>
      <c r="I5516" s="4"/>
      <c r="J5516" s="18">
        <v>0.0</v>
      </c>
      <c r="K5516" s="4" t="s">
        <v>8494</v>
      </c>
      <c r="L5516" s="19" t="s">
        <v>8494</v>
      </c>
      <c r="M5516" s="20" t="s">
        <v>8494</v>
      </c>
    </row>
    <row r="5517">
      <c r="A5517" s="6"/>
      <c r="B5517" s="6"/>
      <c r="C5517" s="6"/>
      <c r="D5517" s="4">
        <v>186.01196020749998</v>
      </c>
      <c r="E5517" s="4" t="s">
        <v>1085</v>
      </c>
      <c r="F5517" s="4"/>
      <c r="G5517" s="4"/>
      <c r="H5517" s="4"/>
      <c r="I5517" s="4"/>
      <c r="J5517" s="18">
        <v>0.0</v>
      </c>
      <c r="K5517" s="4" t="s">
        <v>8494</v>
      </c>
      <c r="L5517" s="19" t="s">
        <v>8494</v>
      </c>
      <c r="M5517" s="20" t="s">
        <v>8494</v>
      </c>
    </row>
    <row r="5518">
      <c r="A5518" s="6"/>
      <c r="B5518" s="6"/>
      <c r="C5518" s="6"/>
      <c r="D5518" s="4">
        <v>9.427969260022829</v>
      </c>
      <c r="E5518" s="4" t="s">
        <v>7799</v>
      </c>
      <c r="F5518" s="4"/>
      <c r="G5518" s="4"/>
      <c r="H5518" s="4"/>
      <c r="I5518" s="4"/>
      <c r="J5518" s="18">
        <v>0.0</v>
      </c>
      <c r="K5518" s="4" t="s">
        <v>8494</v>
      </c>
      <c r="L5518" s="19" t="s">
        <v>8494</v>
      </c>
      <c r="M5518" s="20" t="s">
        <v>8494</v>
      </c>
    </row>
    <row r="5519">
      <c r="A5519" s="6"/>
      <c r="B5519" s="6"/>
      <c r="C5519" s="6"/>
      <c r="D5519" s="4">
        <v>9.30133089470808</v>
      </c>
      <c r="E5519" s="4" t="s">
        <v>6187</v>
      </c>
      <c r="F5519" s="4"/>
      <c r="G5519" s="4"/>
      <c r="H5519" s="4"/>
      <c r="I5519" s="4"/>
      <c r="J5519" s="18">
        <v>0.0</v>
      </c>
      <c r="K5519" s="4" t="s">
        <v>8494</v>
      </c>
      <c r="L5519" s="19" t="s">
        <v>8494</v>
      </c>
      <c r="M5519" s="20" t="s">
        <v>8494</v>
      </c>
    </row>
    <row r="5520">
      <c r="A5520" s="6"/>
      <c r="B5520" s="6"/>
      <c r="C5520" s="6"/>
      <c r="D5520" s="4">
        <v>55.8035880622502</v>
      </c>
      <c r="E5520" s="4" t="s">
        <v>7802</v>
      </c>
      <c r="F5520" s="4"/>
      <c r="G5520" s="4"/>
      <c r="H5520" s="4"/>
      <c r="I5520" s="4"/>
      <c r="J5520" s="18">
        <v>0.0</v>
      </c>
      <c r="K5520" s="4" t="s">
        <v>8494</v>
      </c>
      <c r="L5520" s="19" t="s">
        <v>8494</v>
      </c>
      <c r="M5520" s="20" t="s">
        <v>8494</v>
      </c>
    </row>
    <row r="5521">
      <c r="A5521" s="6"/>
      <c r="B5521" s="6"/>
      <c r="C5521" s="6"/>
      <c r="D5521" s="4">
        <v>11.16071761245</v>
      </c>
      <c r="E5521" s="4" t="s">
        <v>5502</v>
      </c>
      <c r="F5521" s="4"/>
      <c r="G5521" s="4"/>
      <c r="H5521" s="4"/>
      <c r="I5521" s="4"/>
      <c r="J5521" s="18">
        <v>0.0</v>
      </c>
      <c r="K5521" s="4" t="s">
        <v>8494</v>
      </c>
      <c r="L5521" s="19" t="s">
        <v>8494</v>
      </c>
      <c r="M5521" s="20" t="s">
        <v>8494</v>
      </c>
    </row>
    <row r="5522">
      <c r="A5522" s="6"/>
      <c r="B5522" s="6"/>
      <c r="C5522" s="6"/>
      <c r="D5522" s="4">
        <v>186.01196020749998</v>
      </c>
      <c r="E5522" s="4" t="s">
        <v>5791</v>
      </c>
      <c r="F5522" s="4"/>
      <c r="G5522" s="4"/>
      <c r="H5522" s="4"/>
      <c r="I5522" s="4"/>
      <c r="J5522" s="18">
        <v>0.0</v>
      </c>
      <c r="K5522" s="4" t="s">
        <v>8494</v>
      </c>
      <c r="L5522" s="19" t="s">
        <v>8494</v>
      </c>
      <c r="M5522" s="20" t="s">
        <v>8494</v>
      </c>
    </row>
    <row r="5523">
      <c r="A5523" s="6"/>
      <c r="B5523" s="6"/>
      <c r="C5523" s="6"/>
      <c r="D5523" s="4">
        <v>46.5029900518752</v>
      </c>
      <c r="E5523" s="4" t="s">
        <v>2937</v>
      </c>
      <c r="F5523" s="4"/>
      <c r="G5523" s="4"/>
      <c r="H5523" s="4"/>
      <c r="I5523" s="4"/>
      <c r="J5523" s="18">
        <v>0.0</v>
      </c>
      <c r="K5523" s="4" t="s">
        <v>8494</v>
      </c>
      <c r="L5523" s="19" t="s">
        <v>8494</v>
      </c>
      <c r="M5523" s="20" t="s">
        <v>8494</v>
      </c>
    </row>
    <row r="5524">
      <c r="A5524" s="6"/>
      <c r="B5524" s="6"/>
      <c r="C5524" s="6"/>
      <c r="D5524" s="4">
        <v>186.01196020749998</v>
      </c>
      <c r="E5524" s="4" t="s">
        <v>4068</v>
      </c>
      <c r="F5524" s="4"/>
      <c r="G5524" s="4"/>
      <c r="H5524" s="4"/>
      <c r="I5524" s="4"/>
      <c r="J5524" s="18">
        <v>0.0</v>
      </c>
      <c r="K5524" s="4" t="s">
        <v>8494</v>
      </c>
      <c r="L5524" s="19" t="s">
        <v>8494</v>
      </c>
      <c r="M5524" s="20" t="s">
        <v>8494</v>
      </c>
    </row>
    <row r="5525">
      <c r="A5525" s="6"/>
      <c r="B5525" s="6"/>
      <c r="C5525" s="6"/>
      <c r="D5525" s="4">
        <v>65.1041860726253</v>
      </c>
      <c r="E5525" s="4" t="s">
        <v>7099</v>
      </c>
      <c r="F5525" s="4"/>
      <c r="G5525" s="4"/>
      <c r="H5525" s="4"/>
      <c r="I5525" s="4"/>
      <c r="J5525" s="18">
        <v>0.0</v>
      </c>
      <c r="K5525" s="4" t="s">
        <v>8494</v>
      </c>
      <c r="L5525" s="19" t="s">
        <v>8494</v>
      </c>
      <c r="M5525" s="20" t="s">
        <v>8494</v>
      </c>
    </row>
    <row r="5526">
      <c r="A5526" s="6"/>
      <c r="B5526" s="6"/>
      <c r="C5526" s="6"/>
      <c r="D5526" s="4">
        <v>65.1041860726253</v>
      </c>
      <c r="E5526" s="4" t="s">
        <v>5113</v>
      </c>
      <c r="F5526" s="4"/>
      <c r="G5526" s="4"/>
      <c r="H5526" s="4"/>
      <c r="I5526" s="4"/>
      <c r="J5526" s="18">
        <v>0.0</v>
      </c>
      <c r="K5526" s="4" t="s">
        <v>8494</v>
      </c>
      <c r="L5526" s="19" t="s">
        <v>8494</v>
      </c>
      <c r="M5526" s="20" t="s">
        <v>8494</v>
      </c>
    </row>
    <row r="5527">
      <c r="A5527" s="6"/>
      <c r="B5527" s="6"/>
      <c r="C5527" s="6"/>
      <c r="D5527" s="4">
        <v>84.5132092020674</v>
      </c>
      <c r="E5527" s="4" t="s">
        <v>7168</v>
      </c>
      <c r="F5527" s="4"/>
      <c r="G5527" s="4"/>
      <c r="H5527" s="4"/>
      <c r="I5527" s="4"/>
      <c r="J5527" s="18">
        <v>0.0</v>
      </c>
      <c r="K5527" s="4" t="s">
        <v>8494</v>
      </c>
      <c r="L5527" s="19" t="s">
        <v>8494</v>
      </c>
      <c r="M5527" s="20" t="s">
        <v>8494</v>
      </c>
    </row>
    <row r="5528">
      <c r="A5528" s="6"/>
      <c r="B5528" s="6"/>
      <c r="C5528" s="6"/>
      <c r="D5528" s="4">
        <v>65.1041860726253</v>
      </c>
      <c r="E5528" s="4" t="s">
        <v>6946</v>
      </c>
      <c r="F5528" s="4"/>
      <c r="G5528" s="4"/>
      <c r="H5528" s="4"/>
      <c r="I5528" s="4"/>
      <c r="J5528" s="18">
        <v>0.0</v>
      </c>
      <c r="K5528" s="4" t="s">
        <v>8494</v>
      </c>
      <c r="L5528" s="19" t="s">
        <v>8494</v>
      </c>
      <c r="M5528" s="20" t="s">
        <v>8494</v>
      </c>
    </row>
    <row r="5529">
      <c r="A5529" s="6"/>
      <c r="B5529" s="6"/>
      <c r="C5529" s="6"/>
      <c r="D5529" s="4">
        <v>131.796053345247</v>
      </c>
      <c r="E5529" s="4" t="s">
        <v>5583</v>
      </c>
      <c r="F5529" s="4"/>
      <c r="G5529" s="4"/>
      <c r="H5529" s="4"/>
      <c r="I5529" s="4"/>
      <c r="J5529" s="18">
        <v>0.0</v>
      </c>
      <c r="K5529" s="4" t="s">
        <v>8494</v>
      </c>
      <c r="L5529" s="19" t="s">
        <v>8494</v>
      </c>
      <c r="M5529" s="20" t="s">
        <v>8494</v>
      </c>
    </row>
    <row r="5530">
      <c r="A5530" s="6"/>
      <c r="B5530" s="6"/>
      <c r="C5530" s="6"/>
      <c r="D5530" s="4">
        <v>186.01196020749998</v>
      </c>
      <c r="E5530" s="4" t="s">
        <v>5597</v>
      </c>
      <c r="F5530" s="4"/>
      <c r="G5530" s="4"/>
      <c r="H5530" s="4"/>
      <c r="I5530" s="4"/>
      <c r="J5530" s="18">
        <v>0.0</v>
      </c>
      <c r="K5530" s="4" t="s">
        <v>8494</v>
      </c>
      <c r="L5530" s="19" t="s">
        <v>8494</v>
      </c>
      <c r="M5530" s="20" t="s">
        <v>8494</v>
      </c>
    </row>
    <row r="5531">
      <c r="A5531" s="6"/>
      <c r="B5531" s="6"/>
      <c r="C5531" s="6"/>
      <c r="D5531" s="4">
        <v>63.0580545103427</v>
      </c>
      <c r="E5531" s="4" t="s">
        <v>6295</v>
      </c>
      <c r="F5531" s="4"/>
      <c r="G5531" s="4"/>
      <c r="H5531" s="4"/>
      <c r="I5531" s="4"/>
      <c r="J5531" s="18">
        <v>0.0</v>
      </c>
      <c r="K5531" s="4" t="s">
        <v>8494</v>
      </c>
      <c r="L5531" s="19" t="s">
        <v>8494</v>
      </c>
      <c r="M5531" s="20" t="s">
        <v>8494</v>
      </c>
    </row>
    <row r="5532">
      <c r="A5532" s="6"/>
      <c r="B5532" s="6"/>
      <c r="C5532" s="6"/>
      <c r="D5532" s="4">
        <v>168.474096562149</v>
      </c>
      <c r="E5532" s="4" t="s">
        <v>5546</v>
      </c>
      <c r="F5532" s="4"/>
      <c r="G5532" s="4"/>
      <c r="H5532" s="4"/>
      <c r="I5532" s="4"/>
      <c r="J5532" s="18">
        <v>0.0</v>
      </c>
      <c r="K5532" s="4" t="s">
        <v>8494</v>
      </c>
      <c r="L5532" s="19" t="s">
        <v>8494</v>
      </c>
      <c r="M5532" s="20" t="s">
        <v>8494</v>
      </c>
    </row>
    <row r="5533">
      <c r="A5533" s="6"/>
      <c r="B5533" s="6"/>
      <c r="C5533" s="6"/>
      <c r="D5533" s="4">
        <v>186.01196020749998</v>
      </c>
      <c r="E5533" s="4" t="s">
        <v>7134</v>
      </c>
      <c r="F5533" s="4"/>
      <c r="G5533" s="4"/>
      <c r="H5533" s="4"/>
      <c r="I5533" s="4"/>
      <c r="J5533" s="18">
        <v>0.0</v>
      </c>
      <c r="K5533" s="4" t="s">
        <v>8494</v>
      </c>
      <c r="L5533" s="19" t="s">
        <v>8494</v>
      </c>
      <c r="M5533" s="20" t="s">
        <v>8494</v>
      </c>
    </row>
    <row r="5534">
      <c r="A5534" s="6"/>
      <c r="B5534" s="6"/>
      <c r="C5534" s="6"/>
      <c r="D5534" s="4">
        <v>74.41100499631291</v>
      </c>
      <c r="E5534" s="4" t="s">
        <v>3332</v>
      </c>
      <c r="F5534" s="4"/>
      <c r="G5534" s="4"/>
      <c r="H5534" s="4"/>
      <c r="I5534" s="4"/>
      <c r="J5534" s="18">
        <v>0.0</v>
      </c>
      <c r="K5534" s="4" t="s">
        <v>8494</v>
      </c>
      <c r="L5534" s="19" t="s">
        <v>8494</v>
      </c>
      <c r="M5534" s="20" t="s">
        <v>8494</v>
      </c>
    </row>
    <row r="5535">
      <c r="A5535" s="6"/>
      <c r="B5535" s="6"/>
      <c r="C5535" s="6"/>
      <c r="D5535" s="4">
        <v>27.2387274216509</v>
      </c>
      <c r="E5535" s="4" t="s">
        <v>7809</v>
      </c>
      <c r="F5535" s="4"/>
      <c r="G5535" s="4"/>
      <c r="H5535" s="4"/>
      <c r="I5535" s="4"/>
      <c r="J5535" s="18">
        <v>0.0</v>
      </c>
      <c r="K5535" s="4" t="s">
        <v>8494</v>
      </c>
      <c r="L5535" s="19" t="s">
        <v>8494</v>
      </c>
      <c r="M5535" s="20" t="s">
        <v>8494</v>
      </c>
    </row>
    <row r="5536">
      <c r="A5536" s="6"/>
      <c r="B5536" s="6"/>
      <c r="C5536" s="6"/>
      <c r="D5536" s="4">
        <v>10.358540377805001</v>
      </c>
      <c r="E5536" s="4" t="s">
        <v>2552</v>
      </c>
      <c r="F5536" s="4"/>
      <c r="G5536" s="4"/>
      <c r="H5536" s="4"/>
      <c r="I5536" s="4"/>
      <c r="J5536" s="18">
        <v>0.0</v>
      </c>
      <c r="K5536" s="4" t="s">
        <v>8494</v>
      </c>
      <c r="L5536" s="19" t="s">
        <v>8494</v>
      </c>
      <c r="M5536" s="20" t="s">
        <v>8494</v>
      </c>
    </row>
    <row r="5537">
      <c r="A5537" s="6"/>
      <c r="B5537" s="6"/>
      <c r="C5537" s="6"/>
      <c r="D5537" s="4">
        <v>17.7381187949212</v>
      </c>
      <c r="E5537" s="4" t="s">
        <v>4383</v>
      </c>
      <c r="F5537" s="4"/>
      <c r="G5537" s="4"/>
      <c r="H5537" s="4"/>
      <c r="I5537" s="4"/>
      <c r="J5537" s="18">
        <v>0.0</v>
      </c>
      <c r="K5537" s="4" t="s">
        <v>8494</v>
      </c>
      <c r="L5537" s="19" t="s">
        <v>8494</v>
      </c>
      <c r="M5537" s="20" t="s">
        <v>8494</v>
      </c>
    </row>
    <row r="5538">
      <c r="A5538" s="6"/>
      <c r="B5538" s="6"/>
      <c r="C5538" s="6"/>
      <c r="D5538" s="4">
        <v>74.7050055960381</v>
      </c>
      <c r="E5538" s="4" t="s">
        <v>7813</v>
      </c>
      <c r="F5538" s="4"/>
      <c r="G5538" s="4"/>
      <c r="H5538" s="4"/>
      <c r="I5538" s="4"/>
      <c r="J5538" s="18">
        <v>0.0</v>
      </c>
      <c r="K5538" s="4" t="s">
        <v>8494</v>
      </c>
      <c r="L5538" s="19" t="s">
        <v>8494</v>
      </c>
      <c r="M5538" s="20" t="s">
        <v>8494</v>
      </c>
    </row>
    <row r="5539">
      <c r="A5539" s="6"/>
      <c r="B5539" s="6"/>
      <c r="C5539" s="6"/>
      <c r="D5539" s="4">
        <v>49.6430102577413</v>
      </c>
      <c r="E5539" s="4" t="s">
        <v>7815</v>
      </c>
      <c r="F5539" s="4"/>
      <c r="G5539" s="4"/>
      <c r="H5539" s="4"/>
      <c r="I5539" s="4"/>
      <c r="J5539" s="18">
        <v>0.0</v>
      </c>
      <c r="K5539" s="4" t="s">
        <v>8494</v>
      </c>
      <c r="L5539" s="19" t="s">
        <v>8494</v>
      </c>
      <c r="M5539" s="20" t="s">
        <v>8494</v>
      </c>
    </row>
    <row r="5540">
      <c r="A5540" s="6"/>
      <c r="B5540" s="6"/>
      <c r="C5540" s="6"/>
      <c r="D5540" s="4">
        <v>24.4843268745661</v>
      </c>
      <c r="E5540" s="4" t="s">
        <v>5683</v>
      </c>
      <c r="F5540" s="4"/>
      <c r="G5540" s="4"/>
      <c r="H5540" s="4"/>
      <c r="I5540" s="4"/>
      <c r="J5540" s="18">
        <v>0.0</v>
      </c>
      <c r="K5540" s="4" t="s">
        <v>8494</v>
      </c>
      <c r="L5540" s="19" t="s">
        <v>8494</v>
      </c>
      <c r="M5540" s="20" t="s">
        <v>8494</v>
      </c>
    </row>
    <row r="5541">
      <c r="A5541" s="6"/>
      <c r="B5541" s="6"/>
      <c r="C5541" s="6"/>
      <c r="D5541" s="4">
        <v>186.01196020749998</v>
      </c>
      <c r="E5541" s="4" t="s">
        <v>153</v>
      </c>
      <c r="F5541" s="4"/>
      <c r="G5541" s="4"/>
      <c r="H5541" s="4"/>
      <c r="I5541" s="4"/>
      <c r="J5541" s="18">
        <v>0.0</v>
      </c>
      <c r="K5541" s="4" t="s">
        <v>8494</v>
      </c>
      <c r="L5541" s="19" t="s">
        <v>8494</v>
      </c>
      <c r="M5541" s="20" t="s">
        <v>8494</v>
      </c>
    </row>
    <row r="5542">
      <c r="A5542" s="6"/>
      <c r="B5542" s="6"/>
      <c r="C5542" s="6"/>
      <c r="D5542" s="4">
        <v>10.41666977162</v>
      </c>
      <c r="E5542" s="4" t="s">
        <v>4289</v>
      </c>
      <c r="F5542" s="4"/>
      <c r="G5542" s="4"/>
      <c r="H5542" s="4"/>
      <c r="I5542" s="4"/>
      <c r="J5542" s="18">
        <v>0.0</v>
      </c>
      <c r="K5542" s="4" t="s">
        <v>8494</v>
      </c>
      <c r="L5542" s="19" t="s">
        <v>8494</v>
      </c>
      <c r="M5542" s="20" t="s">
        <v>8494</v>
      </c>
    </row>
    <row r="5543">
      <c r="A5543" s="6"/>
      <c r="B5543" s="6"/>
      <c r="C5543" s="6"/>
      <c r="D5543" s="4">
        <v>37.070288118767195</v>
      </c>
      <c r="E5543" s="4" t="s">
        <v>3883</v>
      </c>
      <c r="F5543" s="4"/>
      <c r="G5543" s="4"/>
      <c r="H5543" s="4"/>
      <c r="I5543" s="4"/>
      <c r="J5543" s="18">
        <v>0.0</v>
      </c>
      <c r="K5543" s="4" t="s">
        <v>8494</v>
      </c>
      <c r="L5543" s="19" t="s">
        <v>8494</v>
      </c>
      <c r="M5543" s="20" t="s">
        <v>8494</v>
      </c>
    </row>
    <row r="5544">
      <c r="A5544" s="6"/>
      <c r="B5544" s="6"/>
      <c r="C5544" s="6"/>
      <c r="D5544" s="4">
        <v>51.284564041132995</v>
      </c>
      <c r="E5544" s="4" t="s">
        <v>2754</v>
      </c>
      <c r="F5544" s="4"/>
      <c r="G5544" s="4"/>
      <c r="H5544" s="4"/>
      <c r="I5544" s="4"/>
      <c r="J5544" s="18">
        <v>0.0</v>
      </c>
      <c r="K5544" s="4" t="s">
        <v>8494</v>
      </c>
      <c r="L5544" s="19" t="s">
        <v>8494</v>
      </c>
      <c r="M5544" s="20" t="s">
        <v>8494</v>
      </c>
    </row>
    <row r="5545">
      <c r="A5545" s="6"/>
      <c r="B5545" s="6"/>
      <c r="C5545" s="6"/>
      <c r="D5545" s="4">
        <v>8.50400415814991</v>
      </c>
      <c r="E5545" s="4" t="s">
        <v>5347</v>
      </c>
      <c r="F5545" s="4"/>
      <c r="G5545" s="4"/>
      <c r="H5545" s="4"/>
      <c r="I5545" s="4"/>
      <c r="J5545" s="18">
        <v>0.0</v>
      </c>
      <c r="K5545" s="4" t="s">
        <v>8494</v>
      </c>
      <c r="L5545" s="19" t="s">
        <v>8494</v>
      </c>
      <c r="M5545" s="20" t="s">
        <v>8494</v>
      </c>
    </row>
    <row r="5546">
      <c r="A5546" s="6"/>
      <c r="B5546" s="6"/>
      <c r="C5546" s="6"/>
      <c r="D5546" s="4">
        <v>35.204573986364196</v>
      </c>
      <c r="E5546" s="4" t="s">
        <v>2651</v>
      </c>
      <c r="F5546" s="4"/>
      <c r="G5546" s="4"/>
      <c r="H5546" s="4"/>
      <c r="I5546" s="4"/>
      <c r="J5546" s="18">
        <v>0.0</v>
      </c>
      <c r="K5546" s="4" t="s">
        <v>8494</v>
      </c>
      <c r="L5546" s="19" t="s">
        <v>8494</v>
      </c>
      <c r="M5546" s="20" t="s">
        <v>8494</v>
      </c>
    </row>
    <row r="5547">
      <c r="A5547" s="6"/>
      <c r="B5547" s="6"/>
      <c r="C5547" s="6"/>
      <c r="D5547" s="4">
        <v>186.01196020749998</v>
      </c>
      <c r="E5547" s="4" t="s">
        <v>2390</v>
      </c>
      <c r="F5547" s="4"/>
      <c r="G5547" s="4"/>
      <c r="H5547" s="4"/>
      <c r="I5547" s="4"/>
      <c r="J5547" s="18">
        <v>0.0</v>
      </c>
      <c r="K5547" s="4" t="s">
        <v>8494</v>
      </c>
      <c r="L5547" s="19" t="s">
        <v>8494</v>
      </c>
      <c r="M5547" s="20" t="s">
        <v>8494</v>
      </c>
    </row>
    <row r="5548">
      <c r="A5548" s="6"/>
      <c r="B5548" s="6"/>
      <c r="C5548" s="6"/>
      <c r="D5548" s="4">
        <v>0.18787207980957502</v>
      </c>
      <c r="E5548" s="4" t="s">
        <v>7823</v>
      </c>
      <c r="F5548" s="4"/>
      <c r="G5548" s="4"/>
      <c r="H5548" s="4"/>
      <c r="I5548" s="4"/>
      <c r="J5548" s="18">
        <v>0.0</v>
      </c>
      <c r="K5548" s="4" t="s">
        <v>8494</v>
      </c>
      <c r="L5548" s="19" t="s">
        <v>8494</v>
      </c>
      <c r="M5548" s="20" t="s">
        <v>8494</v>
      </c>
    </row>
    <row r="5549">
      <c r="A5549" s="6"/>
      <c r="B5549" s="6"/>
      <c r="C5549" s="6"/>
      <c r="D5549" s="4">
        <v>186.01196020749998</v>
      </c>
      <c r="E5549" s="4" t="s">
        <v>632</v>
      </c>
      <c r="F5549" s="4"/>
      <c r="G5549" s="4"/>
      <c r="H5549" s="4"/>
      <c r="I5549" s="4"/>
      <c r="J5549" s="18">
        <v>0.0</v>
      </c>
      <c r="K5549" s="4" t="s">
        <v>8494</v>
      </c>
      <c r="L5549" s="19" t="s">
        <v>8494</v>
      </c>
      <c r="M5549" s="20" t="s">
        <v>8494</v>
      </c>
    </row>
    <row r="5550">
      <c r="A5550" s="6"/>
      <c r="B5550" s="6"/>
      <c r="C5550" s="6"/>
      <c r="D5550" s="4">
        <v>69.5887070625957</v>
      </c>
      <c r="E5550" s="4" t="s">
        <v>7825</v>
      </c>
      <c r="F5550" s="4"/>
      <c r="G5550" s="4"/>
      <c r="H5550" s="4"/>
      <c r="I5550" s="4"/>
      <c r="J5550" s="18">
        <v>0.0</v>
      </c>
      <c r="K5550" s="4" t="s">
        <v>8494</v>
      </c>
      <c r="L5550" s="19" t="s">
        <v>8494</v>
      </c>
      <c r="M5550" s="20" t="s">
        <v>8494</v>
      </c>
    </row>
    <row r="5551">
      <c r="A5551" s="6"/>
      <c r="B5551" s="6"/>
      <c r="C5551" s="6"/>
      <c r="D5551" s="4">
        <v>54.535948437932205</v>
      </c>
      <c r="E5551" s="4" t="s">
        <v>7827</v>
      </c>
      <c r="F5551" s="4"/>
      <c r="G5551" s="4"/>
      <c r="H5551" s="4"/>
      <c r="I5551" s="4"/>
      <c r="J5551" s="18">
        <v>0.0</v>
      </c>
      <c r="K5551" s="4" t="s">
        <v>8494</v>
      </c>
      <c r="L5551" s="19" t="s">
        <v>8494</v>
      </c>
      <c r="M5551" s="20" t="s">
        <v>8494</v>
      </c>
    </row>
    <row r="5552">
      <c r="A5552" s="6"/>
      <c r="B5552" s="6"/>
      <c r="C5552" s="6"/>
      <c r="D5552" s="4">
        <v>184.999302567826</v>
      </c>
      <c r="E5552" s="4" t="s">
        <v>7829</v>
      </c>
      <c r="F5552" s="4"/>
      <c r="G5552" s="4"/>
      <c r="H5552" s="4"/>
      <c r="I5552" s="4"/>
      <c r="J5552" s="18">
        <v>0.0</v>
      </c>
      <c r="K5552" s="4" t="s">
        <v>8494</v>
      </c>
      <c r="L5552" s="19" t="s">
        <v>8494</v>
      </c>
      <c r="M5552" s="20" t="s">
        <v>8494</v>
      </c>
    </row>
    <row r="5553">
      <c r="A5553" s="6"/>
      <c r="B5553" s="6"/>
      <c r="C5553" s="6"/>
      <c r="D5553" s="4">
        <v>186.01196020749998</v>
      </c>
      <c r="E5553" s="4" t="s">
        <v>7831</v>
      </c>
      <c r="F5553" s="4"/>
      <c r="G5553" s="4"/>
      <c r="H5553" s="4"/>
      <c r="I5553" s="4"/>
      <c r="J5553" s="18">
        <v>0.0</v>
      </c>
      <c r="K5553" s="4" t="s">
        <v>8494</v>
      </c>
      <c r="L5553" s="19" t="s">
        <v>8494</v>
      </c>
      <c r="M5553" s="20" t="s">
        <v>8494</v>
      </c>
    </row>
    <row r="5554">
      <c r="A5554" s="6"/>
      <c r="B5554" s="6"/>
      <c r="C5554" s="6"/>
      <c r="D5554" s="4">
        <v>8.87785254035319</v>
      </c>
      <c r="E5554" s="4" t="s">
        <v>1906</v>
      </c>
      <c r="F5554" s="4"/>
      <c r="G5554" s="4"/>
      <c r="H5554" s="4"/>
      <c r="I5554" s="4"/>
      <c r="J5554" s="18">
        <v>0.0</v>
      </c>
      <c r="K5554" s="4" t="s">
        <v>8494</v>
      </c>
      <c r="L5554" s="19" t="s">
        <v>8494</v>
      </c>
      <c r="M5554" s="20" t="s">
        <v>8494</v>
      </c>
    </row>
    <row r="5555">
      <c r="A5555" s="6"/>
      <c r="B5555" s="6"/>
      <c r="C5555" s="6"/>
      <c r="D5555" s="4">
        <v>0.0671304520386886</v>
      </c>
      <c r="E5555" s="4" t="s">
        <v>3724</v>
      </c>
      <c r="F5555" s="4"/>
      <c r="G5555" s="4"/>
      <c r="H5555" s="4"/>
      <c r="I5555" s="4"/>
      <c r="J5555" s="18">
        <v>0.0</v>
      </c>
      <c r="K5555" s="4" t="s">
        <v>8494</v>
      </c>
      <c r="L5555" s="19" t="s">
        <v>8494</v>
      </c>
      <c r="M5555" s="20" t="s">
        <v>8494</v>
      </c>
    </row>
    <row r="5556">
      <c r="A5556" s="6"/>
      <c r="B5556" s="6"/>
      <c r="C5556" s="6"/>
      <c r="D5556" s="4">
        <v>186.01196020749998</v>
      </c>
      <c r="E5556" s="4" t="s">
        <v>954</v>
      </c>
      <c r="F5556" s="4"/>
      <c r="G5556" s="4"/>
      <c r="H5556" s="4"/>
      <c r="I5556" s="4"/>
      <c r="J5556" s="18">
        <v>0.0</v>
      </c>
      <c r="K5556" s="4" t="s">
        <v>8494</v>
      </c>
      <c r="L5556" s="19" t="s">
        <v>8494</v>
      </c>
      <c r="M5556" s="20" t="s">
        <v>8494</v>
      </c>
    </row>
    <row r="5557">
      <c r="A5557" s="6"/>
      <c r="B5557" s="6"/>
      <c r="C5557" s="6"/>
      <c r="D5557" s="4">
        <v>12.319239861463599</v>
      </c>
      <c r="E5557" s="4" t="s">
        <v>7834</v>
      </c>
      <c r="F5557" s="4"/>
      <c r="G5557" s="4"/>
      <c r="H5557" s="4"/>
      <c r="I5557" s="4"/>
      <c r="J5557" s="18">
        <v>0.0</v>
      </c>
      <c r="K5557" s="4" t="s">
        <v>8494</v>
      </c>
      <c r="L5557" s="19" t="s">
        <v>8494</v>
      </c>
      <c r="M5557" s="20" t="s">
        <v>8494</v>
      </c>
    </row>
    <row r="5558">
      <c r="A5558" s="6"/>
      <c r="B5558" s="6"/>
      <c r="C5558" s="6"/>
      <c r="D5558" s="4">
        <v>138.608541348333</v>
      </c>
      <c r="E5558" s="4" t="s">
        <v>1933</v>
      </c>
      <c r="F5558" s="4"/>
      <c r="G5558" s="4"/>
      <c r="H5558" s="4"/>
      <c r="I5558" s="4"/>
      <c r="J5558" s="18">
        <v>0.0</v>
      </c>
      <c r="K5558" s="4" t="s">
        <v>8494</v>
      </c>
      <c r="L5558" s="19" t="s">
        <v>8494</v>
      </c>
      <c r="M5558" s="20" t="s">
        <v>8494</v>
      </c>
    </row>
    <row r="5559">
      <c r="A5559" s="6"/>
      <c r="B5559" s="6"/>
      <c r="C5559" s="6"/>
      <c r="D5559" s="4">
        <v>186.01196020749998</v>
      </c>
      <c r="E5559" s="4" t="s">
        <v>191</v>
      </c>
      <c r="F5559" s="4"/>
      <c r="G5559" s="4"/>
      <c r="H5559" s="4"/>
      <c r="I5559" s="4"/>
      <c r="J5559" s="18">
        <v>0.0</v>
      </c>
      <c r="K5559" s="4" t="s">
        <v>8494</v>
      </c>
      <c r="L5559" s="19" t="s">
        <v>8494</v>
      </c>
      <c r="M5559" s="20" t="s">
        <v>8494</v>
      </c>
    </row>
    <row r="5560">
      <c r="A5560" s="6"/>
      <c r="B5560" s="6"/>
      <c r="C5560" s="6"/>
      <c r="D5560" s="4">
        <v>27.9017940311251</v>
      </c>
      <c r="E5560" s="4" t="s">
        <v>3493</v>
      </c>
      <c r="F5560" s="4"/>
      <c r="G5560" s="4"/>
      <c r="H5560" s="4"/>
      <c r="I5560" s="4"/>
      <c r="J5560" s="18">
        <v>0.0</v>
      </c>
      <c r="K5560" s="4" t="s">
        <v>8494</v>
      </c>
      <c r="L5560" s="19" t="s">
        <v>8494</v>
      </c>
      <c r="M5560" s="20" t="s">
        <v>8494</v>
      </c>
    </row>
    <row r="5561">
      <c r="A5561" s="6"/>
      <c r="B5561" s="6"/>
      <c r="C5561" s="6"/>
      <c r="D5561" s="4">
        <v>55.8040115054568</v>
      </c>
      <c r="E5561" s="4" t="s">
        <v>6861</v>
      </c>
      <c r="F5561" s="4"/>
      <c r="G5561" s="4"/>
      <c r="H5561" s="4"/>
      <c r="I5561" s="4"/>
      <c r="J5561" s="18">
        <v>0.0</v>
      </c>
      <c r="K5561" s="4" t="s">
        <v>8494</v>
      </c>
      <c r="L5561" s="19" t="s">
        <v>8494</v>
      </c>
      <c r="M5561" s="20" t="s">
        <v>8494</v>
      </c>
    </row>
    <row r="5562">
      <c r="A5562" s="6"/>
      <c r="B5562" s="6"/>
      <c r="C5562" s="6"/>
      <c r="D5562" s="4">
        <v>10.2306578114125</v>
      </c>
      <c r="E5562" s="4" t="s">
        <v>5063</v>
      </c>
      <c r="F5562" s="4"/>
      <c r="G5562" s="4"/>
      <c r="H5562" s="4"/>
      <c r="I5562" s="4"/>
      <c r="J5562" s="18">
        <v>0.0</v>
      </c>
      <c r="K5562" s="4" t="s">
        <v>8494</v>
      </c>
      <c r="L5562" s="19" t="s">
        <v>8494</v>
      </c>
      <c r="M5562" s="20" t="s">
        <v>8494</v>
      </c>
    </row>
    <row r="5563">
      <c r="A5563" s="6"/>
      <c r="B5563" s="6"/>
      <c r="C5563" s="6"/>
      <c r="D5563" s="4">
        <v>40.9484529076756</v>
      </c>
      <c r="E5563" s="4" t="s">
        <v>6749</v>
      </c>
      <c r="F5563" s="4"/>
      <c r="G5563" s="4"/>
      <c r="H5563" s="4"/>
      <c r="I5563" s="4"/>
      <c r="J5563" s="18">
        <v>0.0</v>
      </c>
      <c r="K5563" s="4" t="s">
        <v>8494</v>
      </c>
      <c r="L5563" s="19" t="s">
        <v>8494</v>
      </c>
      <c r="M5563" s="20" t="s">
        <v>8494</v>
      </c>
    </row>
    <row r="5564">
      <c r="A5564" s="6"/>
      <c r="B5564" s="6"/>
      <c r="C5564" s="6"/>
      <c r="D5564" s="4">
        <v>186.01196020749998</v>
      </c>
      <c r="E5564" s="4" t="s">
        <v>1675</v>
      </c>
      <c r="F5564" s="4"/>
      <c r="G5564" s="4"/>
      <c r="H5564" s="4"/>
      <c r="I5564" s="4"/>
      <c r="J5564" s="18">
        <v>0.0</v>
      </c>
      <c r="K5564" s="4" t="s">
        <v>8494</v>
      </c>
      <c r="L5564" s="19" t="s">
        <v>8494</v>
      </c>
      <c r="M5564" s="20" t="s">
        <v>8494</v>
      </c>
    </row>
    <row r="5565">
      <c r="A5565" s="6"/>
      <c r="B5565" s="6"/>
      <c r="C5565" s="6"/>
      <c r="D5565" s="4">
        <v>46.7607380033315</v>
      </c>
      <c r="E5565" s="4" t="s">
        <v>3181</v>
      </c>
      <c r="F5565" s="4"/>
      <c r="G5565" s="4"/>
      <c r="H5565" s="4"/>
      <c r="I5565" s="4"/>
      <c r="J5565" s="18">
        <v>0.0</v>
      </c>
      <c r="K5565" s="4" t="s">
        <v>8494</v>
      </c>
      <c r="L5565" s="19" t="s">
        <v>8494</v>
      </c>
      <c r="M5565" s="20" t="s">
        <v>8494</v>
      </c>
    </row>
    <row r="5566">
      <c r="A5566" s="6"/>
      <c r="B5566" s="6"/>
      <c r="C5566" s="6"/>
      <c r="D5566" s="4">
        <v>186.01196020749998</v>
      </c>
      <c r="E5566" s="4" t="s">
        <v>221</v>
      </c>
      <c r="F5566" s="4"/>
      <c r="G5566" s="4"/>
      <c r="H5566" s="4"/>
      <c r="I5566" s="4"/>
      <c r="J5566" s="18">
        <v>0.0</v>
      </c>
      <c r="K5566" s="4" t="s">
        <v>8494</v>
      </c>
      <c r="L5566" s="19" t="s">
        <v>8494</v>
      </c>
      <c r="M5566" s="20" t="s">
        <v>8494</v>
      </c>
    </row>
    <row r="5567">
      <c r="A5567" s="6"/>
      <c r="B5567" s="6"/>
      <c r="C5567" s="6"/>
      <c r="D5567" s="4">
        <v>4.15807783875122</v>
      </c>
      <c r="E5567" s="4" t="s">
        <v>5299</v>
      </c>
      <c r="F5567" s="4"/>
      <c r="G5567" s="4"/>
      <c r="H5567" s="4"/>
      <c r="I5567" s="4"/>
      <c r="J5567" s="18">
        <v>0.0</v>
      </c>
      <c r="K5567" s="4" t="s">
        <v>8494</v>
      </c>
      <c r="L5567" s="19" t="s">
        <v>8494</v>
      </c>
      <c r="M5567" s="20" t="s">
        <v>8494</v>
      </c>
    </row>
    <row r="5568">
      <c r="A5568" s="6"/>
      <c r="B5568" s="6"/>
      <c r="C5568" s="6"/>
      <c r="D5568" s="4">
        <v>13.4602145532679</v>
      </c>
      <c r="E5568" s="4" t="s">
        <v>4044</v>
      </c>
      <c r="F5568" s="4"/>
      <c r="G5568" s="4"/>
      <c r="H5568" s="4"/>
      <c r="I5568" s="4"/>
      <c r="J5568" s="18">
        <v>0.0</v>
      </c>
      <c r="K5568" s="4" t="s">
        <v>8494</v>
      </c>
      <c r="L5568" s="19" t="s">
        <v>8494</v>
      </c>
      <c r="M5568" s="20" t="s">
        <v>8494</v>
      </c>
    </row>
    <row r="5569">
      <c r="A5569" s="6"/>
      <c r="B5569" s="6"/>
      <c r="C5569" s="6"/>
      <c r="D5569" s="4">
        <v>46.5110166400857</v>
      </c>
      <c r="E5569" s="4" t="s">
        <v>6892</v>
      </c>
      <c r="F5569" s="4"/>
      <c r="G5569" s="4"/>
      <c r="H5569" s="4"/>
      <c r="I5569" s="4"/>
      <c r="J5569" s="18">
        <v>0.0</v>
      </c>
      <c r="K5569" s="4" t="s">
        <v>8494</v>
      </c>
      <c r="L5569" s="19" t="s">
        <v>8494</v>
      </c>
      <c r="M5569" s="20" t="s">
        <v>8494</v>
      </c>
    </row>
    <row r="5570">
      <c r="A5570" s="6"/>
      <c r="B5570" s="6"/>
      <c r="C5570" s="6"/>
      <c r="D5570" s="4">
        <v>6.43980557541164</v>
      </c>
      <c r="E5570" s="4" t="s">
        <v>4910</v>
      </c>
      <c r="F5570" s="4"/>
      <c r="G5570" s="4"/>
      <c r="H5570" s="4"/>
      <c r="I5570" s="4"/>
      <c r="J5570" s="18">
        <v>0.0</v>
      </c>
      <c r="K5570" s="4" t="s">
        <v>8494</v>
      </c>
      <c r="L5570" s="19" t="s">
        <v>8494</v>
      </c>
      <c r="M5570" s="20" t="s">
        <v>8494</v>
      </c>
    </row>
    <row r="5571">
      <c r="A5571" s="6"/>
      <c r="B5571" s="6"/>
      <c r="C5571" s="6"/>
      <c r="D5571" s="4">
        <v>65.0003662824286</v>
      </c>
      <c r="E5571" s="4" t="s">
        <v>2209</v>
      </c>
      <c r="F5571" s="4"/>
      <c r="G5571" s="4"/>
      <c r="H5571" s="4"/>
      <c r="I5571" s="4"/>
      <c r="J5571" s="18">
        <v>0.0</v>
      </c>
      <c r="K5571" s="4" t="s">
        <v>8494</v>
      </c>
      <c r="L5571" s="19" t="s">
        <v>8494</v>
      </c>
      <c r="M5571" s="20" t="s">
        <v>8494</v>
      </c>
    </row>
    <row r="5572">
      <c r="A5572" s="6"/>
      <c r="B5572" s="6"/>
      <c r="C5572" s="6"/>
      <c r="D5572" s="4">
        <v>186.01196020749998</v>
      </c>
      <c r="E5572" s="4" t="s">
        <v>3531</v>
      </c>
      <c r="F5572" s="4"/>
      <c r="G5572" s="4"/>
      <c r="H5572" s="4"/>
      <c r="I5572" s="4"/>
      <c r="J5572" s="18">
        <v>0.0</v>
      </c>
      <c r="K5572" s="4" t="s">
        <v>8494</v>
      </c>
      <c r="L5572" s="19" t="s">
        <v>8494</v>
      </c>
      <c r="M5572" s="20" t="s">
        <v>8494</v>
      </c>
    </row>
    <row r="5573">
      <c r="A5573" s="6"/>
      <c r="B5573" s="6"/>
      <c r="C5573" s="6"/>
      <c r="D5573" s="4">
        <v>65.3312289379202</v>
      </c>
      <c r="E5573" s="4" t="s">
        <v>3788</v>
      </c>
      <c r="F5573" s="4"/>
      <c r="G5573" s="4"/>
      <c r="H5573" s="4"/>
      <c r="I5573" s="4"/>
      <c r="J5573" s="18">
        <v>0.0</v>
      </c>
      <c r="K5573" s="4" t="s">
        <v>8494</v>
      </c>
      <c r="L5573" s="19" t="s">
        <v>8494</v>
      </c>
      <c r="M5573" s="20" t="s">
        <v>8494</v>
      </c>
    </row>
    <row r="5574">
      <c r="A5574" s="6"/>
      <c r="B5574" s="6"/>
      <c r="C5574" s="6"/>
      <c r="D5574" s="4">
        <v>9.30059801037504</v>
      </c>
      <c r="E5574" s="4" t="s">
        <v>7846</v>
      </c>
      <c r="F5574" s="4"/>
      <c r="G5574" s="4"/>
      <c r="H5574" s="4"/>
      <c r="I5574" s="4"/>
      <c r="J5574" s="18">
        <v>0.0</v>
      </c>
      <c r="K5574" s="4" t="s">
        <v>8494</v>
      </c>
      <c r="L5574" s="19" t="s">
        <v>8494</v>
      </c>
      <c r="M5574" s="20" t="s">
        <v>8494</v>
      </c>
    </row>
    <row r="5575">
      <c r="A5575" s="6"/>
      <c r="B5575" s="6"/>
      <c r="C5575" s="6"/>
      <c r="D5575" s="4">
        <v>1.68879541939259</v>
      </c>
      <c r="E5575" s="4" t="s">
        <v>3069</v>
      </c>
      <c r="F5575" s="4"/>
      <c r="G5575" s="4"/>
      <c r="H5575" s="4"/>
      <c r="I5575" s="4"/>
      <c r="J5575" s="18">
        <v>0.0</v>
      </c>
      <c r="K5575" s="4" t="s">
        <v>8494</v>
      </c>
      <c r="L5575" s="19" t="s">
        <v>8494</v>
      </c>
      <c r="M5575" s="20" t="s">
        <v>8494</v>
      </c>
    </row>
    <row r="5576">
      <c r="A5576" s="6"/>
      <c r="B5576" s="6"/>
      <c r="C5576" s="6"/>
      <c r="D5576" s="4">
        <v>32.1124466709485</v>
      </c>
      <c r="E5576" s="4" t="s">
        <v>2305</v>
      </c>
      <c r="F5576" s="4"/>
      <c r="G5576" s="4"/>
      <c r="H5576" s="4"/>
      <c r="I5576" s="4"/>
      <c r="J5576" s="18">
        <v>0.0</v>
      </c>
      <c r="K5576" s="4" t="s">
        <v>8494</v>
      </c>
      <c r="L5576" s="19" t="s">
        <v>8494</v>
      </c>
      <c r="M5576" s="20" t="s">
        <v>8494</v>
      </c>
    </row>
    <row r="5577">
      <c r="A5577" s="6"/>
      <c r="B5577" s="6"/>
      <c r="C5577" s="6"/>
      <c r="D5577" s="4">
        <v>186.01196020749998</v>
      </c>
      <c r="E5577" s="4" t="s">
        <v>5752</v>
      </c>
      <c r="F5577" s="4"/>
      <c r="G5577" s="4"/>
      <c r="H5577" s="4"/>
      <c r="I5577" s="4"/>
      <c r="J5577" s="18">
        <v>0.0</v>
      </c>
      <c r="K5577" s="4" t="s">
        <v>8494</v>
      </c>
      <c r="L5577" s="19" t="s">
        <v>8494</v>
      </c>
      <c r="M5577" s="20" t="s">
        <v>8494</v>
      </c>
    </row>
    <row r="5578">
      <c r="A5578" s="6"/>
      <c r="B5578" s="6"/>
      <c r="C5578" s="6"/>
      <c r="D5578" s="4">
        <v>83.7053820933753</v>
      </c>
      <c r="E5578" s="4" t="s">
        <v>2083</v>
      </c>
      <c r="F5578" s="4"/>
      <c r="G5578" s="4"/>
      <c r="H5578" s="4"/>
      <c r="I5578" s="4"/>
      <c r="J5578" s="18">
        <v>0.0</v>
      </c>
      <c r="K5578" s="4" t="s">
        <v>8494</v>
      </c>
      <c r="L5578" s="19" t="s">
        <v>8494</v>
      </c>
      <c r="M5578" s="20" t="s">
        <v>8494</v>
      </c>
    </row>
    <row r="5579">
      <c r="A5579" s="6"/>
      <c r="B5579" s="6"/>
      <c r="C5579" s="6"/>
      <c r="D5579" s="4">
        <v>19.715050386058802</v>
      </c>
      <c r="E5579" s="4" t="s">
        <v>3891</v>
      </c>
      <c r="F5579" s="4"/>
      <c r="G5579" s="4"/>
      <c r="H5579" s="4"/>
      <c r="I5579" s="4"/>
      <c r="J5579" s="18">
        <v>0.0</v>
      </c>
      <c r="K5579" s="4" t="s">
        <v>8494</v>
      </c>
      <c r="L5579" s="19" t="s">
        <v>8494</v>
      </c>
      <c r="M5579" s="20" t="s">
        <v>8494</v>
      </c>
    </row>
    <row r="5580">
      <c r="A5580" s="6"/>
      <c r="B5580" s="6"/>
      <c r="C5580" s="6"/>
      <c r="D5580" s="4">
        <v>186.01196020749998</v>
      </c>
      <c r="E5580" s="4" t="s">
        <v>3111</v>
      </c>
      <c r="F5580" s="4"/>
      <c r="G5580" s="4"/>
      <c r="H5580" s="4"/>
      <c r="I5580" s="4"/>
      <c r="J5580" s="18">
        <v>0.0</v>
      </c>
      <c r="K5580" s="4" t="s">
        <v>8494</v>
      </c>
      <c r="L5580" s="19" t="s">
        <v>8494</v>
      </c>
      <c r="M5580" s="20" t="s">
        <v>8494</v>
      </c>
    </row>
    <row r="5581">
      <c r="A5581" s="6"/>
      <c r="B5581" s="6"/>
      <c r="C5581" s="6"/>
      <c r="D5581" s="4">
        <v>9.30059801037504</v>
      </c>
      <c r="E5581" s="4" t="s">
        <v>6349</v>
      </c>
      <c r="F5581" s="4"/>
      <c r="G5581" s="4"/>
      <c r="H5581" s="4"/>
      <c r="I5581" s="4"/>
      <c r="J5581" s="18">
        <v>0.0</v>
      </c>
      <c r="K5581" s="4" t="s">
        <v>8494</v>
      </c>
      <c r="L5581" s="19" t="s">
        <v>8494</v>
      </c>
      <c r="M5581" s="20" t="s">
        <v>8494</v>
      </c>
    </row>
    <row r="5582">
      <c r="A5582" s="6"/>
      <c r="B5582" s="6"/>
      <c r="C5582" s="6"/>
      <c r="D5582" s="4">
        <v>186.01196020749998</v>
      </c>
      <c r="E5582" s="4" t="s">
        <v>970</v>
      </c>
      <c r="F5582" s="4"/>
      <c r="G5582" s="4"/>
      <c r="H5582" s="4"/>
      <c r="I5582" s="4"/>
      <c r="J5582" s="18">
        <v>0.0</v>
      </c>
      <c r="K5582" s="4" t="s">
        <v>8494</v>
      </c>
      <c r="L5582" s="19" t="s">
        <v>8494</v>
      </c>
      <c r="M5582" s="20" t="s">
        <v>8494</v>
      </c>
    </row>
    <row r="5583">
      <c r="A5583" s="6"/>
      <c r="B5583" s="6"/>
      <c r="C5583" s="6"/>
      <c r="D5583" s="4">
        <v>9.634613201268609</v>
      </c>
      <c r="E5583" s="4" t="s">
        <v>4730</v>
      </c>
      <c r="F5583" s="4"/>
      <c r="G5583" s="4"/>
      <c r="H5583" s="4"/>
      <c r="I5583" s="4"/>
      <c r="J5583" s="18">
        <v>0.0</v>
      </c>
      <c r="K5583" s="4" t="s">
        <v>8494</v>
      </c>
      <c r="L5583" s="19" t="s">
        <v>8494</v>
      </c>
      <c r="M5583" s="20" t="s">
        <v>8494</v>
      </c>
    </row>
    <row r="5584">
      <c r="A5584" s="6"/>
      <c r="B5584" s="6"/>
      <c r="C5584" s="6"/>
      <c r="D5584" s="4">
        <v>18.60119602075</v>
      </c>
      <c r="E5584" s="4" t="s">
        <v>7851</v>
      </c>
      <c r="F5584" s="4"/>
      <c r="G5584" s="4"/>
      <c r="H5584" s="4"/>
      <c r="I5584" s="4"/>
      <c r="J5584" s="18">
        <v>0.0</v>
      </c>
      <c r="K5584" s="4" t="s">
        <v>8494</v>
      </c>
      <c r="L5584" s="19" t="s">
        <v>8494</v>
      </c>
      <c r="M5584" s="20" t="s">
        <v>8494</v>
      </c>
    </row>
    <row r="5585">
      <c r="A5585" s="6"/>
      <c r="B5585" s="6"/>
      <c r="C5585" s="6"/>
      <c r="D5585" s="4">
        <v>95.2381236262404</v>
      </c>
      <c r="E5585" s="4" t="s">
        <v>4600</v>
      </c>
      <c r="F5585" s="4"/>
      <c r="G5585" s="4"/>
      <c r="H5585" s="4"/>
      <c r="I5585" s="4"/>
      <c r="J5585" s="18">
        <v>0.0</v>
      </c>
      <c r="K5585" s="4" t="s">
        <v>8494</v>
      </c>
      <c r="L5585" s="19" t="s">
        <v>8494</v>
      </c>
      <c r="M5585" s="20" t="s">
        <v>8494</v>
      </c>
    </row>
    <row r="5586">
      <c r="A5586" s="6"/>
      <c r="B5586" s="6"/>
      <c r="C5586" s="6"/>
      <c r="D5586" s="4">
        <v>9.30059801037504</v>
      </c>
      <c r="E5586" s="4" t="s">
        <v>5350</v>
      </c>
      <c r="F5586" s="4"/>
      <c r="G5586" s="4"/>
      <c r="H5586" s="4"/>
      <c r="I5586" s="4"/>
      <c r="J5586" s="18">
        <v>0.0</v>
      </c>
      <c r="K5586" s="4" t="s">
        <v>8494</v>
      </c>
      <c r="L5586" s="19" t="s">
        <v>8494</v>
      </c>
      <c r="M5586" s="20" t="s">
        <v>8494</v>
      </c>
    </row>
    <row r="5587">
      <c r="A5587" s="6"/>
      <c r="B5587" s="6"/>
      <c r="C5587" s="6"/>
      <c r="D5587" s="4">
        <v>186.01196020749998</v>
      </c>
      <c r="E5587" s="4" t="s">
        <v>7853</v>
      </c>
      <c r="F5587" s="4"/>
      <c r="G5587" s="4"/>
      <c r="H5587" s="4"/>
      <c r="I5587" s="4"/>
      <c r="J5587" s="18">
        <v>0.0</v>
      </c>
      <c r="K5587" s="4" t="s">
        <v>8494</v>
      </c>
      <c r="L5587" s="19" t="s">
        <v>8494</v>
      </c>
      <c r="M5587" s="20" t="s">
        <v>8494</v>
      </c>
    </row>
    <row r="5588">
      <c r="A5588" s="6"/>
      <c r="B5588" s="6"/>
      <c r="C5588" s="6"/>
      <c r="D5588" s="4">
        <v>157.73269380510698</v>
      </c>
      <c r="E5588" s="4" t="s">
        <v>4816</v>
      </c>
      <c r="F5588" s="4"/>
      <c r="G5588" s="4"/>
      <c r="H5588" s="4"/>
      <c r="I5588" s="4"/>
      <c r="J5588" s="18">
        <v>0.0</v>
      </c>
      <c r="K5588" s="4" t="s">
        <v>8494</v>
      </c>
      <c r="L5588" s="19" t="s">
        <v>8494</v>
      </c>
      <c r="M5588" s="20" t="s">
        <v>8494</v>
      </c>
    </row>
    <row r="5589">
      <c r="A5589" s="6"/>
      <c r="B5589" s="6"/>
      <c r="C5589" s="6"/>
      <c r="D5589" s="4">
        <v>186.01196020749998</v>
      </c>
      <c r="E5589" s="4" t="s">
        <v>645</v>
      </c>
      <c r="F5589" s="4"/>
      <c r="G5589" s="4"/>
      <c r="H5589" s="4"/>
      <c r="I5589" s="4"/>
      <c r="J5589" s="18">
        <v>0.0</v>
      </c>
      <c r="K5589" s="4" t="s">
        <v>8494</v>
      </c>
      <c r="L5589" s="19" t="s">
        <v>8494</v>
      </c>
      <c r="M5589" s="20" t="s">
        <v>8494</v>
      </c>
    </row>
    <row r="5590">
      <c r="A5590" s="6"/>
      <c r="B5590" s="6"/>
      <c r="C5590" s="6"/>
      <c r="D5590" s="4">
        <v>122.5206598249</v>
      </c>
      <c r="E5590" s="4" t="s">
        <v>2914</v>
      </c>
      <c r="F5590" s="4"/>
      <c r="G5590" s="4"/>
      <c r="H5590" s="4"/>
      <c r="I5590" s="4"/>
      <c r="J5590" s="18">
        <v>0.0</v>
      </c>
      <c r="K5590" s="4" t="s">
        <v>8494</v>
      </c>
      <c r="L5590" s="19" t="s">
        <v>8494</v>
      </c>
      <c r="M5590" s="20" t="s">
        <v>8494</v>
      </c>
    </row>
    <row r="5591">
      <c r="A5591" s="6"/>
      <c r="B5591" s="6"/>
      <c r="C5591" s="6"/>
      <c r="D5591" s="4">
        <v>186.01196020749998</v>
      </c>
      <c r="E5591" s="4" t="s">
        <v>401</v>
      </c>
      <c r="F5591" s="4"/>
      <c r="G5591" s="4"/>
      <c r="H5591" s="4"/>
      <c r="I5591" s="4"/>
      <c r="J5591" s="18">
        <v>0.0</v>
      </c>
      <c r="K5591" s="4" t="s">
        <v>8494</v>
      </c>
      <c r="L5591" s="19" t="s">
        <v>8494</v>
      </c>
      <c r="M5591" s="20" t="s">
        <v>8494</v>
      </c>
    </row>
    <row r="5592">
      <c r="A5592" s="6"/>
      <c r="B5592" s="6"/>
      <c r="C5592" s="6"/>
      <c r="D5592" s="4">
        <v>186.01196020749998</v>
      </c>
      <c r="E5592" s="4" t="s">
        <v>1482</v>
      </c>
      <c r="F5592" s="4"/>
      <c r="G5592" s="4"/>
      <c r="H5592" s="4"/>
      <c r="I5592" s="4"/>
      <c r="J5592" s="18">
        <v>0.0</v>
      </c>
      <c r="K5592" s="4" t="s">
        <v>8494</v>
      </c>
      <c r="L5592" s="19" t="s">
        <v>8494</v>
      </c>
      <c r="M5592" s="20" t="s">
        <v>8494</v>
      </c>
    </row>
    <row r="5593">
      <c r="A5593" s="6"/>
      <c r="B5593" s="6"/>
      <c r="C5593" s="6"/>
      <c r="D5593" s="4">
        <v>83.7053820933753</v>
      </c>
      <c r="E5593" s="4" t="s">
        <v>2669</v>
      </c>
      <c r="F5593" s="4"/>
      <c r="G5593" s="4"/>
      <c r="H5593" s="4"/>
      <c r="I5593" s="4"/>
      <c r="J5593" s="18">
        <v>0.0</v>
      </c>
      <c r="K5593" s="4" t="s">
        <v>8494</v>
      </c>
      <c r="L5593" s="19" t="s">
        <v>8494</v>
      </c>
      <c r="M5593" s="20" t="s">
        <v>8494</v>
      </c>
    </row>
    <row r="5594">
      <c r="A5594" s="6"/>
      <c r="B5594" s="6"/>
      <c r="C5594" s="6"/>
      <c r="D5594" s="4">
        <v>186.01196020749998</v>
      </c>
      <c r="E5594" s="4" t="s">
        <v>131</v>
      </c>
      <c r="F5594" s="4"/>
      <c r="G5594" s="4"/>
      <c r="H5594" s="4"/>
      <c r="I5594" s="4"/>
      <c r="J5594" s="18">
        <v>0.0</v>
      </c>
      <c r="K5594" s="4" t="s">
        <v>8494</v>
      </c>
      <c r="L5594" s="19" t="s">
        <v>8494</v>
      </c>
      <c r="M5594" s="20" t="s">
        <v>8494</v>
      </c>
    </row>
    <row r="5595">
      <c r="A5595" s="6"/>
      <c r="B5595" s="6"/>
      <c r="C5595" s="6"/>
      <c r="D5595" s="4">
        <v>22.4546257312612</v>
      </c>
      <c r="E5595" s="4" t="s">
        <v>3031</v>
      </c>
      <c r="F5595" s="4"/>
      <c r="G5595" s="4"/>
      <c r="H5595" s="4"/>
      <c r="I5595" s="4"/>
      <c r="J5595" s="18">
        <v>0.0</v>
      </c>
      <c r="K5595" s="4" t="s">
        <v>8494</v>
      </c>
      <c r="L5595" s="19" t="s">
        <v>8494</v>
      </c>
      <c r="M5595" s="20" t="s">
        <v>8494</v>
      </c>
    </row>
    <row r="5596">
      <c r="A5596" s="6"/>
      <c r="B5596" s="6"/>
      <c r="C5596" s="6"/>
      <c r="D5596" s="4">
        <v>169.301815240558</v>
      </c>
      <c r="E5596" s="4" t="s">
        <v>2302</v>
      </c>
      <c r="F5596" s="4"/>
      <c r="G5596" s="4"/>
      <c r="H5596" s="4"/>
      <c r="I5596" s="4"/>
      <c r="J5596" s="18">
        <v>0.0</v>
      </c>
      <c r="K5596" s="4" t="s">
        <v>8494</v>
      </c>
      <c r="L5596" s="19" t="s">
        <v>8494</v>
      </c>
      <c r="M5596" s="20" t="s">
        <v>8494</v>
      </c>
    </row>
    <row r="5597">
      <c r="A5597" s="6"/>
      <c r="B5597" s="6"/>
      <c r="C5597" s="6"/>
      <c r="D5597" s="4">
        <v>46.5180740554413</v>
      </c>
      <c r="E5597" s="4" t="s">
        <v>2516</v>
      </c>
      <c r="F5597" s="4"/>
      <c r="G5597" s="4"/>
      <c r="H5597" s="4"/>
      <c r="I5597" s="4"/>
      <c r="J5597" s="18">
        <v>0.0</v>
      </c>
      <c r="K5597" s="4" t="s">
        <v>8494</v>
      </c>
      <c r="L5597" s="19" t="s">
        <v>8494</v>
      </c>
      <c r="M5597" s="20" t="s">
        <v>8494</v>
      </c>
    </row>
    <row r="5598">
      <c r="A5598" s="6"/>
      <c r="B5598" s="6"/>
      <c r="C5598" s="6"/>
      <c r="D5598" s="4">
        <v>109.617018413909</v>
      </c>
      <c r="E5598" s="4" t="s">
        <v>7859</v>
      </c>
      <c r="F5598" s="4"/>
      <c r="G5598" s="4"/>
      <c r="H5598" s="4"/>
      <c r="I5598" s="4"/>
      <c r="J5598" s="18">
        <v>0.0</v>
      </c>
      <c r="K5598" s="4" t="s">
        <v>8494</v>
      </c>
      <c r="L5598" s="19" t="s">
        <v>8494</v>
      </c>
      <c r="M5598" s="20" t="s">
        <v>8494</v>
      </c>
    </row>
    <row r="5599">
      <c r="A5599" s="6"/>
      <c r="B5599" s="6"/>
      <c r="C5599" s="6"/>
      <c r="D5599" s="4">
        <v>122.693505371954</v>
      </c>
      <c r="E5599" s="4" t="s">
        <v>7861</v>
      </c>
      <c r="F5599" s="4"/>
      <c r="G5599" s="4"/>
      <c r="H5599" s="4"/>
      <c r="I5599" s="4"/>
      <c r="J5599" s="18">
        <v>0.0</v>
      </c>
      <c r="K5599" s="4" t="s">
        <v>8494</v>
      </c>
      <c r="L5599" s="19" t="s">
        <v>8494</v>
      </c>
      <c r="M5599" s="20" t="s">
        <v>8494</v>
      </c>
    </row>
    <row r="5600">
      <c r="A5600" s="6"/>
      <c r="B5600" s="6"/>
      <c r="C5600" s="6"/>
      <c r="D5600" s="4">
        <v>186.01196020749998</v>
      </c>
      <c r="E5600" s="4" t="s">
        <v>827</v>
      </c>
      <c r="F5600" s="4"/>
      <c r="G5600" s="4"/>
      <c r="H5600" s="4"/>
      <c r="I5600" s="4"/>
      <c r="J5600" s="18">
        <v>0.0</v>
      </c>
      <c r="K5600" s="4" t="s">
        <v>8494</v>
      </c>
      <c r="L5600" s="19" t="s">
        <v>8494</v>
      </c>
      <c r="M5600" s="20" t="s">
        <v>8494</v>
      </c>
    </row>
    <row r="5601">
      <c r="A5601" s="6"/>
      <c r="B5601" s="6"/>
      <c r="C5601" s="6"/>
      <c r="D5601" s="4">
        <v>10.9626536903168</v>
      </c>
      <c r="E5601" s="4" t="s">
        <v>4207</v>
      </c>
      <c r="F5601" s="4"/>
      <c r="G5601" s="4"/>
      <c r="H5601" s="4"/>
      <c r="I5601" s="4"/>
      <c r="J5601" s="18">
        <v>0.0</v>
      </c>
      <c r="K5601" s="4" t="s">
        <v>8494</v>
      </c>
      <c r="L5601" s="19" t="s">
        <v>8494</v>
      </c>
      <c r="M5601" s="20" t="s">
        <v>8494</v>
      </c>
    </row>
    <row r="5602">
      <c r="A5602" s="6"/>
      <c r="B5602" s="6"/>
      <c r="C5602" s="6"/>
      <c r="D5602" s="4">
        <v>9.21448001133692</v>
      </c>
      <c r="E5602" s="4" t="s">
        <v>4448</v>
      </c>
      <c r="F5602" s="4"/>
      <c r="G5602" s="4"/>
      <c r="H5602" s="4"/>
      <c r="I5602" s="4"/>
      <c r="J5602" s="18">
        <v>0.0</v>
      </c>
      <c r="K5602" s="4" t="s">
        <v>8494</v>
      </c>
      <c r="L5602" s="19" t="s">
        <v>8494</v>
      </c>
      <c r="M5602" s="20" t="s">
        <v>8494</v>
      </c>
    </row>
    <row r="5603">
      <c r="A5603" s="6"/>
      <c r="B5603" s="6"/>
      <c r="C5603" s="6"/>
      <c r="D5603" s="4">
        <v>186.01196020749998</v>
      </c>
      <c r="E5603" s="4" t="s">
        <v>734</v>
      </c>
      <c r="F5603" s="4"/>
      <c r="G5603" s="4"/>
      <c r="H5603" s="4"/>
      <c r="I5603" s="4"/>
      <c r="J5603" s="18">
        <v>0.0</v>
      </c>
      <c r="K5603" s="4" t="s">
        <v>8494</v>
      </c>
      <c r="L5603" s="19" t="s">
        <v>8494</v>
      </c>
      <c r="M5603" s="20" t="s">
        <v>8494</v>
      </c>
    </row>
    <row r="5604">
      <c r="A5604" s="6"/>
      <c r="B5604" s="6"/>
      <c r="C5604" s="6"/>
      <c r="D5604" s="4">
        <v>36.4941476225914</v>
      </c>
      <c r="E5604" s="4" t="s">
        <v>7865</v>
      </c>
      <c r="F5604" s="4"/>
      <c r="G5604" s="4"/>
      <c r="H5604" s="4"/>
      <c r="I5604" s="4"/>
      <c r="J5604" s="18">
        <v>0.0</v>
      </c>
      <c r="K5604" s="4" t="s">
        <v>8494</v>
      </c>
      <c r="L5604" s="19" t="s">
        <v>8494</v>
      </c>
      <c r="M5604" s="20" t="s">
        <v>8494</v>
      </c>
    </row>
    <row r="5605">
      <c r="A5605" s="6"/>
      <c r="B5605" s="6"/>
      <c r="C5605" s="6"/>
      <c r="D5605" s="4">
        <v>93.0059801037504</v>
      </c>
      <c r="E5605" s="4" t="s">
        <v>3239</v>
      </c>
      <c r="F5605" s="4"/>
      <c r="G5605" s="4"/>
      <c r="H5605" s="4"/>
      <c r="I5605" s="4"/>
      <c r="J5605" s="18">
        <v>0.0</v>
      </c>
      <c r="K5605" s="4" t="s">
        <v>8494</v>
      </c>
      <c r="L5605" s="19" t="s">
        <v>8494</v>
      </c>
      <c r="M5605" s="20" t="s">
        <v>8494</v>
      </c>
    </row>
    <row r="5606">
      <c r="A5606" s="6"/>
      <c r="B5606" s="6"/>
      <c r="C5606" s="6"/>
      <c r="D5606" s="4">
        <v>46.5029900518752</v>
      </c>
      <c r="E5606" s="4" t="s">
        <v>7867</v>
      </c>
      <c r="F5606" s="4"/>
      <c r="G5606" s="4"/>
      <c r="H5606" s="4"/>
      <c r="I5606" s="4"/>
      <c r="J5606" s="18">
        <v>0.0</v>
      </c>
      <c r="K5606" s="4" t="s">
        <v>8494</v>
      </c>
      <c r="L5606" s="19" t="s">
        <v>8494</v>
      </c>
      <c r="M5606" s="20" t="s">
        <v>8494</v>
      </c>
    </row>
    <row r="5607">
      <c r="A5607" s="6"/>
      <c r="B5607" s="6"/>
      <c r="C5607" s="6"/>
      <c r="D5607" s="4">
        <v>65.4762099930403</v>
      </c>
      <c r="E5607" s="4" t="s">
        <v>5734</v>
      </c>
      <c r="F5607" s="4"/>
      <c r="G5607" s="4"/>
      <c r="H5607" s="4"/>
      <c r="I5607" s="4"/>
      <c r="J5607" s="18">
        <v>0.0</v>
      </c>
      <c r="K5607" s="4" t="s">
        <v>8494</v>
      </c>
      <c r="L5607" s="19" t="s">
        <v>8494</v>
      </c>
      <c r="M5607" s="20" t="s">
        <v>8494</v>
      </c>
    </row>
    <row r="5608">
      <c r="A5608" s="6"/>
      <c r="B5608" s="6"/>
      <c r="C5608" s="6"/>
      <c r="D5608" s="4">
        <v>170.81510544937902</v>
      </c>
      <c r="E5608" s="4" t="s">
        <v>1669</v>
      </c>
      <c r="F5608" s="4"/>
      <c r="G5608" s="4"/>
      <c r="H5608" s="4"/>
      <c r="I5608" s="4"/>
      <c r="J5608" s="18">
        <v>0.0</v>
      </c>
      <c r="K5608" s="4" t="s">
        <v>8494</v>
      </c>
      <c r="L5608" s="19" t="s">
        <v>8494</v>
      </c>
      <c r="M5608" s="20" t="s">
        <v>8494</v>
      </c>
    </row>
    <row r="5609">
      <c r="A5609" s="6"/>
      <c r="B5609" s="6"/>
      <c r="C5609" s="6"/>
      <c r="D5609" s="4">
        <v>186.01196020749998</v>
      </c>
      <c r="E5609" s="4" t="s">
        <v>897</v>
      </c>
      <c r="F5609" s="4"/>
      <c r="G5609" s="4"/>
      <c r="H5609" s="4"/>
      <c r="I5609" s="4"/>
      <c r="J5609" s="18">
        <v>0.0</v>
      </c>
      <c r="K5609" s="4" t="s">
        <v>8494</v>
      </c>
      <c r="L5609" s="19" t="s">
        <v>8494</v>
      </c>
      <c r="M5609" s="20" t="s">
        <v>8494</v>
      </c>
    </row>
    <row r="5610">
      <c r="A5610" s="6"/>
      <c r="B5610" s="6"/>
      <c r="C5610" s="6"/>
      <c r="D5610" s="4">
        <v>82.4761969929825</v>
      </c>
      <c r="E5610" s="4" t="s">
        <v>2426</v>
      </c>
      <c r="F5610" s="4"/>
      <c r="G5610" s="4"/>
      <c r="H5610" s="4"/>
      <c r="I5610" s="4"/>
      <c r="J5610" s="18">
        <v>0.0</v>
      </c>
      <c r="K5610" s="4" t="s">
        <v>8494</v>
      </c>
      <c r="L5610" s="19" t="s">
        <v>8494</v>
      </c>
      <c r="M5610" s="20" t="s">
        <v>8494</v>
      </c>
    </row>
    <row r="5611">
      <c r="A5611" s="6"/>
      <c r="B5611" s="6"/>
      <c r="C5611" s="6"/>
      <c r="D5611" s="4">
        <v>186.01196020749998</v>
      </c>
      <c r="E5611" s="4" t="s">
        <v>1774</v>
      </c>
      <c r="F5611" s="4"/>
      <c r="G5611" s="4"/>
      <c r="H5611" s="4"/>
      <c r="I5611" s="4"/>
      <c r="J5611" s="18">
        <v>0.0</v>
      </c>
      <c r="K5611" s="4" t="s">
        <v>8494</v>
      </c>
      <c r="L5611" s="19" t="s">
        <v>8494</v>
      </c>
      <c r="M5611" s="20" t="s">
        <v>8494</v>
      </c>
    </row>
    <row r="5612">
      <c r="A5612" s="6"/>
      <c r="B5612" s="6"/>
      <c r="C5612" s="6"/>
      <c r="D5612" s="4">
        <v>27.9017940311251</v>
      </c>
      <c r="E5612" s="4" t="s">
        <v>2910</v>
      </c>
      <c r="F5612" s="4"/>
      <c r="G5612" s="4"/>
      <c r="H5612" s="4"/>
      <c r="I5612" s="4"/>
      <c r="J5612" s="18">
        <v>0.0</v>
      </c>
      <c r="K5612" s="4" t="s">
        <v>8494</v>
      </c>
      <c r="L5612" s="19" t="s">
        <v>8494</v>
      </c>
      <c r="M5612" s="20" t="s">
        <v>8494</v>
      </c>
    </row>
    <row r="5613">
      <c r="A5613" s="6"/>
      <c r="B5613" s="6"/>
      <c r="C5613" s="6"/>
      <c r="D5613" s="4">
        <v>46.5029900518752</v>
      </c>
      <c r="E5613" s="4" t="s">
        <v>7871</v>
      </c>
      <c r="F5613" s="4"/>
      <c r="G5613" s="4"/>
      <c r="H5613" s="4"/>
      <c r="I5613" s="4"/>
      <c r="J5613" s="18">
        <v>0.0</v>
      </c>
      <c r="K5613" s="4" t="s">
        <v>8494</v>
      </c>
      <c r="L5613" s="19" t="s">
        <v>8494</v>
      </c>
      <c r="M5613" s="20" t="s">
        <v>8494</v>
      </c>
    </row>
    <row r="5614">
      <c r="A5614" s="6"/>
      <c r="B5614" s="6"/>
      <c r="C5614" s="6"/>
      <c r="D5614" s="4">
        <v>118.577522074308</v>
      </c>
      <c r="E5614" s="4" t="s">
        <v>634</v>
      </c>
      <c r="F5614" s="4"/>
      <c r="G5614" s="4"/>
      <c r="H5614" s="4"/>
      <c r="I5614" s="4"/>
      <c r="J5614" s="18">
        <v>0.0</v>
      </c>
      <c r="K5614" s="4" t="s">
        <v>8494</v>
      </c>
      <c r="L5614" s="19" t="s">
        <v>8494</v>
      </c>
      <c r="M5614" s="20" t="s">
        <v>8494</v>
      </c>
    </row>
    <row r="5615">
      <c r="A5615" s="6"/>
      <c r="B5615" s="6"/>
      <c r="C5615" s="6"/>
      <c r="D5615" s="4">
        <v>186.01196020749998</v>
      </c>
      <c r="E5615" s="4" t="s">
        <v>84</v>
      </c>
      <c r="F5615" s="4"/>
      <c r="G5615" s="4"/>
      <c r="H5615" s="4"/>
      <c r="I5615" s="4"/>
      <c r="J5615" s="18">
        <v>0.0</v>
      </c>
      <c r="K5615" s="4" t="s">
        <v>8494</v>
      </c>
      <c r="L5615" s="19" t="s">
        <v>8494</v>
      </c>
      <c r="M5615" s="20" t="s">
        <v>8494</v>
      </c>
    </row>
    <row r="5616">
      <c r="A5616" s="6"/>
      <c r="B5616" s="6"/>
      <c r="C5616" s="6"/>
      <c r="D5616" s="4">
        <v>44.432428747389004</v>
      </c>
      <c r="E5616" s="4" t="s">
        <v>7873</v>
      </c>
      <c r="F5616" s="4"/>
      <c r="G5616" s="4"/>
      <c r="H5616" s="4"/>
      <c r="I5616" s="4"/>
      <c r="J5616" s="18">
        <v>0.0</v>
      </c>
      <c r="K5616" s="4" t="s">
        <v>8494</v>
      </c>
      <c r="L5616" s="19" t="s">
        <v>8494</v>
      </c>
      <c r="M5616" s="20" t="s">
        <v>8494</v>
      </c>
    </row>
    <row r="5617">
      <c r="A5617" s="6"/>
      <c r="B5617" s="6"/>
      <c r="C5617" s="6"/>
      <c r="D5617" s="4">
        <v>65.1041860726253</v>
      </c>
      <c r="E5617" s="4" t="s">
        <v>2368</v>
      </c>
      <c r="F5617" s="4"/>
      <c r="G5617" s="4"/>
      <c r="H5617" s="4"/>
      <c r="I5617" s="4"/>
      <c r="J5617" s="18">
        <v>0.0</v>
      </c>
      <c r="K5617" s="4" t="s">
        <v>8494</v>
      </c>
      <c r="L5617" s="19" t="s">
        <v>8494</v>
      </c>
      <c r="M5617" s="20" t="s">
        <v>8494</v>
      </c>
    </row>
    <row r="5618">
      <c r="A5618" s="6"/>
      <c r="B5618" s="6"/>
      <c r="C5618" s="6"/>
      <c r="D5618" s="4">
        <v>9.30059801037504</v>
      </c>
      <c r="E5618" s="4" t="s">
        <v>5871</v>
      </c>
      <c r="F5618" s="4"/>
      <c r="G5618" s="4"/>
      <c r="H5618" s="4"/>
      <c r="I5618" s="4"/>
      <c r="J5618" s="18">
        <v>0.0</v>
      </c>
      <c r="K5618" s="4" t="s">
        <v>8494</v>
      </c>
      <c r="L5618" s="19" t="s">
        <v>8494</v>
      </c>
      <c r="M5618" s="20" t="s">
        <v>8494</v>
      </c>
    </row>
    <row r="5619">
      <c r="A5619" s="6"/>
      <c r="B5619" s="6"/>
      <c r="C5619" s="6"/>
      <c r="D5619" s="4">
        <v>149.529021639923</v>
      </c>
      <c r="E5619" s="4" t="s">
        <v>5141</v>
      </c>
      <c r="F5619" s="4"/>
      <c r="G5619" s="4"/>
      <c r="H5619" s="4"/>
      <c r="I5619" s="4"/>
      <c r="J5619" s="18">
        <v>0.0</v>
      </c>
      <c r="K5619" s="4" t="s">
        <v>8494</v>
      </c>
      <c r="L5619" s="19" t="s">
        <v>8494</v>
      </c>
      <c r="M5619" s="20" t="s">
        <v>8494</v>
      </c>
    </row>
    <row r="5620">
      <c r="A5620" s="6"/>
      <c r="B5620" s="6"/>
      <c r="C5620" s="6"/>
      <c r="D5620" s="4">
        <v>186.01196020749998</v>
      </c>
      <c r="E5620" s="4" t="s">
        <v>4639</v>
      </c>
      <c r="F5620" s="4"/>
      <c r="G5620" s="4"/>
      <c r="H5620" s="4"/>
      <c r="I5620" s="4"/>
      <c r="J5620" s="18">
        <v>0.0</v>
      </c>
      <c r="K5620" s="4" t="s">
        <v>8494</v>
      </c>
      <c r="L5620" s="19" t="s">
        <v>8494</v>
      </c>
      <c r="M5620" s="20" t="s">
        <v>8494</v>
      </c>
    </row>
    <row r="5621">
      <c r="A5621" s="6"/>
      <c r="B5621" s="6"/>
      <c r="C5621" s="6"/>
      <c r="D5621" s="4">
        <v>18.60119602075</v>
      </c>
      <c r="E5621" s="4" t="s">
        <v>3302</v>
      </c>
      <c r="F5621" s="4"/>
      <c r="G5621" s="4"/>
      <c r="H5621" s="4"/>
      <c r="I5621" s="4"/>
      <c r="J5621" s="18">
        <v>0.0</v>
      </c>
      <c r="K5621" s="4" t="s">
        <v>8494</v>
      </c>
      <c r="L5621" s="19" t="s">
        <v>8494</v>
      </c>
      <c r="M5621" s="20" t="s">
        <v>8494</v>
      </c>
    </row>
    <row r="5622">
      <c r="A5622" s="6"/>
      <c r="B5622" s="6"/>
      <c r="C5622" s="6"/>
      <c r="D5622" s="4">
        <v>9.371142549259769</v>
      </c>
      <c r="E5622" s="4" t="s">
        <v>6273</v>
      </c>
      <c r="F5622" s="4"/>
      <c r="G5622" s="4"/>
      <c r="H5622" s="4"/>
      <c r="I5622" s="4"/>
      <c r="J5622" s="18">
        <v>0.0</v>
      </c>
      <c r="K5622" s="4" t="s">
        <v>8494</v>
      </c>
      <c r="L5622" s="19" t="s">
        <v>8494</v>
      </c>
      <c r="M5622" s="20" t="s">
        <v>8494</v>
      </c>
    </row>
    <row r="5623">
      <c r="A5623" s="6"/>
      <c r="B5623" s="6"/>
      <c r="C5623" s="6"/>
      <c r="D5623" s="4">
        <v>105.12593925543</v>
      </c>
      <c r="E5623" s="4" t="s">
        <v>7877</v>
      </c>
      <c r="F5623" s="4"/>
      <c r="G5623" s="4"/>
      <c r="H5623" s="4"/>
      <c r="I5623" s="4"/>
      <c r="J5623" s="18">
        <v>0.0</v>
      </c>
      <c r="K5623" s="4" t="s">
        <v>8494</v>
      </c>
      <c r="L5623" s="19" t="s">
        <v>8494</v>
      </c>
      <c r="M5623" s="20" t="s">
        <v>8494</v>
      </c>
    </row>
    <row r="5624">
      <c r="A5624" s="6"/>
      <c r="B5624" s="6"/>
      <c r="C5624" s="6"/>
      <c r="D5624" s="4">
        <v>14.0104279232682</v>
      </c>
      <c r="E5624" s="4" t="s">
        <v>6468</v>
      </c>
      <c r="F5624" s="4"/>
      <c r="G5624" s="4"/>
      <c r="H5624" s="4"/>
      <c r="I5624" s="4"/>
      <c r="J5624" s="18">
        <v>0.0</v>
      </c>
      <c r="K5624" s="4" t="s">
        <v>8494</v>
      </c>
      <c r="L5624" s="19" t="s">
        <v>8494</v>
      </c>
      <c r="M5624" s="20" t="s">
        <v>8494</v>
      </c>
    </row>
    <row r="5625">
      <c r="A5625" s="6"/>
      <c r="B5625" s="6"/>
      <c r="C5625" s="6"/>
      <c r="D5625" s="4">
        <v>130.20837214525</v>
      </c>
      <c r="E5625" s="4" t="s">
        <v>2291</v>
      </c>
      <c r="F5625" s="4"/>
      <c r="G5625" s="4"/>
      <c r="H5625" s="4"/>
      <c r="I5625" s="4"/>
      <c r="J5625" s="18">
        <v>0.0</v>
      </c>
      <c r="K5625" s="4" t="s">
        <v>8494</v>
      </c>
      <c r="L5625" s="19" t="s">
        <v>8494</v>
      </c>
      <c r="M5625" s="20" t="s">
        <v>8494</v>
      </c>
    </row>
    <row r="5626">
      <c r="A5626" s="6"/>
      <c r="B5626" s="6"/>
      <c r="C5626" s="6"/>
      <c r="D5626" s="4">
        <v>0.0609073999114954</v>
      </c>
      <c r="E5626" s="4" t="s">
        <v>7881</v>
      </c>
      <c r="F5626" s="4"/>
      <c r="G5626" s="4"/>
      <c r="H5626" s="4"/>
      <c r="I5626" s="4"/>
      <c r="J5626" s="18">
        <v>0.0</v>
      </c>
      <c r="K5626" s="4" t="s">
        <v>8494</v>
      </c>
      <c r="L5626" s="19" t="s">
        <v>8494</v>
      </c>
      <c r="M5626" s="20" t="s">
        <v>8494</v>
      </c>
    </row>
    <row r="5627">
      <c r="A5627" s="6"/>
      <c r="B5627" s="6"/>
      <c r="C5627" s="6"/>
      <c r="D5627" s="4">
        <v>120.907774134875</v>
      </c>
      <c r="E5627" s="4" t="s">
        <v>3615</v>
      </c>
      <c r="F5627" s="4"/>
      <c r="G5627" s="4"/>
      <c r="H5627" s="4"/>
      <c r="I5627" s="4"/>
      <c r="J5627" s="18">
        <v>0.0</v>
      </c>
      <c r="K5627" s="4" t="s">
        <v>8494</v>
      </c>
      <c r="L5627" s="19" t="s">
        <v>8494</v>
      </c>
      <c r="M5627" s="20" t="s">
        <v>8494</v>
      </c>
    </row>
    <row r="5628">
      <c r="A5628" s="6"/>
      <c r="B5628" s="6"/>
      <c r="C5628" s="6"/>
      <c r="D5628" s="4">
        <v>6.07072633165709</v>
      </c>
      <c r="E5628" s="4" t="s">
        <v>4003</v>
      </c>
      <c r="F5628" s="4"/>
      <c r="G5628" s="4"/>
      <c r="H5628" s="4"/>
      <c r="I5628" s="4"/>
      <c r="J5628" s="18">
        <v>0.0</v>
      </c>
      <c r="K5628" s="4" t="s">
        <v>8494</v>
      </c>
      <c r="L5628" s="19" t="s">
        <v>8494</v>
      </c>
      <c r="M5628" s="20" t="s">
        <v>8494</v>
      </c>
    </row>
    <row r="5629">
      <c r="A5629" s="6"/>
      <c r="B5629" s="6"/>
      <c r="C5629" s="6"/>
      <c r="D5629" s="4">
        <v>55.9078059419013</v>
      </c>
      <c r="E5629" s="4" t="s">
        <v>2276</v>
      </c>
      <c r="F5629" s="4"/>
      <c r="G5629" s="4"/>
      <c r="H5629" s="4"/>
      <c r="I5629" s="4"/>
      <c r="J5629" s="18">
        <v>0.0</v>
      </c>
      <c r="K5629" s="4" t="s">
        <v>8494</v>
      </c>
      <c r="L5629" s="19" t="s">
        <v>8494</v>
      </c>
      <c r="M5629" s="20" t="s">
        <v>8494</v>
      </c>
    </row>
    <row r="5630">
      <c r="A5630" s="6"/>
      <c r="B5630" s="6"/>
      <c r="C5630" s="6"/>
      <c r="D5630" s="4">
        <v>186.01196020749998</v>
      </c>
      <c r="E5630" s="4" t="s">
        <v>6891</v>
      </c>
      <c r="F5630" s="4"/>
      <c r="G5630" s="4"/>
      <c r="H5630" s="4"/>
      <c r="I5630" s="4"/>
      <c r="J5630" s="18">
        <v>0.0</v>
      </c>
      <c r="K5630" s="4" t="s">
        <v>8494</v>
      </c>
      <c r="L5630" s="19" t="s">
        <v>8494</v>
      </c>
      <c r="M5630" s="20" t="s">
        <v>8494</v>
      </c>
    </row>
    <row r="5631">
      <c r="A5631" s="6"/>
      <c r="B5631" s="6"/>
      <c r="C5631" s="6"/>
      <c r="D5631" s="4">
        <v>27.9017940311251</v>
      </c>
      <c r="E5631" s="4" t="s">
        <v>3595</v>
      </c>
      <c r="F5631" s="4"/>
      <c r="G5631" s="4"/>
      <c r="H5631" s="4"/>
      <c r="I5631" s="4"/>
      <c r="J5631" s="18">
        <v>0.0</v>
      </c>
      <c r="K5631" s="4" t="s">
        <v>8494</v>
      </c>
      <c r="L5631" s="19" t="s">
        <v>8494</v>
      </c>
      <c r="M5631" s="20" t="s">
        <v>8494</v>
      </c>
    </row>
    <row r="5632">
      <c r="A5632" s="6"/>
      <c r="B5632" s="6"/>
      <c r="C5632" s="6"/>
      <c r="D5632" s="4">
        <v>17.528419564111402</v>
      </c>
      <c r="E5632" s="4" t="s">
        <v>5120</v>
      </c>
      <c r="F5632" s="4"/>
      <c r="G5632" s="4"/>
      <c r="H5632" s="4"/>
      <c r="I5632" s="4"/>
      <c r="J5632" s="18">
        <v>0.0</v>
      </c>
      <c r="K5632" s="4" t="s">
        <v>8494</v>
      </c>
      <c r="L5632" s="19" t="s">
        <v>8494</v>
      </c>
      <c r="M5632" s="20" t="s">
        <v>8494</v>
      </c>
    </row>
    <row r="5633">
      <c r="A5633" s="6"/>
      <c r="B5633" s="6"/>
      <c r="C5633" s="6"/>
      <c r="D5633" s="4">
        <v>28.6458418719551</v>
      </c>
      <c r="E5633" s="4" t="s">
        <v>7887</v>
      </c>
      <c r="F5633" s="4"/>
      <c r="G5633" s="4"/>
      <c r="H5633" s="4"/>
      <c r="I5633" s="4"/>
      <c r="J5633" s="18">
        <v>0.0</v>
      </c>
      <c r="K5633" s="4" t="s">
        <v>8494</v>
      </c>
      <c r="L5633" s="19" t="s">
        <v>8494</v>
      </c>
      <c r="M5633" s="20" t="s">
        <v>8494</v>
      </c>
    </row>
    <row r="5634">
      <c r="A5634" s="6"/>
      <c r="B5634" s="6"/>
      <c r="C5634" s="6"/>
      <c r="D5634" s="4">
        <v>80.9244634694705</v>
      </c>
      <c r="E5634" s="4" t="s">
        <v>673</v>
      </c>
      <c r="F5634" s="4"/>
      <c r="G5634" s="4"/>
      <c r="H5634" s="4"/>
      <c r="I5634" s="4"/>
      <c r="J5634" s="18">
        <v>0.0</v>
      </c>
      <c r="K5634" s="4" t="s">
        <v>8494</v>
      </c>
      <c r="L5634" s="19" t="s">
        <v>8494</v>
      </c>
      <c r="M5634" s="20" t="s">
        <v>8494</v>
      </c>
    </row>
    <row r="5635">
      <c r="A5635" s="6"/>
      <c r="B5635" s="6"/>
      <c r="C5635" s="6"/>
      <c r="D5635" s="4">
        <v>80.81082512641231</v>
      </c>
      <c r="E5635" s="4" t="s">
        <v>7890</v>
      </c>
      <c r="F5635" s="4"/>
      <c r="G5635" s="4"/>
      <c r="H5635" s="4"/>
      <c r="I5635" s="4"/>
      <c r="J5635" s="18">
        <v>0.0</v>
      </c>
      <c r="K5635" s="4" t="s">
        <v>8494</v>
      </c>
      <c r="L5635" s="19" t="s">
        <v>8494</v>
      </c>
      <c r="M5635" s="20" t="s">
        <v>8494</v>
      </c>
    </row>
    <row r="5636">
      <c r="A5636" s="6"/>
      <c r="B5636" s="6"/>
      <c r="C5636" s="6"/>
      <c r="D5636" s="4">
        <v>84.9691461237446</v>
      </c>
      <c r="E5636" s="4" t="s">
        <v>7892</v>
      </c>
      <c r="F5636" s="4"/>
      <c r="G5636" s="4"/>
      <c r="H5636" s="4"/>
      <c r="I5636" s="4"/>
      <c r="J5636" s="18">
        <v>0.0</v>
      </c>
      <c r="K5636" s="4" t="s">
        <v>8494</v>
      </c>
      <c r="L5636" s="19" t="s">
        <v>8494</v>
      </c>
      <c r="M5636" s="20" t="s">
        <v>8494</v>
      </c>
    </row>
    <row r="5637">
      <c r="A5637" s="6"/>
      <c r="B5637" s="6"/>
      <c r="C5637" s="6"/>
      <c r="D5637" s="4">
        <v>65.1041860726253</v>
      </c>
      <c r="E5637" s="4" t="s">
        <v>4634</v>
      </c>
      <c r="F5637" s="4"/>
      <c r="G5637" s="4"/>
      <c r="H5637" s="4"/>
      <c r="I5637" s="4"/>
      <c r="J5637" s="18">
        <v>0.0</v>
      </c>
      <c r="K5637" s="4" t="s">
        <v>8494</v>
      </c>
      <c r="L5637" s="19" t="s">
        <v>8494</v>
      </c>
      <c r="M5637" s="20" t="s">
        <v>8494</v>
      </c>
    </row>
    <row r="5638">
      <c r="A5638" s="6"/>
      <c r="B5638" s="6"/>
      <c r="C5638" s="6"/>
      <c r="D5638" s="4">
        <v>9.30059801037504</v>
      </c>
      <c r="E5638" s="4" t="s">
        <v>6745</v>
      </c>
      <c r="F5638" s="4"/>
      <c r="G5638" s="4"/>
      <c r="H5638" s="4"/>
      <c r="I5638" s="4"/>
      <c r="J5638" s="18">
        <v>0.0</v>
      </c>
      <c r="K5638" s="4" t="s">
        <v>8494</v>
      </c>
      <c r="L5638" s="19" t="s">
        <v>8494</v>
      </c>
      <c r="M5638" s="20" t="s">
        <v>8494</v>
      </c>
    </row>
    <row r="5639">
      <c r="A5639" s="6"/>
      <c r="B5639" s="6"/>
      <c r="C5639" s="6"/>
      <c r="D5639" s="4">
        <v>9.30059801037504</v>
      </c>
      <c r="E5639" s="4" t="s">
        <v>7894</v>
      </c>
      <c r="F5639" s="4"/>
      <c r="G5639" s="4"/>
      <c r="H5639" s="4"/>
      <c r="I5639" s="4"/>
      <c r="J5639" s="18">
        <v>0.0</v>
      </c>
      <c r="K5639" s="4" t="s">
        <v>8494</v>
      </c>
      <c r="L5639" s="19" t="s">
        <v>8494</v>
      </c>
      <c r="M5639" s="20" t="s">
        <v>8494</v>
      </c>
    </row>
    <row r="5640">
      <c r="A5640" s="6"/>
      <c r="B5640" s="6"/>
      <c r="C5640" s="6"/>
      <c r="D5640" s="4">
        <v>27.2298030454618</v>
      </c>
      <c r="E5640" s="4" t="s">
        <v>7895</v>
      </c>
      <c r="F5640" s="4"/>
      <c r="G5640" s="4"/>
      <c r="H5640" s="4"/>
      <c r="I5640" s="4"/>
      <c r="J5640" s="18">
        <v>0.0</v>
      </c>
      <c r="K5640" s="4" t="s">
        <v>8494</v>
      </c>
      <c r="L5640" s="19" t="s">
        <v>8494</v>
      </c>
      <c r="M5640" s="20" t="s">
        <v>8494</v>
      </c>
    </row>
    <row r="5641">
      <c r="A5641" s="6"/>
      <c r="B5641" s="6"/>
      <c r="C5641" s="6"/>
      <c r="D5641" s="4">
        <v>93.5146398035464</v>
      </c>
      <c r="E5641" s="4" t="s">
        <v>7897</v>
      </c>
      <c r="F5641" s="4"/>
      <c r="G5641" s="4"/>
      <c r="H5641" s="4"/>
      <c r="I5641" s="4"/>
      <c r="J5641" s="18">
        <v>0.0</v>
      </c>
      <c r="K5641" s="4" t="s">
        <v>8494</v>
      </c>
      <c r="L5641" s="19" t="s">
        <v>8494</v>
      </c>
      <c r="M5641" s="20" t="s">
        <v>8494</v>
      </c>
    </row>
    <row r="5642">
      <c r="A5642" s="6"/>
      <c r="B5642" s="6"/>
      <c r="C5642" s="6"/>
      <c r="D5642" s="4">
        <v>58.2476806907425</v>
      </c>
      <c r="E5642" s="4" t="s">
        <v>2149</v>
      </c>
      <c r="F5642" s="4"/>
      <c r="G5642" s="4"/>
      <c r="H5642" s="4"/>
      <c r="I5642" s="4"/>
      <c r="J5642" s="18">
        <v>0.0</v>
      </c>
      <c r="K5642" s="4" t="s">
        <v>8494</v>
      </c>
      <c r="L5642" s="19" t="s">
        <v>8494</v>
      </c>
      <c r="M5642" s="20" t="s">
        <v>8494</v>
      </c>
    </row>
    <row r="5643">
      <c r="A5643" s="6"/>
      <c r="B5643" s="6"/>
      <c r="C5643" s="6"/>
      <c r="D5643" s="4">
        <v>35.3383549602541</v>
      </c>
      <c r="E5643" s="4" t="s">
        <v>7900</v>
      </c>
      <c r="F5643" s="4"/>
      <c r="G5643" s="4"/>
      <c r="H5643" s="4"/>
      <c r="I5643" s="4"/>
      <c r="J5643" s="18">
        <v>0.0</v>
      </c>
      <c r="K5643" s="4" t="s">
        <v>8494</v>
      </c>
      <c r="L5643" s="19" t="s">
        <v>8494</v>
      </c>
      <c r="M5643" s="20" t="s">
        <v>8494</v>
      </c>
    </row>
    <row r="5644">
      <c r="A5644" s="6"/>
      <c r="B5644" s="6"/>
      <c r="C5644" s="6"/>
      <c r="D5644" s="4">
        <v>177.385069277405</v>
      </c>
      <c r="E5644" s="4" t="s">
        <v>7902</v>
      </c>
      <c r="F5644" s="4"/>
      <c r="G5644" s="4"/>
      <c r="H5644" s="4"/>
      <c r="I5644" s="4"/>
      <c r="J5644" s="18">
        <v>0.0</v>
      </c>
      <c r="K5644" s="4" t="s">
        <v>8494</v>
      </c>
      <c r="L5644" s="19" t="s">
        <v>8494</v>
      </c>
      <c r="M5644" s="20" t="s">
        <v>8494</v>
      </c>
    </row>
    <row r="5645">
      <c r="A5645" s="6"/>
      <c r="B5645" s="6"/>
      <c r="C5645" s="6"/>
      <c r="D5645" s="4">
        <v>52.7738553347486</v>
      </c>
      <c r="E5645" s="4" t="s">
        <v>7904</v>
      </c>
      <c r="F5645" s="4"/>
      <c r="G5645" s="4"/>
      <c r="H5645" s="4"/>
      <c r="I5645" s="4"/>
      <c r="J5645" s="18">
        <v>0.0</v>
      </c>
      <c r="K5645" s="4" t="s">
        <v>8494</v>
      </c>
      <c r="L5645" s="19" t="s">
        <v>8494</v>
      </c>
      <c r="M5645" s="20" t="s">
        <v>8494</v>
      </c>
    </row>
    <row r="5646">
      <c r="A5646" s="6"/>
      <c r="B5646" s="6"/>
      <c r="C5646" s="6"/>
      <c r="D5646" s="4">
        <v>14.7995423352898</v>
      </c>
      <c r="E5646" s="4" t="s">
        <v>5647</v>
      </c>
      <c r="F5646" s="4"/>
      <c r="G5646" s="4"/>
      <c r="H5646" s="4"/>
      <c r="I5646" s="4"/>
      <c r="J5646" s="18">
        <v>0.0</v>
      </c>
      <c r="K5646" s="4" t="s">
        <v>8494</v>
      </c>
      <c r="L5646" s="19" t="s">
        <v>8494</v>
      </c>
      <c r="M5646" s="20" t="s">
        <v>8494</v>
      </c>
    </row>
    <row r="5647">
      <c r="A5647" s="6"/>
      <c r="B5647" s="6"/>
      <c r="C5647" s="6"/>
      <c r="D5647" s="4">
        <v>8.49084008129421</v>
      </c>
      <c r="E5647" s="4" t="s">
        <v>4197</v>
      </c>
      <c r="F5647" s="4"/>
      <c r="G5647" s="4"/>
      <c r="H5647" s="4"/>
      <c r="I5647" s="4"/>
      <c r="J5647" s="18">
        <v>0.0</v>
      </c>
      <c r="K5647" s="4" t="s">
        <v>8494</v>
      </c>
      <c r="L5647" s="19" t="s">
        <v>8494</v>
      </c>
      <c r="M5647" s="20" t="s">
        <v>8494</v>
      </c>
    </row>
    <row r="5648">
      <c r="A5648" s="6"/>
      <c r="B5648" s="6"/>
      <c r="C5648" s="6"/>
      <c r="D5648" s="4">
        <v>65.0865808214698</v>
      </c>
      <c r="E5648" s="4" t="s">
        <v>2193</v>
      </c>
      <c r="F5648" s="4"/>
      <c r="G5648" s="4"/>
      <c r="H5648" s="4"/>
      <c r="I5648" s="4"/>
      <c r="J5648" s="18">
        <v>0.0</v>
      </c>
      <c r="K5648" s="4" t="s">
        <v>8494</v>
      </c>
      <c r="L5648" s="19" t="s">
        <v>8494</v>
      </c>
      <c r="M5648" s="20" t="s">
        <v>8494</v>
      </c>
    </row>
    <row r="5649">
      <c r="A5649" s="6"/>
      <c r="B5649" s="6"/>
      <c r="C5649" s="6"/>
      <c r="D5649" s="4">
        <v>19.5755123638112</v>
      </c>
      <c r="E5649" s="4" t="s">
        <v>6290</v>
      </c>
      <c r="F5649" s="4"/>
      <c r="G5649" s="4"/>
      <c r="H5649" s="4"/>
      <c r="I5649" s="4"/>
      <c r="J5649" s="18">
        <v>0.0</v>
      </c>
      <c r="K5649" s="4" t="s">
        <v>8494</v>
      </c>
      <c r="L5649" s="19" t="s">
        <v>8494</v>
      </c>
      <c r="M5649" s="20" t="s">
        <v>8494</v>
      </c>
    </row>
    <row r="5650">
      <c r="A5650" s="6"/>
      <c r="B5650" s="6"/>
      <c r="C5650" s="6"/>
      <c r="D5650" s="4">
        <v>112.504135694875</v>
      </c>
      <c r="E5650" s="4" t="s">
        <v>7910</v>
      </c>
      <c r="F5650" s="4"/>
      <c r="G5650" s="4"/>
      <c r="H5650" s="4"/>
      <c r="I5650" s="4"/>
      <c r="J5650" s="18">
        <v>0.0</v>
      </c>
      <c r="K5650" s="4" t="s">
        <v>8494</v>
      </c>
      <c r="L5650" s="19" t="s">
        <v>8494</v>
      </c>
      <c r="M5650" s="20" t="s">
        <v>8494</v>
      </c>
    </row>
    <row r="5651">
      <c r="A5651" s="6"/>
      <c r="B5651" s="6"/>
      <c r="C5651" s="6"/>
      <c r="D5651" s="4">
        <v>27.190835101952</v>
      </c>
      <c r="E5651" s="4" t="s">
        <v>5096</v>
      </c>
      <c r="F5651" s="4"/>
      <c r="G5651" s="4"/>
      <c r="H5651" s="4"/>
      <c r="I5651" s="4"/>
      <c r="J5651" s="18">
        <v>0.0</v>
      </c>
      <c r="K5651" s="4" t="s">
        <v>8494</v>
      </c>
      <c r="L5651" s="19" t="s">
        <v>8494</v>
      </c>
      <c r="M5651" s="20" t="s">
        <v>8494</v>
      </c>
    </row>
    <row r="5652">
      <c r="A5652" s="6"/>
      <c r="B5652" s="6"/>
      <c r="C5652" s="6"/>
      <c r="D5652" s="4">
        <v>186.01196020749998</v>
      </c>
      <c r="E5652" s="4" t="s">
        <v>1556</v>
      </c>
      <c r="F5652" s="4"/>
      <c r="G5652" s="4"/>
      <c r="H5652" s="4"/>
      <c r="I5652" s="4"/>
      <c r="J5652" s="18">
        <v>0.0</v>
      </c>
      <c r="K5652" s="4" t="s">
        <v>8494</v>
      </c>
      <c r="L5652" s="19" t="s">
        <v>8494</v>
      </c>
      <c r="M5652" s="20" t="s">
        <v>8494</v>
      </c>
    </row>
    <row r="5653">
      <c r="A5653" s="6"/>
      <c r="B5653" s="6"/>
      <c r="C5653" s="6"/>
      <c r="D5653" s="4">
        <v>92.4467567758222</v>
      </c>
      <c r="E5653" s="4" t="s">
        <v>2373</v>
      </c>
      <c r="F5653" s="4"/>
      <c r="G5653" s="4"/>
      <c r="H5653" s="4"/>
      <c r="I5653" s="4"/>
      <c r="J5653" s="18">
        <v>0.0</v>
      </c>
      <c r="K5653" s="4" t="s">
        <v>8494</v>
      </c>
      <c r="L5653" s="19" t="s">
        <v>8494</v>
      </c>
      <c r="M5653" s="20" t="s">
        <v>8494</v>
      </c>
    </row>
    <row r="5654">
      <c r="A5654" s="6"/>
      <c r="B5654" s="6"/>
      <c r="C5654" s="6"/>
      <c r="D5654" s="4">
        <v>2.79017940311251</v>
      </c>
      <c r="E5654" s="4" t="s">
        <v>7914</v>
      </c>
      <c r="F5654" s="4"/>
      <c r="G5654" s="4"/>
      <c r="H5654" s="4"/>
      <c r="I5654" s="4"/>
      <c r="J5654" s="18">
        <v>0.0</v>
      </c>
      <c r="K5654" s="4" t="s">
        <v>8494</v>
      </c>
      <c r="L5654" s="19" t="s">
        <v>8494</v>
      </c>
      <c r="M5654" s="20" t="s">
        <v>8494</v>
      </c>
    </row>
    <row r="5655">
      <c r="A5655" s="6"/>
      <c r="B5655" s="6"/>
      <c r="C5655" s="6"/>
      <c r="D5655" s="4">
        <v>5.39434684601752</v>
      </c>
      <c r="E5655" s="4" t="s">
        <v>7915</v>
      </c>
      <c r="F5655" s="4"/>
      <c r="G5655" s="4"/>
      <c r="H5655" s="4"/>
      <c r="I5655" s="4"/>
      <c r="J5655" s="18">
        <v>0.0</v>
      </c>
      <c r="K5655" s="4" t="s">
        <v>8494</v>
      </c>
      <c r="L5655" s="19" t="s">
        <v>8494</v>
      </c>
      <c r="M5655" s="20" t="s">
        <v>8494</v>
      </c>
    </row>
    <row r="5656">
      <c r="A5656" s="6"/>
      <c r="B5656" s="6"/>
      <c r="C5656" s="6"/>
      <c r="D5656" s="4">
        <v>5.32128109125676</v>
      </c>
      <c r="E5656" s="4" t="s">
        <v>3901</v>
      </c>
      <c r="F5656" s="4"/>
      <c r="G5656" s="4"/>
      <c r="H5656" s="4"/>
      <c r="I5656" s="4"/>
      <c r="J5656" s="18">
        <v>0.0</v>
      </c>
      <c r="K5656" s="4" t="s">
        <v>8494</v>
      </c>
      <c r="L5656" s="19" t="s">
        <v>8494</v>
      </c>
      <c r="M5656" s="20" t="s">
        <v>8494</v>
      </c>
    </row>
    <row r="5657">
      <c r="A5657" s="6"/>
      <c r="B5657" s="6"/>
      <c r="C5657" s="6"/>
      <c r="D5657" s="4">
        <v>157.049898003192</v>
      </c>
      <c r="E5657" s="4" t="s">
        <v>6343</v>
      </c>
      <c r="F5657" s="4"/>
      <c r="G5657" s="4"/>
      <c r="H5657" s="4"/>
      <c r="I5657" s="4"/>
      <c r="J5657" s="18">
        <v>0.0</v>
      </c>
      <c r="K5657" s="4" t="s">
        <v>8494</v>
      </c>
      <c r="L5657" s="19" t="s">
        <v>8494</v>
      </c>
      <c r="M5657" s="20" t="s">
        <v>8494</v>
      </c>
    </row>
    <row r="5658">
      <c r="A5658" s="6"/>
      <c r="B5658" s="6"/>
      <c r="C5658" s="6"/>
      <c r="D5658" s="4">
        <v>9.418986072263309</v>
      </c>
      <c r="E5658" s="4" t="s">
        <v>6039</v>
      </c>
      <c r="F5658" s="4"/>
      <c r="G5658" s="4"/>
      <c r="H5658" s="4"/>
      <c r="I5658" s="4"/>
      <c r="J5658" s="18">
        <v>0.0</v>
      </c>
      <c r="K5658" s="4" t="s">
        <v>8494</v>
      </c>
      <c r="L5658" s="19" t="s">
        <v>8494</v>
      </c>
      <c r="M5658" s="20" t="s">
        <v>8494</v>
      </c>
    </row>
    <row r="5659">
      <c r="A5659" s="6"/>
      <c r="B5659" s="6"/>
      <c r="C5659" s="6"/>
      <c r="D5659" s="4">
        <v>18.3572680955169</v>
      </c>
      <c r="E5659" s="4" t="s">
        <v>3970</v>
      </c>
      <c r="F5659" s="4"/>
      <c r="G5659" s="4"/>
      <c r="H5659" s="4"/>
      <c r="I5659" s="4"/>
      <c r="J5659" s="18">
        <v>0.0</v>
      </c>
      <c r="K5659" s="4" t="s">
        <v>8494</v>
      </c>
      <c r="L5659" s="19" t="s">
        <v>8494</v>
      </c>
      <c r="M5659" s="20" t="s">
        <v>8494</v>
      </c>
    </row>
    <row r="5660">
      <c r="A5660" s="6"/>
      <c r="B5660" s="6"/>
      <c r="C5660" s="6"/>
      <c r="D5660" s="4">
        <v>30.037406350834402</v>
      </c>
      <c r="E5660" s="4" t="s">
        <v>4984</v>
      </c>
      <c r="F5660" s="4"/>
      <c r="G5660" s="4"/>
      <c r="H5660" s="4"/>
      <c r="I5660" s="4"/>
      <c r="J5660" s="18">
        <v>0.0</v>
      </c>
      <c r="K5660" s="4" t="s">
        <v>8494</v>
      </c>
      <c r="L5660" s="19" t="s">
        <v>8494</v>
      </c>
      <c r="M5660" s="20" t="s">
        <v>8494</v>
      </c>
    </row>
    <row r="5661">
      <c r="A5661" s="6"/>
      <c r="B5661" s="6"/>
      <c r="C5661" s="6"/>
      <c r="D5661" s="4">
        <v>46.5029900518752</v>
      </c>
      <c r="E5661" s="4" t="s">
        <v>7922</v>
      </c>
      <c r="F5661" s="4"/>
      <c r="G5661" s="4"/>
      <c r="H5661" s="4"/>
      <c r="I5661" s="4"/>
      <c r="J5661" s="18">
        <v>0.0</v>
      </c>
      <c r="K5661" s="4" t="s">
        <v>8494</v>
      </c>
      <c r="L5661" s="19" t="s">
        <v>8494</v>
      </c>
      <c r="M5661" s="20" t="s">
        <v>8494</v>
      </c>
    </row>
    <row r="5662">
      <c r="A5662" s="6"/>
      <c r="B5662" s="6"/>
      <c r="C5662" s="6"/>
      <c r="D5662" s="4">
        <v>185.748027220053</v>
      </c>
      <c r="E5662" s="4" t="s">
        <v>7923</v>
      </c>
      <c r="F5662" s="4"/>
      <c r="G5662" s="4"/>
      <c r="H5662" s="4"/>
      <c r="I5662" s="4"/>
      <c r="J5662" s="18">
        <v>0.0</v>
      </c>
      <c r="K5662" s="4" t="s">
        <v>8494</v>
      </c>
      <c r="L5662" s="19" t="s">
        <v>8494</v>
      </c>
      <c r="M5662" s="20" t="s">
        <v>8494</v>
      </c>
    </row>
    <row r="5663">
      <c r="A5663" s="6"/>
      <c r="B5663" s="6"/>
      <c r="C5663" s="6"/>
      <c r="D5663" s="4">
        <v>120.017275816984</v>
      </c>
      <c r="E5663" s="4" t="s">
        <v>7925</v>
      </c>
      <c r="F5663" s="4"/>
      <c r="G5663" s="4"/>
      <c r="H5663" s="4"/>
      <c r="I5663" s="4"/>
      <c r="J5663" s="18">
        <v>0.0</v>
      </c>
      <c r="K5663" s="4" t="s">
        <v>8494</v>
      </c>
      <c r="L5663" s="19" t="s">
        <v>8494</v>
      </c>
      <c r="M5663" s="20" t="s">
        <v>8494</v>
      </c>
    </row>
    <row r="5664">
      <c r="A5664" s="6"/>
      <c r="B5664" s="6"/>
      <c r="C5664" s="6"/>
      <c r="D5664" s="4">
        <v>8.36826415661614</v>
      </c>
      <c r="E5664" s="4" t="s">
        <v>4294</v>
      </c>
      <c r="F5664" s="4"/>
      <c r="G5664" s="4"/>
      <c r="H5664" s="4"/>
      <c r="I5664" s="4"/>
      <c r="J5664" s="18">
        <v>0.0</v>
      </c>
      <c r="K5664" s="4" t="s">
        <v>8494</v>
      </c>
      <c r="L5664" s="19" t="s">
        <v>8494</v>
      </c>
      <c r="M5664" s="20" t="s">
        <v>8494</v>
      </c>
    </row>
    <row r="5665">
      <c r="A5665" s="6"/>
      <c r="B5665" s="6"/>
      <c r="C5665" s="6"/>
      <c r="D5665" s="4">
        <v>9.30059801037504</v>
      </c>
      <c r="E5665" s="4" t="s">
        <v>3771</v>
      </c>
      <c r="F5665" s="4"/>
      <c r="G5665" s="4"/>
      <c r="H5665" s="4"/>
      <c r="I5665" s="4"/>
      <c r="J5665" s="18">
        <v>0.0</v>
      </c>
      <c r="K5665" s="4" t="s">
        <v>8494</v>
      </c>
      <c r="L5665" s="19" t="s">
        <v>8494</v>
      </c>
      <c r="M5665" s="20" t="s">
        <v>8494</v>
      </c>
    </row>
    <row r="5666">
      <c r="A5666" s="6"/>
      <c r="B5666" s="6"/>
      <c r="C5666" s="6"/>
      <c r="D5666" s="4">
        <v>186.01196020749998</v>
      </c>
      <c r="E5666" s="4" t="s">
        <v>7928</v>
      </c>
      <c r="F5666" s="4"/>
      <c r="G5666" s="4"/>
      <c r="H5666" s="4"/>
      <c r="I5666" s="4"/>
      <c r="J5666" s="18">
        <v>0.0</v>
      </c>
      <c r="K5666" s="4" t="s">
        <v>8494</v>
      </c>
      <c r="L5666" s="19" t="s">
        <v>8494</v>
      </c>
      <c r="M5666" s="20" t="s">
        <v>8494</v>
      </c>
    </row>
    <row r="5667">
      <c r="A5667" s="6"/>
      <c r="B5667" s="6"/>
      <c r="C5667" s="6"/>
      <c r="D5667" s="4">
        <v>28.8111503916536</v>
      </c>
      <c r="E5667" s="4" t="s">
        <v>2091</v>
      </c>
      <c r="F5667" s="4"/>
      <c r="G5667" s="4"/>
      <c r="H5667" s="4"/>
      <c r="I5667" s="4"/>
      <c r="J5667" s="18">
        <v>0.0</v>
      </c>
      <c r="K5667" s="4" t="s">
        <v>8494</v>
      </c>
      <c r="L5667" s="19" t="s">
        <v>8494</v>
      </c>
      <c r="M5667" s="20" t="s">
        <v>8494</v>
      </c>
    </row>
    <row r="5668">
      <c r="A5668" s="6"/>
      <c r="B5668" s="6"/>
      <c r="C5668" s="6"/>
      <c r="D5668" s="4">
        <v>186.01196020749998</v>
      </c>
      <c r="E5668" s="4" t="s">
        <v>2633</v>
      </c>
      <c r="F5668" s="4"/>
      <c r="G5668" s="4"/>
      <c r="H5668" s="4"/>
      <c r="I5668" s="4"/>
      <c r="J5668" s="18">
        <v>0.0</v>
      </c>
      <c r="K5668" s="4" t="s">
        <v>8494</v>
      </c>
      <c r="L5668" s="19" t="s">
        <v>8494</v>
      </c>
      <c r="M5668" s="20" t="s">
        <v>8494</v>
      </c>
    </row>
    <row r="5669">
      <c r="A5669" s="6"/>
      <c r="B5669" s="6"/>
      <c r="C5669" s="6"/>
      <c r="D5669" s="4">
        <v>186.01196020749998</v>
      </c>
      <c r="E5669" s="4" t="s">
        <v>813</v>
      </c>
      <c r="F5669" s="4"/>
      <c r="G5669" s="4"/>
      <c r="H5669" s="4"/>
      <c r="I5669" s="4"/>
      <c r="J5669" s="18">
        <v>0.0</v>
      </c>
      <c r="K5669" s="4" t="s">
        <v>8494</v>
      </c>
      <c r="L5669" s="19" t="s">
        <v>8494</v>
      </c>
      <c r="M5669" s="20" t="s">
        <v>8494</v>
      </c>
    </row>
    <row r="5670">
      <c r="A5670" s="6"/>
      <c r="B5670" s="6"/>
      <c r="C5670" s="6"/>
      <c r="D5670" s="4">
        <v>83.7055118977295</v>
      </c>
      <c r="E5670" s="4" t="s">
        <v>7160</v>
      </c>
      <c r="F5670" s="4"/>
      <c r="G5670" s="4"/>
      <c r="H5670" s="4"/>
      <c r="I5670" s="4"/>
      <c r="J5670" s="18">
        <v>0.0</v>
      </c>
      <c r="K5670" s="4" t="s">
        <v>8494</v>
      </c>
      <c r="L5670" s="19" t="s">
        <v>8494</v>
      </c>
      <c r="M5670" s="20" t="s">
        <v>8494</v>
      </c>
    </row>
    <row r="5671">
      <c r="A5671" s="6"/>
      <c r="B5671" s="6"/>
      <c r="C5671" s="6"/>
      <c r="D5671" s="4">
        <v>148.824770494192</v>
      </c>
      <c r="E5671" s="4" t="s">
        <v>4274</v>
      </c>
      <c r="F5671" s="4"/>
      <c r="G5671" s="4"/>
      <c r="H5671" s="4"/>
      <c r="I5671" s="4"/>
      <c r="J5671" s="18">
        <v>0.0</v>
      </c>
      <c r="K5671" s="4" t="s">
        <v>8494</v>
      </c>
      <c r="L5671" s="19" t="s">
        <v>8494</v>
      </c>
      <c r="M5671" s="20" t="s">
        <v>8494</v>
      </c>
    </row>
    <row r="5672">
      <c r="A5672" s="6"/>
      <c r="B5672" s="6"/>
      <c r="C5672" s="6"/>
      <c r="D5672" s="4">
        <v>65.1041860726253</v>
      </c>
      <c r="E5672" s="4" t="s">
        <v>6616</v>
      </c>
      <c r="F5672" s="4"/>
      <c r="G5672" s="4"/>
      <c r="H5672" s="4"/>
      <c r="I5672" s="4"/>
      <c r="J5672" s="18">
        <v>0.0</v>
      </c>
      <c r="K5672" s="4" t="s">
        <v>8494</v>
      </c>
      <c r="L5672" s="19" t="s">
        <v>8494</v>
      </c>
      <c r="M5672" s="20" t="s">
        <v>8494</v>
      </c>
    </row>
    <row r="5673">
      <c r="A5673" s="6"/>
      <c r="B5673" s="6"/>
      <c r="C5673" s="6"/>
      <c r="D5673" s="4">
        <v>30.6602354221731</v>
      </c>
      <c r="E5673" s="4" t="s">
        <v>4155</v>
      </c>
      <c r="F5673" s="4"/>
      <c r="G5673" s="4"/>
      <c r="H5673" s="4"/>
      <c r="I5673" s="4"/>
      <c r="J5673" s="18">
        <v>0.0</v>
      </c>
      <c r="K5673" s="4" t="s">
        <v>8494</v>
      </c>
      <c r="L5673" s="19" t="s">
        <v>8494</v>
      </c>
      <c r="M5673" s="20" t="s">
        <v>8494</v>
      </c>
    </row>
    <row r="5674">
      <c r="A5674" s="6"/>
      <c r="B5674" s="6"/>
      <c r="C5674" s="6"/>
      <c r="D5674" s="4">
        <v>102.706280779211</v>
      </c>
      <c r="E5674" s="4" t="s">
        <v>6032</v>
      </c>
      <c r="F5674" s="4"/>
      <c r="G5674" s="4"/>
      <c r="H5674" s="4"/>
      <c r="I5674" s="4"/>
      <c r="J5674" s="18">
        <v>0.0</v>
      </c>
      <c r="K5674" s="4" t="s">
        <v>8494</v>
      </c>
      <c r="L5674" s="19" t="s">
        <v>8494</v>
      </c>
      <c r="M5674" s="20" t="s">
        <v>8494</v>
      </c>
    </row>
    <row r="5675">
      <c r="A5675" s="6"/>
      <c r="B5675" s="6"/>
      <c r="C5675" s="6"/>
      <c r="D5675" s="4">
        <v>9.343382913009119</v>
      </c>
      <c r="E5675" s="4" t="s">
        <v>3561</v>
      </c>
      <c r="F5675" s="4"/>
      <c r="G5675" s="4"/>
      <c r="H5675" s="4"/>
      <c r="I5675" s="4"/>
      <c r="J5675" s="18">
        <v>0.0</v>
      </c>
      <c r="K5675" s="4" t="s">
        <v>8494</v>
      </c>
      <c r="L5675" s="19" t="s">
        <v>8494</v>
      </c>
      <c r="M5675" s="20" t="s">
        <v>8494</v>
      </c>
    </row>
    <row r="5676">
      <c r="A5676" s="6"/>
      <c r="B5676" s="6"/>
      <c r="C5676" s="6"/>
      <c r="D5676" s="4">
        <v>55.8035880622502</v>
      </c>
      <c r="E5676" s="4" t="s">
        <v>7935</v>
      </c>
      <c r="F5676" s="4"/>
      <c r="G5676" s="4"/>
      <c r="H5676" s="4"/>
      <c r="I5676" s="4"/>
      <c r="J5676" s="18">
        <v>0.0</v>
      </c>
      <c r="K5676" s="4" t="s">
        <v>8494</v>
      </c>
      <c r="L5676" s="19" t="s">
        <v>8494</v>
      </c>
      <c r="M5676" s="20" t="s">
        <v>8494</v>
      </c>
    </row>
    <row r="5677">
      <c r="A5677" s="6"/>
      <c r="B5677" s="6"/>
      <c r="C5677" s="6"/>
      <c r="D5677" s="4">
        <v>88.07547942129159</v>
      </c>
      <c r="E5677" s="4" t="s">
        <v>7936</v>
      </c>
      <c r="F5677" s="4"/>
      <c r="G5677" s="4"/>
      <c r="H5677" s="4"/>
      <c r="I5677" s="4"/>
      <c r="J5677" s="18">
        <v>0.0</v>
      </c>
      <c r="K5677" s="4" t="s">
        <v>8494</v>
      </c>
      <c r="L5677" s="19" t="s">
        <v>8494</v>
      </c>
      <c r="M5677" s="20" t="s">
        <v>8494</v>
      </c>
    </row>
    <row r="5678">
      <c r="A5678" s="6"/>
      <c r="B5678" s="6"/>
      <c r="C5678" s="6"/>
      <c r="D5678" s="4">
        <v>9.552461316135979</v>
      </c>
      <c r="E5678" s="4" t="s">
        <v>2154</v>
      </c>
      <c r="F5678" s="4"/>
      <c r="G5678" s="4"/>
      <c r="H5678" s="4"/>
      <c r="I5678" s="4"/>
      <c r="J5678" s="18">
        <v>0.0</v>
      </c>
      <c r="K5678" s="4" t="s">
        <v>8494</v>
      </c>
      <c r="L5678" s="19" t="s">
        <v>8494</v>
      </c>
      <c r="M5678" s="20" t="s">
        <v>8494</v>
      </c>
    </row>
    <row r="5679">
      <c r="A5679" s="6"/>
      <c r="B5679" s="6"/>
      <c r="C5679" s="6"/>
      <c r="D5679" s="4">
        <v>186.01196020749998</v>
      </c>
      <c r="E5679" s="4" t="s">
        <v>4367</v>
      </c>
      <c r="F5679" s="4"/>
      <c r="G5679" s="4"/>
      <c r="H5679" s="4"/>
      <c r="I5679" s="4"/>
      <c r="J5679" s="18">
        <v>0.0</v>
      </c>
      <c r="K5679" s="4" t="s">
        <v>8494</v>
      </c>
      <c r="L5679" s="19" t="s">
        <v>8494</v>
      </c>
      <c r="M5679" s="20" t="s">
        <v>8494</v>
      </c>
    </row>
    <row r="5680">
      <c r="A5680" s="6"/>
      <c r="B5680" s="6"/>
      <c r="C5680" s="6"/>
      <c r="D5680" s="4">
        <v>45.3873262851708</v>
      </c>
      <c r="E5680" s="4" t="s">
        <v>6829</v>
      </c>
      <c r="F5680" s="4"/>
      <c r="G5680" s="4"/>
      <c r="H5680" s="4"/>
      <c r="I5680" s="4"/>
      <c r="J5680" s="18">
        <v>0.0</v>
      </c>
      <c r="K5680" s="4" t="s">
        <v>8494</v>
      </c>
      <c r="L5680" s="19" t="s">
        <v>8494</v>
      </c>
      <c r="M5680" s="20" t="s">
        <v>8494</v>
      </c>
    </row>
    <row r="5681">
      <c r="A5681" s="6"/>
      <c r="B5681" s="6"/>
      <c r="C5681" s="6"/>
      <c r="D5681" s="4">
        <v>48.565402013645</v>
      </c>
      <c r="E5681" s="4" t="s">
        <v>7940</v>
      </c>
      <c r="F5681" s="4"/>
      <c r="G5681" s="4"/>
      <c r="H5681" s="4"/>
      <c r="I5681" s="4"/>
      <c r="J5681" s="18">
        <v>0.0</v>
      </c>
      <c r="K5681" s="4" t="s">
        <v>8494</v>
      </c>
      <c r="L5681" s="19" t="s">
        <v>8494</v>
      </c>
      <c r="M5681" s="20" t="s">
        <v>8494</v>
      </c>
    </row>
    <row r="5682">
      <c r="A5682" s="6"/>
      <c r="B5682" s="6"/>
      <c r="C5682" s="6"/>
      <c r="D5682" s="4">
        <v>9.28479516957815</v>
      </c>
      <c r="E5682" s="4" t="s">
        <v>3384</v>
      </c>
      <c r="F5682" s="4"/>
      <c r="G5682" s="4"/>
      <c r="H5682" s="4"/>
      <c r="I5682" s="4"/>
      <c r="J5682" s="18">
        <v>0.0</v>
      </c>
      <c r="K5682" s="4" t="s">
        <v>8494</v>
      </c>
      <c r="L5682" s="19" t="s">
        <v>8494</v>
      </c>
      <c r="M5682" s="20" t="s">
        <v>8494</v>
      </c>
    </row>
    <row r="5683">
      <c r="A5683" s="6"/>
      <c r="B5683" s="6"/>
      <c r="C5683" s="6"/>
      <c r="D5683" s="4">
        <v>8.90316889473935</v>
      </c>
      <c r="E5683" s="4" t="s">
        <v>5558</v>
      </c>
      <c r="F5683" s="4"/>
      <c r="G5683" s="4"/>
      <c r="H5683" s="4"/>
      <c r="I5683" s="4"/>
      <c r="J5683" s="18">
        <v>0.0</v>
      </c>
      <c r="K5683" s="4" t="s">
        <v>8494</v>
      </c>
      <c r="L5683" s="19" t="s">
        <v>8494</v>
      </c>
      <c r="M5683" s="20" t="s">
        <v>8494</v>
      </c>
    </row>
    <row r="5684">
      <c r="A5684" s="6"/>
      <c r="B5684" s="6"/>
      <c r="C5684" s="6"/>
      <c r="D5684" s="4">
        <v>65.1097821955731</v>
      </c>
      <c r="E5684" s="4" t="s">
        <v>3660</v>
      </c>
      <c r="F5684" s="4"/>
      <c r="G5684" s="4"/>
      <c r="H5684" s="4"/>
      <c r="I5684" s="4"/>
      <c r="J5684" s="18">
        <v>0.0</v>
      </c>
      <c r="K5684" s="4" t="s">
        <v>8494</v>
      </c>
      <c r="L5684" s="19" t="s">
        <v>8494</v>
      </c>
      <c r="M5684" s="20" t="s">
        <v>8494</v>
      </c>
    </row>
    <row r="5685">
      <c r="A5685" s="6"/>
      <c r="B5685" s="6"/>
      <c r="C5685" s="6"/>
      <c r="D5685" s="4">
        <v>10.2625364022019</v>
      </c>
      <c r="E5685" s="4" t="s">
        <v>6257</v>
      </c>
      <c r="F5685" s="4"/>
      <c r="G5685" s="4"/>
      <c r="H5685" s="4"/>
      <c r="I5685" s="4"/>
      <c r="J5685" s="18">
        <v>0.0</v>
      </c>
      <c r="K5685" s="4" t="s">
        <v>8494</v>
      </c>
      <c r="L5685" s="19" t="s">
        <v>8494</v>
      </c>
      <c r="M5685" s="20" t="s">
        <v>8494</v>
      </c>
    </row>
    <row r="5686">
      <c r="A5686" s="6"/>
      <c r="B5686" s="6"/>
      <c r="C5686" s="6"/>
      <c r="D5686" s="4">
        <v>9.35809712089209</v>
      </c>
      <c r="E5686" s="4" t="s">
        <v>4665</v>
      </c>
      <c r="F5686" s="4"/>
      <c r="G5686" s="4"/>
      <c r="H5686" s="4"/>
      <c r="I5686" s="4"/>
      <c r="J5686" s="18">
        <v>0.0</v>
      </c>
      <c r="K5686" s="4" t="s">
        <v>8494</v>
      </c>
      <c r="L5686" s="19" t="s">
        <v>8494</v>
      </c>
      <c r="M5686" s="20" t="s">
        <v>8494</v>
      </c>
    </row>
    <row r="5687">
      <c r="A5687" s="6"/>
      <c r="B5687" s="6"/>
      <c r="C5687" s="6"/>
      <c r="D5687" s="4">
        <v>9.30059801037504</v>
      </c>
      <c r="E5687" s="4" t="s">
        <v>7947</v>
      </c>
      <c r="F5687" s="4"/>
      <c r="G5687" s="4"/>
      <c r="H5687" s="4"/>
      <c r="I5687" s="4"/>
      <c r="J5687" s="18">
        <v>0.0</v>
      </c>
      <c r="K5687" s="4" t="s">
        <v>8494</v>
      </c>
      <c r="L5687" s="19" t="s">
        <v>8494</v>
      </c>
      <c r="M5687" s="20" t="s">
        <v>8494</v>
      </c>
    </row>
    <row r="5688">
      <c r="A5688" s="6"/>
      <c r="B5688" s="6"/>
      <c r="C5688" s="6"/>
      <c r="D5688" s="4">
        <v>42.1220858014088</v>
      </c>
      <c r="E5688" s="4" t="s">
        <v>2501</v>
      </c>
      <c r="F5688" s="4"/>
      <c r="G5688" s="4"/>
      <c r="H5688" s="4"/>
      <c r="I5688" s="4"/>
      <c r="J5688" s="18">
        <v>0.0</v>
      </c>
      <c r="K5688" s="4" t="s">
        <v>8494</v>
      </c>
      <c r="L5688" s="19" t="s">
        <v>8494</v>
      </c>
      <c r="M5688" s="20" t="s">
        <v>8494</v>
      </c>
    </row>
    <row r="5689">
      <c r="A5689" s="6"/>
      <c r="B5689" s="6"/>
      <c r="C5689" s="6"/>
      <c r="D5689" s="4">
        <v>7.16285423809329</v>
      </c>
      <c r="E5689" s="4" t="s">
        <v>5331</v>
      </c>
      <c r="F5689" s="4"/>
      <c r="G5689" s="4"/>
      <c r="H5689" s="4"/>
      <c r="I5689" s="4"/>
      <c r="J5689" s="18">
        <v>0.0</v>
      </c>
      <c r="K5689" s="4" t="s">
        <v>8494</v>
      </c>
      <c r="L5689" s="19" t="s">
        <v>8494</v>
      </c>
      <c r="M5689" s="20" t="s">
        <v>8494</v>
      </c>
    </row>
    <row r="5690">
      <c r="A5690" s="6"/>
      <c r="B5690" s="6"/>
      <c r="C5690" s="6"/>
      <c r="D5690" s="4">
        <v>83.7053820933753</v>
      </c>
      <c r="E5690" s="4" t="s">
        <v>7950</v>
      </c>
      <c r="F5690" s="4"/>
      <c r="G5690" s="4"/>
      <c r="H5690" s="4"/>
      <c r="I5690" s="4"/>
      <c r="J5690" s="18">
        <v>0.0</v>
      </c>
      <c r="K5690" s="4" t="s">
        <v>8494</v>
      </c>
      <c r="L5690" s="19" t="s">
        <v>8494</v>
      </c>
      <c r="M5690" s="20" t="s">
        <v>8494</v>
      </c>
    </row>
    <row r="5691">
      <c r="A5691" s="6"/>
      <c r="B5691" s="6"/>
      <c r="C5691" s="6"/>
      <c r="D5691" s="4">
        <v>186.01196020749998</v>
      </c>
      <c r="E5691" s="4" t="s">
        <v>2888</v>
      </c>
      <c r="F5691" s="4"/>
      <c r="G5691" s="4"/>
      <c r="H5691" s="4"/>
      <c r="I5691" s="4"/>
      <c r="J5691" s="18">
        <v>0.0</v>
      </c>
      <c r="K5691" s="4" t="s">
        <v>8494</v>
      </c>
      <c r="L5691" s="19" t="s">
        <v>8494</v>
      </c>
      <c r="M5691" s="20" t="s">
        <v>8494</v>
      </c>
    </row>
    <row r="5692">
      <c r="A5692" s="6"/>
      <c r="B5692" s="6"/>
      <c r="C5692" s="6"/>
      <c r="D5692" s="4">
        <v>33.2313241838057</v>
      </c>
      <c r="E5692" s="4" t="s">
        <v>6782</v>
      </c>
      <c r="F5692" s="4"/>
      <c r="G5692" s="4"/>
      <c r="H5692" s="4"/>
      <c r="I5692" s="4"/>
      <c r="J5692" s="18">
        <v>0.0</v>
      </c>
      <c r="K5692" s="4" t="s">
        <v>8494</v>
      </c>
      <c r="L5692" s="19" t="s">
        <v>8494</v>
      </c>
      <c r="M5692" s="20" t="s">
        <v>8494</v>
      </c>
    </row>
    <row r="5693">
      <c r="A5693" s="6"/>
      <c r="B5693" s="6"/>
      <c r="C5693" s="6"/>
      <c r="D5693" s="4">
        <v>186.01196020749998</v>
      </c>
      <c r="E5693" s="4" t="s">
        <v>7952</v>
      </c>
      <c r="F5693" s="4"/>
      <c r="G5693" s="4"/>
      <c r="H5693" s="4"/>
      <c r="I5693" s="4"/>
      <c r="J5693" s="18">
        <v>0.0</v>
      </c>
      <c r="K5693" s="4" t="s">
        <v>8494</v>
      </c>
      <c r="L5693" s="19" t="s">
        <v>8494</v>
      </c>
      <c r="M5693" s="20" t="s">
        <v>8494</v>
      </c>
    </row>
    <row r="5694">
      <c r="A5694" s="6"/>
      <c r="B5694" s="6"/>
      <c r="C5694" s="6"/>
      <c r="D5694" s="4">
        <v>48.6893955803598</v>
      </c>
      <c r="E5694" s="4" t="s">
        <v>7953</v>
      </c>
      <c r="F5694" s="4"/>
      <c r="G5694" s="4"/>
      <c r="H5694" s="4"/>
      <c r="I5694" s="4"/>
      <c r="J5694" s="18">
        <v>0.0</v>
      </c>
      <c r="K5694" s="4" t="s">
        <v>8494</v>
      </c>
      <c r="L5694" s="19" t="s">
        <v>8494</v>
      </c>
      <c r="M5694" s="20" t="s">
        <v>8494</v>
      </c>
    </row>
    <row r="5695">
      <c r="A5695" s="6"/>
      <c r="B5695" s="6"/>
      <c r="C5695" s="6"/>
      <c r="D5695" s="4">
        <v>116.121640578928</v>
      </c>
      <c r="E5695" s="4" t="s">
        <v>620</v>
      </c>
      <c r="F5695" s="4"/>
      <c r="G5695" s="4"/>
      <c r="H5695" s="4"/>
      <c r="I5695" s="4"/>
      <c r="J5695" s="18">
        <v>0.0</v>
      </c>
      <c r="K5695" s="4" t="s">
        <v>8494</v>
      </c>
      <c r="L5695" s="19" t="s">
        <v>8494</v>
      </c>
      <c r="M5695" s="20" t="s">
        <v>8494</v>
      </c>
    </row>
    <row r="5696">
      <c r="A5696" s="6"/>
      <c r="B5696" s="6"/>
      <c r="C5696" s="6"/>
      <c r="D5696" s="4">
        <v>47.283422821147305</v>
      </c>
      <c r="E5696" s="4" t="s">
        <v>4489</v>
      </c>
      <c r="F5696" s="4"/>
      <c r="G5696" s="4"/>
      <c r="H5696" s="4"/>
      <c r="I5696" s="4"/>
      <c r="J5696" s="18">
        <v>0.0</v>
      </c>
      <c r="K5696" s="4" t="s">
        <v>8494</v>
      </c>
      <c r="L5696" s="19" t="s">
        <v>8494</v>
      </c>
      <c r="M5696" s="20" t="s">
        <v>8494</v>
      </c>
    </row>
    <row r="5697">
      <c r="A5697" s="6"/>
      <c r="B5697" s="6"/>
      <c r="C5697" s="6"/>
      <c r="D5697" s="4">
        <v>49.6211835161244</v>
      </c>
      <c r="E5697" s="4" t="s">
        <v>7230</v>
      </c>
      <c r="F5697" s="4"/>
      <c r="G5697" s="4"/>
      <c r="H5697" s="4"/>
      <c r="I5697" s="4"/>
      <c r="J5697" s="18">
        <v>0.0</v>
      </c>
      <c r="K5697" s="4" t="s">
        <v>8494</v>
      </c>
      <c r="L5697" s="19" t="s">
        <v>8494</v>
      </c>
      <c r="M5697" s="20" t="s">
        <v>8494</v>
      </c>
    </row>
    <row r="5698">
      <c r="A5698" s="6"/>
      <c r="B5698" s="6"/>
      <c r="C5698" s="6"/>
      <c r="D5698" s="4">
        <v>186.01196020749998</v>
      </c>
      <c r="E5698" s="4" t="s">
        <v>1469</v>
      </c>
      <c r="F5698" s="4"/>
      <c r="G5698" s="4"/>
      <c r="H5698" s="4"/>
      <c r="I5698" s="4"/>
      <c r="J5698" s="18">
        <v>0.0</v>
      </c>
      <c r="K5698" s="4" t="s">
        <v>8494</v>
      </c>
      <c r="L5698" s="19" t="s">
        <v>8494</v>
      </c>
      <c r="M5698" s="20" t="s">
        <v>8494</v>
      </c>
    </row>
    <row r="5699">
      <c r="A5699" s="6"/>
      <c r="B5699" s="6"/>
      <c r="C5699" s="6"/>
      <c r="D5699" s="4">
        <v>75.0029461984257</v>
      </c>
      <c r="E5699" s="4" t="s">
        <v>1996</v>
      </c>
      <c r="F5699" s="4"/>
      <c r="G5699" s="4"/>
      <c r="H5699" s="4"/>
      <c r="I5699" s="4"/>
      <c r="J5699" s="18">
        <v>0.0</v>
      </c>
      <c r="K5699" s="4" t="s">
        <v>8494</v>
      </c>
      <c r="L5699" s="19" t="s">
        <v>8494</v>
      </c>
      <c r="M5699" s="20" t="s">
        <v>8494</v>
      </c>
    </row>
    <row r="5700">
      <c r="A5700" s="6"/>
      <c r="B5700" s="6"/>
      <c r="C5700" s="6"/>
      <c r="D5700" s="4">
        <v>186.01196020749998</v>
      </c>
      <c r="E5700" s="4" t="s">
        <v>56</v>
      </c>
      <c r="F5700" s="4"/>
      <c r="G5700" s="4"/>
      <c r="H5700" s="4"/>
      <c r="I5700" s="4"/>
      <c r="J5700" s="18">
        <v>0.0</v>
      </c>
      <c r="K5700" s="4" t="s">
        <v>8494</v>
      </c>
      <c r="L5700" s="19" t="s">
        <v>8494</v>
      </c>
      <c r="M5700" s="20" t="s">
        <v>8494</v>
      </c>
    </row>
    <row r="5701">
      <c r="A5701" s="6"/>
      <c r="B5701" s="6"/>
      <c r="C5701" s="6"/>
      <c r="D5701" s="4">
        <v>186.01196020749998</v>
      </c>
      <c r="E5701" s="4" t="s">
        <v>3249</v>
      </c>
      <c r="F5701" s="4"/>
      <c r="G5701" s="4"/>
      <c r="H5701" s="4"/>
      <c r="I5701" s="4"/>
      <c r="J5701" s="18">
        <v>0.0</v>
      </c>
      <c r="K5701" s="4" t="s">
        <v>8494</v>
      </c>
      <c r="L5701" s="19" t="s">
        <v>8494</v>
      </c>
      <c r="M5701" s="20" t="s">
        <v>8494</v>
      </c>
    </row>
    <row r="5702">
      <c r="A5702" s="6"/>
      <c r="B5702" s="6"/>
      <c r="C5702" s="6"/>
      <c r="D5702" s="4">
        <v>186.01196020749998</v>
      </c>
      <c r="E5702" s="4" t="s">
        <v>722</v>
      </c>
      <c r="F5702" s="4"/>
      <c r="G5702" s="4"/>
      <c r="H5702" s="4"/>
      <c r="I5702" s="4"/>
      <c r="J5702" s="18">
        <v>0.0</v>
      </c>
      <c r="K5702" s="4" t="s">
        <v>8494</v>
      </c>
      <c r="L5702" s="19" t="s">
        <v>8494</v>
      </c>
      <c r="M5702" s="20" t="s">
        <v>8494</v>
      </c>
    </row>
    <row r="5703">
      <c r="A5703" s="6"/>
      <c r="B5703" s="6"/>
      <c r="C5703" s="6"/>
      <c r="D5703" s="4">
        <v>8.48416503718631</v>
      </c>
      <c r="E5703" s="4" t="s">
        <v>3127</v>
      </c>
      <c r="F5703" s="4"/>
      <c r="G5703" s="4"/>
      <c r="H5703" s="4"/>
      <c r="I5703" s="4"/>
      <c r="J5703" s="18">
        <v>0.0</v>
      </c>
      <c r="K5703" s="4" t="s">
        <v>8494</v>
      </c>
      <c r="L5703" s="19" t="s">
        <v>8494</v>
      </c>
      <c r="M5703" s="20" t="s">
        <v>8494</v>
      </c>
    </row>
    <row r="5704">
      <c r="A5704" s="6"/>
      <c r="B5704" s="6"/>
      <c r="C5704" s="6"/>
      <c r="D5704" s="4">
        <v>6.640276285340771</v>
      </c>
      <c r="E5704" s="4" t="s">
        <v>5903</v>
      </c>
      <c r="F5704" s="4"/>
      <c r="G5704" s="4"/>
      <c r="H5704" s="4"/>
      <c r="I5704" s="4"/>
      <c r="J5704" s="18">
        <v>0.0</v>
      </c>
      <c r="K5704" s="4" t="s">
        <v>8494</v>
      </c>
      <c r="L5704" s="19" t="s">
        <v>8494</v>
      </c>
      <c r="M5704" s="20" t="s">
        <v>8494</v>
      </c>
    </row>
    <row r="5705">
      <c r="A5705" s="6"/>
      <c r="B5705" s="6"/>
      <c r="C5705" s="6"/>
      <c r="D5705" s="4">
        <v>65.3003853446491</v>
      </c>
      <c r="E5705" s="4" t="s">
        <v>6524</v>
      </c>
      <c r="F5705" s="4"/>
      <c r="G5705" s="4"/>
      <c r="H5705" s="4"/>
      <c r="I5705" s="4"/>
      <c r="J5705" s="18">
        <v>0.0</v>
      </c>
      <c r="K5705" s="4" t="s">
        <v>8494</v>
      </c>
      <c r="L5705" s="19" t="s">
        <v>8494</v>
      </c>
      <c r="M5705" s="20" t="s">
        <v>8494</v>
      </c>
    </row>
    <row r="5706">
      <c r="A5706" s="6"/>
      <c r="B5706" s="6"/>
      <c r="C5706" s="6"/>
      <c r="D5706" s="4">
        <v>6.37735923984782</v>
      </c>
      <c r="E5706" s="4" t="s">
        <v>43</v>
      </c>
      <c r="F5706" s="4"/>
      <c r="G5706" s="4"/>
      <c r="H5706" s="4"/>
      <c r="I5706" s="4"/>
      <c r="J5706" s="18">
        <v>0.0</v>
      </c>
      <c r="K5706" s="4" t="s">
        <v>8494</v>
      </c>
      <c r="L5706" s="19" t="s">
        <v>8494</v>
      </c>
      <c r="M5706" s="20" t="s">
        <v>8494</v>
      </c>
    </row>
    <row r="5707">
      <c r="A5707" s="6"/>
      <c r="B5707" s="6"/>
      <c r="C5707" s="6"/>
      <c r="D5707" s="4">
        <v>10.044645851204999</v>
      </c>
      <c r="E5707" s="4" t="s">
        <v>6353</v>
      </c>
      <c r="F5707" s="4"/>
      <c r="G5707" s="4"/>
      <c r="H5707" s="4"/>
      <c r="I5707" s="4"/>
      <c r="J5707" s="18">
        <v>0.0</v>
      </c>
      <c r="K5707" s="4" t="s">
        <v>8494</v>
      </c>
      <c r="L5707" s="19" t="s">
        <v>8494</v>
      </c>
      <c r="M5707" s="20" t="s">
        <v>8494</v>
      </c>
    </row>
    <row r="5708">
      <c r="A5708" s="6"/>
      <c r="B5708" s="6"/>
      <c r="C5708" s="6"/>
      <c r="D5708" s="4">
        <v>186.01196020749998</v>
      </c>
      <c r="E5708" s="4" t="s">
        <v>2764</v>
      </c>
      <c r="F5708" s="4"/>
      <c r="G5708" s="4"/>
      <c r="H5708" s="4"/>
      <c r="I5708" s="4"/>
      <c r="J5708" s="18">
        <v>0.0</v>
      </c>
      <c r="K5708" s="4" t="s">
        <v>8494</v>
      </c>
      <c r="L5708" s="19" t="s">
        <v>8494</v>
      </c>
      <c r="M5708" s="20" t="s">
        <v>8494</v>
      </c>
    </row>
    <row r="5709">
      <c r="A5709" s="6"/>
      <c r="B5709" s="6"/>
      <c r="C5709" s="6"/>
      <c r="D5709" s="4">
        <v>9.30059801037504</v>
      </c>
      <c r="E5709" s="4" t="s">
        <v>5077</v>
      </c>
      <c r="F5709" s="4"/>
      <c r="G5709" s="4"/>
      <c r="H5709" s="4"/>
      <c r="I5709" s="4"/>
      <c r="J5709" s="18">
        <v>0.0</v>
      </c>
      <c r="K5709" s="4" t="s">
        <v>8494</v>
      </c>
      <c r="L5709" s="19" t="s">
        <v>8494</v>
      </c>
      <c r="M5709" s="20" t="s">
        <v>8494</v>
      </c>
    </row>
    <row r="5710">
      <c r="A5710" s="6"/>
      <c r="B5710" s="6"/>
      <c r="C5710" s="6"/>
      <c r="D5710" s="4">
        <v>97.90216786675511</v>
      </c>
      <c r="E5710" s="4" t="s">
        <v>7964</v>
      </c>
      <c r="F5710" s="4"/>
      <c r="G5710" s="4"/>
      <c r="H5710" s="4"/>
      <c r="I5710" s="4"/>
      <c r="J5710" s="18">
        <v>0.0</v>
      </c>
      <c r="K5710" s="4" t="s">
        <v>8494</v>
      </c>
      <c r="L5710" s="19" t="s">
        <v>8494</v>
      </c>
      <c r="M5710" s="20" t="s">
        <v>8494</v>
      </c>
    </row>
    <row r="5711">
      <c r="A5711" s="6"/>
      <c r="B5711" s="6"/>
      <c r="C5711" s="6"/>
      <c r="D5711" s="4">
        <v>9.30059801037504</v>
      </c>
      <c r="E5711" s="4" t="s">
        <v>7966</v>
      </c>
      <c r="F5711" s="4"/>
      <c r="G5711" s="4"/>
      <c r="H5711" s="4"/>
      <c r="I5711" s="4"/>
      <c r="J5711" s="18">
        <v>0.0</v>
      </c>
      <c r="K5711" s="4" t="s">
        <v>8494</v>
      </c>
      <c r="L5711" s="19" t="s">
        <v>8494</v>
      </c>
      <c r="M5711" s="20" t="s">
        <v>8494</v>
      </c>
    </row>
    <row r="5712">
      <c r="A5712" s="6"/>
      <c r="B5712" s="6"/>
      <c r="C5712" s="6"/>
      <c r="D5712" s="4">
        <v>21.241185604545603</v>
      </c>
      <c r="E5712" s="4" t="s">
        <v>3204</v>
      </c>
      <c r="F5712" s="4"/>
      <c r="G5712" s="4"/>
      <c r="H5712" s="4"/>
      <c r="I5712" s="4"/>
      <c r="J5712" s="18">
        <v>0.0</v>
      </c>
      <c r="K5712" s="4" t="s">
        <v>8494</v>
      </c>
      <c r="L5712" s="19" t="s">
        <v>8494</v>
      </c>
      <c r="M5712" s="20" t="s">
        <v>8494</v>
      </c>
    </row>
    <row r="5713">
      <c r="A5713" s="6"/>
      <c r="B5713" s="6"/>
      <c r="C5713" s="6"/>
      <c r="D5713" s="4">
        <v>50.3741479250803</v>
      </c>
      <c r="E5713" s="4" t="s">
        <v>7968</v>
      </c>
      <c r="F5713" s="4"/>
      <c r="G5713" s="4"/>
      <c r="H5713" s="4"/>
      <c r="I5713" s="4"/>
      <c r="J5713" s="18">
        <v>0.0</v>
      </c>
      <c r="K5713" s="4" t="s">
        <v>8494</v>
      </c>
      <c r="L5713" s="19" t="s">
        <v>8494</v>
      </c>
      <c r="M5713" s="20" t="s">
        <v>8494</v>
      </c>
    </row>
    <row r="5714">
      <c r="A5714" s="6"/>
      <c r="B5714" s="6"/>
      <c r="C5714" s="6"/>
      <c r="D5714" s="4">
        <v>9.42955164423706</v>
      </c>
      <c r="E5714" s="4" t="s">
        <v>6760</v>
      </c>
      <c r="F5714" s="4"/>
      <c r="G5714" s="4"/>
      <c r="H5714" s="4"/>
      <c r="I5714" s="4"/>
      <c r="J5714" s="18">
        <v>0.0</v>
      </c>
      <c r="K5714" s="4" t="s">
        <v>8494</v>
      </c>
      <c r="L5714" s="19" t="s">
        <v>8494</v>
      </c>
      <c r="M5714" s="20" t="s">
        <v>8494</v>
      </c>
    </row>
    <row r="5715">
      <c r="A5715" s="6"/>
      <c r="B5715" s="6"/>
      <c r="C5715" s="6"/>
      <c r="D5715" s="4">
        <v>186.01196020749998</v>
      </c>
      <c r="E5715" s="4" t="s">
        <v>5464</v>
      </c>
      <c r="F5715" s="4"/>
      <c r="G5715" s="4"/>
      <c r="H5715" s="4"/>
      <c r="I5715" s="4"/>
      <c r="J5715" s="18">
        <v>0.0</v>
      </c>
      <c r="K5715" s="4" t="s">
        <v>8494</v>
      </c>
      <c r="L5715" s="19" t="s">
        <v>8494</v>
      </c>
      <c r="M5715" s="20" t="s">
        <v>8494</v>
      </c>
    </row>
    <row r="5716">
      <c r="A5716" s="6"/>
      <c r="B5716" s="6"/>
      <c r="C5716" s="6"/>
      <c r="D5716" s="4">
        <v>186.01196020749998</v>
      </c>
      <c r="E5716" s="4" t="s">
        <v>5219</v>
      </c>
      <c r="F5716" s="4"/>
      <c r="G5716" s="4"/>
      <c r="H5716" s="4"/>
      <c r="I5716" s="4"/>
      <c r="J5716" s="18">
        <v>0.0</v>
      </c>
      <c r="K5716" s="4" t="s">
        <v>8494</v>
      </c>
      <c r="L5716" s="19" t="s">
        <v>8494</v>
      </c>
      <c r="M5716" s="20" t="s">
        <v>8494</v>
      </c>
    </row>
    <row r="5717">
      <c r="A5717" s="6"/>
      <c r="B5717" s="6"/>
      <c r="C5717" s="6"/>
      <c r="D5717" s="4">
        <v>55.8035880622502</v>
      </c>
      <c r="E5717" s="4" t="s">
        <v>4407</v>
      </c>
      <c r="F5717" s="4"/>
      <c r="G5717" s="4"/>
      <c r="H5717" s="4"/>
      <c r="I5717" s="4"/>
      <c r="J5717" s="18">
        <v>0.0</v>
      </c>
      <c r="K5717" s="4" t="s">
        <v>8494</v>
      </c>
      <c r="L5717" s="19" t="s">
        <v>8494</v>
      </c>
      <c r="M5717" s="20" t="s">
        <v>8494</v>
      </c>
    </row>
    <row r="5718">
      <c r="A5718" s="6"/>
      <c r="B5718" s="6"/>
      <c r="C5718" s="6"/>
      <c r="D5718" s="4">
        <v>68.4120391433743</v>
      </c>
      <c r="E5718" s="4" t="s">
        <v>4532</v>
      </c>
      <c r="F5718" s="4"/>
      <c r="G5718" s="4"/>
      <c r="H5718" s="4"/>
      <c r="I5718" s="4"/>
      <c r="J5718" s="18">
        <v>0.0</v>
      </c>
      <c r="K5718" s="4" t="s">
        <v>8494</v>
      </c>
      <c r="L5718" s="19" t="s">
        <v>8494</v>
      </c>
      <c r="M5718" s="20" t="s">
        <v>8494</v>
      </c>
    </row>
    <row r="5719">
      <c r="A5719" s="6"/>
      <c r="B5719" s="6"/>
      <c r="C5719" s="6"/>
      <c r="D5719" s="4">
        <v>44.316956722259796</v>
      </c>
      <c r="E5719" s="4" t="s">
        <v>7972</v>
      </c>
      <c r="F5719" s="4"/>
      <c r="G5719" s="4"/>
      <c r="H5719" s="4"/>
      <c r="I5719" s="4"/>
      <c r="J5719" s="18">
        <v>0.0</v>
      </c>
      <c r="K5719" s="4" t="s">
        <v>8494</v>
      </c>
      <c r="L5719" s="19" t="s">
        <v>8494</v>
      </c>
      <c r="M5719" s="20" t="s">
        <v>8494</v>
      </c>
    </row>
    <row r="5720">
      <c r="A5720" s="6"/>
      <c r="B5720" s="6"/>
      <c r="C5720" s="6"/>
      <c r="D5720" s="4">
        <v>42.981604016042695</v>
      </c>
      <c r="E5720" s="4" t="s">
        <v>3451</v>
      </c>
      <c r="F5720" s="4"/>
      <c r="G5720" s="4"/>
      <c r="H5720" s="4"/>
      <c r="I5720" s="4"/>
      <c r="J5720" s="18">
        <v>0.0</v>
      </c>
      <c r="K5720" s="4" t="s">
        <v>8494</v>
      </c>
      <c r="L5720" s="19" t="s">
        <v>8494</v>
      </c>
      <c r="M5720" s="20" t="s">
        <v>8494</v>
      </c>
    </row>
    <row r="5721">
      <c r="A5721" s="6"/>
      <c r="B5721" s="6"/>
      <c r="C5721" s="6"/>
      <c r="D5721" s="4">
        <v>65.1041860726253</v>
      </c>
      <c r="E5721" s="4" t="s">
        <v>4524</v>
      </c>
      <c r="F5721" s="4"/>
      <c r="G5721" s="4"/>
      <c r="H5721" s="4"/>
      <c r="I5721" s="4"/>
      <c r="J5721" s="18">
        <v>0.0</v>
      </c>
      <c r="K5721" s="4" t="s">
        <v>8494</v>
      </c>
      <c r="L5721" s="19" t="s">
        <v>8494</v>
      </c>
      <c r="M5721" s="20" t="s">
        <v>8494</v>
      </c>
    </row>
    <row r="5722">
      <c r="A5722" s="6"/>
      <c r="B5722" s="6"/>
      <c r="C5722" s="6"/>
      <c r="D5722" s="4">
        <v>19.0515579838609</v>
      </c>
      <c r="E5722" s="4" t="s">
        <v>6479</v>
      </c>
      <c r="F5722" s="4"/>
      <c r="G5722" s="4"/>
      <c r="H5722" s="4"/>
      <c r="I5722" s="4"/>
      <c r="J5722" s="18">
        <v>0.0</v>
      </c>
      <c r="K5722" s="4" t="s">
        <v>8494</v>
      </c>
      <c r="L5722" s="19" t="s">
        <v>8494</v>
      </c>
      <c r="M5722" s="20" t="s">
        <v>8494</v>
      </c>
    </row>
    <row r="5723">
      <c r="A5723" s="6"/>
      <c r="B5723" s="6"/>
      <c r="C5723" s="6"/>
      <c r="D5723" s="4">
        <v>27.7115069837235</v>
      </c>
      <c r="E5723" s="4" t="s">
        <v>7976</v>
      </c>
      <c r="F5723" s="4"/>
      <c r="G5723" s="4"/>
      <c r="H5723" s="4"/>
      <c r="I5723" s="4"/>
      <c r="J5723" s="18">
        <v>0.0</v>
      </c>
      <c r="K5723" s="4" t="s">
        <v>8494</v>
      </c>
      <c r="L5723" s="19" t="s">
        <v>8494</v>
      </c>
      <c r="M5723" s="20" t="s">
        <v>8494</v>
      </c>
    </row>
    <row r="5724">
      <c r="A5724" s="6"/>
      <c r="B5724" s="6"/>
      <c r="C5724" s="6"/>
      <c r="D5724" s="4">
        <v>74.76412417597379</v>
      </c>
      <c r="E5724" s="4" t="s">
        <v>3289</v>
      </c>
      <c r="F5724" s="4"/>
      <c r="G5724" s="4"/>
      <c r="H5724" s="4"/>
      <c r="I5724" s="4"/>
      <c r="J5724" s="18">
        <v>0.0</v>
      </c>
      <c r="K5724" s="4" t="s">
        <v>8494</v>
      </c>
      <c r="L5724" s="19" t="s">
        <v>8494</v>
      </c>
      <c r="M5724" s="20" t="s">
        <v>8494</v>
      </c>
    </row>
    <row r="5725">
      <c r="A5725" s="6"/>
      <c r="B5725" s="6"/>
      <c r="C5725" s="6"/>
      <c r="D5725" s="4">
        <v>186.01196020749998</v>
      </c>
      <c r="E5725" s="4" t="s">
        <v>7979</v>
      </c>
      <c r="F5725" s="4"/>
      <c r="G5725" s="4"/>
      <c r="H5725" s="4"/>
      <c r="I5725" s="4"/>
      <c r="J5725" s="18">
        <v>0.0</v>
      </c>
      <c r="K5725" s="4" t="s">
        <v>8494</v>
      </c>
      <c r="L5725" s="19" t="s">
        <v>8494</v>
      </c>
      <c r="M5725" s="20" t="s">
        <v>8494</v>
      </c>
    </row>
    <row r="5726">
      <c r="A5726" s="6"/>
      <c r="B5726" s="6"/>
      <c r="C5726" s="6"/>
      <c r="D5726" s="4">
        <v>9.30059801037504</v>
      </c>
      <c r="E5726" s="4" t="s">
        <v>5788</v>
      </c>
      <c r="F5726" s="4"/>
      <c r="G5726" s="4"/>
      <c r="H5726" s="4"/>
      <c r="I5726" s="4"/>
      <c r="J5726" s="18">
        <v>0.0</v>
      </c>
      <c r="K5726" s="4" t="s">
        <v>8494</v>
      </c>
      <c r="L5726" s="19" t="s">
        <v>8494</v>
      </c>
      <c r="M5726" s="20" t="s">
        <v>8494</v>
      </c>
    </row>
    <row r="5727">
      <c r="A5727" s="6"/>
      <c r="B5727" s="6"/>
      <c r="C5727" s="6"/>
      <c r="D5727" s="4">
        <v>4.651673545190251</v>
      </c>
      <c r="E5727" s="4" t="s">
        <v>4406</v>
      </c>
      <c r="F5727" s="4"/>
      <c r="G5727" s="4"/>
      <c r="H5727" s="4"/>
      <c r="I5727" s="4"/>
      <c r="J5727" s="18">
        <v>0.0</v>
      </c>
      <c r="K5727" s="4" t="s">
        <v>8494</v>
      </c>
      <c r="L5727" s="19" t="s">
        <v>8494</v>
      </c>
      <c r="M5727" s="20" t="s">
        <v>8494</v>
      </c>
    </row>
    <row r="5728">
      <c r="A5728" s="6"/>
      <c r="B5728" s="6"/>
      <c r="C5728" s="6"/>
      <c r="D5728" s="4">
        <v>4.861864017958291</v>
      </c>
      <c r="E5728" s="4" t="s">
        <v>6095</v>
      </c>
      <c r="F5728" s="4"/>
      <c r="G5728" s="4"/>
      <c r="H5728" s="4"/>
      <c r="I5728" s="4"/>
      <c r="J5728" s="18">
        <v>0.0</v>
      </c>
      <c r="K5728" s="4" t="s">
        <v>8494</v>
      </c>
      <c r="L5728" s="19" t="s">
        <v>8494</v>
      </c>
      <c r="M5728" s="20" t="s">
        <v>8494</v>
      </c>
    </row>
    <row r="5729">
      <c r="A5729" s="6"/>
      <c r="B5729" s="6"/>
      <c r="C5729" s="6"/>
      <c r="D5729" s="4">
        <v>34.440762297393704</v>
      </c>
      <c r="E5729" s="4" t="s">
        <v>7982</v>
      </c>
      <c r="F5729" s="4"/>
      <c r="G5729" s="4"/>
      <c r="H5729" s="4"/>
      <c r="I5729" s="4"/>
      <c r="J5729" s="18">
        <v>0.0</v>
      </c>
      <c r="K5729" s="4" t="s">
        <v>8494</v>
      </c>
      <c r="L5729" s="19" t="s">
        <v>8494</v>
      </c>
      <c r="M5729" s="20" t="s">
        <v>8494</v>
      </c>
    </row>
    <row r="5730">
      <c r="A5730" s="6"/>
      <c r="B5730" s="6"/>
      <c r="C5730" s="6"/>
      <c r="D5730" s="4">
        <v>9.67626299586345</v>
      </c>
      <c r="E5730" s="4" t="s">
        <v>3258</v>
      </c>
      <c r="F5730" s="4"/>
      <c r="G5730" s="4"/>
      <c r="H5730" s="4"/>
      <c r="I5730" s="4"/>
      <c r="J5730" s="18">
        <v>0.0</v>
      </c>
      <c r="K5730" s="4" t="s">
        <v>8494</v>
      </c>
      <c r="L5730" s="19" t="s">
        <v>8494</v>
      </c>
      <c r="M5730" s="20" t="s">
        <v>8494</v>
      </c>
    </row>
    <row r="5731">
      <c r="A5731" s="6"/>
      <c r="B5731" s="6"/>
      <c r="C5731" s="6"/>
      <c r="D5731" s="4">
        <v>186.01196020749998</v>
      </c>
      <c r="E5731" s="4" t="s">
        <v>5717</v>
      </c>
      <c r="F5731" s="4"/>
      <c r="G5731" s="4"/>
      <c r="H5731" s="4"/>
      <c r="I5731" s="4"/>
      <c r="J5731" s="18">
        <v>0.0</v>
      </c>
      <c r="K5731" s="4" t="s">
        <v>8494</v>
      </c>
      <c r="L5731" s="19" t="s">
        <v>8494</v>
      </c>
      <c r="M5731" s="20" t="s">
        <v>8494</v>
      </c>
    </row>
    <row r="5732">
      <c r="A5732" s="6"/>
      <c r="B5732" s="6"/>
      <c r="C5732" s="6"/>
      <c r="D5732" s="4">
        <v>14.508932896185</v>
      </c>
      <c r="E5732" s="4" t="s">
        <v>4648</v>
      </c>
      <c r="F5732" s="4"/>
      <c r="G5732" s="4"/>
      <c r="H5732" s="4"/>
      <c r="I5732" s="4"/>
      <c r="J5732" s="18">
        <v>0.0</v>
      </c>
      <c r="K5732" s="4" t="s">
        <v>8494</v>
      </c>
      <c r="L5732" s="19" t="s">
        <v>8494</v>
      </c>
      <c r="M5732" s="20" t="s">
        <v>8494</v>
      </c>
    </row>
    <row r="5733">
      <c r="A5733" s="6"/>
      <c r="B5733" s="6"/>
      <c r="C5733" s="6"/>
      <c r="D5733" s="4">
        <v>186.01196020749998</v>
      </c>
      <c r="E5733" s="4" t="s">
        <v>7986</v>
      </c>
      <c r="F5733" s="4"/>
      <c r="G5733" s="4"/>
      <c r="H5733" s="4"/>
      <c r="I5733" s="4"/>
      <c r="J5733" s="18">
        <v>0.0</v>
      </c>
      <c r="K5733" s="4" t="s">
        <v>8494</v>
      </c>
      <c r="L5733" s="19" t="s">
        <v>8494</v>
      </c>
      <c r="M5733" s="20" t="s">
        <v>8494</v>
      </c>
    </row>
    <row r="5734">
      <c r="A5734" s="6"/>
      <c r="B5734" s="6"/>
      <c r="C5734" s="6"/>
      <c r="D5734" s="4">
        <v>84.0310208187885</v>
      </c>
      <c r="E5734" s="4" t="s">
        <v>4190</v>
      </c>
      <c r="F5734" s="4"/>
      <c r="G5734" s="4"/>
      <c r="H5734" s="4"/>
      <c r="I5734" s="4"/>
      <c r="J5734" s="18">
        <v>0.0</v>
      </c>
      <c r="K5734" s="4" t="s">
        <v>8494</v>
      </c>
      <c r="L5734" s="19" t="s">
        <v>8494</v>
      </c>
      <c r="M5734" s="20" t="s">
        <v>8494</v>
      </c>
    </row>
    <row r="5735">
      <c r="A5735" s="6"/>
      <c r="B5735" s="6"/>
      <c r="C5735" s="6"/>
      <c r="D5735" s="4">
        <v>180.568167267696</v>
      </c>
      <c r="E5735" s="4" t="s">
        <v>7988</v>
      </c>
      <c r="F5735" s="4"/>
      <c r="G5735" s="4"/>
      <c r="H5735" s="4"/>
      <c r="I5735" s="4"/>
      <c r="J5735" s="18">
        <v>0.0</v>
      </c>
      <c r="K5735" s="4" t="s">
        <v>8494</v>
      </c>
      <c r="L5735" s="19" t="s">
        <v>8494</v>
      </c>
      <c r="M5735" s="20" t="s">
        <v>8494</v>
      </c>
    </row>
    <row r="5736">
      <c r="A5736" s="6"/>
      <c r="B5736" s="6"/>
      <c r="C5736" s="6"/>
      <c r="D5736" s="4">
        <v>8.17298441470245</v>
      </c>
      <c r="E5736" s="4" t="s">
        <v>6299</v>
      </c>
      <c r="F5736" s="4"/>
      <c r="G5736" s="4"/>
      <c r="H5736" s="4"/>
      <c r="I5736" s="4"/>
      <c r="J5736" s="18">
        <v>0.0</v>
      </c>
      <c r="K5736" s="4" t="s">
        <v>8494</v>
      </c>
      <c r="L5736" s="19" t="s">
        <v>8494</v>
      </c>
      <c r="M5736" s="20" t="s">
        <v>8494</v>
      </c>
    </row>
    <row r="5737">
      <c r="A5737" s="6"/>
      <c r="B5737" s="6"/>
      <c r="C5737" s="6"/>
      <c r="D5737" s="4">
        <v>131.245345587368</v>
      </c>
      <c r="E5737" s="4" t="s">
        <v>7991</v>
      </c>
      <c r="F5737" s="4"/>
      <c r="G5737" s="4"/>
      <c r="H5737" s="4"/>
      <c r="I5737" s="4"/>
      <c r="J5737" s="18">
        <v>0.0</v>
      </c>
      <c r="K5737" s="4" t="s">
        <v>8494</v>
      </c>
      <c r="L5737" s="19" t="s">
        <v>8494</v>
      </c>
      <c r="M5737" s="20" t="s">
        <v>8494</v>
      </c>
    </row>
    <row r="5738">
      <c r="A5738" s="6"/>
      <c r="B5738" s="6"/>
      <c r="C5738" s="6"/>
      <c r="D5738" s="4">
        <v>9.67262193079004</v>
      </c>
      <c r="E5738" s="4" t="s">
        <v>4058</v>
      </c>
      <c r="F5738" s="4"/>
      <c r="G5738" s="4"/>
      <c r="H5738" s="4"/>
      <c r="I5738" s="4"/>
      <c r="J5738" s="18">
        <v>0.0</v>
      </c>
      <c r="K5738" s="4" t="s">
        <v>8494</v>
      </c>
      <c r="L5738" s="19" t="s">
        <v>8494</v>
      </c>
      <c r="M5738" s="20" t="s">
        <v>8494</v>
      </c>
    </row>
    <row r="5739">
      <c r="A5739" s="6"/>
      <c r="B5739" s="6"/>
      <c r="C5739" s="6"/>
      <c r="D5739" s="4">
        <v>167.336961082654</v>
      </c>
      <c r="E5739" s="4" t="s">
        <v>1179</v>
      </c>
      <c r="F5739" s="4"/>
      <c r="G5739" s="4"/>
      <c r="H5739" s="4"/>
      <c r="I5739" s="4"/>
      <c r="J5739" s="18">
        <v>0.0</v>
      </c>
      <c r="K5739" s="4" t="s">
        <v>8494</v>
      </c>
      <c r="L5739" s="19" t="s">
        <v>8494</v>
      </c>
      <c r="M5739" s="20" t="s">
        <v>8494</v>
      </c>
    </row>
    <row r="5740">
      <c r="A5740" s="6"/>
      <c r="B5740" s="6"/>
      <c r="C5740" s="6"/>
      <c r="D5740" s="4">
        <v>102.306578114125</v>
      </c>
      <c r="E5740" s="4" t="s">
        <v>1972</v>
      </c>
      <c r="F5740" s="4"/>
      <c r="G5740" s="4"/>
      <c r="H5740" s="4"/>
      <c r="I5740" s="4"/>
      <c r="J5740" s="18">
        <v>0.0</v>
      </c>
      <c r="K5740" s="4" t="s">
        <v>8494</v>
      </c>
      <c r="L5740" s="19" t="s">
        <v>8494</v>
      </c>
      <c r="M5740" s="20" t="s">
        <v>8494</v>
      </c>
    </row>
    <row r="5741">
      <c r="A5741" s="6"/>
      <c r="B5741" s="6"/>
      <c r="C5741" s="6"/>
      <c r="D5741" s="4">
        <v>186.01196020749998</v>
      </c>
      <c r="E5741" s="4" t="s">
        <v>822</v>
      </c>
      <c r="F5741" s="4"/>
      <c r="G5741" s="4"/>
      <c r="H5741" s="4"/>
      <c r="I5741" s="4"/>
      <c r="J5741" s="18">
        <v>0.0</v>
      </c>
      <c r="K5741" s="4" t="s">
        <v>8494</v>
      </c>
      <c r="L5741" s="19" t="s">
        <v>8494</v>
      </c>
      <c r="M5741" s="20" t="s">
        <v>8494</v>
      </c>
    </row>
    <row r="5742">
      <c r="A5742" s="6"/>
      <c r="B5742" s="6"/>
      <c r="C5742" s="6"/>
      <c r="D5742" s="4">
        <v>9.30059801037504</v>
      </c>
      <c r="E5742" s="4" t="s">
        <v>6937</v>
      </c>
      <c r="F5742" s="4"/>
      <c r="G5742" s="4"/>
      <c r="H5742" s="4"/>
      <c r="I5742" s="4"/>
      <c r="J5742" s="18">
        <v>0.0</v>
      </c>
      <c r="K5742" s="4" t="s">
        <v>8494</v>
      </c>
      <c r="L5742" s="19" t="s">
        <v>8494</v>
      </c>
      <c r="M5742" s="20" t="s">
        <v>8494</v>
      </c>
    </row>
    <row r="5743">
      <c r="A5743" s="6"/>
      <c r="B5743" s="6"/>
      <c r="C5743" s="6"/>
      <c r="D5743" s="4">
        <v>46.5029900518752</v>
      </c>
      <c r="E5743" s="4" t="s">
        <v>5740</v>
      </c>
      <c r="F5743" s="4"/>
      <c r="G5743" s="4"/>
      <c r="H5743" s="4"/>
      <c r="I5743" s="4"/>
      <c r="J5743" s="18">
        <v>0.0</v>
      </c>
      <c r="K5743" s="4" t="s">
        <v>8494</v>
      </c>
      <c r="L5743" s="19" t="s">
        <v>8494</v>
      </c>
      <c r="M5743" s="20" t="s">
        <v>8494</v>
      </c>
    </row>
    <row r="5744">
      <c r="A5744" s="6"/>
      <c r="B5744" s="6"/>
      <c r="C5744" s="6"/>
      <c r="D5744" s="4">
        <v>93.0059801037504</v>
      </c>
      <c r="E5744" s="4" t="s">
        <v>1966</v>
      </c>
      <c r="F5744" s="4"/>
      <c r="G5744" s="4"/>
      <c r="H5744" s="4"/>
      <c r="I5744" s="4"/>
      <c r="J5744" s="18">
        <v>0.0</v>
      </c>
      <c r="K5744" s="4" t="s">
        <v>8494</v>
      </c>
      <c r="L5744" s="19" t="s">
        <v>8494</v>
      </c>
      <c r="M5744" s="20" t="s">
        <v>8494</v>
      </c>
    </row>
    <row r="5745">
      <c r="A5745" s="6"/>
      <c r="B5745" s="6"/>
      <c r="C5745" s="6"/>
      <c r="D5745" s="4">
        <v>186.01196020749998</v>
      </c>
      <c r="E5745" s="4" t="s">
        <v>1027</v>
      </c>
      <c r="F5745" s="4"/>
      <c r="G5745" s="4"/>
      <c r="H5745" s="4"/>
      <c r="I5745" s="4"/>
      <c r="J5745" s="18">
        <v>0.0</v>
      </c>
      <c r="K5745" s="4" t="s">
        <v>8494</v>
      </c>
      <c r="L5745" s="19" t="s">
        <v>8494</v>
      </c>
      <c r="M5745" s="20" t="s">
        <v>8494</v>
      </c>
    </row>
    <row r="5746">
      <c r="A5746" s="6"/>
      <c r="B5746" s="6"/>
      <c r="C5746" s="6"/>
      <c r="D5746" s="4">
        <v>55.8035880622502</v>
      </c>
      <c r="E5746" s="4" t="s">
        <v>1642</v>
      </c>
      <c r="F5746" s="4"/>
      <c r="G5746" s="4"/>
      <c r="H5746" s="4"/>
      <c r="I5746" s="4"/>
      <c r="J5746" s="18">
        <v>0.0</v>
      </c>
      <c r="K5746" s="4" t="s">
        <v>8494</v>
      </c>
      <c r="L5746" s="19" t="s">
        <v>8494</v>
      </c>
      <c r="M5746" s="20" t="s">
        <v>8494</v>
      </c>
    </row>
    <row r="5747">
      <c r="A5747" s="6"/>
      <c r="B5747" s="6"/>
      <c r="C5747" s="6"/>
      <c r="D5747" s="4">
        <v>186.01196020749998</v>
      </c>
      <c r="E5747" s="4" t="s">
        <v>5904</v>
      </c>
      <c r="F5747" s="4"/>
      <c r="G5747" s="4"/>
      <c r="H5747" s="4"/>
      <c r="I5747" s="4"/>
      <c r="J5747" s="18">
        <v>0.0</v>
      </c>
      <c r="K5747" s="4" t="s">
        <v>8494</v>
      </c>
      <c r="L5747" s="19" t="s">
        <v>8494</v>
      </c>
      <c r="M5747" s="20" t="s">
        <v>8494</v>
      </c>
    </row>
    <row r="5748">
      <c r="A5748" s="6"/>
      <c r="B5748" s="6"/>
      <c r="C5748" s="6"/>
      <c r="D5748" s="4">
        <v>18.60119602075</v>
      </c>
      <c r="E5748" s="4" t="s">
        <v>5804</v>
      </c>
      <c r="F5748" s="4"/>
      <c r="G5748" s="4"/>
      <c r="H5748" s="4"/>
      <c r="I5748" s="4"/>
      <c r="J5748" s="18">
        <v>0.0</v>
      </c>
      <c r="K5748" s="4" t="s">
        <v>8494</v>
      </c>
      <c r="L5748" s="19" t="s">
        <v>8494</v>
      </c>
      <c r="M5748" s="20" t="s">
        <v>8494</v>
      </c>
    </row>
    <row r="5749">
      <c r="A5749" s="6"/>
      <c r="B5749" s="6"/>
      <c r="C5749" s="6"/>
      <c r="D5749" s="4">
        <v>176.612034803759</v>
      </c>
      <c r="E5749" s="4" t="s">
        <v>1283</v>
      </c>
      <c r="F5749" s="4"/>
      <c r="G5749" s="4"/>
      <c r="H5749" s="4"/>
      <c r="I5749" s="4"/>
      <c r="J5749" s="18">
        <v>0.0</v>
      </c>
      <c r="K5749" s="4" t="s">
        <v>8494</v>
      </c>
      <c r="L5749" s="19" t="s">
        <v>8494</v>
      </c>
      <c r="M5749" s="20" t="s">
        <v>8494</v>
      </c>
    </row>
    <row r="5750">
      <c r="A5750" s="6"/>
      <c r="B5750" s="6"/>
      <c r="C5750" s="6"/>
      <c r="D5750" s="4">
        <v>186.01196020749998</v>
      </c>
      <c r="E5750" s="4" t="s">
        <v>1095</v>
      </c>
      <c r="F5750" s="4"/>
      <c r="G5750" s="4"/>
      <c r="H5750" s="4"/>
      <c r="I5750" s="4"/>
      <c r="J5750" s="18">
        <v>0.0</v>
      </c>
      <c r="K5750" s="4" t="s">
        <v>8494</v>
      </c>
      <c r="L5750" s="19" t="s">
        <v>8494</v>
      </c>
      <c r="M5750" s="20" t="s">
        <v>8494</v>
      </c>
    </row>
    <row r="5751">
      <c r="A5751" s="6"/>
      <c r="B5751" s="6"/>
      <c r="C5751" s="6"/>
      <c r="D5751" s="4">
        <v>9.27955834552271</v>
      </c>
      <c r="E5751" s="4" t="s">
        <v>3710</v>
      </c>
      <c r="F5751" s="4"/>
      <c r="G5751" s="4"/>
      <c r="H5751" s="4"/>
      <c r="I5751" s="4"/>
      <c r="J5751" s="18">
        <v>0.0</v>
      </c>
      <c r="K5751" s="4" t="s">
        <v>8494</v>
      </c>
      <c r="L5751" s="19" t="s">
        <v>8494</v>
      </c>
      <c r="M5751" s="20" t="s">
        <v>8494</v>
      </c>
    </row>
    <row r="5752">
      <c r="A5752" s="6"/>
      <c r="B5752" s="6"/>
      <c r="C5752" s="6"/>
      <c r="D5752" s="4">
        <v>89.97276231885631</v>
      </c>
      <c r="E5752" s="4" t="s">
        <v>6188</v>
      </c>
      <c r="F5752" s="4"/>
      <c r="G5752" s="4"/>
      <c r="H5752" s="4"/>
      <c r="I5752" s="4"/>
      <c r="J5752" s="18">
        <v>0.0</v>
      </c>
      <c r="K5752" s="4" t="s">
        <v>8494</v>
      </c>
      <c r="L5752" s="19" t="s">
        <v>8494</v>
      </c>
      <c r="M5752" s="20" t="s">
        <v>8494</v>
      </c>
    </row>
    <row r="5753">
      <c r="A5753" s="6"/>
      <c r="B5753" s="6"/>
      <c r="C5753" s="6"/>
      <c r="D5753" s="4">
        <v>10.5097746241491</v>
      </c>
      <c r="E5753" s="4" t="s">
        <v>6592</v>
      </c>
      <c r="F5753" s="4"/>
      <c r="G5753" s="4"/>
      <c r="H5753" s="4"/>
      <c r="I5753" s="4"/>
      <c r="J5753" s="18">
        <v>0.0</v>
      </c>
      <c r="K5753" s="4" t="s">
        <v>8494</v>
      </c>
      <c r="L5753" s="19" t="s">
        <v>8494</v>
      </c>
      <c r="M5753" s="20" t="s">
        <v>8494</v>
      </c>
    </row>
    <row r="5754">
      <c r="A5754" s="6"/>
      <c r="B5754" s="6"/>
      <c r="C5754" s="6"/>
      <c r="D5754" s="4">
        <v>77.3905980965778</v>
      </c>
      <c r="E5754" s="4" t="s">
        <v>2762</v>
      </c>
      <c r="F5754" s="4"/>
      <c r="G5754" s="4"/>
      <c r="H5754" s="4"/>
      <c r="I5754" s="4"/>
      <c r="J5754" s="18">
        <v>0.0</v>
      </c>
      <c r="K5754" s="4" t="s">
        <v>8494</v>
      </c>
      <c r="L5754" s="19" t="s">
        <v>8494</v>
      </c>
      <c r="M5754" s="20" t="s">
        <v>8494</v>
      </c>
    </row>
    <row r="5755">
      <c r="A5755" s="6"/>
      <c r="B5755" s="6"/>
      <c r="C5755" s="6"/>
      <c r="D5755" s="4">
        <v>9.30059801037504</v>
      </c>
      <c r="E5755" s="4" t="s">
        <v>5485</v>
      </c>
      <c r="F5755" s="4"/>
      <c r="G5755" s="4"/>
      <c r="H5755" s="4"/>
      <c r="I5755" s="4"/>
      <c r="J5755" s="18">
        <v>0.0</v>
      </c>
      <c r="K5755" s="4" t="s">
        <v>8494</v>
      </c>
      <c r="L5755" s="19" t="s">
        <v>8494</v>
      </c>
      <c r="M5755" s="20" t="s">
        <v>8494</v>
      </c>
    </row>
    <row r="5756">
      <c r="A5756" s="6"/>
      <c r="B5756" s="6"/>
      <c r="C5756" s="6"/>
      <c r="D5756" s="4">
        <v>9.30059801037504</v>
      </c>
      <c r="E5756" s="4" t="s">
        <v>5479</v>
      </c>
      <c r="F5756" s="4"/>
      <c r="G5756" s="4"/>
      <c r="H5756" s="4"/>
      <c r="I5756" s="4"/>
      <c r="J5756" s="18">
        <v>0.0</v>
      </c>
      <c r="K5756" s="4" t="s">
        <v>8494</v>
      </c>
      <c r="L5756" s="19" t="s">
        <v>8494</v>
      </c>
      <c r="M5756" s="20" t="s">
        <v>8494</v>
      </c>
    </row>
    <row r="5757">
      <c r="A5757" s="6"/>
      <c r="B5757" s="6"/>
      <c r="C5757" s="6"/>
      <c r="D5757" s="4">
        <v>28.0878059913326</v>
      </c>
      <c r="E5757" s="4" t="s">
        <v>3195</v>
      </c>
      <c r="F5757" s="4"/>
      <c r="G5757" s="4"/>
      <c r="H5757" s="4"/>
      <c r="I5757" s="4"/>
      <c r="J5757" s="18">
        <v>0.0</v>
      </c>
      <c r="K5757" s="4" t="s">
        <v>8494</v>
      </c>
      <c r="L5757" s="19" t="s">
        <v>8494</v>
      </c>
      <c r="M5757" s="20" t="s">
        <v>8494</v>
      </c>
    </row>
    <row r="5758">
      <c r="A5758" s="6"/>
      <c r="B5758" s="6"/>
      <c r="C5758" s="6"/>
      <c r="D5758" s="4">
        <v>1.8601196020750002</v>
      </c>
      <c r="E5758" s="4" t="s">
        <v>1376</v>
      </c>
      <c r="F5758" s="4"/>
      <c r="G5758" s="4"/>
      <c r="H5758" s="4"/>
      <c r="I5758" s="4"/>
      <c r="J5758" s="18">
        <v>0.0</v>
      </c>
      <c r="K5758" s="4" t="s">
        <v>8494</v>
      </c>
      <c r="L5758" s="19" t="s">
        <v>8494</v>
      </c>
      <c r="M5758" s="20" t="s">
        <v>8494</v>
      </c>
    </row>
    <row r="5759">
      <c r="A5759" s="6"/>
      <c r="B5759" s="6"/>
      <c r="C5759" s="6"/>
      <c r="D5759" s="4">
        <v>2.22942810671246</v>
      </c>
      <c r="E5759" s="4" t="s">
        <v>5942</v>
      </c>
      <c r="F5759" s="4"/>
      <c r="G5759" s="4"/>
      <c r="H5759" s="4"/>
      <c r="I5759" s="4"/>
      <c r="J5759" s="18">
        <v>0.0</v>
      </c>
      <c r="K5759" s="4" t="s">
        <v>8494</v>
      </c>
      <c r="L5759" s="19" t="s">
        <v>8494</v>
      </c>
      <c r="M5759" s="20" t="s">
        <v>8494</v>
      </c>
    </row>
    <row r="5760">
      <c r="A5760" s="6"/>
      <c r="B5760" s="6"/>
      <c r="C5760" s="6"/>
      <c r="D5760" s="4">
        <v>176.267836460474</v>
      </c>
      <c r="E5760" s="4" t="s">
        <v>1621</v>
      </c>
      <c r="F5760" s="4"/>
      <c r="G5760" s="4"/>
      <c r="H5760" s="4"/>
      <c r="I5760" s="4"/>
      <c r="J5760" s="18">
        <v>0.0</v>
      </c>
      <c r="K5760" s="4" t="s">
        <v>8494</v>
      </c>
      <c r="L5760" s="19" t="s">
        <v>8494</v>
      </c>
      <c r="M5760" s="20" t="s">
        <v>8494</v>
      </c>
    </row>
    <row r="5761">
      <c r="A5761" s="6"/>
      <c r="B5761" s="6"/>
      <c r="C5761" s="6"/>
      <c r="D5761" s="4">
        <v>18.620725324882898</v>
      </c>
      <c r="E5761" s="4" t="s">
        <v>8002</v>
      </c>
      <c r="F5761" s="4"/>
      <c r="G5761" s="4"/>
      <c r="H5761" s="4"/>
      <c r="I5761" s="4"/>
      <c r="J5761" s="18">
        <v>0.0</v>
      </c>
      <c r="K5761" s="4" t="s">
        <v>8494</v>
      </c>
      <c r="L5761" s="19" t="s">
        <v>8494</v>
      </c>
      <c r="M5761" s="20" t="s">
        <v>8494</v>
      </c>
    </row>
    <row r="5762">
      <c r="A5762" s="6"/>
      <c r="B5762" s="6"/>
      <c r="C5762" s="6"/>
      <c r="D5762" s="4">
        <v>157.80138632243097</v>
      </c>
      <c r="E5762" s="4" t="s">
        <v>8004</v>
      </c>
      <c r="F5762" s="4"/>
      <c r="G5762" s="4"/>
      <c r="H5762" s="4"/>
      <c r="I5762" s="4"/>
      <c r="J5762" s="18">
        <v>0.0</v>
      </c>
      <c r="K5762" s="4" t="s">
        <v>8494</v>
      </c>
      <c r="L5762" s="19" t="s">
        <v>8494</v>
      </c>
      <c r="M5762" s="20" t="s">
        <v>8494</v>
      </c>
    </row>
    <row r="5763">
      <c r="A5763" s="6"/>
      <c r="B5763" s="6"/>
      <c r="C5763" s="6"/>
      <c r="D5763" s="4">
        <v>42.0151209193227</v>
      </c>
      <c r="E5763" s="4" t="s">
        <v>4739</v>
      </c>
      <c r="F5763" s="4"/>
      <c r="G5763" s="4"/>
      <c r="H5763" s="4"/>
      <c r="I5763" s="4"/>
      <c r="J5763" s="18">
        <v>0.0</v>
      </c>
      <c r="K5763" s="4" t="s">
        <v>8494</v>
      </c>
      <c r="L5763" s="19" t="s">
        <v>8494</v>
      </c>
      <c r="M5763" s="20" t="s">
        <v>8494</v>
      </c>
    </row>
    <row r="5764">
      <c r="A5764" s="6"/>
      <c r="B5764" s="6"/>
      <c r="C5764" s="6"/>
      <c r="D5764" s="4">
        <v>186.01196020749998</v>
      </c>
      <c r="E5764" s="4" t="s">
        <v>1241</v>
      </c>
      <c r="F5764" s="4"/>
      <c r="G5764" s="4"/>
      <c r="H5764" s="4"/>
      <c r="I5764" s="4"/>
      <c r="J5764" s="18">
        <v>0.0</v>
      </c>
      <c r="K5764" s="4" t="s">
        <v>8494</v>
      </c>
      <c r="L5764" s="19" t="s">
        <v>8494</v>
      </c>
      <c r="M5764" s="20" t="s">
        <v>8494</v>
      </c>
    </row>
    <row r="5765">
      <c r="A5765" s="6"/>
      <c r="B5765" s="6"/>
      <c r="C5765" s="6"/>
      <c r="D5765" s="4">
        <v>94.86609970582539</v>
      </c>
      <c r="E5765" s="4" t="s">
        <v>8007</v>
      </c>
      <c r="F5765" s="4"/>
      <c r="G5765" s="4"/>
      <c r="H5765" s="4"/>
      <c r="I5765" s="4"/>
      <c r="J5765" s="18">
        <v>0.0</v>
      </c>
      <c r="K5765" s="4" t="s">
        <v>8494</v>
      </c>
      <c r="L5765" s="19" t="s">
        <v>8494</v>
      </c>
      <c r="M5765" s="20" t="s">
        <v>8494</v>
      </c>
    </row>
    <row r="5766">
      <c r="A5766" s="6"/>
      <c r="B5766" s="6"/>
      <c r="C5766" s="6"/>
      <c r="D5766" s="4">
        <v>9.30059801037504</v>
      </c>
      <c r="E5766" s="4" t="s">
        <v>7077</v>
      </c>
      <c r="F5766" s="4"/>
      <c r="G5766" s="4"/>
      <c r="H5766" s="4"/>
      <c r="I5766" s="4"/>
      <c r="J5766" s="18">
        <v>0.0</v>
      </c>
      <c r="K5766" s="4" t="s">
        <v>8494</v>
      </c>
      <c r="L5766" s="19" t="s">
        <v>8494</v>
      </c>
      <c r="M5766" s="20" t="s">
        <v>8494</v>
      </c>
    </row>
    <row r="5767">
      <c r="A5767" s="6"/>
      <c r="B5767" s="6"/>
      <c r="C5767" s="6"/>
      <c r="D5767" s="4">
        <v>55.8035880622502</v>
      </c>
      <c r="E5767" s="4" t="s">
        <v>8009</v>
      </c>
      <c r="F5767" s="4"/>
      <c r="G5767" s="4"/>
      <c r="H5767" s="4"/>
      <c r="I5767" s="4"/>
      <c r="J5767" s="18">
        <v>0.0</v>
      </c>
      <c r="K5767" s="4" t="s">
        <v>8494</v>
      </c>
      <c r="L5767" s="19" t="s">
        <v>8494</v>
      </c>
      <c r="M5767" s="20" t="s">
        <v>8494</v>
      </c>
    </row>
    <row r="5768">
      <c r="A5768" s="6"/>
      <c r="B5768" s="6"/>
      <c r="C5768" s="6"/>
      <c r="D5768" s="4">
        <v>46.5029900518752</v>
      </c>
      <c r="E5768" s="4" t="s">
        <v>3371</v>
      </c>
      <c r="F5768" s="4"/>
      <c r="G5768" s="4"/>
      <c r="H5768" s="4"/>
      <c r="I5768" s="4"/>
      <c r="J5768" s="18">
        <v>0.0</v>
      </c>
      <c r="K5768" s="4" t="s">
        <v>8494</v>
      </c>
      <c r="L5768" s="19" t="s">
        <v>8494</v>
      </c>
      <c r="M5768" s="20" t="s">
        <v>8494</v>
      </c>
    </row>
    <row r="5769">
      <c r="A5769" s="6"/>
      <c r="B5769" s="6"/>
      <c r="C5769" s="6"/>
      <c r="D5769" s="4">
        <v>186.01196020749998</v>
      </c>
      <c r="E5769" s="4" t="s">
        <v>1044</v>
      </c>
      <c r="F5769" s="4"/>
      <c r="G5769" s="4"/>
      <c r="H5769" s="4"/>
      <c r="I5769" s="4"/>
      <c r="J5769" s="18">
        <v>0.0</v>
      </c>
      <c r="K5769" s="4" t="s">
        <v>8494</v>
      </c>
      <c r="L5769" s="19" t="s">
        <v>8494</v>
      </c>
      <c r="M5769" s="20" t="s">
        <v>8494</v>
      </c>
    </row>
    <row r="5770">
      <c r="A5770" s="6"/>
      <c r="B5770" s="6"/>
      <c r="C5770" s="6"/>
      <c r="D5770" s="4">
        <v>32.1800691158976</v>
      </c>
      <c r="E5770" s="4" t="s">
        <v>7149</v>
      </c>
      <c r="F5770" s="4"/>
      <c r="G5770" s="4"/>
      <c r="H5770" s="4"/>
      <c r="I5770" s="4"/>
      <c r="J5770" s="18">
        <v>0.0</v>
      </c>
      <c r="K5770" s="4" t="s">
        <v>8494</v>
      </c>
      <c r="L5770" s="19" t="s">
        <v>8494</v>
      </c>
      <c r="M5770" s="20" t="s">
        <v>8494</v>
      </c>
    </row>
    <row r="5771">
      <c r="A5771" s="6"/>
      <c r="B5771" s="6"/>
      <c r="C5771" s="6"/>
      <c r="D5771" s="4">
        <v>17.1056053843942</v>
      </c>
      <c r="E5771" s="4" t="s">
        <v>6084</v>
      </c>
      <c r="F5771" s="4"/>
      <c r="G5771" s="4"/>
      <c r="H5771" s="4"/>
      <c r="I5771" s="4"/>
      <c r="J5771" s="18">
        <v>0.0</v>
      </c>
      <c r="K5771" s="4" t="s">
        <v>8494</v>
      </c>
      <c r="L5771" s="19" t="s">
        <v>8494</v>
      </c>
      <c r="M5771" s="20" t="s">
        <v>8494</v>
      </c>
    </row>
    <row r="5772">
      <c r="A5772" s="6"/>
      <c r="B5772" s="6"/>
      <c r="C5772" s="6"/>
      <c r="D5772" s="4">
        <v>18.4270781575304</v>
      </c>
      <c r="E5772" s="4" t="s">
        <v>6028</v>
      </c>
      <c r="F5772" s="4"/>
      <c r="G5772" s="4"/>
      <c r="H5772" s="4"/>
      <c r="I5772" s="4"/>
      <c r="J5772" s="18">
        <v>0.0</v>
      </c>
      <c r="K5772" s="4" t="s">
        <v>8494</v>
      </c>
      <c r="L5772" s="19" t="s">
        <v>8494</v>
      </c>
      <c r="M5772" s="20" t="s">
        <v>8494</v>
      </c>
    </row>
    <row r="5773">
      <c r="A5773" s="6"/>
      <c r="B5773" s="6"/>
      <c r="C5773" s="6"/>
      <c r="D5773" s="4">
        <v>20.4701461749364</v>
      </c>
      <c r="E5773" s="4" t="s">
        <v>2486</v>
      </c>
      <c r="F5773" s="4"/>
      <c r="G5773" s="4"/>
      <c r="H5773" s="4"/>
      <c r="I5773" s="4"/>
      <c r="J5773" s="18">
        <v>0.0</v>
      </c>
      <c r="K5773" s="4" t="s">
        <v>8494</v>
      </c>
      <c r="L5773" s="19" t="s">
        <v>8494</v>
      </c>
      <c r="M5773" s="20" t="s">
        <v>8494</v>
      </c>
    </row>
    <row r="5774">
      <c r="A5774" s="6"/>
      <c r="B5774" s="6"/>
      <c r="C5774" s="6"/>
      <c r="D5774" s="4">
        <v>186.01196020749998</v>
      </c>
      <c r="E5774" s="4" t="s">
        <v>6583</v>
      </c>
      <c r="F5774" s="4"/>
      <c r="G5774" s="4"/>
      <c r="H5774" s="4"/>
      <c r="I5774" s="4"/>
      <c r="J5774" s="18">
        <v>0.0</v>
      </c>
      <c r="K5774" s="4" t="s">
        <v>8494</v>
      </c>
      <c r="L5774" s="19" t="s">
        <v>8494</v>
      </c>
      <c r="M5774" s="20" t="s">
        <v>8494</v>
      </c>
    </row>
    <row r="5775">
      <c r="A5775" s="6"/>
      <c r="B5775" s="6"/>
      <c r="C5775" s="6"/>
      <c r="D5775" s="4">
        <v>9.30059801037504</v>
      </c>
      <c r="E5775" s="4" t="s">
        <v>6842</v>
      </c>
      <c r="F5775" s="4"/>
      <c r="G5775" s="4"/>
      <c r="H5775" s="4"/>
      <c r="I5775" s="4"/>
      <c r="J5775" s="18">
        <v>0.0</v>
      </c>
      <c r="K5775" s="4" t="s">
        <v>8494</v>
      </c>
      <c r="L5775" s="19" t="s">
        <v>8494</v>
      </c>
      <c r="M5775" s="20" t="s">
        <v>8494</v>
      </c>
    </row>
    <row r="5776">
      <c r="A5776" s="6"/>
      <c r="B5776" s="6"/>
      <c r="C5776" s="6"/>
      <c r="D5776" s="4">
        <v>56.158182341681204</v>
      </c>
      <c r="E5776" s="4" t="s">
        <v>8014</v>
      </c>
      <c r="F5776" s="4"/>
      <c r="G5776" s="4"/>
      <c r="H5776" s="4"/>
      <c r="I5776" s="4"/>
      <c r="J5776" s="18">
        <v>0.0</v>
      </c>
      <c r="K5776" s="4" t="s">
        <v>8494</v>
      </c>
      <c r="L5776" s="19" t="s">
        <v>8494</v>
      </c>
      <c r="M5776" s="20" t="s">
        <v>8494</v>
      </c>
    </row>
    <row r="5777">
      <c r="A5777" s="6"/>
      <c r="B5777" s="6"/>
      <c r="C5777" s="6"/>
      <c r="D5777" s="4">
        <v>0.528488065267405</v>
      </c>
      <c r="E5777" s="4" t="s">
        <v>3209</v>
      </c>
      <c r="F5777" s="4"/>
      <c r="G5777" s="4"/>
      <c r="H5777" s="4"/>
      <c r="I5777" s="4"/>
      <c r="J5777" s="18">
        <v>0.0</v>
      </c>
      <c r="K5777" s="4" t="s">
        <v>8494</v>
      </c>
      <c r="L5777" s="19" t="s">
        <v>8494</v>
      </c>
      <c r="M5777" s="20" t="s">
        <v>8494</v>
      </c>
    </row>
    <row r="5778">
      <c r="A5778" s="6"/>
      <c r="B5778" s="6"/>
      <c r="C5778" s="6"/>
      <c r="D5778" s="4">
        <v>9.36349212826657</v>
      </c>
      <c r="E5778" s="4" t="s">
        <v>4588</v>
      </c>
      <c r="F5778" s="4"/>
      <c r="G5778" s="4"/>
      <c r="H5778" s="4"/>
      <c r="I5778" s="4"/>
      <c r="J5778" s="18">
        <v>0.0</v>
      </c>
      <c r="K5778" s="4" t="s">
        <v>8494</v>
      </c>
      <c r="L5778" s="19" t="s">
        <v>8494</v>
      </c>
      <c r="M5778" s="20" t="s">
        <v>8494</v>
      </c>
    </row>
    <row r="5779">
      <c r="A5779" s="6"/>
      <c r="B5779" s="6"/>
      <c r="C5779" s="6"/>
      <c r="D5779" s="4">
        <v>186.01196020749998</v>
      </c>
      <c r="E5779" s="4" t="s">
        <v>842</v>
      </c>
      <c r="F5779" s="4"/>
      <c r="G5779" s="4"/>
      <c r="H5779" s="4"/>
      <c r="I5779" s="4"/>
      <c r="J5779" s="18">
        <v>0.0</v>
      </c>
      <c r="K5779" s="4" t="s">
        <v>8494</v>
      </c>
      <c r="L5779" s="19" t="s">
        <v>8494</v>
      </c>
      <c r="M5779" s="20" t="s">
        <v>8494</v>
      </c>
    </row>
    <row r="5780">
      <c r="A5780" s="6"/>
      <c r="B5780" s="6"/>
      <c r="C5780" s="6"/>
      <c r="D5780" s="4">
        <v>13.600889643261</v>
      </c>
      <c r="E5780" s="4" t="s">
        <v>8018</v>
      </c>
      <c r="F5780" s="4"/>
      <c r="G5780" s="4"/>
      <c r="H5780" s="4"/>
      <c r="I5780" s="4"/>
      <c r="J5780" s="18">
        <v>0.0</v>
      </c>
      <c r="K5780" s="4" t="s">
        <v>8494</v>
      </c>
      <c r="L5780" s="19" t="s">
        <v>8494</v>
      </c>
      <c r="M5780" s="20" t="s">
        <v>8494</v>
      </c>
    </row>
    <row r="5781">
      <c r="A5781" s="6"/>
      <c r="B5781" s="6"/>
      <c r="C5781" s="6"/>
      <c r="D5781" s="4">
        <v>83.7053820933753</v>
      </c>
      <c r="E5781" s="4" t="s">
        <v>2304</v>
      </c>
      <c r="F5781" s="4"/>
      <c r="G5781" s="4"/>
      <c r="H5781" s="4"/>
      <c r="I5781" s="4"/>
      <c r="J5781" s="18">
        <v>0.0</v>
      </c>
      <c r="K5781" s="4" t="s">
        <v>8494</v>
      </c>
      <c r="L5781" s="19" t="s">
        <v>8494</v>
      </c>
      <c r="M5781" s="20" t="s">
        <v>8494</v>
      </c>
    </row>
    <row r="5782">
      <c r="A5782" s="6"/>
      <c r="B5782" s="6"/>
      <c r="C5782" s="6"/>
      <c r="D5782" s="4">
        <v>186.01196020749998</v>
      </c>
      <c r="E5782" s="4" t="s">
        <v>6009</v>
      </c>
      <c r="F5782" s="4"/>
      <c r="G5782" s="4"/>
      <c r="H5782" s="4"/>
      <c r="I5782" s="4"/>
      <c r="J5782" s="18">
        <v>0.0</v>
      </c>
      <c r="K5782" s="4" t="s">
        <v>8494</v>
      </c>
      <c r="L5782" s="19" t="s">
        <v>8494</v>
      </c>
      <c r="M5782" s="20" t="s">
        <v>8494</v>
      </c>
    </row>
    <row r="5783">
      <c r="A5783" s="6"/>
      <c r="B5783" s="6"/>
      <c r="C5783" s="6"/>
      <c r="D5783" s="4">
        <v>9.30059801037504</v>
      </c>
      <c r="E5783" s="4" t="s">
        <v>5848</v>
      </c>
      <c r="F5783" s="4"/>
      <c r="G5783" s="4"/>
      <c r="H5783" s="4"/>
      <c r="I5783" s="4"/>
      <c r="J5783" s="18">
        <v>0.0</v>
      </c>
      <c r="K5783" s="4" t="s">
        <v>8494</v>
      </c>
      <c r="L5783" s="19" t="s">
        <v>8494</v>
      </c>
      <c r="M5783" s="20" t="s">
        <v>8494</v>
      </c>
    </row>
    <row r="5784">
      <c r="A5784" s="6"/>
      <c r="B5784" s="6"/>
      <c r="C5784" s="6"/>
      <c r="D5784" s="4">
        <v>65.1041860726253</v>
      </c>
      <c r="E5784" s="4" t="s">
        <v>3738</v>
      </c>
      <c r="F5784" s="4"/>
      <c r="G5784" s="4"/>
      <c r="H5784" s="4"/>
      <c r="I5784" s="4"/>
      <c r="J5784" s="18">
        <v>0.0</v>
      </c>
      <c r="K5784" s="4" t="s">
        <v>8494</v>
      </c>
      <c r="L5784" s="19" t="s">
        <v>8494</v>
      </c>
      <c r="M5784" s="20" t="s">
        <v>8494</v>
      </c>
    </row>
    <row r="5785">
      <c r="A5785" s="6"/>
      <c r="B5785" s="6"/>
      <c r="C5785" s="6"/>
      <c r="D5785" s="4">
        <v>30.4582257461363</v>
      </c>
      <c r="E5785" s="4" t="s">
        <v>3618</v>
      </c>
      <c r="F5785" s="4"/>
      <c r="G5785" s="4"/>
      <c r="H5785" s="4"/>
      <c r="I5785" s="4"/>
      <c r="J5785" s="18">
        <v>0.0</v>
      </c>
      <c r="K5785" s="4" t="s">
        <v>8494</v>
      </c>
      <c r="L5785" s="19" t="s">
        <v>8494</v>
      </c>
      <c r="M5785" s="20" t="s">
        <v>8494</v>
      </c>
    </row>
    <row r="5786">
      <c r="A5786" s="6"/>
      <c r="B5786" s="6"/>
      <c r="C5786" s="6"/>
      <c r="D5786" s="4">
        <v>46.5029900518752</v>
      </c>
      <c r="E5786" s="4" t="s">
        <v>6345</v>
      </c>
      <c r="F5786" s="4"/>
      <c r="G5786" s="4"/>
      <c r="H5786" s="4"/>
      <c r="I5786" s="4"/>
      <c r="J5786" s="18">
        <v>0.0</v>
      </c>
      <c r="K5786" s="4" t="s">
        <v>8494</v>
      </c>
      <c r="L5786" s="19" t="s">
        <v>8494</v>
      </c>
      <c r="M5786" s="20" t="s">
        <v>8494</v>
      </c>
    </row>
    <row r="5787">
      <c r="A5787" s="6"/>
      <c r="B5787" s="6"/>
      <c r="C5787" s="6"/>
      <c r="D5787" s="4">
        <v>9.30059801037504</v>
      </c>
      <c r="E5787" s="4" t="s">
        <v>2244</v>
      </c>
      <c r="F5787" s="4"/>
      <c r="G5787" s="4"/>
      <c r="H5787" s="4"/>
      <c r="I5787" s="4"/>
      <c r="J5787" s="18">
        <v>0.0</v>
      </c>
      <c r="K5787" s="4" t="s">
        <v>8494</v>
      </c>
      <c r="L5787" s="19" t="s">
        <v>8494</v>
      </c>
      <c r="M5787" s="20" t="s">
        <v>8494</v>
      </c>
    </row>
    <row r="5788">
      <c r="A5788" s="6"/>
      <c r="B5788" s="6"/>
      <c r="C5788" s="6"/>
      <c r="D5788" s="4">
        <v>152.16320045180498</v>
      </c>
      <c r="E5788" s="4" t="s">
        <v>4226</v>
      </c>
      <c r="F5788" s="4"/>
      <c r="G5788" s="4"/>
      <c r="H5788" s="4"/>
      <c r="I5788" s="4"/>
      <c r="J5788" s="18">
        <v>0.0</v>
      </c>
      <c r="K5788" s="4" t="s">
        <v>8494</v>
      </c>
      <c r="L5788" s="19" t="s">
        <v>8494</v>
      </c>
      <c r="M5788" s="20" t="s">
        <v>8494</v>
      </c>
    </row>
    <row r="5789">
      <c r="A5789" s="6"/>
      <c r="B5789" s="6"/>
      <c r="C5789" s="6"/>
      <c r="D5789" s="4">
        <v>8.92881556502182</v>
      </c>
      <c r="E5789" s="4" t="s">
        <v>3920</v>
      </c>
      <c r="F5789" s="4"/>
      <c r="G5789" s="4"/>
      <c r="H5789" s="4"/>
      <c r="I5789" s="4"/>
      <c r="J5789" s="18">
        <v>0.0</v>
      </c>
      <c r="K5789" s="4" t="s">
        <v>8494</v>
      </c>
      <c r="L5789" s="19" t="s">
        <v>8494</v>
      </c>
      <c r="M5789" s="20" t="s">
        <v>8494</v>
      </c>
    </row>
    <row r="5790">
      <c r="A5790" s="6"/>
      <c r="B5790" s="6"/>
      <c r="C5790" s="6"/>
      <c r="D5790" s="4">
        <v>9.30059801037504</v>
      </c>
      <c r="E5790" s="4" t="s">
        <v>5288</v>
      </c>
      <c r="F5790" s="4"/>
      <c r="G5790" s="4"/>
      <c r="H5790" s="4"/>
      <c r="I5790" s="4"/>
      <c r="J5790" s="18">
        <v>0.0</v>
      </c>
      <c r="K5790" s="4" t="s">
        <v>8494</v>
      </c>
      <c r="L5790" s="19" t="s">
        <v>8494</v>
      </c>
      <c r="M5790" s="20" t="s">
        <v>8494</v>
      </c>
    </row>
    <row r="5791">
      <c r="A5791" s="6"/>
      <c r="B5791" s="6"/>
      <c r="C5791" s="6"/>
      <c r="D5791" s="4">
        <v>62.896799029148696</v>
      </c>
      <c r="E5791" s="4" t="s">
        <v>8023</v>
      </c>
      <c r="F5791" s="4"/>
      <c r="G5791" s="4"/>
      <c r="H5791" s="4"/>
      <c r="I5791" s="4"/>
      <c r="J5791" s="18">
        <v>0.0</v>
      </c>
      <c r="K5791" s="4" t="s">
        <v>8494</v>
      </c>
      <c r="L5791" s="19" t="s">
        <v>8494</v>
      </c>
      <c r="M5791" s="20" t="s">
        <v>8494</v>
      </c>
    </row>
    <row r="5792">
      <c r="A5792" s="6"/>
      <c r="B5792" s="6"/>
      <c r="C5792" s="6"/>
      <c r="D5792" s="4">
        <v>139.508970155625</v>
      </c>
      <c r="E5792" s="4" t="s">
        <v>2342</v>
      </c>
      <c r="F5792" s="4"/>
      <c r="G5792" s="4"/>
      <c r="H5792" s="4"/>
      <c r="I5792" s="4"/>
      <c r="J5792" s="18">
        <v>0.0</v>
      </c>
      <c r="K5792" s="4" t="s">
        <v>8494</v>
      </c>
      <c r="L5792" s="19" t="s">
        <v>8494</v>
      </c>
      <c r="M5792" s="20" t="s">
        <v>8494</v>
      </c>
    </row>
    <row r="5793">
      <c r="A5793" s="6"/>
      <c r="B5793" s="6"/>
      <c r="C5793" s="6"/>
      <c r="D5793" s="4">
        <v>186.01196020749998</v>
      </c>
      <c r="E5793" s="4" t="s">
        <v>8025</v>
      </c>
      <c r="F5793" s="4"/>
      <c r="G5793" s="4"/>
      <c r="H5793" s="4"/>
      <c r="I5793" s="4"/>
      <c r="J5793" s="18">
        <v>0.0</v>
      </c>
      <c r="K5793" s="4" t="s">
        <v>8494</v>
      </c>
      <c r="L5793" s="19" t="s">
        <v>8494</v>
      </c>
      <c r="M5793" s="20" t="s">
        <v>8494</v>
      </c>
    </row>
    <row r="5794">
      <c r="A5794" s="6"/>
      <c r="B5794" s="6"/>
      <c r="C5794" s="6"/>
      <c r="D5794" s="4">
        <v>23.243352780021</v>
      </c>
      <c r="E5794" s="4" t="s">
        <v>6322</v>
      </c>
      <c r="F5794" s="4"/>
      <c r="G5794" s="4"/>
      <c r="H5794" s="4"/>
      <c r="I5794" s="4"/>
      <c r="J5794" s="18">
        <v>0.0</v>
      </c>
      <c r="K5794" s="4" t="s">
        <v>8494</v>
      </c>
      <c r="L5794" s="19" t="s">
        <v>8494</v>
      </c>
      <c r="M5794" s="20" t="s">
        <v>8494</v>
      </c>
    </row>
    <row r="5795">
      <c r="A5795" s="6"/>
      <c r="B5795" s="6"/>
      <c r="C5795" s="6"/>
      <c r="D5795" s="4">
        <v>2.907088556392</v>
      </c>
      <c r="E5795" s="4" t="s">
        <v>6666</v>
      </c>
      <c r="F5795" s="4"/>
      <c r="G5795" s="4"/>
      <c r="H5795" s="4"/>
      <c r="I5795" s="4"/>
      <c r="J5795" s="18">
        <v>0.0</v>
      </c>
      <c r="K5795" s="4" t="s">
        <v>8494</v>
      </c>
      <c r="L5795" s="19" t="s">
        <v>8494</v>
      </c>
      <c r="M5795" s="20" t="s">
        <v>8494</v>
      </c>
    </row>
    <row r="5796">
      <c r="A5796" s="6"/>
      <c r="B5796" s="6"/>
      <c r="C5796" s="6"/>
      <c r="D5796" s="4">
        <v>2.29532987065502</v>
      </c>
      <c r="E5796" s="4" t="s">
        <v>3420</v>
      </c>
      <c r="F5796" s="4"/>
      <c r="G5796" s="4"/>
      <c r="H5796" s="4"/>
      <c r="I5796" s="4"/>
      <c r="J5796" s="18">
        <v>0.0</v>
      </c>
      <c r="K5796" s="4" t="s">
        <v>8494</v>
      </c>
      <c r="L5796" s="19" t="s">
        <v>8494</v>
      </c>
      <c r="M5796" s="20" t="s">
        <v>8494</v>
      </c>
    </row>
    <row r="5797">
      <c r="A5797" s="6"/>
      <c r="B5797" s="6"/>
      <c r="C5797" s="6"/>
      <c r="D5797" s="4">
        <v>12.0907774134875</v>
      </c>
      <c r="E5797" s="4" t="s">
        <v>8029</v>
      </c>
      <c r="F5797" s="4"/>
      <c r="G5797" s="4"/>
      <c r="H5797" s="4"/>
      <c r="I5797" s="4"/>
      <c r="J5797" s="18">
        <v>0.0</v>
      </c>
      <c r="K5797" s="4" t="s">
        <v>8494</v>
      </c>
      <c r="L5797" s="19" t="s">
        <v>8494</v>
      </c>
      <c r="M5797" s="20" t="s">
        <v>8494</v>
      </c>
    </row>
    <row r="5798">
      <c r="A5798" s="6"/>
      <c r="B5798" s="6"/>
      <c r="C5798" s="6"/>
      <c r="D5798" s="4">
        <v>186.01196020749998</v>
      </c>
      <c r="E5798" s="4" t="s">
        <v>304</v>
      </c>
      <c r="F5798" s="4"/>
      <c r="G5798" s="4"/>
      <c r="H5798" s="4"/>
      <c r="I5798" s="4"/>
      <c r="J5798" s="18">
        <v>0.0</v>
      </c>
      <c r="K5798" s="4" t="s">
        <v>8494</v>
      </c>
      <c r="L5798" s="19" t="s">
        <v>8494</v>
      </c>
      <c r="M5798" s="20" t="s">
        <v>8494</v>
      </c>
    </row>
    <row r="5799">
      <c r="A5799" s="6"/>
      <c r="B5799" s="6"/>
      <c r="C5799" s="6"/>
      <c r="D5799" s="4">
        <v>111.75385447365299</v>
      </c>
      <c r="E5799" s="4" t="s">
        <v>8031</v>
      </c>
      <c r="F5799" s="4"/>
      <c r="G5799" s="4"/>
      <c r="H5799" s="4"/>
      <c r="I5799" s="4"/>
      <c r="J5799" s="18">
        <v>0.0</v>
      </c>
      <c r="K5799" s="4" t="s">
        <v>8494</v>
      </c>
      <c r="L5799" s="19" t="s">
        <v>8494</v>
      </c>
      <c r="M5799" s="20" t="s">
        <v>8494</v>
      </c>
    </row>
    <row r="5800">
      <c r="A5800" s="6"/>
      <c r="B5800" s="6"/>
      <c r="C5800" s="6"/>
      <c r="D5800" s="4">
        <v>172.683142172652</v>
      </c>
      <c r="E5800" s="4" t="s">
        <v>3163</v>
      </c>
      <c r="F5800" s="4"/>
      <c r="G5800" s="4"/>
      <c r="H5800" s="4"/>
      <c r="I5800" s="4"/>
      <c r="J5800" s="18">
        <v>0.0</v>
      </c>
      <c r="K5800" s="4" t="s">
        <v>8494</v>
      </c>
      <c r="L5800" s="19" t="s">
        <v>8494</v>
      </c>
      <c r="M5800" s="20" t="s">
        <v>8494</v>
      </c>
    </row>
    <row r="5801">
      <c r="A5801" s="6"/>
      <c r="B5801" s="6"/>
      <c r="C5801" s="6"/>
      <c r="D5801" s="4">
        <v>186.01196020749998</v>
      </c>
      <c r="E5801" s="4" t="s">
        <v>1870</v>
      </c>
      <c r="F5801" s="4"/>
      <c r="G5801" s="4"/>
      <c r="H5801" s="4"/>
      <c r="I5801" s="4"/>
      <c r="J5801" s="18">
        <v>0.0</v>
      </c>
      <c r="K5801" s="4" t="s">
        <v>8494</v>
      </c>
      <c r="L5801" s="19" t="s">
        <v>8494</v>
      </c>
      <c r="M5801" s="20" t="s">
        <v>8494</v>
      </c>
    </row>
    <row r="5802">
      <c r="A5802" s="6"/>
      <c r="B5802" s="6"/>
      <c r="C5802" s="6"/>
      <c r="D5802" s="4">
        <v>52.0633260969203</v>
      </c>
      <c r="E5802" s="4" t="s">
        <v>3432</v>
      </c>
      <c r="F5802" s="4"/>
      <c r="G5802" s="4"/>
      <c r="H5802" s="4"/>
      <c r="I5802" s="4"/>
      <c r="J5802" s="18">
        <v>0.0</v>
      </c>
      <c r="K5802" s="4" t="s">
        <v>8494</v>
      </c>
      <c r="L5802" s="19" t="s">
        <v>8494</v>
      </c>
      <c r="M5802" s="20" t="s">
        <v>8494</v>
      </c>
    </row>
    <row r="5803">
      <c r="A5803" s="6"/>
      <c r="B5803" s="6"/>
      <c r="C5803" s="6"/>
      <c r="D5803" s="4">
        <v>169.64290770923998</v>
      </c>
      <c r="E5803" s="4" t="s">
        <v>8035</v>
      </c>
      <c r="F5803" s="4"/>
      <c r="G5803" s="4"/>
      <c r="H5803" s="4"/>
      <c r="I5803" s="4"/>
      <c r="J5803" s="18">
        <v>0.0</v>
      </c>
      <c r="K5803" s="4" t="s">
        <v>8494</v>
      </c>
      <c r="L5803" s="19" t="s">
        <v>8494</v>
      </c>
      <c r="M5803" s="20" t="s">
        <v>8494</v>
      </c>
    </row>
    <row r="5804">
      <c r="A5804" s="6"/>
      <c r="B5804" s="6"/>
      <c r="C5804" s="6"/>
      <c r="D5804" s="4">
        <v>186.01196020749998</v>
      </c>
      <c r="E5804" s="4" t="s">
        <v>3808</v>
      </c>
      <c r="F5804" s="4"/>
      <c r="G5804" s="4"/>
      <c r="H5804" s="4"/>
      <c r="I5804" s="4"/>
      <c r="J5804" s="18">
        <v>0.0</v>
      </c>
      <c r="K5804" s="4" t="s">
        <v>8494</v>
      </c>
      <c r="L5804" s="19" t="s">
        <v>8494</v>
      </c>
      <c r="M5804" s="20" t="s">
        <v>8494</v>
      </c>
    </row>
    <row r="5805">
      <c r="A5805" s="6"/>
      <c r="B5805" s="6"/>
      <c r="C5805" s="6"/>
      <c r="D5805" s="4">
        <v>37.204894713749106</v>
      </c>
      <c r="E5805" s="4" t="s">
        <v>6192</v>
      </c>
      <c r="F5805" s="4"/>
      <c r="G5805" s="4"/>
      <c r="H5805" s="4"/>
      <c r="I5805" s="4"/>
      <c r="J5805" s="18">
        <v>0.0</v>
      </c>
      <c r="K5805" s="4" t="s">
        <v>8494</v>
      </c>
      <c r="L5805" s="19" t="s">
        <v>8494</v>
      </c>
      <c r="M5805" s="20" t="s">
        <v>8494</v>
      </c>
    </row>
    <row r="5806">
      <c r="A5806" s="6"/>
      <c r="B5806" s="6"/>
      <c r="C5806" s="6"/>
      <c r="D5806" s="4">
        <v>55.8203302050755</v>
      </c>
      <c r="E5806" s="4" t="s">
        <v>8038</v>
      </c>
      <c r="F5806" s="4"/>
      <c r="G5806" s="4"/>
      <c r="H5806" s="4"/>
      <c r="I5806" s="4"/>
      <c r="J5806" s="18">
        <v>0.0</v>
      </c>
      <c r="K5806" s="4" t="s">
        <v>8494</v>
      </c>
      <c r="L5806" s="19" t="s">
        <v>8494</v>
      </c>
      <c r="M5806" s="20" t="s">
        <v>8494</v>
      </c>
    </row>
    <row r="5807">
      <c r="A5807" s="6"/>
      <c r="B5807" s="6"/>
      <c r="C5807" s="6"/>
      <c r="D5807" s="4">
        <v>186.01196020749998</v>
      </c>
      <c r="E5807" s="4" t="s">
        <v>5747</v>
      </c>
      <c r="F5807" s="4"/>
      <c r="G5807" s="4"/>
      <c r="H5807" s="4"/>
      <c r="I5807" s="4"/>
      <c r="J5807" s="18">
        <v>0.0</v>
      </c>
      <c r="K5807" s="4" t="s">
        <v>8494</v>
      </c>
      <c r="L5807" s="19" t="s">
        <v>8494</v>
      </c>
      <c r="M5807" s="20" t="s">
        <v>8494</v>
      </c>
    </row>
    <row r="5808">
      <c r="A5808" s="6"/>
      <c r="B5808" s="6"/>
      <c r="C5808" s="6"/>
      <c r="D5808" s="4">
        <v>186.01196020749998</v>
      </c>
      <c r="E5808" s="4" t="s">
        <v>6916</v>
      </c>
      <c r="F5808" s="4"/>
      <c r="G5808" s="4"/>
      <c r="H5808" s="4"/>
      <c r="I5808" s="4"/>
      <c r="J5808" s="18">
        <v>0.0</v>
      </c>
      <c r="K5808" s="4" t="s">
        <v>8494</v>
      </c>
      <c r="L5808" s="19" t="s">
        <v>8494</v>
      </c>
      <c r="M5808" s="20" t="s">
        <v>8494</v>
      </c>
    </row>
    <row r="5809">
      <c r="A5809" s="6"/>
      <c r="B5809" s="6"/>
      <c r="C5809" s="6"/>
      <c r="D5809" s="4">
        <v>65.1041860726253</v>
      </c>
      <c r="E5809" s="4" t="s">
        <v>3636</v>
      </c>
      <c r="F5809" s="4"/>
      <c r="G5809" s="4"/>
      <c r="H5809" s="4"/>
      <c r="I5809" s="4"/>
      <c r="J5809" s="18">
        <v>0.0</v>
      </c>
      <c r="K5809" s="4" t="s">
        <v>8494</v>
      </c>
      <c r="L5809" s="19" t="s">
        <v>8494</v>
      </c>
      <c r="M5809" s="20" t="s">
        <v>8494</v>
      </c>
    </row>
    <row r="5810">
      <c r="A5810" s="6"/>
      <c r="B5810" s="6"/>
      <c r="C5810" s="6"/>
      <c r="D5810" s="4">
        <v>186.01196020749998</v>
      </c>
      <c r="E5810" s="4" t="s">
        <v>1021</v>
      </c>
      <c r="F5810" s="4"/>
      <c r="G5810" s="4"/>
      <c r="H5810" s="4"/>
      <c r="I5810" s="4"/>
      <c r="J5810" s="18">
        <v>0.0</v>
      </c>
      <c r="K5810" s="4" t="s">
        <v>8494</v>
      </c>
      <c r="L5810" s="19" t="s">
        <v>8494</v>
      </c>
      <c r="M5810" s="20" t="s">
        <v>8494</v>
      </c>
    </row>
    <row r="5811">
      <c r="A5811" s="6"/>
      <c r="B5811" s="6"/>
      <c r="C5811" s="6"/>
      <c r="D5811" s="4">
        <v>30.1373623644462</v>
      </c>
      <c r="E5811" s="4" t="s">
        <v>6809</v>
      </c>
      <c r="F5811" s="4"/>
      <c r="G5811" s="4"/>
      <c r="H5811" s="4"/>
      <c r="I5811" s="4"/>
      <c r="J5811" s="18">
        <v>0.0</v>
      </c>
      <c r="K5811" s="4" t="s">
        <v>8494</v>
      </c>
      <c r="L5811" s="19" t="s">
        <v>8494</v>
      </c>
      <c r="M5811" s="20" t="s">
        <v>8494</v>
      </c>
    </row>
    <row r="5812">
      <c r="A5812" s="6"/>
      <c r="B5812" s="6"/>
      <c r="C5812" s="6"/>
      <c r="D5812" s="4">
        <v>9.30059801037504</v>
      </c>
      <c r="E5812" s="4" t="s">
        <v>4642</v>
      </c>
      <c r="F5812" s="4"/>
      <c r="G5812" s="4"/>
      <c r="H5812" s="4"/>
      <c r="I5812" s="4"/>
      <c r="J5812" s="18">
        <v>0.0</v>
      </c>
      <c r="K5812" s="4" t="s">
        <v>8494</v>
      </c>
      <c r="L5812" s="19" t="s">
        <v>8494</v>
      </c>
      <c r="M5812" s="20" t="s">
        <v>8494</v>
      </c>
    </row>
    <row r="5813">
      <c r="A5813" s="6"/>
      <c r="B5813" s="6"/>
      <c r="C5813" s="6"/>
      <c r="D5813" s="4">
        <v>8.59278172300236</v>
      </c>
      <c r="E5813" s="4" t="s">
        <v>2757</v>
      </c>
      <c r="F5813" s="4"/>
      <c r="G5813" s="4"/>
      <c r="H5813" s="4"/>
      <c r="I5813" s="4"/>
      <c r="J5813" s="18">
        <v>0.0</v>
      </c>
      <c r="K5813" s="4" t="s">
        <v>8494</v>
      </c>
      <c r="L5813" s="19" t="s">
        <v>8494</v>
      </c>
      <c r="M5813" s="20" t="s">
        <v>8494</v>
      </c>
    </row>
    <row r="5814">
      <c r="A5814" s="6"/>
      <c r="B5814" s="6"/>
      <c r="C5814" s="6"/>
      <c r="D5814" s="4">
        <v>186.01196020749998</v>
      </c>
      <c r="E5814" s="4" t="s">
        <v>3398</v>
      </c>
      <c r="F5814" s="4"/>
      <c r="G5814" s="4"/>
      <c r="H5814" s="4"/>
      <c r="I5814" s="4"/>
      <c r="J5814" s="18">
        <v>0.0</v>
      </c>
      <c r="K5814" s="4" t="s">
        <v>8494</v>
      </c>
      <c r="L5814" s="19" t="s">
        <v>8494</v>
      </c>
      <c r="M5814" s="20" t="s">
        <v>8494</v>
      </c>
    </row>
    <row r="5815">
      <c r="A5815" s="6"/>
      <c r="B5815" s="6"/>
      <c r="C5815" s="6"/>
      <c r="D5815" s="4">
        <v>65.1041860726253</v>
      </c>
      <c r="E5815" s="4" t="s">
        <v>1844</v>
      </c>
      <c r="F5815" s="4"/>
      <c r="G5815" s="4"/>
      <c r="H5815" s="4"/>
      <c r="I5815" s="4"/>
      <c r="J5815" s="18">
        <v>0.0</v>
      </c>
      <c r="K5815" s="4" t="s">
        <v>8494</v>
      </c>
      <c r="L5815" s="19" t="s">
        <v>8494</v>
      </c>
      <c r="M5815" s="20" t="s">
        <v>8494</v>
      </c>
    </row>
    <row r="5816">
      <c r="A5816" s="6"/>
      <c r="B5816" s="6"/>
      <c r="C5816" s="6"/>
      <c r="D5816" s="4">
        <v>65.1551614589135</v>
      </c>
      <c r="E5816" s="4" t="s">
        <v>3858</v>
      </c>
      <c r="F5816" s="4"/>
      <c r="G5816" s="4"/>
      <c r="H5816" s="4"/>
      <c r="I5816" s="4"/>
      <c r="J5816" s="18">
        <v>0.0</v>
      </c>
      <c r="K5816" s="4" t="s">
        <v>8494</v>
      </c>
      <c r="L5816" s="19" t="s">
        <v>8494</v>
      </c>
      <c r="M5816" s="20" t="s">
        <v>8494</v>
      </c>
    </row>
    <row r="5817">
      <c r="A5817" s="6"/>
      <c r="B5817" s="6"/>
      <c r="C5817" s="6"/>
      <c r="D5817" s="4">
        <v>55.8035880622502</v>
      </c>
      <c r="E5817" s="4" t="s">
        <v>8043</v>
      </c>
      <c r="F5817" s="4"/>
      <c r="G5817" s="4"/>
      <c r="H5817" s="4"/>
      <c r="I5817" s="4"/>
      <c r="J5817" s="18">
        <v>0.0</v>
      </c>
      <c r="K5817" s="4" t="s">
        <v>8494</v>
      </c>
      <c r="L5817" s="19" t="s">
        <v>8494</v>
      </c>
      <c r="M5817" s="20" t="s">
        <v>8494</v>
      </c>
    </row>
    <row r="5818">
      <c r="A5818" s="6"/>
      <c r="B5818" s="6"/>
      <c r="C5818" s="6"/>
      <c r="D5818" s="4">
        <v>186.01196020749998</v>
      </c>
      <c r="E5818" s="4" t="s">
        <v>8044</v>
      </c>
      <c r="F5818" s="4"/>
      <c r="G5818" s="4"/>
      <c r="H5818" s="4"/>
      <c r="I5818" s="4"/>
      <c r="J5818" s="18">
        <v>0.0</v>
      </c>
      <c r="K5818" s="4" t="s">
        <v>8494</v>
      </c>
      <c r="L5818" s="19" t="s">
        <v>8494</v>
      </c>
      <c r="M5818" s="20" t="s">
        <v>8494</v>
      </c>
    </row>
    <row r="5819">
      <c r="A5819" s="6"/>
      <c r="B5819" s="6"/>
      <c r="C5819" s="6"/>
      <c r="D5819" s="4">
        <v>9.30059801037504</v>
      </c>
      <c r="E5819" s="4" t="s">
        <v>6657</v>
      </c>
      <c r="F5819" s="4"/>
      <c r="G5819" s="4"/>
      <c r="H5819" s="4"/>
      <c r="I5819" s="4"/>
      <c r="J5819" s="18">
        <v>0.0</v>
      </c>
      <c r="K5819" s="4" t="s">
        <v>8494</v>
      </c>
      <c r="L5819" s="19" t="s">
        <v>8494</v>
      </c>
      <c r="M5819" s="20" t="s">
        <v>8494</v>
      </c>
    </row>
    <row r="5820">
      <c r="A5820" s="6"/>
      <c r="B5820" s="6"/>
      <c r="C5820" s="6"/>
      <c r="D5820" s="4">
        <v>186.01196020749998</v>
      </c>
      <c r="E5820" s="4" t="s">
        <v>414</v>
      </c>
      <c r="F5820" s="4"/>
      <c r="G5820" s="4"/>
      <c r="H5820" s="4"/>
      <c r="I5820" s="4"/>
      <c r="J5820" s="18">
        <v>0.0</v>
      </c>
      <c r="K5820" s="4" t="s">
        <v>8494</v>
      </c>
      <c r="L5820" s="19" t="s">
        <v>8494</v>
      </c>
      <c r="M5820" s="20" t="s">
        <v>8494</v>
      </c>
    </row>
    <row r="5821">
      <c r="A5821" s="6"/>
      <c r="B5821" s="6"/>
      <c r="C5821" s="6"/>
      <c r="D5821" s="4">
        <v>57.292677300754</v>
      </c>
      <c r="E5821" s="4" t="s">
        <v>8045</v>
      </c>
      <c r="F5821" s="4"/>
      <c r="G5821" s="4"/>
      <c r="H5821" s="4"/>
      <c r="I5821" s="4"/>
      <c r="J5821" s="18">
        <v>0.0</v>
      </c>
      <c r="K5821" s="4" t="s">
        <v>8494</v>
      </c>
      <c r="L5821" s="19" t="s">
        <v>8494</v>
      </c>
      <c r="M5821" s="20" t="s">
        <v>8494</v>
      </c>
    </row>
    <row r="5822">
      <c r="A5822" s="6"/>
      <c r="B5822" s="6"/>
      <c r="C5822" s="6"/>
      <c r="D5822" s="4">
        <v>112.495642978193</v>
      </c>
      <c r="E5822" s="4" t="s">
        <v>8047</v>
      </c>
      <c r="F5822" s="4"/>
      <c r="G5822" s="4"/>
      <c r="H5822" s="4"/>
      <c r="I5822" s="4"/>
      <c r="J5822" s="18">
        <v>0.0</v>
      </c>
      <c r="K5822" s="4" t="s">
        <v>8494</v>
      </c>
      <c r="L5822" s="19" t="s">
        <v>8494</v>
      </c>
      <c r="M5822" s="20" t="s">
        <v>8494</v>
      </c>
    </row>
    <row r="5823">
      <c r="A5823" s="6"/>
      <c r="B5823" s="6"/>
      <c r="C5823" s="6"/>
      <c r="D5823" s="4">
        <v>186.01196020749998</v>
      </c>
      <c r="E5823" s="4" t="s">
        <v>5478</v>
      </c>
      <c r="F5823" s="4"/>
      <c r="G5823" s="4"/>
      <c r="H5823" s="4"/>
      <c r="I5823" s="4"/>
      <c r="J5823" s="18">
        <v>0.0</v>
      </c>
      <c r="K5823" s="4" t="s">
        <v>8494</v>
      </c>
      <c r="L5823" s="19" t="s">
        <v>8494</v>
      </c>
      <c r="M5823" s="20" t="s">
        <v>8494</v>
      </c>
    </row>
    <row r="5824">
      <c r="A5824" s="6"/>
      <c r="B5824" s="6"/>
      <c r="C5824" s="6"/>
      <c r="D5824" s="4">
        <v>186.01196020749998</v>
      </c>
      <c r="E5824" s="4" t="s">
        <v>1154</v>
      </c>
      <c r="F5824" s="4"/>
      <c r="G5824" s="4"/>
      <c r="H5824" s="4"/>
      <c r="I5824" s="4"/>
      <c r="J5824" s="18">
        <v>0.0</v>
      </c>
      <c r="K5824" s="4" t="s">
        <v>8494</v>
      </c>
      <c r="L5824" s="19" t="s">
        <v>8494</v>
      </c>
      <c r="M5824" s="20" t="s">
        <v>8494</v>
      </c>
    </row>
    <row r="5825">
      <c r="A5825" s="6"/>
      <c r="B5825" s="6"/>
      <c r="C5825" s="6"/>
      <c r="D5825" s="4">
        <v>30.2120556118704</v>
      </c>
      <c r="E5825" s="4" t="s">
        <v>4398</v>
      </c>
      <c r="F5825" s="4"/>
      <c r="G5825" s="4"/>
      <c r="H5825" s="4"/>
      <c r="I5825" s="4"/>
      <c r="J5825" s="18">
        <v>0.0</v>
      </c>
      <c r="K5825" s="4" t="s">
        <v>8494</v>
      </c>
      <c r="L5825" s="19" t="s">
        <v>8494</v>
      </c>
      <c r="M5825" s="20" t="s">
        <v>8494</v>
      </c>
    </row>
    <row r="5826">
      <c r="A5826" s="6"/>
      <c r="B5826" s="6"/>
      <c r="C5826" s="6"/>
      <c r="D5826" s="4">
        <v>7.10908858728488</v>
      </c>
      <c r="E5826" s="4" t="s">
        <v>3816</v>
      </c>
      <c r="F5826" s="4"/>
      <c r="G5826" s="4"/>
      <c r="H5826" s="4"/>
      <c r="I5826" s="4"/>
      <c r="J5826" s="18">
        <v>0.0</v>
      </c>
      <c r="K5826" s="4" t="s">
        <v>8494</v>
      </c>
      <c r="L5826" s="19" t="s">
        <v>8494</v>
      </c>
      <c r="M5826" s="20" t="s">
        <v>8494</v>
      </c>
    </row>
    <row r="5827">
      <c r="A5827" s="6"/>
      <c r="B5827" s="6"/>
      <c r="C5827" s="6"/>
      <c r="D5827" s="4">
        <v>186.01196020749998</v>
      </c>
      <c r="E5827" s="4" t="s">
        <v>6433</v>
      </c>
      <c r="F5827" s="4"/>
      <c r="G5827" s="4"/>
      <c r="H5827" s="4"/>
      <c r="I5827" s="4"/>
      <c r="J5827" s="18">
        <v>0.0</v>
      </c>
      <c r="K5827" s="4" t="s">
        <v>8494</v>
      </c>
      <c r="L5827" s="19" t="s">
        <v>8494</v>
      </c>
      <c r="M5827" s="20" t="s">
        <v>8494</v>
      </c>
    </row>
    <row r="5828">
      <c r="A5828" s="6"/>
      <c r="B5828" s="6"/>
      <c r="C5828" s="6"/>
      <c r="D5828" s="4">
        <v>76.844538339249</v>
      </c>
      <c r="E5828" s="4" t="s">
        <v>2438</v>
      </c>
      <c r="F5828" s="4"/>
      <c r="G5828" s="4"/>
      <c r="H5828" s="4"/>
      <c r="I5828" s="4"/>
      <c r="J5828" s="18">
        <v>0.0</v>
      </c>
      <c r="K5828" s="4" t="s">
        <v>8494</v>
      </c>
      <c r="L5828" s="19" t="s">
        <v>8494</v>
      </c>
      <c r="M5828" s="20" t="s">
        <v>8494</v>
      </c>
    </row>
    <row r="5829">
      <c r="A5829" s="6"/>
      <c r="B5829" s="6"/>
      <c r="C5829" s="6"/>
      <c r="D5829" s="4">
        <v>186.01196020749998</v>
      </c>
      <c r="E5829" s="4" t="s">
        <v>1596</v>
      </c>
      <c r="F5829" s="4"/>
      <c r="G5829" s="4"/>
      <c r="H5829" s="4"/>
      <c r="I5829" s="4"/>
      <c r="J5829" s="18">
        <v>0.0</v>
      </c>
      <c r="K5829" s="4" t="s">
        <v>8494</v>
      </c>
      <c r="L5829" s="19" t="s">
        <v>8494</v>
      </c>
      <c r="M5829" s="20" t="s">
        <v>8494</v>
      </c>
    </row>
    <row r="5830">
      <c r="A5830" s="6"/>
      <c r="B5830" s="6"/>
      <c r="C5830" s="6"/>
      <c r="D5830" s="4">
        <v>62.299402033337806</v>
      </c>
      <c r="E5830" s="4" t="s">
        <v>4192</v>
      </c>
      <c r="F5830" s="4"/>
      <c r="G5830" s="4"/>
      <c r="H5830" s="4"/>
      <c r="I5830" s="4"/>
      <c r="J5830" s="18">
        <v>0.0</v>
      </c>
      <c r="K5830" s="4" t="s">
        <v>8494</v>
      </c>
      <c r="L5830" s="19" t="s">
        <v>8494</v>
      </c>
      <c r="M5830" s="20" t="s">
        <v>8494</v>
      </c>
    </row>
    <row r="5831">
      <c r="A5831" s="6"/>
      <c r="B5831" s="6"/>
      <c r="C5831" s="6"/>
      <c r="D5831" s="4">
        <v>102.306578114125</v>
      </c>
      <c r="E5831" s="4" t="s">
        <v>8053</v>
      </c>
      <c r="F5831" s="4"/>
      <c r="G5831" s="4"/>
      <c r="H5831" s="4"/>
      <c r="I5831" s="4"/>
      <c r="J5831" s="18">
        <v>0.0</v>
      </c>
      <c r="K5831" s="4" t="s">
        <v>8494</v>
      </c>
      <c r="L5831" s="19" t="s">
        <v>8494</v>
      </c>
      <c r="M5831" s="20" t="s">
        <v>8494</v>
      </c>
    </row>
    <row r="5832">
      <c r="A5832" s="6"/>
      <c r="B5832" s="6"/>
      <c r="C5832" s="6"/>
      <c r="D5832" s="4">
        <v>60.906310417998796</v>
      </c>
      <c r="E5832" s="4" t="s">
        <v>3965</v>
      </c>
      <c r="F5832" s="4"/>
      <c r="G5832" s="4"/>
      <c r="H5832" s="4"/>
      <c r="I5832" s="4"/>
      <c r="J5832" s="18">
        <v>0.0</v>
      </c>
      <c r="K5832" s="4" t="s">
        <v>8494</v>
      </c>
      <c r="L5832" s="19" t="s">
        <v>8494</v>
      </c>
      <c r="M5832" s="20" t="s">
        <v>8494</v>
      </c>
    </row>
    <row r="5833">
      <c r="A5833" s="6"/>
      <c r="B5833" s="6"/>
      <c r="C5833" s="6"/>
      <c r="D5833" s="4">
        <v>47.2109855150464</v>
      </c>
      <c r="E5833" s="4" t="s">
        <v>8055</v>
      </c>
      <c r="F5833" s="4"/>
      <c r="G5833" s="4"/>
      <c r="H5833" s="4"/>
      <c r="I5833" s="4"/>
      <c r="J5833" s="18">
        <v>0.0</v>
      </c>
      <c r="K5833" s="4" t="s">
        <v>8494</v>
      </c>
      <c r="L5833" s="19" t="s">
        <v>8494</v>
      </c>
      <c r="M5833" s="20" t="s">
        <v>8494</v>
      </c>
    </row>
    <row r="5834">
      <c r="A5834" s="6"/>
      <c r="B5834" s="6"/>
      <c r="C5834" s="6"/>
      <c r="D5834" s="4">
        <v>63.7452475157944</v>
      </c>
      <c r="E5834" s="4" t="s">
        <v>7094</v>
      </c>
      <c r="F5834" s="4"/>
      <c r="G5834" s="4"/>
      <c r="H5834" s="4"/>
      <c r="I5834" s="4"/>
      <c r="J5834" s="18">
        <v>0.0</v>
      </c>
      <c r="K5834" s="4" t="s">
        <v>8494</v>
      </c>
      <c r="L5834" s="19" t="s">
        <v>8494</v>
      </c>
      <c r="M5834" s="20" t="s">
        <v>8494</v>
      </c>
    </row>
    <row r="5835">
      <c r="A5835" s="6"/>
      <c r="B5835" s="6"/>
      <c r="C5835" s="6"/>
      <c r="D5835" s="4">
        <v>186.01196020749998</v>
      </c>
      <c r="E5835" s="4" t="s">
        <v>3266</v>
      </c>
      <c r="F5835" s="4"/>
      <c r="G5835" s="4"/>
      <c r="H5835" s="4"/>
      <c r="I5835" s="4"/>
      <c r="J5835" s="18">
        <v>0.0</v>
      </c>
      <c r="K5835" s="4" t="s">
        <v>8494</v>
      </c>
      <c r="L5835" s="19" t="s">
        <v>8494</v>
      </c>
      <c r="M5835" s="20" t="s">
        <v>8494</v>
      </c>
    </row>
    <row r="5836">
      <c r="A5836" s="6"/>
      <c r="B5836" s="6"/>
      <c r="C5836" s="6"/>
      <c r="D5836" s="4">
        <v>6.49637715218425</v>
      </c>
      <c r="E5836" s="4" t="s">
        <v>8058</v>
      </c>
      <c r="F5836" s="4"/>
      <c r="G5836" s="4"/>
      <c r="H5836" s="4"/>
      <c r="I5836" s="4"/>
      <c r="J5836" s="18">
        <v>0.0</v>
      </c>
      <c r="K5836" s="4" t="s">
        <v>8494</v>
      </c>
      <c r="L5836" s="19" t="s">
        <v>8494</v>
      </c>
      <c r="M5836" s="20" t="s">
        <v>8494</v>
      </c>
    </row>
    <row r="5837">
      <c r="A5837" s="6"/>
      <c r="B5837" s="6"/>
      <c r="C5837" s="6"/>
      <c r="D5837" s="4">
        <v>9.30059801037504</v>
      </c>
      <c r="E5837" s="4" t="s">
        <v>8060</v>
      </c>
      <c r="F5837" s="4"/>
      <c r="G5837" s="4"/>
      <c r="H5837" s="4"/>
      <c r="I5837" s="4"/>
      <c r="J5837" s="18">
        <v>0.0</v>
      </c>
      <c r="K5837" s="4" t="s">
        <v>8494</v>
      </c>
      <c r="L5837" s="19" t="s">
        <v>8494</v>
      </c>
      <c r="M5837" s="20" t="s">
        <v>8494</v>
      </c>
    </row>
    <row r="5838">
      <c r="A5838" s="6"/>
      <c r="B5838" s="6"/>
      <c r="C5838" s="6"/>
      <c r="D5838" s="4">
        <v>10.4629147111857</v>
      </c>
      <c r="E5838" s="4" t="s">
        <v>8061</v>
      </c>
      <c r="F5838" s="4"/>
      <c r="G5838" s="4"/>
      <c r="H5838" s="4"/>
      <c r="I5838" s="4"/>
      <c r="J5838" s="18">
        <v>0.0</v>
      </c>
      <c r="K5838" s="4" t="s">
        <v>8494</v>
      </c>
      <c r="L5838" s="19" t="s">
        <v>8494</v>
      </c>
      <c r="M5838" s="20" t="s">
        <v>8494</v>
      </c>
    </row>
    <row r="5839">
      <c r="A5839" s="6"/>
      <c r="B5839" s="6"/>
      <c r="C5839" s="6"/>
      <c r="D5839" s="4">
        <v>6.18810543287787</v>
      </c>
      <c r="E5839" s="4" t="s">
        <v>8063</v>
      </c>
      <c r="F5839" s="4"/>
      <c r="G5839" s="4"/>
      <c r="H5839" s="4"/>
      <c r="I5839" s="4"/>
      <c r="J5839" s="18">
        <v>0.0</v>
      </c>
      <c r="K5839" s="4" t="s">
        <v>8494</v>
      </c>
      <c r="L5839" s="19" t="s">
        <v>8494</v>
      </c>
      <c r="M5839" s="20" t="s">
        <v>8494</v>
      </c>
    </row>
    <row r="5840">
      <c r="A5840" s="6"/>
      <c r="B5840" s="6"/>
      <c r="C5840" s="6"/>
      <c r="D5840" s="4">
        <v>186.01196020749998</v>
      </c>
      <c r="E5840" s="4" t="s">
        <v>291</v>
      </c>
      <c r="F5840" s="4"/>
      <c r="G5840" s="4"/>
      <c r="H5840" s="4"/>
      <c r="I5840" s="4"/>
      <c r="J5840" s="18">
        <v>0.0</v>
      </c>
      <c r="K5840" s="4" t="s">
        <v>8494</v>
      </c>
      <c r="L5840" s="19" t="s">
        <v>8494</v>
      </c>
      <c r="M5840" s="20" t="s">
        <v>8494</v>
      </c>
    </row>
    <row r="5841">
      <c r="A5841" s="6"/>
      <c r="B5841" s="6"/>
      <c r="C5841" s="6"/>
      <c r="D5841" s="4">
        <v>12.2705339425938</v>
      </c>
      <c r="E5841" s="4" t="s">
        <v>8065</v>
      </c>
      <c r="F5841" s="4"/>
      <c r="G5841" s="4"/>
      <c r="H5841" s="4"/>
      <c r="I5841" s="4"/>
      <c r="J5841" s="18">
        <v>0.0</v>
      </c>
      <c r="K5841" s="4" t="s">
        <v>8494</v>
      </c>
      <c r="L5841" s="19" t="s">
        <v>8494</v>
      </c>
      <c r="M5841" s="20" t="s">
        <v>8494</v>
      </c>
    </row>
    <row r="5842">
      <c r="A5842" s="6"/>
      <c r="B5842" s="6"/>
      <c r="C5842" s="6"/>
      <c r="D5842" s="4">
        <v>88.4154136225338</v>
      </c>
      <c r="E5842" s="4" t="s">
        <v>5213</v>
      </c>
      <c r="F5842" s="4"/>
      <c r="G5842" s="4"/>
      <c r="H5842" s="4"/>
      <c r="I5842" s="4"/>
      <c r="J5842" s="18">
        <v>0.0</v>
      </c>
      <c r="K5842" s="4" t="s">
        <v>8494</v>
      </c>
      <c r="L5842" s="19" t="s">
        <v>8494</v>
      </c>
      <c r="M5842" s="20" t="s">
        <v>8494</v>
      </c>
    </row>
    <row r="5843">
      <c r="A5843" s="6"/>
      <c r="B5843" s="6"/>
      <c r="C5843" s="6"/>
      <c r="D5843" s="4">
        <v>18.60119602075</v>
      </c>
      <c r="E5843" s="4" t="s">
        <v>400</v>
      </c>
      <c r="F5843" s="4"/>
      <c r="G5843" s="4"/>
      <c r="H5843" s="4"/>
      <c r="I5843" s="4"/>
      <c r="J5843" s="18">
        <v>0.0</v>
      </c>
      <c r="K5843" s="4" t="s">
        <v>8494</v>
      </c>
      <c r="L5843" s="19" t="s">
        <v>8494</v>
      </c>
      <c r="M5843" s="20" t="s">
        <v>8494</v>
      </c>
    </row>
    <row r="5844">
      <c r="A5844" s="6"/>
      <c r="B5844" s="6"/>
      <c r="C5844" s="6"/>
      <c r="D5844" s="4">
        <v>145.529194632026</v>
      </c>
      <c r="E5844" s="4" t="s">
        <v>8068</v>
      </c>
      <c r="F5844" s="4"/>
      <c r="G5844" s="4"/>
      <c r="H5844" s="4"/>
      <c r="I5844" s="4"/>
      <c r="J5844" s="18">
        <v>0.0</v>
      </c>
      <c r="K5844" s="4" t="s">
        <v>8494</v>
      </c>
      <c r="L5844" s="19" t="s">
        <v>8494</v>
      </c>
      <c r="M5844" s="20" t="s">
        <v>8494</v>
      </c>
    </row>
    <row r="5845">
      <c r="A5845" s="6"/>
      <c r="B5845" s="6"/>
      <c r="C5845" s="6"/>
      <c r="D5845" s="4">
        <v>7.225545801062291</v>
      </c>
      <c r="E5845" s="4" t="s">
        <v>8070</v>
      </c>
      <c r="F5845" s="4"/>
      <c r="G5845" s="4"/>
      <c r="H5845" s="4"/>
      <c r="I5845" s="4"/>
      <c r="J5845" s="18">
        <v>0.0</v>
      </c>
      <c r="K5845" s="4" t="s">
        <v>8494</v>
      </c>
      <c r="L5845" s="19" t="s">
        <v>8494</v>
      </c>
      <c r="M5845" s="20" t="s">
        <v>8494</v>
      </c>
    </row>
    <row r="5846">
      <c r="A5846" s="6"/>
      <c r="B5846" s="6"/>
      <c r="C5846" s="6"/>
      <c r="D5846" s="4">
        <v>21.616237261077</v>
      </c>
      <c r="E5846" s="4" t="s">
        <v>6762</v>
      </c>
      <c r="F5846" s="4"/>
      <c r="G5846" s="4"/>
      <c r="H5846" s="4"/>
      <c r="I5846" s="4"/>
      <c r="J5846" s="18">
        <v>0.0</v>
      </c>
      <c r="K5846" s="4" t="s">
        <v>8494</v>
      </c>
      <c r="L5846" s="19" t="s">
        <v>8494</v>
      </c>
      <c r="M5846" s="20" t="s">
        <v>8494</v>
      </c>
    </row>
    <row r="5847">
      <c r="A5847" s="6"/>
      <c r="B5847" s="6"/>
      <c r="C5847" s="6"/>
      <c r="D5847" s="4">
        <v>186.01196020749998</v>
      </c>
      <c r="E5847" s="4" t="s">
        <v>8073</v>
      </c>
      <c r="F5847" s="4"/>
      <c r="G5847" s="4"/>
      <c r="H5847" s="4"/>
      <c r="I5847" s="4"/>
      <c r="J5847" s="18">
        <v>0.0</v>
      </c>
      <c r="K5847" s="4" t="s">
        <v>8494</v>
      </c>
      <c r="L5847" s="19" t="s">
        <v>8494</v>
      </c>
      <c r="M5847" s="20" t="s">
        <v>8494</v>
      </c>
    </row>
    <row r="5848">
      <c r="A5848" s="6"/>
      <c r="B5848" s="6"/>
      <c r="C5848" s="6"/>
      <c r="D5848" s="4">
        <v>80.9527793723333</v>
      </c>
      <c r="E5848" s="4" t="s">
        <v>4443</v>
      </c>
      <c r="F5848" s="4"/>
      <c r="G5848" s="4"/>
      <c r="H5848" s="4"/>
      <c r="I5848" s="4"/>
      <c r="J5848" s="18">
        <v>0.0</v>
      </c>
      <c r="K5848" s="4" t="s">
        <v>8494</v>
      </c>
      <c r="L5848" s="19" t="s">
        <v>8494</v>
      </c>
      <c r="M5848" s="20" t="s">
        <v>8494</v>
      </c>
    </row>
    <row r="5849">
      <c r="A5849" s="6"/>
      <c r="B5849" s="6"/>
      <c r="C5849" s="6"/>
      <c r="D5849" s="4">
        <v>186.01196020749998</v>
      </c>
      <c r="E5849" s="4" t="s">
        <v>1512</v>
      </c>
      <c r="F5849" s="4"/>
      <c r="G5849" s="4"/>
      <c r="H5849" s="4"/>
      <c r="I5849" s="4"/>
      <c r="J5849" s="18">
        <v>0.0</v>
      </c>
      <c r="K5849" s="4" t="s">
        <v>8494</v>
      </c>
      <c r="L5849" s="19" t="s">
        <v>8494</v>
      </c>
      <c r="M5849" s="20" t="s">
        <v>8494</v>
      </c>
    </row>
    <row r="5850">
      <c r="A5850" s="6"/>
      <c r="B5850" s="6"/>
      <c r="C5850" s="6"/>
      <c r="D5850" s="4">
        <v>6.5760696928407505</v>
      </c>
      <c r="E5850" s="4" t="s">
        <v>664</v>
      </c>
      <c r="F5850" s="4"/>
      <c r="G5850" s="4"/>
      <c r="H5850" s="4"/>
      <c r="I5850" s="4"/>
      <c r="J5850" s="18">
        <v>0.0</v>
      </c>
      <c r="K5850" s="4" t="s">
        <v>8494</v>
      </c>
      <c r="L5850" s="19" t="s">
        <v>8494</v>
      </c>
      <c r="M5850" s="20" t="s">
        <v>8494</v>
      </c>
    </row>
    <row r="5851">
      <c r="A5851" s="6"/>
      <c r="B5851" s="6"/>
      <c r="C5851" s="6"/>
      <c r="D5851" s="4">
        <v>46.5436099529339</v>
      </c>
      <c r="E5851" s="4" t="s">
        <v>8076</v>
      </c>
      <c r="F5851" s="4"/>
      <c r="G5851" s="4"/>
      <c r="H5851" s="4"/>
      <c r="I5851" s="4"/>
      <c r="J5851" s="18">
        <v>0.0</v>
      </c>
      <c r="K5851" s="4" t="s">
        <v>8494</v>
      </c>
      <c r="L5851" s="19" t="s">
        <v>8494</v>
      </c>
      <c r="M5851" s="20" t="s">
        <v>8494</v>
      </c>
    </row>
    <row r="5852">
      <c r="A5852" s="6"/>
      <c r="B5852" s="6"/>
      <c r="C5852" s="6"/>
      <c r="D5852" s="4">
        <v>139.508970155625</v>
      </c>
      <c r="E5852" s="4" t="s">
        <v>792</v>
      </c>
      <c r="F5852" s="4"/>
      <c r="G5852" s="4"/>
      <c r="H5852" s="4"/>
      <c r="I5852" s="4"/>
      <c r="J5852" s="18">
        <v>0.0</v>
      </c>
      <c r="K5852" s="4" t="s">
        <v>8494</v>
      </c>
      <c r="L5852" s="19" t="s">
        <v>8494</v>
      </c>
      <c r="M5852" s="20" t="s">
        <v>8494</v>
      </c>
    </row>
    <row r="5853">
      <c r="A5853" s="6"/>
      <c r="B5853" s="6"/>
      <c r="C5853" s="6"/>
      <c r="D5853" s="4">
        <v>186.01196020749998</v>
      </c>
      <c r="E5853" s="4" t="s">
        <v>804</v>
      </c>
      <c r="F5853" s="4"/>
      <c r="G5853" s="4"/>
      <c r="H5853" s="4"/>
      <c r="I5853" s="4"/>
      <c r="J5853" s="18">
        <v>0.0</v>
      </c>
      <c r="K5853" s="4" t="s">
        <v>8494</v>
      </c>
      <c r="L5853" s="19" t="s">
        <v>8494</v>
      </c>
      <c r="M5853" s="20" t="s">
        <v>8494</v>
      </c>
    </row>
    <row r="5854">
      <c r="A5854" s="6"/>
      <c r="B5854" s="6"/>
      <c r="C5854" s="6"/>
      <c r="D5854" s="4">
        <v>52.1171894956789</v>
      </c>
      <c r="E5854" s="4" t="s">
        <v>8078</v>
      </c>
      <c r="F5854" s="4"/>
      <c r="G5854" s="4"/>
      <c r="H5854" s="4"/>
      <c r="I5854" s="4"/>
      <c r="J5854" s="18">
        <v>0.0</v>
      </c>
      <c r="K5854" s="4" t="s">
        <v>8494</v>
      </c>
      <c r="L5854" s="19" t="s">
        <v>8494</v>
      </c>
      <c r="M5854" s="20" t="s">
        <v>8494</v>
      </c>
    </row>
    <row r="5855">
      <c r="A5855" s="6"/>
      <c r="B5855" s="6"/>
      <c r="C5855" s="6"/>
      <c r="D5855" s="4">
        <v>83.7053825803547</v>
      </c>
      <c r="E5855" s="4" t="s">
        <v>8080</v>
      </c>
      <c r="F5855" s="4"/>
      <c r="G5855" s="4"/>
      <c r="H5855" s="4"/>
      <c r="I5855" s="4"/>
      <c r="J5855" s="18">
        <v>0.0</v>
      </c>
      <c r="K5855" s="4" t="s">
        <v>8494</v>
      </c>
      <c r="L5855" s="19" t="s">
        <v>8494</v>
      </c>
      <c r="M5855" s="20" t="s">
        <v>8494</v>
      </c>
    </row>
    <row r="5856">
      <c r="A5856" s="6"/>
      <c r="B5856" s="6"/>
      <c r="C5856" s="6"/>
      <c r="D5856" s="4">
        <v>186.01196020749998</v>
      </c>
      <c r="E5856" s="4" t="s">
        <v>1187</v>
      </c>
      <c r="F5856" s="4"/>
      <c r="G5856" s="4"/>
      <c r="H5856" s="4"/>
      <c r="I5856" s="4"/>
      <c r="J5856" s="18">
        <v>0.0</v>
      </c>
      <c r="K5856" s="4" t="s">
        <v>8494</v>
      </c>
      <c r="L5856" s="19" t="s">
        <v>8494</v>
      </c>
      <c r="M5856" s="20" t="s">
        <v>8494</v>
      </c>
    </row>
    <row r="5857">
      <c r="A5857" s="6"/>
      <c r="B5857" s="6"/>
      <c r="C5857" s="6"/>
      <c r="D5857" s="4">
        <v>8.90434966408022</v>
      </c>
      <c r="E5857" s="4" t="s">
        <v>4061</v>
      </c>
      <c r="F5857" s="4"/>
      <c r="G5857" s="4"/>
      <c r="H5857" s="4"/>
      <c r="I5857" s="4"/>
      <c r="J5857" s="18">
        <v>0.0</v>
      </c>
      <c r="K5857" s="4" t="s">
        <v>8494</v>
      </c>
      <c r="L5857" s="19" t="s">
        <v>8494</v>
      </c>
      <c r="M5857" s="20" t="s">
        <v>8494</v>
      </c>
    </row>
    <row r="5858">
      <c r="A5858" s="6"/>
      <c r="B5858" s="6"/>
      <c r="C5858" s="6"/>
      <c r="D5858" s="4">
        <v>186.01196020749998</v>
      </c>
      <c r="E5858" s="4" t="s">
        <v>412</v>
      </c>
      <c r="F5858" s="4"/>
      <c r="G5858" s="4"/>
      <c r="H5858" s="4"/>
      <c r="I5858" s="4"/>
      <c r="J5858" s="18">
        <v>0.0</v>
      </c>
      <c r="K5858" s="4" t="s">
        <v>8494</v>
      </c>
      <c r="L5858" s="19" t="s">
        <v>8494</v>
      </c>
      <c r="M5858" s="20" t="s">
        <v>8494</v>
      </c>
    </row>
    <row r="5859">
      <c r="A5859" s="6"/>
      <c r="B5859" s="6"/>
      <c r="C5859" s="6"/>
      <c r="D5859" s="4">
        <v>186.01196020749998</v>
      </c>
      <c r="E5859" s="4" t="s">
        <v>8083</v>
      </c>
      <c r="F5859" s="4"/>
      <c r="G5859" s="4"/>
      <c r="H5859" s="4"/>
      <c r="I5859" s="4"/>
      <c r="J5859" s="18">
        <v>0.0</v>
      </c>
      <c r="K5859" s="4" t="s">
        <v>8494</v>
      </c>
      <c r="L5859" s="19" t="s">
        <v>8494</v>
      </c>
      <c r="M5859" s="20" t="s">
        <v>8494</v>
      </c>
    </row>
    <row r="5860">
      <c r="A5860" s="6"/>
      <c r="B5860" s="6"/>
      <c r="C5860" s="6"/>
      <c r="D5860" s="4">
        <v>79.1703302533401</v>
      </c>
      <c r="E5860" s="4" t="s">
        <v>1240</v>
      </c>
      <c r="F5860" s="4"/>
      <c r="G5860" s="4"/>
      <c r="H5860" s="4"/>
      <c r="I5860" s="4"/>
      <c r="J5860" s="18">
        <v>0.0</v>
      </c>
      <c r="K5860" s="4" t="s">
        <v>8494</v>
      </c>
      <c r="L5860" s="19" t="s">
        <v>8494</v>
      </c>
      <c r="M5860" s="20" t="s">
        <v>8494</v>
      </c>
    </row>
    <row r="5861">
      <c r="A5861" s="6"/>
      <c r="B5861" s="6"/>
      <c r="C5861" s="6"/>
      <c r="D5861" s="4">
        <v>107.124244801083</v>
      </c>
      <c r="E5861" s="4" t="s">
        <v>2617</v>
      </c>
      <c r="F5861" s="4"/>
      <c r="G5861" s="4"/>
      <c r="H5861" s="4"/>
      <c r="I5861" s="4"/>
      <c r="J5861" s="18">
        <v>0.0</v>
      </c>
      <c r="K5861" s="4" t="s">
        <v>8494</v>
      </c>
      <c r="L5861" s="19" t="s">
        <v>8494</v>
      </c>
      <c r="M5861" s="20" t="s">
        <v>8494</v>
      </c>
    </row>
    <row r="5862">
      <c r="A5862" s="6"/>
      <c r="B5862" s="6"/>
      <c r="C5862" s="6"/>
      <c r="D5862" s="4">
        <v>107.328901039727</v>
      </c>
      <c r="E5862" s="4" t="s">
        <v>2998</v>
      </c>
      <c r="F5862" s="4"/>
      <c r="G5862" s="4"/>
      <c r="H5862" s="4"/>
      <c r="I5862" s="4"/>
      <c r="J5862" s="18">
        <v>0.0</v>
      </c>
      <c r="K5862" s="4" t="s">
        <v>8494</v>
      </c>
      <c r="L5862" s="19" t="s">
        <v>8494</v>
      </c>
      <c r="M5862" s="20" t="s">
        <v>8494</v>
      </c>
    </row>
    <row r="5863">
      <c r="A5863" s="6"/>
      <c r="B5863" s="6"/>
      <c r="C5863" s="6"/>
      <c r="D5863" s="4">
        <v>46.6555198592453</v>
      </c>
      <c r="E5863" s="4" t="s">
        <v>1829</v>
      </c>
      <c r="F5863" s="4"/>
      <c r="G5863" s="4"/>
      <c r="H5863" s="4"/>
      <c r="I5863" s="4"/>
      <c r="J5863" s="18">
        <v>0.0</v>
      </c>
      <c r="K5863" s="4" t="s">
        <v>8494</v>
      </c>
      <c r="L5863" s="19" t="s">
        <v>8494</v>
      </c>
      <c r="M5863" s="20" t="s">
        <v>8494</v>
      </c>
    </row>
    <row r="5864">
      <c r="A5864" s="6"/>
      <c r="B5864" s="6"/>
      <c r="C5864" s="6"/>
      <c r="D5864" s="4">
        <v>186.01196020749998</v>
      </c>
      <c r="E5864" s="4" t="s">
        <v>977</v>
      </c>
      <c r="F5864" s="4"/>
      <c r="G5864" s="4"/>
      <c r="H5864" s="4"/>
      <c r="I5864" s="4"/>
      <c r="J5864" s="18">
        <v>0.0</v>
      </c>
      <c r="K5864" s="4" t="s">
        <v>8494</v>
      </c>
      <c r="L5864" s="19" t="s">
        <v>8494</v>
      </c>
      <c r="M5864" s="20" t="s">
        <v>8494</v>
      </c>
    </row>
    <row r="5865">
      <c r="A5865" s="6"/>
      <c r="B5865" s="6"/>
      <c r="C5865" s="6"/>
      <c r="D5865" s="4">
        <v>0.337425502347461</v>
      </c>
      <c r="E5865" s="4" t="s">
        <v>2260</v>
      </c>
      <c r="F5865" s="4"/>
      <c r="G5865" s="4"/>
      <c r="H5865" s="4"/>
      <c r="I5865" s="4"/>
      <c r="J5865" s="18">
        <v>0.0</v>
      </c>
      <c r="K5865" s="4" t="s">
        <v>8494</v>
      </c>
      <c r="L5865" s="19" t="s">
        <v>8494</v>
      </c>
      <c r="M5865" s="20" t="s">
        <v>8494</v>
      </c>
    </row>
    <row r="5866">
      <c r="A5866" s="6"/>
      <c r="B5866" s="6"/>
      <c r="C5866" s="6"/>
      <c r="D5866" s="4">
        <v>102.306578114125</v>
      </c>
      <c r="E5866" s="4" t="s">
        <v>37</v>
      </c>
      <c r="F5866" s="4"/>
      <c r="G5866" s="4"/>
      <c r="H5866" s="4"/>
      <c r="I5866" s="4"/>
      <c r="J5866" s="18">
        <v>0.0</v>
      </c>
      <c r="K5866" s="4" t="s">
        <v>8494</v>
      </c>
      <c r="L5866" s="19" t="s">
        <v>8494</v>
      </c>
      <c r="M5866" s="20" t="s">
        <v>8494</v>
      </c>
    </row>
    <row r="5867">
      <c r="A5867" s="6"/>
      <c r="B5867" s="6"/>
      <c r="C5867" s="6"/>
      <c r="D5867" s="4">
        <v>65.1041860726253</v>
      </c>
      <c r="E5867" s="4" t="s">
        <v>6278</v>
      </c>
      <c r="F5867" s="4"/>
      <c r="G5867" s="4"/>
      <c r="H5867" s="4"/>
      <c r="I5867" s="4"/>
      <c r="J5867" s="18">
        <v>0.0</v>
      </c>
      <c r="K5867" s="4" t="s">
        <v>8494</v>
      </c>
      <c r="L5867" s="19" t="s">
        <v>8494</v>
      </c>
      <c r="M5867" s="20" t="s">
        <v>8494</v>
      </c>
    </row>
    <row r="5868">
      <c r="A5868" s="6"/>
      <c r="B5868" s="6"/>
      <c r="C5868" s="6"/>
      <c r="D5868" s="4">
        <v>9.39383412335989</v>
      </c>
      <c r="E5868" s="4" t="s">
        <v>3033</v>
      </c>
      <c r="F5868" s="4"/>
      <c r="G5868" s="4"/>
      <c r="H5868" s="4"/>
      <c r="I5868" s="4"/>
      <c r="J5868" s="18">
        <v>0.0</v>
      </c>
      <c r="K5868" s="4" t="s">
        <v>8494</v>
      </c>
      <c r="L5868" s="19" t="s">
        <v>8494</v>
      </c>
      <c r="M5868" s="20" t="s">
        <v>8494</v>
      </c>
    </row>
    <row r="5869">
      <c r="A5869" s="6"/>
      <c r="B5869" s="6"/>
      <c r="C5869" s="6"/>
      <c r="D5869" s="4">
        <v>8.92244626819301</v>
      </c>
      <c r="E5869" s="4" t="s">
        <v>3826</v>
      </c>
      <c r="F5869" s="4"/>
      <c r="G5869" s="4"/>
      <c r="H5869" s="4"/>
      <c r="I5869" s="4"/>
      <c r="J5869" s="18">
        <v>0.0</v>
      </c>
      <c r="K5869" s="4" t="s">
        <v>8494</v>
      </c>
      <c r="L5869" s="19" t="s">
        <v>8494</v>
      </c>
      <c r="M5869" s="20" t="s">
        <v>8494</v>
      </c>
    </row>
    <row r="5870">
      <c r="A5870" s="6"/>
      <c r="B5870" s="6"/>
      <c r="C5870" s="6"/>
      <c r="D5870" s="4">
        <v>29.6582312728678</v>
      </c>
      <c r="E5870" s="4" t="s">
        <v>2870</v>
      </c>
      <c r="F5870" s="4"/>
      <c r="G5870" s="4"/>
      <c r="H5870" s="4"/>
      <c r="I5870" s="4"/>
      <c r="J5870" s="18">
        <v>0.0</v>
      </c>
      <c r="K5870" s="4" t="s">
        <v>8494</v>
      </c>
      <c r="L5870" s="19" t="s">
        <v>8494</v>
      </c>
      <c r="M5870" s="20" t="s">
        <v>8494</v>
      </c>
    </row>
    <row r="5871">
      <c r="A5871" s="6"/>
      <c r="B5871" s="6"/>
      <c r="C5871" s="6"/>
      <c r="D5871" s="4">
        <v>179.267667680088</v>
      </c>
      <c r="E5871" s="4" t="s">
        <v>2852</v>
      </c>
      <c r="F5871" s="4"/>
      <c r="G5871" s="4"/>
      <c r="H5871" s="4"/>
      <c r="I5871" s="4"/>
      <c r="J5871" s="18">
        <v>0.0</v>
      </c>
      <c r="K5871" s="4" t="s">
        <v>8494</v>
      </c>
      <c r="L5871" s="19" t="s">
        <v>8494</v>
      </c>
      <c r="M5871" s="20" t="s">
        <v>8494</v>
      </c>
    </row>
    <row r="5872">
      <c r="A5872" s="6"/>
      <c r="B5872" s="6"/>
      <c r="C5872" s="6"/>
      <c r="D5872" s="4">
        <v>18.60119602075</v>
      </c>
      <c r="E5872" s="4" t="s">
        <v>6036</v>
      </c>
      <c r="F5872" s="4"/>
      <c r="G5872" s="4"/>
      <c r="H5872" s="4"/>
      <c r="I5872" s="4"/>
      <c r="J5872" s="18">
        <v>0.0</v>
      </c>
      <c r="K5872" s="4" t="s">
        <v>8494</v>
      </c>
      <c r="L5872" s="19" t="s">
        <v>8494</v>
      </c>
      <c r="M5872" s="20" t="s">
        <v>8494</v>
      </c>
    </row>
    <row r="5873">
      <c r="A5873" s="6"/>
      <c r="B5873" s="6"/>
      <c r="C5873" s="6"/>
      <c r="D5873" s="4">
        <v>142.121224574725</v>
      </c>
      <c r="E5873" s="4" t="s">
        <v>2981</v>
      </c>
      <c r="F5873" s="4"/>
      <c r="G5873" s="4"/>
      <c r="H5873" s="4"/>
      <c r="I5873" s="4"/>
      <c r="J5873" s="18">
        <v>0.0</v>
      </c>
      <c r="K5873" s="4" t="s">
        <v>8494</v>
      </c>
      <c r="L5873" s="19" t="s">
        <v>8494</v>
      </c>
      <c r="M5873" s="20" t="s">
        <v>8494</v>
      </c>
    </row>
    <row r="5874">
      <c r="A5874" s="6"/>
      <c r="B5874" s="6"/>
      <c r="C5874" s="6"/>
      <c r="D5874" s="4">
        <v>10.547070588391101</v>
      </c>
      <c r="E5874" s="4" t="s">
        <v>5426</v>
      </c>
      <c r="F5874" s="4"/>
      <c r="G5874" s="4"/>
      <c r="H5874" s="4"/>
      <c r="I5874" s="4"/>
      <c r="J5874" s="18">
        <v>0.0</v>
      </c>
      <c r="K5874" s="4" t="s">
        <v>8494</v>
      </c>
      <c r="L5874" s="19" t="s">
        <v>8494</v>
      </c>
      <c r="M5874" s="20" t="s">
        <v>8494</v>
      </c>
    </row>
    <row r="5875">
      <c r="A5875" s="6"/>
      <c r="B5875" s="6"/>
      <c r="C5875" s="6"/>
      <c r="D5875" s="4">
        <v>0.305329962770931</v>
      </c>
      <c r="E5875" s="4" t="s">
        <v>1360</v>
      </c>
      <c r="F5875" s="4"/>
      <c r="G5875" s="4"/>
      <c r="H5875" s="4"/>
      <c r="I5875" s="4"/>
      <c r="J5875" s="18">
        <v>0.0</v>
      </c>
      <c r="K5875" s="4" t="s">
        <v>8494</v>
      </c>
      <c r="L5875" s="19" t="s">
        <v>8494</v>
      </c>
      <c r="M5875" s="20" t="s">
        <v>8494</v>
      </c>
    </row>
    <row r="5876">
      <c r="A5876" s="6"/>
      <c r="B5876" s="6"/>
      <c r="C5876" s="6"/>
      <c r="D5876" s="4">
        <v>186.01196020749998</v>
      </c>
      <c r="E5876" s="4" t="s">
        <v>3546</v>
      </c>
      <c r="F5876" s="4"/>
      <c r="G5876" s="4"/>
      <c r="H5876" s="4"/>
      <c r="I5876" s="4"/>
      <c r="J5876" s="18">
        <v>0.0</v>
      </c>
      <c r="K5876" s="4" t="s">
        <v>8494</v>
      </c>
      <c r="L5876" s="19" t="s">
        <v>8494</v>
      </c>
      <c r="M5876" s="20" t="s">
        <v>8494</v>
      </c>
    </row>
    <row r="5877">
      <c r="A5877" s="6"/>
      <c r="B5877" s="6"/>
      <c r="C5877" s="6"/>
      <c r="D5877" s="4">
        <v>186.01196020749998</v>
      </c>
      <c r="E5877" s="4" t="s">
        <v>1224</v>
      </c>
      <c r="F5877" s="4"/>
      <c r="G5877" s="4"/>
      <c r="H5877" s="4"/>
      <c r="I5877" s="4"/>
      <c r="J5877" s="18">
        <v>0.0</v>
      </c>
      <c r="K5877" s="4" t="s">
        <v>8494</v>
      </c>
      <c r="L5877" s="19" t="s">
        <v>8494</v>
      </c>
      <c r="M5877" s="20" t="s">
        <v>8494</v>
      </c>
    </row>
    <row r="5878">
      <c r="A5878" s="6"/>
      <c r="B5878" s="6"/>
      <c r="C5878" s="6"/>
      <c r="D5878" s="4">
        <v>48.144845772670806</v>
      </c>
      <c r="E5878" s="4" t="s">
        <v>4088</v>
      </c>
      <c r="F5878" s="4"/>
      <c r="G5878" s="4"/>
      <c r="H5878" s="4"/>
      <c r="I5878" s="4"/>
      <c r="J5878" s="18">
        <v>0.0</v>
      </c>
      <c r="K5878" s="4" t="s">
        <v>8494</v>
      </c>
      <c r="L5878" s="19" t="s">
        <v>8494</v>
      </c>
      <c r="M5878" s="20" t="s">
        <v>8494</v>
      </c>
    </row>
    <row r="5879">
      <c r="A5879" s="6"/>
      <c r="B5879" s="6"/>
      <c r="C5879" s="6"/>
      <c r="D5879" s="4">
        <v>51.6715451060062</v>
      </c>
      <c r="E5879" s="4" t="s">
        <v>8097</v>
      </c>
      <c r="F5879" s="4"/>
      <c r="G5879" s="4"/>
      <c r="H5879" s="4"/>
      <c r="I5879" s="4"/>
      <c r="J5879" s="18">
        <v>0.0</v>
      </c>
      <c r="K5879" s="4" t="s">
        <v>8494</v>
      </c>
      <c r="L5879" s="19" t="s">
        <v>8494</v>
      </c>
      <c r="M5879" s="20" t="s">
        <v>8494</v>
      </c>
    </row>
    <row r="5880">
      <c r="A5880" s="6"/>
      <c r="B5880" s="6"/>
      <c r="C5880" s="6"/>
      <c r="D5880" s="4">
        <v>2.7308452261966196</v>
      </c>
      <c r="E5880" s="4" t="s">
        <v>2676</v>
      </c>
      <c r="F5880" s="4"/>
      <c r="G5880" s="4"/>
      <c r="H5880" s="4"/>
      <c r="I5880" s="4"/>
      <c r="J5880" s="18">
        <v>0.0</v>
      </c>
      <c r="K5880" s="4" t="s">
        <v>8494</v>
      </c>
      <c r="L5880" s="19" t="s">
        <v>8494</v>
      </c>
      <c r="M5880" s="20" t="s">
        <v>8494</v>
      </c>
    </row>
    <row r="5881">
      <c r="A5881" s="6"/>
      <c r="B5881" s="6"/>
      <c r="C5881" s="6"/>
      <c r="D5881" s="4">
        <v>13.9508970155625</v>
      </c>
      <c r="E5881" s="4" t="s">
        <v>6737</v>
      </c>
      <c r="F5881" s="4"/>
      <c r="G5881" s="4"/>
      <c r="H5881" s="4"/>
      <c r="I5881" s="4"/>
      <c r="J5881" s="18">
        <v>0.0</v>
      </c>
      <c r="K5881" s="4" t="s">
        <v>8494</v>
      </c>
      <c r="L5881" s="19" t="s">
        <v>8494</v>
      </c>
      <c r="M5881" s="20" t="s">
        <v>8494</v>
      </c>
    </row>
    <row r="5882">
      <c r="A5882" s="6"/>
      <c r="B5882" s="6"/>
      <c r="C5882" s="6"/>
      <c r="D5882" s="4">
        <v>46.6767163765382</v>
      </c>
      <c r="E5882" s="4" t="s">
        <v>8101</v>
      </c>
      <c r="F5882" s="4"/>
      <c r="G5882" s="4"/>
      <c r="H5882" s="4"/>
      <c r="I5882" s="4"/>
      <c r="J5882" s="18">
        <v>0.0</v>
      </c>
      <c r="K5882" s="4" t="s">
        <v>8494</v>
      </c>
      <c r="L5882" s="19" t="s">
        <v>8494</v>
      </c>
      <c r="M5882" s="20" t="s">
        <v>8494</v>
      </c>
    </row>
    <row r="5883">
      <c r="A5883" s="6"/>
      <c r="B5883" s="6"/>
      <c r="C5883" s="6"/>
      <c r="D5883" s="4">
        <v>9.30059801037504</v>
      </c>
      <c r="E5883" s="4" t="s">
        <v>7133</v>
      </c>
      <c r="F5883" s="4"/>
      <c r="G5883" s="4"/>
      <c r="H5883" s="4"/>
      <c r="I5883" s="4"/>
      <c r="J5883" s="18">
        <v>0.0</v>
      </c>
      <c r="K5883" s="4" t="s">
        <v>8494</v>
      </c>
      <c r="L5883" s="19" t="s">
        <v>8494</v>
      </c>
      <c r="M5883" s="20" t="s">
        <v>8494</v>
      </c>
    </row>
    <row r="5884">
      <c r="A5884" s="6"/>
      <c r="B5884" s="6"/>
      <c r="C5884" s="6"/>
      <c r="D5884" s="4">
        <v>55.8035880622502</v>
      </c>
      <c r="E5884" s="4" t="s">
        <v>788</v>
      </c>
      <c r="F5884" s="4"/>
      <c r="G5884" s="4"/>
      <c r="H5884" s="4"/>
      <c r="I5884" s="4"/>
      <c r="J5884" s="18">
        <v>0.0</v>
      </c>
      <c r="K5884" s="4" t="s">
        <v>8494</v>
      </c>
      <c r="L5884" s="19" t="s">
        <v>8494</v>
      </c>
      <c r="M5884" s="20" t="s">
        <v>8494</v>
      </c>
    </row>
    <row r="5885">
      <c r="A5885" s="6"/>
      <c r="B5885" s="6"/>
      <c r="C5885" s="6"/>
      <c r="D5885" s="4">
        <v>44.7751551281819</v>
      </c>
      <c r="E5885" s="4" t="s">
        <v>6015</v>
      </c>
      <c r="F5885" s="4"/>
      <c r="G5885" s="4"/>
      <c r="H5885" s="4"/>
      <c r="I5885" s="4"/>
      <c r="J5885" s="18">
        <v>0.0</v>
      </c>
      <c r="K5885" s="4" t="s">
        <v>8494</v>
      </c>
      <c r="L5885" s="19" t="s">
        <v>8494</v>
      </c>
      <c r="M5885" s="20" t="s">
        <v>8494</v>
      </c>
    </row>
    <row r="5886">
      <c r="A5886" s="6"/>
      <c r="B5886" s="6"/>
      <c r="C5886" s="6"/>
      <c r="D5886" s="4">
        <v>25.932823714684698</v>
      </c>
      <c r="E5886" s="4" t="s">
        <v>8104</v>
      </c>
      <c r="F5886" s="4"/>
      <c r="G5886" s="4"/>
      <c r="H5886" s="4"/>
      <c r="I5886" s="4"/>
      <c r="J5886" s="18">
        <v>0.0</v>
      </c>
      <c r="K5886" s="4" t="s">
        <v>8494</v>
      </c>
      <c r="L5886" s="19" t="s">
        <v>8494</v>
      </c>
      <c r="M5886" s="20" t="s">
        <v>8494</v>
      </c>
    </row>
    <row r="5887">
      <c r="A5887" s="6"/>
      <c r="B5887" s="6"/>
      <c r="C5887" s="6"/>
      <c r="D5887" s="4">
        <v>186.01196020749998</v>
      </c>
      <c r="E5887" s="4" t="s">
        <v>2876</v>
      </c>
      <c r="F5887" s="4"/>
      <c r="G5887" s="4"/>
      <c r="H5887" s="4"/>
      <c r="I5887" s="4"/>
      <c r="J5887" s="18">
        <v>0.0</v>
      </c>
      <c r="K5887" s="4" t="s">
        <v>8494</v>
      </c>
      <c r="L5887" s="19" t="s">
        <v>8494</v>
      </c>
      <c r="M5887" s="20" t="s">
        <v>8494</v>
      </c>
    </row>
    <row r="5888">
      <c r="A5888" s="6"/>
      <c r="B5888" s="6"/>
      <c r="C5888" s="6"/>
      <c r="D5888" s="4">
        <v>186.01196020749998</v>
      </c>
      <c r="E5888" s="4" t="s">
        <v>8106</v>
      </c>
      <c r="F5888" s="4"/>
      <c r="G5888" s="4"/>
      <c r="H5888" s="4"/>
      <c r="I5888" s="4"/>
      <c r="J5888" s="18">
        <v>0.0</v>
      </c>
      <c r="K5888" s="4" t="s">
        <v>8494</v>
      </c>
      <c r="L5888" s="19" t="s">
        <v>8494</v>
      </c>
      <c r="M5888" s="20" t="s">
        <v>8494</v>
      </c>
    </row>
    <row r="5889">
      <c r="A5889" s="6"/>
      <c r="B5889" s="6"/>
      <c r="C5889" s="6"/>
      <c r="D5889" s="4">
        <v>186.01196020749998</v>
      </c>
      <c r="E5889" s="4" t="s">
        <v>1713</v>
      </c>
      <c r="F5889" s="4"/>
      <c r="G5889" s="4"/>
      <c r="H5889" s="4"/>
      <c r="I5889" s="4"/>
      <c r="J5889" s="18">
        <v>0.0</v>
      </c>
      <c r="K5889" s="4" t="s">
        <v>8494</v>
      </c>
      <c r="L5889" s="19" t="s">
        <v>8494</v>
      </c>
      <c r="M5889" s="20" t="s">
        <v>8494</v>
      </c>
    </row>
    <row r="5890">
      <c r="A5890" s="6"/>
      <c r="B5890" s="6"/>
      <c r="C5890" s="6"/>
      <c r="D5890" s="4">
        <v>46.5029900518752</v>
      </c>
      <c r="E5890" s="4" t="s">
        <v>4358</v>
      </c>
      <c r="F5890" s="4"/>
      <c r="G5890" s="4"/>
      <c r="H5890" s="4"/>
      <c r="I5890" s="4"/>
      <c r="J5890" s="18">
        <v>0.0</v>
      </c>
      <c r="K5890" s="4" t="s">
        <v>8494</v>
      </c>
      <c r="L5890" s="19" t="s">
        <v>8494</v>
      </c>
      <c r="M5890" s="20" t="s">
        <v>8494</v>
      </c>
    </row>
    <row r="5891">
      <c r="A5891" s="6"/>
      <c r="B5891" s="6"/>
      <c r="C5891" s="6"/>
      <c r="D5891" s="4">
        <v>182.11582325080698</v>
      </c>
      <c r="E5891" s="4" t="s">
        <v>3988</v>
      </c>
      <c r="F5891" s="4"/>
      <c r="G5891" s="4"/>
      <c r="H5891" s="4"/>
      <c r="I5891" s="4"/>
      <c r="J5891" s="18">
        <v>0.0</v>
      </c>
      <c r="K5891" s="4" t="s">
        <v>8494</v>
      </c>
      <c r="L5891" s="19" t="s">
        <v>8494</v>
      </c>
      <c r="M5891" s="20" t="s">
        <v>8494</v>
      </c>
    </row>
    <row r="5892">
      <c r="A5892" s="6"/>
      <c r="B5892" s="6"/>
      <c r="C5892" s="6"/>
      <c r="D5892" s="4">
        <v>169.096766816805</v>
      </c>
      <c r="E5892" s="4" t="s">
        <v>3292</v>
      </c>
      <c r="F5892" s="4"/>
      <c r="G5892" s="4"/>
      <c r="H5892" s="4"/>
      <c r="I5892" s="4"/>
      <c r="J5892" s="18">
        <v>0.0</v>
      </c>
      <c r="K5892" s="4" t="s">
        <v>8494</v>
      </c>
      <c r="L5892" s="19" t="s">
        <v>8494</v>
      </c>
      <c r="M5892" s="20" t="s">
        <v>8494</v>
      </c>
    </row>
    <row r="5893">
      <c r="A5893" s="6"/>
      <c r="B5893" s="6"/>
      <c r="C5893" s="6"/>
      <c r="D5893" s="4">
        <v>47.821299162650696</v>
      </c>
      <c r="E5893" s="4" t="s">
        <v>4110</v>
      </c>
      <c r="F5893" s="4"/>
      <c r="G5893" s="4"/>
      <c r="H5893" s="4"/>
      <c r="I5893" s="4"/>
      <c r="J5893" s="18">
        <v>0.0</v>
      </c>
      <c r="K5893" s="4" t="s">
        <v>8494</v>
      </c>
      <c r="L5893" s="19" t="s">
        <v>8494</v>
      </c>
      <c r="M5893" s="20" t="s">
        <v>8494</v>
      </c>
    </row>
    <row r="5894">
      <c r="A5894" s="6"/>
      <c r="B5894" s="6"/>
      <c r="C5894" s="6"/>
      <c r="D5894" s="4">
        <v>185.866062158059</v>
      </c>
      <c r="E5894" s="4" t="s">
        <v>7252</v>
      </c>
      <c r="F5894" s="4"/>
      <c r="G5894" s="4"/>
      <c r="H5894" s="4"/>
      <c r="I5894" s="4"/>
      <c r="J5894" s="18">
        <v>0.0</v>
      </c>
      <c r="K5894" s="4" t="s">
        <v>8494</v>
      </c>
      <c r="L5894" s="19" t="s">
        <v>8494</v>
      </c>
      <c r="M5894" s="20" t="s">
        <v>8494</v>
      </c>
    </row>
    <row r="5895">
      <c r="A5895" s="6"/>
      <c r="B5895" s="6"/>
      <c r="C5895" s="6"/>
      <c r="D5895" s="4">
        <v>11.7691056674771</v>
      </c>
      <c r="E5895" s="4" t="s">
        <v>5146</v>
      </c>
      <c r="F5895" s="4"/>
      <c r="G5895" s="4"/>
      <c r="H5895" s="4"/>
      <c r="I5895" s="4"/>
      <c r="J5895" s="18">
        <v>0.0</v>
      </c>
      <c r="K5895" s="4" t="s">
        <v>8494</v>
      </c>
      <c r="L5895" s="19" t="s">
        <v>8494</v>
      </c>
      <c r="M5895" s="20" t="s">
        <v>8494</v>
      </c>
    </row>
    <row r="5896">
      <c r="A5896" s="6"/>
      <c r="B5896" s="6"/>
      <c r="C5896" s="6"/>
      <c r="D5896" s="4">
        <v>186.01196020749998</v>
      </c>
      <c r="E5896" s="4" t="s">
        <v>7209</v>
      </c>
      <c r="F5896" s="4"/>
      <c r="G5896" s="4"/>
      <c r="H5896" s="4"/>
      <c r="I5896" s="4"/>
      <c r="J5896" s="18">
        <v>0.0</v>
      </c>
      <c r="K5896" s="4" t="s">
        <v>8494</v>
      </c>
      <c r="L5896" s="19" t="s">
        <v>8494</v>
      </c>
      <c r="M5896" s="20" t="s">
        <v>8494</v>
      </c>
    </row>
    <row r="5897">
      <c r="A5897" s="6"/>
      <c r="B5897" s="6"/>
      <c r="C5897" s="6"/>
      <c r="D5897" s="4">
        <v>9.30059801037504</v>
      </c>
      <c r="E5897" s="4" t="s">
        <v>3953</v>
      </c>
      <c r="F5897" s="4"/>
      <c r="G5897" s="4"/>
      <c r="H5897" s="4"/>
      <c r="I5897" s="4"/>
      <c r="J5897" s="18">
        <v>0.0</v>
      </c>
      <c r="K5897" s="4" t="s">
        <v>8494</v>
      </c>
      <c r="L5897" s="19" t="s">
        <v>8494</v>
      </c>
      <c r="M5897" s="20" t="s">
        <v>8494</v>
      </c>
    </row>
    <row r="5898">
      <c r="A5898" s="6"/>
      <c r="B5898" s="6"/>
      <c r="C5898" s="6"/>
      <c r="D5898" s="4">
        <v>65.1641307484174</v>
      </c>
      <c r="E5898" s="4" t="s">
        <v>6610</v>
      </c>
      <c r="F5898" s="4"/>
      <c r="G5898" s="4"/>
      <c r="H5898" s="4"/>
      <c r="I5898" s="4"/>
      <c r="J5898" s="18">
        <v>0.0</v>
      </c>
      <c r="K5898" s="4" t="s">
        <v>8494</v>
      </c>
      <c r="L5898" s="19" t="s">
        <v>8494</v>
      </c>
      <c r="M5898" s="20" t="s">
        <v>8494</v>
      </c>
    </row>
    <row r="5899">
      <c r="A5899" s="6"/>
      <c r="B5899" s="6"/>
      <c r="C5899" s="6"/>
      <c r="D5899" s="4">
        <v>46.5214431009024</v>
      </c>
      <c r="E5899" s="4" t="s">
        <v>2574</v>
      </c>
      <c r="F5899" s="4"/>
      <c r="G5899" s="4"/>
      <c r="H5899" s="4"/>
      <c r="I5899" s="4"/>
      <c r="J5899" s="18">
        <v>0.0</v>
      </c>
      <c r="K5899" s="4" t="s">
        <v>8494</v>
      </c>
      <c r="L5899" s="19" t="s">
        <v>8494</v>
      </c>
      <c r="M5899" s="20" t="s">
        <v>8494</v>
      </c>
    </row>
    <row r="5900">
      <c r="A5900" s="6"/>
      <c r="B5900" s="6"/>
      <c r="C5900" s="6"/>
      <c r="D5900" s="4">
        <v>186.01196020749998</v>
      </c>
      <c r="E5900" s="4" t="s">
        <v>1254</v>
      </c>
      <c r="F5900" s="4"/>
      <c r="G5900" s="4"/>
      <c r="H5900" s="4"/>
      <c r="I5900" s="4"/>
      <c r="J5900" s="18">
        <v>0.0</v>
      </c>
      <c r="K5900" s="4" t="s">
        <v>8494</v>
      </c>
      <c r="L5900" s="19" t="s">
        <v>8494</v>
      </c>
      <c r="M5900" s="20" t="s">
        <v>8494</v>
      </c>
    </row>
    <row r="5901">
      <c r="A5901" s="6"/>
      <c r="B5901" s="6"/>
      <c r="C5901" s="6"/>
      <c r="D5901" s="4">
        <v>29.2163158490163</v>
      </c>
      <c r="E5901" s="4" t="s">
        <v>2182</v>
      </c>
      <c r="F5901" s="4"/>
      <c r="G5901" s="4"/>
      <c r="H5901" s="4"/>
      <c r="I5901" s="4"/>
      <c r="J5901" s="18">
        <v>0.0</v>
      </c>
      <c r="K5901" s="4" t="s">
        <v>8494</v>
      </c>
      <c r="L5901" s="19" t="s">
        <v>8494</v>
      </c>
      <c r="M5901" s="20" t="s">
        <v>8494</v>
      </c>
    </row>
    <row r="5902">
      <c r="A5902" s="6"/>
      <c r="B5902" s="6"/>
      <c r="C5902" s="6"/>
      <c r="D5902" s="4">
        <v>186.01196020749998</v>
      </c>
      <c r="E5902" s="4" t="s">
        <v>8115</v>
      </c>
      <c r="F5902" s="4"/>
      <c r="G5902" s="4"/>
      <c r="H5902" s="4"/>
      <c r="I5902" s="4"/>
      <c r="J5902" s="18">
        <v>0.0</v>
      </c>
      <c r="K5902" s="4" t="s">
        <v>8494</v>
      </c>
      <c r="L5902" s="19" t="s">
        <v>8494</v>
      </c>
      <c r="M5902" s="20" t="s">
        <v>8494</v>
      </c>
    </row>
    <row r="5903">
      <c r="A5903" s="6"/>
      <c r="B5903" s="6"/>
      <c r="C5903" s="6"/>
      <c r="D5903" s="4">
        <v>102.492756869211</v>
      </c>
      <c r="E5903" s="4" t="s">
        <v>8116</v>
      </c>
      <c r="F5903" s="4"/>
      <c r="G5903" s="4"/>
      <c r="H5903" s="4"/>
      <c r="I5903" s="4"/>
      <c r="J5903" s="18">
        <v>0.0</v>
      </c>
      <c r="K5903" s="4" t="s">
        <v>8494</v>
      </c>
      <c r="L5903" s="19" t="s">
        <v>8494</v>
      </c>
      <c r="M5903" s="20" t="s">
        <v>8494</v>
      </c>
    </row>
    <row r="5904">
      <c r="A5904" s="6"/>
      <c r="B5904" s="6"/>
      <c r="C5904" s="6"/>
      <c r="D5904" s="4">
        <v>111.13841708391901</v>
      </c>
      <c r="E5904" s="4" t="s">
        <v>8118</v>
      </c>
      <c r="F5904" s="4"/>
      <c r="G5904" s="4"/>
      <c r="H5904" s="4"/>
      <c r="I5904" s="4"/>
      <c r="J5904" s="18">
        <v>0.0</v>
      </c>
      <c r="K5904" s="4" t="s">
        <v>8494</v>
      </c>
      <c r="L5904" s="19" t="s">
        <v>8494</v>
      </c>
      <c r="M5904" s="20" t="s">
        <v>8494</v>
      </c>
    </row>
    <row r="5905">
      <c r="A5905" s="6"/>
      <c r="B5905" s="6"/>
      <c r="C5905" s="6"/>
      <c r="D5905" s="4">
        <v>117.187534930725</v>
      </c>
      <c r="E5905" s="4" t="s">
        <v>8120</v>
      </c>
      <c r="F5905" s="4"/>
      <c r="G5905" s="4"/>
      <c r="H5905" s="4"/>
      <c r="I5905" s="4"/>
      <c r="J5905" s="18">
        <v>0.0</v>
      </c>
      <c r="K5905" s="4" t="s">
        <v>8494</v>
      </c>
      <c r="L5905" s="19" t="s">
        <v>8494</v>
      </c>
      <c r="M5905" s="20" t="s">
        <v>8494</v>
      </c>
    </row>
    <row r="5906">
      <c r="A5906" s="6"/>
      <c r="B5906" s="6"/>
      <c r="C5906" s="6"/>
      <c r="D5906" s="4">
        <v>131.510455866703</v>
      </c>
      <c r="E5906" s="4" t="s">
        <v>8122</v>
      </c>
      <c r="F5906" s="4"/>
      <c r="G5906" s="4"/>
      <c r="H5906" s="4"/>
      <c r="I5906" s="4"/>
      <c r="J5906" s="18">
        <v>0.0</v>
      </c>
      <c r="K5906" s="4" t="s">
        <v>8494</v>
      </c>
      <c r="L5906" s="19" t="s">
        <v>8494</v>
      </c>
      <c r="M5906" s="20" t="s">
        <v>8494</v>
      </c>
    </row>
    <row r="5907">
      <c r="A5907" s="6"/>
      <c r="B5907" s="6"/>
      <c r="C5907" s="6"/>
      <c r="D5907" s="4">
        <v>94.4438867103684</v>
      </c>
      <c r="E5907" s="4" t="s">
        <v>3534</v>
      </c>
      <c r="F5907" s="4"/>
      <c r="G5907" s="4"/>
      <c r="H5907" s="4"/>
      <c r="I5907" s="4"/>
      <c r="J5907" s="18">
        <v>0.0</v>
      </c>
      <c r="K5907" s="4" t="s">
        <v>8494</v>
      </c>
      <c r="L5907" s="19" t="s">
        <v>8494</v>
      </c>
      <c r="M5907" s="20" t="s">
        <v>8494</v>
      </c>
    </row>
    <row r="5908">
      <c r="A5908" s="6"/>
      <c r="B5908" s="6"/>
      <c r="C5908" s="6"/>
      <c r="D5908" s="4">
        <v>23.2514950259376</v>
      </c>
      <c r="E5908" s="4" t="s">
        <v>6799</v>
      </c>
      <c r="F5908" s="4"/>
      <c r="G5908" s="4"/>
      <c r="H5908" s="4"/>
      <c r="I5908" s="4"/>
      <c r="J5908" s="18">
        <v>0.0</v>
      </c>
      <c r="K5908" s="4" t="s">
        <v>8494</v>
      </c>
      <c r="L5908" s="19" t="s">
        <v>8494</v>
      </c>
      <c r="M5908" s="20" t="s">
        <v>8494</v>
      </c>
    </row>
    <row r="5909">
      <c r="A5909" s="6"/>
      <c r="B5909" s="6"/>
      <c r="C5909" s="6"/>
      <c r="D5909" s="4">
        <v>186.01196020749998</v>
      </c>
      <c r="E5909" s="4" t="s">
        <v>8125</v>
      </c>
      <c r="F5909" s="4"/>
      <c r="G5909" s="4"/>
      <c r="H5909" s="4"/>
      <c r="I5909" s="4"/>
      <c r="J5909" s="18">
        <v>0.0</v>
      </c>
      <c r="K5909" s="4" t="s">
        <v>8494</v>
      </c>
      <c r="L5909" s="19" t="s">
        <v>8494</v>
      </c>
      <c r="M5909" s="20" t="s">
        <v>8494</v>
      </c>
    </row>
    <row r="5910">
      <c r="A5910" s="6"/>
      <c r="B5910" s="6"/>
      <c r="C5910" s="6"/>
      <c r="D5910" s="4">
        <v>56.082298365193004</v>
      </c>
      <c r="E5910" s="4" t="s">
        <v>8126</v>
      </c>
      <c r="F5910" s="4"/>
      <c r="G5910" s="4"/>
      <c r="H5910" s="4"/>
      <c r="I5910" s="4"/>
      <c r="J5910" s="18">
        <v>0.0</v>
      </c>
      <c r="K5910" s="4" t="s">
        <v>8494</v>
      </c>
      <c r="L5910" s="19" t="s">
        <v>8494</v>
      </c>
      <c r="M5910" s="20" t="s">
        <v>8494</v>
      </c>
    </row>
    <row r="5911">
      <c r="A5911" s="6"/>
      <c r="B5911" s="6"/>
      <c r="C5911" s="6"/>
      <c r="D5911" s="4">
        <v>186.01196020749998</v>
      </c>
      <c r="E5911" s="4" t="s">
        <v>554</v>
      </c>
      <c r="F5911" s="4"/>
      <c r="G5911" s="4"/>
      <c r="H5911" s="4"/>
      <c r="I5911" s="4"/>
      <c r="J5911" s="18">
        <v>0.0</v>
      </c>
      <c r="K5911" s="4" t="s">
        <v>8494</v>
      </c>
      <c r="L5911" s="19" t="s">
        <v>8494</v>
      </c>
      <c r="M5911" s="20" t="s">
        <v>8494</v>
      </c>
    </row>
    <row r="5912">
      <c r="A5912" s="6"/>
      <c r="B5912" s="6"/>
      <c r="C5912" s="6"/>
      <c r="D5912" s="4">
        <v>2.38068138428653</v>
      </c>
      <c r="E5912" s="4" t="s">
        <v>8128</v>
      </c>
      <c r="F5912" s="4"/>
      <c r="G5912" s="4"/>
      <c r="H5912" s="4"/>
      <c r="I5912" s="4"/>
      <c r="J5912" s="18">
        <v>0.0</v>
      </c>
      <c r="K5912" s="4" t="s">
        <v>8494</v>
      </c>
      <c r="L5912" s="19" t="s">
        <v>8494</v>
      </c>
      <c r="M5912" s="20" t="s">
        <v>8494</v>
      </c>
    </row>
    <row r="5913">
      <c r="A5913" s="6"/>
      <c r="B5913" s="6"/>
      <c r="C5913" s="6"/>
      <c r="D5913" s="4">
        <v>183.887657526689</v>
      </c>
      <c r="E5913" s="4" t="s">
        <v>2942</v>
      </c>
      <c r="F5913" s="4"/>
      <c r="G5913" s="4"/>
      <c r="H5913" s="4"/>
      <c r="I5913" s="4"/>
      <c r="J5913" s="18">
        <v>0.0</v>
      </c>
      <c r="K5913" s="4" t="s">
        <v>8494</v>
      </c>
      <c r="L5913" s="19" t="s">
        <v>8494</v>
      </c>
      <c r="M5913" s="20" t="s">
        <v>8494</v>
      </c>
    </row>
    <row r="5914">
      <c r="A5914" s="6"/>
      <c r="B5914" s="6"/>
      <c r="C5914" s="6"/>
      <c r="D5914" s="4">
        <v>5.58035880622502</v>
      </c>
      <c r="E5914" s="4" t="s">
        <v>877</v>
      </c>
      <c r="F5914" s="4"/>
      <c r="G5914" s="4"/>
      <c r="H5914" s="4"/>
      <c r="I5914" s="4"/>
      <c r="J5914" s="18">
        <v>0.0</v>
      </c>
      <c r="K5914" s="4" t="s">
        <v>8494</v>
      </c>
      <c r="L5914" s="19" t="s">
        <v>8494</v>
      </c>
      <c r="M5914" s="20" t="s">
        <v>8494</v>
      </c>
    </row>
    <row r="5915">
      <c r="A5915" s="6"/>
      <c r="B5915" s="6"/>
      <c r="C5915" s="6"/>
      <c r="D5915" s="4">
        <v>18.60119602075</v>
      </c>
      <c r="E5915" s="4" t="s">
        <v>6050</v>
      </c>
      <c r="F5915" s="4"/>
      <c r="G5915" s="4"/>
      <c r="H5915" s="4"/>
      <c r="I5915" s="4"/>
      <c r="J5915" s="18">
        <v>0.0</v>
      </c>
      <c r="K5915" s="4" t="s">
        <v>8494</v>
      </c>
      <c r="L5915" s="19" t="s">
        <v>8494</v>
      </c>
      <c r="M5915" s="20" t="s">
        <v>8494</v>
      </c>
    </row>
    <row r="5916">
      <c r="A5916" s="6"/>
      <c r="B5916" s="6"/>
      <c r="C5916" s="6"/>
      <c r="D5916" s="4">
        <v>186.01196020749998</v>
      </c>
      <c r="E5916" s="4" t="s">
        <v>2067</v>
      </c>
      <c r="F5916" s="4"/>
      <c r="G5916" s="4"/>
      <c r="H5916" s="4"/>
      <c r="I5916" s="4"/>
      <c r="J5916" s="18">
        <v>0.0</v>
      </c>
      <c r="K5916" s="4" t="s">
        <v>8494</v>
      </c>
      <c r="L5916" s="19" t="s">
        <v>8494</v>
      </c>
      <c r="M5916" s="20" t="s">
        <v>8494</v>
      </c>
    </row>
    <row r="5917">
      <c r="A5917" s="6"/>
      <c r="B5917" s="6"/>
      <c r="C5917" s="6"/>
      <c r="D5917" s="4">
        <v>181.73784951378198</v>
      </c>
      <c r="E5917" s="4" t="s">
        <v>1739</v>
      </c>
      <c r="F5917" s="4"/>
      <c r="G5917" s="4"/>
      <c r="H5917" s="4"/>
      <c r="I5917" s="4"/>
      <c r="J5917" s="18">
        <v>0.0</v>
      </c>
      <c r="K5917" s="4" t="s">
        <v>8494</v>
      </c>
      <c r="L5917" s="19" t="s">
        <v>8494</v>
      </c>
      <c r="M5917" s="20" t="s">
        <v>8494</v>
      </c>
    </row>
    <row r="5918">
      <c r="A5918" s="6"/>
      <c r="B5918" s="6"/>
      <c r="C5918" s="6"/>
      <c r="D5918" s="4">
        <v>186.01196020749998</v>
      </c>
      <c r="E5918" s="4" t="s">
        <v>135</v>
      </c>
      <c r="F5918" s="4"/>
      <c r="G5918" s="4"/>
      <c r="H5918" s="4"/>
      <c r="I5918" s="4"/>
      <c r="J5918" s="18">
        <v>0.0</v>
      </c>
      <c r="K5918" s="4" t="s">
        <v>8494</v>
      </c>
      <c r="L5918" s="19" t="s">
        <v>8494</v>
      </c>
      <c r="M5918" s="20" t="s">
        <v>8494</v>
      </c>
    </row>
    <row r="5919">
      <c r="A5919" s="6"/>
      <c r="B5919" s="6"/>
      <c r="C5919" s="6"/>
      <c r="D5919" s="4">
        <v>11.721957398045399</v>
      </c>
      <c r="E5919" s="4" t="s">
        <v>256</v>
      </c>
      <c r="F5919" s="4"/>
      <c r="G5919" s="4"/>
      <c r="H5919" s="4"/>
      <c r="I5919" s="4"/>
      <c r="J5919" s="18">
        <v>0.0</v>
      </c>
      <c r="K5919" s="4" t="s">
        <v>8494</v>
      </c>
      <c r="L5919" s="19" t="s">
        <v>8494</v>
      </c>
      <c r="M5919" s="20" t="s">
        <v>8494</v>
      </c>
    </row>
    <row r="5920">
      <c r="A5920" s="6"/>
      <c r="B5920" s="6"/>
      <c r="C5920" s="6"/>
      <c r="D5920" s="4">
        <v>118.84201717137</v>
      </c>
      <c r="E5920" s="4" t="s">
        <v>8134</v>
      </c>
      <c r="F5920" s="4"/>
      <c r="G5920" s="4"/>
      <c r="H5920" s="4"/>
      <c r="I5920" s="4"/>
      <c r="J5920" s="18">
        <v>0.0</v>
      </c>
      <c r="K5920" s="4" t="s">
        <v>8494</v>
      </c>
      <c r="L5920" s="19" t="s">
        <v>8494</v>
      </c>
      <c r="M5920" s="20" t="s">
        <v>8494</v>
      </c>
    </row>
    <row r="5921">
      <c r="A5921" s="6"/>
      <c r="B5921" s="6"/>
      <c r="C5921" s="6"/>
      <c r="D5921" s="4">
        <v>18.683696099842802</v>
      </c>
      <c r="E5921" s="4" t="s">
        <v>7187</v>
      </c>
      <c r="F5921" s="4"/>
      <c r="G5921" s="4"/>
      <c r="H5921" s="4"/>
      <c r="I5921" s="4"/>
      <c r="J5921" s="18">
        <v>0.0</v>
      </c>
      <c r="K5921" s="4" t="s">
        <v>8494</v>
      </c>
      <c r="L5921" s="19" t="s">
        <v>8494</v>
      </c>
      <c r="M5921" s="20" t="s">
        <v>8494</v>
      </c>
    </row>
    <row r="5922">
      <c r="A5922" s="6"/>
      <c r="B5922" s="6"/>
      <c r="C5922" s="6"/>
      <c r="D5922" s="4">
        <v>55.8035880622502</v>
      </c>
      <c r="E5922" s="4" t="s">
        <v>8137</v>
      </c>
      <c r="F5922" s="4"/>
      <c r="G5922" s="4"/>
      <c r="H5922" s="4"/>
      <c r="I5922" s="4"/>
      <c r="J5922" s="18">
        <v>0.0</v>
      </c>
      <c r="K5922" s="4" t="s">
        <v>8494</v>
      </c>
      <c r="L5922" s="19" t="s">
        <v>8494</v>
      </c>
      <c r="M5922" s="20" t="s">
        <v>8494</v>
      </c>
    </row>
    <row r="5923">
      <c r="A5923" s="6"/>
      <c r="B5923" s="6"/>
      <c r="C5923" s="6"/>
      <c r="D5923" s="4">
        <v>24.107248008606803</v>
      </c>
      <c r="E5923" s="4" t="s">
        <v>4178</v>
      </c>
      <c r="F5923" s="4"/>
      <c r="G5923" s="4"/>
      <c r="H5923" s="4"/>
      <c r="I5923" s="4"/>
      <c r="J5923" s="18">
        <v>0.0</v>
      </c>
      <c r="K5923" s="4" t="s">
        <v>8494</v>
      </c>
      <c r="L5923" s="19" t="s">
        <v>8494</v>
      </c>
      <c r="M5923" s="20" t="s">
        <v>8494</v>
      </c>
    </row>
    <row r="5924">
      <c r="A5924" s="6"/>
      <c r="B5924" s="6"/>
      <c r="C5924" s="6"/>
      <c r="D5924" s="4">
        <v>9.30059801037504</v>
      </c>
      <c r="E5924" s="4" t="s">
        <v>8139</v>
      </c>
      <c r="F5924" s="4"/>
      <c r="G5924" s="4"/>
      <c r="H5924" s="4"/>
      <c r="I5924" s="4"/>
      <c r="J5924" s="18">
        <v>0.0</v>
      </c>
      <c r="K5924" s="4" t="s">
        <v>8494</v>
      </c>
      <c r="L5924" s="19" t="s">
        <v>8494</v>
      </c>
      <c r="M5924" s="20" t="s">
        <v>8494</v>
      </c>
    </row>
    <row r="5925">
      <c r="A5925" s="6"/>
      <c r="B5925" s="6"/>
      <c r="C5925" s="6"/>
      <c r="D5925" s="4">
        <v>65.79236716652</v>
      </c>
      <c r="E5925" s="4" t="s">
        <v>5395</v>
      </c>
      <c r="F5925" s="4"/>
      <c r="G5925" s="4"/>
      <c r="H5925" s="4"/>
      <c r="I5925" s="4"/>
      <c r="J5925" s="18">
        <v>0.0</v>
      </c>
      <c r="K5925" s="4" t="s">
        <v>8494</v>
      </c>
      <c r="L5925" s="19" t="s">
        <v>8494</v>
      </c>
      <c r="M5925" s="20" t="s">
        <v>8494</v>
      </c>
    </row>
    <row r="5926">
      <c r="A5926" s="6"/>
      <c r="B5926" s="6"/>
      <c r="C5926" s="6"/>
      <c r="D5926" s="4">
        <v>165.863868123136</v>
      </c>
      <c r="E5926" s="4" t="s">
        <v>1039</v>
      </c>
      <c r="F5926" s="4"/>
      <c r="G5926" s="4"/>
      <c r="H5926" s="4"/>
      <c r="I5926" s="4"/>
      <c r="J5926" s="18">
        <v>0.0</v>
      </c>
      <c r="K5926" s="4" t="s">
        <v>8494</v>
      </c>
      <c r="L5926" s="19" t="s">
        <v>8494</v>
      </c>
      <c r="M5926" s="20" t="s">
        <v>8494</v>
      </c>
    </row>
    <row r="5927">
      <c r="A5927" s="6"/>
      <c r="B5927" s="6"/>
      <c r="C5927" s="6"/>
      <c r="D5927" s="4">
        <v>5.8314613229399</v>
      </c>
      <c r="E5927" s="4" t="s">
        <v>3832</v>
      </c>
      <c r="F5927" s="4"/>
      <c r="G5927" s="4"/>
      <c r="H5927" s="4"/>
      <c r="I5927" s="4"/>
      <c r="J5927" s="18">
        <v>0.0</v>
      </c>
      <c r="K5927" s="4" t="s">
        <v>8494</v>
      </c>
      <c r="L5927" s="19" t="s">
        <v>8494</v>
      </c>
      <c r="M5927" s="20" t="s">
        <v>8494</v>
      </c>
    </row>
    <row r="5928">
      <c r="A5928" s="6"/>
      <c r="B5928" s="6"/>
      <c r="C5928" s="6"/>
      <c r="D5928" s="4">
        <v>9.30059801037504</v>
      </c>
      <c r="E5928" s="4" t="s">
        <v>3511</v>
      </c>
      <c r="F5928" s="4"/>
      <c r="G5928" s="4"/>
      <c r="H5928" s="4"/>
      <c r="I5928" s="4"/>
      <c r="J5928" s="18">
        <v>0.0</v>
      </c>
      <c r="K5928" s="4" t="s">
        <v>8494</v>
      </c>
      <c r="L5928" s="19" t="s">
        <v>8494</v>
      </c>
      <c r="M5928" s="20" t="s">
        <v>8494</v>
      </c>
    </row>
    <row r="5929">
      <c r="A5929" s="6"/>
      <c r="B5929" s="6"/>
      <c r="C5929" s="6"/>
      <c r="D5929" s="4">
        <v>0.13639260943148301</v>
      </c>
      <c r="E5929" s="4" t="s">
        <v>8143</v>
      </c>
      <c r="F5929" s="4"/>
      <c r="G5929" s="4"/>
      <c r="H5929" s="4"/>
      <c r="I5929" s="4"/>
      <c r="J5929" s="18">
        <v>0.0</v>
      </c>
      <c r="K5929" s="4" t="s">
        <v>8494</v>
      </c>
      <c r="L5929" s="19" t="s">
        <v>8494</v>
      </c>
      <c r="M5929" s="20" t="s">
        <v>8494</v>
      </c>
    </row>
    <row r="5930">
      <c r="A5930" s="6"/>
      <c r="B5930" s="6"/>
      <c r="C5930" s="6"/>
      <c r="D5930" s="4">
        <v>9.30059801037504</v>
      </c>
      <c r="E5930" s="4" t="s">
        <v>5842</v>
      </c>
      <c r="F5930" s="4"/>
      <c r="G5930" s="4"/>
      <c r="H5930" s="4"/>
      <c r="I5930" s="4"/>
      <c r="J5930" s="18">
        <v>0.0</v>
      </c>
      <c r="K5930" s="4" t="s">
        <v>8494</v>
      </c>
      <c r="L5930" s="19" t="s">
        <v>8494</v>
      </c>
      <c r="M5930" s="20" t="s">
        <v>8494</v>
      </c>
    </row>
    <row r="5931">
      <c r="A5931" s="6"/>
      <c r="B5931" s="6"/>
      <c r="C5931" s="6"/>
      <c r="D5931" s="4">
        <v>13.4379890003205</v>
      </c>
      <c r="E5931" s="4" t="s">
        <v>8145</v>
      </c>
      <c r="F5931" s="4"/>
      <c r="G5931" s="4"/>
      <c r="H5931" s="4"/>
      <c r="I5931" s="4"/>
      <c r="J5931" s="18">
        <v>0.0</v>
      </c>
      <c r="K5931" s="4" t="s">
        <v>8494</v>
      </c>
      <c r="L5931" s="19" t="s">
        <v>8494</v>
      </c>
      <c r="M5931" s="20" t="s">
        <v>8494</v>
      </c>
    </row>
    <row r="5932">
      <c r="A5932" s="6"/>
      <c r="B5932" s="6"/>
      <c r="C5932" s="6"/>
      <c r="D5932" s="4">
        <v>66.945132276686</v>
      </c>
      <c r="E5932" s="4" t="s">
        <v>5822</v>
      </c>
      <c r="F5932" s="4"/>
      <c r="G5932" s="4"/>
      <c r="H5932" s="4"/>
      <c r="I5932" s="4"/>
      <c r="J5932" s="18">
        <v>0.0</v>
      </c>
      <c r="K5932" s="4" t="s">
        <v>8494</v>
      </c>
      <c r="L5932" s="19" t="s">
        <v>8494</v>
      </c>
      <c r="M5932" s="20" t="s">
        <v>8494</v>
      </c>
    </row>
    <row r="5933">
      <c r="A5933" s="6"/>
      <c r="B5933" s="6"/>
      <c r="C5933" s="6"/>
      <c r="D5933" s="4">
        <v>129.853738951559</v>
      </c>
      <c r="E5933" s="4" t="s">
        <v>7006</v>
      </c>
      <c r="F5933" s="4"/>
      <c r="G5933" s="4"/>
      <c r="H5933" s="4"/>
      <c r="I5933" s="4"/>
      <c r="J5933" s="18">
        <v>0.0</v>
      </c>
      <c r="K5933" s="4" t="s">
        <v>8494</v>
      </c>
      <c r="L5933" s="19" t="s">
        <v>8494</v>
      </c>
      <c r="M5933" s="20" t="s">
        <v>8494</v>
      </c>
    </row>
    <row r="5934">
      <c r="A5934" s="6"/>
      <c r="B5934" s="6"/>
      <c r="C5934" s="6"/>
      <c r="D5934" s="4">
        <v>18.60119602075</v>
      </c>
      <c r="E5934" s="4" t="s">
        <v>4361</v>
      </c>
      <c r="F5934" s="4"/>
      <c r="G5934" s="4"/>
      <c r="H5934" s="4"/>
      <c r="I5934" s="4"/>
      <c r="J5934" s="18">
        <v>0.0</v>
      </c>
      <c r="K5934" s="4" t="s">
        <v>8494</v>
      </c>
      <c r="L5934" s="19" t="s">
        <v>8494</v>
      </c>
      <c r="M5934" s="20" t="s">
        <v>8494</v>
      </c>
    </row>
    <row r="5935">
      <c r="A5935" s="6"/>
      <c r="B5935" s="6"/>
      <c r="C5935" s="6"/>
      <c r="D5935" s="4">
        <v>130.354502625936</v>
      </c>
      <c r="E5935" s="4" t="s">
        <v>8149</v>
      </c>
      <c r="F5935" s="4"/>
      <c r="G5935" s="4"/>
      <c r="H5935" s="4"/>
      <c r="I5935" s="4"/>
      <c r="J5935" s="18">
        <v>0.0</v>
      </c>
      <c r="K5935" s="4" t="s">
        <v>8494</v>
      </c>
      <c r="L5935" s="19" t="s">
        <v>8494</v>
      </c>
      <c r="M5935" s="20" t="s">
        <v>8494</v>
      </c>
    </row>
    <row r="5936">
      <c r="A5936" s="6"/>
      <c r="B5936" s="6"/>
      <c r="C5936" s="6"/>
      <c r="D5936" s="4">
        <v>186.01196020749998</v>
      </c>
      <c r="E5936" s="4" t="s">
        <v>280</v>
      </c>
      <c r="F5936" s="4"/>
      <c r="G5936" s="4"/>
      <c r="H5936" s="4"/>
      <c r="I5936" s="4"/>
      <c r="J5936" s="18">
        <v>0.0</v>
      </c>
      <c r="K5936" s="4" t="s">
        <v>8494</v>
      </c>
      <c r="L5936" s="19" t="s">
        <v>8494</v>
      </c>
      <c r="M5936" s="20" t="s">
        <v>8494</v>
      </c>
    </row>
    <row r="5937">
      <c r="A5937" s="6"/>
      <c r="B5937" s="6"/>
      <c r="C5937" s="6"/>
      <c r="D5937" s="4">
        <v>9.30059801037504</v>
      </c>
      <c r="E5937" s="4" t="s">
        <v>3539</v>
      </c>
      <c r="F5937" s="4"/>
      <c r="G5937" s="4"/>
      <c r="H5937" s="4"/>
      <c r="I5937" s="4"/>
      <c r="J5937" s="18">
        <v>0.0</v>
      </c>
      <c r="K5937" s="4" t="s">
        <v>8494</v>
      </c>
      <c r="L5937" s="19" t="s">
        <v>8494</v>
      </c>
      <c r="M5937" s="20" t="s">
        <v>8494</v>
      </c>
    </row>
    <row r="5938">
      <c r="A5938" s="6"/>
      <c r="B5938" s="6"/>
      <c r="C5938" s="6"/>
      <c r="D5938" s="4">
        <v>81.4080163275118</v>
      </c>
      <c r="E5938" s="4" t="s">
        <v>5268</v>
      </c>
      <c r="F5938" s="4"/>
      <c r="G5938" s="4"/>
      <c r="H5938" s="4"/>
      <c r="I5938" s="4"/>
      <c r="J5938" s="18">
        <v>0.0</v>
      </c>
      <c r="K5938" s="4" t="s">
        <v>8494</v>
      </c>
      <c r="L5938" s="19" t="s">
        <v>8494</v>
      </c>
      <c r="M5938" s="20" t="s">
        <v>8494</v>
      </c>
    </row>
    <row r="5939">
      <c r="A5939" s="6"/>
      <c r="B5939" s="6"/>
      <c r="C5939" s="6"/>
      <c r="D5939" s="4">
        <v>10.0202185167289</v>
      </c>
      <c r="E5939" s="4" t="s">
        <v>1853</v>
      </c>
      <c r="F5939" s="4"/>
      <c r="G5939" s="4"/>
      <c r="H5939" s="4"/>
      <c r="I5939" s="4"/>
      <c r="J5939" s="18">
        <v>0.0</v>
      </c>
      <c r="K5939" s="4" t="s">
        <v>8494</v>
      </c>
      <c r="L5939" s="19" t="s">
        <v>8494</v>
      </c>
      <c r="M5939" s="20" t="s">
        <v>8494</v>
      </c>
    </row>
    <row r="5940">
      <c r="A5940" s="6"/>
      <c r="B5940" s="6"/>
      <c r="C5940" s="6"/>
      <c r="D5940" s="4">
        <v>45.578948795278905</v>
      </c>
      <c r="E5940" s="4" t="s">
        <v>6588</v>
      </c>
      <c r="F5940" s="4"/>
      <c r="G5940" s="4"/>
      <c r="H5940" s="4"/>
      <c r="I5940" s="4"/>
      <c r="J5940" s="18">
        <v>0.0</v>
      </c>
      <c r="K5940" s="4" t="s">
        <v>8494</v>
      </c>
      <c r="L5940" s="19" t="s">
        <v>8494</v>
      </c>
      <c r="M5940" s="20" t="s">
        <v>8494</v>
      </c>
    </row>
    <row r="5941">
      <c r="A5941" s="6"/>
      <c r="B5941" s="6"/>
      <c r="C5941" s="6"/>
      <c r="D5941" s="4">
        <v>61.1915899785491</v>
      </c>
      <c r="E5941" s="4" t="s">
        <v>6687</v>
      </c>
      <c r="F5941" s="4"/>
      <c r="G5941" s="4"/>
      <c r="H5941" s="4"/>
      <c r="I5941" s="4"/>
      <c r="J5941" s="18">
        <v>0.0</v>
      </c>
      <c r="K5941" s="4" t="s">
        <v>8494</v>
      </c>
      <c r="L5941" s="19" t="s">
        <v>8494</v>
      </c>
      <c r="M5941" s="20" t="s">
        <v>8494</v>
      </c>
    </row>
    <row r="5942">
      <c r="A5942" s="6"/>
      <c r="B5942" s="6"/>
      <c r="C5942" s="6"/>
      <c r="D5942" s="4">
        <v>9.472376097478161</v>
      </c>
      <c r="E5942" s="4" t="s">
        <v>5001</v>
      </c>
      <c r="F5942" s="4"/>
      <c r="G5942" s="4"/>
      <c r="H5942" s="4"/>
      <c r="I5942" s="4"/>
      <c r="J5942" s="18">
        <v>0.0</v>
      </c>
      <c r="K5942" s="4" t="s">
        <v>8494</v>
      </c>
      <c r="L5942" s="19" t="s">
        <v>8494</v>
      </c>
      <c r="M5942" s="20" t="s">
        <v>8494</v>
      </c>
    </row>
    <row r="5943">
      <c r="A5943" s="6"/>
      <c r="B5943" s="6"/>
      <c r="C5943" s="6"/>
      <c r="D5943" s="4">
        <v>66.7782937144928</v>
      </c>
      <c r="E5943" s="4" t="s">
        <v>4129</v>
      </c>
      <c r="F5943" s="4"/>
      <c r="G5943" s="4"/>
      <c r="H5943" s="4"/>
      <c r="I5943" s="4"/>
      <c r="J5943" s="18">
        <v>0.0</v>
      </c>
      <c r="K5943" s="4" t="s">
        <v>8494</v>
      </c>
      <c r="L5943" s="19" t="s">
        <v>8494</v>
      </c>
      <c r="M5943" s="20" t="s">
        <v>8494</v>
      </c>
    </row>
    <row r="5944">
      <c r="A5944" s="6"/>
      <c r="B5944" s="6"/>
      <c r="C5944" s="6"/>
      <c r="D5944" s="4">
        <v>175.67246679817</v>
      </c>
      <c r="E5944" s="4" t="s">
        <v>1884</v>
      </c>
      <c r="F5944" s="4"/>
      <c r="G5944" s="4"/>
      <c r="H5944" s="4"/>
      <c r="I5944" s="4"/>
      <c r="J5944" s="18">
        <v>0.0</v>
      </c>
      <c r="K5944" s="4" t="s">
        <v>8494</v>
      </c>
      <c r="L5944" s="19" t="s">
        <v>8494</v>
      </c>
      <c r="M5944" s="20" t="s">
        <v>8494</v>
      </c>
    </row>
    <row r="5945">
      <c r="A5945" s="6"/>
      <c r="B5945" s="6"/>
      <c r="C5945" s="6"/>
      <c r="D5945" s="4">
        <v>186.01196020749998</v>
      </c>
      <c r="E5945" s="4" t="s">
        <v>8158</v>
      </c>
      <c r="F5945" s="4"/>
      <c r="G5945" s="4"/>
      <c r="H5945" s="4"/>
      <c r="I5945" s="4"/>
      <c r="J5945" s="18">
        <v>0.0</v>
      </c>
      <c r="K5945" s="4" t="s">
        <v>8494</v>
      </c>
      <c r="L5945" s="19" t="s">
        <v>8494</v>
      </c>
      <c r="M5945" s="20" t="s">
        <v>8494</v>
      </c>
    </row>
    <row r="5946">
      <c r="A5946" s="6"/>
      <c r="B5946" s="6"/>
      <c r="C5946" s="6"/>
      <c r="D5946" s="4">
        <v>11.3198835516477</v>
      </c>
      <c r="E5946" s="4" t="s">
        <v>4045</v>
      </c>
      <c r="F5946" s="4"/>
      <c r="G5946" s="4"/>
      <c r="H5946" s="4"/>
      <c r="I5946" s="4"/>
      <c r="J5946" s="18">
        <v>0.0</v>
      </c>
      <c r="K5946" s="4" t="s">
        <v>8494</v>
      </c>
      <c r="L5946" s="19" t="s">
        <v>8494</v>
      </c>
      <c r="M5946" s="20" t="s">
        <v>8494</v>
      </c>
    </row>
    <row r="5947">
      <c r="A5947" s="6"/>
      <c r="B5947" s="6"/>
      <c r="C5947" s="6"/>
      <c r="D5947" s="4">
        <v>74.2992985043106</v>
      </c>
      <c r="E5947" s="4" t="s">
        <v>4812</v>
      </c>
      <c r="F5947" s="4"/>
      <c r="G5947" s="4"/>
      <c r="H5947" s="4"/>
      <c r="I5947" s="4"/>
      <c r="J5947" s="18">
        <v>0.0</v>
      </c>
      <c r="K5947" s="4" t="s">
        <v>8494</v>
      </c>
      <c r="L5947" s="19" t="s">
        <v>8494</v>
      </c>
      <c r="M5947" s="20" t="s">
        <v>8494</v>
      </c>
    </row>
    <row r="5948">
      <c r="A5948" s="6"/>
      <c r="B5948" s="6"/>
      <c r="C5948" s="6"/>
      <c r="D5948" s="4">
        <v>186.01196020749998</v>
      </c>
      <c r="E5948" s="4" t="s">
        <v>751</v>
      </c>
      <c r="F5948" s="4"/>
      <c r="G5948" s="4"/>
      <c r="H5948" s="4"/>
      <c r="I5948" s="4"/>
      <c r="J5948" s="18">
        <v>0.0</v>
      </c>
      <c r="K5948" s="4" t="s">
        <v>8494</v>
      </c>
      <c r="L5948" s="19" t="s">
        <v>8494</v>
      </c>
      <c r="M5948" s="20" t="s">
        <v>8494</v>
      </c>
    </row>
    <row r="5949">
      <c r="A5949" s="6"/>
      <c r="B5949" s="6"/>
      <c r="C5949" s="6"/>
      <c r="D5949" s="4">
        <v>186.01196020749998</v>
      </c>
      <c r="E5949" s="4" t="s">
        <v>1694</v>
      </c>
      <c r="F5949" s="4"/>
      <c r="G5949" s="4"/>
      <c r="H5949" s="4"/>
      <c r="I5949" s="4"/>
      <c r="J5949" s="18">
        <v>0.0</v>
      </c>
      <c r="K5949" s="4" t="s">
        <v>8494</v>
      </c>
      <c r="L5949" s="19" t="s">
        <v>8494</v>
      </c>
      <c r="M5949" s="20" t="s">
        <v>8494</v>
      </c>
    </row>
    <row r="5950">
      <c r="A5950" s="6"/>
      <c r="B5950" s="6"/>
      <c r="C5950" s="6"/>
      <c r="D5950" s="4">
        <v>9.63138626150465</v>
      </c>
      <c r="E5950" s="4" t="s">
        <v>2724</v>
      </c>
      <c r="F5950" s="4"/>
      <c r="G5950" s="4"/>
      <c r="H5950" s="4"/>
      <c r="I5950" s="4"/>
      <c r="J5950" s="18">
        <v>0.0</v>
      </c>
      <c r="K5950" s="4" t="s">
        <v>8494</v>
      </c>
      <c r="L5950" s="19" t="s">
        <v>8494</v>
      </c>
      <c r="M5950" s="20" t="s">
        <v>8494</v>
      </c>
    </row>
    <row r="5951">
      <c r="A5951" s="6"/>
      <c r="B5951" s="6"/>
      <c r="C5951" s="6"/>
      <c r="D5951" s="4">
        <v>103.35974901380199</v>
      </c>
      <c r="E5951" s="4" t="s">
        <v>3079</v>
      </c>
      <c r="F5951" s="4"/>
      <c r="G5951" s="4"/>
      <c r="H5951" s="4"/>
      <c r="I5951" s="4"/>
      <c r="J5951" s="18">
        <v>0.0</v>
      </c>
      <c r="K5951" s="4" t="s">
        <v>8494</v>
      </c>
      <c r="L5951" s="19" t="s">
        <v>8494</v>
      </c>
      <c r="M5951" s="20" t="s">
        <v>8494</v>
      </c>
    </row>
    <row r="5952">
      <c r="A5952" s="6"/>
      <c r="B5952" s="6"/>
      <c r="C5952" s="6"/>
      <c r="D5952" s="4">
        <v>55.8035880622502</v>
      </c>
      <c r="E5952" s="4" t="s">
        <v>8163</v>
      </c>
      <c r="F5952" s="4"/>
      <c r="G5952" s="4"/>
      <c r="H5952" s="4"/>
      <c r="I5952" s="4"/>
      <c r="J5952" s="18">
        <v>0.0</v>
      </c>
      <c r="K5952" s="4" t="s">
        <v>8494</v>
      </c>
      <c r="L5952" s="19" t="s">
        <v>8494</v>
      </c>
      <c r="M5952" s="20" t="s">
        <v>8494</v>
      </c>
    </row>
    <row r="5953">
      <c r="A5953" s="6"/>
      <c r="B5953" s="6"/>
      <c r="C5953" s="6"/>
      <c r="D5953" s="4">
        <v>186.01196020749998</v>
      </c>
      <c r="E5953" s="4" t="s">
        <v>589</v>
      </c>
      <c r="F5953" s="4"/>
      <c r="G5953" s="4"/>
      <c r="H5953" s="4"/>
      <c r="I5953" s="4"/>
      <c r="J5953" s="18">
        <v>0.0</v>
      </c>
      <c r="K5953" s="4" t="s">
        <v>8494</v>
      </c>
      <c r="L5953" s="19" t="s">
        <v>8494</v>
      </c>
      <c r="M5953" s="20" t="s">
        <v>8494</v>
      </c>
    </row>
    <row r="5954">
      <c r="A5954" s="6"/>
      <c r="B5954" s="6"/>
      <c r="C5954" s="6"/>
      <c r="D5954" s="4">
        <v>63.987199304269105</v>
      </c>
      <c r="E5954" s="4" t="s">
        <v>5982</v>
      </c>
      <c r="F5954" s="4"/>
      <c r="G5954" s="4"/>
      <c r="H5954" s="4"/>
      <c r="I5954" s="4"/>
      <c r="J5954" s="18">
        <v>0.0</v>
      </c>
      <c r="K5954" s="4" t="s">
        <v>8494</v>
      </c>
      <c r="L5954" s="19" t="s">
        <v>8494</v>
      </c>
      <c r="M5954" s="20" t="s">
        <v>8494</v>
      </c>
    </row>
    <row r="5955">
      <c r="A5955" s="6"/>
      <c r="B5955" s="6"/>
      <c r="C5955" s="6"/>
      <c r="D5955" s="4">
        <v>69.882341808074</v>
      </c>
      <c r="E5955" s="4" t="s">
        <v>8165</v>
      </c>
      <c r="F5955" s="4"/>
      <c r="G5955" s="4"/>
      <c r="H5955" s="4"/>
      <c r="I5955" s="4"/>
      <c r="J5955" s="18">
        <v>0.0</v>
      </c>
      <c r="K5955" s="4" t="s">
        <v>8494</v>
      </c>
      <c r="L5955" s="19" t="s">
        <v>8494</v>
      </c>
      <c r="M5955" s="20" t="s">
        <v>8494</v>
      </c>
    </row>
    <row r="5956">
      <c r="A5956" s="6"/>
      <c r="B5956" s="6"/>
      <c r="C5956" s="6"/>
      <c r="D5956" s="4">
        <v>108.405674601387</v>
      </c>
      <c r="E5956" s="4" t="s">
        <v>2944</v>
      </c>
      <c r="F5956" s="4"/>
      <c r="G5956" s="4"/>
      <c r="H5956" s="4"/>
      <c r="I5956" s="4"/>
      <c r="J5956" s="18">
        <v>0.0</v>
      </c>
      <c r="K5956" s="4" t="s">
        <v>8494</v>
      </c>
      <c r="L5956" s="19" t="s">
        <v>8494</v>
      </c>
      <c r="M5956" s="20" t="s">
        <v>8494</v>
      </c>
    </row>
    <row r="5957">
      <c r="A5957" s="6"/>
      <c r="B5957" s="6"/>
      <c r="C5957" s="6"/>
      <c r="D5957" s="4">
        <v>65.1041860726253</v>
      </c>
      <c r="E5957" s="4" t="s">
        <v>4605</v>
      </c>
      <c r="F5957" s="4"/>
      <c r="G5957" s="4"/>
      <c r="H5957" s="4"/>
      <c r="I5957" s="4"/>
      <c r="J5957" s="18">
        <v>0.0</v>
      </c>
      <c r="K5957" s="4" t="s">
        <v>8494</v>
      </c>
      <c r="L5957" s="19" t="s">
        <v>8494</v>
      </c>
      <c r="M5957" s="20" t="s">
        <v>8494</v>
      </c>
    </row>
    <row r="5958">
      <c r="A5958" s="6"/>
      <c r="B5958" s="6"/>
      <c r="C5958" s="6"/>
      <c r="D5958" s="4">
        <v>65.1041860726253</v>
      </c>
      <c r="E5958" s="4" t="s">
        <v>2956</v>
      </c>
      <c r="F5958" s="4"/>
      <c r="G5958" s="4"/>
      <c r="H5958" s="4"/>
      <c r="I5958" s="4"/>
      <c r="J5958" s="18">
        <v>0.0</v>
      </c>
      <c r="K5958" s="4" t="s">
        <v>8494</v>
      </c>
      <c r="L5958" s="19" t="s">
        <v>8494</v>
      </c>
      <c r="M5958" s="20" t="s">
        <v>8494</v>
      </c>
    </row>
    <row r="5959">
      <c r="A5959" s="6"/>
      <c r="B5959" s="6"/>
      <c r="C5959" s="6"/>
      <c r="D5959" s="4">
        <v>9.30059801037504</v>
      </c>
      <c r="E5959" s="4" t="s">
        <v>4695</v>
      </c>
      <c r="F5959" s="4"/>
      <c r="G5959" s="4"/>
      <c r="H5959" s="4"/>
      <c r="I5959" s="4"/>
      <c r="J5959" s="18">
        <v>0.0</v>
      </c>
      <c r="K5959" s="4" t="s">
        <v>8494</v>
      </c>
      <c r="L5959" s="19" t="s">
        <v>8494</v>
      </c>
      <c r="M5959" s="20" t="s">
        <v>8494</v>
      </c>
    </row>
    <row r="5960">
      <c r="A5960" s="6"/>
      <c r="B5960" s="6"/>
      <c r="C5960" s="6"/>
      <c r="D5960" s="4">
        <v>9.595240955343721</v>
      </c>
      <c r="E5960" s="4" t="s">
        <v>2849</v>
      </c>
      <c r="F5960" s="4"/>
      <c r="G5960" s="4"/>
      <c r="H5960" s="4"/>
      <c r="I5960" s="4"/>
      <c r="J5960" s="18">
        <v>0.0</v>
      </c>
      <c r="K5960" s="4" t="s">
        <v>8494</v>
      </c>
      <c r="L5960" s="19" t="s">
        <v>8494</v>
      </c>
      <c r="M5960" s="20" t="s">
        <v>8494</v>
      </c>
    </row>
    <row r="5961">
      <c r="A5961" s="6"/>
      <c r="B5961" s="6"/>
      <c r="C5961" s="6"/>
      <c r="D5961" s="4">
        <v>12.0907774134875</v>
      </c>
      <c r="E5961" s="4" t="s">
        <v>8169</v>
      </c>
      <c r="F5961" s="4"/>
      <c r="G5961" s="4"/>
      <c r="H5961" s="4"/>
      <c r="I5961" s="4"/>
      <c r="J5961" s="18">
        <v>0.0</v>
      </c>
      <c r="K5961" s="4" t="s">
        <v>8494</v>
      </c>
      <c r="L5961" s="19" t="s">
        <v>8494</v>
      </c>
      <c r="M5961" s="20" t="s">
        <v>8494</v>
      </c>
    </row>
    <row r="5962">
      <c r="A5962" s="6"/>
      <c r="B5962" s="6"/>
      <c r="C5962" s="6"/>
      <c r="D5962" s="4">
        <v>10.134083686272</v>
      </c>
      <c r="E5962" s="4" t="s">
        <v>8170</v>
      </c>
      <c r="F5962" s="4"/>
      <c r="G5962" s="4"/>
      <c r="H5962" s="4"/>
      <c r="I5962" s="4"/>
      <c r="J5962" s="18">
        <v>0.0</v>
      </c>
      <c r="K5962" s="4" t="s">
        <v>8494</v>
      </c>
      <c r="L5962" s="19" t="s">
        <v>8494</v>
      </c>
      <c r="M5962" s="20" t="s">
        <v>8494</v>
      </c>
    </row>
    <row r="5963">
      <c r="A5963" s="6"/>
      <c r="B5963" s="6"/>
      <c r="C5963" s="6"/>
      <c r="D5963" s="4">
        <v>50.3627382261808</v>
      </c>
      <c r="E5963" s="4" t="s">
        <v>5836</v>
      </c>
      <c r="F5963" s="4"/>
      <c r="G5963" s="4"/>
      <c r="H5963" s="4"/>
      <c r="I5963" s="4"/>
      <c r="J5963" s="18">
        <v>0.0</v>
      </c>
      <c r="K5963" s="4" t="s">
        <v>8494</v>
      </c>
      <c r="L5963" s="19" t="s">
        <v>8494</v>
      </c>
      <c r="M5963" s="20" t="s">
        <v>8494</v>
      </c>
    </row>
    <row r="5964">
      <c r="A5964" s="6"/>
      <c r="B5964" s="6"/>
      <c r="C5964" s="6"/>
      <c r="D5964" s="4">
        <v>186.01196020749998</v>
      </c>
      <c r="E5964" s="4" t="s">
        <v>178</v>
      </c>
      <c r="F5964" s="4"/>
      <c r="G5964" s="4"/>
      <c r="H5964" s="4"/>
      <c r="I5964" s="4"/>
      <c r="J5964" s="18">
        <v>0.0</v>
      </c>
      <c r="K5964" s="4" t="s">
        <v>8494</v>
      </c>
      <c r="L5964" s="19" t="s">
        <v>8494</v>
      </c>
      <c r="M5964" s="20" t="s">
        <v>8494</v>
      </c>
    </row>
    <row r="5965">
      <c r="A5965" s="6"/>
      <c r="B5965" s="6"/>
      <c r="C5965" s="6"/>
      <c r="D5965" s="4">
        <v>9.30059801037504</v>
      </c>
      <c r="E5965" s="4" t="s">
        <v>7214</v>
      </c>
      <c r="F5965" s="4"/>
      <c r="G5965" s="4"/>
      <c r="H5965" s="4"/>
      <c r="I5965" s="4"/>
      <c r="J5965" s="18">
        <v>0.0</v>
      </c>
      <c r="K5965" s="4" t="s">
        <v>8494</v>
      </c>
      <c r="L5965" s="19" t="s">
        <v>8494</v>
      </c>
      <c r="M5965" s="20" t="s">
        <v>8494</v>
      </c>
    </row>
    <row r="5966">
      <c r="A5966" s="6"/>
      <c r="B5966" s="6"/>
      <c r="C5966" s="6"/>
      <c r="D5966" s="4">
        <v>8.00680952773921</v>
      </c>
      <c r="E5966" s="4" t="s">
        <v>8173</v>
      </c>
      <c r="F5966" s="4"/>
      <c r="G5966" s="4"/>
      <c r="H5966" s="4"/>
      <c r="I5966" s="4"/>
      <c r="J5966" s="18">
        <v>0.0</v>
      </c>
      <c r="K5966" s="4" t="s">
        <v>8494</v>
      </c>
      <c r="L5966" s="19" t="s">
        <v>8494</v>
      </c>
      <c r="M5966" s="20" t="s">
        <v>8494</v>
      </c>
    </row>
    <row r="5967">
      <c r="A5967" s="6"/>
      <c r="B5967" s="6"/>
      <c r="C5967" s="6"/>
      <c r="D5967" s="4">
        <v>78.4445891091535</v>
      </c>
      <c r="E5967" s="4" t="s">
        <v>8175</v>
      </c>
      <c r="F5967" s="4"/>
      <c r="G5967" s="4"/>
      <c r="H5967" s="4"/>
      <c r="I5967" s="4"/>
      <c r="J5967" s="18">
        <v>0.0</v>
      </c>
      <c r="K5967" s="4" t="s">
        <v>8494</v>
      </c>
      <c r="L5967" s="19" t="s">
        <v>8494</v>
      </c>
      <c r="M5967" s="20" t="s">
        <v>8494</v>
      </c>
    </row>
    <row r="5968">
      <c r="A5968" s="6"/>
      <c r="B5968" s="6"/>
      <c r="C5968" s="6"/>
      <c r="D5968" s="4">
        <v>9.30059801037504</v>
      </c>
      <c r="E5968" s="4" t="s">
        <v>7034</v>
      </c>
      <c r="F5968" s="4"/>
      <c r="G5968" s="4"/>
      <c r="H5968" s="4"/>
      <c r="I5968" s="4"/>
      <c r="J5968" s="18">
        <v>0.0</v>
      </c>
      <c r="K5968" s="4" t="s">
        <v>8494</v>
      </c>
      <c r="L5968" s="19" t="s">
        <v>8494</v>
      </c>
      <c r="M5968" s="20" t="s">
        <v>8494</v>
      </c>
    </row>
    <row r="5969">
      <c r="A5969" s="6"/>
      <c r="B5969" s="6"/>
      <c r="C5969" s="6"/>
      <c r="D5969" s="4">
        <v>65.1041860726253</v>
      </c>
      <c r="E5969" s="4" t="s">
        <v>3335</v>
      </c>
      <c r="F5969" s="4"/>
      <c r="G5969" s="4"/>
      <c r="H5969" s="4"/>
      <c r="I5969" s="4"/>
      <c r="J5969" s="18">
        <v>0.0</v>
      </c>
      <c r="K5969" s="4" t="s">
        <v>8494</v>
      </c>
      <c r="L5969" s="19" t="s">
        <v>8494</v>
      </c>
      <c r="M5969" s="20" t="s">
        <v>8494</v>
      </c>
    </row>
    <row r="5970">
      <c r="A5970" s="6"/>
      <c r="B5970" s="6"/>
      <c r="C5970" s="6"/>
      <c r="D5970" s="4">
        <v>9.95163987110129</v>
      </c>
      <c r="E5970" s="4" t="s">
        <v>2147</v>
      </c>
      <c r="F5970" s="4"/>
      <c r="G5970" s="4"/>
      <c r="H5970" s="4"/>
      <c r="I5970" s="4"/>
      <c r="J5970" s="18">
        <v>0.0</v>
      </c>
      <c r="K5970" s="4" t="s">
        <v>8494</v>
      </c>
      <c r="L5970" s="19" t="s">
        <v>8494</v>
      </c>
      <c r="M5970" s="20" t="s">
        <v>8494</v>
      </c>
    </row>
    <row r="5971">
      <c r="A5971" s="6"/>
      <c r="B5971" s="6"/>
      <c r="C5971" s="6"/>
      <c r="D5971" s="4">
        <v>4.83815154522949</v>
      </c>
      <c r="E5971" s="4" t="s">
        <v>6214</v>
      </c>
      <c r="F5971" s="4"/>
      <c r="G5971" s="4"/>
      <c r="H5971" s="4"/>
      <c r="I5971" s="4"/>
      <c r="J5971" s="18">
        <v>0.0</v>
      </c>
      <c r="K5971" s="4" t="s">
        <v>8494</v>
      </c>
      <c r="L5971" s="19" t="s">
        <v>8494</v>
      </c>
      <c r="M5971" s="20" t="s">
        <v>8494</v>
      </c>
    </row>
    <row r="5972">
      <c r="A5972" s="6"/>
      <c r="B5972" s="6"/>
      <c r="C5972" s="6"/>
      <c r="D5972" s="4">
        <v>45.181597881276495</v>
      </c>
      <c r="E5972" s="4" t="s">
        <v>3960</v>
      </c>
      <c r="F5972" s="4"/>
      <c r="G5972" s="4"/>
      <c r="H5972" s="4"/>
      <c r="I5972" s="4"/>
      <c r="J5972" s="18">
        <v>0.0</v>
      </c>
      <c r="K5972" s="4" t="s">
        <v>8494</v>
      </c>
      <c r="L5972" s="19" t="s">
        <v>8494</v>
      </c>
      <c r="M5972" s="20" t="s">
        <v>8494</v>
      </c>
    </row>
    <row r="5973">
      <c r="A5973" s="6"/>
      <c r="B5973" s="6"/>
      <c r="C5973" s="6"/>
      <c r="D5973" s="4">
        <v>186.01196020749998</v>
      </c>
      <c r="E5973" s="4" t="s">
        <v>8180</v>
      </c>
      <c r="F5973" s="4"/>
      <c r="G5973" s="4"/>
      <c r="H5973" s="4"/>
      <c r="I5973" s="4"/>
      <c r="J5973" s="18">
        <v>0.0</v>
      </c>
      <c r="K5973" s="4" t="s">
        <v>8494</v>
      </c>
      <c r="L5973" s="19" t="s">
        <v>8494</v>
      </c>
      <c r="M5973" s="20" t="s">
        <v>8494</v>
      </c>
    </row>
    <row r="5974">
      <c r="A5974" s="6"/>
      <c r="B5974" s="6"/>
      <c r="C5974" s="6"/>
      <c r="D5974" s="4">
        <v>9.340176695349559</v>
      </c>
      <c r="E5974" s="4" t="s">
        <v>6495</v>
      </c>
      <c r="F5974" s="4"/>
      <c r="G5974" s="4"/>
      <c r="H5974" s="4"/>
      <c r="I5974" s="4"/>
      <c r="J5974" s="18">
        <v>0.0</v>
      </c>
      <c r="K5974" s="4" t="s">
        <v>8494</v>
      </c>
      <c r="L5974" s="19" t="s">
        <v>8494</v>
      </c>
      <c r="M5974" s="20" t="s">
        <v>8494</v>
      </c>
    </row>
    <row r="5975">
      <c r="A5975" s="6"/>
      <c r="B5975" s="6"/>
      <c r="C5975" s="6"/>
      <c r="D5975" s="4">
        <v>9.711188273944941</v>
      </c>
      <c r="E5975" s="4" t="s">
        <v>3653</v>
      </c>
      <c r="F5975" s="4"/>
      <c r="G5975" s="4"/>
      <c r="H5975" s="4"/>
      <c r="I5975" s="4"/>
      <c r="J5975" s="18">
        <v>0.0</v>
      </c>
      <c r="K5975" s="4" t="s">
        <v>8494</v>
      </c>
      <c r="L5975" s="19" t="s">
        <v>8494</v>
      </c>
      <c r="M5975" s="20" t="s">
        <v>8494</v>
      </c>
    </row>
    <row r="5976">
      <c r="A5976" s="6"/>
      <c r="B5976" s="6"/>
      <c r="C5976" s="6"/>
      <c r="D5976" s="4">
        <v>9.30059801037504</v>
      </c>
      <c r="E5976" s="4" t="s">
        <v>4211</v>
      </c>
      <c r="F5976" s="4"/>
      <c r="G5976" s="4"/>
      <c r="H5976" s="4"/>
      <c r="I5976" s="4"/>
      <c r="J5976" s="18">
        <v>0.0</v>
      </c>
      <c r="K5976" s="4" t="s">
        <v>8494</v>
      </c>
      <c r="L5976" s="19" t="s">
        <v>8494</v>
      </c>
      <c r="M5976" s="20" t="s">
        <v>8494</v>
      </c>
    </row>
    <row r="5977">
      <c r="A5977" s="6"/>
      <c r="B5977" s="6"/>
      <c r="C5977" s="6"/>
      <c r="D5977" s="4">
        <v>27.9671756268786</v>
      </c>
      <c r="E5977" s="4" t="s">
        <v>5210</v>
      </c>
      <c r="F5977" s="4"/>
      <c r="G5977" s="4"/>
      <c r="H5977" s="4"/>
      <c r="I5977" s="4"/>
      <c r="J5977" s="18">
        <v>0.0</v>
      </c>
      <c r="K5977" s="4" t="s">
        <v>8494</v>
      </c>
      <c r="L5977" s="19" t="s">
        <v>8494</v>
      </c>
      <c r="M5977" s="20" t="s">
        <v>8494</v>
      </c>
    </row>
    <row r="5978">
      <c r="A5978" s="6"/>
      <c r="B5978" s="6"/>
      <c r="C5978" s="6"/>
      <c r="D5978" s="4">
        <v>72.130861517416</v>
      </c>
      <c r="E5978" s="4" t="s">
        <v>8184</v>
      </c>
      <c r="F5978" s="4"/>
      <c r="G5978" s="4"/>
      <c r="H5978" s="4"/>
      <c r="I5978" s="4"/>
      <c r="J5978" s="18">
        <v>0.0</v>
      </c>
      <c r="K5978" s="4" t="s">
        <v>8494</v>
      </c>
      <c r="L5978" s="19" t="s">
        <v>8494</v>
      </c>
      <c r="M5978" s="20" t="s">
        <v>8494</v>
      </c>
    </row>
    <row r="5979">
      <c r="A5979" s="6"/>
      <c r="B5979" s="6"/>
      <c r="C5979" s="6"/>
      <c r="D5979" s="4">
        <v>46.5029900518752</v>
      </c>
      <c r="E5979" s="4" t="s">
        <v>8186</v>
      </c>
      <c r="F5979" s="4"/>
      <c r="G5979" s="4"/>
      <c r="H5979" s="4"/>
      <c r="I5979" s="4"/>
      <c r="J5979" s="18">
        <v>0.0</v>
      </c>
      <c r="K5979" s="4" t="s">
        <v>8494</v>
      </c>
      <c r="L5979" s="19" t="s">
        <v>8494</v>
      </c>
      <c r="M5979" s="20" t="s">
        <v>8494</v>
      </c>
    </row>
    <row r="5980">
      <c r="A5980" s="6"/>
      <c r="B5980" s="6"/>
      <c r="C5980" s="6"/>
      <c r="D5980" s="4">
        <v>52.9871135264221</v>
      </c>
      <c r="E5980" s="4" t="s">
        <v>3801</v>
      </c>
      <c r="F5980" s="4"/>
      <c r="G5980" s="4"/>
      <c r="H5980" s="4"/>
      <c r="I5980" s="4"/>
      <c r="J5980" s="18">
        <v>0.0</v>
      </c>
      <c r="K5980" s="4" t="s">
        <v>8494</v>
      </c>
      <c r="L5980" s="19" t="s">
        <v>8494</v>
      </c>
      <c r="M5980" s="20" t="s">
        <v>8494</v>
      </c>
    </row>
    <row r="5981">
      <c r="A5981" s="6"/>
      <c r="B5981" s="6"/>
      <c r="C5981" s="6"/>
      <c r="D5981" s="4">
        <v>133.214671298513</v>
      </c>
      <c r="E5981" s="4" t="s">
        <v>5653</v>
      </c>
      <c r="F5981" s="4"/>
      <c r="G5981" s="4"/>
      <c r="H5981" s="4"/>
      <c r="I5981" s="4"/>
      <c r="J5981" s="18">
        <v>0.0</v>
      </c>
      <c r="K5981" s="4" t="s">
        <v>8494</v>
      </c>
      <c r="L5981" s="19" t="s">
        <v>8494</v>
      </c>
      <c r="M5981" s="20" t="s">
        <v>8494</v>
      </c>
    </row>
    <row r="5982">
      <c r="A5982" s="6"/>
      <c r="B5982" s="6"/>
      <c r="C5982" s="6"/>
      <c r="D5982" s="4">
        <v>41.584914740300704</v>
      </c>
      <c r="E5982" s="4" t="s">
        <v>8189</v>
      </c>
      <c r="F5982" s="4"/>
      <c r="G5982" s="4"/>
      <c r="H5982" s="4"/>
      <c r="I5982" s="4"/>
      <c r="J5982" s="18">
        <v>0.0</v>
      </c>
      <c r="K5982" s="4" t="s">
        <v>8494</v>
      </c>
      <c r="L5982" s="19" t="s">
        <v>8494</v>
      </c>
      <c r="M5982" s="20" t="s">
        <v>8494</v>
      </c>
    </row>
    <row r="5983">
      <c r="A5983" s="6"/>
      <c r="B5983" s="6"/>
      <c r="C5983" s="6"/>
      <c r="D5983" s="4">
        <v>55.834312175761</v>
      </c>
      <c r="E5983" s="4" t="s">
        <v>8191</v>
      </c>
      <c r="F5983" s="4"/>
      <c r="G5983" s="4"/>
      <c r="H5983" s="4"/>
      <c r="I5983" s="4"/>
      <c r="J5983" s="18">
        <v>0.0</v>
      </c>
      <c r="K5983" s="4" t="s">
        <v>8494</v>
      </c>
      <c r="L5983" s="19" t="s">
        <v>8494</v>
      </c>
      <c r="M5983" s="20" t="s">
        <v>8494</v>
      </c>
    </row>
    <row r="5984">
      <c r="A5984" s="6"/>
      <c r="B5984" s="6"/>
      <c r="C5984" s="6"/>
      <c r="D5984" s="4">
        <v>56.975673994825</v>
      </c>
      <c r="E5984" s="4" t="s">
        <v>2417</v>
      </c>
      <c r="F5984" s="4"/>
      <c r="G5984" s="4"/>
      <c r="H5984" s="4"/>
      <c r="I5984" s="4"/>
      <c r="J5984" s="18">
        <v>0.0</v>
      </c>
      <c r="K5984" s="4" t="s">
        <v>8494</v>
      </c>
      <c r="L5984" s="19" t="s">
        <v>8494</v>
      </c>
      <c r="M5984" s="20" t="s">
        <v>8494</v>
      </c>
    </row>
    <row r="5985">
      <c r="A5985" s="6"/>
      <c r="B5985" s="6"/>
      <c r="C5985" s="6"/>
      <c r="D5985" s="4">
        <v>65.1041860726253</v>
      </c>
      <c r="E5985" s="4" t="s">
        <v>2273</v>
      </c>
      <c r="F5985" s="4"/>
      <c r="G5985" s="4"/>
      <c r="H5985" s="4"/>
      <c r="I5985" s="4"/>
      <c r="J5985" s="18">
        <v>0.0</v>
      </c>
      <c r="K5985" s="4" t="s">
        <v>8494</v>
      </c>
      <c r="L5985" s="19" t="s">
        <v>8494</v>
      </c>
      <c r="M5985" s="20" t="s">
        <v>8494</v>
      </c>
    </row>
    <row r="5986">
      <c r="A5986" s="6"/>
      <c r="B5986" s="6"/>
      <c r="C5986" s="6"/>
      <c r="D5986" s="4">
        <v>186.01196020749998</v>
      </c>
      <c r="E5986" s="4" t="s">
        <v>1272</v>
      </c>
      <c r="F5986" s="4"/>
      <c r="G5986" s="4"/>
      <c r="H5986" s="4"/>
      <c r="I5986" s="4"/>
      <c r="J5986" s="18">
        <v>0.0</v>
      </c>
      <c r="K5986" s="4" t="s">
        <v>8494</v>
      </c>
      <c r="L5986" s="19" t="s">
        <v>8494</v>
      </c>
      <c r="M5986" s="20" t="s">
        <v>8494</v>
      </c>
    </row>
    <row r="5987">
      <c r="A5987" s="6"/>
      <c r="B5987" s="6"/>
      <c r="C5987" s="6"/>
      <c r="D5987" s="4">
        <v>27.9017940311251</v>
      </c>
      <c r="E5987" s="4" t="s">
        <v>3487</v>
      </c>
      <c r="F5987" s="4"/>
      <c r="G5987" s="4"/>
      <c r="H5987" s="4"/>
      <c r="I5987" s="4"/>
      <c r="J5987" s="18">
        <v>0.0</v>
      </c>
      <c r="K5987" s="4" t="s">
        <v>8494</v>
      </c>
      <c r="L5987" s="19" t="s">
        <v>8494</v>
      </c>
      <c r="M5987" s="20" t="s">
        <v>8494</v>
      </c>
    </row>
    <row r="5988">
      <c r="A5988" s="6"/>
      <c r="B5988" s="6"/>
      <c r="C5988" s="6"/>
      <c r="D5988" s="4">
        <v>9.3005981078453</v>
      </c>
      <c r="E5988" s="4" t="s">
        <v>2970</v>
      </c>
      <c r="F5988" s="4"/>
      <c r="G5988" s="4"/>
      <c r="H5988" s="4"/>
      <c r="I5988" s="4"/>
      <c r="J5988" s="18">
        <v>0.0</v>
      </c>
      <c r="K5988" s="4" t="s">
        <v>8494</v>
      </c>
      <c r="L5988" s="19" t="s">
        <v>8494</v>
      </c>
      <c r="M5988" s="20" t="s">
        <v>8494</v>
      </c>
    </row>
    <row r="5989">
      <c r="A5989" s="6"/>
      <c r="B5989" s="6"/>
      <c r="C5989" s="6"/>
      <c r="D5989" s="4">
        <v>18.60119602075</v>
      </c>
      <c r="E5989" s="4" t="s">
        <v>4883</v>
      </c>
      <c r="F5989" s="4"/>
      <c r="G5989" s="4"/>
      <c r="H5989" s="4"/>
      <c r="I5989" s="4"/>
      <c r="J5989" s="18">
        <v>0.0</v>
      </c>
      <c r="K5989" s="4" t="s">
        <v>8494</v>
      </c>
      <c r="L5989" s="19" t="s">
        <v>8494</v>
      </c>
      <c r="M5989" s="20" t="s">
        <v>8494</v>
      </c>
    </row>
    <row r="5990">
      <c r="A5990" s="6"/>
      <c r="B5990" s="6"/>
      <c r="C5990" s="6"/>
      <c r="D5990" s="4">
        <v>37.2023920415001</v>
      </c>
      <c r="E5990" s="4" t="s">
        <v>8195</v>
      </c>
      <c r="F5990" s="4"/>
      <c r="G5990" s="4"/>
      <c r="H5990" s="4"/>
      <c r="I5990" s="4"/>
      <c r="J5990" s="18">
        <v>0.0</v>
      </c>
      <c r="K5990" s="4" t="s">
        <v>8494</v>
      </c>
      <c r="L5990" s="19" t="s">
        <v>8494</v>
      </c>
      <c r="M5990" s="20" t="s">
        <v>8494</v>
      </c>
    </row>
    <row r="5991">
      <c r="A5991" s="6"/>
      <c r="B5991" s="6"/>
      <c r="C5991" s="6"/>
      <c r="D5991" s="4">
        <v>162.126429482736</v>
      </c>
      <c r="E5991" s="4" t="s">
        <v>4439</v>
      </c>
      <c r="F5991" s="4"/>
      <c r="G5991" s="4"/>
      <c r="H5991" s="4"/>
      <c r="I5991" s="4"/>
      <c r="J5991" s="18">
        <v>0.0</v>
      </c>
      <c r="K5991" s="4" t="s">
        <v>8494</v>
      </c>
      <c r="L5991" s="19" t="s">
        <v>8494</v>
      </c>
      <c r="M5991" s="20" t="s">
        <v>8494</v>
      </c>
    </row>
    <row r="5992">
      <c r="A5992" s="6"/>
      <c r="B5992" s="6"/>
      <c r="C5992" s="6"/>
      <c r="D5992" s="4">
        <v>109.954606168521</v>
      </c>
      <c r="E5992" s="4" t="s">
        <v>8197</v>
      </c>
      <c r="F5992" s="4"/>
      <c r="G5992" s="4"/>
      <c r="H5992" s="4"/>
      <c r="I5992" s="4"/>
      <c r="J5992" s="18">
        <v>0.0</v>
      </c>
      <c r="K5992" s="4" t="s">
        <v>8494</v>
      </c>
      <c r="L5992" s="19" t="s">
        <v>8494</v>
      </c>
      <c r="M5992" s="20" t="s">
        <v>8494</v>
      </c>
    </row>
    <row r="5993">
      <c r="A5993" s="6"/>
      <c r="B5993" s="6"/>
      <c r="C5993" s="6"/>
      <c r="D5993" s="4">
        <v>9.345240880824841</v>
      </c>
      <c r="E5993" s="4" t="s">
        <v>4818</v>
      </c>
      <c r="F5993" s="4"/>
      <c r="G5993" s="4"/>
      <c r="H5993" s="4"/>
      <c r="I5993" s="4"/>
      <c r="J5993" s="18">
        <v>0.0</v>
      </c>
      <c r="K5993" s="4" t="s">
        <v>8494</v>
      </c>
      <c r="L5993" s="19" t="s">
        <v>8494</v>
      </c>
      <c r="M5993" s="20" t="s">
        <v>8494</v>
      </c>
    </row>
    <row r="5994">
      <c r="A5994" s="6"/>
      <c r="B5994" s="6"/>
      <c r="C5994" s="6"/>
      <c r="D5994" s="4">
        <v>186.01196020749998</v>
      </c>
      <c r="E5994" s="4" t="s">
        <v>1189</v>
      </c>
      <c r="F5994" s="4"/>
      <c r="G5994" s="4"/>
      <c r="H5994" s="4"/>
      <c r="I5994" s="4"/>
      <c r="J5994" s="18">
        <v>0.0</v>
      </c>
      <c r="K5994" s="4" t="s">
        <v>8494</v>
      </c>
      <c r="L5994" s="19" t="s">
        <v>8494</v>
      </c>
      <c r="M5994" s="20" t="s">
        <v>8494</v>
      </c>
    </row>
    <row r="5995">
      <c r="A5995" s="6"/>
      <c r="B5995" s="6"/>
      <c r="C5995" s="6"/>
      <c r="D5995" s="4">
        <v>9.30291524199734</v>
      </c>
      <c r="E5995" s="4" t="s">
        <v>6417</v>
      </c>
      <c r="F5995" s="4"/>
      <c r="G5995" s="4"/>
      <c r="H5995" s="4"/>
      <c r="I5995" s="4"/>
      <c r="J5995" s="18">
        <v>0.0</v>
      </c>
      <c r="K5995" s="4" t="s">
        <v>8494</v>
      </c>
      <c r="L5995" s="19" t="s">
        <v>8494</v>
      </c>
      <c r="M5995" s="20" t="s">
        <v>8494</v>
      </c>
    </row>
    <row r="5996">
      <c r="A5996" s="6"/>
      <c r="B5996" s="6"/>
      <c r="C5996" s="6"/>
      <c r="D5996" s="4">
        <v>56.118274818439</v>
      </c>
      <c r="E5996" s="4" t="s">
        <v>4395</v>
      </c>
      <c r="F5996" s="4"/>
      <c r="G5996" s="4"/>
      <c r="H5996" s="4"/>
      <c r="I5996" s="4"/>
      <c r="J5996" s="18">
        <v>0.0</v>
      </c>
      <c r="K5996" s="4" t="s">
        <v>8494</v>
      </c>
      <c r="L5996" s="19" t="s">
        <v>8494</v>
      </c>
      <c r="M5996" s="20" t="s">
        <v>8494</v>
      </c>
    </row>
    <row r="5997">
      <c r="A5997" s="6"/>
      <c r="B5997" s="6"/>
      <c r="C5997" s="6"/>
      <c r="D5997" s="4">
        <v>183.428808951833</v>
      </c>
      <c r="E5997" s="4" t="s">
        <v>2172</v>
      </c>
      <c r="F5997" s="4"/>
      <c r="G5997" s="4"/>
      <c r="H5997" s="4"/>
      <c r="I5997" s="4"/>
      <c r="J5997" s="18">
        <v>0.0</v>
      </c>
      <c r="K5997" s="4" t="s">
        <v>8494</v>
      </c>
      <c r="L5997" s="19" t="s">
        <v>8494</v>
      </c>
      <c r="M5997" s="20" t="s">
        <v>8494</v>
      </c>
    </row>
    <row r="5998">
      <c r="A5998" s="6"/>
      <c r="B5998" s="6"/>
      <c r="C5998" s="6"/>
      <c r="D5998" s="4">
        <v>74.4047840830003</v>
      </c>
      <c r="E5998" s="4" t="s">
        <v>5008</v>
      </c>
      <c r="F5998" s="4"/>
      <c r="G5998" s="4"/>
      <c r="H5998" s="4"/>
      <c r="I5998" s="4"/>
      <c r="J5998" s="18">
        <v>0.0</v>
      </c>
      <c r="K5998" s="4" t="s">
        <v>8494</v>
      </c>
      <c r="L5998" s="19" t="s">
        <v>8494</v>
      </c>
      <c r="M5998" s="20" t="s">
        <v>8494</v>
      </c>
    </row>
    <row r="5999">
      <c r="A5999" s="6"/>
      <c r="B5999" s="6"/>
      <c r="C5999" s="6"/>
      <c r="D5999" s="4">
        <v>75.1137206369508</v>
      </c>
      <c r="E5999" s="4" t="s">
        <v>4102</v>
      </c>
      <c r="F5999" s="4"/>
      <c r="G5999" s="4"/>
      <c r="H5999" s="4"/>
      <c r="I5999" s="4"/>
      <c r="J5999" s="18">
        <v>0.0</v>
      </c>
      <c r="K5999" s="4" t="s">
        <v>8494</v>
      </c>
      <c r="L5999" s="19" t="s">
        <v>8494</v>
      </c>
      <c r="M5999" s="20" t="s">
        <v>8494</v>
      </c>
    </row>
    <row r="6000">
      <c r="A6000" s="6"/>
      <c r="B6000" s="6"/>
      <c r="C6000" s="6"/>
      <c r="D6000" s="4">
        <v>186.01196020749998</v>
      </c>
      <c r="E6000" s="4" t="s">
        <v>817</v>
      </c>
      <c r="F6000" s="4"/>
      <c r="G6000" s="4"/>
      <c r="H6000" s="4"/>
      <c r="I6000" s="4"/>
      <c r="J6000" s="18">
        <v>0.0</v>
      </c>
      <c r="K6000" s="4" t="s">
        <v>8494</v>
      </c>
      <c r="L6000" s="19" t="s">
        <v>8494</v>
      </c>
      <c r="M6000" s="20" t="s">
        <v>8494</v>
      </c>
    </row>
    <row r="6001">
      <c r="A6001" s="6"/>
      <c r="B6001" s="6"/>
      <c r="C6001" s="6"/>
      <c r="D6001" s="4">
        <v>25.1366644780264</v>
      </c>
      <c r="E6001" s="4" t="s">
        <v>2479</v>
      </c>
      <c r="F6001" s="4"/>
      <c r="G6001" s="4"/>
      <c r="H6001" s="4"/>
      <c r="I6001" s="4"/>
      <c r="J6001" s="18">
        <v>0.0</v>
      </c>
      <c r="K6001" s="4" t="s">
        <v>8494</v>
      </c>
      <c r="L6001" s="19" t="s">
        <v>8494</v>
      </c>
      <c r="M6001" s="20" t="s">
        <v>8494</v>
      </c>
    </row>
    <row r="6002">
      <c r="A6002" s="6"/>
      <c r="B6002" s="6"/>
      <c r="C6002" s="6"/>
      <c r="D6002" s="4">
        <v>184.358149026925</v>
      </c>
      <c r="E6002" s="4" t="s">
        <v>6037</v>
      </c>
      <c r="F6002" s="4"/>
      <c r="G6002" s="4"/>
      <c r="H6002" s="4"/>
      <c r="I6002" s="4"/>
      <c r="J6002" s="18">
        <v>0.0</v>
      </c>
      <c r="K6002" s="4" t="s">
        <v>8494</v>
      </c>
      <c r="L6002" s="19" t="s">
        <v>8494</v>
      </c>
      <c r="M6002" s="20" t="s">
        <v>8494</v>
      </c>
    </row>
    <row r="6003">
      <c r="A6003" s="6"/>
      <c r="B6003" s="6"/>
      <c r="C6003" s="6"/>
      <c r="D6003" s="4">
        <v>186.01196020749998</v>
      </c>
      <c r="E6003" s="4" t="s">
        <v>1507</v>
      </c>
      <c r="F6003" s="4"/>
      <c r="G6003" s="4"/>
      <c r="H6003" s="4"/>
      <c r="I6003" s="4"/>
      <c r="J6003" s="18">
        <v>0.0</v>
      </c>
      <c r="K6003" s="4" t="s">
        <v>8494</v>
      </c>
      <c r="L6003" s="19" t="s">
        <v>8494</v>
      </c>
      <c r="M6003" s="20" t="s">
        <v>8494</v>
      </c>
    </row>
    <row r="6004">
      <c r="A6004" s="6"/>
      <c r="B6004" s="6"/>
      <c r="C6004" s="6"/>
      <c r="D6004" s="4">
        <v>186.01196020749998</v>
      </c>
      <c r="E6004" s="4" t="s">
        <v>528</v>
      </c>
      <c r="F6004" s="4"/>
      <c r="G6004" s="4"/>
      <c r="H6004" s="4"/>
      <c r="I6004" s="4"/>
      <c r="J6004" s="18">
        <v>0.0</v>
      </c>
      <c r="K6004" s="4" t="s">
        <v>8494</v>
      </c>
      <c r="L6004" s="19" t="s">
        <v>8494</v>
      </c>
      <c r="M6004" s="20" t="s">
        <v>8494</v>
      </c>
    </row>
    <row r="6005">
      <c r="A6005" s="6"/>
      <c r="B6005" s="6"/>
      <c r="C6005" s="6"/>
      <c r="D6005" s="4">
        <v>186.01196020749998</v>
      </c>
      <c r="E6005" s="4" t="s">
        <v>4716</v>
      </c>
      <c r="F6005" s="4"/>
      <c r="G6005" s="4"/>
      <c r="H6005" s="4"/>
      <c r="I6005" s="4"/>
      <c r="J6005" s="18">
        <v>0.0</v>
      </c>
      <c r="K6005" s="4" t="s">
        <v>8494</v>
      </c>
      <c r="L6005" s="19" t="s">
        <v>8494</v>
      </c>
      <c r="M6005" s="20" t="s">
        <v>8494</v>
      </c>
    </row>
    <row r="6006">
      <c r="A6006" s="6"/>
      <c r="B6006" s="6"/>
      <c r="C6006" s="6"/>
      <c r="D6006" s="4">
        <v>176.693808188955</v>
      </c>
      <c r="E6006" s="4" t="s">
        <v>927</v>
      </c>
      <c r="F6006" s="4"/>
      <c r="G6006" s="4"/>
      <c r="H6006" s="4"/>
      <c r="I6006" s="4"/>
      <c r="J6006" s="18">
        <v>0.0</v>
      </c>
      <c r="K6006" s="4" t="s">
        <v>8494</v>
      </c>
      <c r="L6006" s="19" t="s">
        <v>8494</v>
      </c>
      <c r="M6006" s="20" t="s">
        <v>8494</v>
      </c>
    </row>
    <row r="6007">
      <c r="A6007" s="6"/>
      <c r="B6007" s="6"/>
      <c r="C6007" s="6"/>
      <c r="D6007" s="4">
        <v>66.9643056747003</v>
      </c>
      <c r="E6007" s="4" t="s">
        <v>8207</v>
      </c>
      <c r="F6007" s="4"/>
      <c r="G6007" s="4"/>
      <c r="H6007" s="4"/>
      <c r="I6007" s="4"/>
      <c r="J6007" s="18">
        <v>0.0</v>
      </c>
      <c r="K6007" s="4" t="s">
        <v>8494</v>
      </c>
      <c r="L6007" s="19" t="s">
        <v>8494</v>
      </c>
      <c r="M6007" s="20" t="s">
        <v>8494</v>
      </c>
    </row>
    <row r="6008">
      <c r="A6008" s="6"/>
      <c r="B6008" s="6"/>
      <c r="C6008" s="6"/>
      <c r="D6008" s="4">
        <v>186.01196020749998</v>
      </c>
      <c r="E6008" s="4" t="s">
        <v>1690</v>
      </c>
      <c r="F6008" s="4"/>
      <c r="G6008" s="4"/>
      <c r="H6008" s="4"/>
      <c r="I6008" s="4"/>
      <c r="J6008" s="18">
        <v>0.0</v>
      </c>
      <c r="K6008" s="4" t="s">
        <v>8494</v>
      </c>
      <c r="L6008" s="19" t="s">
        <v>8494</v>
      </c>
      <c r="M6008" s="20" t="s">
        <v>8494</v>
      </c>
    </row>
    <row r="6009">
      <c r="A6009" s="6"/>
      <c r="B6009" s="6"/>
      <c r="C6009" s="6"/>
      <c r="D6009" s="4">
        <v>58.3436403975484</v>
      </c>
      <c r="E6009" s="4" t="s">
        <v>2733</v>
      </c>
      <c r="F6009" s="4"/>
      <c r="G6009" s="4"/>
      <c r="H6009" s="4"/>
      <c r="I6009" s="4"/>
      <c r="J6009" s="18">
        <v>0.0</v>
      </c>
      <c r="K6009" s="4" t="s">
        <v>8494</v>
      </c>
      <c r="L6009" s="19" t="s">
        <v>8494</v>
      </c>
      <c r="M6009" s="20" t="s">
        <v>8494</v>
      </c>
    </row>
    <row r="6010">
      <c r="A6010" s="6"/>
      <c r="B6010" s="6"/>
      <c r="C6010" s="6"/>
      <c r="D6010" s="4">
        <v>186.01196020749998</v>
      </c>
      <c r="E6010" s="4" t="s">
        <v>1220</v>
      </c>
      <c r="F6010" s="4"/>
      <c r="G6010" s="4"/>
      <c r="H6010" s="4"/>
      <c r="I6010" s="4"/>
      <c r="J6010" s="18">
        <v>0.0</v>
      </c>
      <c r="K6010" s="4" t="s">
        <v>8494</v>
      </c>
      <c r="L6010" s="19" t="s">
        <v>8494</v>
      </c>
      <c r="M6010" s="20" t="s">
        <v>8494</v>
      </c>
    </row>
    <row r="6011">
      <c r="A6011" s="6"/>
      <c r="B6011" s="6"/>
      <c r="C6011" s="6"/>
      <c r="D6011" s="4">
        <v>186.01196020749998</v>
      </c>
      <c r="E6011" s="4" t="s">
        <v>1470</v>
      </c>
      <c r="F6011" s="4"/>
      <c r="G6011" s="4"/>
      <c r="H6011" s="4"/>
      <c r="I6011" s="4"/>
      <c r="J6011" s="18">
        <v>0.0</v>
      </c>
      <c r="K6011" s="4" t="s">
        <v>8494</v>
      </c>
      <c r="L6011" s="19" t="s">
        <v>8494</v>
      </c>
      <c r="M6011" s="20" t="s">
        <v>8494</v>
      </c>
    </row>
    <row r="6012">
      <c r="A6012" s="6"/>
      <c r="B6012" s="6"/>
      <c r="C6012" s="6"/>
      <c r="D6012" s="4">
        <v>99.3415555753771</v>
      </c>
      <c r="E6012" s="4" t="s">
        <v>4912</v>
      </c>
      <c r="F6012" s="4"/>
      <c r="G6012" s="4"/>
      <c r="H6012" s="4"/>
      <c r="I6012" s="4"/>
      <c r="J6012" s="18">
        <v>0.0</v>
      </c>
      <c r="K6012" s="4" t="s">
        <v>8494</v>
      </c>
      <c r="L6012" s="19" t="s">
        <v>8494</v>
      </c>
      <c r="M6012" s="20" t="s">
        <v>8494</v>
      </c>
    </row>
    <row r="6013">
      <c r="A6013" s="6"/>
      <c r="B6013" s="6"/>
      <c r="C6013" s="6"/>
      <c r="D6013" s="4">
        <v>46.5029900518752</v>
      </c>
      <c r="E6013" s="4" t="s">
        <v>3880</v>
      </c>
      <c r="F6013" s="4"/>
      <c r="G6013" s="4"/>
      <c r="H6013" s="4"/>
      <c r="I6013" s="4"/>
      <c r="J6013" s="18">
        <v>0.0</v>
      </c>
      <c r="K6013" s="4" t="s">
        <v>8494</v>
      </c>
      <c r="L6013" s="19" t="s">
        <v>8494</v>
      </c>
      <c r="M6013" s="20" t="s">
        <v>8494</v>
      </c>
    </row>
    <row r="6014">
      <c r="A6014" s="6"/>
      <c r="B6014" s="6"/>
      <c r="C6014" s="6"/>
      <c r="D6014" s="4">
        <v>12.0907774134875</v>
      </c>
      <c r="E6014" s="4" t="s">
        <v>8211</v>
      </c>
      <c r="F6014" s="4"/>
      <c r="G6014" s="4"/>
      <c r="H6014" s="4"/>
      <c r="I6014" s="4"/>
      <c r="J6014" s="18">
        <v>0.0</v>
      </c>
      <c r="K6014" s="4" t="s">
        <v>8494</v>
      </c>
      <c r="L6014" s="19" t="s">
        <v>8494</v>
      </c>
      <c r="M6014" s="20" t="s">
        <v>8494</v>
      </c>
    </row>
    <row r="6015">
      <c r="A6015" s="6"/>
      <c r="B6015" s="6"/>
      <c r="C6015" s="6"/>
      <c r="D6015" s="4">
        <v>3.2368305407125297</v>
      </c>
      <c r="E6015" s="4" t="s">
        <v>6002</v>
      </c>
      <c r="F6015" s="4"/>
      <c r="G6015" s="4"/>
      <c r="H6015" s="4"/>
      <c r="I6015" s="4"/>
      <c r="J6015" s="18">
        <v>0.0</v>
      </c>
      <c r="K6015" s="4" t="s">
        <v>8494</v>
      </c>
      <c r="L6015" s="19" t="s">
        <v>8494</v>
      </c>
      <c r="M6015" s="20" t="s">
        <v>8494</v>
      </c>
    </row>
    <row r="6016">
      <c r="A6016" s="6"/>
      <c r="B6016" s="6"/>
      <c r="C6016" s="6"/>
      <c r="D6016" s="4">
        <v>9.30059801037504</v>
      </c>
      <c r="E6016" s="4" t="s">
        <v>4861</v>
      </c>
      <c r="F6016" s="4"/>
      <c r="G6016" s="4"/>
      <c r="H6016" s="4"/>
      <c r="I6016" s="4"/>
      <c r="J6016" s="18">
        <v>0.0</v>
      </c>
      <c r="K6016" s="4" t="s">
        <v>8494</v>
      </c>
      <c r="L6016" s="19" t="s">
        <v>8494</v>
      </c>
      <c r="M6016" s="20" t="s">
        <v>8494</v>
      </c>
    </row>
    <row r="6017">
      <c r="A6017" s="6"/>
      <c r="B6017" s="6"/>
      <c r="C6017" s="6"/>
      <c r="D6017" s="4">
        <v>45.3238470391953</v>
      </c>
      <c r="E6017" s="4" t="s">
        <v>6932</v>
      </c>
      <c r="F6017" s="4"/>
      <c r="G6017" s="4"/>
      <c r="H6017" s="4"/>
      <c r="I6017" s="4"/>
      <c r="J6017" s="18">
        <v>0.0</v>
      </c>
      <c r="K6017" s="4" t="s">
        <v>8494</v>
      </c>
      <c r="L6017" s="19" t="s">
        <v>8494</v>
      </c>
      <c r="M6017" s="20" t="s">
        <v>8494</v>
      </c>
    </row>
    <row r="6018">
      <c r="A6018" s="6"/>
      <c r="B6018" s="6"/>
      <c r="C6018" s="6"/>
      <c r="D6018" s="4">
        <v>17.328309953888102</v>
      </c>
      <c r="E6018" s="4" t="s">
        <v>6840</v>
      </c>
      <c r="F6018" s="4"/>
      <c r="G6018" s="4"/>
      <c r="H6018" s="4"/>
      <c r="I6018" s="4"/>
      <c r="J6018" s="18">
        <v>0.0</v>
      </c>
      <c r="K6018" s="4" t="s">
        <v>8494</v>
      </c>
      <c r="L6018" s="19" t="s">
        <v>8494</v>
      </c>
      <c r="M6018" s="20" t="s">
        <v>8494</v>
      </c>
    </row>
    <row r="6019">
      <c r="A6019" s="6"/>
      <c r="B6019" s="6"/>
      <c r="C6019" s="6"/>
      <c r="D6019" s="4">
        <v>9.30059801037504</v>
      </c>
      <c r="E6019" s="4" t="s">
        <v>4423</v>
      </c>
      <c r="F6019" s="4"/>
      <c r="G6019" s="4"/>
      <c r="H6019" s="4"/>
      <c r="I6019" s="4"/>
      <c r="J6019" s="18">
        <v>0.0</v>
      </c>
      <c r="K6019" s="4" t="s">
        <v>8494</v>
      </c>
      <c r="L6019" s="19" t="s">
        <v>8494</v>
      </c>
      <c r="M6019" s="20" t="s">
        <v>8494</v>
      </c>
    </row>
    <row r="6020">
      <c r="A6020" s="6"/>
      <c r="B6020" s="6"/>
      <c r="C6020" s="6"/>
      <c r="D6020" s="4">
        <v>186.01196020749998</v>
      </c>
      <c r="E6020" s="4" t="s">
        <v>8215</v>
      </c>
      <c r="F6020" s="4"/>
      <c r="G6020" s="4"/>
      <c r="H6020" s="4"/>
      <c r="I6020" s="4"/>
      <c r="J6020" s="18">
        <v>0.0</v>
      </c>
      <c r="K6020" s="4" t="s">
        <v>8494</v>
      </c>
      <c r="L6020" s="19" t="s">
        <v>8494</v>
      </c>
      <c r="M6020" s="20" t="s">
        <v>8494</v>
      </c>
    </row>
    <row r="6021">
      <c r="A6021" s="6"/>
      <c r="B6021" s="6"/>
      <c r="C6021" s="6"/>
      <c r="D6021" s="4">
        <v>186.01196020749998</v>
      </c>
      <c r="E6021" s="4" t="s">
        <v>2783</v>
      </c>
      <c r="F6021" s="4"/>
      <c r="G6021" s="4"/>
      <c r="H6021" s="4"/>
      <c r="I6021" s="4"/>
      <c r="J6021" s="18">
        <v>0.0</v>
      </c>
      <c r="K6021" s="4" t="s">
        <v>8494</v>
      </c>
      <c r="L6021" s="19" t="s">
        <v>8494</v>
      </c>
      <c r="M6021" s="20" t="s">
        <v>8494</v>
      </c>
    </row>
    <row r="6022">
      <c r="A6022" s="6"/>
      <c r="B6022" s="6"/>
      <c r="C6022" s="6"/>
      <c r="D6022" s="4">
        <v>9.30059801037504</v>
      </c>
      <c r="E6022" s="4" t="s">
        <v>3537</v>
      </c>
      <c r="F6022" s="4"/>
      <c r="G6022" s="4"/>
      <c r="H6022" s="4"/>
      <c r="I6022" s="4"/>
      <c r="J6022" s="18">
        <v>0.0</v>
      </c>
      <c r="K6022" s="4" t="s">
        <v>8494</v>
      </c>
      <c r="L6022" s="19" t="s">
        <v>8494</v>
      </c>
      <c r="M6022" s="20" t="s">
        <v>8494</v>
      </c>
    </row>
    <row r="6023">
      <c r="A6023" s="6"/>
      <c r="B6023" s="6"/>
      <c r="C6023" s="6"/>
      <c r="D6023" s="4">
        <v>13.567985620991001</v>
      </c>
      <c r="E6023" s="4" t="s">
        <v>3333</v>
      </c>
      <c r="F6023" s="4"/>
      <c r="G6023" s="4"/>
      <c r="H6023" s="4"/>
      <c r="I6023" s="4"/>
      <c r="J6023" s="18">
        <v>0.0</v>
      </c>
      <c r="K6023" s="4" t="s">
        <v>8494</v>
      </c>
      <c r="L6023" s="19" t="s">
        <v>8494</v>
      </c>
      <c r="M6023" s="20" t="s">
        <v>8494</v>
      </c>
    </row>
    <row r="6024">
      <c r="A6024" s="6"/>
      <c r="B6024" s="6"/>
      <c r="C6024" s="6"/>
      <c r="D6024" s="4">
        <v>186.01196020749998</v>
      </c>
      <c r="E6024" s="4" t="s">
        <v>1459</v>
      </c>
      <c r="F6024" s="4"/>
      <c r="G6024" s="4"/>
      <c r="H6024" s="4"/>
      <c r="I6024" s="4"/>
      <c r="J6024" s="18">
        <v>0.0</v>
      </c>
      <c r="K6024" s="4" t="s">
        <v>8494</v>
      </c>
      <c r="L6024" s="19" t="s">
        <v>8494</v>
      </c>
      <c r="M6024" s="20" t="s">
        <v>8494</v>
      </c>
    </row>
    <row r="6025">
      <c r="A6025" s="6"/>
      <c r="B6025" s="6"/>
      <c r="C6025" s="6"/>
      <c r="D6025" s="4">
        <v>186.01196020749998</v>
      </c>
      <c r="E6025" s="4" t="s">
        <v>8217</v>
      </c>
      <c r="F6025" s="4"/>
      <c r="G6025" s="4"/>
      <c r="H6025" s="4"/>
      <c r="I6025" s="4"/>
      <c r="J6025" s="18">
        <v>0.0</v>
      </c>
      <c r="K6025" s="4" t="s">
        <v>8494</v>
      </c>
      <c r="L6025" s="19" t="s">
        <v>8494</v>
      </c>
      <c r="M6025" s="20" t="s">
        <v>8494</v>
      </c>
    </row>
    <row r="6026">
      <c r="A6026" s="6"/>
      <c r="B6026" s="6"/>
      <c r="C6026" s="6"/>
      <c r="D6026" s="4">
        <v>9.30059801037504</v>
      </c>
      <c r="E6026" s="4" t="s">
        <v>3705</v>
      </c>
      <c r="F6026" s="4"/>
      <c r="G6026" s="4"/>
      <c r="H6026" s="4"/>
      <c r="I6026" s="4"/>
      <c r="J6026" s="18">
        <v>0.0</v>
      </c>
      <c r="K6026" s="4" t="s">
        <v>8494</v>
      </c>
      <c r="L6026" s="19" t="s">
        <v>8494</v>
      </c>
      <c r="M6026" s="20" t="s">
        <v>8494</v>
      </c>
    </row>
    <row r="6027">
      <c r="A6027" s="6"/>
      <c r="B6027" s="6"/>
      <c r="C6027" s="6"/>
      <c r="D6027" s="4">
        <v>28.972774966615603</v>
      </c>
      <c r="E6027" s="4" t="s">
        <v>3547</v>
      </c>
      <c r="F6027" s="4"/>
      <c r="G6027" s="4"/>
      <c r="H6027" s="4"/>
      <c r="I6027" s="4"/>
      <c r="J6027" s="18">
        <v>0.0</v>
      </c>
      <c r="K6027" s="4" t="s">
        <v>8494</v>
      </c>
      <c r="L6027" s="19" t="s">
        <v>8494</v>
      </c>
      <c r="M6027" s="20" t="s">
        <v>8494</v>
      </c>
    </row>
    <row r="6028">
      <c r="A6028" s="6"/>
      <c r="B6028" s="6"/>
      <c r="C6028" s="6"/>
      <c r="D6028" s="4">
        <v>91.5903438205489</v>
      </c>
      <c r="E6028" s="4" t="s">
        <v>4304</v>
      </c>
      <c r="F6028" s="4"/>
      <c r="G6028" s="4"/>
      <c r="H6028" s="4"/>
      <c r="I6028" s="4"/>
      <c r="J6028" s="18">
        <v>0.0</v>
      </c>
      <c r="K6028" s="4" t="s">
        <v>8494</v>
      </c>
      <c r="L6028" s="19" t="s">
        <v>8494</v>
      </c>
      <c r="M6028" s="20" t="s">
        <v>8494</v>
      </c>
    </row>
    <row r="6029">
      <c r="A6029" s="6"/>
      <c r="B6029" s="6"/>
      <c r="C6029" s="6"/>
      <c r="D6029" s="4">
        <v>82.6193551652738</v>
      </c>
      <c r="E6029" s="4" t="s">
        <v>4269</v>
      </c>
      <c r="F6029" s="4"/>
      <c r="G6029" s="4"/>
      <c r="H6029" s="4"/>
      <c r="I6029" s="4"/>
      <c r="J6029" s="18">
        <v>0.0</v>
      </c>
      <c r="K6029" s="4" t="s">
        <v>8494</v>
      </c>
      <c r="L6029" s="19" t="s">
        <v>8494</v>
      </c>
      <c r="M6029" s="20" t="s">
        <v>8494</v>
      </c>
    </row>
    <row r="6030">
      <c r="A6030" s="6"/>
      <c r="B6030" s="6"/>
      <c r="C6030" s="6"/>
      <c r="D6030" s="4">
        <v>61.3839468684752</v>
      </c>
      <c r="E6030" s="4" t="s">
        <v>4804</v>
      </c>
      <c r="F6030" s="4"/>
      <c r="G6030" s="4"/>
      <c r="H6030" s="4"/>
      <c r="I6030" s="4"/>
      <c r="J6030" s="18">
        <v>0.0</v>
      </c>
      <c r="K6030" s="4" t="s">
        <v>8494</v>
      </c>
      <c r="L6030" s="19" t="s">
        <v>8494</v>
      </c>
      <c r="M6030" s="20" t="s">
        <v>8494</v>
      </c>
    </row>
    <row r="6031">
      <c r="A6031" s="6"/>
      <c r="B6031" s="6"/>
      <c r="C6031" s="6"/>
      <c r="D6031" s="4">
        <v>111.28069468529401</v>
      </c>
      <c r="E6031" s="4" t="s">
        <v>1839</v>
      </c>
      <c r="F6031" s="4"/>
      <c r="G6031" s="4"/>
      <c r="H6031" s="4"/>
      <c r="I6031" s="4"/>
      <c r="J6031" s="18">
        <v>0.0</v>
      </c>
      <c r="K6031" s="4" t="s">
        <v>8494</v>
      </c>
      <c r="L6031" s="19" t="s">
        <v>8494</v>
      </c>
      <c r="M6031" s="20" t="s">
        <v>8494</v>
      </c>
    </row>
    <row r="6032">
      <c r="A6032" s="6"/>
      <c r="B6032" s="6"/>
      <c r="C6032" s="6"/>
      <c r="D6032" s="4">
        <v>102.306578114125</v>
      </c>
      <c r="E6032" s="4" t="s">
        <v>7191</v>
      </c>
      <c r="F6032" s="4"/>
      <c r="G6032" s="4"/>
      <c r="H6032" s="4"/>
      <c r="I6032" s="4"/>
      <c r="J6032" s="18">
        <v>0.0</v>
      </c>
      <c r="K6032" s="4" t="s">
        <v>8494</v>
      </c>
      <c r="L6032" s="19" t="s">
        <v>8494</v>
      </c>
      <c r="M6032" s="20" t="s">
        <v>8494</v>
      </c>
    </row>
    <row r="6033">
      <c r="A6033" s="6"/>
      <c r="B6033" s="6"/>
      <c r="C6033" s="6"/>
      <c r="D6033" s="4">
        <v>186.01196020749998</v>
      </c>
      <c r="E6033" s="4" t="s">
        <v>2717</v>
      </c>
      <c r="F6033" s="4"/>
      <c r="G6033" s="4"/>
      <c r="H6033" s="4"/>
      <c r="I6033" s="4"/>
      <c r="J6033" s="18">
        <v>0.0</v>
      </c>
      <c r="K6033" s="4" t="s">
        <v>8494</v>
      </c>
      <c r="L6033" s="19" t="s">
        <v>8494</v>
      </c>
      <c r="M6033" s="20" t="s">
        <v>8494</v>
      </c>
    </row>
    <row r="6034">
      <c r="A6034" s="6"/>
      <c r="B6034" s="6"/>
      <c r="C6034" s="6"/>
      <c r="D6034" s="4">
        <v>83.6342741504908</v>
      </c>
      <c r="E6034" s="4" t="s">
        <v>2420</v>
      </c>
      <c r="F6034" s="4"/>
      <c r="G6034" s="4"/>
      <c r="H6034" s="4"/>
      <c r="I6034" s="4"/>
      <c r="J6034" s="18">
        <v>0.0</v>
      </c>
      <c r="K6034" s="4" t="s">
        <v>8494</v>
      </c>
      <c r="L6034" s="19" t="s">
        <v>8494</v>
      </c>
      <c r="M6034" s="20" t="s">
        <v>8494</v>
      </c>
    </row>
    <row r="6035">
      <c r="A6035" s="6"/>
      <c r="B6035" s="6"/>
      <c r="C6035" s="6"/>
      <c r="D6035" s="4">
        <v>139.66424105161</v>
      </c>
      <c r="E6035" s="4" t="s">
        <v>6438</v>
      </c>
      <c r="F6035" s="4"/>
      <c r="G6035" s="4"/>
      <c r="H6035" s="4"/>
      <c r="I6035" s="4"/>
      <c r="J6035" s="18">
        <v>0.0</v>
      </c>
      <c r="K6035" s="4" t="s">
        <v>8494</v>
      </c>
      <c r="L6035" s="19" t="s">
        <v>8494</v>
      </c>
      <c r="M6035" s="20" t="s">
        <v>8494</v>
      </c>
    </row>
    <row r="6036">
      <c r="A6036" s="6"/>
      <c r="B6036" s="6"/>
      <c r="C6036" s="6"/>
      <c r="D6036" s="4">
        <v>4.98853532477482</v>
      </c>
      <c r="E6036" s="4" t="s">
        <v>5099</v>
      </c>
      <c r="F6036" s="4"/>
      <c r="G6036" s="4"/>
      <c r="H6036" s="4"/>
      <c r="I6036" s="4"/>
      <c r="J6036" s="18">
        <v>0.0</v>
      </c>
      <c r="K6036" s="4" t="s">
        <v>8494</v>
      </c>
      <c r="L6036" s="19" t="s">
        <v>8494</v>
      </c>
      <c r="M6036" s="20" t="s">
        <v>8494</v>
      </c>
    </row>
    <row r="6037">
      <c r="A6037" s="6"/>
      <c r="B6037" s="6"/>
      <c r="C6037" s="6"/>
      <c r="D6037" s="4">
        <v>186.01196020749998</v>
      </c>
      <c r="E6037" s="4" t="s">
        <v>398</v>
      </c>
      <c r="F6037" s="4"/>
      <c r="G6037" s="4"/>
      <c r="H6037" s="4"/>
      <c r="I6037" s="4"/>
      <c r="J6037" s="18">
        <v>0.0</v>
      </c>
      <c r="K6037" s="4" t="s">
        <v>8494</v>
      </c>
      <c r="L6037" s="19" t="s">
        <v>8494</v>
      </c>
      <c r="M6037" s="20" t="s">
        <v>8494</v>
      </c>
    </row>
    <row r="6038">
      <c r="A6038" s="6"/>
      <c r="B6038" s="6"/>
      <c r="C6038" s="6"/>
      <c r="D6038" s="4">
        <v>47.974849508643494</v>
      </c>
      <c r="E6038" s="4" t="s">
        <v>4742</v>
      </c>
      <c r="F6038" s="4"/>
      <c r="G6038" s="4"/>
      <c r="H6038" s="4"/>
      <c r="I6038" s="4"/>
      <c r="J6038" s="18">
        <v>0.0</v>
      </c>
      <c r="K6038" s="4" t="s">
        <v>8494</v>
      </c>
      <c r="L6038" s="19" t="s">
        <v>8494</v>
      </c>
      <c r="M6038" s="20" t="s">
        <v>8494</v>
      </c>
    </row>
    <row r="6039">
      <c r="A6039" s="6"/>
      <c r="B6039" s="6"/>
      <c r="C6039" s="6"/>
      <c r="D6039" s="4">
        <v>186.01196020749998</v>
      </c>
      <c r="E6039" s="4" t="s">
        <v>4185</v>
      </c>
      <c r="F6039" s="4"/>
      <c r="G6039" s="4"/>
      <c r="H6039" s="4"/>
      <c r="I6039" s="4"/>
      <c r="J6039" s="18">
        <v>0.0</v>
      </c>
      <c r="K6039" s="4" t="s">
        <v>8494</v>
      </c>
      <c r="L6039" s="19" t="s">
        <v>8494</v>
      </c>
      <c r="M6039" s="20" t="s">
        <v>8494</v>
      </c>
    </row>
    <row r="6040">
      <c r="A6040" s="6"/>
      <c r="B6040" s="6"/>
      <c r="C6040" s="6"/>
      <c r="D6040" s="4">
        <v>182.957480312401</v>
      </c>
      <c r="E6040" s="4" t="s">
        <v>946</v>
      </c>
      <c r="F6040" s="4"/>
      <c r="G6040" s="4"/>
      <c r="H6040" s="4"/>
      <c r="I6040" s="4"/>
      <c r="J6040" s="18">
        <v>0.0</v>
      </c>
      <c r="K6040" s="4" t="s">
        <v>8494</v>
      </c>
      <c r="L6040" s="19" t="s">
        <v>8494</v>
      </c>
      <c r="M6040" s="20" t="s">
        <v>8494</v>
      </c>
    </row>
    <row r="6041">
      <c r="A6041" s="6"/>
      <c r="B6041" s="6"/>
      <c r="C6041" s="6"/>
      <c r="D6041" s="4">
        <v>47.89692259944071</v>
      </c>
      <c r="E6041" s="4" t="s">
        <v>3504</v>
      </c>
      <c r="F6041" s="4"/>
      <c r="G6041" s="4"/>
      <c r="H6041" s="4"/>
      <c r="I6041" s="4"/>
      <c r="J6041" s="18">
        <v>0.0</v>
      </c>
      <c r="K6041" s="4" t="s">
        <v>8494</v>
      </c>
      <c r="L6041" s="19" t="s">
        <v>8494</v>
      </c>
      <c r="M6041" s="20" t="s">
        <v>8494</v>
      </c>
    </row>
    <row r="6042">
      <c r="A6042" s="6"/>
      <c r="B6042" s="6"/>
      <c r="C6042" s="6"/>
      <c r="D6042" s="4">
        <v>186.01196020749998</v>
      </c>
      <c r="E6042" s="4" t="s">
        <v>2202</v>
      </c>
      <c r="F6042" s="4"/>
      <c r="G6042" s="4"/>
      <c r="H6042" s="4"/>
      <c r="I6042" s="4"/>
      <c r="J6042" s="18">
        <v>0.0</v>
      </c>
      <c r="K6042" s="4" t="s">
        <v>8494</v>
      </c>
      <c r="L6042" s="19" t="s">
        <v>8494</v>
      </c>
      <c r="M6042" s="20" t="s">
        <v>8494</v>
      </c>
    </row>
    <row r="6043">
      <c r="A6043" s="6"/>
      <c r="B6043" s="6"/>
      <c r="C6043" s="6"/>
      <c r="D6043" s="4">
        <v>27.9017940311251</v>
      </c>
      <c r="E6043" s="4" t="s">
        <v>8229</v>
      </c>
      <c r="F6043" s="4"/>
      <c r="G6043" s="4"/>
      <c r="H6043" s="4"/>
      <c r="I6043" s="4"/>
      <c r="J6043" s="18">
        <v>0.0</v>
      </c>
      <c r="K6043" s="4" t="s">
        <v>8494</v>
      </c>
      <c r="L6043" s="19" t="s">
        <v>8494</v>
      </c>
      <c r="M6043" s="20" t="s">
        <v>8494</v>
      </c>
    </row>
    <row r="6044">
      <c r="A6044" s="6"/>
      <c r="B6044" s="6"/>
      <c r="C6044" s="6"/>
      <c r="D6044" s="4">
        <v>186.01196020749998</v>
      </c>
      <c r="E6044" s="4" t="s">
        <v>1493</v>
      </c>
      <c r="F6044" s="4"/>
      <c r="G6044" s="4"/>
      <c r="H6044" s="4"/>
      <c r="I6044" s="4"/>
      <c r="J6044" s="18">
        <v>0.0</v>
      </c>
      <c r="K6044" s="4" t="s">
        <v>8494</v>
      </c>
      <c r="L6044" s="19" t="s">
        <v>8494</v>
      </c>
      <c r="M6044" s="20" t="s">
        <v>8494</v>
      </c>
    </row>
    <row r="6045">
      <c r="A6045" s="6"/>
      <c r="B6045" s="6"/>
      <c r="C6045" s="6"/>
      <c r="D6045" s="4">
        <v>186.01196020749998</v>
      </c>
      <c r="E6045" s="4" t="s">
        <v>8230</v>
      </c>
      <c r="F6045" s="4"/>
      <c r="G6045" s="4"/>
      <c r="H6045" s="4"/>
      <c r="I6045" s="4"/>
      <c r="J6045" s="18">
        <v>0.0</v>
      </c>
      <c r="K6045" s="4" t="s">
        <v>8494</v>
      </c>
      <c r="L6045" s="19" t="s">
        <v>8494</v>
      </c>
      <c r="M6045" s="20" t="s">
        <v>8494</v>
      </c>
    </row>
    <row r="6046">
      <c r="A6046" s="6"/>
      <c r="B6046" s="6"/>
      <c r="C6046" s="6"/>
      <c r="D6046" s="4">
        <v>43.056694736064</v>
      </c>
      <c r="E6046" s="4" t="s">
        <v>296</v>
      </c>
      <c r="F6046" s="4"/>
      <c r="G6046" s="4"/>
      <c r="H6046" s="4"/>
      <c r="I6046" s="4"/>
      <c r="J6046" s="18">
        <v>0.0</v>
      </c>
      <c r="K6046" s="4" t="s">
        <v>8494</v>
      </c>
      <c r="L6046" s="19" t="s">
        <v>8494</v>
      </c>
      <c r="M6046" s="20" t="s">
        <v>8494</v>
      </c>
    </row>
    <row r="6047">
      <c r="A6047" s="6"/>
      <c r="B6047" s="6"/>
      <c r="C6047" s="6"/>
      <c r="D6047" s="4">
        <v>186.01196020749998</v>
      </c>
      <c r="E6047" s="4" t="s">
        <v>1631</v>
      </c>
      <c r="F6047" s="4"/>
      <c r="G6047" s="4"/>
      <c r="H6047" s="4"/>
      <c r="I6047" s="4"/>
      <c r="J6047" s="18">
        <v>0.0</v>
      </c>
      <c r="K6047" s="4" t="s">
        <v>8494</v>
      </c>
      <c r="L6047" s="19" t="s">
        <v>8494</v>
      </c>
      <c r="M6047" s="20" t="s">
        <v>8494</v>
      </c>
    </row>
    <row r="6048">
      <c r="A6048" s="6"/>
      <c r="B6048" s="6"/>
      <c r="C6048" s="6"/>
      <c r="D6048" s="4">
        <v>186.01196020749998</v>
      </c>
      <c r="E6048" s="4" t="s">
        <v>8232</v>
      </c>
      <c r="F6048" s="4"/>
      <c r="G6048" s="4"/>
      <c r="H6048" s="4"/>
      <c r="I6048" s="4"/>
      <c r="J6048" s="18">
        <v>0.0</v>
      </c>
      <c r="K6048" s="4" t="s">
        <v>8494</v>
      </c>
      <c r="L6048" s="19" t="s">
        <v>8494</v>
      </c>
      <c r="M6048" s="20" t="s">
        <v>8494</v>
      </c>
    </row>
    <row r="6049">
      <c r="A6049" s="6"/>
      <c r="B6049" s="6"/>
      <c r="C6049" s="6"/>
      <c r="D6049" s="4">
        <v>65.1041860726253</v>
      </c>
      <c r="E6049" s="4" t="s">
        <v>6820</v>
      </c>
      <c r="F6049" s="4"/>
      <c r="G6049" s="4"/>
      <c r="H6049" s="4"/>
      <c r="I6049" s="4"/>
      <c r="J6049" s="18">
        <v>0.0</v>
      </c>
      <c r="K6049" s="4" t="s">
        <v>8494</v>
      </c>
      <c r="L6049" s="19" t="s">
        <v>8494</v>
      </c>
      <c r="M6049" s="20" t="s">
        <v>8494</v>
      </c>
    </row>
    <row r="6050">
      <c r="A6050" s="6"/>
      <c r="B6050" s="6"/>
      <c r="C6050" s="6"/>
      <c r="D6050" s="4">
        <v>34.188591919599304</v>
      </c>
      <c r="E6050" s="4" t="s">
        <v>8233</v>
      </c>
      <c r="F6050" s="4"/>
      <c r="G6050" s="4"/>
      <c r="H6050" s="4"/>
      <c r="I6050" s="4"/>
      <c r="J6050" s="18">
        <v>0.0</v>
      </c>
      <c r="K6050" s="4" t="s">
        <v>8494</v>
      </c>
      <c r="L6050" s="19" t="s">
        <v>8494</v>
      </c>
      <c r="M6050" s="20" t="s">
        <v>8494</v>
      </c>
    </row>
    <row r="6051">
      <c r="A6051" s="6"/>
      <c r="B6051" s="6"/>
      <c r="C6051" s="6"/>
      <c r="D6051" s="4">
        <v>9.563910374762282</v>
      </c>
      <c r="E6051" s="4" t="s">
        <v>8235</v>
      </c>
      <c r="F6051" s="4"/>
      <c r="G6051" s="4"/>
      <c r="H6051" s="4"/>
      <c r="I6051" s="4"/>
      <c r="J6051" s="18">
        <v>0.0</v>
      </c>
      <c r="K6051" s="4" t="s">
        <v>8494</v>
      </c>
      <c r="L6051" s="19" t="s">
        <v>8494</v>
      </c>
      <c r="M6051" s="20" t="s">
        <v>8494</v>
      </c>
    </row>
    <row r="6052">
      <c r="A6052" s="6"/>
      <c r="B6052" s="6"/>
      <c r="C6052" s="6"/>
      <c r="D6052" s="4">
        <v>5.027883428273</v>
      </c>
      <c r="E6052" s="4" t="s">
        <v>5855</v>
      </c>
      <c r="F6052" s="4"/>
      <c r="G6052" s="4"/>
      <c r="H6052" s="4"/>
      <c r="I6052" s="4"/>
      <c r="J6052" s="18">
        <v>0.0</v>
      </c>
      <c r="K6052" s="4" t="s">
        <v>8494</v>
      </c>
      <c r="L6052" s="19" t="s">
        <v>8494</v>
      </c>
      <c r="M6052" s="20" t="s">
        <v>8494</v>
      </c>
    </row>
    <row r="6053">
      <c r="A6053" s="6"/>
      <c r="B6053" s="6"/>
      <c r="C6053" s="6"/>
      <c r="D6053" s="4">
        <v>45.8683783405098</v>
      </c>
      <c r="E6053" s="4" t="s">
        <v>8238</v>
      </c>
      <c r="F6053" s="4"/>
      <c r="G6053" s="4"/>
      <c r="H6053" s="4"/>
      <c r="I6053" s="4"/>
      <c r="J6053" s="18">
        <v>0.0</v>
      </c>
      <c r="K6053" s="4" t="s">
        <v>8494</v>
      </c>
      <c r="L6053" s="19" t="s">
        <v>8494</v>
      </c>
      <c r="M6053" s="20" t="s">
        <v>8494</v>
      </c>
    </row>
    <row r="6054">
      <c r="A6054" s="6"/>
      <c r="B6054" s="6"/>
      <c r="C6054" s="6"/>
      <c r="D6054" s="4">
        <v>71.5422293345585</v>
      </c>
      <c r="E6054" s="4" t="s">
        <v>7277</v>
      </c>
      <c r="F6054" s="4"/>
      <c r="G6054" s="4"/>
      <c r="H6054" s="4"/>
      <c r="I6054" s="4"/>
      <c r="J6054" s="18">
        <v>0.0</v>
      </c>
      <c r="K6054" s="4" t="s">
        <v>8494</v>
      </c>
      <c r="L6054" s="19" t="s">
        <v>8494</v>
      </c>
      <c r="M6054" s="20" t="s">
        <v>8494</v>
      </c>
    </row>
    <row r="6055">
      <c r="A6055" s="6"/>
      <c r="B6055" s="6"/>
      <c r="C6055" s="6"/>
      <c r="D6055" s="4">
        <v>55.8035880622502</v>
      </c>
      <c r="E6055" s="4" t="s">
        <v>8241</v>
      </c>
      <c r="F6055" s="4"/>
      <c r="G6055" s="4"/>
      <c r="H6055" s="4"/>
      <c r="I6055" s="4"/>
      <c r="J6055" s="18">
        <v>0.0</v>
      </c>
      <c r="K6055" s="4" t="s">
        <v>8494</v>
      </c>
      <c r="L6055" s="19" t="s">
        <v>8494</v>
      </c>
      <c r="M6055" s="20" t="s">
        <v>8494</v>
      </c>
    </row>
    <row r="6056">
      <c r="A6056" s="6"/>
      <c r="B6056" s="6"/>
      <c r="C6056" s="6"/>
      <c r="D6056" s="4">
        <v>9.35900263782648</v>
      </c>
      <c r="E6056" s="4" t="s">
        <v>2235</v>
      </c>
      <c r="F6056" s="4"/>
      <c r="G6056" s="4"/>
      <c r="H6056" s="4"/>
      <c r="I6056" s="4"/>
      <c r="J6056" s="18">
        <v>0.0</v>
      </c>
      <c r="K6056" s="4" t="s">
        <v>8494</v>
      </c>
      <c r="L6056" s="19" t="s">
        <v>8494</v>
      </c>
      <c r="M6056" s="20" t="s">
        <v>8494</v>
      </c>
    </row>
    <row r="6057">
      <c r="A6057" s="6"/>
      <c r="B6057" s="6"/>
      <c r="C6057" s="6"/>
      <c r="D6057" s="4">
        <v>7.03833025476139</v>
      </c>
      <c r="E6057" s="4" t="s">
        <v>396</v>
      </c>
      <c r="F6057" s="4"/>
      <c r="G6057" s="4"/>
      <c r="H6057" s="4"/>
      <c r="I6057" s="4"/>
      <c r="J6057" s="18">
        <v>0.0</v>
      </c>
      <c r="K6057" s="4" t="s">
        <v>8494</v>
      </c>
      <c r="L6057" s="19" t="s">
        <v>8494</v>
      </c>
      <c r="M6057" s="20" t="s">
        <v>8494</v>
      </c>
    </row>
    <row r="6058">
      <c r="A6058" s="6"/>
      <c r="B6058" s="6"/>
      <c r="C6058" s="6"/>
      <c r="D6058" s="4">
        <v>9.124732696398489</v>
      </c>
      <c r="E6058" s="4" t="s">
        <v>3962</v>
      </c>
      <c r="F6058" s="4"/>
      <c r="G6058" s="4"/>
      <c r="H6058" s="4"/>
      <c r="I6058" s="4"/>
      <c r="J6058" s="18">
        <v>0.0</v>
      </c>
      <c r="K6058" s="4" t="s">
        <v>8494</v>
      </c>
      <c r="L6058" s="19" t="s">
        <v>8494</v>
      </c>
      <c r="M6058" s="20" t="s">
        <v>8494</v>
      </c>
    </row>
    <row r="6059">
      <c r="A6059" s="6"/>
      <c r="B6059" s="6"/>
      <c r="C6059" s="6"/>
      <c r="D6059" s="4">
        <v>46.5029900518752</v>
      </c>
      <c r="E6059" s="4" t="s">
        <v>7060</v>
      </c>
      <c r="F6059" s="4"/>
      <c r="G6059" s="4"/>
      <c r="H6059" s="4"/>
      <c r="I6059" s="4"/>
      <c r="J6059" s="18">
        <v>0.0</v>
      </c>
      <c r="K6059" s="4" t="s">
        <v>8494</v>
      </c>
      <c r="L6059" s="19" t="s">
        <v>8494</v>
      </c>
      <c r="M6059" s="20" t="s">
        <v>8494</v>
      </c>
    </row>
    <row r="6060">
      <c r="A6060" s="6"/>
      <c r="B6060" s="6"/>
      <c r="C6060" s="6"/>
      <c r="D6060" s="4">
        <v>8.80845806869784</v>
      </c>
      <c r="E6060" s="4" t="s">
        <v>3255</v>
      </c>
      <c r="F6060" s="4"/>
      <c r="G6060" s="4"/>
      <c r="H6060" s="4"/>
      <c r="I6060" s="4"/>
      <c r="J6060" s="18">
        <v>0.0</v>
      </c>
      <c r="K6060" s="4" t="s">
        <v>8494</v>
      </c>
      <c r="L6060" s="19" t="s">
        <v>8494</v>
      </c>
      <c r="M6060" s="20" t="s">
        <v>8494</v>
      </c>
    </row>
    <row r="6061">
      <c r="A6061" s="6"/>
      <c r="B6061" s="6"/>
      <c r="C6061" s="6"/>
      <c r="D6061" s="4">
        <v>52.7358490977954</v>
      </c>
      <c r="E6061" s="4" t="s">
        <v>2641</v>
      </c>
      <c r="F6061" s="4"/>
      <c r="G6061" s="4"/>
      <c r="H6061" s="4"/>
      <c r="I6061" s="4"/>
      <c r="J6061" s="18">
        <v>0.0</v>
      </c>
      <c r="K6061" s="4" t="s">
        <v>8494</v>
      </c>
      <c r="L6061" s="19" t="s">
        <v>8494</v>
      </c>
      <c r="M6061" s="20" t="s">
        <v>8494</v>
      </c>
    </row>
    <row r="6062">
      <c r="A6062" s="6"/>
      <c r="B6062" s="6"/>
      <c r="C6062" s="6"/>
      <c r="D6062" s="4">
        <v>65.1041860726253</v>
      </c>
      <c r="E6062" s="4" t="s">
        <v>5340</v>
      </c>
      <c r="F6062" s="4"/>
      <c r="G6062" s="4"/>
      <c r="H6062" s="4"/>
      <c r="I6062" s="4"/>
      <c r="J6062" s="18">
        <v>0.0</v>
      </c>
      <c r="K6062" s="4" t="s">
        <v>8494</v>
      </c>
      <c r="L6062" s="19" t="s">
        <v>8494</v>
      </c>
      <c r="M6062" s="20" t="s">
        <v>8494</v>
      </c>
    </row>
    <row r="6063">
      <c r="A6063" s="6"/>
      <c r="B6063" s="6"/>
      <c r="C6063" s="6"/>
      <c r="D6063" s="4">
        <v>9.30059801037504</v>
      </c>
      <c r="E6063" s="4" t="s">
        <v>6072</v>
      </c>
      <c r="F6063" s="4"/>
      <c r="G6063" s="4"/>
      <c r="H6063" s="4"/>
      <c r="I6063" s="4"/>
      <c r="J6063" s="18">
        <v>0.0</v>
      </c>
      <c r="K6063" s="4" t="s">
        <v>8494</v>
      </c>
      <c r="L6063" s="19" t="s">
        <v>8494</v>
      </c>
      <c r="M6063" s="20" t="s">
        <v>8494</v>
      </c>
    </row>
    <row r="6064">
      <c r="A6064" s="6"/>
      <c r="B6064" s="6"/>
      <c r="C6064" s="6"/>
      <c r="D6064" s="4">
        <v>86.8845351243361</v>
      </c>
      <c r="E6064" s="4" t="s">
        <v>5264</v>
      </c>
      <c r="F6064" s="4"/>
      <c r="G6064" s="4"/>
      <c r="H6064" s="4"/>
      <c r="I6064" s="4"/>
      <c r="J6064" s="18">
        <v>0.0</v>
      </c>
      <c r="K6064" s="4" t="s">
        <v>8494</v>
      </c>
      <c r="L6064" s="19" t="s">
        <v>8494</v>
      </c>
      <c r="M6064" s="20" t="s">
        <v>8494</v>
      </c>
    </row>
    <row r="6065">
      <c r="A6065" s="6"/>
      <c r="B6065" s="6"/>
      <c r="C6065" s="6"/>
      <c r="D6065" s="4">
        <v>93.0059801037504</v>
      </c>
      <c r="E6065" s="4" t="s">
        <v>6159</v>
      </c>
      <c r="F6065" s="4"/>
      <c r="G6065" s="4"/>
      <c r="H6065" s="4"/>
      <c r="I6065" s="4"/>
      <c r="J6065" s="18">
        <v>0.0</v>
      </c>
      <c r="K6065" s="4" t="s">
        <v>8494</v>
      </c>
      <c r="L6065" s="19" t="s">
        <v>8494</v>
      </c>
      <c r="M6065" s="20" t="s">
        <v>8494</v>
      </c>
    </row>
    <row r="6066">
      <c r="A6066" s="6"/>
      <c r="B6066" s="6"/>
      <c r="C6066" s="6"/>
      <c r="D6066" s="4">
        <v>9.362036800823851</v>
      </c>
      <c r="E6066" s="4" t="s">
        <v>6184</v>
      </c>
      <c r="F6066" s="4"/>
      <c r="G6066" s="4"/>
      <c r="H6066" s="4"/>
      <c r="I6066" s="4"/>
      <c r="J6066" s="18">
        <v>0.0</v>
      </c>
      <c r="K6066" s="4" t="s">
        <v>8494</v>
      </c>
      <c r="L6066" s="19" t="s">
        <v>8494</v>
      </c>
      <c r="M6066" s="20" t="s">
        <v>8494</v>
      </c>
    </row>
    <row r="6067">
      <c r="A6067" s="6"/>
      <c r="B6067" s="6"/>
      <c r="C6067" s="6"/>
      <c r="D6067" s="4">
        <v>36.9102848153856</v>
      </c>
      <c r="E6067" s="4" t="s">
        <v>4072</v>
      </c>
      <c r="F6067" s="4"/>
      <c r="G6067" s="4"/>
      <c r="H6067" s="4"/>
      <c r="I6067" s="4"/>
      <c r="J6067" s="18">
        <v>0.0</v>
      </c>
      <c r="K6067" s="4" t="s">
        <v>8494</v>
      </c>
      <c r="L6067" s="19" t="s">
        <v>8494</v>
      </c>
      <c r="M6067" s="20" t="s">
        <v>8494</v>
      </c>
    </row>
    <row r="6068">
      <c r="A6068" s="6"/>
      <c r="B6068" s="6"/>
      <c r="C6068" s="6"/>
      <c r="D6068" s="4">
        <v>186.01196020749998</v>
      </c>
      <c r="E6068" s="4" t="s">
        <v>808</v>
      </c>
      <c r="F6068" s="4"/>
      <c r="G6068" s="4"/>
      <c r="H6068" s="4"/>
      <c r="I6068" s="4"/>
      <c r="J6068" s="18">
        <v>0.0</v>
      </c>
      <c r="K6068" s="4" t="s">
        <v>8494</v>
      </c>
      <c r="L6068" s="19" t="s">
        <v>8494</v>
      </c>
      <c r="M6068" s="20" t="s">
        <v>8494</v>
      </c>
    </row>
    <row r="6069">
      <c r="A6069" s="6"/>
      <c r="B6069" s="6"/>
      <c r="C6069" s="6"/>
      <c r="D6069" s="4">
        <v>82.4849195779668</v>
      </c>
      <c r="E6069" s="4" t="s">
        <v>8250</v>
      </c>
      <c r="F6069" s="4"/>
      <c r="G6069" s="4"/>
      <c r="H6069" s="4"/>
      <c r="I6069" s="4"/>
      <c r="J6069" s="18">
        <v>0.0</v>
      </c>
      <c r="K6069" s="4" t="s">
        <v>8494</v>
      </c>
      <c r="L6069" s="19" t="s">
        <v>8494</v>
      </c>
      <c r="M6069" s="20" t="s">
        <v>8494</v>
      </c>
    </row>
    <row r="6070">
      <c r="A6070" s="6"/>
      <c r="B6070" s="6"/>
      <c r="C6070" s="6"/>
      <c r="D6070" s="4">
        <v>111.325074737608</v>
      </c>
      <c r="E6070" s="4" t="s">
        <v>8252</v>
      </c>
      <c r="F6070" s="4"/>
      <c r="G6070" s="4"/>
      <c r="H6070" s="4"/>
      <c r="I6070" s="4"/>
      <c r="J6070" s="18">
        <v>0.0</v>
      </c>
      <c r="K6070" s="4" t="s">
        <v>8494</v>
      </c>
      <c r="L6070" s="19" t="s">
        <v>8494</v>
      </c>
      <c r="M6070" s="20" t="s">
        <v>8494</v>
      </c>
    </row>
    <row r="6071">
      <c r="A6071" s="6"/>
      <c r="B6071" s="6"/>
      <c r="C6071" s="6"/>
      <c r="D6071" s="4">
        <v>79.4270119587233</v>
      </c>
      <c r="E6071" s="4" t="s">
        <v>4704</v>
      </c>
      <c r="F6071" s="4"/>
      <c r="G6071" s="4"/>
      <c r="H6071" s="4"/>
      <c r="I6071" s="4"/>
      <c r="J6071" s="18">
        <v>0.0</v>
      </c>
      <c r="K6071" s="4" t="s">
        <v>8494</v>
      </c>
      <c r="L6071" s="19" t="s">
        <v>8494</v>
      </c>
      <c r="M6071" s="20" t="s">
        <v>8494</v>
      </c>
    </row>
    <row r="6072">
      <c r="A6072" s="6"/>
      <c r="B6072" s="6"/>
      <c r="C6072" s="6"/>
      <c r="D6072" s="4">
        <v>56.0004209217025</v>
      </c>
      <c r="E6072" s="4" t="s">
        <v>8255</v>
      </c>
      <c r="F6072" s="4"/>
      <c r="G6072" s="4"/>
      <c r="H6072" s="4"/>
      <c r="I6072" s="4"/>
      <c r="J6072" s="18">
        <v>0.0</v>
      </c>
      <c r="K6072" s="4" t="s">
        <v>8494</v>
      </c>
      <c r="L6072" s="19" t="s">
        <v>8494</v>
      </c>
      <c r="M6072" s="20" t="s">
        <v>8494</v>
      </c>
    </row>
    <row r="6073">
      <c r="A6073" s="6"/>
      <c r="B6073" s="6"/>
      <c r="C6073" s="6"/>
      <c r="D6073" s="4">
        <v>9.30059801037504</v>
      </c>
      <c r="E6073" s="4" t="s">
        <v>5679</v>
      </c>
      <c r="F6073" s="4"/>
      <c r="G6073" s="4"/>
      <c r="H6073" s="4"/>
      <c r="I6073" s="4"/>
      <c r="J6073" s="18">
        <v>0.0</v>
      </c>
      <c r="K6073" s="4" t="s">
        <v>8494</v>
      </c>
      <c r="L6073" s="19" t="s">
        <v>8494</v>
      </c>
      <c r="M6073" s="20" t="s">
        <v>8494</v>
      </c>
    </row>
    <row r="6074">
      <c r="A6074" s="6"/>
      <c r="B6074" s="6"/>
      <c r="C6074" s="6"/>
      <c r="D6074" s="4">
        <v>183.03983098433397</v>
      </c>
      <c r="E6074" s="4" t="s">
        <v>4733</v>
      </c>
      <c r="F6074" s="4"/>
      <c r="G6074" s="4"/>
      <c r="H6074" s="4"/>
      <c r="I6074" s="4"/>
      <c r="J6074" s="18">
        <v>0.0</v>
      </c>
      <c r="K6074" s="4" t="s">
        <v>8494</v>
      </c>
      <c r="L6074" s="19" t="s">
        <v>8494</v>
      </c>
      <c r="M6074" s="20" t="s">
        <v>8494</v>
      </c>
    </row>
    <row r="6075">
      <c r="A6075" s="6"/>
      <c r="B6075" s="6"/>
      <c r="C6075" s="6"/>
      <c r="D6075" s="4">
        <v>186.01196020749998</v>
      </c>
      <c r="E6075" s="4" t="s">
        <v>1125</v>
      </c>
      <c r="F6075" s="4"/>
      <c r="G6075" s="4"/>
      <c r="H6075" s="4"/>
      <c r="I6075" s="4"/>
      <c r="J6075" s="18">
        <v>0.0</v>
      </c>
      <c r="K6075" s="4" t="s">
        <v>8494</v>
      </c>
      <c r="L6075" s="19" t="s">
        <v>8494</v>
      </c>
      <c r="M6075" s="20" t="s">
        <v>8494</v>
      </c>
    </row>
    <row r="6076">
      <c r="A6076" s="6"/>
      <c r="B6076" s="6"/>
      <c r="C6076" s="6"/>
      <c r="D6076" s="4">
        <v>148.201160632714</v>
      </c>
      <c r="E6076" s="4" t="s">
        <v>4967</v>
      </c>
      <c r="F6076" s="4"/>
      <c r="G6076" s="4"/>
      <c r="H6076" s="4"/>
      <c r="I6076" s="4"/>
      <c r="J6076" s="18">
        <v>0.0</v>
      </c>
      <c r="K6076" s="4" t="s">
        <v>8494</v>
      </c>
      <c r="L6076" s="19" t="s">
        <v>8494</v>
      </c>
      <c r="M6076" s="20" t="s">
        <v>8494</v>
      </c>
    </row>
    <row r="6077">
      <c r="A6077" s="6"/>
      <c r="B6077" s="6"/>
      <c r="C6077" s="6"/>
      <c r="D6077" s="4">
        <v>186.01196020749998</v>
      </c>
      <c r="E6077" s="4" t="s">
        <v>5941</v>
      </c>
      <c r="F6077" s="4"/>
      <c r="G6077" s="4"/>
      <c r="H6077" s="4"/>
      <c r="I6077" s="4"/>
      <c r="J6077" s="18">
        <v>0.0</v>
      </c>
      <c r="K6077" s="4" t="s">
        <v>8494</v>
      </c>
      <c r="L6077" s="19" t="s">
        <v>8494</v>
      </c>
      <c r="M6077" s="20" t="s">
        <v>8494</v>
      </c>
    </row>
    <row r="6078">
      <c r="A6078" s="6"/>
      <c r="B6078" s="6"/>
      <c r="C6078" s="6"/>
      <c r="D6078" s="4">
        <v>64.4386192437678</v>
      </c>
      <c r="E6078" s="4" t="s">
        <v>6077</v>
      </c>
      <c r="F6078" s="4"/>
      <c r="G6078" s="4"/>
      <c r="H6078" s="4"/>
      <c r="I6078" s="4"/>
      <c r="J6078" s="18">
        <v>0.0</v>
      </c>
      <c r="K6078" s="4" t="s">
        <v>8494</v>
      </c>
      <c r="L6078" s="19" t="s">
        <v>8494</v>
      </c>
      <c r="M6078" s="20" t="s">
        <v>8494</v>
      </c>
    </row>
    <row r="6079">
      <c r="A6079" s="6"/>
      <c r="B6079" s="6"/>
      <c r="C6079" s="6"/>
      <c r="D6079" s="4">
        <v>186.01196020749998</v>
      </c>
      <c r="E6079" s="4" t="s">
        <v>107</v>
      </c>
      <c r="F6079" s="4"/>
      <c r="G6079" s="4"/>
      <c r="H6079" s="4"/>
      <c r="I6079" s="4"/>
      <c r="J6079" s="18">
        <v>0.0</v>
      </c>
      <c r="K6079" s="4" t="s">
        <v>8494</v>
      </c>
      <c r="L6079" s="19" t="s">
        <v>8494</v>
      </c>
      <c r="M6079" s="20" t="s">
        <v>8494</v>
      </c>
    </row>
    <row r="6080">
      <c r="A6080" s="6"/>
      <c r="B6080" s="6"/>
      <c r="C6080" s="6"/>
      <c r="D6080" s="4">
        <v>27.9017940311251</v>
      </c>
      <c r="E6080" s="4" t="s">
        <v>5090</v>
      </c>
      <c r="F6080" s="4"/>
      <c r="G6080" s="4"/>
      <c r="H6080" s="4"/>
      <c r="I6080" s="4"/>
      <c r="J6080" s="18">
        <v>0.0</v>
      </c>
      <c r="K6080" s="4" t="s">
        <v>8494</v>
      </c>
      <c r="L6080" s="19" t="s">
        <v>8494</v>
      </c>
      <c r="M6080" s="20" t="s">
        <v>8494</v>
      </c>
    </row>
    <row r="6081">
      <c r="A6081" s="6"/>
      <c r="B6081" s="6"/>
      <c r="C6081" s="6"/>
      <c r="D6081" s="4">
        <v>139.490618004365</v>
      </c>
      <c r="E6081" s="4" t="s">
        <v>5307</v>
      </c>
      <c r="F6081" s="4"/>
      <c r="G6081" s="4"/>
      <c r="H6081" s="4"/>
      <c r="I6081" s="4"/>
      <c r="J6081" s="18">
        <v>0.0</v>
      </c>
      <c r="K6081" s="4" t="s">
        <v>8494</v>
      </c>
      <c r="L6081" s="19" t="s">
        <v>8494</v>
      </c>
      <c r="M6081" s="20" t="s">
        <v>8494</v>
      </c>
    </row>
    <row r="6082">
      <c r="A6082" s="6"/>
      <c r="B6082" s="6"/>
      <c r="C6082" s="6"/>
      <c r="D6082" s="4">
        <v>186.01196020749998</v>
      </c>
      <c r="E6082" s="4" t="s">
        <v>123</v>
      </c>
      <c r="F6082" s="4"/>
      <c r="G6082" s="4"/>
      <c r="H6082" s="4"/>
      <c r="I6082" s="4"/>
      <c r="J6082" s="18">
        <v>0.0</v>
      </c>
      <c r="K6082" s="4" t="s">
        <v>8494</v>
      </c>
      <c r="L6082" s="19" t="s">
        <v>8494</v>
      </c>
      <c r="M6082" s="20" t="s">
        <v>8494</v>
      </c>
    </row>
    <row r="6083">
      <c r="A6083" s="6"/>
      <c r="B6083" s="6"/>
      <c r="C6083" s="6"/>
      <c r="D6083" s="4">
        <v>186.01196020749998</v>
      </c>
      <c r="E6083" s="4" t="s">
        <v>6179</v>
      </c>
      <c r="F6083" s="4"/>
      <c r="G6083" s="4"/>
      <c r="H6083" s="4"/>
      <c r="I6083" s="4"/>
      <c r="J6083" s="18">
        <v>0.0</v>
      </c>
      <c r="K6083" s="4" t="s">
        <v>8494</v>
      </c>
      <c r="L6083" s="19" t="s">
        <v>8494</v>
      </c>
      <c r="M6083" s="20" t="s">
        <v>8494</v>
      </c>
    </row>
    <row r="6084">
      <c r="A6084" s="6"/>
      <c r="B6084" s="6"/>
      <c r="C6084" s="6"/>
      <c r="D6084" s="4">
        <v>55.8035880622502</v>
      </c>
      <c r="E6084" s="4" t="s">
        <v>8261</v>
      </c>
      <c r="F6084" s="4"/>
      <c r="G6084" s="4"/>
      <c r="H6084" s="4"/>
      <c r="I6084" s="4"/>
      <c r="J6084" s="18">
        <v>0.0</v>
      </c>
      <c r="K6084" s="4" t="s">
        <v>8494</v>
      </c>
      <c r="L6084" s="19" t="s">
        <v>8494</v>
      </c>
      <c r="M6084" s="20" t="s">
        <v>8494</v>
      </c>
    </row>
    <row r="6085">
      <c r="A6085" s="6"/>
      <c r="B6085" s="6"/>
      <c r="C6085" s="6"/>
      <c r="D6085" s="4">
        <v>39.0625116435751</v>
      </c>
      <c r="E6085" s="4" t="s">
        <v>4982</v>
      </c>
      <c r="F6085" s="4"/>
      <c r="G6085" s="4"/>
      <c r="H6085" s="4"/>
      <c r="I6085" s="4"/>
      <c r="J6085" s="18">
        <v>0.0</v>
      </c>
      <c r="K6085" s="4" t="s">
        <v>8494</v>
      </c>
      <c r="L6085" s="19" t="s">
        <v>8494</v>
      </c>
      <c r="M6085" s="20" t="s">
        <v>8494</v>
      </c>
    </row>
    <row r="6086">
      <c r="A6086" s="6"/>
      <c r="B6086" s="6"/>
      <c r="C6086" s="6"/>
      <c r="D6086" s="4">
        <v>65.161130666794</v>
      </c>
      <c r="E6086" s="4" t="s">
        <v>8263</v>
      </c>
      <c r="F6086" s="4"/>
      <c r="G6086" s="4"/>
      <c r="H6086" s="4"/>
      <c r="I6086" s="4"/>
      <c r="J6086" s="18">
        <v>0.0</v>
      </c>
      <c r="K6086" s="4" t="s">
        <v>8494</v>
      </c>
      <c r="L6086" s="19" t="s">
        <v>8494</v>
      </c>
      <c r="M6086" s="20" t="s">
        <v>8494</v>
      </c>
    </row>
    <row r="6087">
      <c r="A6087" s="6"/>
      <c r="B6087" s="6"/>
      <c r="C6087" s="6"/>
      <c r="D6087" s="4">
        <v>18.60119602075</v>
      </c>
      <c r="E6087" s="4" t="s">
        <v>5179</v>
      </c>
      <c r="F6087" s="4"/>
      <c r="G6087" s="4"/>
      <c r="H6087" s="4"/>
      <c r="I6087" s="4"/>
      <c r="J6087" s="18">
        <v>0.0</v>
      </c>
      <c r="K6087" s="4" t="s">
        <v>8494</v>
      </c>
      <c r="L6087" s="19" t="s">
        <v>8494</v>
      </c>
      <c r="M6087" s="20" t="s">
        <v>8494</v>
      </c>
    </row>
    <row r="6088">
      <c r="A6088" s="6"/>
      <c r="B6088" s="6"/>
      <c r="C6088" s="6"/>
      <c r="D6088" s="4">
        <v>56.0216756034593</v>
      </c>
      <c r="E6088" s="4" t="s">
        <v>3972</v>
      </c>
      <c r="F6088" s="4"/>
      <c r="G6088" s="4"/>
      <c r="H6088" s="4"/>
      <c r="I6088" s="4"/>
      <c r="J6088" s="18">
        <v>0.0</v>
      </c>
      <c r="K6088" s="4" t="s">
        <v>8494</v>
      </c>
      <c r="L6088" s="19" t="s">
        <v>8494</v>
      </c>
      <c r="M6088" s="20" t="s">
        <v>8494</v>
      </c>
    </row>
    <row r="6089">
      <c r="A6089" s="6"/>
      <c r="B6089" s="6"/>
      <c r="C6089" s="6"/>
      <c r="D6089" s="4">
        <v>64.9456929599062</v>
      </c>
      <c r="E6089" s="4" t="s">
        <v>4484</v>
      </c>
      <c r="F6089" s="4"/>
      <c r="G6089" s="4"/>
      <c r="H6089" s="4"/>
      <c r="I6089" s="4"/>
      <c r="J6089" s="18">
        <v>0.0</v>
      </c>
      <c r="K6089" s="4" t="s">
        <v>8494</v>
      </c>
      <c r="L6089" s="19" t="s">
        <v>8494</v>
      </c>
      <c r="M6089" s="20" t="s">
        <v>8494</v>
      </c>
    </row>
    <row r="6090">
      <c r="A6090" s="6"/>
      <c r="B6090" s="6"/>
      <c r="C6090" s="6"/>
      <c r="D6090" s="4">
        <v>12.0907774134875</v>
      </c>
      <c r="E6090" s="4" t="s">
        <v>8267</v>
      </c>
      <c r="F6090" s="4"/>
      <c r="G6090" s="4"/>
      <c r="H6090" s="4"/>
      <c r="I6090" s="4"/>
      <c r="J6090" s="18">
        <v>0.0</v>
      </c>
      <c r="K6090" s="4" t="s">
        <v>8494</v>
      </c>
      <c r="L6090" s="19" t="s">
        <v>8494</v>
      </c>
      <c r="M6090" s="20" t="s">
        <v>8494</v>
      </c>
    </row>
    <row r="6091">
      <c r="A6091" s="6"/>
      <c r="B6091" s="6"/>
      <c r="C6091" s="6"/>
      <c r="D6091" s="4">
        <v>111.6071761245</v>
      </c>
      <c r="E6091" s="4" t="s">
        <v>8268</v>
      </c>
      <c r="F6091" s="4"/>
      <c r="G6091" s="4"/>
      <c r="H6091" s="4"/>
      <c r="I6091" s="4"/>
      <c r="J6091" s="18">
        <v>0.0</v>
      </c>
      <c r="K6091" s="4" t="s">
        <v>8494</v>
      </c>
      <c r="L6091" s="19" t="s">
        <v>8494</v>
      </c>
      <c r="M6091" s="20" t="s">
        <v>8494</v>
      </c>
    </row>
    <row r="6092">
      <c r="A6092" s="6"/>
      <c r="B6092" s="6"/>
      <c r="C6092" s="6"/>
      <c r="D6092" s="4">
        <v>186.01196020749998</v>
      </c>
      <c r="E6092" s="4" t="s">
        <v>4209</v>
      </c>
      <c r="F6092" s="4"/>
      <c r="G6092" s="4"/>
      <c r="H6092" s="4"/>
      <c r="I6092" s="4"/>
      <c r="J6092" s="18">
        <v>0.0</v>
      </c>
      <c r="K6092" s="4" t="s">
        <v>8494</v>
      </c>
      <c r="L6092" s="19" t="s">
        <v>8494</v>
      </c>
      <c r="M6092" s="20" t="s">
        <v>8494</v>
      </c>
    </row>
    <row r="6093">
      <c r="A6093" s="6"/>
      <c r="B6093" s="6"/>
      <c r="C6093" s="6"/>
      <c r="D6093" s="4">
        <v>186.01196020749998</v>
      </c>
      <c r="E6093" s="4" t="s">
        <v>72</v>
      </c>
      <c r="F6093" s="4"/>
      <c r="G6093" s="4"/>
      <c r="H6093" s="4"/>
      <c r="I6093" s="4"/>
      <c r="J6093" s="18">
        <v>0.0</v>
      </c>
      <c r="K6093" s="4" t="s">
        <v>8494</v>
      </c>
      <c r="L6093" s="19" t="s">
        <v>8494</v>
      </c>
      <c r="M6093" s="20" t="s">
        <v>8494</v>
      </c>
    </row>
    <row r="6094">
      <c r="A6094" s="6"/>
      <c r="B6094" s="6"/>
      <c r="C6094" s="6"/>
      <c r="D6094" s="4">
        <v>143.620725832689</v>
      </c>
      <c r="E6094" s="4" t="s">
        <v>2237</v>
      </c>
      <c r="F6094" s="4"/>
      <c r="G6094" s="4"/>
      <c r="H6094" s="4"/>
      <c r="I6094" s="4"/>
      <c r="J6094" s="18">
        <v>0.0</v>
      </c>
      <c r="K6094" s="4" t="s">
        <v>8494</v>
      </c>
      <c r="L6094" s="19" t="s">
        <v>8494</v>
      </c>
      <c r="M6094" s="20" t="s">
        <v>8494</v>
      </c>
    </row>
    <row r="6095">
      <c r="A6095" s="6"/>
      <c r="B6095" s="6"/>
      <c r="C6095" s="6"/>
      <c r="D6095" s="4">
        <v>89.4717528598079</v>
      </c>
      <c r="E6095" s="4" t="s">
        <v>3938</v>
      </c>
      <c r="F6095" s="4"/>
      <c r="G6095" s="4"/>
      <c r="H6095" s="4"/>
      <c r="I6095" s="4"/>
      <c r="J6095" s="18">
        <v>0.0</v>
      </c>
      <c r="K6095" s="4" t="s">
        <v>8494</v>
      </c>
      <c r="L6095" s="19" t="s">
        <v>8494</v>
      </c>
      <c r="M6095" s="20" t="s">
        <v>8494</v>
      </c>
    </row>
    <row r="6096">
      <c r="A6096" s="6"/>
      <c r="B6096" s="6"/>
      <c r="C6096" s="6"/>
      <c r="D6096" s="4">
        <v>64.57599053249331</v>
      </c>
      <c r="E6096" s="4" t="s">
        <v>3275</v>
      </c>
      <c r="F6096" s="4"/>
      <c r="G6096" s="4"/>
      <c r="H6096" s="4"/>
      <c r="I6096" s="4"/>
      <c r="J6096" s="18">
        <v>0.0</v>
      </c>
      <c r="K6096" s="4" t="s">
        <v>8494</v>
      </c>
      <c r="L6096" s="19" t="s">
        <v>8494</v>
      </c>
      <c r="M6096" s="20" t="s">
        <v>8494</v>
      </c>
    </row>
    <row r="6097">
      <c r="A6097" s="6"/>
      <c r="B6097" s="6"/>
      <c r="C6097" s="6"/>
      <c r="D6097" s="4">
        <v>149.14438969437398</v>
      </c>
      <c r="E6097" s="4" t="s">
        <v>5164</v>
      </c>
      <c r="F6097" s="4"/>
      <c r="G6097" s="4"/>
      <c r="H6097" s="4"/>
      <c r="I6097" s="4"/>
      <c r="J6097" s="18">
        <v>0.0</v>
      </c>
      <c r="K6097" s="4" t="s">
        <v>8494</v>
      </c>
      <c r="L6097" s="19" t="s">
        <v>8494</v>
      </c>
      <c r="M6097" s="20" t="s">
        <v>8494</v>
      </c>
    </row>
    <row r="6098">
      <c r="A6098" s="6"/>
      <c r="B6098" s="6"/>
      <c r="C6098" s="6"/>
      <c r="D6098" s="4">
        <v>75.5195602039782</v>
      </c>
      <c r="E6098" s="4" t="s">
        <v>3969</v>
      </c>
      <c r="F6098" s="4"/>
      <c r="G6098" s="4"/>
      <c r="H6098" s="4"/>
      <c r="I6098" s="4"/>
      <c r="J6098" s="18">
        <v>0.0</v>
      </c>
      <c r="K6098" s="4" t="s">
        <v>8494</v>
      </c>
      <c r="L6098" s="19" t="s">
        <v>8494</v>
      </c>
      <c r="M6098" s="20" t="s">
        <v>8494</v>
      </c>
    </row>
    <row r="6099">
      <c r="A6099" s="6"/>
      <c r="B6099" s="6"/>
      <c r="C6099" s="6"/>
      <c r="D6099" s="4">
        <v>18.6406665481402</v>
      </c>
      <c r="E6099" s="4" t="s">
        <v>4065</v>
      </c>
      <c r="F6099" s="4"/>
      <c r="G6099" s="4"/>
      <c r="H6099" s="4"/>
      <c r="I6099" s="4"/>
      <c r="J6099" s="18">
        <v>0.0</v>
      </c>
      <c r="K6099" s="4" t="s">
        <v>8494</v>
      </c>
      <c r="L6099" s="19" t="s">
        <v>8494</v>
      </c>
      <c r="M6099" s="20" t="s">
        <v>8494</v>
      </c>
    </row>
    <row r="6100">
      <c r="A6100" s="6"/>
      <c r="B6100" s="6"/>
      <c r="C6100" s="6"/>
      <c r="D6100" s="4">
        <v>10.4059638275806</v>
      </c>
      <c r="E6100" s="4" t="s">
        <v>7120</v>
      </c>
      <c r="F6100" s="4"/>
      <c r="G6100" s="4"/>
      <c r="H6100" s="4"/>
      <c r="I6100" s="4"/>
      <c r="J6100" s="18">
        <v>0.0</v>
      </c>
      <c r="K6100" s="4" t="s">
        <v>8494</v>
      </c>
      <c r="L6100" s="19" t="s">
        <v>8494</v>
      </c>
      <c r="M6100" s="20" t="s">
        <v>8494</v>
      </c>
    </row>
    <row r="6101">
      <c r="A6101" s="6"/>
      <c r="B6101" s="6"/>
      <c r="C6101" s="6"/>
      <c r="D6101" s="4">
        <v>83.5193701331678</v>
      </c>
      <c r="E6101" s="4" t="s">
        <v>3172</v>
      </c>
      <c r="F6101" s="4"/>
      <c r="G6101" s="4"/>
      <c r="H6101" s="4"/>
      <c r="I6101" s="4"/>
      <c r="J6101" s="18">
        <v>0.0</v>
      </c>
      <c r="K6101" s="4" t="s">
        <v>8494</v>
      </c>
      <c r="L6101" s="19" t="s">
        <v>8494</v>
      </c>
      <c r="M6101" s="20" t="s">
        <v>8494</v>
      </c>
    </row>
    <row r="6102">
      <c r="A6102" s="6"/>
      <c r="B6102" s="6"/>
      <c r="C6102" s="6"/>
      <c r="D6102" s="4">
        <v>65.1041860726253</v>
      </c>
      <c r="E6102" s="4" t="s">
        <v>4182</v>
      </c>
      <c r="F6102" s="4"/>
      <c r="G6102" s="4"/>
      <c r="H6102" s="4"/>
      <c r="I6102" s="4"/>
      <c r="J6102" s="18">
        <v>0.0</v>
      </c>
      <c r="K6102" s="4" t="s">
        <v>8494</v>
      </c>
      <c r="L6102" s="19" t="s">
        <v>8494</v>
      </c>
      <c r="M6102" s="20" t="s">
        <v>8494</v>
      </c>
    </row>
    <row r="6103">
      <c r="A6103" s="6"/>
      <c r="B6103" s="6"/>
      <c r="C6103" s="6"/>
      <c r="D6103" s="4">
        <v>67.3873607202594</v>
      </c>
      <c r="E6103" s="4" t="s">
        <v>3737</v>
      </c>
      <c r="F6103" s="4"/>
      <c r="G6103" s="4"/>
      <c r="H6103" s="4"/>
      <c r="I6103" s="4"/>
      <c r="J6103" s="18">
        <v>0.0</v>
      </c>
      <c r="K6103" s="4" t="s">
        <v>8494</v>
      </c>
      <c r="L6103" s="19" t="s">
        <v>8494</v>
      </c>
      <c r="M6103" s="20" t="s">
        <v>8494</v>
      </c>
    </row>
    <row r="6104">
      <c r="A6104" s="6"/>
      <c r="B6104" s="6"/>
      <c r="C6104" s="6"/>
      <c r="D6104" s="4">
        <v>65.6018938091493</v>
      </c>
      <c r="E6104" s="4" t="s">
        <v>2660</v>
      </c>
      <c r="F6104" s="4"/>
      <c r="G6104" s="4"/>
      <c r="H6104" s="4"/>
      <c r="I6104" s="4"/>
      <c r="J6104" s="18">
        <v>0.0</v>
      </c>
      <c r="K6104" s="4" t="s">
        <v>8494</v>
      </c>
      <c r="L6104" s="19" t="s">
        <v>8494</v>
      </c>
      <c r="M6104" s="20" t="s">
        <v>8494</v>
      </c>
    </row>
    <row r="6105">
      <c r="A6105" s="6"/>
      <c r="B6105" s="6"/>
      <c r="C6105" s="6"/>
      <c r="D6105" s="4">
        <v>93.0059801037504</v>
      </c>
      <c r="E6105" s="4" t="s">
        <v>4202</v>
      </c>
      <c r="F6105" s="4"/>
      <c r="G6105" s="4"/>
      <c r="H6105" s="4"/>
      <c r="I6105" s="4"/>
      <c r="J6105" s="18">
        <v>0.0</v>
      </c>
      <c r="K6105" s="4" t="s">
        <v>8494</v>
      </c>
      <c r="L6105" s="19" t="s">
        <v>8494</v>
      </c>
      <c r="M6105" s="20" t="s">
        <v>8494</v>
      </c>
    </row>
    <row r="6106">
      <c r="A6106" s="6"/>
      <c r="B6106" s="6"/>
      <c r="C6106" s="6"/>
      <c r="D6106" s="4">
        <v>9.30059801037504</v>
      </c>
      <c r="E6106" s="4" t="s">
        <v>3678</v>
      </c>
      <c r="F6106" s="4"/>
      <c r="G6106" s="4"/>
      <c r="H6106" s="4"/>
      <c r="I6106" s="4"/>
      <c r="J6106" s="18">
        <v>0.0</v>
      </c>
      <c r="K6106" s="4" t="s">
        <v>8494</v>
      </c>
      <c r="L6106" s="19" t="s">
        <v>8494</v>
      </c>
      <c r="M6106" s="20" t="s">
        <v>8494</v>
      </c>
    </row>
    <row r="6107">
      <c r="A6107" s="6"/>
      <c r="B6107" s="6"/>
      <c r="C6107" s="6"/>
      <c r="D6107" s="4">
        <v>9.67262193079004</v>
      </c>
      <c r="E6107" s="4" t="s">
        <v>8279</v>
      </c>
      <c r="F6107" s="4"/>
      <c r="G6107" s="4"/>
      <c r="H6107" s="4"/>
      <c r="I6107" s="4"/>
      <c r="J6107" s="18">
        <v>0.0</v>
      </c>
      <c r="K6107" s="4" t="s">
        <v>8494</v>
      </c>
      <c r="L6107" s="19" t="s">
        <v>8494</v>
      </c>
      <c r="M6107" s="20" t="s">
        <v>8494</v>
      </c>
    </row>
    <row r="6108">
      <c r="A6108" s="6"/>
      <c r="B6108" s="6"/>
      <c r="C6108" s="6"/>
      <c r="D6108" s="4">
        <v>58.0357315847402</v>
      </c>
      <c r="E6108" s="4" t="s">
        <v>1570</v>
      </c>
      <c r="F6108" s="4"/>
      <c r="G6108" s="4"/>
      <c r="H6108" s="4"/>
      <c r="I6108" s="4"/>
      <c r="J6108" s="18">
        <v>0.0</v>
      </c>
      <c r="K6108" s="4" t="s">
        <v>8494</v>
      </c>
      <c r="L6108" s="19" t="s">
        <v>8494</v>
      </c>
      <c r="M6108" s="20" t="s">
        <v>8494</v>
      </c>
    </row>
    <row r="6109">
      <c r="A6109" s="6"/>
      <c r="B6109" s="6"/>
      <c r="C6109" s="6"/>
      <c r="D6109" s="4">
        <v>157.51961216943002</v>
      </c>
      <c r="E6109" s="4" t="s">
        <v>8281</v>
      </c>
      <c r="F6109" s="4"/>
      <c r="G6109" s="4"/>
      <c r="H6109" s="4"/>
      <c r="I6109" s="4"/>
      <c r="J6109" s="18">
        <v>0.0</v>
      </c>
      <c r="K6109" s="4" t="s">
        <v>8494</v>
      </c>
      <c r="L6109" s="19" t="s">
        <v>8494</v>
      </c>
      <c r="M6109" s="20" t="s">
        <v>8494</v>
      </c>
    </row>
    <row r="6110">
      <c r="A6110" s="6"/>
      <c r="B6110" s="6"/>
      <c r="C6110" s="6"/>
      <c r="D6110" s="4">
        <v>179.57334366014499</v>
      </c>
      <c r="E6110" s="4" t="s">
        <v>8283</v>
      </c>
      <c r="F6110" s="4"/>
      <c r="G6110" s="4"/>
      <c r="H6110" s="4"/>
      <c r="I6110" s="4"/>
      <c r="J6110" s="18">
        <v>0.0</v>
      </c>
      <c r="K6110" s="4" t="s">
        <v>8494</v>
      </c>
      <c r="L6110" s="19" t="s">
        <v>8494</v>
      </c>
      <c r="M6110" s="20" t="s">
        <v>8494</v>
      </c>
    </row>
    <row r="6111">
      <c r="A6111" s="6"/>
      <c r="B6111" s="6"/>
      <c r="C6111" s="6"/>
      <c r="D6111" s="4">
        <v>50.293936242317</v>
      </c>
      <c r="E6111" s="4" t="s">
        <v>1957</v>
      </c>
      <c r="F6111" s="4"/>
      <c r="G6111" s="4"/>
      <c r="H6111" s="4"/>
      <c r="I6111" s="4"/>
      <c r="J6111" s="18">
        <v>0.0</v>
      </c>
      <c r="K6111" s="4" t="s">
        <v>8494</v>
      </c>
      <c r="L6111" s="19" t="s">
        <v>8494</v>
      </c>
      <c r="M6111" s="20" t="s">
        <v>8494</v>
      </c>
    </row>
    <row r="6112">
      <c r="A6112" s="6"/>
      <c r="B6112" s="6"/>
      <c r="C6112" s="6"/>
      <c r="D6112" s="4">
        <v>62.0572886706111</v>
      </c>
      <c r="E6112" s="4" t="s">
        <v>5577</v>
      </c>
      <c r="F6112" s="4"/>
      <c r="G6112" s="4"/>
      <c r="H6112" s="4"/>
      <c r="I6112" s="4"/>
      <c r="J6112" s="18">
        <v>0.0</v>
      </c>
      <c r="K6112" s="4" t="s">
        <v>8494</v>
      </c>
      <c r="L6112" s="19" t="s">
        <v>8494</v>
      </c>
      <c r="M6112" s="20" t="s">
        <v>8494</v>
      </c>
    </row>
    <row r="6113">
      <c r="A6113" s="6"/>
      <c r="B6113" s="6"/>
      <c r="C6113" s="6"/>
      <c r="D6113" s="4">
        <v>46.5029900518752</v>
      </c>
      <c r="E6113" s="4" t="s">
        <v>3517</v>
      </c>
      <c r="F6113" s="4"/>
      <c r="G6113" s="4"/>
      <c r="H6113" s="4"/>
      <c r="I6113" s="4"/>
      <c r="J6113" s="18">
        <v>0.0</v>
      </c>
      <c r="K6113" s="4" t="s">
        <v>8494</v>
      </c>
      <c r="L6113" s="19" t="s">
        <v>8494</v>
      </c>
      <c r="M6113" s="20" t="s">
        <v>8494</v>
      </c>
    </row>
    <row r="6114">
      <c r="A6114" s="6"/>
      <c r="B6114" s="6"/>
      <c r="C6114" s="6"/>
      <c r="D6114" s="4">
        <v>186.01196020749998</v>
      </c>
      <c r="E6114" s="4" t="s">
        <v>5821</v>
      </c>
      <c r="F6114" s="4"/>
      <c r="G6114" s="4"/>
      <c r="H6114" s="4"/>
      <c r="I6114" s="4"/>
      <c r="J6114" s="18">
        <v>0.0</v>
      </c>
      <c r="K6114" s="4" t="s">
        <v>8494</v>
      </c>
      <c r="L6114" s="19" t="s">
        <v>8494</v>
      </c>
      <c r="M6114" s="20" t="s">
        <v>8494</v>
      </c>
    </row>
    <row r="6115">
      <c r="A6115" s="6"/>
      <c r="B6115" s="6"/>
      <c r="C6115" s="6"/>
      <c r="D6115" s="4">
        <v>186.01196020749998</v>
      </c>
      <c r="E6115" s="4" t="s">
        <v>1444</v>
      </c>
      <c r="F6115" s="4"/>
      <c r="G6115" s="4"/>
      <c r="H6115" s="4"/>
      <c r="I6115" s="4"/>
      <c r="J6115" s="18">
        <v>0.0</v>
      </c>
      <c r="K6115" s="4" t="s">
        <v>8494</v>
      </c>
      <c r="L6115" s="19" t="s">
        <v>8494</v>
      </c>
      <c r="M6115" s="20" t="s">
        <v>8494</v>
      </c>
    </row>
    <row r="6116">
      <c r="A6116" s="6"/>
      <c r="B6116" s="6"/>
      <c r="C6116" s="6"/>
      <c r="D6116" s="4">
        <v>9.41927661029634</v>
      </c>
      <c r="E6116" s="4" t="s">
        <v>5453</v>
      </c>
      <c r="F6116" s="4"/>
      <c r="G6116" s="4"/>
      <c r="H6116" s="4"/>
      <c r="I6116" s="4"/>
      <c r="J6116" s="18">
        <v>0.0</v>
      </c>
      <c r="K6116" s="4" t="s">
        <v>8494</v>
      </c>
      <c r="L6116" s="19" t="s">
        <v>8494</v>
      </c>
      <c r="M6116" s="20" t="s">
        <v>8494</v>
      </c>
    </row>
    <row r="6117">
      <c r="A6117" s="6"/>
      <c r="B6117" s="6"/>
      <c r="C6117" s="6"/>
      <c r="D6117" s="4">
        <v>158.51151659047298</v>
      </c>
      <c r="E6117" s="4" t="s">
        <v>2593</v>
      </c>
      <c r="F6117" s="4"/>
      <c r="G6117" s="4"/>
      <c r="H6117" s="4"/>
      <c r="I6117" s="4"/>
      <c r="J6117" s="18">
        <v>0.0</v>
      </c>
      <c r="K6117" s="4" t="s">
        <v>8494</v>
      </c>
      <c r="L6117" s="19" t="s">
        <v>8494</v>
      </c>
      <c r="M6117" s="20" t="s">
        <v>8494</v>
      </c>
    </row>
    <row r="6118">
      <c r="A6118" s="6"/>
      <c r="B6118" s="6"/>
      <c r="C6118" s="6"/>
      <c r="D6118" s="4">
        <v>170.758979470485</v>
      </c>
      <c r="E6118" s="4" t="s">
        <v>1920</v>
      </c>
      <c r="F6118" s="4"/>
      <c r="G6118" s="4"/>
      <c r="H6118" s="4"/>
      <c r="I6118" s="4"/>
      <c r="J6118" s="18">
        <v>0.0</v>
      </c>
      <c r="K6118" s="4" t="s">
        <v>8494</v>
      </c>
      <c r="L6118" s="19" t="s">
        <v>8494</v>
      </c>
      <c r="M6118" s="20" t="s">
        <v>8494</v>
      </c>
    </row>
    <row r="6119">
      <c r="A6119" s="6"/>
      <c r="B6119" s="6"/>
      <c r="C6119" s="6"/>
      <c r="D6119" s="4">
        <v>68.0563544721283</v>
      </c>
      <c r="E6119" s="4" t="s">
        <v>7073</v>
      </c>
      <c r="F6119" s="4"/>
      <c r="G6119" s="4"/>
      <c r="H6119" s="4"/>
      <c r="I6119" s="4"/>
      <c r="J6119" s="18">
        <v>0.0</v>
      </c>
      <c r="K6119" s="4" t="s">
        <v>8494</v>
      </c>
      <c r="L6119" s="19" t="s">
        <v>8494</v>
      </c>
      <c r="M6119" s="20" t="s">
        <v>8494</v>
      </c>
    </row>
    <row r="6120">
      <c r="A6120" s="6"/>
      <c r="B6120" s="6"/>
      <c r="C6120" s="6"/>
      <c r="D6120" s="4">
        <v>9.30059801037504</v>
      </c>
      <c r="E6120" s="4" t="s">
        <v>2190</v>
      </c>
      <c r="F6120" s="4"/>
      <c r="G6120" s="4"/>
      <c r="H6120" s="4"/>
      <c r="I6120" s="4"/>
      <c r="J6120" s="18">
        <v>0.0</v>
      </c>
      <c r="K6120" s="4" t="s">
        <v>8494</v>
      </c>
      <c r="L6120" s="19" t="s">
        <v>8494</v>
      </c>
      <c r="M6120" s="20" t="s">
        <v>8494</v>
      </c>
    </row>
    <row r="6121">
      <c r="A6121" s="6"/>
      <c r="B6121" s="6"/>
      <c r="C6121" s="6"/>
      <c r="D6121" s="4">
        <v>125.97996355804199</v>
      </c>
      <c r="E6121" s="4" t="s">
        <v>3086</v>
      </c>
      <c r="F6121" s="4"/>
      <c r="G6121" s="4"/>
      <c r="H6121" s="4"/>
      <c r="I6121" s="4"/>
      <c r="J6121" s="18">
        <v>0.0</v>
      </c>
      <c r="K6121" s="4" t="s">
        <v>8494</v>
      </c>
      <c r="L6121" s="19" t="s">
        <v>8494</v>
      </c>
      <c r="M6121" s="20" t="s">
        <v>8494</v>
      </c>
    </row>
    <row r="6122">
      <c r="A6122" s="6"/>
      <c r="B6122" s="6"/>
      <c r="C6122" s="6"/>
      <c r="D6122" s="4">
        <v>46.7596865569615</v>
      </c>
      <c r="E6122" s="4" t="s">
        <v>5236</v>
      </c>
      <c r="F6122" s="4"/>
      <c r="G6122" s="4"/>
      <c r="H6122" s="4"/>
      <c r="I6122" s="4"/>
      <c r="J6122" s="18">
        <v>0.0</v>
      </c>
      <c r="K6122" s="4" t="s">
        <v>8494</v>
      </c>
      <c r="L6122" s="19" t="s">
        <v>8494</v>
      </c>
      <c r="M6122" s="20" t="s">
        <v>8494</v>
      </c>
    </row>
    <row r="6123">
      <c r="A6123" s="6"/>
      <c r="B6123" s="6"/>
      <c r="C6123" s="6"/>
      <c r="D6123" s="4">
        <v>96.43604064997669</v>
      </c>
      <c r="E6123" s="4" t="s">
        <v>2935</v>
      </c>
      <c r="F6123" s="4"/>
      <c r="G6123" s="4"/>
      <c r="H6123" s="4"/>
      <c r="I6123" s="4"/>
      <c r="J6123" s="18">
        <v>0.0</v>
      </c>
      <c r="K6123" s="4" t="s">
        <v>8494</v>
      </c>
      <c r="L6123" s="19" t="s">
        <v>8494</v>
      </c>
      <c r="M6123" s="20" t="s">
        <v>8494</v>
      </c>
    </row>
    <row r="6124">
      <c r="A6124" s="6"/>
      <c r="B6124" s="6"/>
      <c r="C6124" s="6"/>
      <c r="D6124" s="4">
        <v>185.480088150904</v>
      </c>
      <c r="E6124" s="4" t="s">
        <v>6464</v>
      </c>
      <c r="F6124" s="4"/>
      <c r="G6124" s="4"/>
      <c r="H6124" s="4"/>
      <c r="I6124" s="4"/>
      <c r="J6124" s="18">
        <v>0.0</v>
      </c>
      <c r="K6124" s="4" t="s">
        <v>8494</v>
      </c>
      <c r="L6124" s="19" t="s">
        <v>8494</v>
      </c>
      <c r="M6124" s="20" t="s">
        <v>8494</v>
      </c>
    </row>
    <row r="6125">
      <c r="A6125" s="6"/>
      <c r="B6125" s="6"/>
      <c r="C6125" s="6"/>
      <c r="D6125" s="4">
        <v>120.937254068364</v>
      </c>
      <c r="E6125" s="4" t="s">
        <v>6380</v>
      </c>
      <c r="F6125" s="4"/>
      <c r="G6125" s="4"/>
      <c r="H6125" s="4"/>
      <c r="I6125" s="4"/>
      <c r="J6125" s="18">
        <v>0.0</v>
      </c>
      <c r="K6125" s="4" t="s">
        <v>8494</v>
      </c>
      <c r="L6125" s="19" t="s">
        <v>8494</v>
      </c>
      <c r="M6125" s="20" t="s">
        <v>8494</v>
      </c>
    </row>
    <row r="6126">
      <c r="A6126" s="6"/>
      <c r="B6126" s="6"/>
      <c r="C6126" s="6"/>
      <c r="D6126" s="4">
        <v>9.30061353232907</v>
      </c>
      <c r="E6126" s="4" t="s">
        <v>5416</v>
      </c>
      <c r="F6126" s="4"/>
      <c r="G6126" s="4"/>
      <c r="H6126" s="4"/>
      <c r="I6126" s="4"/>
      <c r="J6126" s="18">
        <v>0.0</v>
      </c>
      <c r="K6126" s="4" t="s">
        <v>8494</v>
      </c>
      <c r="L6126" s="19" t="s">
        <v>8494</v>
      </c>
      <c r="M6126" s="20" t="s">
        <v>8494</v>
      </c>
    </row>
    <row r="6127">
      <c r="A6127" s="6"/>
      <c r="B6127" s="6"/>
      <c r="C6127" s="6"/>
      <c r="D6127" s="4">
        <v>16.4501449795382</v>
      </c>
      <c r="E6127" s="4" t="s">
        <v>3039</v>
      </c>
      <c r="F6127" s="4"/>
      <c r="G6127" s="4"/>
      <c r="H6127" s="4"/>
      <c r="I6127" s="4"/>
      <c r="J6127" s="18">
        <v>0.0</v>
      </c>
      <c r="K6127" s="4" t="s">
        <v>8494</v>
      </c>
      <c r="L6127" s="19" t="s">
        <v>8494</v>
      </c>
      <c r="M6127" s="20" t="s">
        <v>8494</v>
      </c>
    </row>
    <row r="6128">
      <c r="A6128" s="6"/>
      <c r="B6128" s="6"/>
      <c r="C6128" s="6"/>
      <c r="D6128" s="4">
        <v>88.4524039024072</v>
      </c>
      <c r="E6128" s="4" t="s">
        <v>3589</v>
      </c>
      <c r="F6128" s="4"/>
      <c r="G6128" s="4"/>
      <c r="H6128" s="4"/>
      <c r="I6128" s="4"/>
      <c r="J6128" s="18">
        <v>0.0</v>
      </c>
      <c r="K6128" s="4" t="s">
        <v>8494</v>
      </c>
      <c r="L6128" s="19" t="s">
        <v>8494</v>
      </c>
      <c r="M6128" s="20" t="s">
        <v>8494</v>
      </c>
    </row>
    <row r="6129">
      <c r="A6129" s="6"/>
      <c r="B6129" s="6"/>
      <c r="C6129" s="6"/>
      <c r="D6129" s="4">
        <v>86.3390620084329</v>
      </c>
      <c r="E6129" s="4" t="s">
        <v>2556</v>
      </c>
      <c r="F6129" s="4"/>
      <c r="G6129" s="4"/>
      <c r="H6129" s="4"/>
      <c r="I6129" s="4"/>
      <c r="J6129" s="18">
        <v>0.0</v>
      </c>
      <c r="K6129" s="4" t="s">
        <v>8494</v>
      </c>
      <c r="L6129" s="19" t="s">
        <v>8494</v>
      </c>
      <c r="M6129" s="20" t="s">
        <v>8494</v>
      </c>
    </row>
    <row r="6130">
      <c r="A6130" s="6"/>
      <c r="B6130" s="6"/>
      <c r="C6130" s="6"/>
      <c r="D6130" s="4">
        <v>186.01196020749998</v>
      </c>
      <c r="E6130" s="4" t="s">
        <v>254</v>
      </c>
      <c r="F6130" s="4"/>
      <c r="G6130" s="4"/>
      <c r="H6130" s="4"/>
      <c r="I6130" s="4"/>
      <c r="J6130" s="18">
        <v>0.0</v>
      </c>
      <c r="K6130" s="4" t="s">
        <v>8494</v>
      </c>
      <c r="L6130" s="19" t="s">
        <v>8494</v>
      </c>
      <c r="M6130" s="20" t="s">
        <v>8494</v>
      </c>
    </row>
    <row r="6131">
      <c r="A6131" s="6"/>
      <c r="B6131" s="6"/>
      <c r="C6131" s="6"/>
      <c r="D6131" s="4">
        <v>186.01196020749998</v>
      </c>
      <c r="E6131" s="4" t="s">
        <v>143</v>
      </c>
      <c r="F6131" s="4"/>
      <c r="G6131" s="4"/>
      <c r="H6131" s="4"/>
      <c r="I6131" s="4"/>
      <c r="J6131" s="18">
        <v>0.0</v>
      </c>
      <c r="K6131" s="4" t="s">
        <v>8494</v>
      </c>
      <c r="L6131" s="19" t="s">
        <v>8494</v>
      </c>
      <c r="M6131" s="20" t="s">
        <v>8494</v>
      </c>
    </row>
    <row r="6132">
      <c r="A6132" s="6"/>
      <c r="B6132" s="6"/>
      <c r="C6132" s="6"/>
      <c r="D6132" s="4">
        <v>0.124416022576431</v>
      </c>
      <c r="E6132" s="4" t="s">
        <v>8300</v>
      </c>
      <c r="F6132" s="4"/>
      <c r="G6132" s="4"/>
      <c r="H6132" s="4"/>
      <c r="I6132" s="4"/>
      <c r="J6132" s="18">
        <v>0.0</v>
      </c>
      <c r="K6132" s="4" t="s">
        <v>8494</v>
      </c>
      <c r="L6132" s="19" t="s">
        <v>8494</v>
      </c>
      <c r="M6132" s="20" t="s">
        <v>8494</v>
      </c>
    </row>
    <row r="6133">
      <c r="A6133" s="6"/>
      <c r="B6133" s="6"/>
      <c r="C6133" s="6"/>
      <c r="D6133" s="4">
        <v>55.3027618449505</v>
      </c>
      <c r="E6133" s="4" t="s">
        <v>4900</v>
      </c>
      <c r="F6133" s="4"/>
      <c r="G6133" s="4"/>
      <c r="H6133" s="4"/>
      <c r="I6133" s="4"/>
      <c r="J6133" s="18">
        <v>0.0</v>
      </c>
      <c r="K6133" s="4" t="s">
        <v>8494</v>
      </c>
      <c r="L6133" s="19" t="s">
        <v>8494</v>
      </c>
      <c r="M6133" s="20" t="s">
        <v>8494</v>
      </c>
    </row>
    <row r="6134">
      <c r="A6134" s="6"/>
      <c r="B6134" s="6"/>
      <c r="C6134" s="6"/>
      <c r="D6134" s="4">
        <v>186.01196020749998</v>
      </c>
      <c r="E6134" s="4" t="s">
        <v>2969</v>
      </c>
      <c r="F6134" s="4"/>
      <c r="G6134" s="4"/>
      <c r="H6134" s="4"/>
      <c r="I6134" s="4"/>
      <c r="J6134" s="18">
        <v>0.0</v>
      </c>
      <c r="K6134" s="4" t="s">
        <v>8494</v>
      </c>
      <c r="L6134" s="19" t="s">
        <v>8494</v>
      </c>
      <c r="M6134" s="20" t="s">
        <v>8494</v>
      </c>
    </row>
    <row r="6135">
      <c r="A6135" s="6"/>
      <c r="B6135" s="6"/>
      <c r="C6135" s="6"/>
      <c r="D6135" s="4">
        <v>3.78026588633759</v>
      </c>
      <c r="E6135" s="4" t="s">
        <v>8303</v>
      </c>
      <c r="F6135" s="4"/>
      <c r="G6135" s="4"/>
      <c r="H6135" s="4"/>
      <c r="I6135" s="4"/>
      <c r="J6135" s="18">
        <v>0.0</v>
      </c>
      <c r="K6135" s="4" t="s">
        <v>8494</v>
      </c>
      <c r="L6135" s="19" t="s">
        <v>8494</v>
      </c>
      <c r="M6135" s="20" t="s">
        <v>8494</v>
      </c>
    </row>
    <row r="6136">
      <c r="A6136" s="6"/>
      <c r="B6136" s="6"/>
      <c r="C6136" s="6"/>
      <c r="D6136" s="4">
        <v>9.30059801037504</v>
      </c>
      <c r="E6136" s="4" t="s">
        <v>6695</v>
      </c>
      <c r="F6136" s="4"/>
      <c r="G6136" s="4"/>
      <c r="H6136" s="4"/>
      <c r="I6136" s="4"/>
      <c r="J6136" s="18">
        <v>0.0</v>
      </c>
      <c r="K6136" s="4" t="s">
        <v>8494</v>
      </c>
      <c r="L6136" s="19" t="s">
        <v>8494</v>
      </c>
      <c r="M6136" s="20" t="s">
        <v>8494</v>
      </c>
    </row>
    <row r="6137">
      <c r="A6137" s="6"/>
      <c r="B6137" s="6"/>
      <c r="C6137" s="6"/>
      <c r="D6137" s="4">
        <v>9.47496033578566</v>
      </c>
      <c r="E6137" s="4" t="s">
        <v>3512</v>
      </c>
      <c r="F6137" s="4"/>
      <c r="G6137" s="4"/>
      <c r="H6137" s="4"/>
      <c r="I6137" s="4"/>
      <c r="J6137" s="18">
        <v>0.0</v>
      </c>
      <c r="K6137" s="4" t="s">
        <v>8494</v>
      </c>
      <c r="L6137" s="19" t="s">
        <v>8494</v>
      </c>
      <c r="M6137" s="20" t="s">
        <v>8494</v>
      </c>
    </row>
    <row r="6138">
      <c r="A6138" s="6"/>
      <c r="B6138" s="6"/>
      <c r="C6138" s="6"/>
      <c r="D6138" s="4">
        <v>186.01196020749998</v>
      </c>
      <c r="E6138" s="4" t="s">
        <v>4349</v>
      </c>
      <c r="F6138" s="4"/>
      <c r="G6138" s="4"/>
      <c r="H6138" s="4"/>
      <c r="I6138" s="4"/>
      <c r="J6138" s="18">
        <v>0.0</v>
      </c>
      <c r="K6138" s="4" t="s">
        <v>8494</v>
      </c>
      <c r="L6138" s="19" t="s">
        <v>8494</v>
      </c>
      <c r="M6138" s="20" t="s">
        <v>8494</v>
      </c>
    </row>
    <row r="6139">
      <c r="A6139" s="6"/>
      <c r="B6139" s="6"/>
      <c r="C6139" s="6"/>
      <c r="D6139" s="4">
        <v>9.784017828242291</v>
      </c>
      <c r="E6139" s="4" t="s">
        <v>5784</v>
      </c>
      <c r="F6139" s="4"/>
      <c r="G6139" s="4"/>
      <c r="H6139" s="4"/>
      <c r="I6139" s="4"/>
      <c r="J6139" s="18">
        <v>0.0</v>
      </c>
      <c r="K6139" s="4" t="s">
        <v>8494</v>
      </c>
      <c r="L6139" s="19" t="s">
        <v>8494</v>
      </c>
      <c r="M6139" s="20" t="s">
        <v>8494</v>
      </c>
    </row>
    <row r="6140">
      <c r="A6140" s="6"/>
      <c r="B6140" s="6"/>
      <c r="C6140" s="6"/>
      <c r="D6140" s="4">
        <v>43.3791971415519</v>
      </c>
      <c r="E6140" s="4" t="s">
        <v>4364</v>
      </c>
      <c r="F6140" s="4"/>
      <c r="G6140" s="4"/>
      <c r="H6140" s="4"/>
      <c r="I6140" s="4"/>
      <c r="J6140" s="18">
        <v>0.0</v>
      </c>
      <c r="K6140" s="4" t="s">
        <v>8494</v>
      </c>
      <c r="L6140" s="19" t="s">
        <v>8494</v>
      </c>
      <c r="M6140" s="20" t="s">
        <v>8494</v>
      </c>
    </row>
    <row r="6141">
      <c r="A6141" s="6"/>
      <c r="B6141" s="6"/>
      <c r="C6141" s="6"/>
      <c r="D6141" s="4">
        <v>185.028083533392</v>
      </c>
      <c r="E6141" s="4" t="s">
        <v>1370</v>
      </c>
      <c r="F6141" s="4"/>
      <c r="G6141" s="4"/>
      <c r="H6141" s="4"/>
      <c r="I6141" s="4"/>
      <c r="J6141" s="18">
        <v>0.0</v>
      </c>
      <c r="K6141" s="4" t="s">
        <v>8494</v>
      </c>
      <c r="L6141" s="19" t="s">
        <v>8494</v>
      </c>
      <c r="M6141" s="20" t="s">
        <v>8494</v>
      </c>
    </row>
    <row r="6142">
      <c r="A6142" s="6"/>
      <c r="B6142" s="6"/>
      <c r="C6142" s="6"/>
      <c r="D6142" s="4">
        <v>22.5156270101837</v>
      </c>
      <c r="E6142" s="4" t="s">
        <v>8309</v>
      </c>
      <c r="F6142" s="4"/>
      <c r="G6142" s="4"/>
      <c r="H6142" s="4"/>
      <c r="I6142" s="4"/>
      <c r="J6142" s="18">
        <v>0.0</v>
      </c>
      <c r="K6142" s="4" t="s">
        <v>8494</v>
      </c>
      <c r="L6142" s="19" t="s">
        <v>8494</v>
      </c>
      <c r="M6142" s="20" t="s">
        <v>8494</v>
      </c>
    </row>
    <row r="6143">
      <c r="A6143" s="6"/>
      <c r="B6143" s="6"/>
      <c r="C6143" s="6"/>
      <c r="D6143" s="4">
        <v>83.3987926911627</v>
      </c>
      <c r="E6143" s="4" t="s">
        <v>5073</v>
      </c>
      <c r="F6143" s="4"/>
      <c r="G6143" s="4"/>
      <c r="H6143" s="4"/>
      <c r="I6143" s="4"/>
      <c r="J6143" s="18">
        <v>0.0</v>
      </c>
      <c r="K6143" s="4" t="s">
        <v>8494</v>
      </c>
      <c r="L6143" s="19" t="s">
        <v>8494</v>
      </c>
      <c r="M6143" s="20" t="s">
        <v>8494</v>
      </c>
    </row>
    <row r="6144">
      <c r="A6144" s="6"/>
      <c r="B6144" s="6"/>
      <c r="C6144" s="6"/>
      <c r="D6144" s="4">
        <v>186.01196020749998</v>
      </c>
      <c r="E6144" s="4" t="s">
        <v>35</v>
      </c>
      <c r="F6144" s="4"/>
      <c r="G6144" s="4"/>
      <c r="H6144" s="4"/>
      <c r="I6144" s="4"/>
      <c r="J6144" s="18">
        <v>0.0</v>
      </c>
      <c r="K6144" s="4" t="s">
        <v>8494</v>
      </c>
      <c r="L6144" s="19" t="s">
        <v>8494</v>
      </c>
      <c r="M6144" s="20" t="s">
        <v>8494</v>
      </c>
    </row>
    <row r="6145">
      <c r="A6145" s="6"/>
      <c r="B6145" s="6"/>
      <c r="C6145" s="6"/>
      <c r="D6145" s="4">
        <v>65.1041860726253</v>
      </c>
      <c r="E6145" s="4" t="s">
        <v>2807</v>
      </c>
      <c r="F6145" s="4"/>
      <c r="G6145" s="4"/>
      <c r="H6145" s="4"/>
      <c r="I6145" s="4"/>
      <c r="J6145" s="18">
        <v>0.0</v>
      </c>
      <c r="K6145" s="4" t="s">
        <v>8494</v>
      </c>
      <c r="L6145" s="19" t="s">
        <v>8494</v>
      </c>
      <c r="M6145" s="20" t="s">
        <v>8494</v>
      </c>
    </row>
    <row r="6146">
      <c r="A6146" s="6"/>
      <c r="B6146" s="6"/>
      <c r="C6146" s="6"/>
      <c r="D6146" s="4">
        <v>186.01196020749998</v>
      </c>
      <c r="E6146" s="4" t="s">
        <v>1465</v>
      </c>
      <c r="F6146" s="4"/>
      <c r="G6146" s="4"/>
      <c r="H6146" s="4"/>
      <c r="I6146" s="4"/>
      <c r="J6146" s="18">
        <v>0.0</v>
      </c>
      <c r="K6146" s="4" t="s">
        <v>8494</v>
      </c>
      <c r="L6146" s="19" t="s">
        <v>8494</v>
      </c>
      <c r="M6146" s="20" t="s">
        <v>8494</v>
      </c>
    </row>
    <row r="6147">
      <c r="A6147" s="6"/>
      <c r="B6147" s="6"/>
      <c r="C6147" s="6"/>
      <c r="D6147" s="4">
        <v>22.3214352249001</v>
      </c>
      <c r="E6147" s="4" t="s">
        <v>8312</v>
      </c>
      <c r="F6147" s="4"/>
      <c r="G6147" s="4"/>
      <c r="H6147" s="4"/>
      <c r="I6147" s="4"/>
      <c r="J6147" s="18">
        <v>0.0</v>
      </c>
      <c r="K6147" s="4" t="s">
        <v>8494</v>
      </c>
      <c r="L6147" s="19" t="s">
        <v>8494</v>
      </c>
      <c r="M6147" s="20" t="s">
        <v>8494</v>
      </c>
    </row>
    <row r="6148">
      <c r="A6148" s="6"/>
      <c r="B6148" s="6"/>
      <c r="C6148" s="6"/>
      <c r="D6148" s="4">
        <v>19.157695184396598</v>
      </c>
      <c r="E6148" s="4" t="s">
        <v>8314</v>
      </c>
      <c r="F6148" s="4"/>
      <c r="G6148" s="4"/>
      <c r="H6148" s="4"/>
      <c r="I6148" s="4"/>
      <c r="J6148" s="18">
        <v>0.0</v>
      </c>
      <c r="K6148" s="4" t="s">
        <v>8494</v>
      </c>
      <c r="L6148" s="19" t="s">
        <v>8494</v>
      </c>
      <c r="M6148" s="20" t="s">
        <v>8494</v>
      </c>
    </row>
    <row r="6149">
      <c r="A6149" s="6"/>
      <c r="B6149" s="6"/>
      <c r="C6149" s="6"/>
      <c r="D6149" s="4">
        <v>6.3281913027006</v>
      </c>
      <c r="E6149" s="4" t="s">
        <v>2314</v>
      </c>
      <c r="F6149" s="4"/>
      <c r="G6149" s="4"/>
      <c r="H6149" s="4"/>
      <c r="I6149" s="4"/>
      <c r="J6149" s="18">
        <v>0.0</v>
      </c>
      <c r="K6149" s="4" t="s">
        <v>8494</v>
      </c>
      <c r="L6149" s="19" t="s">
        <v>8494</v>
      </c>
      <c r="M6149" s="20" t="s">
        <v>8494</v>
      </c>
    </row>
    <row r="6150">
      <c r="A6150" s="6"/>
      <c r="B6150" s="6"/>
      <c r="C6150" s="6"/>
      <c r="D6150" s="4">
        <v>52.0106735804851</v>
      </c>
      <c r="E6150" s="4" t="s">
        <v>3650</v>
      </c>
      <c r="F6150" s="4"/>
      <c r="G6150" s="4"/>
      <c r="H6150" s="4"/>
      <c r="I6150" s="4"/>
      <c r="J6150" s="18">
        <v>0.0</v>
      </c>
      <c r="K6150" s="4" t="s">
        <v>8494</v>
      </c>
      <c r="L6150" s="19" t="s">
        <v>8494</v>
      </c>
      <c r="M6150" s="20" t="s">
        <v>8494</v>
      </c>
    </row>
    <row r="6151">
      <c r="A6151" s="6"/>
      <c r="B6151" s="6"/>
      <c r="C6151" s="6"/>
      <c r="D6151" s="4">
        <v>9.30059801037504</v>
      </c>
      <c r="E6151" s="4" t="s">
        <v>4005</v>
      </c>
      <c r="F6151" s="4"/>
      <c r="G6151" s="4"/>
      <c r="H6151" s="4"/>
      <c r="I6151" s="4"/>
      <c r="J6151" s="18">
        <v>0.0</v>
      </c>
      <c r="K6151" s="4" t="s">
        <v>8494</v>
      </c>
      <c r="L6151" s="19" t="s">
        <v>8494</v>
      </c>
      <c r="M6151" s="20" t="s">
        <v>8494</v>
      </c>
    </row>
    <row r="6152">
      <c r="A6152" s="6"/>
      <c r="B6152" s="6"/>
      <c r="C6152" s="6"/>
      <c r="D6152" s="4">
        <v>27.333004178951402</v>
      </c>
      <c r="E6152" s="4" t="s">
        <v>4764</v>
      </c>
      <c r="F6152" s="4"/>
      <c r="G6152" s="4"/>
      <c r="H6152" s="4"/>
      <c r="I6152" s="4"/>
      <c r="J6152" s="18">
        <v>0.0</v>
      </c>
      <c r="K6152" s="4" t="s">
        <v>8494</v>
      </c>
      <c r="L6152" s="19" t="s">
        <v>8494</v>
      </c>
      <c r="M6152" s="20" t="s">
        <v>8494</v>
      </c>
    </row>
    <row r="6153">
      <c r="A6153" s="6"/>
      <c r="B6153" s="6"/>
      <c r="C6153" s="6"/>
      <c r="D6153" s="4">
        <v>17.261459905819798</v>
      </c>
      <c r="E6153" s="4" t="s">
        <v>3372</v>
      </c>
      <c r="F6153" s="4"/>
      <c r="G6153" s="4"/>
      <c r="H6153" s="4"/>
      <c r="I6153" s="4"/>
      <c r="J6153" s="18">
        <v>0.0</v>
      </c>
      <c r="K6153" s="4" t="s">
        <v>8494</v>
      </c>
      <c r="L6153" s="19" t="s">
        <v>8494</v>
      </c>
      <c r="M6153" s="20" t="s">
        <v>8494</v>
      </c>
    </row>
    <row r="6154">
      <c r="A6154" s="6"/>
      <c r="B6154" s="6"/>
      <c r="C6154" s="6"/>
      <c r="D6154" s="4">
        <v>186.01196020749998</v>
      </c>
      <c r="E6154" s="4" t="s">
        <v>1639</v>
      </c>
      <c r="F6154" s="4"/>
      <c r="G6154" s="4"/>
      <c r="H6154" s="4"/>
      <c r="I6154" s="4"/>
      <c r="J6154" s="18">
        <v>0.0</v>
      </c>
      <c r="K6154" s="4" t="s">
        <v>8494</v>
      </c>
      <c r="L6154" s="19" t="s">
        <v>8494</v>
      </c>
      <c r="M6154" s="20" t="s">
        <v>8494</v>
      </c>
    </row>
    <row r="6155">
      <c r="A6155" s="6"/>
      <c r="B6155" s="6"/>
      <c r="C6155" s="6"/>
      <c r="D6155" s="4">
        <v>186.01196020749998</v>
      </c>
      <c r="E6155" s="4" t="s">
        <v>6367</v>
      </c>
      <c r="F6155" s="4"/>
      <c r="G6155" s="4"/>
      <c r="H6155" s="4"/>
      <c r="I6155" s="4"/>
      <c r="J6155" s="18">
        <v>0.0</v>
      </c>
      <c r="K6155" s="4" t="s">
        <v>8494</v>
      </c>
      <c r="L6155" s="19" t="s">
        <v>8494</v>
      </c>
      <c r="M6155" s="20" t="s">
        <v>8494</v>
      </c>
    </row>
    <row r="6156">
      <c r="A6156" s="6"/>
      <c r="B6156" s="6"/>
      <c r="C6156" s="6"/>
      <c r="D6156" s="4">
        <v>109.38754544559801</v>
      </c>
      <c r="E6156" s="4" t="s">
        <v>306</v>
      </c>
      <c r="F6156" s="4"/>
      <c r="G6156" s="4"/>
      <c r="H6156" s="4"/>
      <c r="I6156" s="4"/>
      <c r="J6156" s="18">
        <v>0.0</v>
      </c>
      <c r="K6156" s="4" t="s">
        <v>8494</v>
      </c>
      <c r="L6156" s="19" t="s">
        <v>8494</v>
      </c>
      <c r="M6156" s="20" t="s">
        <v>8494</v>
      </c>
    </row>
    <row r="6157">
      <c r="A6157" s="6"/>
      <c r="B6157" s="6"/>
      <c r="C6157" s="6"/>
      <c r="D6157" s="4">
        <v>155.161774693552</v>
      </c>
      <c r="E6157" s="4" t="s">
        <v>8321</v>
      </c>
      <c r="F6157" s="4"/>
      <c r="G6157" s="4"/>
      <c r="H6157" s="4"/>
      <c r="I6157" s="4"/>
      <c r="J6157" s="18">
        <v>0.0</v>
      </c>
      <c r="K6157" s="4" t="s">
        <v>8494</v>
      </c>
      <c r="L6157" s="19" t="s">
        <v>8494</v>
      </c>
      <c r="M6157" s="20" t="s">
        <v>8494</v>
      </c>
    </row>
    <row r="6158">
      <c r="A6158" s="6"/>
      <c r="B6158" s="6"/>
      <c r="C6158" s="6"/>
      <c r="D6158" s="4">
        <v>42.5319927519822</v>
      </c>
      <c r="E6158" s="4" t="s">
        <v>1834</v>
      </c>
      <c r="F6158" s="4"/>
      <c r="G6158" s="4"/>
      <c r="H6158" s="4"/>
      <c r="I6158" s="4"/>
      <c r="J6158" s="18">
        <v>0.0</v>
      </c>
      <c r="K6158" s="4" t="s">
        <v>8494</v>
      </c>
      <c r="L6158" s="19" t="s">
        <v>8494</v>
      </c>
      <c r="M6158" s="20" t="s">
        <v>8494</v>
      </c>
    </row>
    <row r="6159">
      <c r="A6159" s="6"/>
      <c r="B6159" s="6"/>
      <c r="C6159" s="6"/>
      <c r="D6159" s="4">
        <v>65.9464970335189</v>
      </c>
      <c r="E6159" s="4" t="s">
        <v>8324</v>
      </c>
      <c r="F6159" s="4"/>
      <c r="G6159" s="4"/>
      <c r="H6159" s="4"/>
      <c r="I6159" s="4"/>
      <c r="J6159" s="18">
        <v>0.0</v>
      </c>
      <c r="K6159" s="4" t="s">
        <v>8494</v>
      </c>
      <c r="L6159" s="19" t="s">
        <v>8494</v>
      </c>
      <c r="M6159" s="20" t="s">
        <v>8494</v>
      </c>
    </row>
    <row r="6160">
      <c r="A6160" s="6"/>
      <c r="B6160" s="6"/>
      <c r="C6160" s="6"/>
      <c r="D6160" s="4">
        <v>186.01196020749998</v>
      </c>
      <c r="E6160" s="4" t="s">
        <v>8326</v>
      </c>
      <c r="F6160" s="4"/>
      <c r="G6160" s="4"/>
      <c r="H6160" s="4"/>
      <c r="I6160" s="4"/>
      <c r="J6160" s="18">
        <v>0.0</v>
      </c>
      <c r="K6160" s="4" t="s">
        <v>8494</v>
      </c>
      <c r="L6160" s="19" t="s">
        <v>8494</v>
      </c>
      <c r="M6160" s="20" t="s">
        <v>8494</v>
      </c>
    </row>
    <row r="6161">
      <c r="A6161" s="6"/>
      <c r="B6161" s="6"/>
      <c r="C6161" s="6"/>
      <c r="D6161" s="4">
        <v>40.05099054468231</v>
      </c>
      <c r="E6161" s="4" t="s">
        <v>4305</v>
      </c>
      <c r="F6161" s="4"/>
      <c r="G6161" s="4"/>
      <c r="H6161" s="4"/>
      <c r="I6161" s="4"/>
      <c r="J6161" s="18">
        <v>0.0</v>
      </c>
      <c r="K6161" s="4" t="s">
        <v>8494</v>
      </c>
      <c r="L6161" s="19" t="s">
        <v>8494</v>
      </c>
      <c r="M6161" s="20" t="s">
        <v>8494</v>
      </c>
    </row>
    <row r="6162">
      <c r="A6162" s="6"/>
      <c r="B6162" s="6"/>
      <c r="C6162" s="6"/>
      <c r="D6162" s="4">
        <v>186.01196020749998</v>
      </c>
      <c r="E6162" s="4" t="s">
        <v>834</v>
      </c>
      <c r="F6162" s="4"/>
      <c r="G6162" s="4"/>
      <c r="H6162" s="4"/>
      <c r="I6162" s="4"/>
      <c r="J6162" s="18">
        <v>0.0</v>
      </c>
      <c r="K6162" s="4" t="s">
        <v>8494</v>
      </c>
      <c r="L6162" s="19" t="s">
        <v>8494</v>
      </c>
      <c r="M6162" s="20" t="s">
        <v>8494</v>
      </c>
    </row>
    <row r="6163">
      <c r="A6163" s="6"/>
      <c r="B6163" s="6"/>
      <c r="C6163" s="6"/>
      <c r="D6163" s="4">
        <v>186.01196020749998</v>
      </c>
      <c r="E6163" s="4" t="s">
        <v>239</v>
      </c>
      <c r="F6163" s="4"/>
      <c r="G6163" s="4"/>
      <c r="H6163" s="4"/>
      <c r="I6163" s="4"/>
      <c r="J6163" s="18">
        <v>0.0</v>
      </c>
      <c r="K6163" s="4" t="s">
        <v>8494</v>
      </c>
      <c r="L6163" s="19" t="s">
        <v>8494</v>
      </c>
      <c r="M6163" s="20" t="s">
        <v>8494</v>
      </c>
    </row>
    <row r="6164">
      <c r="A6164" s="6"/>
      <c r="B6164" s="6"/>
      <c r="C6164" s="6"/>
      <c r="D6164" s="4">
        <v>65.56605689863599</v>
      </c>
      <c r="E6164" s="4" t="s">
        <v>3024</v>
      </c>
      <c r="F6164" s="4"/>
      <c r="G6164" s="4"/>
      <c r="H6164" s="4"/>
      <c r="I6164" s="4"/>
      <c r="J6164" s="18">
        <v>0.0</v>
      </c>
      <c r="K6164" s="4" t="s">
        <v>8494</v>
      </c>
      <c r="L6164" s="19" t="s">
        <v>8494</v>
      </c>
      <c r="M6164" s="20" t="s">
        <v>8494</v>
      </c>
    </row>
    <row r="6165">
      <c r="A6165" s="6"/>
      <c r="B6165" s="6"/>
      <c r="C6165" s="6"/>
      <c r="D6165" s="4">
        <v>84.1839878506193</v>
      </c>
      <c r="E6165" s="4" t="s">
        <v>3688</v>
      </c>
      <c r="F6165" s="4"/>
      <c r="G6165" s="4"/>
      <c r="H6165" s="4"/>
      <c r="I6165" s="4"/>
      <c r="J6165" s="18">
        <v>0.0</v>
      </c>
      <c r="K6165" s="4" t="s">
        <v>8494</v>
      </c>
      <c r="L6165" s="19" t="s">
        <v>8494</v>
      </c>
      <c r="M6165" s="20" t="s">
        <v>8494</v>
      </c>
    </row>
    <row r="6166">
      <c r="A6166" s="6"/>
      <c r="B6166" s="6"/>
      <c r="C6166" s="6"/>
      <c r="D6166" s="4">
        <v>186.01196020749998</v>
      </c>
      <c r="E6166" s="4" t="s">
        <v>1041</v>
      </c>
      <c r="F6166" s="4"/>
      <c r="G6166" s="4"/>
      <c r="H6166" s="4"/>
      <c r="I6166" s="4"/>
      <c r="J6166" s="18">
        <v>0.0</v>
      </c>
      <c r="K6166" s="4" t="s">
        <v>8494</v>
      </c>
      <c r="L6166" s="19" t="s">
        <v>8494</v>
      </c>
      <c r="M6166" s="20" t="s">
        <v>8494</v>
      </c>
    </row>
    <row r="6167">
      <c r="A6167" s="6"/>
      <c r="B6167" s="6"/>
      <c r="C6167" s="6"/>
      <c r="D6167" s="4">
        <v>161.088284332068</v>
      </c>
      <c r="E6167" s="4" t="s">
        <v>522</v>
      </c>
      <c r="F6167" s="4"/>
      <c r="G6167" s="4"/>
      <c r="H6167" s="4"/>
      <c r="I6167" s="4"/>
      <c r="J6167" s="18">
        <v>0.0</v>
      </c>
      <c r="K6167" s="4" t="s">
        <v>8494</v>
      </c>
      <c r="L6167" s="19" t="s">
        <v>8494</v>
      </c>
      <c r="M6167" s="20" t="s">
        <v>8494</v>
      </c>
    </row>
    <row r="6168">
      <c r="A6168" s="6"/>
      <c r="B6168" s="6"/>
      <c r="C6168" s="6"/>
      <c r="D6168" s="4">
        <v>117.187534930725</v>
      </c>
      <c r="E6168" s="4" t="s">
        <v>8331</v>
      </c>
      <c r="F6168" s="4"/>
      <c r="G6168" s="4"/>
      <c r="H6168" s="4"/>
      <c r="I6168" s="4"/>
      <c r="J6168" s="18">
        <v>0.0</v>
      </c>
      <c r="K6168" s="4" t="s">
        <v>8494</v>
      </c>
      <c r="L6168" s="19" t="s">
        <v>8494</v>
      </c>
      <c r="M6168" s="20" t="s">
        <v>8494</v>
      </c>
    </row>
    <row r="6169">
      <c r="A6169" s="6"/>
      <c r="B6169" s="6"/>
      <c r="C6169" s="6"/>
      <c r="D6169" s="4">
        <v>19.044083715078</v>
      </c>
      <c r="E6169" s="4" t="s">
        <v>3756</v>
      </c>
      <c r="F6169" s="4"/>
      <c r="G6169" s="4"/>
      <c r="H6169" s="4"/>
      <c r="I6169" s="4"/>
      <c r="J6169" s="18">
        <v>0.0</v>
      </c>
      <c r="K6169" s="4" t="s">
        <v>8494</v>
      </c>
      <c r="L6169" s="19" t="s">
        <v>8494</v>
      </c>
      <c r="M6169" s="20" t="s">
        <v>8494</v>
      </c>
    </row>
    <row r="6170">
      <c r="A6170" s="6"/>
      <c r="B6170" s="6"/>
      <c r="C6170" s="6"/>
      <c r="D6170" s="4">
        <v>49.0318962160222</v>
      </c>
      <c r="E6170" s="4" t="s">
        <v>6561</v>
      </c>
      <c r="F6170" s="4"/>
      <c r="G6170" s="4"/>
      <c r="H6170" s="4"/>
      <c r="I6170" s="4"/>
      <c r="J6170" s="18">
        <v>0.0</v>
      </c>
      <c r="K6170" s="4" t="s">
        <v>8494</v>
      </c>
      <c r="L6170" s="19" t="s">
        <v>8494</v>
      </c>
      <c r="M6170" s="20" t="s">
        <v>8494</v>
      </c>
    </row>
    <row r="6171">
      <c r="A6171" s="6"/>
      <c r="B6171" s="6"/>
      <c r="C6171" s="6"/>
      <c r="D6171" s="4">
        <v>186.01196020749998</v>
      </c>
      <c r="E6171" s="4" t="s">
        <v>3789</v>
      </c>
      <c r="F6171" s="4"/>
      <c r="G6171" s="4"/>
      <c r="H6171" s="4"/>
      <c r="I6171" s="4"/>
      <c r="J6171" s="18">
        <v>0.0</v>
      </c>
      <c r="K6171" s="4" t="s">
        <v>8494</v>
      </c>
      <c r="L6171" s="19" t="s">
        <v>8494</v>
      </c>
      <c r="M6171" s="20" t="s">
        <v>8494</v>
      </c>
    </row>
    <row r="6172">
      <c r="A6172" s="6"/>
      <c r="B6172" s="6"/>
      <c r="C6172" s="6"/>
      <c r="D6172" s="4">
        <v>18.60119602075</v>
      </c>
      <c r="E6172" s="4" t="s">
        <v>3103</v>
      </c>
      <c r="F6172" s="4"/>
      <c r="G6172" s="4"/>
      <c r="H6172" s="4"/>
      <c r="I6172" s="4"/>
      <c r="J6172" s="18">
        <v>0.0</v>
      </c>
      <c r="K6172" s="4" t="s">
        <v>8494</v>
      </c>
      <c r="L6172" s="19" t="s">
        <v>8494</v>
      </c>
      <c r="M6172" s="20" t="s">
        <v>8494</v>
      </c>
    </row>
    <row r="6173">
      <c r="A6173" s="6"/>
      <c r="B6173" s="6"/>
      <c r="C6173" s="6"/>
      <c r="D6173" s="4">
        <v>186.01196020749998</v>
      </c>
      <c r="E6173" s="4" t="s">
        <v>8334</v>
      </c>
      <c r="F6173" s="4"/>
      <c r="G6173" s="4"/>
      <c r="H6173" s="4"/>
      <c r="I6173" s="4"/>
      <c r="J6173" s="18">
        <v>0.0</v>
      </c>
      <c r="K6173" s="4" t="s">
        <v>8494</v>
      </c>
      <c r="L6173" s="19" t="s">
        <v>8494</v>
      </c>
      <c r="M6173" s="20" t="s">
        <v>8494</v>
      </c>
    </row>
    <row r="6174">
      <c r="A6174" s="6"/>
      <c r="B6174" s="6"/>
      <c r="C6174" s="6"/>
      <c r="D6174" s="4">
        <v>109.91509561650301</v>
      </c>
      <c r="E6174" s="4" t="s">
        <v>1294</v>
      </c>
      <c r="F6174" s="4"/>
      <c r="G6174" s="4"/>
      <c r="H6174" s="4"/>
      <c r="I6174" s="4"/>
      <c r="J6174" s="18">
        <v>0.0</v>
      </c>
      <c r="K6174" s="4" t="s">
        <v>8494</v>
      </c>
      <c r="L6174" s="19" t="s">
        <v>8494</v>
      </c>
      <c r="M6174" s="20" t="s">
        <v>8494</v>
      </c>
    </row>
    <row r="6175">
      <c r="A6175" s="6"/>
      <c r="B6175" s="6"/>
      <c r="C6175" s="6"/>
      <c r="D6175" s="4">
        <v>56.0805029554316</v>
      </c>
      <c r="E6175" s="4" t="s">
        <v>8336</v>
      </c>
      <c r="F6175" s="4"/>
      <c r="G6175" s="4"/>
      <c r="H6175" s="4"/>
      <c r="I6175" s="4"/>
      <c r="J6175" s="18">
        <v>0.0</v>
      </c>
      <c r="K6175" s="4" t="s">
        <v>8494</v>
      </c>
      <c r="L6175" s="19" t="s">
        <v>8494</v>
      </c>
      <c r="M6175" s="20" t="s">
        <v>8494</v>
      </c>
    </row>
    <row r="6176">
      <c r="A6176" s="6"/>
      <c r="B6176" s="6"/>
      <c r="C6176" s="6"/>
      <c r="D6176" s="4">
        <v>91.6608527892965</v>
      </c>
      <c r="E6176" s="4" t="s">
        <v>4755</v>
      </c>
      <c r="F6176" s="4"/>
      <c r="G6176" s="4"/>
      <c r="H6176" s="4"/>
      <c r="I6176" s="4"/>
      <c r="J6176" s="18">
        <v>0.0</v>
      </c>
      <c r="K6176" s="4" t="s">
        <v>8494</v>
      </c>
      <c r="L6176" s="19" t="s">
        <v>8494</v>
      </c>
      <c r="M6176" s="20" t="s">
        <v>8494</v>
      </c>
    </row>
    <row r="6177">
      <c r="A6177" s="6"/>
      <c r="B6177" s="6"/>
      <c r="C6177" s="6"/>
      <c r="D6177" s="4">
        <v>186.01196020749998</v>
      </c>
      <c r="E6177" s="4" t="s">
        <v>5818</v>
      </c>
      <c r="F6177" s="4"/>
      <c r="G6177" s="4"/>
      <c r="H6177" s="4"/>
      <c r="I6177" s="4"/>
      <c r="J6177" s="18">
        <v>0.0</v>
      </c>
      <c r="K6177" s="4" t="s">
        <v>8494</v>
      </c>
      <c r="L6177" s="19" t="s">
        <v>8494</v>
      </c>
      <c r="M6177" s="20" t="s">
        <v>8494</v>
      </c>
    </row>
    <row r="6178">
      <c r="A6178" s="6"/>
      <c r="B6178" s="6"/>
      <c r="C6178" s="6"/>
      <c r="D6178" s="4">
        <v>180.413645761101</v>
      </c>
      <c r="E6178" s="4" t="s">
        <v>966</v>
      </c>
      <c r="F6178" s="4"/>
      <c r="G6178" s="4"/>
      <c r="H6178" s="4"/>
      <c r="I6178" s="4"/>
      <c r="J6178" s="18">
        <v>0.0</v>
      </c>
      <c r="K6178" s="4" t="s">
        <v>8494</v>
      </c>
      <c r="L6178" s="19" t="s">
        <v>8494</v>
      </c>
      <c r="M6178" s="20" t="s">
        <v>8494</v>
      </c>
    </row>
    <row r="6179">
      <c r="A6179" s="6"/>
      <c r="B6179" s="6"/>
      <c r="C6179" s="6"/>
      <c r="D6179" s="4">
        <v>9.40868044344741</v>
      </c>
      <c r="E6179" s="4" t="s">
        <v>3791</v>
      </c>
      <c r="F6179" s="4"/>
      <c r="G6179" s="4"/>
      <c r="H6179" s="4"/>
      <c r="I6179" s="4"/>
      <c r="J6179" s="18">
        <v>0.0</v>
      </c>
      <c r="K6179" s="4" t="s">
        <v>8494</v>
      </c>
      <c r="L6179" s="19" t="s">
        <v>8494</v>
      </c>
      <c r="M6179" s="20" t="s">
        <v>8494</v>
      </c>
    </row>
    <row r="6180">
      <c r="A6180" s="6"/>
      <c r="B6180" s="6"/>
      <c r="C6180" s="6"/>
      <c r="D6180" s="4">
        <v>65.1204806135686</v>
      </c>
      <c r="E6180" s="4" t="s">
        <v>6005</v>
      </c>
      <c r="F6180" s="4"/>
      <c r="G6180" s="4"/>
      <c r="H6180" s="4"/>
      <c r="I6180" s="4"/>
      <c r="J6180" s="18">
        <v>0.0</v>
      </c>
      <c r="K6180" s="4" t="s">
        <v>8494</v>
      </c>
      <c r="L6180" s="19" t="s">
        <v>8494</v>
      </c>
      <c r="M6180" s="20" t="s">
        <v>8494</v>
      </c>
    </row>
    <row r="6181">
      <c r="A6181" s="6"/>
      <c r="B6181" s="6"/>
      <c r="C6181" s="6"/>
      <c r="D6181" s="4">
        <v>56.2522199111921</v>
      </c>
      <c r="E6181" s="4" t="s">
        <v>2738</v>
      </c>
      <c r="F6181" s="4"/>
      <c r="G6181" s="4"/>
      <c r="H6181" s="4"/>
      <c r="I6181" s="4"/>
      <c r="J6181" s="18">
        <v>0.0</v>
      </c>
      <c r="K6181" s="4" t="s">
        <v>8494</v>
      </c>
      <c r="L6181" s="19" t="s">
        <v>8494</v>
      </c>
      <c r="M6181" s="20" t="s">
        <v>8494</v>
      </c>
    </row>
    <row r="6182">
      <c r="A6182" s="6"/>
      <c r="B6182" s="6"/>
      <c r="C6182" s="6"/>
      <c r="D6182" s="4">
        <v>26.2045343998207</v>
      </c>
      <c r="E6182" s="4" t="s">
        <v>5640</v>
      </c>
      <c r="F6182" s="4"/>
      <c r="G6182" s="4"/>
      <c r="H6182" s="4"/>
      <c r="I6182" s="4"/>
      <c r="J6182" s="18">
        <v>0.0</v>
      </c>
      <c r="K6182" s="4" t="s">
        <v>8494</v>
      </c>
      <c r="L6182" s="19" t="s">
        <v>8494</v>
      </c>
      <c r="M6182" s="20" t="s">
        <v>8494</v>
      </c>
    </row>
    <row r="6183">
      <c r="A6183" s="6"/>
      <c r="B6183" s="6"/>
      <c r="C6183" s="6"/>
      <c r="D6183" s="4">
        <v>10.438427999930699</v>
      </c>
      <c r="E6183" s="4" t="s">
        <v>4382</v>
      </c>
      <c r="F6183" s="4"/>
      <c r="G6183" s="4"/>
      <c r="H6183" s="4"/>
      <c r="I6183" s="4"/>
      <c r="J6183" s="18">
        <v>0.0</v>
      </c>
      <c r="K6183" s="4" t="s">
        <v>8494</v>
      </c>
      <c r="L6183" s="19" t="s">
        <v>8494</v>
      </c>
      <c r="M6183" s="20" t="s">
        <v>8494</v>
      </c>
    </row>
    <row r="6184">
      <c r="A6184" s="6"/>
      <c r="B6184" s="6"/>
      <c r="C6184" s="6"/>
      <c r="D6184" s="4">
        <v>56.2153973167852</v>
      </c>
      <c r="E6184" s="4" t="s">
        <v>2287</v>
      </c>
      <c r="F6184" s="4"/>
      <c r="G6184" s="4"/>
      <c r="H6184" s="4"/>
      <c r="I6184" s="4"/>
      <c r="J6184" s="18">
        <v>0.0</v>
      </c>
      <c r="K6184" s="4" t="s">
        <v>8494</v>
      </c>
      <c r="L6184" s="19" t="s">
        <v>8494</v>
      </c>
      <c r="M6184" s="20" t="s">
        <v>8494</v>
      </c>
    </row>
    <row r="6185">
      <c r="A6185" s="6"/>
      <c r="B6185" s="6"/>
      <c r="C6185" s="6"/>
      <c r="D6185" s="4">
        <v>8.84169739925768</v>
      </c>
      <c r="E6185" s="4" t="s">
        <v>2592</v>
      </c>
      <c r="F6185" s="4"/>
      <c r="G6185" s="4"/>
      <c r="H6185" s="4"/>
      <c r="I6185" s="4"/>
      <c r="J6185" s="18">
        <v>0.0</v>
      </c>
      <c r="K6185" s="4" t="s">
        <v>8494</v>
      </c>
      <c r="L6185" s="19" t="s">
        <v>8494</v>
      </c>
      <c r="M6185" s="20" t="s">
        <v>8494</v>
      </c>
    </row>
    <row r="6186">
      <c r="A6186" s="6"/>
      <c r="B6186" s="6"/>
      <c r="C6186" s="6"/>
      <c r="D6186" s="4">
        <v>186.01196020749998</v>
      </c>
      <c r="E6186" s="4" t="s">
        <v>662</v>
      </c>
      <c r="F6186" s="4"/>
      <c r="G6186" s="4"/>
      <c r="H6186" s="4"/>
      <c r="I6186" s="4"/>
      <c r="J6186" s="18">
        <v>0.0</v>
      </c>
      <c r="K6186" s="4" t="s">
        <v>8494</v>
      </c>
      <c r="L6186" s="19" t="s">
        <v>8494</v>
      </c>
      <c r="M6186" s="20" t="s">
        <v>8494</v>
      </c>
    </row>
    <row r="6187">
      <c r="A6187" s="6"/>
      <c r="B6187" s="6"/>
      <c r="C6187" s="6"/>
      <c r="D6187" s="4">
        <v>9.30059801037504</v>
      </c>
      <c r="E6187" s="4" t="s">
        <v>3401</v>
      </c>
      <c r="F6187" s="4"/>
      <c r="G6187" s="4"/>
      <c r="H6187" s="4"/>
      <c r="I6187" s="4"/>
      <c r="J6187" s="18">
        <v>0.0</v>
      </c>
      <c r="K6187" s="4" t="s">
        <v>8494</v>
      </c>
      <c r="L6187" s="19" t="s">
        <v>8494</v>
      </c>
      <c r="M6187" s="20" t="s">
        <v>8494</v>
      </c>
    </row>
    <row r="6188">
      <c r="A6188" s="6"/>
      <c r="B6188" s="6"/>
      <c r="C6188" s="6"/>
      <c r="D6188" s="4">
        <v>134.580544735774</v>
      </c>
      <c r="E6188" s="4" t="s">
        <v>5220</v>
      </c>
      <c r="F6188" s="4"/>
      <c r="G6188" s="4"/>
      <c r="H6188" s="4"/>
      <c r="I6188" s="4"/>
      <c r="J6188" s="18">
        <v>0.0</v>
      </c>
      <c r="K6188" s="4" t="s">
        <v>8494</v>
      </c>
      <c r="L6188" s="19" t="s">
        <v>8494</v>
      </c>
      <c r="M6188" s="20" t="s">
        <v>8494</v>
      </c>
    </row>
    <row r="6189">
      <c r="A6189" s="6"/>
      <c r="B6189" s="6"/>
      <c r="C6189" s="6"/>
      <c r="D6189" s="4">
        <v>9.30059801037504</v>
      </c>
      <c r="E6189" s="4" t="s">
        <v>4284</v>
      </c>
      <c r="F6189" s="4"/>
      <c r="G6189" s="4"/>
      <c r="H6189" s="4"/>
      <c r="I6189" s="4"/>
      <c r="J6189" s="18">
        <v>0.0</v>
      </c>
      <c r="K6189" s="4" t="s">
        <v>8494</v>
      </c>
      <c r="L6189" s="19" t="s">
        <v>8494</v>
      </c>
      <c r="M6189" s="20" t="s">
        <v>8494</v>
      </c>
    </row>
    <row r="6190">
      <c r="A6190" s="6"/>
      <c r="B6190" s="6"/>
      <c r="C6190" s="6"/>
      <c r="D6190" s="4">
        <v>146.743300622591</v>
      </c>
      <c r="E6190" s="4" t="s">
        <v>8348</v>
      </c>
      <c r="F6190" s="4"/>
      <c r="G6190" s="4"/>
      <c r="H6190" s="4"/>
      <c r="I6190" s="4"/>
      <c r="J6190" s="18">
        <v>0.0</v>
      </c>
      <c r="K6190" s="4" t="s">
        <v>8494</v>
      </c>
      <c r="L6190" s="19" t="s">
        <v>8494</v>
      </c>
      <c r="M6190" s="20" t="s">
        <v>8494</v>
      </c>
    </row>
    <row r="6191">
      <c r="A6191" s="6"/>
      <c r="B6191" s="6"/>
      <c r="C6191" s="6"/>
      <c r="D6191" s="4">
        <v>9.67337295835765</v>
      </c>
      <c r="E6191" s="4" t="s">
        <v>5167</v>
      </c>
      <c r="F6191" s="4"/>
      <c r="G6191" s="4"/>
      <c r="H6191" s="4"/>
      <c r="I6191" s="4"/>
      <c r="J6191" s="18">
        <v>0.0</v>
      </c>
      <c r="K6191" s="4" t="s">
        <v>8494</v>
      </c>
      <c r="L6191" s="19" t="s">
        <v>8494</v>
      </c>
      <c r="M6191" s="20" t="s">
        <v>8494</v>
      </c>
    </row>
    <row r="6192">
      <c r="A6192" s="6"/>
      <c r="B6192" s="6"/>
      <c r="C6192" s="6"/>
      <c r="D6192" s="4">
        <v>138.371410189497</v>
      </c>
      <c r="E6192" s="4" t="s">
        <v>204</v>
      </c>
      <c r="F6192" s="4"/>
      <c r="G6192" s="4"/>
      <c r="H6192" s="4"/>
      <c r="I6192" s="4"/>
      <c r="J6192" s="18">
        <v>0.0</v>
      </c>
      <c r="K6192" s="4" t="s">
        <v>8494</v>
      </c>
      <c r="L6192" s="19" t="s">
        <v>8494</v>
      </c>
      <c r="M6192" s="20" t="s">
        <v>8494</v>
      </c>
    </row>
    <row r="6193">
      <c r="A6193" s="6"/>
      <c r="B6193" s="6"/>
      <c r="C6193" s="6"/>
      <c r="D6193" s="4">
        <v>12.0911500802653</v>
      </c>
      <c r="E6193" s="4" t="s">
        <v>8352</v>
      </c>
      <c r="F6193" s="4"/>
      <c r="G6193" s="4"/>
      <c r="H6193" s="4"/>
      <c r="I6193" s="4"/>
      <c r="J6193" s="18">
        <v>0.0</v>
      </c>
      <c r="K6193" s="4" t="s">
        <v>8494</v>
      </c>
      <c r="L6193" s="19" t="s">
        <v>8494</v>
      </c>
      <c r="M6193" s="20" t="s">
        <v>8494</v>
      </c>
    </row>
    <row r="6194">
      <c r="A6194" s="6"/>
      <c r="B6194" s="6"/>
      <c r="C6194" s="6"/>
      <c r="D6194" s="4">
        <v>19.1813613620234</v>
      </c>
      <c r="E6194" s="4" t="s">
        <v>3983</v>
      </c>
      <c r="F6194" s="4"/>
      <c r="G6194" s="4"/>
      <c r="H6194" s="4"/>
      <c r="I6194" s="4"/>
      <c r="J6194" s="18">
        <v>0.0</v>
      </c>
      <c r="K6194" s="4" t="s">
        <v>8494</v>
      </c>
      <c r="L6194" s="19" t="s">
        <v>8494</v>
      </c>
      <c r="M6194" s="20" t="s">
        <v>8494</v>
      </c>
    </row>
    <row r="6195">
      <c r="A6195" s="6"/>
      <c r="B6195" s="6"/>
      <c r="C6195" s="6"/>
      <c r="D6195" s="4">
        <v>4.762272953633089</v>
      </c>
      <c r="E6195" s="4" t="s">
        <v>4976</v>
      </c>
      <c r="F6195" s="4"/>
      <c r="G6195" s="4"/>
      <c r="H6195" s="4"/>
      <c r="I6195" s="4"/>
      <c r="J6195" s="18">
        <v>0.0</v>
      </c>
      <c r="K6195" s="4" t="s">
        <v>8494</v>
      </c>
      <c r="L6195" s="19" t="s">
        <v>8494</v>
      </c>
      <c r="M6195" s="20" t="s">
        <v>8494</v>
      </c>
    </row>
    <row r="6196">
      <c r="A6196" s="6"/>
      <c r="B6196" s="6"/>
      <c r="C6196" s="6"/>
      <c r="D6196" s="4">
        <v>9.30059801037504</v>
      </c>
      <c r="E6196" s="4" t="s">
        <v>7185</v>
      </c>
      <c r="F6196" s="4"/>
      <c r="G6196" s="4"/>
      <c r="H6196" s="4"/>
      <c r="I6196" s="4"/>
      <c r="J6196" s="18">
        <v>0.0</v>
      </c>
      <c r="K6196" s="4" t="s">
        <v>8494</v>
      </c>
      <c r="L6196" s="19" t="s">
        <v>8494</v>
      </c>
      <c r="M6196" s="20" t="s">
        <v>8494</v>
      </c>
    </row>
    <row r="6197">
      <c r="A6197" s="6"/>
      <c r="B6197" s="6"/>
      <c r="C6197" s="6"/>
      <c r="D6197" s="4">
        <v>186.01196020749998</v>
      </c>
      <c r="E6197" s="4" t="s">
        <v>367</v>
      </c>
      <c r="F6197" s="4"/>
      <c r="G6197" s="4"/>
      <c r="H6197" s="4"/>
      <c r="I6197" s="4"/>
      <c r="J6197" s="18">
        <v>0.0</v>
      </c>
      <c r="K6197" s="4" t="s">
        <v>8494</v>
      </c>
      <c r="L6197" s="19" t="s">
        <v>8494</v>
      </c>
      <c r="M6197" s="20" t="s">
        <v>8494</v>
      </c>
    </row>
    <row r="6198">
      <c r="A6198" s="6"/>
      <c r="B6198" s="6"/>
      <c r="C6198" s="6"/>
      <c r="D6198" s="4">
        <v>39.756317389072095</v>
      </c>
      <c r="E6198" s="4" t="s">
        <v>3121</v>
      </c>
      <c r="F6198" s="4"/>
      <c r="G6198" s="4"/>
      <c r="H6198" s="4"/>
      <c r="I6198" s="4"/>
      <c r="J6198" s="18">
        <v>0.0</v>
      </c>
      <c r="K6198" s="4" t="s">
        <v>8494</v>
      </c>
      <c r="L6198" s="19" t="s">
        <v>8494</v>
      </c>
      <c r="M6198" s="20" t="s">
        <v>8494</v>
      </c>
    </row>
    <row r="6199">
      <c r="A6199" s="6"/>
      <c r="B6199" s="6"/>
      <c r="C6199" s="6"/>
      <c r="D6199" s="4">
        <v>34.2967043429125</v>
      </c>
      <c r="E6199" s="4" t="s">
        <v>6571</v>
      </c>
      <c r="F6199" s="4"/>
      <c r="G6199" s="4"/>
      <c r="H6199" s="4"/>
      <c r="I6199" s="4"/>
      <c r="J6199" s="18">
        <v>0.0</v>
      </c>
      <c r="K6199" s="4" t="s">
        <v>8494</v>
      </c>
      <c r="L6199" s="19" t="s">
        <v>8494</v>
      </c>
      <c r="M6199" s="20" t="s">
        <v>8494</v>
      </c>
    </row>
    <row r="6200">
      <c r="A6200" s="6"/>
      <c r="B6200" s="6"/>
      <c r="C6200" s="6"/>
      <c r="D6200" s="4">
        <v>65.1041860726253</v>
      </c>
      <c r="E6200" s="4" t="s">
        <v>6280</v>
      </c>
      <c r="F6200" s="4"/>
      <c r="G6200" s="4"/>
      <c r="H6200" s="4"/>
      <c r="I6200" s="4"/>
      <c r="J6200" s="18">
        <v>0.0</v>
      </c>
      <c r="K6200" s="4" t="s">
        <v>8494</v>
      </c>
      <c r="L6200" s="19" t="s">
        <v>8494</v>
      </c>
      <c r="M6200" s="20" t="s">
        <v>8494</v>
      </c>
    </row>
    <row r="6201">
      <c r="A6201" s="6"/>
      <c r="B6201" s="6"/>
      <c r="C6201" s="6"/>
      <c r="D6201" s="4">
        <v>9.893072721376399</v>
      </c>
      <c r="E6201" s="4" t="s">
        <v>4346</v>
      </c>
      <c r="F6201" s="4"/>
      <c r="G6201" s="4"/>
      <c r="H6201" s="4"/>
      <c r="I6201" s="4"/>
      <c r="J6201" s="18">
        <v>0.0</v>
      </c>
      <c r="K6201" s="4" t="s">
        <v>8494</v>
      </c>
      <c r="L6201" s="19" t="s">
        <v>8494</v>
      </c>
      <c r="M6201" s="20" t="s">
        <v>8494</v>
      </c>
    </row>
    <row r="6202">
      <c r="A6202" s="6"/>
      <c r="B6202" s="6"/>
      <c r="C6202" s="6"/>
      <c r="D6202" s="4">
        <v>12.0907774134875</v>
      </c>
      <c r="E6202" s="4" t="s">
        <v>8359</v>
      </c>
      <c r="F6202" s="4"/>
      <c r="G6202" s="4"/>
      <c r="H6202" s="4"/>
      <c r="I6202" s="4"/>
      <c r="J6202" s="18">
        <v>0.0</v>
      </c>
      <c r="K6202" s="4" t="s">
        <v>8494</v>
      </c>
      <c r="L6202" s="19" t="s">
        <v>8494</v>
      </c>
      <c r="M6202" s="20" t="s">
        <v>8494</v>
      </c>
    </row>
    <row r="6203">
      <c r="A6203" s="6"/>
      <c r="B6203" s="6"/>
      <c r="C6203" s="6"/>
      <c r="D6203" s="4">
        <v>65.1041860726253</v>
      </c>
      <c r="E6203" s="4" t="s">
        <v>4445</v>
      </c>
      <c r="F6203" s="4"/>
      <c r="G6203" s="4"/>
      <c r="H6203" s="4"/>
      <c r="I6203" s="4"/>
      <c r="J6203" s="18">
        <v>0.0</v>
      </c>
      <c r="K6203" s="4" t="s">
        <v>8494</v>
      </c>
      <c r="L6203" s="19" t="s">
        <v>8494</v>
      </c>
      <c r="M6203" s="20" t="s">
        <v>8494</v>
      </c>
    </row>
    <row r="6204">
      <c r="A6204" s="6"/>
      <c r="B6204" s="6"/>
      <c r="C6204" s="6"/>
      <c r="D6204" s="4">
        <v>186.01196020749998</v>
      </c>
      <c r="E6204" s="4" t="s">
        <v>6487</v>
      </c>
      <c r="F6204" s="4"/>
      <c r="G6204" s="4"/>
      <c r="H6204" s="4"/>
      <c r="I6204" s="4"/>
      <c r="J6204" s="18">
        <v>0.0</v>
      </c>
      <c r="K6204" s="4" t="s">
        <v>8494</v>
      </c>
      <c r="L6204" s="19" t="s">
        <v>8494</v>
      </c>
      <c r="M6204" s="20" t="s">
        <v>8494</v>
      </c>
    </row>
    <row r="6205">
      <c r="A6205" s="6"/>
      <c r="B6205" s="6"/>
      <c r="C6205" s="6"/>
      <c r="D6205" s="4">
        <v>186.01196020749998</v>
      </c>
      <c r="E6205" s="4" t="s">
        <v>1048</v>
      </c>
      <c r="F6205" s="4"/>
      <c r="G6205" s="4"/>
      <c r="H6205" s="4"/>
      <c r="I6205" s="4"/>
      <c r="J6205" s="18">
        <v>0.0</v>
      </c>
      <c r="K6205" s="4" t="s">
        <v>8494</v>
      </c>
      <c r="L6205" s="19" t="s">
        <v>8494</v>
      </c>
      <c r="M6205" s="20" t="s">
        <v>8494</v>
      </c>
    </row>
    <row r="6206">
      <c r="A6206" s="6"/>
      <c r="B6206" s="6"/>
      <c r="C6206" s="6"/>
      <c r="D6206" s="4">
        <v>186.01196020749998</v>
      </c>
      <c r="E6206" s="4" t="s">
        <v>5817</v>
      </c>
      <c r="F6206" s="4"/>
      <c r="G6206" s="4"/>
      <c r="H6206" s="4"/>
      <c r="I6206" s="4"/>
      <c r="J6206" s="18">
        <v>0.0</v>
      </c>
      <c r="K6206" s="4" t="s">
        <v>8494</v>
      </c>
      <c r="L6206" s="19" t="s">
        <v>8494</v>
      </c>
      <c r="M6206" s="20" t="s">
        <v>8494</v>
      </c>
    </row>
    <row r="6207">
      <c r="A6207" s="6"/>
      <c r="B6207" s="6"/>
      <c r="C6207" s="6"/>
      <c r="D6207" s="4">
        <v>53.8517625276848</v>
      </c>
      <c r="E6207" s="4" t="s">
        <v>8360</v>
      </c>
      <c r="F6207" s="4"/>
      <c r="G6207" s="4"/>
      <c r="H6207" s="4"/>
      <c r="I6207" s="4"/>
      <c r="J6207" s="18">
        <v>0.0</v>
      </c>
      <c r="K6207" s="4" t="s">
        <v>8494</v>
      </c>
      <c r="L6207" s="19" t="s">
        <v>8494</v>
      </c>
      <c r="M6207" s="20" t="s">
        <v>8494</v>
      </c>
    </row>
    <row r="6208">
      <c r="A6208" s="6"/>
      <c r="B6208" s="6"/>
      <c r="C6208" s="6"/>
      <c r="D6208" s="4">
        <v>186.01196020749998</v>
      </c>
      <c r="E6208" s="4" t="s">
        <v>31</v>
      </c>
      <c r="F6208" s="4"/>
      <c r="G6208" s="4"/>
      <c r="H6208" s="4"/>
      <c r="I6208" s="4"/>
      <c r="J6208" s="18">
        <v>0.0</v>
      </c>
      <c r="K6208" s="4" t="s">
        <v>8494</v>
      </c>
      <c r="L6208" s="19" t="s">
        <v>8494</v>
      </c>
      <c r="M6208" s="20" t="s">
        <v>8494</v>
      </c>
    </row>
    <row r="6209">
      <c r="A6209" s="6"/>
      <c r="B6209" s="6"/>
      <c r="C6209" s="6"/>
      <c r="D6209" s="4">
        <v>16.8610541330089</v>
      </c>
      <c r="E6209" s="4" t="s">
        <v>4244</v>
      </c>
      <c r="F6209" s="4"/>
      <c r="G6209" s="4"/>
      <c r="H6209" s="4"/>
      <c r="I6209" s="4"/>
      <c r="J6209" s="18">
        <v>0.0</v>
      </c>
      <c r="K6209" s="4" t="s">
        <v>8494</v>
      </c>
      <c r="L6209" s="19" t="s">
        <v>8494</v>
      </c>
      <c r="M6209" s="20" t="s">
        <v>8494</v>
      </c>
    </row>
    <row r="6210">
      <c r="A6210" s="6"/>
      <c r="B6210" s="6"/>
      <c r="C6210" s="6"/>
      <c r="D6210" s="4">
        <v>7.62649036850753</v>
      </c>
      <c r="E6210" s="4" t="s">
        <v>2581</v>
      </c>
      <c r="F6210" s="4"/>
      <c r="G6210" s="4"/>
      <c r="H6210" s="4"/>
      <c r="I6210" s="4"/>
      <c r="J6210" s="18">
        <v>0.0</v>
      </c>
      <c r="K6210" s="4" t="s">
        <v>8494</v>
      </c>
      <c r="L6210" s="19" t="s">
        <v>8494</v>
      </c>
      <c r="M6210" s="20" t="s">
        <v>8494</v>
      </c>
    </row>
    <row r="6211">
      <c r="A6211" s="6"/>
      <c r="B6211" s="6"/>
      <c r="C6211" s="6"/>
      <c r="D6211" s="4">
        <v>186.01196020749998</v>
      </c>
      <c r="E6211" s="4" t="s">
        <v>1334</v>
      </c>
      <c r="F6211" s="4"/>
      <c r="G6211" s="4"/>
      <c r="H6211" s="4"/>
      <c r="I6211" s="4"/>
      <c r="J6211" s="18">
        <v>0.0</v>
      </c>
      <c r="K6211" s="4" t="s">
        <v>8494</v>
      </c>
      <c r="L6211" s="19" t="s">
        <v>8494</v>
      </c>
      <c r="M6211" s="20" t="s">
        <v>8494</v>
      </c>
    </row>
    <row r="6212">
      <c r="A6212" s="6"/>
      <c r="B6212" s="6"/>
      <c r="C6212" s="6"/>
      <c r="D6212" s="4">
        <v>9.30059801037504</v>
      </c>
      <c r="E6212" s="4" t="s">
        <v>2375</v>
      </c>
      <c r="F6212" s="4"/>
      <c r="G6212" s="4"/>
      <c r="H6212" s="4"/>
      <c r="I6212" s="4"/>
      <c r="J6212" s="18">
        <v>0.0</v>
      </c>
      <c r="K6212" s="4" t="s">
        <v>8494</v>
      </c>
      <c r="L6212" s="19" t="s">
        <v>8494</v>
      </c>
      <c r="M6212" s="20" t="s">
        <v>8494</v>
      </c>
    </row>
    <row r="6213">
      <c r="A6213" s="6"/>
      <c r="B6213" s="6"/>
      <c r="C6213" s="6"/>
      <c r="D6213" s="4">
        <v>105.2597904564</v>
      </c>
      <c r="E6213" s="4" t="s">
        <v>5401</v>
      </c>
      <c r="F6213" s="4"/>
      <c r="G6213" s="4"/>
      <c r="H6213" s="4"/>
      <c r="I6213" s="4"/>
      <c r="J6213" s="18">
        <v>0.0</v>
      </c>
      <c r="K6213" s="4" t="s">
        <v>8494</v>
      </c>
      <c r="L6213" s="19" t="s">
        <v>8494</v>
      </c>
      <c r="M6213" s="20" t="s">
        <v>8494</v>
      </c>
    </row>
    <row r="6214">
      <c r="A6214" s="6"/>
      <c r="B6214" s="6"/>
      <c r="C6214" s="6"/>
      <c r="D6214" s="4">
        <v>46.5029900518752</v>
      </c>
      <c r="E6214" s="4" t="s">
        <v>5958</v>
      </c>
      <c r="F6214" s="4"/>
      <c r="G6214" s="4"/>
      <c r="H6214" s="4"/>
      <c r="I6214" s="4"/>
      <c r="J6214" s="18">
        <v>0.0</v>
      </c>
      <c r="K6214" s="4" t="s">
        <v>8494</v>
      </c>
      <c r="L6214" s="19" t="s">
        <v>8494</v>
      </c>
      <c r="M6214" s="20" t="s">
        <v>8494</v>
      </c>
    </row>
    <row r="6215">
      <c r="A6215" s="6"/>
      <c r="B6215" s="6"/>
      <c r="C6215" s="6"/>
      <c r="D6215" s="4">
        <v>3.9928659932680697</v>
      </c>
      <c r="E6215" s="4" t="s">
        <v>4117</v>
      </c>
      <c r="F6215" s="4"/>
      <c r="G6215" s="4"/>
      <c r="H6215" s="4"/>
      <c r="I6215" s="4"/>
      <c r="J6215" s="18">
        <v>0.0</v>
      </c>
      <c r="K6215" s="4" t="s">
        <v>8494</v>
      </c>
      <c r="L6215" s="19" t="s">
        <v>8494</v>
      </c>
      <c r="M6215" s="20" t="s">
        <v>8494</v>
      </c>
    </row>
    <row r="6216">
      <c r="A6216" s="6"/>
      <c r="B6216" s="6"/>
      <c r="C6216" s="6"/>
      <c r="D6216" s="4">
        <v>133.45878228862398</v>
      </c>
      <c r="E6216" s="4" t="s">
        <v>3659</v>
      </c>
      <c r="F6216" s="4"/>
      <c r="G6216" s="4"/>
      <c r="H6216" s="4"/>
      <c r="I6216" s="4"/>
      <c r="J6216" s="18">
        <v>0.0</v>
      </c>
      <c r="K6216" s="4" t="s">
        <v>8494</v>
      </c>
      <c r="L6216" s="19" t="s">
        <v>8494</v>
      </c>
      <c r="M6216" s="20" t="s">
        <v>8494</v>
      </c>
    </row>
    <row r="6217">
      <c r="A6217" s="6"/>
      <c r="B6217" s="6"/>
      <c r="C6217" s="6"/>
      <c r="D6217" s="4">
        <v>111.79083395082101</v>
      </c>
      <c r="E6217" s="4" t="s">
        <v>8367</v>
      </c>
      <c r="F6217" s="4"/>
      <c r="G6217" s="4"/>
      <c r="H6217" s="4"/>
      <c r="I6217" s="4"/>
      <c r="J6217" s="18">
        <v>0.0</v>
      </c>
      <c r="K6217" s="4" t="s">
        <v>8494</v>
      </c>
      <c r="L6217" s="19" t="s">
        <v>8494</v>
      </c>
      <c r="M6217" s="20" t="s">
        <v>8494</v>
      </c>
    </row>
    <row r="6218">
      <c r="A6218" s="6"/>
      <c r="B6218" s="6"/>
      <c r="C6218" s="6"/>
      <c r="D6218" s="4">
        <v>9.30059801037504</v>
      </c>
      <c r="E6218" s="4" t="s">
        <v>6013</v>
      </c>
      <c r="F6218" s="4"/>
      <c r="G6218" s="4"/>
      <c r="H6218" s="4"/>
      <c r="I6218" s="4"/>
      <c r="J6218" s="18">
        <v>0.0</v>
      </c>
      <c r="K6218" s="4" t="s">
        <v>8494</v>
      </c>
      <c r="L6218" s="19" t="s">
        <v>8494</v>
      </c>
      <c r="M6218" s="20" t="s">
        <v>8494</v>
      </c>
    </row>
    <row r="6219">
      <c r="A6219" s="6"/>
      <c r="B6219" s="6"/>
      <c r="C6219" s="6"/>
      <c r="D6219" s="4">
        <v>152.518578957546</v>
      </c>
      <c r="E6219" s="4" t="s">
        <v>6556</v>
      </c>
      <c r="F6219" s="4"/>
      <c r="G6219" s="4"/>
      <c r="H6219" s="4"/>
      <c r="I6219" s="4"/>
      <c r="J6219" s="18">
        <v>0.0</v>
      </c>
      <c r="K6219" s="4" t="s">
        <v>8494</v>
      </c>
      <c r="L6219" s="19" t="s">
        <v>8494</v>
      </c>
      <c r="M6219" s="20" t="s">
        <v>8494</v>
      </c>
    </row>
    <row r="6220">
      <c r="A6220" s="6"/>
      <c r="B6220" s="6"/>
      <c r="C6220" s="6"/>
      <c r="D6220" s="4">
        <v>186.01196020749998</v>
      </c>
      <c r="E6220" s="4" t="s">
        <v>1495</v>
      </c>
      <c r="F6220" s="4"/>
      <c r="G6220" s="4"/>
      <c r="H6220" s="4"/>
      <c r="I6220" s="4"/>
      <c r="J6220" s="18">
        <v>0.0</v>
      </c>
      <c r="K6220" s="4" t="s">
        <v>8494</v>
      </c>
      <c r="L6220" s="19" t="s">
        <v>8494</v>
      </c>
      <c r="M6220" s="20" t="s">
        <v>8494</v>
      </c>
    </row>
    <row r="6221">
      <c r="A6221" s="6"/>
      <c r="B6221" s="6"/>
      <c r="C6221" s="6"/>
      <c r="D6221" s="4">
        <v>93.08331114875031</v>
      </c>
      <c r="E6221" s="4" t="s">
        <v>5190</v>
      </c>
      <c r="F6221" s="4"/>
      <c r="G6221" s="4"/>
      <c r="H6221" s="4"/>
      <c r="I6221" s="4"/>
      <c r="J6221" s="18">
        <v>0.0</v>
      </c>
      <c r="K6221" s="4" t="s">
        <v>8494</v>
      </c>
      <c r="L6221" s="19" t="s">
        <v>8494</v>
      </c>
      <c r="M6221" s="20" t="s">
        <v>8494</v>
      </c>
    </row>
    <row r="6222">
      <c r="A6222" s="6"/>
      <c r="B6222" s="6"/>
      <c r="C6222" s="6"/>
      <c r="D6222" s="4">
        <v>25.9243919305414</v>
      </c>
      <c r="E6222" s="4" t="s">
        <v>5584</v>
      </c>
      <c r="F6222" s="4"/>
      <c r="G6222" s="4"/>
      <c r="H6222" s="4"/>
      <c r="I6222" s="4"/>
      <c r="J6222" s="18">
        <v>0.0</v>
      </c>
      <c r="K6222" s="4" t="s">
        <v>8494</v>
      </c>
      <c r="L6222" s="19" t="s">
        <v>8494</v>
      </c>
      <c r="M6222" s="20" t="s">
        <v>8494</v>
      </c>
    </row>
    <row r="6223">
      <c r="A6223" s="6"/>
      <c r="B6223" s="6"/>
      <c r="C6223" s="6"/>
      <c r="D6223" s="4">
        <v>55.419365062306106</v>
      </c>
      <c r="E6223" s="4" t="s">
        <v>1969</v>
      </c>
      <c r="F6223" s="4"/>
      <c r="G6223" s="4"/>
      <c r="H6223" s="4"/>
      <c r="I6223" s="4"/>
      <c r="J6223" s="18">
        <v>0.0</v>
      </c>
      <c r="K6223" s="4" t="s">
        <v>8494</v>
      </c>
      <c r="L6223" s="19" t="s">
        <v>8494</v>
      </c>
      <c r="M6223" s="20" t="s">
        <v>8494</v>
      </c>
    </row>
    <row r="6224">
      <c r="A6224" s="6"/>
      <c r="B6224" s="6"/>
      <c r="C6224" s="6"/>
      <c r="D6224" s="4">
        <v>9.024690305215021</v>
      </c>
      <c r="E6224" s="4" t="s">
        <v>7123</v>
      </c>
      <c r="F6224" s="4"/>
      <c r="G6224" s="4"/>
      <c r="H6224" s="4"/>
      <c r="I6224" s="4"/>
      <c r="J6224" s="18">
        <v>0.0</v>
      </c>
      <c r="K6224" s="4" t="s">
        <v>8494</v>
      </c>
      <c r="L6224" s="19" t="s">
        <v>8494</v>
      </c>
      <c r="M6224" s="20" t="s">
        <v>8494</v>
      </c>
    </row>
    <row r="6225">
      <c r="A6225" s="6"/>
      <c r="B6225" s="6"/>
      <c r="C6225" s="6"/>
      <c r="D6225" s="4">
        <v>46.5029900518752</v>
      </c>
      <c r="E6225" s="4" t="s">
        <v>4585</v>
      </c>
      <c r="F6225" s="4"/>
      <c r="G6225" s="4"/>
      <c r="H6225" s="4"/>
      <c r="I6225" s="4"/>
      <c r="J6225" s="18">
        <v>0.0</v>
      </c>
      <c r="K6225" s="4" t="s">
        <v>8494</v>
      </c>
      <c r="L6225" s="19" t="s">
        <v>8494</v>
      </c>
      <c r="M6225" s="20" t="s">
        <v>8494</v>
      </c>
    </row>
    <row r="6226">
      <c r="A6226" s="6"/>
      <c r="B6226" s="6"/>
      <c r="C6226" s="6"/>
      <c r="D6226" s="4">
        <v>7.711704751175789</v>
      </c>
      <c r="E6226" s="4" t="s">
        <v>2551</v>
      </c>
      <c r="F6226" s="4"/>
      <c r="G6226" s="4"/>
      <c r="H6226" s="4"/>
      <c r="I6226" s="4"/>
      <c r="J6226" s="18">
        <v>0.0</v>
      </c>
      <c r="K6226" s="4" t="s">
        <v>8494</v>
      </c>
      <c r="L6226" s="19" t="s">
        <v>8494</v>
      </c>
      <c r="M6226" s="20" t="s">
        <v>8494</v>
      </c>
    </row>
    <row r="6227">
      <c r="A6227" s="6"/>
      <c r="B6227" s="6"/>
      <c r="C6227" s="6"/>
      <c r="D6227" s="4">
        <v>42.8725172738882</v>
      </c>
      <c r="E6227" s="4" t="s">
        <v>8375</v>
      </c>
      <c r="F6227" s="4"/>
      <c r="G6227" s="4"/>
      <c r="H6227" s="4"/>
      <c r="I6227" s="4"/>
      <c r="J6227" s="18">
        <v>0.0</v>
      </c>
      <c r="K6227" s="4" t="s">
        <v>8494</v>
      </c>
      <c r="L6227" s="19" t="s">
        <v>8494</v>
      </c>
      <c r="M6227" s="20" t="s">
        <v>8494</v>
      </c>
    </row>
    <row r="6228">
      <c r="A6228" s="6"/>
      <c r="B6228" s="6"/>
      <c r="C6228" s="6"/>
      <c r="D6228" s="4">
        <v>186.01196020749998</v>
      </c>
      <c r="E6228" s="4" t="s">
        <v>8377</v>
      </c>
      <c r="F6228" s="4"/>
      <c r="G6228" s="4"/>
      <c r="H6228" s="4"/>
      <c r="I6228" s="4"/>
      <c r="J6228" s="18">
        <v>0.0</v>
      </c>
      <c r="K6228" s="4" t="s">
        <v>8494</v>
      </c>
      <c r="L6228" s="19" t="s">
        <v>8494</v>
      </c>
      <c r="M6228" s="20" t="s">
        <v>8494</v>
      </c>
    </row>
    <row r="6229">
      <c r="A6229" s="6"/>
      <c r="B6229" s="6"/>
      <c r="C6229" s="6"/>
      <c r="D6229" s="4">
        <v>18.7767151714683</v>
      </c>
      <c r="E6229" s="4" t="s">
        <v>6511</v>
      </c>
      <c r="F6229" s="4"/>
      <c r="G6229" s="4"/>
      <c r="H6229" s="4"/>
      <c r="I6229" s="4"/>
      <c r="J6229" s="18">
        <v>0.0</v>
      </c>
      <c r="K6229" s="4" t="s">
        <v>8494</v>
      </c>
      <c r="L6229" s="19" t="s">
        <v>8494</v>
      </c>
      <c r="M6229" s="20" t="s">
        <v>8494</v>
      </c>
    </row>
    <row r="6230">
      <c r="A6230" s="6"/>
      <c r="B6230" s="6"/>
      <c r="C6230" s="6"/>
      <c r="D6230" s="4">
        <v>93.1305514770527</v>
      </c>
      <c r="E6230" s="4" t="s">
        <v>6121</v>
      </c>
      <c r="F6230" s="4"/>
      <c r="G6230" s="4"/>
      <c r="H6230" s="4"/>
      <c r="I6230" s="4"/>
      <c r="J6230" s="18">
        <v>0.0</v>
      </c>
      <c r="K6230" s="4" t="s">
        <v>8494</v>
      </c>
      <c r="L6230" s="19" t="s">
        <v>8494</v>
      </c>
      <c r="M6230" s="20" t="s">
        <v>8494</v>
      </c>
    </row>
    <row r="6231">
      <c r="A6231" s="6"/>
      <c r="B6231" s="6"/>
      <c r="C6231" s="6"/>
      <c r="D6231" s="4">
        <v>70.677774623112</v>
      </c>
      <c r="E6231" s="4" t="s">
        <v>7220</v>
      </c>
      <c r="F6231" s="4"/>
      <c r="G6231" s="4"/>
      <c r="H6231" s="4"/>
      <c r="I6231" s="4"/>
      <c r="J6231" s="18">
        <v>0.0</v>
      </c>
      <c r="K6231" s="4" t="s">
        <v>8494</v>
      </c>
      <c r="L6231" s="19" t="s">
        <v>8494</v>
      </c>
      <c r="M6231" s="20" t="s">
        <v>8494</v>
      </c>
    </row>
    <row r="6232">
      <c r="A6232" s="6"/>
      <c r="B6232" s="6"/>
      <c r="C6232" s="6"/>
      <c r="D6232" s="4">
        <v>134.097530180815</v>
      </c>
      <c r="E6232" s="4" t="s">
        <v>4687</v>
      </c>
      <c r="F6232" s="4"/>
      <c r="G6232" s="4"/>
      <c r="H6232" s="4"/>
      <c r="I6232" s="4"/>
      <c r="J6232" s="18">
        <v>0.0</v>
      </c>
      <c r="K6232" s="4" t="s">
        <v>8494</v>
      </c>
      <c r="L6232" s="19" t="s">
        <v>8494</v>
      </c>
      <c r="M6232" s="20" t="s">
        <v>8494</v>
      </c>
    </row>
    <row r="6233">
      <c r="A6233" s="6"/>
      <c r="B6233" s="6"/>
      <c r="C6233" s="6"/>
      <c r="D6233" s="4">
        <v>9.928643287981691</v>
      </c>
      <c r="E6233" s="4" t="s">
        <v>1954</v>
      </c>
      <c r="F6233" s="4"/>
      <c r="G6233" s="4"/>
      <c r="H6233" s="4"/>
      <c r="I6233" s="4"/>
      <c r="J6233" s="18">
        <v>0.0</v>
      </c>
      <c r="K6233" s="4" t="s">
        <v>8494</v>
      </c>
      <c r="L6233" s="19" t="s">
        <v>8494</v>
      </c>
      <c r="M6233" s="20" t="s">
        <v>8494</v>
      </c>
    </row>
    <row r="6234">
      <c r="A6234" s="6"/>
      <c r="B6234" s="6"/>
      <c r="C6234" s="6"/>
      <c r="D6234" s="4">
        <v>73.9303029287372</v>
      </c>
      <c r="E6234" s="4" t="s">
        <v>8383</v>
      </c>
      <c r="F6234" s="4"/>
      <c r="G6234" s="4"/>
      <c r="H6234" s="4"/>
      <c r="I6234" s="4"/>
      <c r="J6234" s="18">
        <v>0.0</v>
      </c>
      <c r="K6234" s="4" t="s">
        <v>8494</v>
      </c>
      <c r="L6234" s="19" t="s">
        <v>8494</v>
      </c>
      <c r="M6234" s="20" t="s">
        <v>8494</v>
      </c>
    </row>
    <row r="6235">
      <c r="A6235" s="6"/>
      <c r="B6235" s="6"/>
      <c r="C6235" s="6"/>
      <c r="D6235" s="4">
        <v>47.4367012490903</v>
      </c>
      <c r="E6235" s="4" t="s">
        <v>5704</v>
      </c>
      <c r="F6235" s="4"/>
      <c r="G6235" s="4"/>
      <c r="H6235" s="4"/>
      <c r="I6235" s="4"/>
      <c r="J6235" s="18">
        <v>0.0</v>
      </c>
      <c r="K6235" s="4" t="s">
        <v>8494</v>
      </c>
      <c r="L6235" s="19" t="s">
        <v>8494</v>
      </c>
      <c r="M6235" s="20" t="s">
        <v>8494</v>
      </c>
    </row>
    <row r="6236">
      <c r="A6236" s="6"/>
      <c r="B6236" s="6"/>
      <c r="C6236" s="6"/>
      <c r="D6236" s="4">
        <v>18.60119602075</v>
      </c>
      <c r="E6236" s="4" t="s">
        <v>8386</v>
      </c>
      <c r="F6236" s="4"/>
      <c r="G6236" s="4"/>
      <c r="H6236" s="4"/>
      <c r="I6236" s="4"/>
      <c r="J6236" s="18">
        <v>0.0</v>
      </c>
      <c r="K6236" s="4" t="s">
        <v>8494</v>
      </c>
      <c r="L6236" s="19" t="s">
        <v>8494</v>
      </c>
      <c r="M6236" s="20" t="s">
        <v>8494</v>
      </c>
    </row>
    <row r="6237">
      <c r="A6237" s="6"/>
      <c r="B6237" s="6"/>
      <c r="C6237" s="6"/>
      <c r="D6237" s="4">
        <v>45.57293025083769</v>
      </c>
      <c r="E6237" s="4" t="s">
        <v>6792</v>
      </c>
      <c r="F6237" s="4"/>
      <c r="G6237" s="4"/>
      <c r="H6237" s="4"/>
      <c r="I6237" s="4"/>
      <c r="J6237" s="18">
        <v>0.0</v>
      </c>
      <c r="K6237" s="4" t="s">
        <v>8494</v>
      </c>
      <c r="L6237" s="19" t="s">
        <v>8494</v>
      </c>
      <c r="M6237" s="20" t="s">
        <v>8494</v>
      </c>
    </row>
    <row r="6238">
      <c r="A6238" s="6"/>
      <c r="B6238" s="6"/>
      <c r="C6238" s="6"/>
      <c r="D6238" s="4">
        <v>27.715782070917598</v>
      </c>
      <c r="E6238" s="4" t="s">
        <v>8388</v>
      </c>
      <c r="F6238" s="4"/>
      <c r="G6238" s="4"/>
      <c r="H6238" s="4"/>
      <c r="I6238" s="4"/>
      <c r="J6238" s="18">
        <v>0.0</v>
      </c>
      <c r="K6238" s="4" t="s">
        <v>8494</v>
      </c>
      <c r="L6238" s="19" t="s">
        <v>8494</v>
      </c>
      <c r="M6238" s="20" t="s">
        <v>8494</v>
      </c>
    </row>
    <row r="6239">
      <c r="A6239" s="6"/>
      <c r="B6239" s="6"/>
      <c r="C6239" s="6"/>
      <c r="D6239" s="4">
        <v>27.9017940311251</v>
      </c>
      <c r="E6239" s="4" t="s">
        <v>4380</v>
      </c>
      <c r="F6239" s="4"/>
      <c r="G6239" s="4"/>
      <c r="H6239" s="4"/>
      <c r="I6239" s="4"/>
      <c r="J6239" s="18">
        <v>0.0</v>
      </c>
      <c r="K6239" s="4" t="s">
        <v>8494</v>
      </c>
      <c r="L6239" s="19" t="s">
        <v>8494</v>
      </c>
      <c r="M6239" s="20" t="s">
        <v>8494</v>
      </c>
    </row>
    <row r="6240">
      <c r="A6240" s="6"/>
      <c r="B6240" s="6"/>
      <c r="C6240" s="6"/>
      <c r="D6240" s="4">
        <v>186.01196020749998</v>
      </c>
      <c r="E6240" s="4" t="s">
        <v>390</v>
      </c>
      <c r="F6240" s="4"/>
      <c r="G6240" s="4"/>
      <c r="H6240" s="4"/>
      <c r="I6240" s="4"/>
      <c r="J6240" s="18">
        <v>0.0</v>
      </c>
      <c r="K6240" s="4" t="s">
        <v>8494</v>
      </c>
      <c r="L6240" s="19" t="s">
        <v>8494</v>
      </c>
      <c r="M6240" s="20" t="s">
        <v>8494</v>
      </c>
    </row>
    <row r="6241">
      <c r="A6241" s="6"/>
      <c r="B6241" s="6"/>
      <c r="C6241" s="6"/>
      <c r="D6241" s="4">
        <v>186.01196020749998</v>
      </c>
      <c r="E6241" s="4" t="s">
        <v>252</v>
      </c>
      <c r="F6241" s="4"/>
      <c r="G6241" s="4"/>
      <c r="H6241" s="4"/>
      <c r="I6241" s="4"/>
      <c r="J6241" s="18">
        <v>0.0</v>
      </c>
      <c r="K6241" s="4" t="s">
        <v>8494</v>
      </c>
      <c r="L6241" s="19" t="s">
        <v>8494</v>
      </c>
      <c r="M6241" s="20" t="s">
        <v>8494</v>
      </c>
    </row>
    <row r="6242">
      <c r="A6242" s="6"/>
      <c r="B6242" s="6"/>
      <c r="C6242" s="6"/>
      <c r="D6242" s="4">
        <v>102.32443526230499</v>
      </c>
      <c r="E6242" s="4" t="s">
        <v>2070</v>
      </c>
      <c r="F6242" s="4"/>
      <c r="G6242" s="4"/>
      <c r="H6242" s="4"/>
      <c r="I6242" s="4"/>
      <c r="J6242" s="18">
        <v>0.0</v>
      </c>
      <c r="K6242" s="4" t="s">
        <v>8494</v>
      </c>
      <c r="L6242" s="19" t="s">
        <v>8494</v>
      </c>
      <c r="M6242" s="20" t="s">
        <v>8494</v>
      </c>
    </row>
    <row r="6243">
      <c r="A6243" s="6"/>
      <c r="B6243" s="6"/>
      <c r="C6243" s="6"/>
      <c r="D6243" s="4">
        <v>65.1041860726253</v>
      </c>
      <c r="E6243" s="4" t="s">
        <v>5440</v>
      </c>
      <c r="F6243" s="4"/>
      <c r="G6243" s="4"/>
      <c r="H6243" s="4"/>
      <c r="I6243" s="4"/>
      <c r="J6243" s="18">
        <v>0.0</v>
      </c>
      <c r="K6243" s="4" t="s">
        <v>8494</v>
      </c>
      <c r="L6243" s="19" t="s">
        <v>8494</v>
      </c>
      <c r="M6243" s="20" t="s">
        <v>8494</v>
      </c>
    </row>
    <row r="6244">
      <c r="A6244" s="6"/>
      <c r="B6244" s="6"/>
      <c r="C6244" s="6"/>
      <c r="D6244" s="4">
        <v>57.2484514257782</v>
      </c>
      <c r="E6244" s="4" t="s">
        <v>6235</v>
      </c>
      <c r="F6244" s="4"/>
      <c r="G6244" s="4"/>
      <c r="H6244" s="4"/>
      <c r="I6244" s="4"/>
      <c r="J6244" s="18">
        <v>0.0</v>
      </c>
      <c r="K6244" s="4" t="s">
        <v>8494</v>
      </c>
      <c r="L6244" s="19" t="s">
        <v>8494</v>
      </c>
      <c r="M6244" s="20" t="s">
        <v>8494</v>
      </c>
    </row>
    <row r="6245">
      <c r="A6245" s="6"/>
      <c r="B6245" s="6"/>
      <c r="C6245" s="6"/>
      <c r="D6245" s="4">
        <v>80.8978425519693</v>
      </c>
      <c r="E6245" s="4" t="s">
        <v>8392</v>
      </c>
      <c r="F6245" s="4"/>
      <c r="G6245" s="4"/>
      <c r="H6245" s="4"/>
      <c r="I6245" s="4"/>
      <c r="J6245" s="18">
        <v>0.0</v>
      </c>
      <c r="K6245" s="4" t="s">
        <v>8494</v>
      </c>
      <c r="L6245" s="19" t="s">
        <v>8494</v>
      </c>
      <c r="M6245" s="20" t="s">
        <v>8494</v>
      </c>
    </row>
    <row r="6246">
      <c r="A6246" s="6"/>
      <c r="B6246" s="6"/>
      <c r="C6246" s="6"/>
      <c r="D6246" s="4">
        <v>62.686030589927704</v>
      </c>
      <c r="E6246" s="4" t="s">
        <v>6034</v>
      </c>
      <c r="F6246" s="4"/>
      <c r="G6246" s="4"/>
      <c r="H6246" s="4"/>
      <c r="I6246" s="4"/>
      <c r="J6246" s="18">
        <v>0.0</v>
      </c>
      <c r="K6246" s="4" t="s">
        <v>8494</v>
      </c>
      <c r="L6246" s="19" t="s">
        <v>8494</v>
      </c>
      <c r="M6246" s="20" t="s">
        <v>8494</v>
      </c>
    </row>
    <row r="6247">
      <c r="A6247" s="6"/>
      <c r="B6247" s="6"/>
      <c r="C6247" s="6"/>
      <c r="D6247" s="4">
        <v>79.2514385078232</v>
      </c>
      <c r="E6247" s="4" t="s">
        <v>352</v>
      </c>
      <c r="F6247" s="4"/>
      <c r="G6247" s="4"/>
      <c r="H6247" s="4"/>
      <c r="I6247" s="4"/>
      <c r="J6247" s="18">
        <v>0.0</v>
      </c>
      <c r="K6247" s="4" t="s">
        <v>8494</v>
      </c>
      <c r="L6247" s="19" t="s">
        <v>8494</v>
      </c>
      <c r="M6247" s="20" t="s">
        <v>8494</v>
      </c>
    </row>
    <row r="6248">
      <c r="A6248" s="6"/>
      <c r="B6248" s="6"/>
      <c r="C6248" s="6"/>
      <c r="D6248" s="4">
        <v>93.27721239330339</v>
      </c>
      <c r="E6248" s="4" t="s">
        <v>8396</v>
      </c>
      <c r="F6248" s="4"/>
      <c r="G6248" s="4"/>
      <c r="H6248" s="4"/>
      <c r="I6248" s="4"/>
      <c r="J6248" s="18">
        <v>0.0</v>
      </c>
      <c r="K6248" s="4" t="s">
        <v>8494</v>
      </c>
      <c r="L6248" s="19" t="s">
        <v>8494</v>
      </c>
      <c r="M6248" s="20" t="s">
        <v>8494</v>
      </c>
    </row>
    <row r="6249">
      <c r="A6249" s="6"/>
      <c r="B6249" s="6"/>
      <c r="C6249" s="6"/>
      <c r="D6249" s="4">
        <v>74.4728013212805</v>
      </c>
      <c r="E6249" s="4" t="s">
        <v>2284</v>
      </c>
      <c r="F6249" s="4"/>
      <c r="G6249" s="4"/>
      <c r="H6249" s="4"/>
      <c r="I6249" s="4"/>
      <c r="J6249" s="18">
        <v>0.0</v>
      </c>
      <c r="K6249" s="4" t="s">
        <v>8494</v>
      </c>
      <c r="L6249" s="19" t="s">
        <v>8494</v>
      </c>
      <c r="M6249" s="20" t="s">
        <v>8494</v>
      </c>
    </row>
    <row r="6250">
      <c r="A6250" s="6"/>
      <c r="B6250" s="6"/>
      <c r="C6250" s="6"/>
      <c r="D6250" s="4">
        <v>62.7952851189596</v>
      </c>
      <c r="E6250" s="4" t="s">
        <v>8399</v>
      </c>
      <c r="F6250" s="4"/>
      <c r="G6250" s="4"/>
      <c r="H6250" s="4"/>
      <c r="I6250" s="4"/>
      <c r="J6250" s="18">
        <v>0.0</v>
      </c>
      <c r="K6250" s="4" t="s">
        <v>8494</v>
      </c>
      <c r="L6250" s="19" t="s">
        <v>8494</v>
      </c>
      <c r="M6250" s="20" t="s">
        <v>8494</v>
      </c>
    </row>
    <row r="6251">
      <c r="A6251" s="6"/>
      <c r="B6251" s="6"/>
      <c r="C6251" s="6"/>
      <c r="D6251" s="4">
        <v>31.0875278177676</v>
      </c>
      <c r="E6251" s="4" t="s">
        <v>8401</v>
      </c>
      <c r="F6251" s="4"/>
      <c r="G6251" s="4"/>
      <c r="H6251" s="4"/>
      <c r="I6251" s="4"/>
      <c r="J6251" s="18">
        <v>0.0</v>
      </c>
      <c r="K6251" s="4" t="s">
        <v>8494</v>
      </c>
      <c r="L6251" s="19" t="s">
        <v>8494</v>
      </c>
      <c r="M6251" s="20" t="s">
        <v>8494</v>
      </c>
    </row>
    <row r="6252">
      <c r="A6252" s="6"/>
      <c r="B6252" s="6"/>
      <c r="C6252" s="6"/>
      <c r="D6252" s="4">
        <v>120.386452250873</v>
      </c>
      <c r="E6252" s="4" t="s">
        <v>2537</v>
      </c>
      <c r="F6252" s="4"/>
      <c r="G6252" s="4"/>
      <c r="H6252" s="4"/>
      <c r="I6252" s="4"/>
      <c r="J6252" s="18">
        <v>0.0</v>
      </c>
      <c r="K6252" s="4" t="s">
        <v>8494</v>
      </c>
      <c r="L6252" s="19" t="s">
        <v>8494</v>
      </c>
      <c r="M6252" s="20" t="s">
        <v>8494</v>
      </c>
    </row>
    <row r="6253">
      <c r="A6253" s="6"/>
      <c r="B6253" s="6"/>
      <c r="C6253" s="6"/>
      <c r="D6253" s="4">
        <v>55.8035880622502</v>
      </c>
      <c r="E6253" s="4" t="s">
        <v>8404</v>
      </c>
      <c r="F6253" s="4"/>
      <c r="G6253" s="4"/>
      <c r="H6253" s="4"/>
      <c r="I6253" s="4"/>
      <c r="J6253" s="18">
        <v>0.0</v>
      </c>
      <c r="K6253" s="4" t="s">
        <v>8494</v>
      </c>
      <c r="L6253" s="19" t="s">
        <v>8494</v>
      </c>
      <c r="M6253" s="20" t="s">
        <v>8494</v>
      </c>
    </row>
    <row r="6254">
      <c r="A6254" s="6"/>
      <c r="B6254" s="6"/>
      <c r="C6254" s="6"/>
      <c r="D6254" s="4">
        <v>93.2190859162936</v>
      </c>
      <c r="E6254" s="4" t="s">
        <v>8405</v>
      </c>
      <c r="F6254" s="4"/>
      <c r="G6254" s="4"/>
      <c r="H6254" s="4"/>
      <c r="I6254" s="4"/>
      <c r="J6254" s="18">
        <v>0.0</v>
      </c>
      <c r="K6254" s="4" t="s">
        <v>8494</v>
      </c>
      <c r="L6254" s="19" t="s">
        <v>8494</v>
      </c>
      <c r="M6254" s="20" t="s">
        <v>8494</v>
      </c>
    </row>
    <row r="6255">
      <c r="A6255" s="6"/>
      <c r="B6255" s="6"/>
      <c r="C6255" s="6"/>
      <c r="D6255" s="4">
        <v>88.497675647006</v>
      </c>
      <c r="E6255" s="4" t="s">
        <v>5638</v>
      </c>
      <c r="F6255" s="4"/>
      <c r="G6255" s="4"/>
      <c r="H6255" s="4"/>
      <c r="I6255" s="4"/>
      <c r="J6255" s="18">
        <v>0.0</v>
      </c>
      <c r="K6255" s="4" t="s">
        <v>8494</v>
      </c>
      <c r="L6255" s="19" t="s">
        <v>8494</v>
      </c>
      <c r="M6255" s="20" t="s">
        <v>8494</v>
      </c>
    </row>
    <row r="6256">
      <c r="A6256" s="6"/>
      <c r="B6256" s="6"/>
      <c r="C6256" s="6"/>
      <c r="D6256" s="4">
        <v>7.049680092888201</v>
      </c>
      <c r="E6256" s="4" t="s">
        <v>2003</v>
      </c>
      <c r="F6256" s="4"/>
      <c r="G6256" s="4"/>
      <c r="H6256" s="4"/>
      <c r="I6256" s="4"/>
      <c r="J6256" s="18">
        <v>0.0</v>
      </c>
      <c r="K6256" s="4" t="s">
        <v>8494</v>
      </c>
      <c r="L6256" s="19" t="s">
        <v>8494</v>
      </c>
      <c r="M6256" s="20" t="s">
        <v>8494</v>
      </c>
    </row>
    <row r="6257">
      <c r="A6257" s="6"/>
      <c r="B6257" s="6"/>
      <c r="C6257" s="6"/>
      <c r="D6257" s="4">
        <v>21.5024848768104</v>
      </c>
      <c r="E6257" s="4" t="s">
        <v>8409</v>
      </c>
      <c r="F6257" s="4"/>
      <c r="G6257" s="4"/>
      <c r="H6257" s="4"/>
      <c r="I6257" s="4"/>
      <c r="J6257" s="18">
        <v>0.0</v>
      </c>
      <c r="K6257" s="4" t="s">
        <v>8494</v>
      </c>
      <c r="L6257" s="19" t="s">
        <v>8494</v>
      </c>
      <c r="M6257" s="20" t="s">
        <v>8494</v>
      </c>
    </row>
    <row r="6258">
      <c r="A6258" s="6"/>
      <c r="B6258" s="6"/>
      <c r="C6258" s="6"/>
      <c r="D6258" s="4">
        <v>6.43756607795023</v>
      </c>
      <c r="E6258" s="4" t="s">
        <v>6250</v>
      </c>
      <c r="F6258" s="4"/>
      <c r="G6258" s="4"/>
      <c r="H6258" s="4"/>
      <c r="I6258" s="4"/>
      <c r="J6258" s="18">
        <v>0.0</v>
      </c>
      <c r="K6258" s="4" t="s">
        <v>8494</v>
      </c>
      <c r="L6258" s="19" t="s">
        <v>8494</v>
      </c>
      <c r="M6258" s="20" t="s">
        <v>8494</v>
      </c>
    </row>
    <row r="6259">
      <c r="A6259" s="6"/>
      <c r="B6259" s="6"/>
      <c r="C6259" s="6"/>
      <c r="D6259" s="4">
        <v>45.865657663426006</v>
      </c>
      <c r="E6259" s="4" t="s">
        <v>8412</v>
      </c>
      <c r="F6259" s="4"/>
      <c r="G6259" s="4"/>
      <c r="H6259" s="4"/>
      <c r="I6259" s="4"/>
      <c r="J6259" s="18">
        <v>0.0</v>
      </c>
      <c r="K6259" s="4" t="s">
        <v>8494</v>
      </c>
      <c r="L6259" s="19" t="s">
        <v>8494</v>
      </c>
      <c r="M6259" s="20" t="s">
        <v>8494</v>
      </c>
    </row>
    <row r="6260">
      <c r="A6260" s="6"/>
      <c r="B6260" s="6"/>
      <c r="C6260" s="6"/>
      <c r="D6260" s="4">
        <v>186.01196020749998</v>
      </c>
      <c r="E6260" s="4" t="s">
        <v>8414</v>
      </c>
      <c r="F6260" s="4"/>
      <c r="G6260" s="4"/>
      <c r="H6260" s="4"/>
      <c r="I6260" s="4"/>
      <c r="J6260" s="18">
        <v>0.0</v>
      </c>
      <c r="K6260" s="4" t="s">
        <v>8494</v>
      </c>
      <c r="L6260" s="19" t="s">
        <v>8494</v>
      </c>
      <c r="M6260" s="20" t="s">
        <v>8494</v>
      </c>
    </row>
    <row r="6261">
      <c r="A6261" s="6"/>
      <c r="B6261" s="6"/>
      <c r="C6261" s="6"/>
      <c r="D6261" s="4">
        <v>175.037254555258</v>
      </c>
      <c r="E6261" s="4" t="s">
        <v>655</v>
      </c>
      <c r="F6261" s="4"/>
      <c r="G6261" s="4"/>
      <c r="H6261" s="4"/>
      <c r="I6261" s="4"/>
      <c r="J6261" s="18">
        <v>0.0</v>
      </c>
      <c r="K6261" s="4" t="s">
        <v>8494</v>
      </c>
      <c r="L6261" s="19" t="s">
        <v>8494</v>
      </c>
      <c r="M6261" s="20" t="s">
        <v>8494</v>
      </c>
    </row>
    <row r="6262">
      <c r="A6262" s="6"/>
      <c r="B6262" s="6"/>
      <c r="C6262" s="6"/>
      <c r="D6262" s="4">
        <v>37.2023920415001</v>
      </c>
      <c r="E6262" s="4" t="s">
        <v>5042</v>
      </c>
      <c r="F6262" s="4"/>
      <c r="G6262" s="4"/>
      <c r="H6262" s="4"/>
      <c r="I6262" s="4"/>
      <c r="J6262" s="18">
        <v>0.0</v>
      </c>
      <c r="K6262" s="4" t="s">
        <v>8494</v>
      </c>
      <c r="L6262" s="19" t="s">
        <v>8494</v>
      </c>
      <c r="M6262" s="20" t="s">
        <v>8494</v>
      </c>
    </row>
    <row r="6263">
      <c r="A6263" s="6"/>
      <c r="B6263" s="6"/>
      <c r="C6263" s="6"/>
      <c r="D6263" s="4">
        <v>21.465420961000703</v>
      </c>
      <c r="E6263" s="4" t="s">
        <v>2521</v>
      </c>
      <c r="F6263" s="4"/>
      <c r="G6263" s="4"/>
      <c r="H6263" s="4"/>
      <c r="I6263" s="4"/>
      <c r="J6263" s="18">
        <v>0.0</v>
      </c>
      <c r="K6263" s="4" t="s">
        <v>8494</v>
      </c>
      <c r="L6263" s="19" t="s">
        <v>8494</v>
      </c>
      <c r="M6263" s="20" t="s">
        <v>8494</v>
      </c>
    </row>
    <row r="6264">
      <c r="A6264" s="6"/>
      <c r="B6264" s="6"/>
      <c r="C6264" s="6"/>
      <c r="D6264" s="4">
        <v>31.551034798747597</v>
      </c>
      <c r="E6264" s="4" t="s">
        <v>5874</v>
      </c>
      <c r="F6264" s="4"/>
      <c r="G6264" s="4"/>
      <c r="H6264" s="4"/>
      <c r="I6264" s="4"/>
      <c r="J6264" s="18">
        <v>0.0</v>
      </c>
      <c r="K6264" s="4" t="s">
        <v>8494</v>
      </c>
      <c r="L6264" s="19" t="s">
        <v>8494</v>
      </c>
      <c r="M6264" s="20" t="s">
        <v>8494</v>
      </c>
    </row>
    <row r="6265">
      <c r="A6265" s="6"/>
      <c r="B6265" s="6"/>
      <c r="C6265" s="6"/>
      <c r="D6265" s="4">
        <v>148.809129070073</v>
      </c>
      <c r="E6265" s="4" t="s">
        <v>6617</v>
      </c>
      <c r="F6265" s="4"/>
      <c r="G6265" s="4"/>
      <c r="H6265" s="4"/>
      <c r="I6265" s="4"/>
      <c r="J6265" s="18">
        <v>0.0</v>
      </c>
      <c r="K6265" s="4" t="s">
        <v>8494</v>
      </c>
      <c r="L6265" s="19" t="s">
        <v>8494</v>
      </c>
      <c r="M6265" s="20" t="s">
        <v>8494</v>
      </c>
    </row>
    <row r="6266">
      <c r="A6266" s="6"/>
      <c r="B6266" s="6"/>
      <c r="C6266" s="6"/>
      <c r="D6266" s="4">
        <v>47.0610259324977</v>
      </c>
      <c r="E6266" s="4" t="s">
        <v>2248</v>
      </c>
      <c r="F6266" s="4"/>
      <c r="G6266" s="4"/>
      <c r="H6266" s="4"/>
      <c r="I6266" s="4"/>
      <c r="J6266" s="18">
        <v>0.0</v>
      </c>
      <c r="K6266" s="4" t="s">
        <v>8494</v>
      </c>
      <c r="L6266" s="19" t="s">
        <v>8494</v>
      </c>
      <c r="M6266" s="20" t="s">
        <v>8494</v>
      </c>
    </row>
    <row r="6267">
      <c r="A6267" s="6"/>
      <c r="B6267" s="6"/>
      <c r="C6267" s="6"/>
      <c r="D6267" s="4">
        <v>21.2099330797865</v>
      </c>
      <c r="E6267" s="4" t="s">
        <v>8420</v>
      </c>
      <c r="F6267" s="4"/>
      <c r="G6267" s="4"/>
      <c r="H6267" s="4"/>
      <c r="I6267" s="4"/>
      <c r="J6267" s="18">
        <v>0.0</v>
      </c>
      <c r="K6267" s="4" t="s">
        <v>8494</v>
      </c>
      <c r="L6267" s="19" t="s">
        <v>8494</v>
      </c>
      <c r="M6267" s="20" t="s">
        <v>8494</v>
      </c>
    </row>
    <row r="6268">
      <c r="A6268" s="6"/>
      <c r="B6268" s="6"/>
      <c r="C6268" s="6"/>
      <c r="D6268" s="4">
        <v>186.01196020749998</v>
      </c>
      <c r="E6268" s="4" t="s">
        <v>8422</v>
      </c>
      <c r="F6268" s="4"/>
      <c r="G6268" s="4"/>
      <c r="H6268" s="4"/>
      <c r="I6268" s="4"/>
      <c r="J6268" s="18">
        <v>0.0</v>
      </c>
      <c r="K6268" s="4" t="s">
        <v>8494</v>
      </c>
      <c r="L6268" s="19" t="s">
        <v>8494</v>
      </c>
      <c r="M6268" s="20" t="s">
        <v>8494</v>
      </c>
    </row>
    <row r="6269">
      <c r="A6269" s="6"/>
      <c r="B6269" s="6"/>
      <c r="C6269" s="6"/>
      <c r="D6269" s="4">
        <v>186.01196020749998</v>
      </c>
      <c r="E6269" s="4" t="s">
        <v>3668</v>
      </c>
      <c r="F6269" s="4"/>
      <c r="G6269" s="4"/>
      <c r="H6269" s="4"/>
      <c r="I6269" s="4"/>
      <c r="J6269" s="18">
        <v>0.0</v>
      </c>
      <c r="K6269" s="4" t="s">
        <v>8494</v>
      </c>
      <c r="L6269" s="19" t="s">
        <v>8494</v>
      </c>
      <c r="M6269" s="20" t="s">
        <v>8494</v>
      </c>
    </row>
    <row r="6270">
      <c r="A6270" s="6"/>
      <c r="B6270" s="6"/>
      <c r="C6270" s="6"/>
      <c r="D6270" s="4">
        <v>186.01196020749998</v>
      </c>
      <c r="E6270" s="4" t="s">
        <v>2986</v>
      </c>
      <c r="F6270" s="4"/>
      <c r="G6270" s="4"/>
      <c r="H6270" s="4"/>
      <c r="I6270" s="4"/>
      <c r="J6270" s="18">
        <v>0.0</v>
      </c>
      <c r="K6270" s="4" t="s">
        <v>8494</v>
      </c>
      <c r="L6270" s="19" t="s">
        <v>8494</v>
      </c>
      <c r="M6270" s="20" t="s">
        <v>8494</v>
      </c>
    </row>
    <row r="6271">
      <c r="A6271" s="6"/>
      <c r="B6271" s="6"/>
      <c r="C6271" s="6"/>
      <c r="D6271" s="4">
        <v>186.01196020749998</v>
      </c>
      <c r="E6271" s="4" t="s">
        <v>3987</v>
      </c>
      <c r="F6271" s="4"/>
      <c r="G6271" s="4"/>
      <c r="H6271" s="4"/>
      <c r="I6271" s="4"/>
      <c r="J6271" s="18">
        <v>0.0</v>
      </c>
      <c r="K6271" s="4" t="s">
        <v>8494</v>
      </c>
      <c r="L6271" s="19" t="s">
        <v>8494</v>
      </c>
      <c r="M6271" s="20" t="s">
        <v>8494</v>
      </c>
    </row>
    <row r="6272">
      <c r="A6272" s="6"/>
      <c r="B6272" s="6"/>
      <c r="C6272" s="6"/>
      <c r="D6272" s="4">
        <v>33.8295719826706</v>
      </c>
      <c r="E6272" s="4" t="s">
        <v>8423</v>
      </c>
      <c r="F6272" s="4"/>
      <c r="G6272" s="4"/>
      <c r="H6272" s="4"/>
      <c r="I6272" s="4"/>
      <c r="J6272" s="18">
        <v>0.0</v>
      </c>
      <c r="K6272" s="4" t="s">
        <v>8494</v>
      </c>
      <c r="L6272" s="19" t="s">
        <v>8494</v>
      </c>
      <c r="M6272" s="20" t="s">
        <v>8494</v>
      </c>
    </row>
    <row r="6273">
      <c r="A6273" s="6"/>
      <c r="B6273" s="6"/>
      <c r="C6273" s="6"/>
      <c r="D6273" s="4">
        <v>126.70193470248499</v>
      </c>
      <c r="E6273" s="4" t="s">
        <v>1858</v>
      </c>
      <c r="F6273" s="4"/>
      <c r="G6273" s="4"/>
      <c r="H6273" s="4"/>
      <c r="I6273" s="4"/>
      <c r="J6273" s="18">
        <v>0.0</v>
      </c>
      <c r="K6273" s="4" t="s">
        <v>8494</v>
      </c>
      <c r="L6273" s="19" t="s">
        <v>8494</v>
      </c>
      <c r="M6273" s="20" t="s">
        <v>8494</v>
      </c>
    </row>
    <row r="6274">
      <c r="A6274" s="6"/>
      <c r="B6274" s="6"/>
      <c r="C6274" s="6"/>
      <c r="D6274" s="4">
        <v>9.30059801037504</v>
      </c>
      <c r="E6274" s="4" t="s">
        <v>2036</v>
      </c>
      <c r="F6274" s="4"/>
      <c r="G6274" s="4"/>
      <c r="H6274" s="4"/>
      <c r="I6274" s="4"/>
      <c r="J6274" s="18">
        <v>0.0</v>
      </c>
      <c r="K6274" s="4" t="s">
        <v>8494</v>
      </c>
      <c r="L6274" s="19" t="s">
        <v>8494</v>
      </c>
      <c r="M6274" s="20" t="s">
        <v>8494</v>
      </c>
    </row>
    <row r="6275">
      <c r="A6275" s="6"/>
      <c r="B6275" s="6"/>
      <c r="C6275" s="6"/>
      <c r="D6275" s="4">
        <v>9.30059801037504</v>
      </c>
      <c r="E6275" s="4" t="s">
        <v>5473</v>
      </c>
      <c r="F6275" s="4"/>
      <c r="G6275" s="4"/>
      <c r="H6275" s="4"/>
      <c r="I6275" s="4"/>
      <c r="J6275" s="18">
        <v>0.0</v>
      </c>
      <c r="K6275" s="4" t="s">
        <v>8494</v>
      </c>
      <c r="L6275" s="19" t="s">
        <v>8494</v>
      </c>
      <c r="M6275" s="20" t="s">
        <v>8494</v>
      </c>
    </row>
    <row r="6276">
      <c r="A6276" s="6"/>
      <c r="B6276" s="6"/>
      <c r="C6276" s="6"/>
      <c r="D6276" s="4">
        <v>186.01196020749998</v>
      </c>
      <c r="E6276" s="4" t="s">
        <v>5735</v>
      </c>
      <c r="F6276" s="4"/>
      <c r="G6276" s="4"/>
      <c r="H6276" s="4"/>
      <c r="I6276" s="4"/>
      <c r="J6276" s="18">
        <v>0.0</v>
      </c>
      <c r="K6276" s="4" t="s">
        <v>8494</v>
      </c>
      <c r="L6276" s="19" t="s">
        <v>8494</v>
      </c>
      <c r="M6276" s="20" t="s">
        <v>8494</v>
      </c>
    </row>
    <row r="6277">
      <c r="A6277" s="6"/>
      <c r="B6277" s="6"/>
      <c r="C6277" s="6"/>
      <c r="D6277" s="4">
        <v>9.30059801037504</v>
      </c>
      <c r="E6277" s="4" t="s">
        <v>3287</v>
      </c>
      <c r="F6277" s="4"/>
      <c r="G6277" s="4"/>
      <c r="H6277" s="4"/>
      <c r="I6277" s="4"/>
      <c r="J6277" s="18">
        <v>0.0</v>
      </c>
      <c r="K6277" s="4" t="s">
        <v>8494</v>
      </c>
      <c r="L6277" s="19" t="s">
        <v>8494</v>
      </c>
      <c r="M6277" s="20" t="s">
        <v>8494</v>
      </c>
    </row>
    <row r="6278">
      <c r="A6278" s="6"/>
      <c r="B6278" s="6"/>
      <c r="C6278" s="6"/>
      <c r="D6278" s="4">
        <v>55.8035880622502</v>
      </c>
      <c r="E6278" s="4" t="s">
        <v>8426</v>
      </c>
      <c r="F6278" s="4"/>
      <c r="G6278" s="4"/>
      <c r="H6278" s="4"/>
      <c r="I6278" s="4"/>
      <c r="J6278" s="18">
        <v>0.0</v>
      </c>
      <c r="K6278" s="4" t="s">
        <v>8494</v>
      </c>
      <c r="L6278" s="19" t="s">
        <v>8494</v>
      </c>
      <c r="M6278" s="20" t="s">
        <v>8494</v>
      </c>
    </row>
    <row r="6279">
      <c r="A6279" s="6"/>
      <c r="B6279" s="6"/>
      <c r="C6279" s="6"/>
      <c r="D6279" s="4">
        <v>186.01196020749998</v>
      </c>
      <c r="E6279" s="4" t="s">
        <v>2663</v>
      </c>
      <c r="F6279" s="4"/>
      <c r="G6279" s="4"/>
      <c r="H6279" s="4"/>
      <c r="I6279" s="4"/>
      <c r="J6279" s="18">
        <v>0.0</v>
      </c>
      <c r="K6279" s="4" t="s">
        <v>8494</v>
      </c>
      <c r="L6279" s="19" t="s">
        <v>8494</v>
      </c>
      <c r="M6279" s="20" t="s">
        <v>8494</v>
      </c>
    </row>
    <row r="6280">
      <c r="A6280" s="6"/>
      <c r="B6280" s="6"/>
      <c r="C6280" s="6"/>
      <c r="D6280" s="4">
        <v>186.01196020749998</v>
      </c>
      <c r="E6280" s="4" t="s">
        <v>1358</v>
      </c>
      <c r="F6280" s="4"/>
      <c r="G6280" s="4"/>
      <c r="H6280" s="4"/>
      <c r="I6280" s="4"/>
      <c r="J6280" s="18">
        <v>0.0</v>
      </c>
      <c r="K6280" s="4" t="s">
        <v>8494</v>
      </c>
      <c r="L6280" s="19" t="s">
        <v>8494</v>
      </c>
      <c r="M6280" s="20" t="s">
        <v>8494</v>
      </c>
    </row>
    <row r="6281">
      <c r="A6281" s="6"/>
      <c r="B6281" s="6"/>
      <c r="C6281" s="6"/>
      <c r="D6281" s="4">
        <v>37.218074209307</v>
      </c>
      <c r="E6281" s="4" t="s">
        <v>8427</v>
      </c>
      <c r="F6281" s="4"/>
      <c r="G6281" s="4"/>
      <c r="H6281" s="4"/>
      <c r="I6281" s="4"/>
      <c r="J6281" s="18">
        <v>0.0</v>
      </c>
      <c r="K6281" s="4" t="s">
        <v>8494</v>
      </c>
      <c r="L6281" s="19" t="s">
        <v>8494</v>
      </c>
      <c r="M6281" s="20" t="s">
        <v>8494</v>
      </c>
    </row>
    <row r="6282">
      <c r="A6282" s="6"/>
      <c r="B6282" s="6"/>
      <c r="C6282" s="6"/>
      <c r="D6282" s="4">
        <v>37.2023920415001</v>
      </c>
      <c r="E6282" s="4" t="s">
        <v>5196</v>
      </c>
      <c r="F6282" s="4"/>
      <c r="G6282" s="4"/>
      <c r="H6282" s="4"/>
      <c r="I6282" s="4"/>
      <c r="J6282" s="18">
        <v>0.0</v>
      </c>
      <c r="K6282" s="4" t="s">
        <v>8494</v>
      </c>
      <c r="L6282" s="19" t="s">
        <v>8494</v>
      </c>
      <c r="M6282" s="20" t="s">
        <v>8494</v>
      </c>
    </row>
    <row r="6283">
      <c r="A6283" s="6"/>
      <c r="B6283" s="6"/>
      <c r="C6283" s="6"/>
      <c r="D6283" s="4">
        <v>35.901159322864004</v>
      </c>
      <c r="E6283" s="4" t="s">
        <v>3614</v>
      </c>
      <c r="F6283" s="4"/>
      <c r="G6283" s="4"/>
      <c r="H6283" s="4"/>
      <c r="I6283" s="4"/>
      <c r="J6283" s="18">
        <v>0.0</v>
      </c>
      <c r="K6283" s="4" t="s">
        <v>8494</v>
      </c>
      <c r="L6283" s="19" t="s">
        <v>8494</v>
      </c>
      <c r="M6283" s="20" t="s">
        <v>8494</v>
      </c>
    </row>
    <row r="6284">
      <c r="A6284" s="6"/>
      <c r="B6284" s="6"/>
      <c r="C6284" s="6"/>
      <c r="D6284" s="4">
        <v>183.43023212635998</v>
      </c>
      <c r="E6284" s="4" t="s">
        <v>699</v>
      </c>
      <c r="F6284" s="4"/>
      <c r="G6284" s="4"/>
      <c r="H6284" s="4"/>
      <c r="I6284" s="4"/>
      <c r="J6284" s="18">
        <v>0.0</v>
      </c>
      <c r="K6284" s="4" t="s">
        <v>8494</v>
      </c>
      <c r="L6284" s="19" t="s">
        <v>8494</v>
      </c>
      <c r="M6284" s="20" t="s">
        <v>8494</v>
      </c>
    </row>
    <row r="6285">
      <c r="A6285" s="6"/>
      <c r="B6285" s="6"/>
      <c r="C6285" s="6"/>
      <c r="D6285" s="4">
        <v>186.01196020749998</v>
      </c>
      <c r="E6285" s="4" t="s">
        <v>558</v>
      </c>
      <c r="F6285" s="4"/>
      <c r="G6285" s="4"/>
      <c r="H6285" s="4"/>
      <c r="I6285" s="4"/>
      <c r="J6285" s="18">
        <v>0.0</v>
      </c>
      <c r="K6285" s="4" t="s">
        <v>8494</v>
      </c>
      <c r="L6285" s="19" t="s">
        <v>8494</v>
      </c>
      <c r="M6285" s="20" t="s">
        <v>8494</v>
      </c>
    </row>
    <row r="6286">
      <c r="A6286" s="6"/>
      <c r="B6286" s="6"/>
      <c r="C6286" s="6"/>
      <c r="D6286" s="4">
        <v>186.01196020749998</v>
      </c>
      <c r="E6286" s="4" t="s">
        <v>2278</v>
      </c>
      <c r="F6286" s="4"/>
      <c r="G6286" s="4"/>
      <c r="H6286" s="4"/>
      <c r="I6286" s="4"/>
      <c r="J6286" s="18">
        <v>0.0</v>
      </c>
      <c r="K6286" s="4" t="s">
        <v>8494</v>
      </c>
      <c r="L6286" s="19" t="s">
        <v>8494</v>
      </c>
      <c r="M6286" s="20" t="s">
        <v>8494</v>
      </c>
    </row>
    <row r="6287">
      <c r="A6287" s="6"/>
      <c r="B6287" s="6"/>
      <c r="C6287" s="6"/>
      <c r="D6287" s="4">
        <v>27.9017940311251</v>
      </c>
      <c r="E6287" s="4" t="s">
        <v>6917</v>
      </c>
      <c r="F6287" s="4"/>
      <c r="G6287" s="4"/>
      <c r="H6287" s="4"/>
      <c r="I6287" s="4"/>
      <c r="J6287" s="18">
        <v>0.0</v>
      </c>
      <c r="K6287" s="4" t="s">
        <v>8494</v>
      </c>
      <c r="L6287" s="19" t="s">
        <v>8494</v>
      </c>
      <c r="M6287" s="20" t="s">
        <v>8494</v>
      </c>
    </row>
    <row r="6288">
      <c r="A6288" s="6"/>
      <c r="B6288" s="6"/>
      <c r="C6288" s="6"/>
      <c r="D6288" s="4">
        <v>186.01196020749998</v>
      </c>
      <c r="E6288" s="4" t="s">
        <v>6348</v>
      </c>
      <c r="F6288" s="4"/>
      <c r="G6288" s="4"/>
      <c r="H6288" s="4"/>
      <c r="I6288" s="4"/>
      <c r="J6288" s="18">
        <v>0.0</v>
      </c>
      <c r="K6288" s="4" t="s">
        <v>8494</v>
      </c>
      <c r="L6288" s="19" t="s">
        <v>8494</v>
      </c>
      <c r="M6288" s="20" t="s">
        <v>8494</v>
      </c>
    </row>
    <row r="6289">
      <c r="A6289" s="6"/>
      <c r="B6289" s="6"/>
      <c r="C6289" s="6"/>
      <c r="D6289" s="4">
        <v>18.6936773928105</v>
      </c>
      <c r="E6289" s="4" t="s">
        <v>2983</v>
      </c>
      <c r="F6289" s="4"/>
      <c r="G6289" s="4"/>
      <c r="H6289" s="4"/>
      <c r="I6289" s="4"/>
      <c r="J6289" s="18">
        <v>0.0</v>
      </c>
      <c r="K6289" s="4" t="s">
        <v>8494</v>
      </c>
      <c r="L6289" s="19" t="s">
        <v>8494</v>
      </c>
      <c r="M6289" s="20" t="s">
        <v>8494</v>
      </c>
    </row>
    <row r="6290">
      <c r="A6290" s="6"/>
      <c r="B6290" s="6"/>
      <c r="C6290" s="6"/>
      <c r="D6290" s="4">
        <v>158.624137524236</v>
      </c>
      <c r="E6290" s="4" t="s">
        <v>598</v>
      </c>
      <c r="F6290" s="4"/>
      <c r="G6290" s="4"/>
      <c r="H6290" s="4"/>
      <c r="I6290" s="4"/>
      <c r="J6290" s="18">
        <v>0.0</v>
      </c>
      <c r="K6290" s="4" t="s">
        <v>8494</v>
      </c>
      <c r="L6290" s="19" t="s">
        <v>8494</v>
      </c>
      <c r="M6290" s="20" t="s">
        <v>8494</v>
      </c>
    </row>
    <row r="6291">
      <c r="A6291" s="6"/>
      <c r="B6291" s="6"/>
      <c r="C6291" s="6"/>
      <c r="D6291" s="4">
        <v>59.8748646494957</v>
      </c>
      <c r="E6291" s="4" t="s">
        <v>4655</v>
      </c>
      <c r="F6291" s="4"/>
      <c r="G6291" s="4"/>
      <c r="H6291" s="4"/>
      <c r="I6291" s="4"/>
      <c r="J6291" s="18">
        <v>0.0</v>
      </c>
      <c r="K6291" s="4" t="s">
        <v>8494</v>
      </c>
      <c r="L6291" s="19" t="s">
        <v>8494</v>
      </c>
      <c r="M6291" s="20" t="s">
        <v>8494</v>
      </c>
    </row>
    <row r="6292">
      <c r="A6292" s="6"/>
      <c r="B6292" s="6"/>
      <c r="C6292" s="6"/>
      <c r="D6292" s="4">
        <v>11.6289863917244</v>
      </c>
      <c r="E6292" s="4" t="s">
        <v>6390</v>
      </c>
      <c r="F6292" s="4"/>
      <c r="G6292" s="4"/>
      <c r="H6292" s="4"/>
      <c r="I6292" s="4"/>
      <c r="J6292" s="18">
        <v>0.0</v>
      </c>
      <c r="K6292" s="4" t="s">
        <v>8494</v>
      </c>
      <c r="L6292" s="19" t="s">
        <v>8494</v>
      </c>
      <c r="M6292" s="20" t="s">
        <v>8494</v>
      </c>
    </row>
    <row r="6293">
      <c r="A6293" s="6"/>
      <c r="B6293" s="6"/>
      <c r="C6293" s="6"/>
      <c r="D6293" s="4">
        <v>186.01196020749998</v>
      </c>
      <c r="E6293" s="4" t="s">
        <v>163</v>
      </c>
      <c r="F6293" s="4"/>
      <c r="G6293" s="4"/>
      <c r="H6293" s="4"/>
      <c r="I6293" s="4"/>
      <c r="J6293" s="18">
        <v>0.0</v>
      </c>
      <c r="K6293" s="4" t="s">
        <v>8494</v>
      </c>
      <c r="L6293" s="19" t="s">
        <v>8494</v>
      </c>
      <c r="M6293" s="20" t="s">
        <v>8494</v>
      </c>
    </row>
    <row r="6294">
      <c r="A6294" s="6"/>
      <c r="B6294" s="6"/>
      <c r="C6294" s="6"/>
      <c r="D6294" s="4">
        <v>186.01196020749998</v>
      </c>
      <c r="E6294" s="4" t="s">
        <v>942</v>
      </c>
      <c r="F6294" s="4"/>
      <c r="G6294" s="4"/>
      <c r="H6294" s="4"/>
      <c r="I6294" s="4"/>
      <c r="J6294" s="18">
        <v>0.0</v>
      </c>
      <c r="K6294" s="4" t="s">
        <v>8494</v>
      </c>
      <c r="L6294" s="19" t="s">
        <v>8494</v>
      </c>
      <c r="M6294" s="20" t="s">
        <v>8494</v>
      </c>
    </row>
    <row r="6295">
      <c r="A6295" s="6"/>
      <c r="B6295" s="6"/>
      <c r="C6295" s="6"/>
      <c r="D6295" s="4">
        <v>6.27537176563797</v>
      </c>
      <c r="E6295" s="4" t="s">
        <v>6522</v>
      </c>
      <c r="F6295" s="4"/>
      <c r="G6295" s="4"/>
      <c r="H6295" s="4"/>
      <c r="I6295" s="4"/>
      <c r="J6295" s="18">
        <v>0.0</v>
      </c>
      <c r="K6295" s="4" t="s">
        <v>8494</v>
      </c>
      <c r="L6295" s="19" t="s">
        <v>8494</v>
      </c>
      <c r="M6295" s="20" t="s">
        <v>8494</v>
      </c>
    </row>
    <row r="6296">
      <c r="A6296" s="6"/>
      <c r="B6296" s="6"/>
      <c r="C6296" s="6"/>
      <c r="D6296" s="4">
        <v>186.01196020749998</v>
      </c>
      <c r="E6296" s="4" t="s">
        <v>2780</v>
      </c>
      <c r="F6296" s="4"/>
      <c r="G6296" s="4"/>
      <c r="H6296" s="4"/>
      <c r="I6296" s="4"/>
      <c r="J6296" s="18">
        <v>0.0</v>
      </c>
      <c r="K6296" s="4" t="s">
        <v>8494</v>
      </c>
      <c r="L6296" s="19" t="s">
        <v>8494</v>
      </c>
      <c r="M6296" s="20" t="s">
        <v>8494</v>
      </c>
    </row>
    <row r="6297">
      <c r="A6297" s="6"/>
      <c r="B6297" s="6"/>
      <c r="C6297" s="6"/>
      <c r="D6297" s="4">
        <v>186.01196020749998</v>
      </c>
      <c r="E6297" s="4" t="s">
        <v>8436</v>
      </c>
      <c r="F6297" s="4"/>
      <c r="G6297" s="4"/>
      <c r="H6297" s="4"/>
      <c r="I6297" s="4"/>
      <c r="J6297" s="18">
        <v>0.0</v>
      </c>
      <c r="K6297" s="4" t="s">
        <v>8494</v>
      </c>
      <c r="L6297" s="19" t="s">
        <v>8494</v>
      </c>
      <c r="M6297" s="20" t="s">
        <v>8494</v>
      </c>
    </row>
    <row r="6298">
      <c r="A6298" s="6"/>
      <c r="B6298" s="6"/>
      <c r="C6298" s="6"/>
      <c r="D6298" s="4">
        <v>167.53781035557202</v>
      </c>
      <c r="E6298" s="4" t="s">
        <v>8437</v>
      </c>
      <c r="F6298" s="4"/>
      <c r="G6298" s="4"/>
      <c r="H6298" s="4"/>
      <c r="I6298" s="4"/>
      <c r="J6298" s="18">
        <v>0.0</v>
      </c>
      <c r="K6298" s="4" t="s">
        <v>8494</v>
      </c>
      <c r="L6298" s="19" t="s">
        <v>8494</v>
      </c>
      <c r="M6298" s="20" t="s">
        <v>8494</v>
      </c>
    </row>
    <row r="6299">
      <c r="A6299" s="6"/>
      <c r="B6299" s="6"/>
      <c r="C6299" s="6"/>
      <c r="D6299" s="4">
        <v>1.9738547110763</v>
      </c>
      <c r="E6299" s="4" t="s">
        <v>4787</v>
      </c>
      <c r="F6299" s="4"/>
      <c r="G6299" s="4"/>
      <c r="H6299" s="4"/>
      <c r="I6299" s="4"/>
      <c r="J6299" s="18">
        <v>0.0</v>
      </c>
      <c r="K6299" s="4" t="s">
        <v>8494</v>
      </c>
      <c r="L6299" s="19" t="s">
        <v>8494</v>
      </c>
      <c r="M6299" s="20" t="s">
        <v>8494</v>
      </c>
    </row>
    <row r="6300">
      <c r="A6300" s="6"/>
      <c r="B6300" s="6"/>
      <c r="C6300" s="6"/>
      <c r="D6300" s="4">
        <v>61.972341011770304</v>
      </c>
      <c r="E6300" s="4" t="s">
        <v>895</v>
      </c>
      <c r="F6300" s="4"/>
      <c r="G6300" s="4"/>
      <c r="H6300" s="4"/>
      <c r="I6300" s="4"/>
      <c r="J6300" s="18">
        <v>0.0</v>
      </c>
      <c r="K6300" s="4" t="s">
        <v>8494</v>
      </c>
      <c r="L6300" s="19" t="s">
        <v>8494</v>
      </c>
      <c r="M6300" s="20" t="s">
        <v>8494</v>
      </c>
    </row>
    <row r="6301">
      <c r="A6301" s="6"/>
      <c r="B6301" s="6"/>
      <c r="C6301" s="6"/>
      <c r="D6301" s="4">
        <v>8.56382158744075</v>
      </c>
      <c r="E6301" s="4" t="s">
        <v>3325</v>
      </c>
      <c r="F6301" s="4"/>
      <c r="G6301" s="4"/>
      <c r="H6301" s="4"/>
      <c r="I6301" s="4"/>
      <c r="J6301" s="18">
        <v>0.0</v>
      </c>
      <c r="K6301" s="4" t="s">
        <v>8494</v>
      </c>
      <c r="L6301" s="19" t="s">
        <v>8494</v>
      </c>
      <c r="M6301" s="20" t="s">
        <v>8494</v>
      </c>
    </row>
    <row r="6302">
      <c r="A6302" s="6"/>
      <c r="B6302" s="6"/>
      <c r="C6302" s="6"/>
      <c r="D6302" s="4">
        <v>70.4213333804853</v>
      </c>
      <c r="E6302" s="4" t="s">
        <v>6870</v>
      </c>
      <c r="F6302" s="4"/>
      <c r="G6302" s="4"/>
      <c r="H6302" s="4"/>
      <c r="I6302" s="4"/>
      <c r="J6302" s="18">
        <v>0.0</v>
      </c>
      <c r="K6302" s="4" t="s">
        <v>8494</v>
      </c>
      <c r="L6302" s="19" t="s">
        <v>8494</v>
      </c>
      <c r="M6302" s="20" t="s">
        <v>8494</v>
      </c>
    </row>
    <row r="6303">
      <c r="A6303" s="6"/>
      <c r="B6303" s="6"/>
      <c r="C6303" s="6"/>
      <c r="D6303" s="4">
        <v>46.2894896261776</v>
      </c>
      <c r="E6303" s="4" t="s">
        <v>6938</v>
      </c>
      <c r="F6303" s="4"/>
      <c r="G6303" s="4"/>
      <c r="H6303" s="4"/>
      <c r="I6303" s="4"/>
      <c r="J6303" s="18">
        <v>0.0</v>
      </c>
      <c r="K6303" s="4" t="s">
        <v>8494</v>
      </c>
      <c r="L6303" s="19" t="s">
        <v>8494</v>
      </c>
      <c r="M6303" s="20" t="s">
        <v>8494</v>
      </c>
    </row>
    <row r="6304">
      <c r="A6304" s="6"/>
      <c r="B6304" s="6"/>
      <c r="C6304" s="6"/>
      <c r="D6304" s="4">
        <v>65.1041860726253</v>
      </c>
      <c r="E6304" s="4" t="s">
        <v>3187</v>
      </c>
      <c r="F6304" s="4"/>
      <c r="G6304" s="4"/>
      <c r="H6304" s="4"/>
      <c r="I6304" s="4"/>
      <c r="J6304" s="18">
        <v>0.0</v>
      </c>
      <c r="K6304" s="4" t="s">
        <v>8494</v>
      </c>
      <c r="L6304" s="19" t="s">
        <v>8494</v>
      </c>
      <c r="M6304" s="20" t="s">
        <v>8494</v>
      </c>
    </row>
    <row r="6305">
      <c r="A6305" s="6"/>
      <c r="B6305" s="6"/>
      <c r="C6305" s="6"/>
      <c r="D6305" s="4">
        <v>111.6071761245</v>
      </c>
      <c r="E6305" s="4" t="s">
        <v>6476</v>
      </c>
      <c r="F6305" s="4"/>
      <c r="G6305" s="4"/>
      <c r="H6305" s="4"/>
      <c r="I6305" s="4"/>
      <c r="J6305" s="18">
        <v>0.0</v>
      </c>
      <c r="K6305" s="4" t="s">
        <v>8494</v>
      </c>
      <c r="L6305" s="19" t="s">
        <v>8494</v>
      </c>
      <c r="M6305" s="20" t="s">
        <v>8494</v>
      </c>
    </row>
    <row r="6306">
      <c r="A6306" s="6"/>
      <c r="B6306" s="6"/>
      <c r="C6306" s="6"/>
      <c r="D6306" s="4">
        <v>186.01196020749998</v>
      </c>
      <c r="E6306" s="4" t="s">
        <v>1121</v>
      </c>
      <c r="F6306" s="4"/>
      <c r="G6306" s="4"/>
      <c r="H6306" s="4"/>
      <c r="I6306" s="4"/>
      <c r="J6306" s="18">
        <v>0.0</v>
      </c>
      <c r="K6306" s="4" t="s">
        <v>8494</v>
      </c>
      <c r="L6306" s="19" t="s">
        <v>8494</v>
      </c>
      <c r="M6306" s="20" t="s">
        <v>8494</v>
      </c>
    </row>
    <row r="6307">
      <c r="A6307" s="6"/>
      <c r="B6307" s="6"/>
      <c r="C6307" s="6"/>
      <c r="D6307" s="4">
        <v>176.00444796492</v>
      </c>
      <c r="E6307" s="4" t="s">
        <v>501</v>
      </c>
      <c r="F6307" s="4"/>
      <c r="G6307" s="4"/>
      <c r="H6307" s="4"/>
      <c r="I6307" s="4"/>
      <c r="J6307" s="18">
        <v>0.0</v>
      </c>
      <c r="K6307" s="4" t="s">
        <v>8494</v>
      </c>
      <c r="L6307" s="19" t="s">
        <v>8494</v>
      </c>
      <c r="M6307" s="20" t="s">
        <v>8494</v>
      </c>
    </row>
    <row r="6308">
      <c r="A6308" s="6"/>
      <c r="B6308" s="6"/>
      <c r="C6308" s="6"/>
      <c r="D6308" s="4">
        <v>32.9278162976478</v>
      </c>
      <c r="E6308" s="4" t="s">
        <v>2031</v>
      </c>
      <c r="F6308" s="4"/>
      <c r="G6308" s="4"/>
      <c r="H6308" s="4"/>
      <c r="I6308" s="4"/>
      <c r="J6308" s="18">
        <v>0.0</v>
      </c>
      <c r="K6308" s="4" t="s">
        <v>8494</v>
      </c>
      <c r="L6308" s="19" t="s">
        <v>8494</v>
      </c>
      <c r="M6308" s="20" t="s">
        <v>8494</v>
      </c>
    </row>
    <row r="6309">
      <c r="A6309" s="6"/>
      <c r="B6309" s="6"/>
      <c r="C6309" s="6"/>
      <c r="D6309" s="4">
        <v>85.7517732366504</v>
      </c>
      <c r="E6309" s="4" t="s">
        <v>2830</v>
      </c>
      <c r="F6309" s="4"/>
      <c r="G6309" s="4"/>
      <c r="H6309" s="4"/>
      <c r="I6309" s="4"/>
      <c r="J6309" s="18">
        <v>0.0</v>
      </c>
      <c r="K6309" s="4" t="s">
        <v>8494</v>
      </c>
      <c r="L6309" s="19" t="s">
        <v>8494</v>
      </c>
      <c r="M6309" s="20" t="s">
        <v>8494</v>
      </c>
    </row>
    <row r="6310">
      <c r="A6310" s="6"/>
      <c r="B6310" s="6"/>
      <c r="C6310" s="6"/>
      <c r="D6310" s="4">
        <v>9.30059801037504</v>
      </c>
      <c r="E6310" s="4" t="s">
        <v>1830</v>
      </c>
      <c r="F6310" s="4"/>
      <c r="G6310" s="4"/>
      <c r="H6310" s="4"/>
      <c r="I6310" s="4"/>
      <c r="J6310" s="18">
        <v>0.0</v>
      </c>
      <c r="K6310" s="4" t="s">
        <v>8494</v>
      </c>
      <c r="L6310" s="19" t="s">
        <v>8494</v>
      </c>
      <c r="M6310" s="20" t="s">
        <v>8494</v>
      </c>
    </row>
    <row r="6311">
      <c r="A6311" s="6"/>
      <c r="B6311" s="6"/>
      <c r="C6311" s="6"/>
      <c r="D6311" s="4">
        <v>0.9128763344199979</v>
      </c>
      <c r="E6311" s="4" t="s">
        <v>8447</v>
      </c>
      <c r="F6311" s="4"/>
      <c r="G6311" s="4"/>
      <c r="H6311" s="4"/>
      <c r="I6311" s="4"/>
      <c r="J6311" s="18">
        <v>0.0</v>
      </c>
      <c r="K6311" s="4" t="s">
        <v>8494</v>
      </c>
      <c r="L6311" s="19" t="s">
        <v>8494</v>
      </c>
      <c r="M6311" s="20" t="s">
        <v>8494</v>
      </c>
    </row>
    <row r="6312">
      <c r="A6312" s="6"/>
      <c r="B6312" s="6"/>
      <c r="C6312" s="6"/>
      <c r="D6312" s="4">
        <v>33.5479536734592</v>
      </c>
      <c r="E6312" s="4" t="s">
        <v>3645</v>
      </c>
      <c r="F6312" s="4"/>
      <c r="G6312" s="4"/>
      <c r="H6312" s="4"/>
      <c r="I6312" s="4"/>
      <c r="J6312" s="18">
        <v>0.0</v>
      </c>
      <c r="K6312" s="4" t="s">
        <v>8494</v>
      </c>
      <c r="L6312" s="19" t="s">
        <v>8494</v>
      </c>
      <c r="M6312" s="20" t="s">
        <v>8494</v>
      </c>
    </row>
    <row r="6313">
      <c r="A6313" s="6"/>
      <c r="B6313" s="6"/>
      <c r="C6313" s="6"/>
      <c r="D6313" s="4">
        <v>46.5029900518752</v>
      </c>
      <c r="E6313" s="4" t="s">
        <v>5891</v>
      </c>
      <c r="F6313" s="4"/>
      <c r="G6313" s="4"/>
      <c r="H6313" s="4"/>
      <c r="I6313" s="4"/>
      <c r="J6313" s="18">
        <v>0.0</v>
      </c>
      <c r="K6313" s="4" t="s">
        <v>8494</v>
      </c>
      <c r="L6313" s="19" t="s">
        <v>8494</v>
      </c>
      <c r="M6313" s="20" t="s">
        <v>8494</v>
      </c>
    </row>
    <row r="6314">
      <c r="A6314" s="6"/>
      <c r="B6314" s="6"/>
      <c r="C6314" s="6"/>
      <c r="D6314" s="4">
        <v>186.01196020749998</v>
      </c>
      <c r="E6314" s="4" t="s">
        <v>8450</v>
      </c>
      <c r="F6314" s="4"/>
      <c r="G6314" s="4"/>
      <c r="H6314" s="4"/>
      <c r="I6314" s="4"/>
      <c r="J6314" s="18">
        <v>0.0</v>
      </c>
      <c r="K6314" s="4" t="s">
        <v>8494</v>
      </c>
      <c r="L6314" s="19" t="s">
        <v>8494</v>
      </c>
      <c r="M6314" s="20" t="s">
        <v>8494</v>
      </c>
    </row>
    <row r="6315">
      <c r="A6315" s="6"/>
      <c r="B6315" s="6"/>
      <c r="C6315" s="6"/>
      <c r="D6315" s="4">
        <v>186.01196020749998</v>
      </c>
      <c r="E6315" s="4" t="s">
        <v>884</v>
      </c>
      <c r="F6315" s="4"/>
      <c r="G6315" s="4"/>
      <c r="H6315" s="4"/>
      <c r="I6315" s="4"/>
      <c r="J6315" s="18">
        <v>0.0</v>
      </c>
      <c r="K6315" s="4" t="s">
        <v>8494</v>
      </c>
      <c r="L6315" s="19" t="s">
        <v>8494</v>
      </c>
      <c r="M6315" s="20" t="s">
        <v>8494</v>
      </c>
    </row>
    <row r="6316">
      <c r="A6316" s="6"/>
      <c r="B6316" s="6"/>
      <c r="C6316" s="6"/>
      <c r="D6316" s="4">
        <v>46.5029900518752</v>
      </c>
      <c r="E6316" s="4" t="s">
        <v>6392</v>
      </c>
      <c r="F6316" s="4"/>
      <c r="G6316" s="4"/>
      <c r="H6316" s="4"/>
      <c r="I6316" s="4"/>
      <c r="J6316" s="18">
        <v>0.0</v>
      </c>
      <c r="K6316" s="4" t="s">
        <v>8494</v>
      </c>
      <c r="L6316" s="19" t="s">
        <v>8494</v>
      </c>
      <c r="M6316" s="20" t="s">
        <v>8494</v>
      </c>
    </row>
    <row r="6317">
      <c r="A6317" s="6"/>
      <c r="B6317" s="6"/>
      <c r="C6317" s="6"/>
      <c r="D6317" s="4">
        <v>35.5259428228361</v>
      </c>
      <c r="E6317" s="4" t="s">
        <v>6598</v>
      </c>
      <c r="F6317" s="4"/>
      <c r="G6317" s="4"/>
      <c r="H6317" s="4"/>
      <c r="I6317" s="4"/>
      <c r="J6317" s="18">
        <v>0.0</v>
      </c>
      <c r="K6317" s="4" t="s">
        <v>8494</v>
      </c>
      <c r="L6317" s="19" t="s">
        <v>8494</v>
      </c>
      <c r="M6317" s="20" t="s">
        <v>8494</v>
      </c>
    </row>
    <row r="6318">
      <c r="A6318" s="6"/>
      <c r="B6318" s="6"/>
      <c r="C6318" s="6"/>
      <c r="D6318" s="4">
        <v>97.3196580257125</v>
      </c>
      <c r="E6318" s="4" t="s">
        <v>3691</v>
      </c>
      <c r="F6318" s="4"/>
      <c r="G6318" s="4"/>
      <c r="H6318" s="4"/>
      <c r="I6318" s="4"/>
      <c r="J6318" s="18">
        <v>0.0</v>
      </c>
      <c r="K6318" s="4" t="s">
        <v>8494</v>
      </c>
      <c r="L6318" s="19" t="s">
        <v>8494</v>
      </c>
      <c r="M6318" s="20" t="s">
        <v>8494</v>
      </c>
    </row>
    <row r="6319">
      <c r="A6319" s="6"/>
      <c r="B6319" s="6"/>
      <c r="C6319" s="6"/>
      <c r="D6319" s="4">
        <v>186.01196020749998</v>
      </c>
      <c r="E6319" s="4" t="s">
        <v>8453</v>
      </c>
      <c r="F6319" s="4"/>
      <c r="G6319" s="4"/>
      <c r="H6319" s="4"/>
      <c r="I6319" s="4"/>
      <c r="J6319" s="18">
        <v>0.0</v>
      </c>
      <c r="K6319" s="4" t="s">
        <v>8494</v>
      </c>
      <c r="L6319" s="19" t="s">
        <v>8494</v>
      </c>
      <c r="M6319" s="20" t="s">
        <v>8494</v>
      </c>
    </row>
    <row r="6320">
      <c r="A6320" s="6"/>
      <c r="B6320" s="6"/>
      <c r="C6320" s="6"/>
      <c r="D6320" s="4">
        <v>186.01196020749998</v>
      </c>
      <c r="E6320" s="4" t="s">
        <v>5695</v>
      </c>
      <c r="F6320" s="4"/>
      <c r="G6320" s="4"/>
      <c r="H6320" s="4"/>
      <c r="I6320" s="4"/>
      <c r="J6320" s="18">
        <v>0.0</v>
      </c>
      <c r="K6320" s="4" t="s">
        <v>8494</v>
      </c>
      <c r="L6320" s="19" t="s">
        <v>8494</v>
      </c>
      <c r="M6320" s="20" t="s">
        <v>8494</v>
      </c>
    </row>
    <row r="6321">
      <c r="A6321" s="6"/>
      <c r="B6321" s="6"/>
      <c r="C6321" s="6"/>
      <c r="D6321" s="4">
        <v>9.30059801037504</v>
      </c>
      <c r="E6321" s="4" t="s">
        <v>3248</v>
      </c>
      <c r="F6321" s="4"/>
      <c r="G6321" s="4"/>
      <c r="H6321" s="4"/>
      <c r="I6321" s="4"/>
      <c r="J6321" s="18">
        <v>0.0</v>
      </c>
      <c r="K6321" s="4" t="s">
        <v>8494</v>
      </c>
      <c r="L6321" s="19" t="s">
        <v>8494</v>
      </c>
      <c r="M6321" s="20" t="s">
        <v>8494</v>
      </c>
    </row>
    <row r="6322">
      <c r="A6322" s="6"/>
      <c r="B6322" s="6"/>
      <c r="C6322" s="6"/>
      <c r="D6322" s="4">
        <v>55.8035880622502</v>
      </c>
      <c r="E6322" s="4" t="s">
        <v>5815</v>
      </c>
      <c r="F6322" s="4"/>
      <c r="G6322" s="4"/>
      <c r="H6322" s="4"/>
      <c r="I6322" s="4"/>
      <c r="J6322" s="18">
        <v>0.0</v>
      </c>
      <c r="K6322" s="4" t="s">
        <v>8494</v>
      </c>
      <c r="L6322" s="19" t="s">
        <v>8494</v>
      </c>
      <c r="M6322" s="20" t="s">
        <v>8494</v>
      </c>
    </row>
    <row r="6323">
      <c r="A6323" s="6"/>
      <c r="B6323" s="6"/>
      <c r="C6323" s="6"/>
      <c r="D6323" s="4">
        <v>101.961504012913</v>
      </c>
      <c r="E6323" s="4" t="s">
        <v>1520</v>
      </c>
      <c r="F6323" s="4"/>
      <c r="G6323" s="4"/>
      <c r="H6323" s="4"/>
      <c r="I6323" s="4"/>
      <c r="J6323" s="18">
        <v>0.0</v>
      </c>
      <c r="K6323" s="4" t="s">
        <v>8494</v>
      </c>
      <c r="L6323" s="19" t="s">
        <v>8494</v>
      </c>
      <c r="M6323" s="20" t="s">
        <v>8494</v>
      </c>
    </row>
    <row r="6324">
      <c r="A6324" s="6"/>
      <c r="B6324" s="6"/>
      <c r="C6324" s="6"/>
      <c r="D6324" s="4">
        <v>186.01196020749998</v>
      </c>
      <c r="E6324" s="4" t="s">
        <v>45</v>
      </c>
      <c r="F6324" s="4"/>
      <c r="G6324" s="4"/>
      <c r="H6324" s="4"/>
      <c r="I6324" s="4"/>
      <c r="J6324" s="18">
        <v>0.0</v>
      </c>
      <c r="K6324" s="4" t="s">
        <v>8494</v>
      </c>
      <c r="L6324" s="19" t="s">
        <v>8494</v>
      </c>
      <c r="M6324" s="20" t="s">
        <v>8494</v>
      </c>
    </row>
    <row r="6325">
      <c r="A6325" s="6"/>
      <c r="B6325" s="6"/>
      <c r="C6325" s="6"/>
      <c r="D6325" s="4">
        <v>186.01196020749998</v>
      </c>
      <c r="E6325" s="4" t="s">
        <v>3212</v>
      </c>
      <c r="F6325" s="4"/>
      <c r="G6325" s="4"/>
      <c r="H6325" s="4"/>
      <c r="I6325" s="4"/>
      <c r="J6325" s="18">
        <v>0.0</v>
      </c>
      <c r="K6325" s="4" t="s">
        <v>8494</v>
      </c>
      <c r="L6325" s="19" t="s">
        <v>8494</v>
      </c>
      <c r="M6325" s="20" t="s">
        <v>8494</v>
      </c>
    </row>
    <row r="6326">
      <c r="A6326" s="6"/>
      <c r="B6326" s="6"/>
      <c r="C6326" s="6"/>
      <c r="D6326" s="4">
        <v>177.071834586382</v>
      </c>
      <c r="E6326" s="4" t="s">
        <v>185</v>
      </c>
      <c r="F6326" s="4"/>
      <c r="G6326" s="4"/>
      <c r="H6326" s="4"/>
      <c r="I6326" s="4"/>
      <c r="J6326" s="18">
        <v>0.0</v>
      </c>
      <c r="K6326" s="4" t="s">
        <v>8494</v>
      </c>
      <c r="L6326" s="19" t="s">
        <v>8494</v>
      </c>
      <c r="M6326" s="20" t="s">
        <v>8494</v>
      </c>
    </row>
    <row r="6327">
      <c r="A6327" s="6"/>
      <c r="B6327" s="6"/>
      <c r="C6327" s="6"/>
      <c r="D6327" s="4">
        <v>40.4915117723126</v>
      </c>
      <c r="E6327" s="4" t="s">
        <v>5012</v>
      </c>
      <c r="F6327" s="4"/>
      <c r="G6327" s="4"/>
      <c r="H6327" s="4"/>
      <c r="I6327" s="4"/>
      <c r="J6327" s="18">
        <v>0.0</v>
      </c>
      <c r="K6327" s="4" t="s">
        <v>8494</v>
      </c>
      <c r="L6327" s="19" t="s">
        <v>8494</v>
      </c>
      <c r="M6327" s="20" t="s">
        <v>8494</v>
      </c>
    </row>
    <row r="6328">
      <c r="A6328" s="6"/>
      <c r="B6328" s="6"/>
      <c r="C6328" s="6"/>
      <c r="D6328" s="4">
        <v>43.613933379037896</v>
      </c>
      <c r="E6328" s="4" t="s">
        <v>5025</v>
      </c>
      <c r="F6328" s="4"/>
      <c r="G6328" s="4"/>
      <c r="H6328" s="4"/>
      <c r="I6328" s="4"/>
      <c r="J6328" s="18">
        <v>0.0</v>
      </c>
      <c r="K6328" s="4" t="s">
        <v>8494</v>
      </c>
      <c r="L6328" s="19" t="s">
        <v>8494</v>
      </c>
      <c r="M6328" s="20" t="s">
        <v>8494</v>
      </c>
    </row>
    <row r="6329">
      <c r="A6329" s="6"/>
      <c r="B6329" s="6"/>
      <c r="C6329" s="6"/>
      <c r="D6329" s="4">
        <v>9.913536746276419</v>
      </c>
      <c r="E6329" s="4" t="s">
        <v>2959</v>
      </c>
      <c r="F6329" s="4"/>
      <c r="G6329" s="4"/>
      <c r="H6329" s="4"/>
      <c r="I6329" s="4"/>
      <c r="J6329" s="18">
        <v>0.0</v>
      </c>
      <c r="K6329" s="4" t="s">
        <v>8494</v>
      </c>
      <c r="L6329" s="19" t="s">
        <v>8494</v>
      </c>
      <c r="M6329" s="20" t="s">
        <v>8494</v>
      </c>
    </row>
    <row r="6330">
      <c r="A6330" s="6"/>
      <c r="B6330" s="6"/>
      <c r="C6330" s="6"/>
      <c r="D6330" s="4">
        <v>175.550758903472</v>
      </c>
      <c r="E6330" s="4" t="s">
        <v>1036</v>
      </c>
      <c r="F6330" s="4"/>
      <c r="G6330" s="4"/>
      <c r="H6330" s="4"/>
      <c r="I6330" s="4"/>
      <c r="J6330" s="18">
        <v>0.0</v>
      </c>
      <c r="K6330" s="4" t="s">
        <v>8494</v>
      </c>
      <c r="L6330" s="19" t="s">
        <v>8494</v>
      </c>
      <c r="M6330" s="20" t="s">
        <v>8494</v>
      </c>
    </row>
    <row r="6331">
      <c r="A6331" s="6"/>
      <c r="B6331" s="6"/>
      <c r="C6331" s="6"/>
      <c r="D6331" s="4">
        <v>111.6071761245</v>
      </c>
      <c r="E6331" s="4" t="s">
        <v>8460</v>
      </c>
      <c r="F6331" s="4"/>
      <c r="G6331" s="4"/>
      <c r="H6331" s="4"/>
      <c r="I6331" s="4"/>
      <c r="J6331" s="18">
        <v>0.0</v>
      </c>
      <c r="K6331" s="4" t="s">
        <v>8494</v>
      </c>
      <c r="L6331" s="19" t="s">
        <v>8494</v>
      </c>
      <c r="M6331" s="20" t="s">
        <v>8494</v>
      </c>
    </row>
    <row r="6332">
      <c r="A6332" s="6"/>
      <c r="B6332" s="6"/>
      <c r="C6332" s="6"/>
      <c r="D6332" s="4">
        <v>186.01196020749998</v>
      </c>
      <c r="E6332" s="4" t="s">
        <v>4177</v>
      </c>
      <c r="F6332" s="4"/>
      <c r="G6332" s="4"/>
      <c r="H6332" s="4"/>
      <c r="I6332" s="4"/>
      <c r="J6332" s="18">
        <v>0.0</v>
      </c>
      <c r="K6332" s="4" t="s">
        <v>8494</v>
      </c>
      <c r="L6332" s="19" t="s">
        <v>8494</v>
      </c>
      <c r="M6332" s="20" t="s">
        <v>8494</v>
      </c>
    </row>
    <row r="6333">
      <c r="A6333" s="6"/>
      <c r="B6333" s="6"/>
      <c r="C6333" s="6"/>
      <c r="D6333" s="4">
        <v>17.5865684524558</v>
      </c>
      <c r="E6333" s="4" t="s">
        <v>455</v>
      </c>
      <c r="F6333" s="4"/>
      <c r="G6333" s="4"/>
      <c r="H6333" s="4"/>
      <c r="I6333" s="4"/>
      <c r="J6333" s="18">
        <v>0.0</v>
      </c>
      <c r="K6333" s="4" t="s">
        <v>8494</v>
      </c>
      <c r="L6333" s="19" t="s">
        <v>8494</v>
      </c>
      <c r="M6333" s="20" t="s">
        <v>8494</v>
      </c>
    </row>
    <row r="6334">
      <c r="A6334" s="6"/>
      <c r="B6334" s="6"/>
      <c r="C6334" s="6"/>
      <c r="D6334" s="4">
        <v>186.01196020749998</v>
      </c>
      <c r="E6334" s="4" t="s">
        <v>133</v>
      </c>
      <c r="F6334" s="4"/>
      <c r="G6334" s="4"/>
      <c r="H6334" s="4"/>
      <c r="I6334" s="4"/>
      <c r="J6334" s="18">
        <v>0.0</v>
      </c>
      <c r="K6334" s="4" t="s">
        <v>8494</v>
      </c>
      <c r="L6334" s="19" t="s">
        <v>8494</v>
      </c>
      <c r="M6334" s="20" t="s">
        <v>8494</v>
      </c>
    </row>
    <row r="6335">
      <c r="A6335" s="6"/>
      <c r="B6335" s="6"/>
      <c r="C6335" s="6"/>
      <c r="D6335" s="4">
        <v>186.01196020749998</v>
      </c>
      <c r="E6335" s="4" t="s">
        <v>983</v>
      </c>
      <c r="F6335" s="4"/>
      <c r="G6335" s="4"/>
      <c r="H6335" s="4"/>
      <c r="I6335" s="4"/>
      <c r="J6335" s="18">
        <v>0.0</v>
      </c>
      <c r="K6335" s="4" t="s">
        <v>8494</v>
      </c>
      <c r="L6335" s="19" t="s">
        <v>8494</v>
      </c>
      <c r="M6335" s="20" t="s">
        <v>8494</v>
      </c>
    </row>
    <row r="6336">
      <c r="A6336" s="6"/>
      <c r="B6336" s="6"/>
      <c r="C6336" s="6"/>
      <c r="D6336" s="4">
        <v>55.8035880622502</v>
      </c>
      <c r="E6336" s="4" t="s">
        <v>8462</v>
      </c>
      <c r="F6336" s="4"/>
      <c r="G6336" s="4"/>
      <c r="H6336" s="4"/>
      <c r="I6336" s="4"/>
      <c r="J6336" s="18">
        <v>0.0</v>
      </c>
      <c r="K6336" s="4" t="s">
        <v>8494</v>
      </c>
      <c r="L6336" s="19" t="s">
        <v>8494</v>
      </c>
      <c r="M6336" s="20" t="s">
        <v>8494</v>
      </c>
    </row>
    <row r="6337">
      <c r="A6337" s="6"/>
      <c r="B6337" s="6"/>
      <c r="C6337" s="6"/>
      <c r="D6337" s="4">
        <v>18.60119602075</v>
      </c>
      <c r="E6337" s="4" t="s">
        <v>5977</v>
      </c>
      <c r="F6337" s="4"/>
      <c r="G6337" s="4"/>
      <c r="H6337" s="4"/>
      <c r="I6337" s="4"/>
      <c r="J6337" s="18">
        <v>0.0</v>
      </c>
      <c r="K6337" s="4" t="s">
        <v>8494</v>
      </c>
      <c r="L6337" s="19" t="s">
        <v>8494</v>
      </c>
      <c r="M6337" s="20" t="s">
        <v>8494</v>
      </c>
    </row>
    <row r="6338">
      <c r="A6338" s="6"/>
      <c r="B6338" s="6"/>
      <c r="C6338" s="6"/>
      <c r="D6338" s="4">
        <v>35.0446533030931</v>
      </c>
      <c r="E6338" s="4" t="s">
        <v>1822</v>
      </c>
      <c r="F6338" s="4"/>
      <c r="G6338" s="4"/>
      <c r="H6338" s="4"/>
      <c r="I6338" s="4"/>
      <c r="J6338" s="18">
        <v>0.0</v>
      </c>
      <c r="K6338" s="4" t="s">
        <v>8494</v>
      </c>
      <c r="L6338" s="19" t="s">
        <v>8494</v>
      </c>
      <c r="M6338" s="20" t="s">
        <v>8494</v>
      </c>
    </row>
    <row r="6339">
      <c r="A6339" s="6"/>
      <c r="B6339" s="6"/>
      <c r="C6339" s="6"/>
      <c r="D6339" s="4">
        <v>17.5938335670245</v>
      </c>
      <c r="E6339" s="4" t="s">
        <v>8464</v>
      </c>
      <c r="F6339" s="4"/>
      <c r="G6339" s="4"/>
      <c r="H6339" s="4"/>
      <c r="I6339" s="4"/>
      <c r="J6339" s="18">
        <v>0.0</v>
      </c>
      <c r="K6339" s="4" t="s">
        <v>8494</v>
      </c>
      <c r="L6339" s="19" t="s">
        <v>8494</v>
      </c>
      <c r="M6339" s="20" t="s">
        <v>8494</v>
      </c>
    </row>
    <row r="6340">
      <c r="A6340" s="6"/>
      <c r="B6340" s="6"/>
      <c r="C6340" s="6"/>
      <c r="D6340" s="4">
        <v>6.28268986909447</v>
      </c>
      <c r="E6340" s="4" t="s">
        <v>155</v>
      </c>
      <c r="F6340" s="4"/>
      <c r="G6340" s="4"/>
      <c r="H6340" s="4"/>
      <c r="I6340" s="4"/>
      <c r="J6340" s="18">
        <v>0.0</v>
      </c>
      <c r="K6340" s="4" t="s">
        <v>8494</v>
      </c>
      <c r="L6340" s="19" t="s">
        <v>8494</v>
      </c>
      <c r="M6340" s="20" t="s">
        <v>8494</v>
      </c>
    </row>
    <row r="6341">
      <c r="A6341" s="6"/>
      <c r="B6341" s="6"/>
      <c r="C6341" s="6"/>
      <c r="D6341" s="4">
        <v>10.895288527193701</v>
      </c>
      <c r="E6341" s="4" t="s">
        <v>4561</v>
      </c>
      <c r="F6341" s="4"/>
      <c r="G6341" s="4"/>
      <c r="H6341" s="4"/>
      <c r="I6341" s="4"/>
      <c r="J6341" s="18">
        <v>0.0</v>
      </c>
      <c r="K6341" s="4" t="s">
        <v>8494</v>
      </c>
      <c r="L6341" s="19" t="s">
        <v>8494</v>
      </c>
      <c r="M6341" s="20" t="s">
        <v>8494</v>
      </c>
    </row>
    <row r="6342">
      <c r="A6342" s="6"/>
      <c r="B6342" s="6"/>
      <c r="C6342" s="6"/>
      <c r="D6342" s="4">
        <v>46.6345508003536</v>
      </c>
      <c r="E6342" s="4" t="s">
        <v>3513</v>
      </c>
      <c r="F6342" s="4"/>
      <c r="G6342" s="4"/>
      <c r="H6342" s="4"/>
      <c r="I6342" s="4"/>
      <c r="J6342" s="18">
        <v>0.0</v>
      </c>
      <c r="K6342" s="4" t="s">
        <v>8494</v>
      </c>
      <c r="L6342" s="19" t="s">
        <v>8494</v>
      </c>
      <c r="M6342" s="20" t="s">
        <v>8494</v>
      </c>
    </row>
    <row r="6343">
      <c r="A6343" s="6"/>
      <c r="B6343" s="6"/>
      <c r="C6343" s="6"/>
      <c r="D6343" s="4">
        <v>16.9824778337291</v>
      </c>
      <c r="E6343" s="4" t="s">
        <v>5075</v>
      </c>
      <c r="F6343" s="4"/>
      <c r="G6343" s="4"/>
      <c r="H6343" s="4"/>
      <c r="I6343" s="4"/>
      <c r="J6343" s="18">
        <v>0.0</v>
      </c>
      <c r="K6343" s="4" t="s">
        <v>8494</v>
      </c>
      <c r="L6343" s="19" t="s">
        <v>8494</v>
      </c>
      <c r="M6343" s="20" t="s">
        <v>8494</v>
      </c>
    </row>
    <row r="6344">
      <c r="A6344" s="6"/>
      <c r="B6344" s="6"/>
      <c r="C6344" s="6"/>
      <c r="D6344" s="4">
        <v>186.01196020749998</v>
      </c>
      <c r="E6344" s="4" t="s">
        <v>2225</v>
      </c>
      <c r="F6344" s="4"/>
      <c r="G6344" s="4"/>
      <c r="H6344" s="4"/>
      <c r="I6344" s="4"/>
      <c r="J6344" s="18">
        <v>0.0</v>
      </c>
      <c r="K6344" s="4" t="s">
        <v>8494</v>
      </c>
      <c r="L6344" s="19" t="s">
        <v>8494</v>
      </c>
      <c r="M6344" s="20" t="s">
        <v>8494</v>
      </c>
    </row>
    <row r="6345">
      <c r="A6345" s="6"/>
      <c r="B6345" s="6"/>
      <c r="C6345" s="6"/>
      <c r="D6345" s="4">
        <v>76.8611207188197</v>
      </c>
      <c r="E6345" s="4" t="s">
        <v>6500</v>
      </c>
      <c r="F6345" s="4"/>
      <c r="G6345" s="4"/>
      <c r="H6345" s="4"/>
      <c r="I6345" s="4"/>
      <c r="J6345" s="18">
        <v>0.0</v>
      </c>
      <c r="K6345" s="4" t="s">
        <v>8494</v>
      </c>
      <c r="L6345" s="19" t="s">
        <v>8494</v>
      </c>
      <c r="M6345" s="20" t="s">
        <v>8494</v>
      </c>
    </row>
    <row r="6346">
      <c r="A6346" s="6"/>
      <c r="B6346" s="6"/>
      <c r="C6346" s="6"/>
      <c r="D6346" s="4">
        <v>114.460922011962</v>
      </c>
      <c r="E6346" s="4" t="s">
        <v>6437</v>
      </c>
      <c r="F6346" s="4"/>
      <c r="G6346" s="4"/>
      <c r="H6346" s="4"/>
      <c r="I6346" s="4"/>
      <c r="J6346" s="18">
        <v>0.0</v>
      </c>
      <c r="K6346" s="4" t="s">
        <v>8494</v>
      </c>
      <c r="L6346" s="19" t="s">
        <v>8494</v>
      </c>
      <c r="M6346" s="20" t="s">
        <v>8494</v>
      </c>
    </row>
    <row r="6347">
      <c r="A6347" s="6"/>
      <c r="B6347" s="6"/>
      <c r="C6347" s="6"/>
      <c r="D6347" s="4">
        <v>9.30059801037504</v>
      </c>
      <c r="E6347" s="4" t="s">
        <v>2485</v>
      </c>
      <c r="F6347" s="4"/>
      <c r="G6347" s="4"/>
      <c r="H6347" s="4"/>
      <c r="I6347" s="4"/>
      <c r="J6347" s="18">
        <v>0.0</v>
      </c>
      <c r="K6347" s="4" t="s">
        <v>8494</v>
      </c>
      <c r="L6347" s="19" t="s">
        <v>8494</v>
      </c>
      <c r="M6347" s="20" t="s">
        <v>8494</v>
      </c>
    </row>
    <row r="6348">
      <c r="A6348" s="6"/>
      <c r="B6348" s="6"/>
      <c r="C6348" s="6"/>
      <c r="D6348" s="4">
        <v>9.807944729869</v>
      </c>
      <c r="E6348" s="4" t="s">
        <v>8472</v>
      </c>
      <c r="F6348" s="4"/>
      <c r="G6348" s="4"/>
      <c r="H6348" s="4"/>
      <c r="I6348" s="4"/>
      <c r="J6348" s="18">
        <v>0.0</v>
      </c>
      <c r="K6348" s="4" t="s">
        <v>8494</v>
      </c>
      <c r="L6348" s="19" t="s">
        <v>8494</v>
      </c>
      <c r="M6348" s="20" t="s">
        <v>8494</v>
      </c>
    </row>
    <row r="6349">
      <c r="A6349" s="6"/>
      <c r="B6349" s="6"/>
      <c r="C6349" s="6"/>
      <c r="D6349" s="4">
        <v>186.01196020749998</v>
      </c>
      <c r="E6349" s="4" t="s">
        <v>8474</v>
      </c>
      <c r="F6349" s="4"/>
      <c r="G6349" s="4"/>
      <c r="H6349" s="4"/>
      <c r="I6349" s="4"/>
      <c r="J6349" s="18">
        <v>0.0</v>
      </c>
      <c r="K6349" s="4" t="s">
        <v>8494</v>
      </c>
      <c r="L6349" s="19" t="s">
        <v>8494</v>
      </c>
      <c r="M6349" s="20" t="s">
        <v>8494</v>
      </c>
    </row>
    <row r="6350">
      <c r="A6350" s="6"/>
      <c r="B6350" s="6"/>
      <c r="C6350" s="6"/>
      <c r="D6350" s="4">
        <v>186.01196020749998</v>
      </c>
      <c r="E6350" s="4" t="s">
        <v>929</v>
      </c>
      <c r="F6350" s="4"/>
      <c r="G6350" s="4"/>
      <c r="H6350" s="4"/>
      <c r="I6350" s="4"/>
      <c r="J6350" s="18">
        <v>0.0</v>
      </c>
      <c r="K6350" s="4" t="s">
        <v>8494</v>
      </c>
      <c r="L6350" s="19" t="s">
        <v>8494</v>
      </c>
      <c r="M6350" s="20" t="s">
        <v>8494</v>
      </c>
    </row>
    <row r="6351">
      <c r="A6351" s="6"/>
      <c r="B6351" s="6"/>
      <c r="C6351" s="6"/>
      <c r="D6351" s="4">
        <v>186.01196020749998</v>
      </c>
      <c r="E6351" s="4" t="s">
        <v>661</v>
      </c>
      <c r="F6351" s="4"/>
      <c r="G6351" s="4"/>
      <c r="H6351" s="4"/>
      <c r="I6351" s="4"/>
      <c r="J6351" s="18">
        <v>0.0</v>
      </c>
      <c r="K6351" s="4" t="s">
        <v>8494</v>
      </c>
      <c r="L6351" s="19" t="s">
        <v>8494</v>
      </c>
      <c r="M6351" s="20" t="s">
        <v>8494</v>
      </c>
    </row>
    <row r="6352">
      <c r="A6352" s="6"/>
      <c r="B6352" s="6"/>
      <c r="C6352" s="6"/>
      <c r="D6352" s="4">
        <v>9.30059801037504</v>
      </c>
      <c r="E6352" s="4" t="s">
        <v>2139</v>
      </c>
      <c r="F6352" s="4"/>
      <c r="G6352" s="4"/>
      <c r="H6352" s="4"/>
      <c r="I6352" s="4"/>
      <c r="J6352" s="18">
        <v>0.0</v>
      </c>
      <c r="K6352" s="4" t="s">
        <v>8494</v>
      </c>
      <c r="L6352" s="19" t="s">
        <v>8494</v>
      </c>
      <c r="M6352" s="20" t="s">
        <v>8494</v>
      </c>
    </row>
    <row r="6353">
      <c r="A6353" s="6"/>
      <c r="B6353" s="6"/>
      <c r="C6353" s="6"/>
      <c r="D6353" s="4">
        <v>10.0370305368071</v>
      </c>
      <c r="E6353" s="4" t="s">
        <v>4614</v>
      </c>
      <c r="F6353" s="4"/>
      <c r="G6353" s="4"/>
      <c r="H6353" s="4"/>
      <c r="I6353" s="4"/>
      <c r="J6353" s="18">
        <v>0.0</v>
      </c>
      <c r="K6353" s="4" t="s">
        <v>8494</v>
      </c>
      <c r="L6353" s="19" t="s">
        <v>8494</v>
      </c>
      <c r="M6353" s="20" t="s">
        <v>8494</v>
      </c>
    </row>
    <row r="6354">
      <c r="A6354" s="6"/>
      <c r="B6354" s="6"/>
      <c r="C6354" s="6"/>
      <c r="D6354" s="4">
        <v>99.8073659615092</v>
      </c>
      <c r="E6354" s="4" t="s">
        <v>3665</v>
      </c>
      <c r="F6354" s="4"/>
      <c r="G6354" s="4"/>
      <c r="H6354" s="4"/>
      <c r="I6354" s="4"/>
      <c r="J6354" s="18">
        <v>0.0</v>
      </c>
      <c r="K6354" s="4" t="s">
        <v>8494</v>
      </c>
      <c r="L6354" s="19" t="s">
        <v>8494</v>
      </c>
      <c r="M6354" s="20" t="s">
        <v>8494</v>
      </c>
    </row>
    <row r="6355">
      <c r="A6355" s="6"/>
      <c r="B6355" s="6"/>
      <c r="C6355" s="6"/>
      <c r="D6355" s="4">
        <v>9.20222111930437</v>
      </c>
      <c r="E6355" s="4" t="s">
        <v>5143</v>
      </c>
      <c r="F6355" s="4"/>
      <c r="G6355" s="4"/>
      <c r="H6355" s="4"/>
      <c r="I6355" s="4"/>
      <c r="J6355" s="18">
        <v>0.0</v>
      </c>
      <c r="K6355" s="4" t="s">
        <v>8494</v>
      </c>
      <c r="L6355" s="19" t="s">
        <v>8494</v>
      </c>
      <c r="M6355" s="20" t="s">
        <v>8494</v>
      </c>
    </row>
    <row r="6356">
      <c r="A6356" s="6"/>
      <c r="B6356" s="6"/>
      <c r="C6356" s="6"/>
      <c r="D6356" s="4">
        <v>9.30059801037504</v>
      </c>
      <c r="E6356" s="4" t="s">
        <v>8478</v>
      </c>
      <c r="F6356" s="4"/>
      <c r="G6356" s="4"/>
      <c r="H6356" s="4"/>
      <c r="I6356" s="4"/>
      <c r="J6356" s="18">
        <v>0.0</v>
      </c>
      <c r="K6356" s="4" t="s">
        <v>8494</v>
      </c>
      <c r="L6356" s="19" t="s">
        <v>8494</v>
      </c>
      <c r="M6356" s="20" t="s">
        <v>8494</v>
      </c>
    </row>
    <row r="6357">
      <c r="A6357" s="6"/>
      <c r="B6357" s="6"/>
      <c r="C6357" s="6"/>
      <c r="D6357" s="4">
        <v>2.67858298108347</v>
      </c>
      <c r="E6357" s="4" t="s">
        <v>113</v>
      </c>
      <c r="F6357" s="4"/>
      <c r="G6357" s="4"/>
      <c r="H6357" s="4"/>
      <c r="I6357" s="4"/>
      <c r="J6357" s="18">
        <v>0.0</v>
      </c>
      <c r="K6357" s="4" t="s">
        <v>8494</v>
      </c>
      <c r="L6357" s="19" t="s">
        <v>8494</v>
      </c>
      <c r="M6357" s="20" t="s">
        <v>8494</v>
      </c>
    </row>
    <row r="6358">
      <c r="A6358" s="6"/>
      <c r="B6358" s="6"/>
      <c r="C6358" s="6"/>
      <c r="D6358" s="4">
        <v>108.443875475311</v>
      </c>
      <c r="E6358" s="4" t="s">
        <v>2379</v>
      </c>
      <c r="F6358" s="4"/>
      <c r="G6358" s="4"/>
      <c r="H6358" s="4"/>
      <c r="I6358" s="4"/>
      <c r="J6358" s="18">
        <v>0.0</v>
      </c>
      <c r="K6358" s="4" t="s">
        <v>8494</v>
      </c>
      <c r="L6358" s="19" t="s">
        <v>8494</v>
      </c>
      <c r="M6358" s="20" t="s">
        <v>8494</v>
      </c>
    </row>
    <row r="6359">
      <c r="A6359" s="6"/>
      <c r="B6359" s="6"/>
      <c r="C6359" s="6"/>
      <c r="D6359" s="4">
        <v>65.1041860726253</v>
      </c>
      <c r="E6359" s="4" t="s">
        <v>3557</v>
      </c>
      <c r="F6359" s="4"/>
      <c r="G6359" s="4"/>
      <c r="H6359" s="4"/>
      <c r="I6359" s="4"/>
      <c r="J6359" s="18">
        <v>0.0</v>
      </c>
      <c r="K6359" s="4" t="s">
        <v>8494</v>
      </c>
      <c r="L6359" s="19" t="s">
        <v>8494</v>
      </c>
      <c r="M6359" s="20" t="s">
        <v>8494</v>
      </c>
    </row>
    <row r="6360">
      <c r="A6360" s="6"/>
      <c r="B6360" s="6"/>
      <c r="C6360" s="6"/>
      <c r="D6360" s="4">
        <v>8.42995969310571</v>
      </c>
      <c r="E6360" s="4" t="s">
        <v>4953</v>
      </c>
      <c r="F6360" s="4"/>
      <c r="G6360" s="4"/>
      <c r="H6360" s="4"/>
      <c r="I6360" s="4"/>
      <c r="J6360" s="18">
        <v>0.0</v>
      </c>
      <c r="K6360" s="4" t="s">
        <v>8494</v>
      </c>
      <c r="L6360" s="19" t="s">
        <v>8494</v>
      </c>
      <c r="M6360" s="20" t="s">
        <v>8494</v>
      </c>
    </row>
    <row r="6361">
      <c r="A6361" s="6"/>
      <c r="B6361" s="6"/>
      <c r="C6361" s="6"/>
      <c r="D6361" s="4">
        <v>8.667480085991231</v>
      </c>
      <c r="E6361" s="4" t="s">
        <v>3918</v>
      </c>
      <c r="F6361" s="4"/>
      <c r="G6361" s="4"/>
      <c r="H6361" s="4"/>
      <c r="I6361" s="4"/>
      <c r="J6361" s="18">
        <v>0.0</v>
      </c>
      <c r="K6361" s="4" t="s">
        <v>8494</v>
      </c>
      <c r="L6361" s="19" t="s">
        <v>8494</v>
      </c>
      <c r="M6361" s="20" t="s">
        <v>8494</v>
      </c>
    </row>
    <row r="6362">
      <c r="A6362" s="6"/>
      <c r="B6362" s="6"/>
      <c r="C6362" s="6"/>
      <c r="D6362" s="4">
        <v>11.8194221222445</v>
      </c>
      <c r="E6362" s="4" t="s">
        <v>8483</v>
      </c>
      <c r="F6362" s="4"/>
      <c r="G6362" s="4"/>
      <c r="H6362" s="4"/>
      <c r="I6362" s="4"/>
      <c r="J6362" s="18">
        <v>0.0</v>
      </c>
      <c r="K6362" s="4" t="s">
        <v>8494</v>
      </c>
      <c r="L6362" s="19" t="s">
        <v>8494</v>
      </c>
      <c r="M6362" s="20" t="s">
        <v>8494</v>
      </c>
    </row>
    <row r="6363">
      <c r="A6363" s="6"/>
      <c r="B6363" s="6"/>
      <c r="C6363" s="6"/>
      <c r="D6363" s="4">
        <v>186.01196020749998</v>
      </c>
      <c r="E6363" s="4" t="s">
        <v>923</v>
      </c>
      <c r="F6363" s="4"/>
      <c r="G6363" s="4"/>
      <c r="H6363" s="4"/>
      <c r="I6363" s="4"/>
      <c r="J6363" s="18">
        <v>0.0</v>
      </c>
      <c r="K6363" s="4" t="s">
        <v>8494</v>
      </c>
      <c r="L6363" s="19" t="s">
        <v>8494</v>
      </c>
      <c r="M6363" s="20" t="s">
        <v>8494</v>
      </c>
    </row>
    <row r="6364">
      <c r="A6364" s="6"/>
      <c r="B6364" s="6"/>
      <c r="C6364" s="6"/>
      <c r="D6364" s="4">
        <v>65.1041860726253</v>
      </c>
      <c r="E6364" s="4" t="s">
        <v>615</v>
      </c>
      <c r="F6364" s="4"/>
      <c r="G6364" s="4"/>
      <c r="H6364" s="4"/>
      <c r="I6364" s="4"/>
      <c r="J6364" s="18">
        <v>0.0</v>
      </c>
      <c r="K6364" s="4" t="s">
        <v>8494</v>
      </c>
      <c r="L6364" s="19" t="s">
        <v>8494</v>
      </c>
      <c r="M6364" s="20" t="s">
        <v>8494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9.0"/>
    <col customWidth="1" min="4" max="4" width="45.29"/>
    <col customWidth="1" min="5" max="26" width="8.71"/>
  </cols>
  <sheetData>
    <row r="1" ht="14.25" customHeight="1">
      <c r="A1" s="1" t="s">
        <v>0</v>
      </c>
      <c r="B1" s="2" t="s">
        <v>1</v>
      </c>
      <c r="C1" s="2" t="s">
        <v>2</v>
      </c>
      <c r="D1" s="3" t="s">
        <v>3</v>
      </c>
      <c r="E1" s="31" t="s">
        <v>8495</v>
      </c>
    </row>
    <row r="2" ht="14.25" customHeight="1">
      <c r="A2" s="4" t="s">
        <v>8496</v>
      </c>
      <c r="B2" s="4" t="s">
        <v>4202</v>
      </c>
      <c r="C2" s="4" t="s">
        <v>8497</v>
      </c>
      <c r="D2" s="5">
        <f t="array" ref="D2:D1000">C2:C1000/10^18</f>
        <v>327.2265164</v>
      </c>
      <c r="F2" s="32" t="str">
        <f>TEXT(C2 * 1, "0")</f>
        <v>327226516368338000000</v>
      </c>
      <c r="H2" s="32">
        <f t="array" ref="H2:H1000">F2:F1000/10^18</f>
        <v>327.2265164</v>
      </c>
    </row>
    <row r="3" ht="14.25" customHeight="1">
      <c r="A3" s="4" t="s">
        <v>8496</v>
      </c>
      <c r="B3" s="4" t="s">
        <v>8498</v>
      </c>
      <c r="C3" s="4" t="s">
        <v>8497</v>
      </c>
      <c r="D3" s="5">
        <v>327.22651636833797</v>
      </c>
      <c r="H3" s="32">
        <v>0.0</v>
      </c>
    </row>
    <row r="4" ht="14.25" customHeight="1">
      <c r="A4" s="4" t="s">
        <v>8496</v>
      </c>
      <c r="B4" s="4" t="s">
        <v>3105</v>
      </c>
      <c r="C4" s="4" t="s">
        <v>8497</v>
      </c>
      <c r="D4" s="5">
        <v>327.22651636833797</v>
      </c>
      <c r="H4" s="32">
        <v>0.0</v>
      </c>
    </row>
    <row r="5" ht="14.25" customHeight="1">
      <c r="A5" s="4" t="s">
        <v>8496</v>
      </c>
      <c r="B5" s="4" t="s">
        <v>8499</v>
      </c>
      <c r="C5" s="4" t="s">
        <v>8497</v>
      </c>
      <c r="D5" s="5">
        <v>327.22651636833797</v>
      </c>
      <c r="H5" s="32">
        <v>0.0</v>
      </c>
    </row>
    <row r="6" ht="14.25" customHeight="1">
      <c r="A6" s="4" t="s">
        <v>8496</v>
      </c>
      <c r="B6" s="4" t="s">
        <v>8500</v>
      </c>
      <c r="C6" s="4" t="s">
        <v>8497</v>
      </c>
      <c r="D6" s="5">
        <v>327.22651636833797</v>
      </c>
      <c r="H6" s="32">
        <v>0.0</v>
      </c>
    </row>
    <row r="7" ht="14.25" customHeight="1">
      <c r="A7" s="4" t="s">
        <v>8496</v>
      </c>
      <c r="B7" s="4" t="s">
        <v>8501</v>
      </c>
      <c r="C7" s="4" t="s">
        <v>8497</v>
      </c>
      <c r="D7" s="5">
        <v>327.22651636833797</v>
      </c>
      <c r="H7" s="32">
        <v>0.0</v>
      </c>
    </row>
    <row r="8" ht="14.25" customHeight="1">
      <c r="A8" s="4" t="s">
        <v>8496</v>
      </c>
      <c r="B8" s="4" t="s">
        <v>8125</v>
      </c>
      <c r="C8" s="4" t="s">
        <v>8497</v>
      </c>
      <c r="D8" s="5">
        <v>327.22651636833797</v>
      </c>
      <c r="H8" s="32">
        <v>0.0</v>
      </c>
    </row>
    <row r="9" ht="14.25" customHeight="1">
      <c r="A9" s="4" t="s">
        <v>8496</v>
      </c>
      <c r="B9" s="4" t="s">
        <v>3163</v>
      </c>
      <c r="C9" s="4" t="s">
        <v>8497</v>
      </c>
      <c r="D9" s="5">
        <v>327.22651636833797</v>
      </c>
      <c r="H9" s="32">
        <v>0.0</v>
      </c>
    </row>
    <row r="10" ht="14.25" customHeight="1">
      <c r="A10" s="4" t="s">
        <v>8496</v>
      </c>
      <c r="B10" s="4" t="s">
        <v>8230</v>
      </c>
      <c r="C10" s="4" t="s">
        <v>8497</v>
      </c>
      <c r="D10" s="5">
        <v>327.22651636833797</v>
      </c>
      <c r="H10" s="32">
        <v>0.0</v>
      </c>
    </row>
    <row r="11" ht="14.25" customHeight="1">
      <c r="A11" s="4" t="s">
        <v>8496</v>
      </c>
      <c r="B11" s="4" t="s">
        <v>6066</v>
      </c>
      <c r="C11" s="4" t="s">
        <v>8497</v>
      </c>
      <c r="D11" s="5">
        <v>327.22651636833797</v>
      </c>
      <c r="H11" s="32">
        <v>0.0</v>
      </c>
    </row>
    <row r="12" ht="14.25" customHeight="1">
      <c r="A12" s="4" t="s">
        <v>8496</v>
      </c>
      <c r="B12" s="4" t="s">
        <v>1495</v>
      </c>
      <c r="C12" s="4" t="s">
        <v>8502</v>
      </c>
      <c r="D12" s="5">
        <v>252.796661759655</v>
      </c>
      <c r="H12" s="32">
        <v>0.0</v>
      </c>
    </row>
    <row r="13" ht="14.25" customHeight="1">
      <c r="A13" s="4" t="s">
        <v>8496</v>
      </c>
      <c r="B13" s="4" t="s">
        <v>8503</v>
      </c>
      <c r="C13" s="4" t="s">
        <v>8497</v>
      </c>
      <c r="D13" s="5">
        <v>327.22651636833797</v>
      </c>
      <c r="H13" s="32">
        <v>0.0</v>
      </c>
    </row>
    <row r="14" ht="14.25" customHeight="1">
      <c r="A14" s="4" t="s">
        <v>8496</v>
      </c>
      <c r="B14" s="4" t="s">
        <v>591</v>
      </c>
      <c r="C14" s="4" t="s">
        <v>8497</v>
      </c>
      <c r="D14" s="5">
        <v>327.22651636833797</v>
      </c>
      <c r="H14" s="32">
        <v>0.0</v>
      </c>
    </row>
    <row r="15" ht="14.25" customHeight="1">
      <c r="A15" s="4" t="s">
        <v>8496</v>
      </c>
      <c r="B15" s="4" t="s">
        <v>675</v>
      </c>
      <c r="C15" s="4" t="s">
        <v>8497</v>
      </c>
      <c r="D15" s="5">
        <v>327.22651636833797</v>
      </c>
      <c r="H15" s="32">
        <v>0.0</v>
      </c>
    </row>
    <row r="16" ht="14.25" customHeight="1">
      <c r="A16" s="4" t="s">
        <v>8496</v>
      </c>
      <c r="B16" s="4" t="s">
        <v>8504</v>
      </c>
      <c r="C16" s="4" t="s">
        <v>8497</v>
      </c>
      <c r="D16" s="5">
        <v>327.22651636833797</v>
      </c>
      <c r="H16" s="32">
        <v>0.0</v>
      </c>
    </row>
    <row r="17" ht="14.25" customHeight="1">
      <c r="A17" s="4" t="s">
        <v>8496</v>
      </c>
      <c r="B17" s="4" t="s">
        <v>2293</v>
      </c>
      <c r="C17" s="4" t="s">
        <v>8497</v>
      </c>
      <c r="D17" s="5">
        <v>327.22651636833797</v>
      </c>
      <c r="H17" s="32">
        <v>0.0</v>
      </c>
    </row>
    <row r="18" ht="14.25" customHeight="1">
      <c r="A18" s="4" t="s">
        <v>8496</v>
      </c>
      <c r="B18" s="4" t="s">
        <v>6833</v>
      </c>
      <c r="C18" s="4" t="s">
        <v>8505</v>
      </c>
      <c r="D18" s="5">
        <v>204.93329132575101</v>
      </c>
      <c r="H18" s="32">
        <v>0.0</v>
      </c>
    </row>
    <row r="19" ht="14.25" customHeight="1">
      <c r="A19" s="4" t="s">
        <v>8496</v>
      </c>
      <c r="B19" s="4" t="s">
        <v>5318</v>
      </c>
      <c r="C19" s="4" t="s">
        <v>8497</v>
      </c>
      <c r="D19" s="5">
        <v>327.22651636833797</v>
      </c>
      <c r="H19" s="32">
        <v>0.0</v>
      </c>
    </row>
    <row r="20" ht="14.25" customHeight="1">
      <c r="A20" s="4" t="s">
        <v>8496</v>
      </c>
      <c r="B20" s="4" t="s">
        <v>8506</v>
      </c>
      <c r="C20" s="4" t="s">
        <v>8497</v>
      </c>
      <c r="D20" s="5">
        <v>327.22651636833797</v>
      </c>
      <c r="H20" s="32">
        <v>0.0</v>
      </c>
    </row>
    <row r="21" ht="14.25" customHeight="1">
      <c r="A21" s="4" t="s">
        <v>8496</v>
      </c>
      <c r="B21" s="4" t="s">
        <v>8507</v>
      </c>
      <c r="C21" s="4" t="s">
        <v>8497</v>
      </c>
      <c r="D21" s="5">
        <v>327.22651636833797</v>
      </c>
      <c r="H21" s="32">
        <v>0.0</v>
      </c>
    </row>
    <row r="22" ht="14.25" customHeight="1">
      <c r="A22" s="4" t="s">
        <v>8496</v>
      </c>
      <c r="B22" s="4" t="s">
        <v>3024</v>
      </c>
      <c r="C22" s="4" t="s">
        <v>8497</v>
      </c>
      <c r="D22" s="5">
        <v>327.22651636833797</v>
      </c>
      <c r="H22" s="32">
        <v>0.0</v>
      </c>
    </row>
    <row r="23" ht="14.25" customHeight="1">
      <c r="A23" s="4" t="s">
        <v>8496</v>
      </c>
      <c r="B23" s="4" t="s">
        <v>1734</v>
      </c>
      <c r="C23" s="4" t="s">
        <v>8497</v>
      </c>
      <c r="D23" s="5">
        <v>327.22651636833797</v>
      </c>
      <c r="H23" s="32">
        <v>0.0</v>
      </c>
    </row>
    <row r="24" ht="14.25" customHeight="1">
      <c r="A24" s="4" t="s">
        <v>8496</v>
      </c>
      <c r="B24" s="4" t="s">
        <v>6088</v>
      </c>
      <c r="C24" s="4" t="s">
        <v>8497</v>
      </c>
      <c r="D24" s="5">
        <v>327.22651636833797</v>
      </c>
      <c r="H24" s="32">
        <v>0.0</v>
      </c>
    </row>
    <row r="25" ht="14.25" customHeight="1">
      <c r="A25" s="4" t="s">
        <v>8496</v>
      </c>
      <c r="B25" s="4" t="s">
        <v>2335</v>
      </c>
      <c r="C25" s="4" t="s">
        <v>8508</v>
      </c>
      <c r="D25" s="5">
        <v>82.7367329652235</v>
      </c>
      <c r="H25" s="32">
        <v>0.0</v>
      </c>
    </row>
    <row r="26" ht="14.25" customHeight="1">
      <c r="A26" s="4" t="s">
        <v>8496</v>
      </c>
      <c r="B26" s="4" t="s">
        <v>7465</v>
      </c>
      <c r="C26" s="4" t="s">
        <v>8497</v>
      </c>
      <c r="D26" s="5">
        <v>327.22651636833797</v>
      </c>
      <c r="H26" s="32">
        <v>0.0</v>
      </c>
    </row>
    <row r="27" ht="14.25" customHeight="1">
      <c r="A27" s="4" t="s">
        <v>8496</v>
      </c>
      <c r="B27" s="4" t="s">
        <v>8509</v>
      </c>
      <c r="C27" s="4" t="s">
        <v>8510</v>
      </c>
      <c r="D27" s="5">
        <v>44.5028279055051</v>
      </c>
      <c r="H27" s="32">
        <v>0.0</v>
      </c>
    </row>
    <row r="28" ht="14.25" customHeight="1">
      <c r="A28" s="4" t="s">
        <v>8496</v>
      </c>
      <c r="B28" s="4" t="s">
        <v>8511</v>
      </c>
      <c r="C28" s="4" t="s">
        <v>8497</v>
      </c>
      <c r="D28" s="5">
        <v>327.22651636833797</v>
      </c>
      <c r="H28" s="32">
        <v>0.0</v>
      </c>
    </row>
    <row r="29" ht="14.25" customHeight="1">
      <c r="A29" s="4" t="s">
        <v>8496</v>
      </c>
      <c r="B29" s="4" t="s">
        <v>8512</v>
      </c>
      <c r="C29" s="4" t="s">
        <v>8497</v>
      </c>
      <c r="D29" s="5">
        <v>327.22651636833797</v>
      </c>
      <c r="H29" s="32">
        <v>0.0</v>
      </c>
    </row>
    <row r="30" ht="14.25" customHeight="1">
      <c r="A30" s="4" t="s">
        <v>8496</v>
      </c>
      <c r="B30" s="4" t="s">
        <v>5440</v>
      </c>
      <c r="C30" s="4" t="s">
        <v>8497</v>
      </c>
      <c r="D30" s="5">
        <v>327.22651636833797</v>
      </c>
      <c r="H30" s="32">
        <v>0.0</v>
      </c>
    </row>
    <row r="31" ht="14.25" customHeight="1">
      <c r="A31" s="4" t="s">
        <v>8496</v>
      </c>
      <c r="B31" s="4" t="s">
        <v>8513</v>
      </c>
      <c r="C31" s="4" t="s">
        <v>8497</v>
      </c>
      <c r="D31" s="5">
        <v>327.22651636833797</v>
      </c>
      <c r="H31" s="32">
        <v>0.0</v>
      </c>
    </row>
    <row r="32" ht="14.25" customHeight="1">
      <c r="A32" s="4" t="s">
        <v>8496</v>
      </c>
      <c r="B32" s="4" t="s">
        <v>2048</v>
      </c>
      <c r="C32" s="4" t="s">
        <v>8497</v>
      </c>
      <c r="D32" s="5">
        <v>327.22651636833797</v>
      </c>
      <c r="H32" s="32">
        <v>0.0</v>
      </c>
    </row>
    <row r="33" ht="14.25" customHeight="1">
      <c r="A33" s="4" t="s">
        <v>8496</v>
      </c>
      <c r="B33" s="4" t="s">
        <v>8514</v>
      </c>
      <c r="C33" s="4" t="s">
        <v>8497</v>
      </c>
      <c r="D33" s="5">
        <v>327.22651636833797</v>
      </c>
      <c r="H33" s="32">
        <v>0.0</v>
      </c>
    </row>
    <row r="34" ht="14.25" customHeight="1">
      <c r="A34" s="4" t="s">
        <v>8496</v>
      </c>
      <c r="B34" s="4" t="s">
        <v>4862</v>
      </c>
      <c r="C34" s="4" t="s">
        <v>8515</v>
      </c>
      <c r="D34" s="5">
        <v>325.25867737036396</v>
      </c>
      <c r="H34" s="32">
        <v>0.0</v>
      </c>
    </row>
    <row r="35" ht="14.25" customHeight="1">
      <c r="A35" s="4" t="s">
        <v>8496</v>
      </c>
      <c r="B35" s="4" t="s">
        <v>8516</v>
      </c>
      <c r="C35" s="4" t="s">
        <v>8497</v>
      </c>
      <c r="D35" s="5">
        <v>327.22651636833797</v>
      </c>
      <c r="H35" s="32">
        <v>0.0</v>
      </c>
    </row>
    <row r="36" ht="14.25" customHeight="1">
      <c r="A36" s="4" t="s">
        <v>8496</v>
      </c>
      <c r="B36" s="4" t="s">
        <v>1493</v>
      </c>
      <c r="C36" s="4" t="s">
        <v>8497</v>
      </c>
      <c r="D36" s="5">
        <v>327.22651636833797</v>
      </c>
      <c r="H36" s="32">
        <v>0.0</v>
      </c>
    </row>
    <row r="37" ht="14.25" customHeight="1">
      <c r="A37" s="4" t="s">
        <v>8496</v>
      </c>
      <c r="B37" s="4" t="s">
        <v>4182</v>
      </c>
      <c r="C37" s="4" t="s">
        <v>8497</v>
      </c>
      <c r="D37" s="5">
        <v>327.22651636833797</v>
      </c>
      <c r="H37" s="32">
        <v>0.0</v>
      </c>
    </row>
    <row r="38" ht="14.25" customHeight="1">
      <c r="A38" s="4" t="s">
        <v>8496</v>
      </c>
      <c r="B38" s="4" t="s">
        <v>8517</v>
      </c>
      <c r="C38" s="4" t="s">
        <v>8497</v>
      </c>
      <c r="D38" s="5">
        <v>327.22651636833797</v>
      </c>
      <c r="H38" s="32">
        <v>0.0</v>
      </c>
    </row>
    <row r="39" ht="14.25" customHeight="1">
      <c r="A39" s="4" t="s">
        <v>8496</v>
      </c>
      <c r="B39" s="4" t="s">
        <v>8518</v>
      </c>
      <c r="C39" s="4" t="s">
        <v>8497</v>
      </c>
      <c r="D39" s="5">
        <v>327.22651636833797</v>
      </c>
      <c r="H39" s="32">
        <v>0.0</v>
      </c>
    </row>
    <row r="40" ht="14.25" customHeight="1">
      <c r="A40" s="4" t="s">
        <v>8496</v>
      </c>
      <c r="B40" s="4" t="s">
        <v>8519</v>
      </c>
      <c r="C40" s="4" t="s">
        <v>8497</v>
      </c>
      <c r="D40" s="5">
        <v>327.22651636833797</v>
      </c>
      <c r="H40" s="32">
        <v>0.0</v>
      </c>
    </row>
    <row r="41" ht="14.25" customHeight="1">
      <c r="A41" s="4" t="s">
        <v>8496</v>
      </c>
      <c r="B41" s="4" t="s">
        <v>6617</v>
      </c>
      <c r="C41" s="4" t="s">
        <v>8497</v>
      </c>
      <c r="D41" s="5">
        <v>327.22651636833797</v>
      </c>
      <c r="H41" s="32">
        <v>0.0</v>
      </c>
    </row>
    <row r="42" ht="14.25" customHeight="1">
      <c r="A42" s="4" t="s">
        <v>8496</v>
      </c>
      <c r="B42" s="4" t="s">
        <v>5870</v>
      </c>
      <c r="C42" s="4" t="s">
        <v>8520</v>
      </c>
      <c r="D42" s="5">
        <v>196.335909821002</v>
      </c>
      <c r="H42" s="32">
        <v>0.0</v>
      </c>
    </row>
    <row r="43" ht="14.25" customHeight="1">
      <c r="A43" s="4" t="s">
        <v>8496</v>
      </c>
      <c r="B43" s="4" t="s">
        <v>6172</v>
      </c>
      <c r="C43" s="4" t="s">
        <v>8497</v>
      </c>
      <c r="D43" s="5">
        <v>327.22651636833797</v>
      </c>
      <c r="H43" s="32">
        <v>0.0</v>
      </c>
    </row>
    <row r="44" ht="14.25" customHeight="1">
      <c r="A44" s="4" t="s">
        <v>8496</v>
      </c>
      <c r="B44" s="4" t="s">
        <v>2036</v>
      </c>
      <c r="C44" s="4" t="s">
        <v>8497</v>
      </c>
      <c r="D44" s="5">
        <v>327.22651636833797</v>
      </c>
      <c r="H44" s="32">
        <v>0.0</v>
      </c>
    </row>
    <row r="45" ht="14.25" customHeight="1">
      <c r="A45" s="4" t="s">
        <v>8496</v>
      </c>
      <c r="B45" s="4" t="s">
        <v>5105</v>
      </c>
      <c r="C45" s="4" t="s">
        <v>8497</v>
      </c>
      <c r="D45" s="5">
        <v>327.22651636833797</v>
      </c>
      <c r="H45" s="32">
        <v>0.0</v>
      </c>
    </row>
    <row r="46" ht="14.25" customHeight="1">
      <c r="A46" s="4" t="s">
        <v>8496</v>
      </c>
      <c r="B46" s="4" t="s">
        <v>8521</v>
      </c>
      <c r="C46" s="4" t="s">
        <v>8497</v>
      </c>
      <c r="D46" s="5">
        <v>327.22651636833797</v>
      </c>
      <c r="H46" s="32">
        <v>0.0</v>
      </c>
    </row>
    <row r="47" ht="14.25" customHeight="1">
      <c r="A47" s="4" t="s">
        <v>8496</v>
      </c>
      <c r="B47" s="4" t="s">
        <v>8331</v>
      </c>
      <c r="C47" s="4" t="s">
        <v>8497</v>
      </c>
      <c r="D47" s="5">
        <v>327.22651636833797</v>
      </c>
      <c r="H47" s="32">
        <v>0.0</v>
      </c>
    </row>
    <row r="48" ht="14.25" customHeight="1">
      <c r="A48" s="4" t="s">
        <v>8496</v>
      </c>
      <c r="B48" s="4" t="s">
        <v>390</v>
      </c>
      <c r="C48" s="4" t="s">
        <v>8497</v>
      </c>
      <c r="D48" s="5">
        <v>327.22651636833797</v>
      </c>
      <c r="H48" s="32">
        <v>0.0</v>
      </c>
    </row>
    <row r="49" ht="14.25" customHeight="1">
      <c r="A49" s="4" t="s">
        <v>8496</v>
      </c>
      <c r="B49" s="4" t="s">
        <v>8522</v>
      </c>
      <c r="C49" s="4" t="s">
        <v>8497</v>
      </c>
      <c r="D49" s="5">
        <v>327.22651636833797</v>
      </c>
      <c r="H49" s="32">
        <v>0.0</v>
      </c>
    </row>
    <row r="50" ht="14.25" customHeight="1">
      <c r="A50" s="4" t="s">
        <v>8496</v>
      </c>
      <c r="B50" s="4" t="s">
        <v>8523</v>
      </c>
      <c r="C50" s="4" t="s">
        <v>8497</v>
      </c>
      <c r="D50" s="5">
        <v>327.22651636833797</v>
      </c>
      <c r="H50" s="32">
        <v>0.0</v>
      </c>
    </row>
    <row r="51" ht="14.25" customHeight="1">
      <c r="A51" s="4" t="s">
        <v>8496</v>
      </c>
      <c r="B51" s="4" t="s">
        <v>722</v>
      </c>
      <c r="C51" s="4" t="s">
        <v>8497</v>
      </c>
      <c r="D51" s="5">
        <v>327.22651636833797</v>
      </c>
      <c r="H51" s="32">
        <v>0.0</v>
      </c>
    </row>
    <row r="52" ht="14.25" customHeight="1">
      <c r="A52" s="4" t="s">
        <v>8496</v>
      </c>
      <c r="B52" s="4" t="s">
        <v>6058</v>
      </c>
      <c r="C52" s="4" t="s">
        <v>8497</v>
      </c>
      <c r="D52" s="5">
        <v>327.22651636833797</v>
      </c>
      <c r="H52" s="32">
        <v>0.0</v>
      </c>
    </row>
    <row r="53" ht="14.25" customHeight="1">
      <c r="A53" s="4" t="s">
        <v>8496</v>
      </c>
      <c r="B53" s="4" t="s">
        <v>3489</v>
      </c>
      <c r="C53" s="4" t="s">
        <v>8497</v>
      </c>
      <c r="D53" s="5">
        <v>327.22651636833797</v>
      </c>
      <c r="H53" s="32">
        <v>0.0</v>
      </c>
    </row>
    <row r="54" ht="14.25" customHeight="1">
      <c r="A54" s="4" t="s">
        <v>8496</v>
      </c>
      <c r="B54" s="4" t="s">
        <v>856</v>
      </c>
      <c r="C54" s="4" t="s">
        <v>8497</v>
      </c>
      <c r="D54" s="5">
        <v>327.22651636833797</v>
      </c>
      <c r="H54" s="32">
        <v>0.0</v>
      </c>
    </row>
    <row r="55" ht="14.25" customHeight="1">
      <c r="A55" s="4" t="s">
        <v>8496</v>
      </c>
      <c r="B55" s="4" t="s">
        <v>568</v>
      </c>
      <c r="C55" s="4" t="s">
        <v>8497</v>
      </c>
      <c r="D55" s="5">
        <v>327.22651636833797</v>
      </c>
      <c r="H55" s="32">
        <v>0.0</v>
      </c>
    </row>
    <row r="56" ht="14.25" customHeight="1">
      <c r="A56" s="4" t="s">
        <v>8496</v>
      </c>
      <c r="B56" s="4" t="s">
        <v>8377</v>
      </c>
      <c r="C56" s="4" t="s">
        <v>8497</v>
      </c>
      <c r="D56" s="5">
        <v>327.22651636833797</v>
      </c>
      <c r="H56" s="32">
        <v>0.0</v>
      </c>
    </row>
    <row r="57" ht="14.25" customHeight="1">
      <c r="A57" s="4" t="s">
        <v>8496</v>
      </c>
      <c r="B57" s="4" t="s">
        <v>185</v>
      </c>
      <c r="C57" s="4" t="s">
        <v>8524</v>
      </c>
      <c r="D57" s="5">
        <v>323.845909486695</v>
      </c>
      <c r="H57" s="32">
        <v>0.0</v>
      </c>
    </row>
    <row r="58" ht="14.25" customHeight="1">
      <c r="A58" s="4" t="s">
        <v>8496</v>
      </c>
      <c r="B58" s="4" t="s">
        <v>5124</v>
      </c>
      <c r="C58" s="4" t="s">
        <v>8497</v>
      </c>
      <c r="D58" s="5">
        <v>327.22651636833797</v>
      </c>
      <c r="H58" s="32">
        <v>0.0</v>
      </c>
    </row>
    <row r="59" ht="14.25" customHeight="1">
      <c r="A59" s="4" t="s">
        <v>8496</v>
      </c>
      <c r="B59" s="4" t="s">
        <v>8044</v>
      </c>
      <c r="C59" s="4" t="s">
        <v>8497</v>
      </c>
      <c r="D59" s="5">
        <v>327.22651636833797</v>
      </c>
      <c r="H59" s="32">
        <v>0.0</v>
      </c>
    </row>
    <row r="60" ht="14.25" customHeight="1">
      <c r="A60" s="4" t="s">
        <v>8496</v>
      </c>
      <c r="B60" s="4" t="s">
        <v>8525</v>
      </c>
      <c r="C60" s="4" t="s">
        <v>8497</v>
      </c>
      <c r="D60" s="5">
        <v>327.22651636833797</v>
      </c>
      <c r="H60" s="32">
        <v>0.0</v>
      </c>
    </row>
    <row r="61" ht="14.25" customHeight="1">
      <c r="A61" s="4" t="s">
        <v>8496</v>
      </c>
      <c r="B61" s="4" t="s">
        <v>5490</v>
      </c>
      <c r="C61" s="4" t="s">
        <v>8526</v>
      </c>
      <c r="D61" s="5">
        <v>66.754209339141</v>
      </c>
      <c r="H61" s="32">
        <v>0.0</v>
      </c>
    </row>
    <row r="62" ht="14.25" customHeight="1">
      <c r="A62" s="4" t="s">
        <v>8496</v>
      </c>
      <c r="B62" s="4" t="s">
        <v>3547</v>
      </c>
      <c r="C62" s="4" t="s">
        <v>8497</v>
      </c>
      <c r="D62" s="5">
        <v>327.22651636833797</v>
      </c>
      <c r="H62" s="32">
        <v>0.0</v>
      </c>
    </row>
    <row r="63" ht="14.25" customHeight="1">
      <c r="A63" s="4" t="s">
        <v>8496</v>
      </c>
      <c r="B63" s="4" t="s">
        <v>2417</v>
      </c>
      <c r="C63" s="4" t="s">
        <v>8527</v>
      </c>
      <c r="D63" s="5">
        <v>155.198468288582</v>
      </c>
      <c r="H63" s="32">
        <v>0.0</v>
      </c>
    </row>
    <row r="64" ht="14.25" customHeight="1">
      <c r="A64" s="4" t="s">
        <v>8496</v>
      </c>
      <c r="B64" s="4" t="s">
        <v>8528</v>
      </c>
      <c r="C64" s="4" t="s">
        <v>8497</v>
      </c>
      <c r="D64" s="5">
        <v>327.22651636833797</v>
      </c>
      <c r="H64" s="32">
        <v>0.0</v>
      </c>
    </row>
    <row r="65" ht="14.25" customHeight="1">
      <c r="A65" s="4" t="s">
        <v>8496</v>
      </c>
      <c r="B65" s="4" t="s">
        <v>6009</v>
      </c>
      <c r="C65" s="4" t="s">
        <v>8497</v>
      </c>
      <c r="D65" s="5">
        <v>327.22651636833797</v>
      </c>
      <c r="H65" s="32">
        <v>0.0</v>
      </c>
    </row>
    <row r="66" ht="14.25" customHeight="1">
      <c r="A66" s="4" t="s">
        <v>8496</v>
      </c>
      <c r="B66" s="4" t="s">
        <v>2459</v>
      </c>
      <c r="C66" s="4" t="s">
        <v>8497</v>
      </c>
      <c r="D66" s="5">
        <v>327.22651636833797</v>
      </c>
      <c r="H66" s="32">
        <v>0.0</v>
      </c>
    </row>
    <row r="67" ht="14.25" customHeight="1">
      <c r="A67" s="4" t="s">
        <v>8496</v>
      </c>
      <c r="B67" s="4" t="s">
        <v>5717</v>
      </c>
      <c r="C67" s="4" t="s">
        <v>8497</v>
      </c>
      <c r="D67" s="5">
        <v>327.22651636833797</v>
      </c>
      <c r="H67" s="32">
        <v>0.0</v>
      </c>
    </row>
    <row r="68" ht="14.25" customHeight="1">
      <c r="A68" s="4" t="s">
        <v>8496</v>
      </c>
      <c r="B68" s="4" t="s">
        <v>8529</v>
      </c>
      <c r="C68" s="4" t="s">
        <v>8497</v>
      </c>
      <c r="D68" s="5">
        <v>327.22651636833797</v>
      </c>
      <c r="H68" s="32">
        <v>0.0</v>
      </c>
    </row>
    <row r="69" ht="14.25" customHeight="1">
      <c r="A69" s="4" t="s">
        <v>8496</v>
      </c>
      <c r="B69" s="4" t="s">
        <v>8530</v>
      </c>
      <c r="C69" s="4" t="s">
        <v>8497</v>
      </c>
      <c r="D69" s="5">
        <v>327.22651636833797</v>
      </c>
      <c r="H69" s="32">
        <v>0.0</v>
      </c>
    </row>
    <row r="70" ht="14.25" customHeight="1">
      <c r="A70" s="4" t="s">
        <v>8496</v>
      </c>
      <c r="B70" s="4" t="s">
        <v>306</v>
      </c>
      <c r="C70" s="4" t="s">
        <v>8497</v>
      </c>
      <c r="D70" s="5">
        <v>327.22651636833797</v>
      </c>
      <c r="H70" s="32">
        <v>0.0</v>
      </c>
    </row>
    <row r="71" ht="14.25" customHeight="1">
      <c r="A71" s="4" t="s">
        <v>8496</v>
      </c>
      <c r="B71" s="4" t="s">
        <v>5546</v>
      </c>
      <c r="C71" s="4" t="s">
        <v>8497</v>
      </c>
      <c r="D71" s="5">
        <v>327.22651636833797</v>
      </c>
      <c r="H71" s="32">
        <v>0.0</v>
      </c>
    </row>
    <row r="72" ht="14.25" customHeight="1">
      <c r="A72" s="4" t="s">
        <v>8496</v>
      </c>
      <c r="B72" s="4" t="s">
        <v>131</v>
      </c>
      <c r="C72" s="4" t="s">
        <v>8497</v>
      </c>
      <c r="D72" s="5">
        <v>327.22651636833797</v>
      </c>
      <c r="H72" s="32">
        <v>0.0</v>
      </c>
    </row>
    <row r="73" ht="14.25" customHeight="1">
      <c r="A73" s="4" t="s">
        <v>8496</v>
      </c>
      <c r="B73" s="4" t="s">
        <v>8531</v>
      </c>
      <c r="C73" s="4" t="s">
        <v>8497</v>
      </c>
      <c r="D73" s="5">
        <v>327.22651636833797</v>
      </c>
      <c r="H73" s="32">
        <v>0.0</v>
      </c>
    </row>
    <row r="74" ht="14.25" customHeight="1">
      <c r="A74" s="4" t="s">
        <v>8496</v>
      </c>
      <c r="B74" s="4" t="s">
        <v>5113</v>
      </c>
      <c r="C74" s="4" t="s">
        <v>8497</v>
      </c>
      <c r="D74" s="5">
        <v>327.22651636833797</v>
      </c>
      <c r="H74" s="32">
        <v>0.0</v>
      </c>
    </row>
    <row r="75" ht="14.25" customHeight="1">
      <c r="A75" s="4" t="s">
        <v>8496</v>
      </c>
      <c r="B75" s="4" t="s">
        <v>2999</v>
      </c>
      <c r="C75" s="4" t="s">
        <v>8497</v>
      </c>
      <c r="D75" s="5">
        <v>327.22651636833797</v>
      </c>
      <c r="H75" s="32">
        <v>0.0</v>
      </c>
    </row>
    <row r="76" ht="14.25" customHeight="1">
      <c r="A76" s="4" t="s">
        <v>8496</v>
      </c>
      <c r="B76" s="4" t="s">
        <v>8532</v>
      </c>
      <c r="C76" s="4" t="s">
        <v>8497</v>
      </c>
      <c r="D76" s="5">
        <v>327.22651636833797</v>
      </c>
      <c r="H76" s="32">
        <v>0.0</v>
      </c>
    </row>
    <row r="77" ht="14.25" customHeight="1">
      <c r="A77" s="4" t="s">
        <v>8496</v>
      </c>
      <c r="B77" s="4" t="s">
        <v>3772</v>
      </c>
      <c r="C77" s="4" t="s">
        <v>8497</v>
      </c>
      <c r="D77" s="5">
        <v>327.22651636833797</v>
      </c>
      <c r="H77" s="32">
        <v>0.0</v>
      </c>
    </row>
    <row r="78" ht="14.25" customHeight="1">
      <c r="A78" s="4" t="s">
        <v>8496</v>
      </c>
      <c r="B78" s="4" t="s">
        <v>7230</v>
      </c>
      <c r="C78" s="4" t="s">
        <v>8497</v>
      </c>
      <c r="D78" s="5">
        <v>327.22651636833797</v>
      </c>
      <c r="H78" s="32">
        <v>0.0</v>
      </c>
    </row>
    <row r="79" ht="14.25" customHeight="1">
      <c r="A79" s="4" t="s">
        <v>8496</v>
      </c>
      <c r="B79" s="4" t="s">
        <v>3136</v>
      </c>
      <c r="C79" s="4" t="s">
        <v>8497</v>
      </c>
      <c r="D79" s="5">
        <v>327.22651636833797</v>
      </c>
      <c r="H79" s="32">
        <v>0.0</v>
      </c>
    </row>
    <row r="80" ht="14.25" customHeight="1">
      <c r="A80" s="4" t="s">
        <v>8496</v>
      </c>
      <c r="B80" s="4" t="s">
        <v>2506</v>
      </c>
      <c r="C80" s="4" t="s">
        <v>8497</v>
      </c>
      <c r="D80" s="5">
        <v>327.22651636833797</v>
      </c>
      <c r="H80" s="32">
        <v>0.0</v>
      </c>
    </row>
    <row r="81" ht="14.25" customHeight="1">
      <c r="A81" s="4" t="s">
        <v>8496</v>
      </c>
      <c r="B81" s="4" t="s">
        <v>8533</v>
      </c>
      <c r="C81" s="4" t="s">
        <v>8497</v>
      </c>
      <c r="D81" s="5">
        <v>327.22651636833797</v>
      </c>
      <c r="H81" s="32">
        <v>0.0</v>
      </c>
    </row>
    <row r="82" ht="14.25" customHeight="1">
      <c r="A82" s="4" t="s">
        <v>8496</v>
      </c>
      <c r="B82" s="4" t="s">
        <v>4605</v>
      </c>
      <c r="C82" s="4" t="s">
        <v>8497</v>
      </c>
      <c r="D82" s="5">
        <v>327.22651636833797</v>
      </c>
      <c r="H82" s="32">
        <v>0.0</v>
      </c>
    </row>
    <row r="83" ht="14.25" customHeight="1">
      <c r="A83" s="4" t="s">
        <v>8496</v>
      </c>
      <c r="B83" s="4" t="s">
        <v>7134</v>
      </c>
      <c r="C83" s="4" t="s">
        <v>8497</v>
      </c>
      <c r="D83" s="5">
        <v>327.22651636833797</v>
      </c>
      <c r="H83" s="32">
        <v>0.0</v>
      </c>
    </row>
    <row r="84" ht="14.25" customHeight="1">
      <c r="A84" s="4" t="s">
        <v>8496</v>
      </c>
      <c r="B84" s="4" t="s">
        <v>8534</v>
      </c>
      <c r="C84" s="4" t="s">
        <v>8497</v>
      </c>
      <c r="D84" s="5">
        <v>327.22651636833797</v>
      </c>
      <c r="H84" s="32">
        <v>0.0</v>
      </c>
    </row>
    <row r="85" ht="14.25" customHeight="1">
      <c r="A85" s="4" t="s">
        <v>8496</v>
      </c>
      <c r="B85" s="4" t="s">
        <v>8535</v>
      </c>
      <c r="C85" s="4" t="s">
        <v>8497</v>
      </c>
      <c r="D85" s="5">
        <v>327.22651636833797</v>
      </c>
      <c r="H85" s="32">
        <v>0.0</v>
      </c>
    </row>
    <row r="86" ht="14.25" customHeight="1">
      <c r="A86" s="4" t="s">
        <v>8496</v>
      </c>
      <c r="B86" s="4" t="s">
        <v>8536</v>
      </c>
      <c r="C86" s="4" t="s">
        <v>8497</v>
      </c>
      <c r="D86" s="5">
        <v>327.22651636833797</v>
      </c>
      <c r="H86" s="32">
        <v>0.0</v>
      </c>
    </row>
    <row r="87" ht="14.25" customHeight="1">
      <c r="A87" s="4" t="s">
        <v>8496</v>
      </c>
      <c r="B87" s="4" t="s">
        <v>6569</v>
      </c>
      <c r="C87" s="4" t="s">
        <v>8497</v>
      </c>
      <c r="D87" s="5">
        <v>327.22651636833797</v>
      </c>
      <c r="H87" s="32">
        <v>0.0</v>
      </c>
    </row>
    <row r="88" ht="14.25" customHeight="1">
      <c r="A88" s="4" t="s">
        <v>8496</v>
      </c>
      <c r="B88" s="4" t="s">
        <v>3790</v>
      </c>
      <c r="C88" s="4" t="s">
        <v>8497</v>
      </c>
      <c r="D88" s="5">
        <v>327.22651636833797</v>
      </c>
      <c r="H88" s="32">
        <v>0.0</v>
      </c>
    </row>
    <row r="89" ht="14.25" customHeight="1">
      <c r="A89" s="4" t="s">
        <v>8496</v>
      </c>
      <c r="B89" s="4" t="s">
        <v>8537</v>
      </c>
      <c r="C89" s="4" t="s">
        <v>8497</v>
      </c>
      <c r="D89" s="5">
        <v>327.22651636833797</v>
      </c>
      <c r="H89" s="32">
        <v>0.0</v>
      </c>
    </row>
    <row r="90" ht="14.25" customHeight="1">
      <c r="A90" s="4" t="s">
        <v>8496</v>
      </c>
      <c r="B90" s="4" t="s">
        <v>8538</v>
      </c>
      <c r="C90" s="4" t="s">
        <v>8497</v>
      </c>
      <c r="D90" s="5">
        <v>327.22651636833797</v>
      </c>
      <c r="H90" s="32">
        <v>0.0</v>
      </c>
    </row>
    <row r="91" ht="14.25" customHeight="1">
      <c r="A91" s="4" t="s">
        <v>8496</v>
      </c>
      <c r="B91" s="4" t="s">
        <v>8539</v>
      </c>
      <c r="C91" s="4" t="s">
        <v>8497</v>
      </c>
      <c r="D91" s="5">
        <v>327.22651636833797</v>
      </c>
      <c r="H91" s="32">
        <v>0.0</v>
      </c>
    </row>
    <row r="92" ht="14.25" customHeight="1">
      <c r="A92" s="4" t="s">
        <v>8496</v>
      </c>
      <c r="B92" s="4" t="s">
        <v>8540</v>
      </c>
      <c r="C92" s="4" t="s">
        <v>8497</v>
      </c>
      <c r="D92" s="5">
        <v>327.22651636833797</v>
      </c>
      <c r="H92" s="32">
        <v>0.0</v>
      </c>
    </row>
    <row r="93" ht="14.25" customHeight="1">
      <c r="A93" s="4" t="s">
        <v>8496</v>
      </c>
      <c r="B93" s="4" t="s">
        <v>1621</v>
      </c>
      <c r="C93" s="4" t="s">
        <v>8541</v>
      </c>
      <c r="D93" s="5">
        <v>321.767133427582</v>
      </c>
      <c r="H93" s="32">
        <v>0.0</v>
      </c>
    </row>
    <row r="94" ht="14.25" customHeight="1">
      <c r="A94" s="4" t="s">
        <v>8496</v>
      </c>
      <c r="B94" s="4" t="s">
        <v>3167</v>
      </c>
      <c r="C94" s="4" t="s">
        <v>8497</v>
      </c>
      <c r="D94" s="5">
        <v>327.22651636833797</v>
      </c>
      <c r="H94" s="32">
        <v>0.0</v>
      </c>
    </row>
    <row r="95" ht="14.25" customHeight="1">
      <c r="A95" s="4" t="s">
        <v>8496</v>
      </c>
      <c r="B95" s="4" t="s">
        <v>872</v>
      </c>
      <c r="C95" s="4" t="s">
        <v>8497</v>
      </c>
      <c r="D95" s="5">
        <v>327.22651636833797</v>
      </c>
      <c r="H95" s="32">
        <v>0.0</v>
      </c>
    </row>
    <row r="96" ht="14.25" customHeight="1">
      <c r="A96" s="4" t="s">
        <v>8496</v>
      </c>
      <c r="B96" s="4" t="s">
        <v>5900</v>
      </c>
      <c r="C96" s="4" t="s">
        <v>8497</v>
      </c>
      <c r="D96" s="5">
        <v>327.22651636833797</v>
      </c>
      <c r="H96" s="32">
        <v>0.0</v>
      </c>
    </row>
    <row r="97" ht="14.25" customHeight="1">
      <c r="A97" s="4" t="s">
        <v>8496</v>
      </c>
      <c r="B97" s="4" t="s">
        <v>1121</v>
      </c>
      <c r="C97" s="4" t="s">
        <v>8497</v>
      </c>
      <c r="D97" s="5">
        <v>327.22651636833797</v>
      </c>
      <c r="H97" s="32">
        <v>0.0</v>
      </c>
    </row>
    <row r="98" ht="14.25" customHeight="1">
      <c r="A98" s="4" t="s">
        <v>8496</v>
      </c>
      <c r="B98" s="4" t="s">
        <v>8542</v>
      </c>
      <c r="C98" s="4" t="s">
        <v>8543</v>
      </c>
      <c r="D98" s="5">
        <v>182.916168855419</v>
      </c>
      <c r="H98" s="32">
        <v>0.0</v>
      </c>
    </row>
    <row r="99" ht="14.25" customHeight="1">
      <c r="A99" s="4" t="s">
        <v>8496</v>
      </c>
      <c r="B99" s="4" t="s">
        <v>5815</v>
      </c>
      <c r="C99" s="4" t="s">
        <v>8497</v>
      </c>
      <c r="D99" s="5">
        <v>327.22651636833797</v>
      </c>
      <c r="H99" s="32">
        <v>0.0</v>
      </c>
    </row>
    <row r="100" ht="14.25" customHeight="1">
      <c r="A100" s="4" t="s">
        <v>8496</v>
      </c>
      <c r="B100" s="4" t="s">
        <v>7813</v>
      </c>
      <c r="C100" s="4" t="s">
        <v>8497</v>
      </c>
      <c r="D100" s="5">
        <v>327.22651636833797</v>
      </c>
      <c r="H100" s="32">
        <v>0.0</v>
      </c>
    </row>
    <row r="101" ht="14.25" customHeight="1">
      <c r="A101" s="4" t="s">
        <v>8496</v>
      </c>
      <c r="B101" s="4" t="s">
        <v>4364</v>
      </c>
      <c r="C101" s="4" t="s">
        <v>8544</v>
      </c>
      <c r="D101" s="5">
        <v>112.37507909624</v>
      </c>
      <c r="H101" s="32">
        <v>0.0</v>
      </c>
    </row>
    <row r="102" ht="14.25" customHeight="1">
      <c r="A102" s="4" t="s">
        <v>8496</v>
      </c>
      <c r="B102" s="4" t="s">
        <v>8545</v>
      </c>
      <c r="C102" s="4" t="s">
        <v>8546</v>
      </c>
      <c r="D102" s="5">
        <v>230.121408269154</v>
      </c>
      <c r="H102" s="32">
        <v>0.0</v>
      </c>
    </row>
    <row r="103" ht="14.25" customHeight="1">
      <c r="A103" s="4" t="s">
        <v>8496</v>
      </c>
      <c r="B103" s="4" t="s">
        <v>2733</v>
      </c>
      <c r="C103" s="4" t="s">
        <v>8497</v>
      </c>
      <c r="D103" s="5">
        <v>327.22651636833797</v>
      </c>
      <c r="H103" s="32">
        <v>0.0</v>
      </c>
    </row>
    <row r="104" ht="14.25" customHeight="1">
      <c r="A104" s="4" t="s">
        <v>8496</v>
      </c>
      <c r="B104" s="4" t="s">
        <v>8547</v>
      </c>
      <c r="C104" s="4" t="s">
        <v>8548</v>
      </c>
      <c r="D104" s="5">
        <v>17.0700012441811</v>
      </c>
      <c r="H104" s="32">
        <v>0.0</v>
      </c>
    </row>
    <row r="105" ht="14.25" customHeight="1">
      <c r="A105" s="4" t="s">
        <v>8496</v>
      </c>
      <c r="B105" s="4" t="s">
        <v>8549</v>
      </c>
      <c r="C105" s="4" t="s">
        <v>8497</v>
      </c>
      <c r="D105" s="5">
        <v>327.22651636833797</v>
      </c>
      <c r="H105" s="32">
        <v>0.0</v>
      </c>
    </row>
    <row r="106" ht="14.25" customHeight="1">
      <c r="A106" s="4" t="s">
        <v>8496</v>
      </c>
      <c r="B106" s="4" t="s">
        <v>8550</v>
      </c>
      <c r="C106" s="4" t="s">
        <v>8551</v>
      </c>
      <c r="D106" s="5">
        <v>304.379768633302</v>
      </c>
      <c r="H106" s="32">
        <v>0.0</v>
      </c>
    </row>
    <row r="107" ht="14.25" customHeight="1">
      <c r="A107" s="4" t="s">
        <v>8496</v>
      </c>
      <c r="B107" s="4" t="s">
        <v>3412</v>
      </c>
      <c r="C107" s="4" t="s">
        <v>8497</v>
      </c>
      <c r="D107" s="5">
        <v>327.22651636833797</v>
      </c>
      <c r="H107" s="32">
        <v>0.0</v>
      </c>
    </row>
    <row r="108" ht="14.25" customHeight="1">
      <c r="A108" s="4" t="s">
        <v>8496</v>
      </c>
      <c r="B108" s="4" t="s">
        <v>8552</v>
      </c>
      <c r="C108" s="4" t="s">
        <v>8497</v>
      </c>
      <c r="D108" s="5">
        <v>327.22651636833797</v>
      </c>
      <c r="H108" s="32">
        <v>0.0</v>
      </c>
    </row>
    <row r="109" ht="14.25" customHeight="1">
      <c r="A109" s="4" t="s">
        <v>8496</v>
      </c>
      <c r="B109" s="4" t="s">
        <v>4129</v>
      </c>
      <c r="C109" s="4" t="s">
        <v>8497</v>
      </c>
      <c r="D109" s="5">
        <v>327.22651636833797</v>
      </c>
      <c r="H109" s="32">
        <v>0.0</v>
      </c>
    </row>
    <row r="110" ht="14.25" customHeight="1">
      <c r="A110" s="4" t="s">
        <v>8496</v>
      </c>
      <c r="B110" s="4" t="s">
        <v>3261</v>
      </c>
      <c r="C110" s="4" t="s">
        <v>8497</v>
      </c>
      <c r="D110" s="5">
        <v>327.22651636833797</v>
      </c>
      <c r="H110" s="32">
        <v>0.0</v>
      </c>
    </row>
    <row r="111" ht="14.25" customHeight="1">
      <c r="A111" s="4" t="s">
        <v>8496</v>
      </c>
      <c r="B111" s="4" t="s">
        <v>8553</v>
      </c>
      <c r="C111" s="4" t="s">
        <v>8497</v>
      </c>
      <c r="D111" s="5">
        <v>327.22651636833797</v>
      </c>
      <c r="H111" s="32">
        <v>0.0</v>
      </c>
    </row>
    <row r="112" ht="14.25" customHeight="1">
      <c r="A112" s="4" t="s">
        <v>8496</v>
      </c>
      <c r="B112" s="4" t="s">
        <v>7111</v>
      </c>
      <c r="C112" s="4" t="s">
        <v>8497</v>
      </c>
      <c r="D112" s="5">
        <v>327.22651636833797</v>
      </c>
      <c r="H112" s="32">
        <v>0.0</v>
      </c>
    </row>
    <row r="113" ht="14.25" customHeight="1">
      <c r="A113" s="4" t="s">
        <v>8496</v>
      </c>
      <c r="B113" s="4" t="s">
        <v>1661</v>
      </c>
      <c r="C113" s="4" t="s">
        <v>8554</v>
      </c>
      <c r="D113" s="5">
        <v>77.82260749046479</v>
      </c>
      <c r="H113" s="32">
        <v>0.0</v>
      </c>
    </row>
    <row r="114" ht="14.25" customHeight="1">
      <c r="A114" s="4" t="s">
        <v>8496</v>
      </c>
      <c r="B114" s="4" t="s">
        <v>8555</v>
      </c>
      <c r="C114" s="4" t="s">
        <v>8497</v>
      </c>
      <c r="D114" s="5">
        <v>327.22651636833797</v>
      </c>
      <c r="H114" s="32">
        <v>0.0</v>
      </c>
    </row>
    <row r="115" ht="14.25" customHeight="1">
      <c r="A115" s="4" t="s">
        <v>8496</v>
      </c>
      <c r="B115" s="4" t="s">
        <v>507</v>
      </c>
      <c r="C115" s="4" t="s">
        <v>8497</v>
      </c>
      <c r="D115" s="5">
        <v>327.22651636833797</v>
      </c>
      <c r="H115" s="32">
        <v>0.0</v>
      </c>
    </row>
    <row r="116" ht="14.25" customHeight="1">
      <c r="A116" s="4" t="s">
        <v>8496</v>
      </c>
      <c r="B116" s="4" t="s">
        <v>8556</v>
      </c>
      <c r="C116" s="4" t="s">
        <v>8497</v>
      </c>
      <c r="D116" s="5">
        <v>327.22651636833797</v>
      </c>
      <c r="H116" s="32">
        <v>0.0</v>
      </c>
    </row>
    <row r="117" ht="14.25" customHeight="1">
      <c r="A117" s="4" t="s">
        <v>8496</v>
      </c>
      <c r="B117" s="4" t="s">
        <v>8557</v>
      </c>
      <c r="C117" s="4" t="s">
        <v>8497</v>
      </c>
      <c r="D117" s="5">
        <v>327.22651636833797</v>
      </c>
      <c r="H117" s="32">
        <v>0.0</v>
      </c>
    </row>
    <row r="118" ht="14.25" customHeight="1">
      <c r="A118" s="4" t="s">
        <v>8496</v>
      </c>
      <c r="B118" s="4" t="s">
        <v>8558</v>
      </c>
      <c r="C118" s="4" t="s">
        <v>8559</v>
      </c>
      <c r="D118" s="5">
        <v>271.409402211025</v>
      </c>
      <c r="H118" s="32">
        <v>0.0</v>
      </c>
    </row>
    <row r="119" ht="14.25" customHeight="1">
      <c r="A119" s="4" t="s">
        <v>8496</v>
      </c>
      <c r="B119" s="4" t="s">
        <v>4445</v>
      </c>
      <c r="C119" s="4" t="s">
        <v>8497</v>
      </c>
      <c r="D119" s="5">
        <v>327.22651636833797</v>
      </c>
      <c r="H119" s="32">
        <v>0.0</v>
      </c>
    </row>
    <row r="120" ht="14.25" customHeight="1">
      <c r="A120" s="4" t="s">
        <v>8496</v>
      </c>
      <c r="B120" s="4" t="s">
        <v>7332</v>
      </c>
      <c r="C120" s="4" t="s">
        <v>8497</v>
      </c>
      <c r="D120" s="5">
        <v>327.22651636833797</v>
      </c>
      <c r="H120" s="32">
        <v>0.0</v>
      </c>
    </row>
    <row r="121" ht="14.25" customHeight="1">
      <c r="A121" s="4" t="s">
        <v>8496</v>
      </c>
      <c r="B121" s="4" t="s">
        <v>966</v>
      </c>
      <c r="C121" s="4" t="s">
        <v>8560</v>
      </c>
      <c r="D121" s="5">
        <v>325.91346301556797</v>
      </c>
      <c r="H121" s="32">
        <v>0.0</v>
      </c>
    </row>
    <row r="122" ht="14.25" customHeight="1">
      <c r="A122" s="4" t="s">
        <v>8496</v>
      </c>
      <c r="B122" s="4" t="s">
        <v>7853</v>
      </c>
      <c r="C122" s="4" t="s">
        <v>8497</v>
      </c>
      <c r="D122" s="5">
        <v>327.22651636833797</v>
      </c>
      <c r="H122" s="32">
        <v>0.0</v>
      </c>
    </row>
    <row r="123" ht="14.25" customHeight="1">
      <c r="A123" s="4" t="s">
        <v>8496</v>
      </c>
      <c r="B123" s="4" t="s">
        <v>1576</v>
      </c>
      <c r="C123" s="4" t="s">
        <v>8497</v>
      </c>
      <c r="D123" s="5">
        <v>327.22651636833797</v>
      </c>
      <c r="H123" s="32">
        <v>0.0</v>
      </c>
    </row>
    <row r="124" ht="14.25" customHeight="1">
      <c r="A124" s="4" t="s">
        <v>8496</v>
      </c>
      <c r="B124" s="4" t="s">
        <v>1482</v>
      </c>
      <c r="C124" s="4" t="s">
        <v>8497</v>
      </c>
      <c r="D124" s="5">
        <v>327.22651636833797</v>
      </c>
      <c r="H124" s="32">
        <v>0.0</v>
      </c>
    </row>
    <row r="125" ht="14.25" customHeight="1">
      <c r="A125" s="4" t="s">
        <v>8496</v>
      </c>
      <c r="B125" s="4" t="s">
        <v>7910</v>
      </c>
      <c r="C125" s="4" t="s">
        <v>8497</v>
      </c>
      <c r="D125" s="5">
        <v>327.22651636833797</v>
      </c>
      <c r="H125" s="32">
        <v>0.0</v>
      </c>
    </row>
    <row r="126" ht="14.25" customHeight="1">
      <c r="A126" s="4" t="s">
        <v>8496</v>
      </c>
      <c r="B126" s="4" t="s">
        <v>8561</v>
      </c>
      <c r="C126" s="4" t="s">
        <v>8562</v>
      </c>
      <c r="D126" s="5">
        <v>197.64577943244</v>
      </c>
      <c r="H126" s="32">
        <v>0.0</v>
      </c>
    </row>
    <row r="127" ht="14.25" customHeight="1">
      <c r="A127" s="4" t="s">
        <v>8496</v>
      </c>
      <c r="B127" s="4" t="s">
        <v>8563</v>
      </c>
      <c r="C127" s="4" t="s">
        <v>8497</v>
      </c>
      <c r="D127" s="5">
        <v>327.22651636833797</v>
      </c>
      <c r="H127" s="32">
        <v>0.0</v>
      </c>
    </row>
    <row r="128" ht="14.25" customHeight="1">
      <c r="A128" s="4" t="s">
        <v>8496</v>
      </c>
      <c r="B128" s="4" t="s">
        <v>8564</v>
      </c>
      <c r="C128" s="4" t="s">
        <v>8497</v>
      </c>
      <c r="D128" s="5">
        <v>327.22651636833797</v>
      </c>
      <c r="H128" s="32">
        <v>0.0</v>
      </c>
    </row>
    <row r="129" ht="14.25" customHeight="1">
      <c r="A129" s="4" t="s">
        <v>8496</v>
      </c>
      <c r="B129" s="4" t="s">
        <v>1125</v>
      </c>
      <c r="C129" s="4" t="s">
        <v>8497</v>
      </c>
      <c r="D129" s="5">
        <v>327.22651636833797</v>
      </c>
      <c r="H129" s="32">
        <v>0.0</v>
      </c>
    </row>
    <row r="130" ht="14.25" customHeight="1">
      <c r="A130" s="4" t="s">
        <v>8496</v>
      </c>
      <c r="B130" s="4" t="s">
        <v>8565</v>
      </c>
      <c r="C130" s="4" t="s">
        <v>8566</v>
      </c>
      <c r="D130" s="5">
        <v>106.01539306954</v>
      </c>
      <c r="H130" s="32">
        <v>0.0</v>
      </c>
    </row>
    <row r="131" ht="14.25" customHeight="1">
      <c r="A131" s="4" t="s">
        <v>8496</v>
      </c>
      <c r="B131" s="4" t="s">
        <v>8567</v>
      </c>
      <c r="C131" s="4" t="s">
        <v>8497</v>
      </c>
      <c r="D131" s="5">
        <v>327.22651636833797</v>
      </c>
      <c r="H131" s="32">
        <v>0.0</v>
      </c>
    </row>
    <row r="132" ht="14.25" customHeight="1">
      <c r="A132" s="4" t="s">
        <v>8496</v>
      </c>
      <c r="B132" s="4" t="s">
        <v>31</v>
      </c>
      <c r="C132" s="4" t="s">
        <v>8497</v>
      </c>
      <c r="D132" s="5">
        <v>327.22651636833797</v>
      </c>
      <c r="H132" s="32">
        <v>0.0</v>
      </c>
    </row>
    <row r="133" ht="14.25" customHeight="1">
      <c r="A133" s="4" t="s">
        <v>8496</v>
      </c>
      <c r="B133" s="4" t="s">
        <v>8568</v>
      </c>
      <c r="C133" s="4" t="s">
        <v>8497</v>
      </c>
      <c r="D133" s="5">
        <v>327.22651636833797</v>
      </c>
      <c r="H133" s="32">
        <v>0.0</v>
      </c>
    </row>
    <row r="134" ht="14.25" customHeight="1">
      <c r="A134" s="4" t="s">
        <v>8496</v>
      </c>
      <c r="B134" s="4" t="s">
        <v>1283</v>
      </c>
      <c r="C134" s="4" t="s">
        <v>8569</v>
      </c>
      <c r="D134" s="5">
        <v>316.80446214891896</v>
      </c>
      <c r="H134" s="32">
        <v>0.0</v>
      </c>
    </row>
    <row r="135" ht="14.25" customHeight="1">
      <c r="A135" s="4" t="s">
        <v>8496</v>
      </c>
      <c r="B135" s="4" t="s">
        <v>822</v>
      </c>
      <c r="C135" s="4" t="s">
        <v>8497</v>
      </c>
      <c r="D135" s="5">
        <v>327.22651636833797</v>
      </c>
      <c r="H135" s="32">
        <v>0.0</v>
      </c>
    </row>
    <row r="136" ht="14.25" customHeight="1">
      <c r="A136" s="4" t="s">
        <v>8496</v>
      </c>
      <c r="B136" s="4" t="s">
        <v>3636</v>
      </c>
      <c r="C136" s="4" t="s">
        <v>8497</v>
      </c>
      <c r="D136" s="5">
        <v>327.22651636833797</v>
      </c>
      <c r="H136" s="32">
        <v>0.0</v>
      </c>
    </row>
    <row r="137" ht="14.25" customHeight="1">
      <c r="A137" s="4" t="s">
        <v>8496</v>
      </c>
      <c r="B137" s="4" t="s">
        <v>8570</v>
      </c>
      <c r="C137" s="4" t="s">
        <v>8571</v>
      </c>
      <c r="D137" s="5">
        <v>320.687278608515</v>
      </c>
      <c r="H137" s="32">
        <v>0.0</v>
      </c>
    </row>
    <row r="138" ht="14.25" customHeight="1">
      <c r="A138" s="4" t="s">
        <v>8496</v>
      </c>
      <c r="B138" s="4" t="s">
        <v>8572</v>
      </c>
      <c r="C138" s="4" t="s">
        <v>8497</v>
      </c>
      <c r="D138" s="5">
        <v>327.22651636833797</v>
      </c>
      <c r="H138" s="32">
        <v>0.0</v>
      </c>
    </row>
    <row r="139" ht="14.25" customHeight="1">
      <c r="A139" s="4" t="s">
        <v>8496</v>
      </c>
      <c r="B139" s="4" t="s">
        <v>8573</v>
      </c>
      <c r="C139" s="4" t="s">
        <v>8574</v>
      </c>
      <c r="D139" s="5">
        <v>250.52148016306597</v>
      </c>
      <c r="H139" s="32">
        <v>0.0</v>
      </c>
    </row>
    <row r="140" ht="14.25" customHeight="1">
      <c r="A140" s="4" t="s">
        <v>8496</v>
      </c>
      <c r="B140" s="4" t="s">
        <v>8575</v>
      </c>
      <c r="C140" s="4" t="s">
        <v>8576</v>
      </c>
      <c r="D140" s="5">
        <v>130.890606547335</v>
      </c>
      <c r="H140" s="32">
        <v>0.0</v>
      </c>
    </row>
    <row r="141" ht="14.25" customHeight="1">
      <c r="A141" s="4" t="s">
        <v>8496</v>
      </c>
      <c r="B141" s="4" t="s">
        <v>7679</v>
      </c>
      <c r="C141" s="4" t="s">
        <v>8577</v>
      </c>
      <c r="D141" s="5">
        <v>41.5002089109709</v>
      </c>
      <c r="H141" s="32">
        <v>0.0</v>
      </c>
    </row>
    <row r="142" ht="14.25" customHeight="1">
      <c r="A142" s="4" t="s">
        <v>8496</v>
      </c>
      <c r="B142" s="4" t="s">
        <v>8578</v>
      </c>
      <c r="C142" s="4" t="s">
        <v>8497</v>
      </c>
      <c r="D142" s="5">
        <v>327.22651636833797</v>
      </c>
      <c r="H142" s="32">
        <v>0.0</v>
      </c>
    </row>
    <row r="143" ht="14.25" customHeight="1">
      <c r="A143" s="4" t="s">
        <v>8496</v>
      </c>
      <c r="B143" s="4" t="s">
        <v>8579</v>
      </c>
      <c r="C143" s="4" t="s">
        <v>8497</v>
      </c>
      <c r="D143" s="5">
        <v>327.22651636833797</v>
      </c>
      <c r="H143" s="32">
        <v>0.0</v>
      </c>
    </row>
    <row r="144" ht="14.25" customHeight="1">
      <c r="A144" s="4" t="s">
        <v>8496</v>
      </c>
      <c r="B144" s="4" t="s">
        <v>8580</v>
      </c>
      <c r="C144" s="4" t="s">
        <v>8497</v>
      </c>
      <c r="D144" s="5">
        <v>327.22651636833797</v>
      </c>
      <c r="H144" s="32">
        <v>0.0</v>
      </c>
    </row>
    <row r="145" ht="14.25" customHeight="1">
      <c r="A145" s="4" t="s">
        <v>8496</v>
      </c>
      <c r="B145" s="4" t="s">
        <v>558</v>
      </c>
      <c r="C145" s="4" t="s">
        <v>8497</v>
      </c>
      <c r="D145" s="5">
        <v>327.22651636833797</v>
      </c>
      <c r="H145" s="32">
        <v>0.0</v>
      </c>
    </row>
    <row r="146" ht="14.25" customHeight="1">
      <c r="A146" s="4" t="s">
        <v>8496</v>
      </c>
      <c r="B146" s="4" t="s">
        <v>1739</v>
      </c>
      <c r="C146" s="4" t="s">
        <v>8497</v>
      </c>
      <c r="D146" s="5">
        <v>327.22651636833797</v>
      </c>
      <c r="H146" s="32">
        <v>0.0</v>
      </c>
    </row>
    <row r="147" ht="14.25" customHeight="1">
      <c r="A147" s="4" t="s">
        <v>8496</v>
      </c>
      <c r="B147" s="4" t="s">
        <v>8581</v>
      </c>
      <c r="C147" s="4" t="s">
        <v>8497</v>
      </c>
      <c r="D147" s="5">
        <v>327.22651636833797</v>
      </c>
      <c r="H147" s="32">
        <v>0.0</v>
      </c>
    </row>
    <row r="148" ht="14.25" customHeight="1">
      <c r="A148" s="4" t="s">
        <v>8496</v>
      </c>
      <c r="B148" s="4" t="s">
        <v>8582</v>
      </c>
      <c r="C148" s="4" t="s">
        <v>8583</v>
      </c>
      <c r="D148" s="5">
        <v>46.0140199295522</v>
      </c>
      <c r="H148" s="32">
        <v>0.0</v>
      </c>
    </row>
    <row r="149" ht="14.25" customHeight="1">
      <c r="A149" s="4" t="s">
        <v>8496</v>
      </c>
      <c r="B149" s="4" t="s">
        <v>5323</v>
      </c>
      <c r="C149" s="4" t="s">
        <v>8497</v>
      </c>
      <c r="D149" s="5">
        <v>327.22651636833797</v>
      </c>
      <c r="H149" s="32">
        <v>0.0</v>
      </c>
    </row>
    <row r="150" ht="14.25" customHeight="1">
      <c r="A150" s="4" t="s">
        <v>8496</v>
      </c>
      <c r="B150" s="4" t="s">
        <v>8584</v>
      </c>
      <c r="C150" s="4" t="s">
        <v>8497</v>
      </c>
      <c r="D150" s="5">
        <v>327.22651636833797</v>
      </c>
      <c r="H150" s="32">
        <v>0.0</v>
      </c>
    </row>
    <row r="151" ht="14.25" customHeight="1">
      <c r="A151" s="4" t="s">
        <v>8496</v>
      </c>
      <c r="B151" s="4" t="s">
        <v>664</v>
      </c>
      <c r="C151" s="4" t="s">
        <v>8497</v>
      </c>
      <c r="D151" s="5">
        <v>327.22651636833797</v>
      </c>
      <c r="H151" s="32">
        <v>0.0</v>
      </c>
    </row>
    <row r="152" ht="14.25" customHeight="1">
      <c r="A152" s="4" t="s">
        <v>8496</v>
      </c>
      <c r="B152" s="4" t="s">
        <v>2633</v>
      </c>
      <c r="C152" s="4" t="s">
        <v>8497</v>
      </c>
      <c r="D152" s="5">
        <v>327.22651636833797</v>
      </c>
      <c r="H152" s="32">
        <v>0.0</v>
      </c>
    </row>
    <row r="153" ht="14.25" customHeight="1">
      <c r="A153" s="4" t="s">
        <v>8496</v>
      </c>
      <c r="B153" s="4" t="s">
        <v>8585</v>
      </c>
      <c r="C153" s="4" t="s">
        <v>8497</v>
      </c>
      <c r="D153" s="5">
        <v>327.22651636833797</v>
      </c>
      <c r="H153" s="32">
        <v>0.0</v>
      </c>
    </row>
    <row r="154" ht="14.25" customHeight="1">
      <c r="A154" s="4" t="s">
        <v>8496</v>
      </c>
      <c r="B154" s="4" t="s">
        <v>2385</v>
      </c>
      <c r="C154" s="4" t="s">
        <v>8497</v>
      </c>
      <c r="D154" s="5">
        <v>327.22651636833797</v>
      </c>
      <c r="H154" s="32">
        <v>0.0</v>
      </c>
    </row>
    <row r="155" ht="14.25" customHeight="1">
      <c r="A155" s="4" t="s">
        <v>8496</v>
      </c>
      <c r="B155" s="4" t="s">
        <v>8586</v>
      </c>
      <c r="C155" s="4" t="s">
        <v>8497</v>
      </c>
      <c r="D155" s="5">
        <v>327.22651636833797</v>
      </c>
      <c r="H155" s="32">
        <v>0.0</v>
      </c>
    </row>
    <row r="156" ht="14.25" customHeight="1">
      <c r="A156" s="4" t="s">
        <v>8496</v>
      </c>
      <c r="B156" s="4" t="s">
        <v>8587</v>
      </c>
      <c r="C156" s="4" t="s">
        <v>8497</v>
      </c>
      <c r="D156" s="5">
        <v>327.22651636833797</v>
      </c>
      <c r="H156" s="32">
        <v>0.0</v>
      </c>
    </row>
    <row r="157" ht="14.25" customHeight="1">
      <c r="A157" s="4" t="s">
        <v>8496</v>
      </c>
      <c r="B157" s="4" t="s">
        <v>6626</v>
      </c>
      <c r="C157" s="4" t="s">
        <v>8497</v>
      </c>
      <c r="D157" s="5">
        <v>327.22651636833797</v>
      </c>
      <c r="H157" s="32">
        <v>0.0</v>
      </c>
    </row>
    <row r="158" ht="14.25" customHeight="1">
      <c r="A158" s="4" t="s">
        <v>8496</v>
      </c>
      <c r="B158" s="4" t="s">
        <v>8588</v>
      </c>
      <c r="C158" s="4" t="s">
        <v>8497</v>
      </c>
      <c r="D158" s="5">
        <v>327.22651636833797</v>
      </c>
      <c r="H158" s="32">
        <v>0.0</v>
      </c>
    </row>
    <row r="159" ht="14.25" customHeight="1">
      <c r="A159" s="4" t="s">
        <v>8496</v>
      </c>
      <c r="B159" s="4" t="s">
        <v>8589</v>
      </c>
      <c r="C159" s="4" t="s">
        <v>8497</v>
      </c>
      <c r="D159" s="5">
        <v>327.22651636833797</v>
      </c>
      <c r="H159" s="32">
        <v>0.0</v>
      </c>
    </row>
    <row r="160" ht="14.25" customHeight="1">
      <c r="A160" s="4" t="s">
        <v>8496</v>
      </c>
      <c r="B160" s="4" t="s">
        <v>3315</v>
      </c>
      <c r="C160" s="4" t="s">
        <v>8520</v>
      </c>
      <c r="D160" s="5">
        <v>196.335909821002</v>
      </c>
      <c r="H160" s="32">
        <v>0.0</v>
      </c>
    </row>
    <row r="161" ht="14.25" customHeight="1">
      <c r="A161" s="4" t="s">
        <v>8496</v>
      </c>
      <c r="B161" s="4" t="s">
        <v>8590</v>
      </c>
      <c r="C161" s="4" t="s">
        <v>8497</v>
      </c>
      <c r="D161" s="5">
        <v>327.22651636833797</v>
      </c>
      <c r="H161" s="32">
        <v>0.0</v>
      </c>
    </row>
    <row r="162" ht="14.25" customHeight="1">
      <c r="A162" s="4" t="s">
        <v>8496</v>
      </c>
      <c r="B162" s="4" t="s">
        <v>7659</v>
      </c>
      <c r="C162" s="4" t="s">
        <v>8497</v>
      </c>
      <c r="D162" s="5">
        <v>327.22651636833797</v>
      </c>
      <c r="H162" s="32">
        <v>0.0</v>
      </c>
    </row>
    <row r="163" ht="14.25" customHeight="1">
      <c r="A163" s="4" t="s">
        <v>8496</v>
      </c>
      <c r="B163" s="4" t="s">
        <v>1514</v>
      </c>
      <c r="C163" s="4" t="s">
        <v>8497</v>
      </c>
      <c r="D163" s="5">
        <v>327.22651636833797</v>
      </c>
      <c r="H163" s="32">
        <v>0.0</v>
      </c>
    </row>
    <row r="164" ht="14.25" customHeight="1">
      <c r="A164" s="4" t="s">
        <v>8496</v>
      </c>
      <c r="B164" s="4" t="s">
        <v>8591</v>
      </c>
      <c r="C164" s="4" t="s">
        <v>8592</v>
      </c>
      <c r="D164" s="5">
        <v>270.508643032845</v>
      </c>
      <c r="H164" s="32">
        <v>0.0</v>
      </c>
    </row>
    <row r="165" ht="14.25" customHeight="1">
      <c r="A165" s="4" t="s">
        <v>8496</v>
      </c>
      <c r="B165" s="4" t="s">
        <v>923</v>
      </c>
      <c r="C165" s="4" t="s">
        <v>8497</v>
      </c>
      <c r="D165" s="5">
        <v>327.22651636833797</v>
      </c>
      <c r="H165" s="32">
        <v>0.0</v>
      </c>
    </row>
    <row r="166" ht="14.25" customHeight="1">
      <c r="A166" s="4" t="s">
        <v>8496</v>
      </c>
      <c r="B166" s="4" t="s">
        <v>834</v>
      </c>
      <c r="C166" s="4" t="s">
        <v>8497</v>
      </c>
      <c r="D166" s="5">
        <v>327.22651636833797</v>
      </c>
      <c r="H166" s="32">
        <v>0.0</v>
      </c>
    </row>
    <row r="167" ht="14.25" customHeight="1">
      <c r="A167" s="4" t="s">
        <v>8496</v>
      </c>
      <c r="B167" s="4" t="s">
        <v>778</v>
      </c>
      <c r="C167" s="4" t="s">
        <v>8497</v>
      </c>
      <c r="D167" s="5">
        <v>327.22651636833797</v>
      </c>
      <c r="H167" s="32">
        <v>0.0</v>
      </c>
    </row>
    <row r="168" ht="14.25" customHeight="1">
      <c r="A168" s="4" t="s">
        <v>8496</v>
      </c>
      <c r="B168" s="4" t="s">
        <v>8593</v>
      </c>
      <c r="C168" s="4" t="s">
        <v>8576</v>
      </c>
      <c r="D168" s="5">
        <v>130.890606547335</v>
      </c>
      <c r="H168" s="32">
        <v>0.0</v>
      </c>
    </row>
    <row r="169" ht="14.25" customHeight="1">
      <c r="A169" s="4" t="s">
        <v>8496</v>
      </c>
      <c r="B169" s="4" t="s">
        <v>8594</v>
      </c>
      <c r="C169" s="4" t="s">
        <v>8497</v>
      </c>
      <c r="D169" s="5">
        <v>327.22651636833797</v>
      </c>
      <c r="H169" s="32">
        <v>0.0</v>
      </c>
    </row>
    <row r="170" ht="14.25" customHeight="1">
      <c r="A170" s="4" t="s">
        <v>8496</v>
      </c>
      <c r="B170" s="4" t="s">
        <v>7628</v>
      </c>
      <c r="C170" s="4" t="s">
        <v>8595</v>
      </c>
      <c r="D170" s="5">
        <v>123.01513216974601</v>
      </c>
      <c r="H170" s="32">
        <v>0.0</v>
      </c>
    </row>
    <row r="171" ht="14.25" customHeight="1">
      <c r="A171" s="4" t="s">
        <v>8496</v>
      </c>
      <c r="B171" s="4" t="s">
        <v>1524</v>
      </c>
      <c r="C171" s="4" t="s">
        <v>8497</v>
      </c>
      <c r="D171" s="5">
        <v>327.22651636833797</v>
      </c>
      <c r="H171" s="32">
        <v>0.0</v>
      </c>
    </row>
    <row r="172" ht="14.25" customHeight="1">
      <c r="A172" s="4" t="s">
        <v>8496</v>
      </c>
      <c r="B172" s="4" t="s">
        <v>4731</v>
      </c>
      <c r="C172" s="4" t="s">
        <v>8497</v>
      </c>
      <c r="D172" s="5">
        <v>327.22651636833797</v>
      </c>
      <c r="H172" s="32">
        <v>0.0</v>
      </c>
    </row>
    <row r="173" ht="14.25" customHeight="1">
      <c r="A173" s="4" t="s">
        <v>8496</v>
      </c>
      <c r="B173" s="4" t="s">
        <v>5738</v>
      </c>
      <c r="C173" s="4" t="s">
        <v>8497</v>
      </c>
      <c r="D173" s="5">
        <v>327.22651636833797</v>
      </c>
      <c r="H173" s="32">
        <v>0.0</v>
      </c>
    </row>
    <row r="174" ht="14.25" customHeight="1">
      <c r="A174" s="4" t="s">
        <v>8496</v>
      </c>
      <c r="B174" s="4" t="s">
        <v>8596</v>
      </c>
      <c r="C174" s="4" t="s">
        <v>8597</v>
      </c>
      <c r="D174" s="5">
        <v>155.938423464873</v>
      </c>
      <c r="H174" s="32">
        <v>0.0</v>
      </c>
    </row>
    <row r="175" ht="14.25" customHeight="1">
      <c r="A175" s="4" t="s">
        <v>8496</v>
      </c>
      <c r="B175" s="4" t="s">
        <v>8598</v>
      </c>
      <c r="C175" s="4" t="s">
        <v>8599</v>
      </c>
      <c r="D175" s="5">
        <v>83.7911827654097</v>
      </c>
      <c r="H175" s="32">
        <v>0.0</v>
      </c>
    </row>
    <row r="176" ht="14.25" customHeight="1">
      <c r="A176" s="4" t="s">
        <v>8496</v>
      </c>
      <c r="B176" s="4" t="s">
        <v>8600</v>
      </c>
      <c r="C176" s="4" t="s">
        <v>8497</v>
      </c>
      <c r="D176" s="5">
        <v>327.22651636833797</v>
      </c>
      <c r="H176" s="32">
        <v>0.0</v>
      </c>
    </row>
    <row r="177" ht="14.25" customHeight="1">
      <c r="A177" s="4" t="s">
        <v>8496</v>
      </c>
      <c r="B177" s="4" t="s">
        <v>8601</v>
      </c>
      <c r="C177" s="4" t="s">
        <v>8497</v>
      </c>
      <c r="D177" s="5">
        <v>327.22651636833797</v>
      </c>
      <c r="H177" s="32">
        <v>0.0</v>
      </c>
    </row>
    <row r="178" ht="14.25" customHeight="1">
      <c r="A178" s="4" t="s">
        <v>8496</v>
      </c>
      <c r="B178" s="4" t="s">
        <v>6325</v>
      </c>
      <c r="C178" s="4" t="s">
        <v>8497</v>
      </c>
      <c r="D178" s="5">
        <v>327.22651636833797</v>
      </c>
      <c r="H178" s="32">
        <v>0.0</v>
      </c>
    </row>
    <row r="179" ht="14.25" customHeight="1">
      <c r="A179" s="4" t="s">
        <v>8496</v>
      </c>
      <c r="B179" s="4" t="s">
        <v>2807</v>
      </c>
      <c r="C179" s="4" t="s">
        <v>8497</v>
      </c>
      <c r="D179" s="5">
        <v>327.22651636833797</v>
      </c>
      <c r="H179" s="32">
        <v>0.0</v>
      </c>
    </row>
    <row r="180" ht="14.25" customHeight="1">
      <c r="A180" s="4" t="s">
        <v>8496</v>
      </c>
      <c r="B180" s="4" t="s">
        <v>4424</v>
      </c>
      <c r="C180" s="4" t="s">
        <v>8602</v>
      </c>
      <c r="D180" s="5">
        <v>316.020031435746</v>
      </c>
      <c r="H180" s="32">
        <v>0.0</v>
      </c>
    </row>
    <row r="181" ht="14.25" customHeight="1">
      <c r="A181" s="4" t="s">
        <v>8496</v>
      </c>
      <c r="B181" s="4" t="s">
        <v>7099</v>
      </c>
      <c r="C181" s="4" t="s">
        <v>8497</v>
      </c>
      <c r="D181" s="5">
        <v>327.22651636833797</v>
      </c>
      <c r="H181" s="32">
        <v>0.0</v>
      </c>
    </row>
    <row r="182" ht="14.25" customHeight="1">
      <c r="A182" s="4" t="s">
        <v>8496</v>
      </c>
      <c r="B182" s="4" t="s">
        <v>1440</v>
      </c>
      <c r="C182" s="4" t="s">
        <v>8497</v>
      </c>
      <c r="D182" s="5">
        <v>327.22651636833797</v>
      </c>
      <c r="H182" s="32">
        <v>0.0</v>
      </c>
    </row>
    <row r="183" ht="14.25" customHeight="1">
      <c r="A183" s="4" t="s">
        <v>8496</v>
      </c>
      <c r="B183" s="4" t="s">
        <v>8603</v>
      </c>
      <c r="C183" s="4" t="s">
        <v>8497</v>
      </c>
      <c r="D183" s="5">
        <v>327.22651636833797</v>
      </c>
      <c r="H183" s="32">
        <v>0.0</v>
      </c>
    </row>
    <row r="184" ht="14.25" customHeight="1">
      <c r="A184" s="4" t="s">
        <v>8496</v>
      </c>
      <c r="B184" s="4" t="s">
        <v>8604</v>
      </c>
      <c r="C184" s="4" t="s">
        <v>8497</v>
      </c>
      <c r="D184" s="5">
        <v>327.22651636833797</v>
      </c>
      <c r="H184" s="32">
        <v>0.0</v>
      </c>
    </row>
    <row r="185" ht="14.25" customHeight="1">
      <c r="A185" s="4" t="s">
        <v>8496</v>
      </c>
      <c r="B185" s="4" t="s">
        <v>2789</v>
      </c>
      <c r="C185" s="4" t="s">
        <v>8497</v>
      </c>
      <c r="D185" s="5">
        <v>327.22651636833797</v>
      </c>
      <c r="H185" s="32">
        <v>0.0</v>
      </c>
    </row>
    <row r="186" ht="14.25" customHeight="1">
      <c r="A186" s="4" t="s">
        <v>8496</v>
      </c>
      <c r="B186" s="4" t="s">
        <v>8605</v>
      </c>
      <c r="C186" s="4" t="s">
        <v>8497</v>
      </c>
      <c r="D186" s="5">
        <v>327.22651636833797</v>
      </c>
      <c r="H186" s="32">
        <v>0.0</v>
      </c>
    </row>
    <row r="187" ht="14.25" customHeight="1">
      <c r="A187" s="4" t="s">
        <v>8496</v>
      </c>
      <c r="B187" s="4" t="s">
        <v>8606</v>
      </c>
      <c r="C187" s="4" t="s">
        <v>8497</v>
      </c>
      <c r="D187" s="5">
        <v>327.22651636833797</v>
      </c>
      <c r="H187" s="32">
        <v>0.0</v>
      </c>
    </row>
    <row r="188" ht="14.25" customHeight="1">
      <c r="A188" s="4" t="s">
        <v>8496</v>
      </c>
      <c r="B188" s="4" t="s">
        <v>8607</v>
      </c>
      <c r="C188" s="4" t="s">
        <v>8497</v>
      </c>
      <c r="D188" s="5">
        <v>327.22651636833797</v>
      </c>
      <c r="H188" s="32">
        <v>0.0</v>
      </c>
    </row>
    <row r="189" ht="14.25" customHeight="1">
      <c r="A189" s="4" t="s">
        <v>8496</v>
      </c>
      <c r="B189" s="4" t="s">
        <v>8608</v>
      </c>
      <c r="C189" s="4" t="s">
        <v>8497</v>
      </c>
      <c r="D189" s="5">
        <v>327.22651636833797</v>
      </c>
      <c r="H189" s="32">
        <v>0.0</v>
      </c>
    </row>
    <row r="190" ht="14.25" customHeight="1">
      <c r="A190" s="4" t="s">
        <v>8496</v>
      </c>
      <c r="B190" s="4" t="s">
        <v>7446</v>
      </c>
      <c r="C190" s="4" t="s">
        <v>8609</v>
      </c>
      <c r="D190" s="5">
        <v>117.255473030485</v>
      </c>
      <c r="H190" s="32">
        <v>0.0</v>
      </c>
    </row>
    <row r="191" ht="14.25" customHeight="1">
      <c r="A191" s="4" t="s">
        <v>8496</v>
      </c>
      <c r="B191" s="4" t="s">
        <v>8610</v>
      </c>
      <c r="C191" s="4" t="s">
        <v>8576</v>
      </c>
      <c r="D191" s="5">
        <v>130.890606547335</v>
      </c>
      <c r="H191" s="32">
        <v>0.0</v>
      </c>
    </row>
    <row r="192" ht="14.25" customHeight="1">
      <c r="A192" s="4" t="s">
        <v>8496</v>
      </c>
      <c r="B192" s="4" t="s">
        <v>8611</v>
      </c>
      <c r="C192" s="4" t="s">
        <v>8497</v>
      </c>
      <c r="D192" s="5">
        <v>327.22651636833797</v>
      </c>
      <c r="H192" s="32">
        <v>0.0</v>
      </c>
    </row>
    <row r="193" ht="14.25" customHeight="1">
      <c r="A193" s="4" t="s">
        <v>8496</v>
      </c>
      <c r="B193" s="4" t="s">
        <v>8612</v>
      </c>
      <c r="C193" s="4" t="s">
        <v>8497</v>
      </c>
      <c r="D193" s="5">
        <v>327.22651636833797</v>
      </c>
      <c r="H193" s="32">
        <v>0.0</v>
      </c>
    </row>
    <row r="194" ht="14.25" customHeight="1">
      <c r="A194" s="4" t="s">
        <v>8496</v>
      </c>
      <c r="B194" s="4" t="s">
        <v>8613</v>
      </c>
      <c r="C194" s="4" t="s">
        <v>8497</v>
      </c>
      <c r="D194" s="5">
        <v>327.22651636833797</v>
      </c>
      <c r="H194" s="32">
        <v>0.0</v>
      </c>
    </row>
    <row r="195" ht="14.25" customHeight="1">
      <c r="A195" s="4" t="s">
        <v>8496</v>
      </c>
      <c r="B195" s="4" t="s">
        <v>8614</v>
      </c>
      <c r="C195" s="4" t="s">
        <v>8497</v>
      </c>
      <c r="D195" s="5">
        <v>327.22651636833797</v>
      </c>
      <c r="H195" s="32">
        <v>0.0</v>
      </c>
    </row>
    <row r="196" ht="14.25" customHeight="1">
      <c r="A196" s="4" t="s">
        <v>8496</v>
      </c>
      <c r="B196" s="4" t="s">
        <v>2225</v>
      </c>
      <c r="C196" s="4" t="s">
        <v>8497</v>
      </c>
      <c r="D196" s="5">
        <v>327.22651636833797</v>
      </c>
      <c r="H196" s="32">
        <v>0.0</v>
      </c>
    </row>
    <row r="197" ht="14.25" customHeight="1">
      <c r="A197" s="4" t="s">
        <v>8496</v>
      </c>
      <c r="B197" s="4" t="s">
        <v>8615</v>
      </c>
      <c r="C197" s="4" t="s">
        <v>8497</v>
      </c>
      <c r="D197" s="5">
        <v>327.22651636833797</v>
      </c>
      <c r="H197" s="32">
        <v>0.0</v>
      </c>
    </row>
    <row r="198" ht="14.25" customHeight="1">
      <c r="A198" s="4" t="s">
        <v>8496</v>
      </c>
      <c r="B198" s="4" t="s">
        <v>4952</v>
      </c>
      <c r="C198" s="4" t="s">
        <v>8497</v>
      </c>
      <c r="D198" s="5">
        <v>327.22651636833797</v>
      </c>
      <c r="H198" s="32">
        <v>0.0</v>
      </c>
    </row>
    <row r="199" ht="14.25" customHeight="1">
      <c r="A199" s="4" t="s">
        <v>8496</v>
      </c>
      <c r="B199" s="4" t="s">
        <v>8616</v>
      </c>
      <c r="C199" s="4" t="s">
        <v>8497</v>
      </c>
      <c r="D199" s="5">
        <v>327.22651636833797</v>
      </c>
      <c r="H199" s="32">
        <v>0.0</v>
      </c>
    </row>
    <row r="200" ht="14.25" customHeight="1">
      <c r="A200" s="4" t="s">
        <v>8496</v>
      </c>
      <c r="B200" s="4" t="s">
        <v>8617</v>
      </c>
      <c r="C200" s="4" t="s">
        <v>8497</v>
      </c>
      <c r="D200" s="5">
        <v>327.22651636833797</v>
      </c>
      <c r="H200" s="32">
        <v>0.0</v>
      </c>
    </row>
    <row r="201" ht="14.25" customHeight="1">
      <c r="A201" s="4" t="s">
        <v>8496</v>
      </c>
      <c r="B201" s="4" t="s">
        <v>8618</v>
      </c>
      <c r="C201" s="4" t="s">
        <v>8619</v>
      </c>
      <c r="D201" s="5">
        <v>225.614535101384</v>
      </c>
      <c r="H201" s="32">
        <v>0.0</v>
      </c>
    </row>
    <row r="202" ht="14.25" customHeight="1">
      <c r="A202" s="4" t="s">
        <v>8496</v>
      </c>
      <c r="B202" s="4" t="s">
        <v>8620</v>
      </c>
      <c r="C202" s="4" t="s">
        <v>8497</v>
      </c>
      <c r="D202" s="5">
        <v>327.22651636833797</v>
      </c>
      <c r="H202" s="32">
        <v>0.0</v>
      </c>
    </row>
    <row r="203" ht="14.25" customHeight="1">
      <c r="A203" s="4" t="s">
        <v>8496</v>
      </c>
      <c r="B203" s="4" t="s">
        <v>8621</v>
      </c>
      <c r="C203" s="4" t="s">
        <v>8497</v>
      </c>
      <c r="D203" s="5">
        <v>327.22651636833797</v>
      </c>
      <c r="H203" s="32">
        <v>0.0</v>
      </c>
    </row>
    <row r="204" ht="14.25" customHeight="1">
      <c r="A204" s="4" t="s">
        <v>8496</v>
      </c>
      <c r="B204" s="4" t="s">
        <v>8622</v>
      </c>
      <c r="C204" s="4" t="s">
        <v>8497</v>
      </c>
      <c r="D204" s="5">
        <v>327.22651636833797</v>
      </c>
      <c r="H204" s="32">
        <v>0.0</v>
      </c>
    </row>
    <row r="205" ht="14.25" customHeight="1">
      <c r="A205" s="4" t="s">
        <v>8496</v>
      </c>
      <c r="B205" s="4" t="s">
        <v>751</v>
      </c>
      <c r="C205" s="4" t="s">
        <v>8497</v>
      </c>
      <c r="D205" s="5">
        <v>327.22651636833797</v>
      </c>
      <c r="H205" s="32">
        <v>0.0</v>
      </c>
    </row>
    <row r="206" ht="14.25" customHeight="1">
      <c r="A206" s="4" t="s">
        <v>8496</v>
      </c>
      <c r="B206" s="4" t="s">
        <v>8623</v>
      </c>
      <c r="C206" s="4" t="s">
        <v>8497</v>
      </c>
      <c r="D206" s="5">
        <v>327.22651636833797</v>
      </c>
      <c r="H206" s="32">
        <v>0.0</v>
      </c>
    </row>
    <row r="207" ht="14.25" customHeight="1">
      <c r="A207" s="4" t="s">
        <v>8496</v>
      </c>
      <c r="B207" s="4" t="s">
        <v>8624</v>
      </c>
      <c r="C207" s="4" t="s">
        <v>8497</v>
      </c>
      <c r="D207" s="5">
        <v>327.22651636833797</v>
      </c>
      <c r="H207" s="32">
        <v>0.0</v>
      </c>
    </row>
    <row r="208" ht="14.25" customHeight="1">
      <c r="A208" s="4" t="s">
        <v>8496</v>
      </c>
      <c r="B208" s="4" t="s">
        <v>3112</v>
      </c>
      <c r="C208" s="4" t="s">
        <v>8625</v>
      </c>
      <c r="D208" s="5">
        <v>210.91233724481802</v>
      </c>
      <c r="H208" s="32">
        <v>0.0</v>
      </c>
    </row>
    <row r="209" ht="14.25" customHeight="1">
      <c r="A209" s="4" t="s">
        <v>8496</v>
      </c>
      <c r="B209" s="4" t="s">
        <v>8626</v>
      </c>
      <c r="C209" s="4" t="s">
        <v>8497</v>
      </c>
      <c r="D209" s="5">
        <v>327.22651636833797</v>
      </c>
      <c r="H209" s="32">
        <v>0.0</v>
      </c>
    </row>
    <row r="210" ht="14.25" customHeight="1">
      <c r="A210" s="4" t="s">
        <v>8496</v>
      </c>
      <c r="B210" s="4" t="s">
        <v>8627</v>
      </c>
      <c r="C210" s="4" t="s">
        <v>8497</v>
      </c>
      <c r="D210" s="5">
        <v>327.22651636833797</v>
      </c>
      <c r="H210" s="32">
        <v>0.0</v>
      </c>
    </row>
    <row r="211" ht="14.25" customHeight="1">
      <c r="A211" s="4" t="s">
        <v>8496</v>
      </c>
      <c r="B211" s="4" t="s">
        <v>8628</v>
      </c>
      <c r="C211" s="4" t="s">
        <v>8629</v>
      </c>
      <c r="D211" s="5">
        <v>61.4256201347965</v>
      </c>
      <c r="H211" s="32">
        <v>0.0</v>
      </c>
    </row>
    <row r="212" ht="14.25" customHeight="1">
      <c r="A212" s="4" t="s">
        <v>8496</v>
      </c>
      <c r="B212" s="4" t="s">
        <v>8630</v>
      </c>
      <c r="C212" s="4" t="s">
        <v>8576</v>
      </c>
      <c r="D212" s="5">
        <v>130.890606547335</v>
      </c>
      <c r="H212" s="32">
        <v>0.0</v>
      </c>
    </row>
    <row r="213" ht="14.25" customHeight="1">
      <c r="A213" s="4" t="s">
        <v>8496</v>
      </c>
      <c r="B213" s="4" t="s">
        <v>3431</v>
      </c>
      <c r="C213" s="4" t="s">
        <v>8497</v>
      </c>
      <c r="D213" s="5">
        <v>327.22651636833797</v>
      </c>
      <c r="H213" s="32">
        <v>0.0</v>
      </c>
    </row>
    <row r="214" ht="14.25" customHeight="1">
      <c r="A214" s="4" t="s">
        <v>8496</v>
      </c>
      <c r="B214" s="4" t="s">
        <v>7742</v>
      </c>
      <c r="C214" s="4" t="s">
        <v>8497</v>
      </c>
      <c r="D214" s="5">
        <v>327.22651636833797</v>
      </c>
      <c r="H214" s="32">
        <v>0.0</v>
      </c>
    </row>
    <row r="215" ht="14.25" customHeight="1">
      <c r="A215" s="4" t="s">
        <v>8496</v>
      </c>
      <c r="B215" s="4" t="s">
        <v>1052</v>
      </c>
      <c r="C215" s="4" t="s">
        <v>8497</v>
      </c>
      <c r="D215" s="5">
        <v>327.22651636833797</v>
      </c>
      <c r="H215" s="32">
        <v>0.0</v>
      </c>
    </row>
    <row r="216" ht="14.25" customHeight="1">
      <c r="A216" s="4" t="s">
        <v>8496</v>
      </c>
      <c r="B216" s="4" t="s">
        <v>2368</v>
      </c>
      <c r="C216" s="4" t="s">
        <v>8497</v>
      </c>
      <c r="D216" s="5">
        <v>327.22651636833797</v>
      </c>
      <c r="H216" s="32">
        <v>0.0</v>
      </c>
    </row>
    <row r="217" ht="14.25" customHeight="1">
      <c r="A217" s="4" t="s">
        <v>8496</v>
      </c>
      <c r="B217" s="4" t="s">
        <v>2806</v>
      </c>
      <c r="C217" s="4" t="s">
        <v>8497</v>
      </c>
      <c r="D217" s="5">
        <v>327.22651636833797</v>
      </c>
      <c r="H217" s="32">
        <v>0.0</v>
      </c>
    </row>
    <row r="218" ht="14.25" customHeight="1">
      <c r="A218" s="4" t="s">
        <v>8496</v>
      </c>
      <c r="B218" s="4" t="s">
        <v>8631</v>
      </c>
      <c r="C218" s="4" t="s">
        <v>8497</v>
      </c>
      <c r="D218" s="5">
        <v>327.22651636833797</v>
      </c>
      <c r="H218" s="32">
        <v>0.0</v>
      </c>
    </row>
    <row r="219" ht="14.25" customHeight="1">
      <c r="A219" s="4" t="s">
        <v>8496</v>
      </c>
      <c r="B219" s="4" t="s">
        <v>6764</v>
      </c>
      <c r="C219" s="4" t="s">
        <v>8497</v>
      </c>
      <c r="D219" s="5">
        <v>327.22651636833797</v>
      </c>
      <c r="H219" s="32">
        <v>0.0</v>
      </c>
    </row>
    <row r="220" ht="14.25" customHeight="1">
      <c r="A220" s="4" t="s">
        <v>8496</v>
      </c>
      <c r="B220" s="4" t="s">
        <v>8450</v>
      </c>
      <c r="C220" s="4" t="s">
        <v>8497</v>
      </c>
      <c r="D220" s="5">
        <v>327.22651636833797</v>
      </c>
      <c r="H220" s="32">
        <v>0.0</v>
      </c>
    </row>
    <row r="221" ht="14.25" customHeight="1">
      <c r="A221" s="4" t="s">
        <v>8496</v>
      </c>
      <c r="B221" s="4" t="s">
        <v>8134</v>
      </c>
      <c r="C221" s="4" t="s">
        <v>8497</v>
      </c>
      <c r="D221" s="5">
        <v>327.22651636833797</v>
      </c>
      <c r="H221" s="32">
        <v>0.0</v>
      </c>
    </row>
    <row r="222" ht="14.25" customHeight="1">
      <c r="A222" s="4" t="s">
        <v>8496</v>
      </c>
      <c r="B222" s="4" t="s">
        <v>817</v>
      </c>
      <c r="C222" s="4" t="s">
        <v>8497</v>
      </c>
      <c r="D222" s="5">
        <v>327.22651636833797</v>
      </c>
      <c r="H222" s="32">
        <v>0.0</v>
      </c>
    </row>
    <row r="223" ht="14.25" customHeight="1">
      <c r="A223" s="4" t="s">
        <v>8496</v>
      </c>
      <c r="B223" s="4" t="s">
        <v>8632</v>
      </c>
      <c r="C223" s="4" t="s">
        <v>8633</v>
      </c>
      <c r="D223" s="5">
        <v>67.5787384101501</v>
      </c>
      <c r="H223" s="32">
        <v>0.0</v>
      </c>
    </row>
    <row r="224" ht="14.25" customHeight="1">
      <c r="A224" s="4" t="s">
        <v>8496</v>
      </c>
      <c r="B224" s="4" t="s">
        <v>8634</v>
      </c>
      <c r="C224" s="4" t="s">
        <v>8497</v>
      </c>
      <c r="D224" s="5">
        <v>327.22651636833797</v>
      </c>
      <c r="H224" s="32">
        <v>0.0</v>
      </c>
    </row>
    <row r="225" ht="14.25" customHeight="1">
      <c r="A225" s="4" t="s">
        <v>8496</v>
      </c>
      <c r="B225" s="4" t="s">
        <v>4277</v>
      </c>
      <c r="C225" s="4" t="s">
        <v>8497</v>
      </c>
      <c r="D225" s="5">
        <v>327.22651636833797</v>
      </c>
      <c r="H225" s="32">
        <v>0.0</v>
      </c>
    </row>
    <row r="226" ht="14.25" customHeight="1">
      <c r="A226" s="4" t="s">
        <v>8496</v>
      </c>
      <c r="B226" s="4" t="s">
        <v>8635</v>
      </c>
      <c r="C226" s="4" t="s">
        <v>8636</v>
      </c>
      <c r="D226" s="5">
        <v>36.3734464824891</v>
      </c>
      <c r="H226" s="32">
        <v>0.0</v>
      </c>
    </row>
    <row r="227" ht="14.25" customHeight="1">
      <c r="A227" s="4" t="s">
        <v>8496</v>
      </c>
      <c r="B227" s="4" t="s">
        <v>8637</v>
      </c>
      <c r="C227" s="4" t="s">
        <v>8497</v>
      </c>
      <c r="D227" s="5">
        <v>327.22651636833797</v>
      </c>
      <c r="H227" s="32">
        <v>0.0</v>
      </c>
    </row>
    <row r="228" ht="14.25" customHeight="1">
      <c r="A228" s="4" t="s">
        <v>8496</v>
      </c>
      <c r="B228" s="4" t="s">
        <v>8638</v>
      </c>
      <c r="C228" s="4" t="s">
        <v>8639</v>
      </c>
      <c r="D228" s="5">
        <v>104.71248523786801</v>
      </c>
      <c r="H228" s="32">
        <v>0.0</v>
      </c>
    </row>
    <row r="229" ht="14.25" customHeight="1">
      <c r="A229" s="4" t="s">
        <v>8496</v>
      </c>
      <c r="B229" s="4" t="s">
        <v>8640</v>
      </c>
      <c r="C229" s="4" t="s">
        <v>8497</v>
      </c>
      <c r="D229" s="5">
        <v>327.22651636833797</v>
      </c>
      <c r="H229" s="32">
        <v>0.0</v>
      </c>
    </row>
    <row r="230" ht="14.25" customHeight="1">
      <c r="A230" s="4" t="s">
        <v>8496</v>
      </c>
      <c r="B230" s="4" t="s">
        <v>8641</v>
      </c>
      <c r="C230" s="4" t="s">
        <v>8497</v>
      </c>
      <c r="D230" s="5">
        <v>327.22651636833797</v>
      </c>
      <c r="H230" s="32">
        <v>0.0</v>
      </c>
    </row>
    <row r="231" ht="14.25" customHeight="1">
      <c r="A231" s="4" t="s">
        <v>8496</v>
      </c>
      <c r="B231" s="4" t="s">
        <v>8642</v>
      </c>
      <c r="C231" s="4" t="s">
        <v>8497</v>
      </c>
      <c r="D231" s="5">
        <v>327.22651636833797</v>
      </c>
      <c r="H231" s="32">
        <v>0.0</v>
      </c>
    </row>
    <row r="232" ht="14.25" customHeight="1">
      <c r="A232" s="4" t="s">
        <v>8496</v>
      </c>
      <c r="B232" s="4" t="s">
        <v>7431</v>
      </c>
      <c r="C232" s="4" t="s">
        <v>8497</v>
      </c>
      <c r="D232" s="5">
        <v>327.22651636833797</v>
      </c>
      <c r="H232" s="32">
        <v>0.0</v>
      </c>
    </row>
    <row r="233" ht="14.25" customHeight="1">
      <c r="A233" s="4" t="s">
        <v>8496</v>
      </c>
      <c r="B233" s="4" t="s">
        <v>8643</v>
      </c>
      <c r="C233" s="4" t="s">
        <v>8497</v>
      </c>
      <c r="D233" s="5">
        <v>327.22651636833797</v>
      </c>
      <c r="H233" s="32">
        <v>0.0</v>
      </c>
    </row>
    <row r="234" ht="14.25" customHeight="1">
      <c r="A234" s="4" t="s">
        <v>8496</v>
      </c>
      <c r="B234" s="4" t="s">
        <v>4361</v>
      </c>
      <c r="C234" s="4" t="s">
        <v>8497</v>
      </c>
      <c r="D234" s="5">
        <v>327.22651636833797</v>
      </c>
      <c r="H234" s="32">
        <v>0.0</v>
      </c>
    </row>
    <row r="235" ht="14.25" customHeight="1">
      <c r="A235" s="4" t="s">
        <v>8496</v>
      </c>
      <c r="B235" s="4" t="s">
        <v>501</v>
      </c>
      <c r="C235" s="4" t="s">
        <v>8644</v>
      </c>
      <c r="D235" s="5">
        <v>319.223869132545</v>
      </c>
      <c r="H235" s="32">
        <v>0.0</v>
      </c>
    </row>
    <row r="236" ht="14.25" customHeight="1">
      <c r="A236" s="4" t="s">
        <v>8496</v>
      </c>
      <c r="B236" s="4" t="s">
        <v>8645</v>
      </c>
      <c r="C236" s="4" t="s">
        <v>8497</v>
      </c>
      <c r="D236" s="5">
        <v>327.22651636833797</v>
      </c>
      <c r="H236" s="32">
        <v>0.0</v>
      </c>
    </row>
    <row r="237" ht="14.25" customHeight="1">
      <c r="A237" s="4" t="s">
        <v>8496</v>
      </c>
      <c r="B237" s="4" t="s">
        <v>8646</v>
      </c>
      <c r="C237" s="4" t="s">
        <v>8497</v>
      </c>
      <c r="D237" s="5">
        <v>327.22651636833797</v>
      </c>
      <c r="H237" s="32">
        <v>0.0</v>
      </c>
    </row>
    <row r="238" ht="14.25" customHeight="1">
      <c r="A238" s="4" t="s">
        <v>8496</v>
      </c>
      <c r="B238" s="4" t="s">
        <v>8647</v>
      </c>
      <c r="C238" s="4" t="s">
        <v>8497</v>
      </c>
      <c r="D238" s="5">
        <v>327.22651636833797</v>
      </c>
      <c r="H238" s="32">
        <v>0.0</v>
      </c>
    </row>
    <row r="239" ht="14.25" customHeight="1">
      <c r="A239" s="4" t="s">
        <v>8496</v>
      </c>
      <c r="B239" s="4" t="s">
        <v>8648</v>
      </c>
      <c r="C239" s="4" t="s">
        <v>8497</v>
      </c>
      <c r="D239" s="5">
        <v>327.22651636833797</v>
      </c>
      <c r="H239" s="32">
        <v>0.0</v>
      </c>
    </row>
    <row r="240" ht="14.25" customHeight="1">
      <c r="A240" s="4" t="s">
        <v>8496</v>
      </c>
      <c r="B240" s="4" t="s">
        <v>1507</v>
      </c>
      <c r="C240" s="4" t="s">
        <v>8497</v>
      </c>
      <c r="D240" s="5">
        <v>327.22651636833797</v>
      </c>
      <c r="H240" s="32">
        <v>0.0</v>
      </c>
    </row>
    <row r="241" ht="14.25" customHeight="1">
      <c r="A241" s="4" t="s">
        <v>8496</v>
      </c>
      <c r="B241" s="4" t="s">
        <v>107</v>
      </c>
      <c r="C241" s="4" t="s">
        <v>8497</v>
      </c>
      <c r="D241" s="5">
        <v>327.22651636833797</v>
      </c>
      <c r="H241" s="32">
        <v>0.0</v>
      </c>
    </row>
    <row r="242" ht="14.25" customHeight="1">
      <c r="A242" s="4" t="s">
        <v>8496</v>
      </c>
      <c r="B242" s="4" t="s">
        <v>813</v>
      </c>
      <c r="C242" s="4" t="s">
        <v>8497</v>
      </c>
      <c r="D242" s="5">
        <v>327.22651636833797</v>
      </c>
      <c r="H242" s="32">
        <v>0.0</v>
      </c>
    </row>
    <row r="243" ht="14.25" customHeight="1">
      <c r="A243" s="4" t="s">
        <v>8496</v>
      </c>
      <c r="B243" s="4" t="s">
        <v>8453</v>
      </c>
      <c r="C243" s="4" t="s">
        <v>8497</v>
      </c>
      <c r="D243" s="5">
        <v>327.22651636833797</v>
      </c>
      <c r="H243" s="32">
        <v>0.0</v>
      </c>
    </row>
    <row r="244" ht="14.25" customHeight="1">
      <c r="A244" s="4" t="s">
        <v>8496</v>
      </c>
      <c r="B244" s="4" t="s">
        <v>8649</v>
      </c>
      <c r="C244" s="4" t="s">
        <v>8497</v>
      </c>
      <c r="D244" s="5">
        <v>327.22651636833797</v>
      </c>
      <c r="H244" s="32">
        <v>0.0</v>
      </c>
    </row>
    <row r="245" ht="14.25" customHeight="1">
      <c r="A245" s="4" t="s">
        <v>8496</v>
      </c>
      <c r="B245" s="4" t="s">
        <v>1642</v>
      </c>
      <c r="C245" s="4" t="s">
        <v>8497</v>
      </c>
      <c r="D245" s="5">
        <v>327.22651636833797</v>
      </c>
      <c r="H245" s="32">
        <v>0.0</v>
      </c>
    </row>
    <row r="246" ht="14.25" customHeight="1">
      <c r="A246" s="4" t="s">
        <v>8496</v>
      </c>
      <c r="B246" s="4" t="s">
        <v>2292</v>
      </c>
      <c r="C246" s="4" t="s">
        <v>8497</v>
      </c>
      <c r="D246" s="5">
        <v>327.22651636833797</v>
      </c>
      <c r="H246" s="32">
        <v>0.0</v>
      </c>
    </row>
    <row r="247" ht="14.25" customHeight="1">
      <c r="A247" s="4" t="s">
        <v>8496</v>
      </c>
      <c r="B247" s="4" t="s">
        <v>1240</v>
      </c>
      <c r="C247" s="4" t="s">
        <v>8497</v>
      </c>
      <c r="D247" s="5">
        <v>327.22651636833797</v>
      </c>
      <c r="H247" s="32">
        <v>0.0</v>
      </c>
    </row>
    <row r="248" ht="14.25" customHeight="1">
      <c r="A248" s="4" t="s">
        <v>8496</v>
      </c>
      <c r="B248" s="4" t="s">
        <v>6149</v>
      </c>
      <c r="C248" s="4" t="s">
        <v>8497</v>
      </c>
      <c r="D248" s="5">
        <v>327.22651636833797</v>
      </c>
      <c r="H248" s="32">
        <v>0.0</v>
      </c>
    </row>
    <row r="249" ht="14.25" customHeight="1">
      <c r="A249" s="4" t="s">
        <v>8496</v>
      </c>
      <c r="B249" s="4" t="s">
        <v>8650</v>
      </c>
      <c r="C249" s="4" t="s">
        <v>8497</v>
      </c>
      <c r="D249" s="5">
        <v>327.22651636833797</v>
      </c>
      <c r="H249" s="32">
        <v>0.0</v>
      </c>
    </row>
    <row r="250" ht="14.25" customHeight="1">
      <c r="A250" s="4" t="s">
        <v>8496</v>
      </c>
      <c r="B250" s="4" t="s">
        <v>2764</v>
      </c>
      <c r="C250" s="4" t="s">
        <v>8497</v>
      </c>
      <c r="D250" s="5">
        <v>327.22651636833797</v>
      </c>
      <c r="H250" s="32">
        <v>0.0</v>
      </c>
    </row>
    <row r="251" ht="14.25" customHeight="1">
      <c r="A251" s="4" t="s">
        <v>8496</v>
      </c>
      <c r="B251" s="4" t="s">
        <v>6761</v>
      </c>
      <c r="C251" s="4" t="s">
        <v>8497</v>
      </c>
      <c r="D251" s="5">
        <v>327.22651636833797</v>
      </c>
      <c r="H251" s="32">
        <v>0.0</v>
      </c>
    </row>
    <row r="252" ht="14.25" customHeight="1">
      <c r="A252" s="4" t="s">
        <v>8496</v>
      </c>
      <c r="B252" s="4" t="s">
        <v>2471</v>
      </c>
      <c r="C252" s="4" t="s">
        <v>8497</v>
      </c>
      <c r="D252" s="5">
        <v>327.22651636833797</v>
      </c>
      <c r="H252" s="32">
        <v>0.0</v>
      </c>
    </row>
    <row r="253" ht="14.25" customHeight="1">
      <c r="A253" s="4" t="s">
        <v>8496</v>
      </c>
      <c r="B253" s="4" t="s">
        <v>8651</v>
      </c>
      <c r="C253" s="4" t="s">
        <v>8652</v>
      </c>
      <c r="D253" s="5">
        <v>229.316184532104</v>
      </c>
      <c r="H253" s="32">
        <v>0.0</v>
      </c>
    </row>
    <row r="254" ht="14.25" customHeight="1">
      <c r="A254" s="4" t="s">
        <v>8496</v>
      </c>
      <c r="B254" s="4" t="s">
        <v>8653</v>
      </c>
      <c r="C254" s="4" t="s">
        <v>8497</v>
      </c>
      <c r="D254" s="5">
        <v>327.22651636833797</v>
      </c>
      <c r="H254" s="32">
        <v>0.0</v>
      </c>
    </row>
    <row r="255" ht="14.25" customHeight="1">
      <c r="A255" s="4" t="s">
        <v>8496</v>
      </c>
      <c r="B255" s="4" t="s">
        <v>8281</v>
      </c>
      <c r="C255" s="4" t="s">
        <v>8497</v>
      </c>
      <c r="D255" s="5">
        <v>327.22651636833797</v>
      </c>
      <c r="H255" s="32">
        <v>0.0</v>
      </c>
    </row>
    <row r="256" ht="14.25" customHeight="1">
      <c r="A256" s="4" t="s">
        <v>8496</v>
      </c>
      <c r="B256" s="4" t="s">
        <v>8073</v>
      </c>
      <c r="C256" s="4" t="s">
        <v>8497</v>
      </c>
      <c r="D256" s="5">
        <v>327.22651636833797</v>
      </c>
      <c r="H256" s="32">
        <v>0.0</v>
      </c>
    </row>
    <row r="257" ht="14.25" customHeight="1">
      <c r="A257" s="4" t="s">
        <v>8496</v>
      </c>
      <c r="B257" s="4" t="s">
        <v>8654</v>
      </c>
      <c r="C257" s="4" t="s">
        <v>8497</v>
      </c>
      <c r="D257" s="5">
        <v>327.22651636833797</v>
      </c>
      <c r="H257" s="32">
        <v>0.0</v>
      </c>
    </row>
    <row r="258" ht="14.25" customHeight="1">
      <c r="A258" s="4" t="s">
        <v>8496</v>
      </c>
      <c r="B258" s="4" t="s">
        <v>4634</v>
      </c>
      <c r="C258" s="4" t="s">
        <v>8497</v>
      </c>
      <c r="D258" s="5">
        <v>327.22651636833797</v>
      </c>
      <c r="H258" s="32">
        <v>0.0</v>
      </c>
    </row>
    <row r="259" ht="14.25" customHeight="1">
      <c r="A259" s="4" t="s">
        <v>8496</v>
      </c>
      <c r="B259" s="4" t="s">
        <v>3668</v>
      </c>
      <c r="C259" s="4" t="s">
        <v>8497</v>
      </c>
      <c r="D259" s="5">
        <v>327.22651636833797</v>
      </c>
      <c r="H259" s="32">
        <v>0.0</v>
      </c>
    </row>
    <row r="260" ht="14.25" customHeight="1">
      <c r="A260" s="4" t="s">
        <v>8496</v>
      </c>
      <c r="B260" s="4" t="s">
        <v>1050</v>
      </c>
      <c r="C260" s="4" t="s">
        <v>8497</v>
      </c>
      <c r="D260" s="5">
        <v>327.22651636833797</v>
      </c>
      <c r="H260" s="32">
        <v>0.0</v>
      </c>
    </row>
    <row r="261" ht="14.25" customHeight="1">
      <c r="A261" s="4" t="s">
        <v>8496</v>
      </c>
      <c r="B261" s="4" t="s">
        <v>1041</v>
      </c>
      <c r="C261" s="4" t="s">
        <v>8497</v>
      </c>
      <c r="D261" s="5">
        <v>327.22651636833797</v>
      </c>
      <c r="H261" s="32">
        <v>0.0</v>
      </c>
    </row>
    <row r="262" ht="14.25" customHeight="1">
      <c r="A262" s="4" t="s">
        <v>8496</v>
      </c>
      <c r="B262" s="4" t="s">
        <v>788</v>
      </c>
      <c r="C262" s="4" t="s">
        <v>8497</v>
      </c>
      <c r="D262" s="5">
        <v>327.22651636833797</v>
      </c>
      <c r="H262" s="32">
        <v>0.0</v>
      </c>
    </row>
    <row r="263" ht="14.25" customHeight="1">
      <c r="A263" s="4" t="s">
        <v>8496</v>
      </c>
      <c r="B263" s="4" t="s">
        <v>8655</v>
      </c>
      <c r="C263" s="4" t="s">
        <v>8497</v>
      </c>
      <c r="D263" s="5">
        <v>327.22651636833797</v>
      </c>
      <c r="H263" s="32">
        <v>0.0</v>
      </c>
    </row>
    <row r="264" ht="14.25" customHeight="1">
      <c r="A264" s="4" t="s">
        <v>8496</v>
      </c>
      <c r="B264" s="4" t="s">
        <v>2342</v>
      </c>
      <c r="C264" s="4" t="s">
        <v>8497</v>
      </c>
      <c r="D264" s="5">
        <v>327.22651636833797</v>
      </c>
      <c r="H264" s="32">
        <v>0.0</v>
      </c>
    </row>
    <row r="265" ht="14.25" customHeight="1">
      <c r="A265" s="4" t="s">
        <v>8496</v>
      </c>
      <c r="B265" s="4" t="s">
        <v>3669</v>
      </c>
      <c r="C265" s="4" t="s">
        <v>8497</v>
      </c>
      <c r="D265" s="5">
        <v>327.22651636833797</v>
      </c>
      <c r="H265" s="32">
        <v>0.0</v>
      </c>
    </row>
    <row r="266" ht="14.25" customHeight="1">
      <c r="A266" s="4" t="s">
        <v>8496</v>
      </c>
      <c r="B266" s="4" t="s">
        <v>3789</v>
      </c>
      <c r="C266" s="4" t="s">
        <v>8497</v>
      </c>
      <c r="D266" s="5">
        <v>327.22651636833797</v>
      </c>
      <c r="H266" s="32">
        <v>0.0</v>
      </c>
    </row>
    <row r="267" ht="14.25" customHeight="1">
      <c r="A267" s="4" t="s">
        <v>8496</v>
      </c>
      <c r="B267" s="4" t="s">
        <v>645</v>
      </c>
      <c r="C267" s="4" t="s">
        <v>8497</v>
      </c>
      <c r="D267" s="5">
        <v>327.22651636833797</v>
      </c>
      <c r="H267" s="32">
        <v>0.0</v>
      </c>
    </row>
    <row r="268" ht="14.25" customHeight="1">
      <c r="A268" s="4" t="s">
        <v>8496</v>
      </c>
      <c r="B268" s="4" t="s">
        <v>1848</v>
      </c>
      <c r="C268" s="4" t="s">
        <v>8497</v>
      </c>
      <c r="D268" s="5">
        <v>327.22651636833797</v>
      </c>
      <c r="H268" s="32">
        <v>0.0</v>
      </c>
    </row>
    <row r="269" ht="14.25" customHeight="1">
      <c r="A269" s="4" t="s">
        <v>8496</v>
      </c>
      <c r="B269" s="4" t="s">
        <v>8656</v>
      </c>
      <c r="C269" s="4" t="s">
        <v>8497</v>
      </c>
      <c r="D269" s="5">
        <v>327.22651636833797</v>
      </c>
      <c r="H269" s="32">
        <v>0.0</v>
      </c>
    </row>
    <row r="270" ht="14.25" customHeight="1">
      <c r="A270" s="4" t="s">
        <v>8496</v>
      </c>
      <c r="B270" s="4" t="s">
        <v>3501</v>
      </c>
      <c r="C270" s="4" t="s">
        <v>8497</v>
      </c>
      <c r="D270" s="5">
        <v>327.22651636833797</v>
      </c>
      <c r="H270" s="32">
        <v>0.0</v>
      </c>
    </row>
    <row r="271" ht="14.25" customHeight="1">
      <c r="A271" s="4" t="s">
        <v>8496</v>
      </c>
      <c r="B271" s="4" t="s">
        <v>8657</v>
      </c>
      <c r="C271" s="4" t="s">
        <v>8497</v>
      </c>
      <c r="D271" s="5">
        <v>327.22651636833797</v>
      </c>
      <c r="H271" s="32">
        <v>0.0</v>
      </c>
    </row>
    <row r="272" ht="14.25" customHeight="1">
      <c r="A272" s="4" t="s">
        <v>8496</v>
      </c>
      <c r="B272" s="4" t="s">
        <v>8217</v>
      </c>
      <c r="C272" s="4" t="s">
        <v>8497</v>
      </c>
      <c r="D272" s="5">
        <v>327.22651636833797</v>
      </c>
      <c r="H272" s="32">
        <v>0.0</v>
      </c>
    </row>
    <row r="273" ht="14.25" customHeight="1">
      <c r="A273" s="4" t="s">
        <v>8496</v>
      </c>
      <c r="B273" s="4" t="s">
        <v>8658</v>
      </c>
      <c r="C273" s="4" t="s">
        <v>8497</v>
      </c>
      <c r="D273" s="5">
        <v>327.22651636833797</v>
      </c>
      <c r="H273" s="32">
        <v>0.0</v>
      </c>
    </row>
    <row r="274" ht="14.25" customHeight="1">
      <c r="A274" s="4" t="s">
        <v>8496</v>
      </c>
      <c r="B274" s="4" t="s">
        <v>8659</v>
      </c>
      <c r="C274" s="4" t="s">
        <v>8497</v>
      </c>
      <c r="D274" s="5">
        <v>327.22651636833797</v>
      </c>
      <c r="H274" s="32">
        <v>0.0</v>
      </c>
    </row>
    <row r="275" ht="14.25" customHeight="1">
      <c r="A275" s="4" t="s">
        <v>8496</v>
      </c>
      <c r="B275" s="4" t="s">
        <v>1517</v>
      </c>
      <c r="C275" s="4" t="s">
        <v>8497</v>
      </c>
      <c r="D275" s="5">
        <v>327.22651636833797</v>
      </c>
      <c r="H275" s="32">
        <v>0.0</v>
      </c>
    </row>
    <row r="276" ht="14.25" customHeight="1">
      <c r="A276" s="4" t="s">
        <v>8496</v>
      </c>
      <c r="B276" s="4" t="s">
        <v>6962</v>
      </c>
      <c r="C276" s="4" t="s">
        <v>8497</v>
      </c>
      <c r="D276" s="5">
        <v>327.22651636833797</v>
      </c>
      <c r="H276" s="32">
        <v>0.0</v>
      </c>
    </row>
    <row r="277" ht="14.25" customHeight="1">
      <c r="A277" s="4" t="s">
        <v>8496</v>
      </c>
      <c r="B277" s="4" t="s">
        <v>8660</v>
      </c>
      <c r="C277" s="4" t="s">
        <v>8497</v>
      </c>
      <c r="D277" s="5">
        <v>327.22651636833797</v>
      </c>
      <c r="H277" s="32">
        <v>0.0</v>
      </c>
    </row>
    <row r="278" ht="14.25" customHeight="1">
      <c r="A278" s="4" t="s">
        <v>8496</v>
      </c>
      <c r="B278" s="4" t="s">
        <v>2914</v>
      </c>
      <c r="C278" s="4" t="s">
        <v>8497</v>
      </c>
      <c r="D278" s="5">
        <v>327.22651636833797</v>
      </c>
      <c r="H278" s="32">
        <v>0.0</v>
      </c>
    </row>
    <row r="279" ht="14.25" customHeight="1">
      <c r="A279" s="4" t="s">
        <v>8496</v>
      </c>
      <c r="B279" s="4" t="s">
        <v>6981</v>
      </c>
      <c r="C279" s="4" t="s">
        <v>8497</v>
      </c>
      <c r="D279" s="5">
        <v>327.22651636833797</v>
      </c>
      <c r="H279" s="32">
        <v>0.0</v>
      </c>
    </row>
    <row r="280" ht="14.25" customHeight="1">
      <c r="A280" s="4" t="s">
        <v>8496</v>
      </c>
      <c r="B280" s="4" t="s">
        <v>4154</v>
      </c>
      <c r="C280" s="4" t="s">
        <v>8497</v>
      </c>
      <c r="D280" s="5">
        <v>327.22651636833797</v>
      </c>
      <c r="H280" s="32">
        <v>0.0</v>
      </c>
    </row>
    <row r="281" ht="14.25" customHeight="1">
      <c r="A281" s="4" t="s">
        <v>8496</v>
      </c>
      <c r="B281" s="4" t="s">
        <v>8661</v>
      </c>
      <c r="C281" s="4" t="s">
        <v>8576</v>
      </c>
      <c r="D281" s="5">
        <v>130.890606547335</v>
      </c>
      <c r="H281" s="32">
        <v>0.0</v>
      </c>
    </row>
    <row r="282" ht="14.25" customHeight="1">
      <c r="A282" s="4" t="s">
        <v>8496</v>
      </c>
      <c r="B282" s="4" t="s">
        <v>6350</v>
      </c>
      <c r="C282" s="4" t="s">
        <v>8662</v>
      </c>
      <c r="D282" s="5">
        <v>299.19288570525504</v>
      </c>
      <c r="H282" s="32">
        <v>0.0</v>
      </c>
    </row>
    <row r="283" ht="14.25" customHeight="1">
      <c r="A283" s="4" t="s">
        <v>8496</v>
      </c>
      <c r="B283" s="4" t="s">
        <v>7589</v>
      </c>
      <c r="C283" s="4" t="s">
        <v>8497</v>
      </c>
      <c r="D283" s="5">
        <v>327.22651636833797</v>
      </c>
      <c r="H283" s="32">
        <v>0.0</v>
      </c>
    </row>
    <row r="284" ht="14.25" customHeight="1">
      <c r="A284" s="4" t="s">
        <v>8496</v>
      </c>
      <c r="B284" s="4" t="s">
        <v>6175</v>
      </c>
      <c r="C284" s="4" t="s">
        <v>8497</v>
      </c>
      <c r="D284" s="5">
        <v>327.22651636833797</v>
      </c>
      <c r="H284" s="32">
        <v>0.0</v>
      </c>
    </row>
    <row r="285" ht="14.25" customHeight="1">
      <c r="A285" s="4" t="s">
        <v>8496</v>
      </c>
      <c r="B285" s="4" t="s">
        <v>8663</v>
      </c>
      <c r="C285" s="4" t="s">
        <v>8497</v>
      </c>
      <c r="D285" s="5">
        <v>327.22651636833797</v>
      </c>
      <c r="H285" s="32">
        <v>0.0</v>
      </c>
    </row>
    <row r="286" ht="14.25" customHeight="1">
      <c r="A286" s="4" t="s">
        <v>8496</v>
      </c>
      <c r="B286" s="4" t="s">
        <v>8664</v>
      </c>
      <c r="C286" s="4" t="s">
        <v>8497</v>
      </c>
      <c r="D286" s="5">
        <v>327.22651636833797</v>
      </c>
      <c r="H286" s="32">
        <v>0.0</v>
      </c>
    </row>
    <row r="287" ht="14.25" customHeight="1">
      <c r="A287" s="4" t="s">
        <v>8496</v>
      </c>
      <c r="B287" s="4" t="s">
        <v>2478</v>
      </c>
      <c r="C287" s="4" t="s">
        <v>8665</v>
      </c>
      <c r="D287" s="5">
        <v>296.347728876486</v>
      </c>
      <c r="H287" s="32">
        <v>0.0</v>
      </c>
    </row>
    <row r="288" ht="14.25" customHeight="1">
      <c r="A288" s="4" t="s">
        <v>8496</v>
      </c>
      <c r="B288" s="4" t="s">
        <v>8666</v>
      </c>
      <c r="C288" s="4" t="s">
        <v>8497</v>
      </c>
      <c r="D288" s="5">
        <v>327.22651636833797</v>
      </c>
      <c r="H288" s="32">
        <v>0.0</v>
      </c>
    </row>
    <row r="289" ht="14.25" customHeight="1">
      <c r="A289" s="4" t="s">
        <v>8496</v>
      </c>
      <c r="B289" s="4" t="s">
        <v>683</v>
      </c>
      <c r="C289" s="4" t="s">
        <v>8497</v>
      </c>
      <c r="D289" s="5">
        <v>327.22651636833797</v>
      </c>
      <c r="H289" s="32">
        <v>0.0</v>
      </c>
    </row>
    <row r="290" ht="14.25" customHeight="1">
      <c r="A290" s="4" t="s">
        <v>8496</v>
      </c>
      <c r="B290" s="4" t="s">
        <v>8667</v>
      </c>
      <c r="C290" s="4" t="s">
        <v>8497</v>
      </c>
      <c r="D290" s="5">
        <v>327.22651636833797</v>
      </c>
      <c r="H290" s="32">
        <v>0.0</v>
      </c>
    </row>
    <row r="291" ht="14.25" customHeight="1">
      <c r="A291" s="4" t="s">
        <v>8496</v>
      </c>
      <c r="B291" s="4" t="s">
        <v>2669</v>
      </c>
      <c r="C291" s="4" t="s">
        <v>8497</v>
      </c>
      <c r="D291" s="5">
        <v>327.22651636833797</v>
      </c>
      <c r="H291" s="32">
        <v>0.0</v>
      </c>
    </row>
    <row r="292" ht="14.25" customHeight="1">
      <c r="A292" s="4" t="s">
        <v>8496</v>
      </c>
      <c r="B292" s="4" t="s">
        <v>8668</v>
      </c>
      <c r="C292" s="4" t="s">
        <v>8497</v>
      </c>
      <c r="D292" s="5">
        <v>327.22651636833797</v>
      </c>
      <c r="H292" s="32">
        <v>0.0</v>
      </c>
    </row>
    <row r="293" ht="14.25" customHeight="1">
      <c r="A293" s="4" t="s">
        <v>8496</v>
      </c>
      <c r="B293" s="4" t="s">
        <v>7073</v>
      </c>
      <c r="C293" s="4" t="s">
        <v>8497</v>
      </c>
      <c r="D293" s="5">
        <v>327.22651636833797</v>
      </c>
      <c r="H293" s="32">
        <v>0.0</v>
      </c>
    </row>
    <row r="294" ht="14.25" customHeight="1">
      <c r="A294" s="4" t="s">
        <v>8496</v>
      </c>
      <c r="B294" s="4" t="s">
        <v>8669</v>
      </c>
      <c r="C294" s="4" t="s">
        <v>8497</v>
      </c>
      <c r="D294" s="5">
        <v>327.22651636833797</v>
      </c>
      <c r="H294" s="32">
        <v>0.0</v>
      </c>
    </row>
    <row r="295" ht="14.25" customHeight="1">
      <c r="A295" s="4" t="s">
        <v>8496</v>
      </c>
      <c r="B295" s="4" t="s">
        <v>1241</v>
      </c>
      <c r="C295" s="4" t="s">
        <v>8497</v>
      </c>
      <c r="D295" s="5">
        <v>327.22651636833797</v>
      </c>
      <c r="H295" s="32">
        <v>0.0</v>
      </c>
    </row>
    <row r="296" ht="14.25" customHeight="1">
      <c r="A296" s="4" t="s">
        <v>8496</v>
      </c>
      <c r="B296" s="4" t="s">
        <v>3626</v>
      </c>
      <c r="C296" s="4" t="s">
        <v>8497</v>
      </c>
      <c r="D296" s="5">
        <v>327.22651636833797</v>
      </c>
      <c r="H296" s="32">
        <v>0.0</v>
      </c>
    </row>
    <row r="297" ht="14.25" customHeight="1">
      <c r="A297" s="4" t="s">
        <v>8496</v>
      </c>
      <c r="B297" s="4" t="s">
        <v>1066</v>
      </c>
      <c r="C297" s="4" t="s">
        <v>8497</v>
      </c>
      <c r="D297" s="5">
        <v>327.22651636833797</v>
      </c>
      <c r="H297" s="32">
        <v>0.0</v>
      </c>
    </row>
    <row r="298" ht="14.25" customHeight="1">
      <c r="A298" s="4" t="s">
        <v>8496</v>
      </c>
      <c r="B298" s="4" t="s">
        <v>2658</v>
      </c>
      <c r="C298" s="4" t="s">
        <v>8497</v>
      </c>
      <c r="D298" s="5">
        <v>327.22651636833797</v>
      </c>
      <c r="H298" s="32">
        <v>0.0</v>
      </c>
    </row>
    <row r="299" ht="14.25" customHeight="1">
      <c r="A299" s="4" t="s">
        <v>8496</v>
      </c>
      <c r="B299" s="4" t="s">
        <v>5565</v>
      </c>
      <c r="C299" s="4" t="s">
        <v>8497</v>
      </c>
      <c r="D299" s="5">
        <v>327.22651636833797</v>
      </c>
      <c r="H299" s="32">
        <v>0.0</v>
      </c>
    </row>
    <row r="300" ht="14.25" customHeight="1">
      <c r="A300" s="4" t="s">
        <v>8496</v>
      </c>
      <c r="B300" s="4" t="s">
        <v>8670</v>
      </c>
      <c r="C300" s="4" t="s">
        <v>8497</v>
      </c>
      <c r="D300" s="5">
        <v>327.22651636833797</v>
      </c>
      <c r="H300" s="32">
        <v>0.0</v>
      </c>
    </row>
    <row r="301" ht="14.25" customHeight="1">
      <c r="A301" s="4" t="s">
        <v>8496</v>
      </c>
      <c r="B301" s="4" t="s">
        <v>8671</v>
      </c>
      <c r="C301" s="4" t="s">
        <v>8497</v>
      </c>
      <c r="D301" s="5">
        <v>327.22651636833797</v>
      </c>
      <c r="H301" s="32">
        <v>0.0</v>
      </c>
    </row>
    <row r="302" ht="14.25" customHeight="1">
      <c r="A302" s="4" t="s">
        <v>8496</v>
      </c>
      <c r="B302" s="4" t="s">
        <v>6796</v>
      </c>
      <c r="C302" s="4" t="s">
        <v>8672</v>
      </c>
      <c r="D302" s="5">
        <v>196.897099198389</v>
      </c>
      <c r="H302" s="32">
        <v>0.0</v>
      </c>
    </row>
    <row r="303" ht="14.25" customHeight="1">
      <c r="A303" s="4" t="s">
        <v>8496</v>
      </c>
      <c r="B303" s="4" t="s">
        <v>1019</v>
      </c>
      <c r="C303" s="4" t="s">
        <v>8497</v>
      </c>
      <c r="D303" s="5">
        <v>327.22651636833797</v>
      </c>
      <c r="H303" s="32">
        <v>0.0</v>
      </c>
    </row>
    <row r="304" ht="14.25" customHeight="1">
      <c r="A304" s="4" t="s">
        <v>8496</v>
      </c>
      <c r="B304" s="4" t="s">
        <v>3335</v>
      </c>
      <c r="C304" s="4" t="s">
        <v>8497</v>
      </c>
      <c r="D304" s="5">
        <v>327.22651636833797</v>
      </c>
      <c r="H304" s="32">
        <v>0.0</v>
      </c>
    </row>
    <row r="305" ht="14.25" customHeight="1">
      <c r="A305" s="4" t="s">
        <v>8496</v>
      </c>
      <c r="B305" s="4" t="s">
        <v>3277</v>
      </c>
      <c r="C305" s="4" t="s">
        <v>8497</v>
      </c>
      <c r="D305" s="5">
        <v>327.22651636833797</v>
      </c>
      <c r="H305" s="32">
        <v>0.0</v>
      </c>
    </row>
    <row r="306" ht="14.25" customHeight="1">
      <c r="A306" s="4" t="s">
        <v>8496</v>
      </c>
      <c r="B306" s="4" t="s">
        <v>8673</v>
      </c>
      <c r="C306" s="4" t="s">
        <v>8497</v>
      </c>
      <c r="D306" s="5">
        <v>327.22651636833797</v>
      </c>
      <c r="H306" s="32">
        <v>0.0</v>
      </c>
    </row>
    <row r="307" ht="14.25" customHeight="1">
      <c r="A307" s="4" t="s">
        <v>8496</v>
      </c>
      <c r="B307" s="4" t="s">
        <v>6782</v>
      </c>
      <c r="C307" s="4" t="s">
        <v>8497</v>
      </c>
      <c r="D307" s="5">
        <v>327.22651636833797</v>
      </c>
      <c r="H307" s="32">
        <v>0.0</v>
      </c>
    </row>
    <row r="308" ht="14.25" customHeight="1">
      <c r="A308" s="4" t="s">
        <v>8496</v>
      </c>
      <c r="B308" s="4" t="s">
        <v>977</v>
      </c>
      <c r="C308" s="4" t="s">
        <v>8497</v>
      </c>
      <c r="D308" s="5">
        <v>327.22651636833797</v>
      </c>
      <c r="H308" s="32">
        <v>0.0</v>
      </c>
    </row>
    <row r="309" ht="14.25" customHeight="1">
      <c r="A309" s="4" t="s">
        <v>8496</v>
      </c>
      <c r="B309" s="4" t="s">
        <v>7220</v>
      </c>
      <c r="C309" s="4" t="s">
        <v>8520</v>
      </c>
      <c r="D309" s="5">
        <v>196.335909821002</v>
      </c>
      <c r="H309" s="32">
        <v>0.0</v>
      </c>
    </row>
    <row r="310" ht="14.25" customHeight="1">
      <c r="A310" s="4" t="s">
        <v>8496</v>
      </c>
      <c r="B310" s="4" t="s">
        <v>3912</v>
      </c>
      <c r="C310" s="4" t="s">
        <v>8497</v>
      </c>
      <c r="D310" s="5">
        <v>327.22651636833797</v>
      </c>
      <c r="H310" s="32">
        <v>0.0</v>
      </c>
    </row>
    <row r="311" ht="14.25" customHeight="1">
      <c r="A311" s="4" t="s">
        <v>8496</v>
      </c>
      <c r="B311" s="4" t="s">
        <v>6100</v>
      </c>
      <c r="C311" s="4" t="s">
        <v>8497</v>
      </c>
      <c r="D311" s="5">
        <v>327.22651636833797</v>
      </c>
      <c r="H311" s="32">
        <v>0.0</v>
      </c>
    </row>
    <row r="312" ht="14.25" customHeight="1">
      <c r="A312" s="4" t="s">
        <v>8496</v>
      </c>
      <c r="B312" s="4" t="s">
        <v>1154</v>
      </c>
      <c r="C312" s="4" t="s">
        <v>8497</v>
      </c>
      <c r="D312" s="5">
        <v>327.22651636833797</v>
      </c>
      <c r="H312" s="32">
        <v>0.0</v>
      </c>
    </row>
    <row r="313" ht="14.25" customHeight="1">
      <c r="A313" s="4" t="s">
        <v>8496</v>
      </c>
      <c r="B313" s="4" t="s">
        <v>3474</v>
      </c>
      <c r="C313" s="4" t="s">
        <v>8497</v>
      </c>
      <c r="D313" s="5">
        <v>327.22651636833797</v>
      </c>
      <c r="H313" s="32">
        <v>0.0</v>
      </c>
    </row>
    <row r="314" ht="14.25" customHeight="1">
      <c r="A314" s="4" t="s">
        <v>8496</v>
      </c>
      <c r="B314" s="4" t="s">
        <v>7952</v>
      </c>
      <c r="C314" s="4" t="s">
        <v>8497</v>
      </c>
      <c r="D314" s="5">
        <v>327.22651636833797</v>
      </c>
      <c r="H314" s="32">
        <v>0.0</v>
      </c>
    </row>
    <row r="315" ht="14.25" customHeight="1">
      <c r="A315" s="4" t="s">
        <v>8496</v>
      </c>
      <c r="B315" s="4" t="s">
        <v>8674</v>
      </c>
      <c r="C315" s="4" t="s">
        <v>8497</v>
      </c>
      <c r="D315" s="5">
        <v>327.22651636833797</v>
      </c>
      <c r="H315" s="32">
        <v>0.0</v>
      </c>
    </row>
    <row r="316" ht="14.25" customHeight="1">
      <c r="A316" s="4" t="s">
        <v>8496</v>
      </c>
      <c r="B316" s="4" t="s">
        <v>3239</v>
      </c>
      <c r="C316" s="4" t="s">
        <v>8497</v>
      </c>
      <c r="D316" s="5">
        <v>327.22651636833797</v>
      </c>
      <c r="H316" s="32">
        <v>0.0</v>
      </c>
    </row>
    <row r="317" ht="14.25" customHeight="1">
      <c r="A317" s="4" t="s">
        <v>8496</v>
      </c>
      <c r="B317" s="4" t="s">
        <v>6666</v>
      </c>
      <c r="C317" s="4" t="s">
        <v>8497</v>
      </c>
      <c r="D317" s="5">
        <v>327.22651636833797</v>
      </c>
      <c r="H317" s="32">
        <v>0.0</v>
      </c>
    </row>
    <row r="318" ht="14.25" customHeight="1">
      <c r="A318" s="4" t="s">
        <v>8496</v>
      </c>
      <c r="B318" s="4" t="s">
        <v>3801</v>
      </c>
      <c r="C318" s="4" t="s">
        <v>8497</v>
      </c>
      <c r="D318" s="5">
        <v>327.22651636833797</v>
      </c>
      <c r="H318" s="32">
        <v>0.0</v>
      </c>
    </row>
    <row r="319" ht="14.25" customHeight="1">
      <c r="A319" s="4" t="s">
        <v>8496</v>
      </c>
      <c r="B319" s="4" t="s">
        <v>3887</v>
      </c>
      <c r="C319" s="4" t="s">
        <v>8497</v>
      </c>
      <c r="D319" s="5">
        <v>327.22651636833797</v>
      </c>
      <c r="H319" s="32">
        <v>0.0</v>
      </c>
    </row>
    <row r="320" ht="14.25" customHeight="1">
      <c r="A320" s="4" t="s">
        <v>8496</v>
      </c>
      <c r="B320" s="4" t="s">
        <v>8675</v>
      </c>
      <c r="C320" s="4" t="s">
        <v>8497</v>
      </c>
      <c r="D320" s="5">
        <v>327.22651636833797</v>
      </c>
      <c r="H320" s="32">
        <v>0.0</v>
      </c>
    </row>
    <row r="321" ht="14.25" customHeight="1">
      <c r="A321" s="4" t="s">
        <v>8496</v>
      </c>
      <c r="B321" s="4" t="s">
        <v>8676</v>
      </c>
      <c r="C321" s="4" t="s">
        <v>8497</v>
      </c>
      <c r="D321" s="5">
        <v>327.22651636833797</v>
      </c>
      <c r="H321" s="32">
        <v>0.0</v>
      </c>
    </row>
    <row r="322" ht="14.25" customHeight="1">
      <c r="A322" s="4" t="s">
        <v>8496</v>
      </c>
      <c r="B322" s="4" t="s">
        <v>6345</v>
      </c>
      <c r="C322" s="4" t="s">
        <v>8677</v>
      </c>
      <c r="D322" s="5">
        <v>165.346918655927</v>
      </c>
      <c r="H322" s="32">
        <v>0.0</v>
      </c>
    </row>
    <row r="323" ht="14.25" customHeight="1">
      <c r="A323" s="4" t="s">
        <v>8496</v>
      </c>
      <c r="B323" s="4" t="s">
        <v>8678</v>
      </c>
      <c r="C323" s="4" t="s">
        <v>8497</v>
      </c>
      <c r="D323" s="5">
        <v>327.22651636833797</v>
      </c>
      <c r="H323" s="32">
        <v>0.0</v>
      </c>
    </row>
    <row r="324" ht="14.25" customHeight="1">
      <c r="A324" s="4" t="s">
        <v>8496</v>
      </c>
      <c r="B324" s="4" t="s">
        <v>3187</v>
      </c>
      <c r="C324" s="4" t="s">
        <v>8497</v>
      </c>
      <c r="D324" s="5">
        <v>327.22651636833797</v>
      </c>
      <c r="H324" s="32">
        <v>0.0</v>
      </c>
    </row>
    <row r="325" ht="14.25" customHeight="1">
      <c r="A325" s="4" t="s">
        <v>8496</v>
      </c>
      <c r="B325" s="4" t="s">
        <v>8679</v>
      </c>
      <c r="C325" s="4" t="s">
        <v>8497</v>
      </c>
      <c r="D325" s="5">
        <v>327.22651636833797</v>
      </c>
      <c r="H325" s="32">
        <v>0.0</v>
      </c>
    </row>
    <row r="326" ht="14.25" customHeight="1">
      <c r="A326" s="4" t="s">
        <v>8496</v>
      </c>
      <c r="B326" s="4" t="s">
        <v>2981</v>
      </c>
      <c r="C326" s="4" t="s">
        <v>8497</v>
      </c>
      <c r="D326" s="5">
        <v>327.22651636833797</v>
      </c>
      <c r="H326" s="32">
        <v>0.0</v>
      </c>
    </row>
    <row r="327" ht="14.25" customHeight="1">
      <c r="A327" s="4" t="s">
        <v>8496</v>
      </c>
      <c r="B327" s="4" t="s">
        <v>4859</v>
      </c>
      <c r="C327" s="4" t="s">
        <v>8497</v>
      </c>
      <c r="D327" s="5">
        <v>327.22651636833797</v>
      </c>
      <c r="H327" s="32">
        <v>0.0</v>
      </c>
    </row>
    <row r="328" ht="14.25" customHeight="1">
      <c r="A328" s="4" t="s">
        <v>8496</v>
      </c>
      <c r="B328" s="4" t="s">
        <v>291</v>
      </c>
      <c r="C328" s="4" t="s">
        <v>8497</v>
      </c>
      <c r="D328" s="5">
        <v>327.22651636833797</v>
      </c>
      <c r="H328" s="32">
        <v>0.0</v>
      </c>
    </row>
    <row r="329" ht="14.25" customHeight="1">
      <c r="A329" s="4" t="s">
        <v>8496</v>
      </c>
      <c r="B329" s="4" t="s">
        <v>398</v>
      </c>
      <c r="C329" s="4" t="s">
        <v>8497</v>
      </c>
      <c r="D329" s="5">
        <v>327.22651636833797</v>
      </c>
      <c r="H329" s="32">
        <v>0.0</v>
      </c>
    </row>
    <row r="330" ht="14.25" customHeight="1">
      <c r="A330" s="4" t="s">
        <v>8496</v>
      </c>
      <c r="B330" s="4" t="s">
        <v>699</v>
      </c>
      <c r="C330" s="4" t="s">
        <v>8497</v>
      </c>
      <c r="D330" s="5">
        <v>327.22651636833797</v>
      </c>
      <c r="H330" s="32">
        <v>0.0</v>
      </c>
    </row>
    <row r="331" ht="14.25" customHeight="1">
      <c r="A331" s="4" t="s">
        <v>8496</v>
      </c>
      <c r="B331" s="4" t="s">
        <v>2960</v>
      </c>
      <c r="C331" s="4" t="s">
        <v>8497</v>
      </c>
      <c r="D331" s="5">
        <v>327.22651636833797</v>
      </c>
      <c r="H331" s="32">
        <v>0.0</v>
      </c>
    </row>
    <row r="332" ht="14.25" customHeight="1">
      <c r="A332" s="4" t="s">
        <v>8496</v>
      </c>
      <c r="B332" s="4" t="s">
        <v>4639</v>
      </c>
      <c r="C332" s="4" t="s">
        <v>8497</v>
      </c>
      <c r="D332" s="5">
        <v>327.22651636833797</v>
      </c>
      <c r="H332" s="32">
        <v>0.0</v>
      </c>
    </row>
    <row r="333" ht="14.25" customHeight="1">
      <c r="A333" s="4" t="s">
        <v>8496</v>
      </c>
      <c r="B333" s="4" t="s">
        <v>280</v>
      </c>
      <c r="C333" s="4" t="s">
        <v>8497</v>
      </c>
      <c r="D333" s="5">
        <v>327.22651636833797</v>
      </c>
      <c r="H333" s="32">
        <v>0.0</v>
      </c>
    </row>
    <row r="334" ht="14.25" customHeight="1">
      <c r="A334" s="4" t="s">
        <v>8496</v>
      </c>
      <c r="B334" s="4" t="s">
        <v>1817</v>
      </c>
      <c r="C334" s="4" t="s">
        <v>8497</v>
      </c>
      <c r="D334" s="5">
        <v>327.22651636833797</v>
      </c>
      <c r="H334" s="32">
        <v>0.0</v>
      </c>
    </row>
    <row r="335" ht="14.25" customHeight="1">
      <c r="A335" s="4" t="s">
        <v>8496</v>
      </c>
      <c r="B335" s="4" t="s">
        <v>8680</v>
      </c>
      <c r="C335" s="4" t="s">
        <v>8681</v>
      </c>
      <c r="D335" s="5">
        <v>112.2658125442</v>
      </c>
      <c r="H335" s="32">
        <v>0.0</v>
      </c>
    </row>
    <row r="336" ht="14.25" customHeight="1">
      <c r="A336" s="4" t="s">
        <v>8496</v>
      </c>
      <c r="B336" s="4" t="s">
        <v>1884</v>
      </c>
      <c r="C336" s="4" t="s">
        <v>8682</v>
      </c>
      <c r="D336" s="5">
        <v>156.86060851201998</v>
      </c>
      <c r="H336" s="32">
        <v>0.0</v>
      </c>
    </row>
    <row r="337" ht="14.25" customHeight="1">
      <c r="A337" s="4" t="s">
        <v>8496</v>
      </c>
      <c r="B337" s="4" t="s">
        <v>8683</v>
      </c>
      <c r="C337" s="4" t="s">
        <v>8497</v>
      </c>
      <c r="D337" s="5">
        <v>327.22651636833797</v>
      </c>
      <c r="H337" s="32">
        <v>0.0</v>
      </c>
    </row>
    <row r="338" ht="14.25" customHeight="1">
      <c r="A338" s="4" t="s">
        <v>8496</v>
      </c>
      <c r="B338" s="4" t="s">
        <v>8684</v>
      </c>
      <c r="C338" s="4" t="s">
        <v>8497</v>
      </c>
      <c r="D338" s="5">
        <v>327.22651636833797</v>
      </c>
      <c r="H338" s="32">
        <v>0.0</v>
      </c>
    </row>
    <row r="339" ht="14.25" customHeight="1">
      <c r="A339" s="4" t="s">
        <v>8496</v>
      </c>
      <c r="B339" s="4" t="s">
        <v>8685</v>
      </c>
      <c r="C339" s="4" t="s">
        <v>8497</v>
      </c>
      <c r="D339" s="5">
        <v>327.22651636833797</v>
      </c>
      <c r="H339" s="32">
        <v>0.0</v>
      </c>
    </row>
    <row r="340" ht="14.25" customHeight="1">
      <c r="A340" s="4" t="s">
        <v>8496</v>
      </c>
      <c r="B340" s="4" t="s">
        <v>6946</v>
      </c>
      <c r="C340" s="4" t="s">
        <v>8497</v>
      </c>
      <c r="D340" s="5">
        <v>327.22651636833797</v>
      </c>
      <c r="H340" s="32">
        <v>0.0</v>
      </c>
    </row>
    <row r="341" ht="14.25" customHeight="1">
      <c r="A341" s="4" t="s">
        <v>8496</v>
      </c>
      <c r="B341" s="4" t="s">
        <v>338</v>
      </c>
      <c r="C341" s="4" t="s">
        <v>8497</v>
      </c>
      <c r="D341" s="5">
        <v>327.22651636833797</v>
      </c>
      <c r="H341" s="32">
        <v>0.0</v>
      </c>
    </row>
    <row r="342" ht="14.25" customHeight="1">
      <c r="A342" s="4" t="s">
        <v>8496</v>
      </c>
      <c r="B342" s="4" t="s">
        <v>8686</v>
      </c>
      <c r="C342" s="4" t="s">
        <v>8497</v>
      </c>
      <c r="D342" s="5">
        <v>327.22651636833797</v>
      </c>
      <c r="H342" s="32">
        <v>0.0</v>
      </c>
    </row>
    <row r="343" ht="14.25" customHeight="1">
      <c r="A343" s="4" t="s">
        <v>8496</v>
      </c>
      <c r="B343" s="4" t="s">
        <v>8687</v>
      </c>
      <c r="C343" s="4" t="s">
        <v>8497</v>
      </c>
      <c r="D343" s="5">
        <v>327.22651636833797</v>
      </c>
      <c r="H343" s="32">
        <v>0.0</v>
      </c>
    </row>
    <row r="344" ht="14.25" customHeight="1">
      <c r="A344" s="4" t="s">
        <v>8496</v>
      </c>
      <c r="B344" s="4" t="s">
        <v>7568</v>
      </c>
      <c r="C344" s="4" t="s">
        <v>8497</v>
      </c>
      <c r="D344" s="5">
        <v>327.22651636833797</v>
      </c>
      <c r="H344" s="32">
        <v>0.0</v>
      </c>
    </row>
    <row r="345" ht="14.25" customHeight="1">
      <c r="A345" s="4" t="s">
        <v>8496</v>
      </c>
      <c r="B345" s="4" t="s">
        <v>8149</v>
      </c>
      <c r="C345" s="4" t="s">
        <v>8497</v>
      </c>
      <c r="D345" s="5">
        <v>327.22651636833797</v>
      </c>
      <c r="H345" s="32">
        <v>0.0</v>
      </c>
    </row>
    <row r="346" ht="14.25" customHeight="1">
      <c r="A346" s="4" t="s">
        <v>8496</v>
      </c>
      <c r="B346" s="4" t="s">
        <v>8688</v>
      </c>
      <c r="C346" s="4" t="s">
        <v>8497</v>
      </c>
      <c r="D346" s="5">
        <v>327.22651636833797</v>
      </c>
      <c r="H346" s="32">
        <v>0.0</v>
      </c>
    </row>
    <row r="347" ht="14.25" customHeight="1">
      <c r="A347" s="4" t="s">
        <v>8496</v>
      </c>
      <c r="B347" s="4" t="s">
        <v>861</v>
      </c>
      <c r="C347" s="4" t="s">
        <v>8497</v>
      </c>
      <c r="D347" s="5">
        <v>327.22651636833797</v>
      </c>
      <c r="H347" s="32">
        <v>0.0</v>
      </c>
    </row>
    <row r="348" ht="14.25" customHeight="1">
      <c r="A348" s="4" t="s">
        <v>8496</v>
      </c>
      <c r="B348" s="4" t="s">
        <v>1667</v>
      </c>
      <c r="C348" s="4" t="s">
        <v>8497</v>
      </c>
      <c r="D348" s="5">
        <v>327.22651636833797</v>
      </c>
      <c r="H348" s="32">
        <v>0.0</v>
      </c>
    </row>
    <row r="349" ht="14.25" customHeight="1">
      <c r="A349" s="4" t="s">
        <v>8496</v>
      </c>
      <c r="B349" s="4" t="s">
        <v>7453</v>
      </c>
      <c r="C349" s="4" t="s">
        <v>8497</v>
      </c>
      <c r="D349" s="5">
        <v>327.22651636833797</v>
      </c>
      <c r="H349" s="32">
        <v>0.0</v>
      </c>
    </row>
    <row r="350" ht="14.25" customHeight="1">
      <c r="A350" s="4" t="s">
        <v>8496</v>
      </c>
      <c r="B350" s="4" t="s">
        <v>1254</v>
      </c>
      <c r="C350" s="4" t="s">
        <v>8497</v>
      </c>
      <c r="D350" s="5">
        <v>327.22651636833797</v>
      </c>
      <c r="H350" s="32">
        <v>0.0</v>
      </c>
    </row>
    <row r="351" ht="14.25" customHeight="1">
      <c r="A351" s="4" t="s">
        <v>8496</v>
      </c>
      <c r="B351" s="4" t="s">
        <v>8689</v>
      </c>
      <c r="C351" s="4" t="s">
        <v>8690</v>
      </c>
      <c r="D351" s="5">
        <v>261.782069422903</v>
      </c>
      <c r="H351" s="32">
        <v>0.0</v>
      </c>
    </row>
    <row r="352" ht="14.25" customHeight="1">
      <c r="A352" s="4" t="s">
        <v>8496</v>
      </c>
      <c r="B352" s="4" t="s">
        <v>6408</v>
      </c>
      <c r="C352" s="4" t="s">
        <v>8497</v>
      </c>
      <c r="D352" s="5">
        <v>327.22651636833797</v>
      </c>
      <c r="H352" s="32">
        <v>0.0</v>
      </c>
    </row>
    <row r="353" ht="14.25" customHeight="1">
      <c r="A353" s="4" t="s">
        <v>8496</v>
      </c>
      <c r="B353" s="4" t="s">
        <v>4407</v>
      </c>
      <c r="C353" s="4" t="s">
        <v>8497</v>
      </c>
      <c r="D353" s="5">
        <v>327.22651636833797</v>
      </c>
      <c r="H353" s="32">
        <v>0.0</v>
      </c>
    </row>
    <row r="354" ht="14.25" customHeight="1">
      <c r="A354" s="4" t="s">
        <v>8496</v>
      </c>
      <c r="B354" s="4" t="s">
        <v>2028</v>
      </c>
      <c r="C354" s="4" t="s">
        <v>8497</v>
      </c>
      <c r="D354" s="5">
        <v>327.22651636833797</v>
      </c>
      <c r="H354" s="32">
        <v>0.0</v>
      </c>
    </row>
    <row r="355" ht="14.25" customHeight="1">
      <c r="A355" s="4" t="s">
        <v>8496</v>
      </c>
      <c r="B355" s="4" t="s">
        <v>3086</v>
      </c>
      <c r="C355" s="4" t="s">
        <v>8497</v>
      </c>
      <c r="D355" s="5">
        <v>327.22651636833797</v>
      </c>
      <c r="H355" s="32">
        <v>0.0</v>
      </c>
    </row>
    <row r="356" ht="14.25" customHeight="1">
      <c r="A356" s="4" t="s">
        <v>8496</v>
      </c>
      <c r="B356" s="4" t="s">
        <v>8691</v>
      </c>
      <c r="C356" s="4" t="s">
        <v>8497</v>
      </c>
      <c r="D356" s="5">
        <v>327.22651636833797</v>
      </c>
      <c r="H356" s="32">
        <v>0.0</v>
      </c>
    </row>
    <row r="357" ht="14.25" customHeight="1">
      <c r="A357" s="4" t="s">
        <v>8496</v>
      </c>
      <c r="B357" s="4" t="s">
        <v>4008</v>
      </c>
      <c r="C357" s="4" t="s">
        <v>8497</v>
      </c>
      <c r="D357" s="5">
        <v>327.22651636833797</v>
      </c>
      <c r="H357" s="32">
        <v>0.0</v>
      </c>
    </row>
    <row r="358" ht="14.25" customHeight="1">
      <c r="A358" s="4" t="s">
        <v>8496</v>
      </c>
      <c r="B358" s="4" t="s">
        <v>4381</v>
      </c>
      <c r="C358" s="4" t="s">
        <v>8497</v>
      </c>
      <c r="D358" s="5">
        <v>327.22651636833797</v>
      </c>
      <c r="H358" s="32">
        <v>0.0</v>
      </c>
    </row>
    <row r="359" ht="14.25" customHeight="1">
      <c r="A359" s="4" t="s">
        <v>8496</v>
      </c>
      <c r="B359" s="4" t="s">
        <v>5836</v>
      </c>
      <c r="C359" s="4" t="s">
        <v>8692</v>
      </c>
      <c r="D359" s="5">
        <v>0.213121180737083</v>
      </c>
      <c r="H359" s="32">
        <v>0.0</v>
      </c>
    </row>
    <row r="360" ht="14.25" customHeight="1">
      <c r="A360" s="4" t="s">
        <v>8496</v>
      </c>
      <c r="B360" s="4" t="s">
        <v>8693</v>
      </c>
      <c r="C360" s="4" t="s">
        <v>8497</v>
      </c>
      <c r="D360" s="5">
        <v>327.22651636833797</v>
      </c>
      <c r="H360" s="32">
        <v>0.0</v>
      </c>
    </row>
    <row r="361" ht="14.25" customHeight="1">
      <c r="A361" s="4" t="s">
        <v>8496</v>
      </c>
      <c r="B361" s="4" t="s">
        <v>8694</v>
      </c>
      <c r="C361" s="4" t="s">
        <v>8497</v>
      </c>
      <c r="D361" s="5">
        <v>327.22651636833797</v>
      </c>
      <c r="H361" s="32">
        <v>0.0</v>
      </c>
    </row>
    <row r="362" ht="14.25" customHeight="1">
      <c r="A362" s="4" t="s">
        <v>8496</v>
      </c>
      <c r="B362" s="4" t="s">
        <v>2020</v>
      </c>
      <c r="C362" s="4" t="s">
        <v>8497</v>
      </c>
      <c r="D362" s="5">
        <v>327.22651636833797</v>
      </c>
      <c r="H362" s="32">
        <v>0.0</v>
      </c>
    </row>
    <row r="363" ht="14.25" customHeight="1">
      <c r="A363" s="4" t="s">
        <v>8496</v>
      </c>
      <c r="B363" s="4" t="s">
        <v>2693</v>
      </c>
      <c r="C363" s="4" t="s">
        <v>8695</v>
      </c>
      <c r="D363" s="5">
        <v>241.280499940907</v>
      </c>
      <c r="H363" s="32">
        <v>0.0</v>
      </c>
    </row>
    <row r="364" ht="14.25" customHeight="1">
      <c r="A364" s="4" t="s">
        <v>8496</v>
      </c>
      <c r="B364" s="4" t="s">
        <v>6280</v>
      </c>
      <c r="C364" s="4" t="s">
        <v>8497</v>
      </c>
      <c r="D364" s="5">
        <v>327.22651636833797</v>
      </c>
      <c r="H364" s="32">
        <v>0.0</v>
      </c>
    </row>
    <row r="365" ht="14.25" customHeight="1">
      <c r="A365" s="4" t="s">
        <v>8496</v>
      </c>
      <c r="B365" s="4" t="s">
        <v>8696</v>
      </c>
      <c r="C365" s="4" t="s">
        <v>8697</v>
      </c>
      <c r="D365" s="5">
        <v>198.665307584831</v>
      </c>
      <c r="H365" s="32">
        <v>0.0</v>
      </c>
    </row>
    <row r="366" ht="14.25" customHeight="1">
      <c r="A366" s="4" t="s">
        <v>8496</v>
      </c>
      <c r="B366" s="4" t="s">
        <v>4354</v>
      </c>
      <c r="C366" s="4" t="s">
        <v>8497</v>
      </c>
      <c r="D366" s="5">
        <v>327.22651636833797</v>
      </c>
      <c r="H366" s="32">
        <v>0.0</v>
      </c>
    </row>
    <row r="367" ht="14.25" customHeight="1">
      <c r="A367" s="4" t="s">
        <v>8496</v>
      </c>
      <c r="B367" s="4" t="s">
        <v>8698</v>
      </c>
      <c r="C367" s="4" t="s">
        <v>8497</v>
      </c>
      <c r="D367" s="5">
        <v>327.22651636833797</v>
      </c>
      <c r="H367" s="32">
        <v>0.0</v>
      </c>
    </row>
    <row r="368" ht="14.25" customHeight="1">
      <c r="A368" s="4" t="s">
        <v>8496</v>
      </c>
      <c r="B368" s="4" t="s">
        <v>4643</v>
      </c>
      <c r="C368" s="4" t="s">
        <v>8699</v>
      </c>
      <c r="D368" s="5">
        <v>215.969500803103</v>
      </c>
      <c r="H368" s="32">
        <v>0.0</v>
      </c>
    </row>
    <row r="369" ht="14.25" customHeight="1">
      <c r="A369" s="4" t="s">
        <v>8496</v>
      </c>
      <c r="B369" s="4" t="s">
        <v>8700</v>
      </c>
      <c r="C369" s="4" t="s">
        <v>8497</v>
      </c>
      <c r="D369" s="5">
        <v>327.22651636833797</v>
      </c>
      <c r="H369" s="32">
        <v>0.0</v>
      </c>
    </row>
    <row r="370" ht="14.25" customHeight="1">
      <c r="A370" s="4" t="s">
        <v>8496</v>
      </c>
      <c r="B370" s="4" t="s">
        <v>8701</v>
      </c>
      <c r="C370" s="4" t="s">
        <v>8497</v>
      </c>
      <c r="D370" s="5">
        <v>327.22651636833797</v>
      </c>
      <c r="H370" s="32">
        <v>0.0</v>
      </c>
    </row>
    <row r="371" ht="14.25" customHeight="1">
      <c r="A371" s="4" t="s">
        <v>8496</v>
      </c>
      <c r="B371" s="4" t="s">
        <v>7610</v>
      </c>
      <c r="C371" s="4" t="s">
        <v>8497</v>
      </c>
      <c r="D371" s="5">
        <v>327.22651636833797</v>
      </c>
      <c r="H371" s="32">
        <v>0.0</v>
      </c>
    </row>
    <row r="372" ht="14.25" customHeight="1">
      <c r="A372" s="4" t="s">
        <v>8496</v>
      </c>
      <c r="B372" s="4" t="s">
        <v>5023</v>
      </c>
      <c r="C372" s="4" t="s">
        <v>8497</v>
      </c>
      <c r="D372" s="5">
        <v>327.22651636833797</v>
      </c>
      <c r="H372" s="32">
        <v>0.0</v>
      </c>
    </row>
    <row r="373" ht="14.25" customHeight="1">
      <c r="A373" s="4" t="s">
        <v>8496</v>
      </c>
      <c r="B373" s="4" t="s">
        <v>3190</v>
      </c>
      <c r="C373" s="4" t="s">
        <v>8497</v>
      </c>
      <c r="D373" s="5">
        <v>327.22651636833797</v>
      </c>
      <c r="H373" s="32">
        <v>0.0</v>
      </c>
    </row>
    <row r="374" ht="14.25" customHeight="1">
      <c r="A374" s="4" t="s">
        <v>8496</v>
      </c>
      <c r="B374" s="4" t="s">
        <v>2473</v>
      </c>
      <c r="C374" s="4" t="s">
        <v>8497</v>
      </c>
      <c r="D374" s="5">
        <v>327.22651636833797</v>
      </c>
      <c r="H374" s="32">
        <v>0.0</v>
      </c>
    </row>
    <row r="375" ht="14.25" customHeight="1">
      <c r="A375" s="4" t="s">
        <v>8496</v>
      </c>
      <c r="B375" s="4" t="s">
        <v>6480</v>
      </c>
      <c r="C375" s="4" t="s">
        <v>8702</v>
      </c>
      <c r="D375" s="5">
        <v>277.244071078866</v>
      </c>
      <c r="H375" s="32">
        <v>0.0</v>
      </c>
    </row>
    <row r="376" ht="14.25" customHeight="1">
      <c r="A376" s="4" t="s">
        <v>8496</v>
      </c>
      <c r="B376" s="4" t="s">
        <v>8703</v>
      </c>
      <c r="C376" s="4" t="s">
        <v>8497</v>
      </c>
      <c r="D376" s="5">
        <v>327.22651636833797</v>
      </c>
      <c r="H376" s="32">
        <v>0.0</v>
      </c>
    </row>
    <row r="377" ht="14.25" customHeight="1">
      <c r="A377" s="4" t="s">
        <v>8496</v>
      </c>
      <c r="B377" s="4" t="s">
        <v>8704</v>
      </c>
      <c r="C377" s="4" t="s">
        <v>8497</v>
      </c>
      <c r="D377" s="5">
        <v>327.22651636833797</v>
      </c>
      <c r="H377" s="32">
        <v>0.0</v>
      </c>
    </row>
    <row r="378" ht="14.25" customHeight="1">
      <c r="A378" s="4" t="s">
        <v>8496</v>
      </c>
      <c r="B378" s="4" t="s">
        <v>5141</v>
      </c>
      <c r="C378" s="4" t="s">
        <v>8497</v>
      </c>
      <c r="D378" s="5">
        <v>327.22651636833797</v>
      </c>
      <c r="H378" s="32">
        <v>0.0</v>
      </c>
    </row>
    <row r="379" ht="14.25" customHeight="1">
      <c r="A379" s="4" t="s">
        <v>8496</v>
      </c>
      <c r="B379" s="4" t="s">
        <v>8705</v>
      </c>
      <c r="C379" s="4" t="s">
        <v>8497</v>
      </c>
      <c r="D379" s="5">
        <v>327.22651636833797</v>
      </c>
      <c r="H379" s="32">
        <v>0.0</v>
      </c>
    </row>
    <row r="380" ht="14.25" customHeight="1">
      <c r="A380" s="4" t="s">
        <v>8496</v>
      </c>
      <c r="B380" s="4" t="s">
        <v>8706</v>
      </c>
      <c r="C380" s="4" t="s">
        <v>8497</v>
      </c>
      <c r="D380" s="5">
        <v>327.22651636833797</v>
      </c>
      <c r="H380" s="32">
        <v>0.0</v>
      </c>
    </row>
    <row r="381" ht="14.25" customHeight="1">
      <c r="A381" s="4" t="s">
        <v>8496</v>
      </c>
      <c r="B381" s="4" t="s">
        <v>8707</v>
      </c>
      <c r="C381" s="4" t="s">
        <v>8497</v>
      </c>
      <c r="D381" s="5">
        <v>327.22651636833797</v>
      </c>
      <c r="H381" s="32">
        <v>0.0</v>
      </c>
    </row>
    <row r="382" ht="14.25" customHeight="1">
      <c r="A382" s="4" t="s">
        <v>8496</v>
      </c>
      <c r="B382" s="4" t="s">
        <v>8708</v>
      </c>
      <c r="C382" s="4" t="s">
        <v>8497</v>
      </c>
      <c r="D382" s="5">
        <v>327.22651636833797</v>
      </c>
      <c r="H382" s="32">
        <v>0.0</v>
      </c>
    </row>
    <row r="383" ht="14.25" customHeight="1">
      <c r="A383" s="4" t="s">
        <v>8496</v>
      </c>
      <c r="B383" s="4" t="s">
        <v>8709</v>
      </c>
      <c r="C383" s="4" t="s">
        <v>8710</v>
      </c>
      <c r="D383" s="5">
        <v>236.627498666999</v>
      </c>
      <c r="H383" s="32">
        <v>0.0</v>
      </c>
    </row>
    <row r="384" ht="14.25" customHeight="1">
      <c r="A384" s="4" t="s">
        <v>8496</v>
      </c>
      <c r="B384" s="4" t="s">
        <v>8711</v>
      </c>
      <c r="C384" s="4" t="s">
        <v>8497</v>
      </c>
      <c r="D384" s="5">
        <v>327.22651636833797</v>
      </c>
      <c r="H384" s="32">
        <v>0.0</v>
      </c>
    </row>
    <row r="385" ht="14.25" customHeight="1">
      <c r="A385" s="4" t="s">
        <v>8496</v>
      </c>
      <c r="B385" s="4" t="s">
        <v>8712</v>
      </c>
      <c r="C385" s="4" t="s">
        <v>8497</v>
      </c>
      <c r="D385" s="5">
        <v>327.22651636833797</v>
      </c>
      <c r="H385" s="32">
        <v>0.0</v>
      </c>
    </row>
    <row r="386" ht="14.25" customHeight="1">
      <c r="A386" s="4" t="s">
        <v>8496</v>
      </c>
      <c r="B386" s="4" t="s">
        <v>8713</v>
      </c>
      <c r="C386" s="4" t="s">
        <v>8497</v>
      </c>
      <c r="D386" s="5">
        <v>327.22651636833797</v>
      </c>
      <c r="H386" s="32">
        <v>0.0</v>
      </c>
    </row>
    <row r="387" ht="14.25" customHeight="1">
      <c r="A387" s="4" t="s">
        <v>8496</v>
      </c>
      <c r="B387" s="4" t="s">
        <v>6185</v>
      </c>
      <c r="C387" s="4" t="s">
        <v>8497</v>
      </c>
      <c r="D387" s="5">
        <v>327.22651636833797</v>
      </c>
      <c r="H387" s="32">
        <v>0.0</v>
      </c>
    </row>
    <row r="388" ht="14.25" customHeight="1">
      <c r="A388" s="4" t="s">
        <v>8496</v>
      </c>
      <c r="B388" s="4" t="s">
        <v>7463</v>
      </c>
      <c r="C388" s="4" t="s">
        <v>8497</v>
      </c>
      <c r="D388" s="5">
        <v>327.22651636833797</v>
      </c>
      <c r="H388" s="32">
        <v>0.0</v>
      </c>
    </row>
    <row r="389" ht="14.25" customHeight="1">
      <c r="A389" s="4" t="s">
        <v>8496</v>
      </c>
      <c r="B389" s="4" t="s">
        <v>373</v>
      </c>
      <c r="C389" s="4" t="s">
        <v>8714</v>
      </c>
      <c r="D389" s="5">
        <v>314.31032553335297</v>
      </c>
      <c r="H389" s="32">
        <v>0.0</v>
      </c>
    </row>
    <row r="390" ht="14.25" customHeight="1">
      <c r="A390" s="4" t="s">
        <v>8496</v>
      </c>
      <c r="B390" s="4" t="s">
        <v>8715</v>
      </c>
      <c r="C390" s="4" t="s">
        <v>8497</v>
      </c>
      <c r="D390" s="5">
        <v>327.22651636833797</v>
      </c>
      <c r="H390" s="32">
        <v>0.0</v>
      </c>
    </row>
    <row r="391" ht="14.25" customHeight="1">
      <c r="A391" s="4" t="s">
        <v>8496</v>
      </c>
      <c r="B391" s="4" t="s">
        <v>8716</v>
      </c>
      <c r="C391" s="4" t="s">
        <v>8497</v>
      </c>
      <c r="D391" s="5">
        <v>327.22651636833797</v>
      </c>
      <c r="H391" s="32">
        <v>0.0</v>
      </c>
    </row>
    <row r="392" ht="14.25" customHeight="1">
      <c r="A392" s="4" t="s">
        <v>8496</v>
      </c>
      <c r="B392" s="4" t="s">
        <v>8717</v>
      </c>
      <c r="C392" s="4" t="s">
        <v>8497</v>
      </c>
      <c r="D392" s="5">
        <v>327.22651636833797</v>
      </c>
      <c r="H392" s="32">
        <v>0.0</v>
      </c>
    </row>
    <row r="393" ht="14.25" customHeight="1">
      <c r="A393" s="4" t="s">
        <v>8718</v>
      </c>
      <c r="B393" s="4" t="s">
        <v>664</v>
      </c>
      <c r="C393" s="4" t="s">
        <v>8719</v>
      </c>
      <c r="D393" s="5">
        <v>299.32498132252</v>
      </c>
      <c r="H393" s="32">
        <v>0.0</v>
      </c>
    </row>
    <row r="394" ht="14.25" customHeight="1">
      <c r="A394" s="4" t="s">
        <v>8718</v>
      </c>
      <c r="B394" s="4" t="s">
        <v>1283</v>
      </c>
      <c r="C394" s="4" t="s">
        <v>8720</v>
      </c>
      <c r="D394" s="5">
        <v>290.076649730104</v>
      </c>
      <c r="H394" s="32">
        <v>0.0</v>
      </c>
    </row>
    <row r="395" ht="14.25" customHeight="1">
      <c r="A395" s="4" t="s">
        <v>8718</v>
      </c>
      <c r="B395" s="4" t="s">
        <v>6172</v>
      </c>
      <c r="C395" s="4" t="s">
        <v>8719</v>
      </c>
      <c r="D395" s="5">
        <v>299.32498132252</v>
      </c>
      <c r="H395" s="32">
        <v>0.0</v>
      </c>
    </row>
    <row r="396" ht="14.25" customHeight="1">
      <c r="A396" s="4" t="s">
        <v>8718</v>
      </c>
      <c r="B396" s="4" t="s">
        <v>8523</v>
      </c>
      <c r="C396" s="4" t="s">
        <v>8719</v>
      </c>
      <c r="D396" s="5">
        <v>299.32498132252</v>
      </c>
      <c r="H396" s="32">
        <v>0.0</v>
      </c>
    </row>
    <row r="397" ht="14.25" customHeight="1">
      <c r="A397" s="4" t="s">
        <v>8718</v>
      </c>
      <c r="B397" s="4" t="s">
        <v>3583</v>
      </c>
      <c r="C397" s="4" t="s">
        <v>8719</v>
      </c>
      <c r="D397" s="5">
        <v>299.32498132252</v>
      </c>
      <c r="H397" s="32">
        <v>0.0</v>
      </c>
    </row>
    <row r="398" ht="14.25" customHeight="1">
      <c r="A398" s="4" t="s">
        <v>8718</v>
      </c>
      <c r="B398" s="4" t="s">
        <v>8607</v>
      </c>
      <c r="C398" s="4" t="s">
        <v>8719</v>
      </c>
      <c r="D398" s="5">
        <v>299.32498132252</v>
      </c>
      <c r="H398" s="32">
        <v>0.0</v>
      </c>
    </row>
    <row r="399" ht="14.25" customHeight="1">
      <c r="A399" s="4" t="s">
        <v>8718</v>
      </c>
      <c r="B399" s="4" t="s">
        <v>8704</v>
      </c>
      <c r="C399" s="4" t="s">
        <v>8719</v>
      </c>
      <c r="D399" s="5">
        <v>299.32498132252</v>
      </c>
      <c r="H399" s="32">
        <v>0.0</v>
      </c>
    </row>
    <row r="400" ht="14.25" customHeight="1">
      <c r="A400" s="4" t="s">
        <v>8718</v>
      </c>
      <c r="B400" s="4" t="s">
        <v>4361</v>
      </c>
      <c r="C400" s="4" t="s">
        <v>8719</v>
      </c>
      <c r="D400" s="5">
        <v>299.32498132252</v>
      </c>
      <c r="H400" s="32">
        <v>0.0</v>
      </c>
    </row>
    <row r="401" ht="14.25" customHeight="1">
      <c r="A401" s="4" t="s">
        <v>8718</v>
      </c>
      <c r="B401" s="4" t="s">
        <v>8593</v>
      </c>
      <c r="C401" s="4" t="s">
        <v>8719</v>
      </c>
      <c r="D401" s="5">
        <v>299.32498132252</v>
      </c>
      <c r="H401" s="32">
        <v>0.0</v>
      </c>
    </row>
    <row r="402" ht="14.25" customHeight="1">
      <c r="A402" s="4" t="s">
        <v>8718</v>
      </c>
      <c r="B402" s="4" t="s">
        <v>6645</v>
      </c>
      <c r="C402" s="4" t="s">
        <v>8721</v>
      </c>
      <c r="D402" s="5">
        <v>122.844793160661</v>
      </c>
      <c r="H402" s="32">
        <v>0.0</v>
      </c>
    </row>
    <row r="403" ht="14.25" customHeight="1">
      <c r="A403" s="4" t="s">
        <v>8718</v>
      </c>
      <c r="B403" s="4" t="s">
        <v>6350</v>
      </c>
      <c r="C403" s="4" t="s">
        <v>8719</v>
      </c>
      <c r="D403" s="5">
        <v>299.32498132252</v>
      </c>
      <c r="H403" s="32">
        <v>0.0</v>
      </c>
    </row>
    <row r="404" ht="14.25" customHeight="1">
      <c r="A404" s="4" t="s">
        <v>8718</v>
      </c>
      <c r="B404" s="4" t="s">
        <v>8722</v>
      </c>
      <c r="C404" s="4" t="s">
        <v>8723</v>
      </c>
      <c r="D404" s="5">
        <v>63.455495970892606</v>
      </c>
      <c r="H404" s="32">
        <v>0.0</v>
      </c>
    </row>
    <row r="405" ht="14.25" customHeight="1">
      <c r="A405" s="4" t="s">
        <v>8718</v>
      </c>
      <c r="B405" s="4" t="s">
        <v>8700</v>
      </c>
      <c r="C405" s="4" t="s">
        <v>8719</v>
      </c>
      <c r="D405" s="5">
        <v>299.32498132252</v>
      </c>
      <c r="H405" s="32">
        <v>0.0</v>
      </c>
    </row>
    <row r="406" ht="14.25" customHeight="1">
      <c r="A406" s="4" t="s">
        <v>8718</v>
      </c>
      <c r="B406" s="4" t="s">
        <v>501</v>
      </c>
      <c r="C406" s="4" t="s">
        <v>8724</v>
      </c>
      <c r="D406" s="5">
        <v>292.217532551081</v>
      </c>
      <c r="H406" s="32">
        <v>0.0</v>
      </c>
    </row>
    <row r="407" ht="14.25" customHeight="1">
      <c r="A407" s="4" t="s">
        <v>8718</v>
      </c>
      <c r="B407" s="4" t="s">
        <v>8611</v>
      </c>
      <c r="C407" s="4" t="s">
        <v>8719</v>
      </c>
      <c r="D407" s="5">
        <v>299.32498132252</v>
      </c>
      <c r="H407" s="32">
        <v>0.0</v>
      </c>
    </row>
    <row r="408" ht="14.25" customHeight="1">
      <c r="A408" s="4" t="s">
        <v>8718</v>
      </c>
      <c r="B408" s="4" t="s">
        <v>8654</v>
      </c>
      <c r="C408" s="4" t="s">
        <v>8719</v>
      </c>
      <c r="D408" s="5">
        <v>299.32498132252</v>
      </c>
      <c r="H408" s="32">
        <v>0.0</v>
      </c>
    </row>
    <row r="409" ht="14.25" customHeight="1">
      <c r="A409" s="4" t="s">
        <v>8718</v>
      </c>
      <c r="B409" s="4" t="s">
        <v>923</v>
      </c>
      <c r="C409" s="4" t="s">
        <v>8719</v>
      </c>
      <c r="D409" s="5">
        <v>299.32498132252</v>
      </c>
      <c r="H409" s="32">
        <v>0.0</v>
      </c>
    </row>
    <row r="410" ht="14.25" customHeight="1">
      <c r="A410" s="4" t="s">
        <v>8718</v>
      </c>
      <c r="B410" s="4" t="s">
        <v>8586</v>
      </c>
      <c r="C410" s="4" t="s">
        <v>8719</v>
      </c>
      <c r="D410" s="5">
        <v>299.32498132252</v>
      </c>
      <c r="H410" s="32">
        <v>0.0</v>
      </c>
    </row>
    <row r="411" ht="14.25" customHeight="1">
      <c r="A411" s="4" t="s">
        <v>8718</v>
      </c>
      <c r="B411" s="4" t="s">
        <v>8725</v>
      </c>
      <c r="C411" s="4" t="s">
        <v>8719</v>
      </c>
      <c r="D411" s="5">
        <v>299.32498132252</v>
      </c>
      <c r="H411" s="32">
        <v>0.0</v>
      </c>
    </row>
    <row r="412" ht="14.25" customHeight="1">
      <c r="A412" s="4" t="s">
        <v>8718</v>
      </c>
      <c r="B412" s="4" t="s">
        <v>699</v>
      </c>
      <c r="C412" s="4" t="s">
        <v>8719</v>
      </c>
      <c r="D412" s="5">
        <v>299.32498132252</v>
      </c>
      <c r="H412" s="32">
        <v>0.0</v>
      </c>
    </row>
    <row r="413" ht="14.25" customHeight="1">
      <c r="A413" s="4" t="s">
        <v>8718</v>
      </c>
      <c r="B413" s="4" t="s">
        <v>8726</v>
      </c>
      <c r="C413" s="4" t="s">
        <v>8719</v>
      </c>
      <c r="D413" s="5">
        <v>299.32498132252</v>
      </c>
      <c r="H413" s="32">
        <v>0.0</v>
      </c>
    </row>
    <row r="414" ht="14.25" customHeight="1">
      <c r="A414" s="4" t="s">
        <v>8718</v>
      </c>
      <c r="B414" s="4" t="s">
        <v>8630</v>
      </c>
      <c r="C414" s="4" t="s">
        <v>8719</v>
      </c>
      <c r="D414" s="5">
        <v>299.32498132252</v>
      </c>
      <c r="H414" s="32">
        <v>0.0</v>
      </c>
    </row>
    <row r="415" ht="14.25" customHeight="1">
      <c r="A415" s="4" t="s">
        <v>8718</v>
      </c>
      <c r="B415" s="4" t="s">
        <v>8582</v>
      </c>
      <c r="C415" s="4" t="s">
        <v>8719</v>
      </c>
      <c r="D415" s="5">
        <v>299.32498132252</v>
      </c>
      <c r="H415" s="32">
        <v>0.0</v>
      </c>
    </row>
    <row r="416" ht="14.25" customHeight="1">
      <c r="A416" s="4" t="s">
        <v>8718</v>
      </c>
      <c r="B416" s="4" t="s">
        <v>3261</v>
      </c>
      <c r="C416" s="4" t="s">
        <v>8719</v>
      </c>
      <c r="D416" s="5">
        <v>299.32498132252</v>
      </c>
      <c r="H416" s="32">
        <v>0.0</v>
      </c>
    </row>
    <row r="417" ht="14.25" customHeight="1">
      <c r="A417" s="4" t="s">
        <v>8718</v>
      </c>
      <c r="B417" s="4" t="s">
        <v>788</v>
      </c>
      <c r="C417" s="4" t="s">
        <v>8719</v>
      </c>
      <c r="D417" s="5">
        <v>299.32498132252</v>
      </c>
      <c r="H417" s="32">
        <v>0.0</v>
      </c>
    </row>
    <row r="418" ht="14.25" customHeight="1">
      <c r="A418" s="4" t="s">
        <v>8718</v>
      </c>
      <c r="B418" s="4" t="s">
        <v>4639</v>
      </c>
      <c r="C418" s="4" t="s">
        <v>8719</v>
      </c>
      <c r="D418" s="5">
        <v>299.32498132252</v>
      </c>
      <c r="H418" s="32">
        <v>0.0</v>
      </c>
    </row>
    <row r="419" ht="14.25" customHeight="1">
      <c r="A419" s="4" t="s">
        <v>8718</v>
      </c>
      <c r="B419" s="4" t="s">
        <v>3801</v>
      </c>
      <c r="C419" s="4" t="s">
        <v>8719</v>
      </c>
      <c r="D419" s="5">
        <v>299.32498132252</v>
      </c>
      <c r="H419" s="32">
        <v>0.0</v>
      </c>
    </row>
    <row r="420" ht="14.25" customHeight="1">
      <c r="A420" s="4" t="s">
        <v>8718</v>
      </c>
      <c r="B420" s="4" t="s">
        <v>8528</v>
      </c>
      <c r="C420" s="4" t="s">
        <v>8719</v>
      </c>
      <c r="D420" s="5">
        <v>299.32498132252</v>
      </c>
      <c r="H420" s="32">
        <v>0.0</v>
      </c>
    </row>
    <row r="421" ht="14.25" customHeight="1">
      <c r="A421" s="4" t="s">
        <v>8718</v>
      </c>
      <c r="B421" s="4" t="s">
        <v>5738</v>
      </c>
      <c r="C421" s="4" t="s">
        <v>8719</v>
      </c>
      <c r="D421" s="5">
        <v>299.32498132252</v>
      </c>
      <c r="H421" s="32">
        <v>0.0</v>
      </c>
    </row>
    <row r="422" ht="14.25" customHeight="1">
      <c r="A422" s="4" t="s">
        <v>8718</v>
      </c>
      <c r="B422" s="4" t="s">
        <v>822</v>
      </c>
      <c r="C422" s="4" t="s">
        <v>8719</v>
      </c>
      <c r="D422" s="5">
        <v>299.32498132252</v>
      </c>
      <c r="H422" s="32">
        <v>0.0</v>
      </c>
    </row>
    <row r="423" ht="14.25" customHeight="1">
      <c r="A423" s="4" t="s">
        <v>8718</v>
      </c>
      <c r="B423" s="4" t="s">
        <v>390</v>
      </c>
      <c r="C423" s="4" t="s">
        <v>8719</v>
      </c>
      <c r="D423" s="5">
        <v>299.32498132252</v>
      </c>
      <c r="H423" s="32">
        <v>0.0</v>
      </c>
    </row>
    <row r="424" ht="14.25" customHeight="1">
      <c r="A424" s="4" t="s">
        <v>8718</v>
      </c>
      <c r="B424" s="4" t="s">
        <v>8661</v>
      </c>
      <c r="C424" s="4" t="s">
        <v>8719</v>
      </c>
      <c r="D424" s="5">
        <v>299.32498132252</v>
      </c>
      <c r="H424" s="32">
        <v>0.0</v>
      </c>
    </row>
    <row r="425" ht="14.25" customHeight="1">
      <c r="A425" s="4" t="s">
        <v>8718</v>
      </c>
      <c r="B425" s="4" t="s">
        <v>8608</v>
      </c>
      <c r="C425" s="4" t="s">
        <v>8719</v>
      </c>
      <c r="D425" s="5">
        <v>299.32498132252</v>
      </c>
      <c r="H425" s="32">
        <v>0.0</v>
      </c>
    </row>
    <row r="426" ht="14.25" customHeight="1">
      <c r="A426" s="4" t="s">
        <v>8718</v>
      </c>
      <c r="B426" s="4" t="s">
        <v>1524</v>
      </c>
      <c r="C426" s="4" t="s">
        <v>8719</v>
      </c>
      <c r="D426" s="5">
        <v>299.32498132252</v>
      </c>
      <c r="H426" s="32">
        <v>0.0</v>
      </c>
    </row>
    <row r="427" ht="14.25" customHeight="1">
      <c r="A427" s="4" t="s">
        <v>8718</v>
      </c>
      <c r="B427" s="4" t="s">
        <v>2784</v>
      </c>
      <c r="C427" s="4" t="s">
        <v>8727</v>
      </c>
      <c r="D427" s="5">
        <v>189.137904751414</v>
      </c>
      <c r="H427" s="32">
        <v>0.0</v>
      </c>
    </row>
    <row r="428" ht="14.25" customHeight="1">
      <c r="A428" s="4" t="s">
        <v>8718</v>
      </c>
      <c r="B428" s="4" t="s">
        <v>8637</v>
      </c>
      <c r="C428" s="4" t="s">
        <v>8719</v>
      </c>
      <c r="D428" s="5">
        <v>299.32498132252</v>
      </c>
      <c r="H428" s="32">
        <v>0.0</v>
      </c>
    </row>
    <row r="429" ht="14.25" customHeight="1">
      <c r="A429" s="4" t="s">
        <v>8718</v>
      </c>
      <c r="B429" s="4" t="s">
        <v>4154</v>
      </c>
      <c r="C429" s="4" t="s">
        <v>8719</v>
      </c>
      <c r="D429" s="5">
        <v>299.32498132252</v>
      </c>
      <c r="H429" s="32">
        <v>0.0</v>
      </c>
    </row>
    <row r="430" ht="14.25" customHeight="1">
      <c r="A430" s="4" t="s">
        <v>8718</v>
      </c>
      <c r="B430" s="4" t="s">
        <v>1817</v>
      </c>
      <c r="C430" s="4" t="s">
        <v>8719</v>
      </c>
      <c r="D430" s="5">
        <v>299.32498132252</v>
      </c>
      <c r="H430" s="32">
        <v>0.0</v>
      </c>
    </row>
    <row r="431" ht="14.25" customHeight="1">
      <c r="A431" s="4" t="s">
        <v>8718</v>
      </c>
      <c r="B431" s="4" t="s">
        <v>1125</v>
      </c>
      <c r="C431" s="4" t="s">
        <v>8719</v>
      </c>
      <c r="D431" s="5">
        <v>299.32498132252</v>
      </c>
      <c r="H431" s="32">
        <v>0.0</v>
      </c>
    </row>
    <row r="432" ht="14.25" customHeight="1">
      <c r="A432" s="4" t="s">
        <v>8718</v>
      </c>
      <c r="B432" s="4" t="s">
        <v>8575</v>
      </c>
      <c r="C432" s="4" t="s">
        <v>8719</v>
      </c>
      <c r="D432" s="5">
        <v>299.32498132252</v>
      </c>
      <c r="H432" s="32">
        <v>0.0</v>
      </c>
    </row>
    <row r="433" ht="14.25" customHeight="1">
      <c r="A433" s="4" t="s">
        <v>8718</v>
      </c>
      <c r="B433" s="4" t="s">
        <v>8550</v>
      </c>
      <c r="C433" s="4" t="s">
        <v>8728</v>
      </c>
      <c r="D433" s="5">
        <v>277.714477532033</v>
      </c>
      <c r="H433" s="32">
        <v>0.0</v>
      </c>
    </row>
    <row r="434" ht="14.25" customHeight="1">
      <c r="A434" s="4" t="s">
        <v>8718</v>
      </c>
      <c r="B434" s="4" t="s">
        <v>8649</v>
      </c>
      <c r="C434" s="4" t="s">
        <v>8719</v>
      </c>
      <c r="D434" s="5">
        <v>299.32498132252</v>
      </c>
      <c r="H434" s="32">
        <v>0.0</v>
      </c>
    </row>
    <row r="435" ht="14.25" customHeight="1">
      <c r="A435" s="4" t="s">
        <v>8718</v>
      </c>
      <c r="B435" s="4" t="s">
        <v>6408</v>
      </c>
      <c r="C435" s="4" t="s">
        <v>8719</v>
      </c>
      <c r="D435" s="5">
        <v>299.32498132252</v>
      </c>
      <c r="H435" s="32">
        <v>0.0</v>
      </c>
    </row>
    <row r="436" ht="14.25" customHeight="1">
      <c r="A436" s="4" t="s">
        <v>8718</v>
      </c>
      <c r="B436" s="4" t="s">
        <v>8579</v>
      </c>
      <c r="C436" s="4" t="s">
        <v>8719</v>
      </c>
      <c r="D436" s="5">
        <v>299.32498132252</v>
      </c>
      <c r="H436" s="32">
        <v>0.0</v>
      </c>
    </row>
    <row r="437" ht="14.25" customHeight="1">
      <c r="A437" s="4" t="s">
        <v>8718</v>
      </c>
      <c r="B437" s="4" t="s">
        <v>8729</v>
      </c>
      <c r="C437" s="4" t="s">
        <v>8730</v>
      </c>
      <c r="D437" s="5">
        <v>196.956442747776</v>
      </c>
      <c r="H437" s="32">
        <v>0.0</v>
      </c>
    </row>
    <row r="438" ht="14.25" customHeight="1">
      <c r="A438" s="4" t="s">
        <v>8718</v>
      </c>
      <c r="B438" s="4" t="s">
        <v>8638</v>
      </c>
      <c r="C438" s="4" t="s">
        <v>8719</v>
      </c>
      <c r="D438" s="5">
        <v>299.32498132252</v>
      </c>
      <c r="H438" s="32">
        <v>0.0</v>
      </c>
    </row>
    <row r="439" ht="14.25" customHeight="1">
      <c r="A439" s="4" t="s">
        <v>8718</v>
      </c>
      <c r="B439" s="4" t="s">
        <v>8674</v>
      </c>
      <c r="C439" s="4" t="s">
        <v>8719</v>
      </c>
      <c r="D439" s="5">
        <v>299.32498132252</v>
      </c>
      <c r="H439" s="32">
        <v>0.0</v>
      </c>
    </row>
    <row r="440" ht="14.25" customHeight="1">
      <c r="A440" s="4" t="s">
        <v>8718</v>
      </c>
      <c r="B440" s="4" t="s">
        <v>2506</v>
      </c>
      <c r="C440" s="4" t="s">
        <v>8719</v>
      </c>
      <c r="D440" s="5">
        <v>299.32498132252</v>
      </c>
      <c r="H440" s="32">
        <v>0.0</v>
      </c>
    </row>
    <row r="441" ht="14.25" customHeight="1">
      <c r="A441" s="4" t="s">
        <v>8718</v>
      </c>
      <c r="B441" s="4" t="s">
        <v>4381</v>
      </c>
      <c r="C441" s="4" t="s">
        <v>8719</v>
      </c>
      <c r="D441" s="5">
        <v>299.32498132252</v>
      </c>
      <c r="H441" s="32">
        <v>0.0</v>
      </c>
    </row>
    <row r="442" ht="14.25" customHeight="1">
      <c r="A442" s="4" t="s">
        <v>8718</v>
      </c>
      <c r="B442" s="4" t="s">
        <v>8670</v>
      </c>
      <c r="C442" s="4" t="s">
        <v>8719</v>
      </c>
      <c r="D442" s="5">
        <v>299.32498132252</v>
      </c>
      <c r="H442" s="32">
        <v>0.0</v>
      </c>
    </row>
    <row r="443" ht="14.25" customHeight="1">
      <c r="A443" s="4" t="s">
        <v>8718</v>
      </c>
      <c r="B443" s="4" t="s">
        <v>4490</v>
      </c>
      <c r="C443" s="4" t="s">
        <v>8719</v>
      </c>
      <c r="D443" s="5">
        <v>299.32498132252</v>
      </c>
      <c r="H443" s="32">
        <v>0.0</v>
      </c>
    </row>
    <row r="444" ht="14.25" customHeight="1">
      <c r="A444" s="4" t="s">
        <v>8718</v>
      </c>
      <c r="B444" s="4" t="s">
        <v>8534</v>
      </c>
      <c r="C444" s="4" t="s">
        <v>8719</v>
      </c>
      <c r="D444" s="5">
        <v>299.32498132252</v>
      </c>
      <c r="H444" s="32">
        <v>0.0</v>
      </c>
    </row>
    <row r="445" ht="14.25" customHeight="1">
      <c r="A445" s="4" t="s">
        <v>8718</v>
      </c>
      <c r="B445" s="4" t="s">
        <v>2028</v>
      </c>
      <c r="C445" s="4" t="s">
        <v>8719</v>
      </c>
      <c r="D445" s="5">
        <v>299.32498132252</v>
      </c>
      <c r="H445" s="32">
        <v>0.0</v>
      </c>
    </row>
    <row r="446" ht="14.25" customHeight="1">
      <c r="A446" s="4" t="s">
        <v>8718</v>
      </c>
      <c r="B446" s="4" t="s">
        <v>8134</v>
      </c>
      <c r="C446" s="4" t="s">
        <v>8719</v>
      </c>
      <c r="D446" s="5">
        <v>299.32498132252</v>
      </c>
      <c r="H446" s="32">
        <v>0.0</v>
      </c>
    </row>
    <row r="447" ht="14.25" customHeight="1">
      <c r="A447" s="4" t="s">
        <v>8718</v>
      </c>
      <c r="B447" s="4" t="s">
        <v>4952</v>
      </c>
      <c r="C447" s="4" t="s">
        <v>8719</v>
      </c>
      <c r="D447" s="5">
        <v>299.32498132252</v>
      </c>
      <c r="H447" s="32">
        <v>0.0</v>
      </c>
    </row>
    <row r="448" ht="14.25" customHeight="1">
      <c r="A448" s="4" t="s">
        <v>8718</v>
      </c>
      <c r="B448" s="4" t="s">
        <v>5870</v>
      </c>
      <c r="C448" s="4" t="s">
        <v>8719</v>
      </c>
      <c r="D448" s="5">
        <v>299.32498132252</v>
      </c>
      <c r="H448" s="32">
        <v>0.0</v>
      </c>
    </row>
    <row r="449" ht="14.25" customHeight="1">
      <c r="A449" s="4" t="s">
        <v>8718</v>
      </c>
      <c r="B449" s="4" t="s">
        <v>966</v>
      </c>
      <c r="C449" s="4" t="s">
        <v>8731</v>
      </c>
      <c r="D449" s="5">
        <v>298.403905061547</v>
      </c>
      <c r="H449" s="32">
        <v>0.0</v>
      </c>
    </row>
    <row r="450" ht="14.25" customHeight="1">
      <c r="A450" s="4" t="s">
        <v>8718</v>
      </c>
      <c r="B450" s="4" t="s">
        <v>3912</v>
      </c>
      <c r="C450" s="4" t="s">
        <v>8719</v>
      </c>
      <c r="D450" s="5">
        <v>299.32498132252</v>
      </c>
      <c r="H450" s="32">
        <v>0.0</v>
      </c>
    </row>
    <row r="451" ht="14.25" customHeight="1">
      <c r="A451" s="4" t="s">
        <v>8718</v>
      </c>
      <c r="B451" s="4" t="s">
        <v>7230</v>
      </c>
      <c r="C451" s="4" t="s">
        <v>8719</v>
      </c>
      <c r="D451" s="5">
        <v>299.32498132252</v>
      </c>
      <c r="H451" s="32">
        <v>0.0</v>
      </c>
    </row>
    <row r="452" ht="14.25" customHeight="1">
      <c r="A452" s="4" t="s">
        <v>8718</v>
      </c>
      <c r="B452" s="4" t="s">
        <v>8732</v>
      </c>
      <c r="C452" s="4" t="s">
        <v>8719</v>
      </c>
      <c r="D452" s="5">
        <v>299.32498132252</v>
      </c>
      <c r="H452" s="32">
        <v>0.0</v>
      </c>
    </row>
    <row r="453" ht="14.25" customHeight="1">
      <c r="A453" s="4" t="s">
        <v>8718</v>
      </c>
      <c r="B453" s="4" t="s">
        <v>1517</v>
      </c>
      <c r="C453" s="4" t="s">
        <v>8719</v>
      </c>
      <c r="D453" s="5">
        <v>299.32498132252</v>
      </c>
      <c r="H453" s="32">
        <v>0.0</v>
      </c>
    </row>
    <row r="454" ht="14.25" customHeight="1">
      <c r="A454" s="4" t="s">
        <v>8718</v>
      </c>
      <c r="B454" s="4" t="s">
        <v>1066</v>
      </c>
      <c r="C454" s="4" t="s">
        <v>8719</v>
      </c>
      <c r="D454" s="5">
        <v>299.32498132252</v>
      </c>
      <c r="H454" s="32">
        <v>0.0</v>
      </c>
    </row>
    <row r="455" ht="14.25" customHeight="1">
      <c r="A455" s="4" t="s">
        <v>8718</v>
      </c>
      <c r="B455" s="4" t="s">
        <v>8671</v>
      </c>
      <c r="C455" s="4" t="s">
        <v>8719</v>
      </c>
      <c r="D455" s="5">
        <v>299.32498132252</v>
      </c>
      <c r="H455" s="32">
        <v>0.0</v>
      </c>
    </row>
    <row r="456" ht="14.25" customHeight="1">
      <c r="A456" s="4" t="s">
        <v>8718</v>
      </c>
      <c r="B456" s="4" t="s">
        <v>8618</v>
      </c>
      <c r="C456" s="4" t="s">
        <v>8733</v>
      </c>
      <c r="D456" s="5">
        <v>258.075693041671</v>
      </c>
      <c r="H456" s="32">
        <v>0.0</v>
      </c>
    </row>
    <row r="457" ht="14.25" customHeight="1">
      <c r="A457" s="4" t="s">
        <v>8718</v>
      </c>
      <c r="B457" s="4" t="s">
        <v>3086</v>
      </c>
      <c r="C457" s="4" t="s">
        <v>8719</v>
      </c>
      <c r="D457" s="5">
        <v>299.32498132252</v>
      </c>
      <c r="H457" s="32">
        <v>0.0</v>
      </c>
    </row>
    <row r="458" ht="14.25" customHeight="1">
      <c r="A458" s="4" t="s">
        <v>8718</v>
      </c>
      <c r="B458" s="4" t="s">
        <v>872</v>
      </c>
      <c r="C458" s="4" t="s">
        <v>8719</v>
      </c>
      <c r="D458" s="5">
        <v>299.32498132252</v>
      </c>
      <c r="H458" s="32">
        <v>0.0</v>
      </c>
    </row>
    <row r="459" ht="14.25" customHeight="1">
      <c r="A459" s="4" t="s">
        <v>8718</v>
      </c>
      <c r="B459" s="4" t="s">
        <v>8533</v>
      </c>
      <c r="C459" s="4" t="s">
        <v>8719</v>
      </c>
      <c r="D459" s="5">
        <v>299.32498132252</v>
      </c>
      <c r="H459" s="32">
        <v>0.0</v>
      </c>
    </row>
    <row r="460" ht="14.25" customHeight="1">
      <c r="A460" s="4" t="s">
        <v>8718</v>
      </c>
      <c r="B460" s="4" t="s">
        <v>8655</v>
      </c>
      <c r="C460" s="4" t="s">
        <v>8719</v>
      </c>
      <c r="D460" s="5">
        <v>299.32498132252</v>
      </c>
      <c r="H460" s="32">
        <v>0.0</v>
      </c>
    </row>
    <row r="461" ht="14.25" customHeight="1">
      <c r="A461" s="4" t="s">
        <v>8718</v>
      </c>
      <c r="B461" s="4" t="s">
        <v>6325</v>
      </c>
      <c r="C461" s="4" t="s">
        <v>8719</v>
      </c>
      <c r="D461" s="5">
        <v>299.32498132252</v>
      </c>
      <c r="H461" s="32">
        <v>0.0</v>
      </c>
    </row>
    <row r="462" ht="14.25" customHeight="1">
      <c r="A462" s="4" t="s">
        <v>8718</v>
      </c>
      <c r="B462" s="4" t="s">
        <v>2293</v>
      </c>
      <c r="C462" s="4" t="s">
        <v>8719</v>
      </c>
      <c r="D462" s="5">
        <v>299.32498132252</v>
      </c>
      <c r="H462" s="32">
        <v>0.0</v>
      </c>
    </row>
    <row r="463" ht="14.25" customHeight="1">
      <c r="A463" s="4" t="s">
        <v>8718</v>
      </c>
      <c r="B463" s="4" t="s">
        <v>8568</v>
      </c>
      <c r="C463" s="4" t="s">
        <v>8719</v>
      </c>
      <c r="D463" s="5">
        <v>299.32498132252</v>
      </c>
      <c r="H463" s="32">
        <v>0.0</v>
      </c>
    </row>
    <row r="464" ht="14.25" customHeight="1">
      <c r="A464" s="4" t="s">
        <v>8718</v>
      </c>
      <c r="B464" s="4" t="s">
        <v>7431</v>
      </c>
      <c r="C464" s="4" t="s">
        <v>8719</v>
      </c>
      <c r="D464" s="5">
        <v>299.32498132252</v>
      </c>
      <c r="H464" s="32">
        <v>0.0</v>
      </c>
    </row>
    <row r="465" ht="14.25" customHeight="1">
      <c r="A465" s="4" t="s">
        <v>8718</v>
      </c>
      <c r="B465" s="4" t="s">
        <v>2478</v>
      </c>
      <c r="C465" s="4" t="s">
        <v>8719</v>
      </c>
      <c r="D465" s="5">
        <v>299.32498132252</v>
      </c>
      <c r="H465" s="32">
        <v>0.0</v>
      </c>
    </row>
    <row r="466" ht="14.25" customHeight="1">
      <c r="A466" s="4" t="s">
        <v>8718</v>
      </c>
      <c r="B466" s="4" t="s">
        <v>8694</v>
      </c>
      <c r="C466" s="4" t="s">
        <v>8719</v>
      </c>
      <c r="D466" s="5">
        <v>299.32498132252</v>
      </c>
      <c r="H466" s="32">
        <v>0.0</v>
      </c>
    </row>
    <row r="467" ht="14.25" customHeight="1">
      <c r="A467" s="4" t="s">
        <v>8718</v>
      </c>
      <c r="B467" s="4" t="s">
        <v>8658</v>
      </c>
      <c r="C467" s="4" t="s">
        <v>8719</v>
      </c>
      <c r="D467" s="5">
        <v>299.32498132252</v>
      </c>
      <c r="H467" s="32">
        <v>0.0</v>
      </c>
    </row>
    <row r="468" ht="14.25" customHeight="1">
      <c r="A468" s="4" t="s">
        <v>8718</v>
      </c>
      <c r="B468" s="4" t="s">
        <v>8584</v>
      </c>
      <c r="C468" s="4" t="s">
        <v>8719</v>
      </c>
      <c r="D468" s="5">
        <v>299.32498132252</v>
      </c>
      <c r="H468" s="32">
        <v>0.0</v>
      </c>
    </row>
    <row r="469" ht="14.25" customHeight="1">
      <c r="A469" s="4" t="s">
        <v>8718</v>
      </c>
      <c r="B469" s="4" t="s">
        <v>3112</v>
      </c>
      <c r="C469" s="4" t="s">
        <v>8734</v>
      </c>
      <c r="D469" s="5">
        <v>193.087494771379</v>
      </c>
      <c r="H469" s="32">
        <v>0.0</v>
      </c>
    </row>
    <row r="470" ht="14.25" customHeight="1">
      <c r="A470" s="4" t="s">
        <v>8718</v>
      </c>
      <c r="B470" s="4" t="s">
        <v>4424</v>
      </c>
      <c r="C470" s="4" t="s">
        <v>8719</v>
      </c>
      <c r="D470" s="5">
        <v>299.32498132252</v>
      </c>
      <c r="H470" s="32">
        <v>0.0</v>
      </c>
    </row>
    <row r="471" ht="14.25" customHeight="1">
      <c r="A471" s="4" t="s">
        <v>8718</v>
      </c>
      <c r="B471" s="4" t="s">
        <v>8585</v>
      </c>
      <c r="C471" s="4" t="s">
        <v>8719</v>
      </c>
      <c r="D471" s="5">
        <v>299.32498132252</v>
      </c>
      <c r="H471" s="32">
        <v>0.0</v>
      </c>
    </row>
    <row r="472" ht="14.25" customHeight="1">
      <c r="A472" s="4" t="s">
        <v>8718</v>
      </c>
      <c r="B472" s="4" t="s">
        <v>5323</v>
      </c>
      <c r="C472" s="4" t="s">
        <v>8735</v>
      </c>
      <c r="D472" s="5">
        <v>164.09886307477902</v>
      </c>
      <c r="H472" s="32">
        <v>0.0</v>
      </c>
    </row>
    <row r="473" ht="14.25" customHeight="1">
      <c r="A473" s="4" t="s">
        <v>8718</v>
      </c>
      <c r="B473" s="4" t="s">
        <v>7073</v>
      </c>
      <c r="C473" s="4" t="s">
        <v>8719</v>
      </c>
      <c r="D473" s="5">
        <v>299.32498132252</v>
      </c>
      <c r="H473" s="32">
        <v>0.0</v>
      </c>
    </row>
    <row r="474" ht="14.25" customHeight="1">
      <c r="A474" s="4" t="s">
        <v>8718</v>
      </c>
      <c r="B474" s="4" t="s">
        <v>8736</v>
      </c>
      <c r="C474" s="4" t="s">
        <v>8719</v>
      </c>
      <c r="D474" s="5">
        <v>299.32498132252</v>
      </c>
      <c r="H474" s="32">
        <v>0.0</v>
      </c>
    </row>
    <row r="475" ht="14.25" customHeight="1">
      <c r="A475" s="4" t="s">
        <v>8718</v>
      </c>
      <c r="B475" s="4" t="s">
        <v>8616</v>
      </c>
      <c r="C475" s="4" t="s">
        <v>8719</v>
      </c>
      <c r="D475" s="5">
        <v>299.32498132252</v>
      </c>
      <c r="H475" s="32">
        <v>0.0</v>
      </c>
    </row>
    <row r="476" ht="14.25" customHeight="1">
      <c r="A476" s="4" t="s">
        <v>8718</v>
      </c>
      <c r="B476" s="4" t="s">
        <v>8646</v>
      </c>
      <c r="C476" s="4" t="s">
        <v>8719</v>
      </c>
      <c r="D476" s="5">
        <v>299.32498132252</v>
      </c>
      <c r="H476" s="32">
        <v>0.0</v>
      </c>
    </row>
    <row r="477" ht="14.25" customHeight="1">
      <c r="A477" s="4" t="s">
        <v>8718</v>
      </c>
      <c r="B477" s="4" t="s">
        <v>5815</v>
      </c>
      <c r="C477" s="4" t="s">
        <v>8719</v>
      </c>
      <c r="D477" s="5">
        <v>299.32498132252</v>
      </c>
      <c r="H477" s="32">
        <v>0.0</v>
      </c>
    </row>
    <row r="478" ht="14.25" customHeight="1">
      <c r="A478" s="4" t="s">
        <v>8718</v>
      </c>
      <c r="B478" s="4" t="s">
        <v>2633</v>
      </c>
      <c r="C478" s="4" t="s">
        <v>8719</v>
      </c>
      <c r="D478" s="5">
        <v>299.32498132252</v>
      </c>
      <c r="H478" s="32">
        <v>0.0</v>
      </c>
    </row>
    <row r="479" ht="14.25" customHeight="1">
      <c r="A479" s="4" t="s">
        <v>8718</v>
      </c>
      <c r="B479" s="4" t="s">
        <v>3772</v>
      </c>
      <c r="C479" s="4" t="s">
        <v>8719</v>
      </c>
      <c r="D479" s="5">
        <v>299.32498132252</v>
      </c>
      <c r="H479" s="32">
        <v>0.0</v>
      </c>
    </row>
    <row r="480" ht="14.25" customHeight="1">
      <c r="A480" s="4" t="s">
        <v>8718</v>
      </c>
      <c r="B480" s="4" t="s">
        <v>8664</v>
      </c>
      <c r="C480" s="4" t="s">
        <v>8719</v>
      </c>
      <c r="D480" s="5">
        <v>299.32498132252</v>
      </c>
      <c r="H480" s="32">
        <v>0.0</v>
      </c>
    </row>
    <row r="481" ht="14.25" customHeight="1">
      <c r="A481" s="4" t="s">
        <v>8718</v>
      </c>
      <c r="B481" s="4" t="s">
        <v>8453</v>
      </c>
      <c r="C481" s="4" t="s">
        <v>8719</v>
      </c>
      <c r="D481" s="5">
        <v>299.32498132252</v>
      </c>
      <c r="H481" s="32">
        <v>0.0</v>
      </c>
    </row>
    <row r="482" ht="14.25" customHeight="1">
      <c r="A482" s="4" t="s">
        <v>8718</v>
      </c>
      <c r="B482" s="4" t="s">
        <v>5105</v>
      </c>
      <c r="C482" s="4" t="s">
        <v>8719</v>
      </c>
      <c r="D482" s="5">
        <v>299.32498132252</v>
      </c>
      <c r="H482" s="32">
        <v>0.0</v>
      </c>
    </row>
    <row r="483" ht="14.25" customHeight="1">
      <c r="A483" s="4" t="s">
        <v>8718</v>
      </c>
      <c r="B483" s="4" t="s">
        <v>2733</v>
      </c>
      <c r="C483" s="4" t="s">
        <v>8719</v>
      </c>
      <c r="D483" s="5">
        <v>299.32498132252</v>
      </c>
      <c r="H483" s="32">
        <v>0.0</v>
      </c>
    </row>
    <row r="484" ht="14.25" customHeight="1">
      <c r="A484" s="4" t="s">
        <v>8718</v>
      </c>
      <c r="B484" s="4" t="s">
        <v>8610</v>
      </c>
      <c r="C484" s="4" t="s">
        <v>8719</v>
      </c>
      <c r="D484" s="5">
        <v>299.32498132252</v>
      </c>
      <c r="H484" s="32">
        <v>0.0</v>
      </c>
    </row>
    <row r="485" ht="14.25" customHeight="1">
      <c r="A485" s="4" t="s">
        <v>8718</v>
      </c>
      <c r="B485" s="4" t="s">
        <v>8552</v>
      </c>
      <c r="C485" s="4" t="s">
        <v>8719</v>
      </c>
      <c r="D485" s="5">
        <v>299.32498132252</v>
      </c>
      <c r="H485" s="32">
        <v>0.0</v>
      </c>
    </row>
    <row r="486" ht="14.25" customHeight="1">
      <c r="A486" s="4" t="s">
        <v>8718</v>
      </c>
      <c r="B486" s="4" t="s">
        <v>5836</v>
      </c>
      <c r="C486" s="4" t="s">
        <v>8737</v>
      </c>
      <c r="D486" s="5">
        <v>0.0176226742959956</v>
      </c>
      <c r="H486" s="32">
        <v>0.0</v>
      </c>
    </row>
    <row r="487" ht="14.25" customHeight="1">
      <c r="A487" s="4" t="s">
        <v>8718</v>
      </c>
      <c r="B487" s="4" t="s">
        <v>4008</v>
      </c>
      <c r="C487" s="4" t="s">
        <v>8719</v>
      </c>
      <c r="D487" s="5">
        <v>299.32498132252</v>
      </c>
      <c r="H487" s="32">
        <v>0.0</v>
      </c>
    </row>
    <row r="488" ht="14.25" customHeight="1">
      <c r="A488" s="4" t="s">
        <v>8718</v>
      </c>
      <c r="B488" s="4" t="s">
        <v>7463</v>
      </c>
      <c r="C488" s="4" t="s">
        <v>8719</v>
      </c>
      <c r="D488" s="5">
        <v>299.32498132252</v>
      </c>
      <c r="H488" s="32">
        <v>0.0</v>
      </c>
    </row>
    <row r="489" ht="14.25" customHeight="1">
      <c r="A489" s="4" t="s">
        <v>8718</v>
      </c>
      <c r="B489" s="4" t="s">
        <v>5565</v>
      </c>
      <c r="C489" s="4" t="s">
        <v>8719</v>
      </c>
      <c r="D489" s="5">
        <v>299.32498132252</v>
      </c>
      <c r="H489" s="32">
        <v>0.0</v>
      </c>
    </row>
    <row r="490" ht="14.25" customHeight="1">
      <c r="A490" s="4" t="s">
        <v>8718</v>
      </c>
      <c r="B490" s="4" t="s">
        <v>8738</v>
      </c>
      <c r="C490" s="4" t="s">
        <v>8719</v>
      </c>
      <c r="D490" s="5">
        <v>299.32498132252</v>
      </c>
      <c r="H490" s="32">
        <v>0.0</v>
      </c>
    </row>
    <row r="491" ht="14.25" customHeight="1">
      <c r="A491" s="4" t="s">
        <v>8718</v>
      </c>
      <c r="B491" s="4" t="s">
        <v>31</v>
      </c>
      <c r="C491" s="4" t="s">
        <v>8719</v>
      </c>
      <c r="D491" s="5">
        <v>299.32498132252</v>
      </c>
      <c r="H491" s="32">
        <v>0.0</v>
      </c>
    </row>
    <row r="492" ht="14.25" customHeight="1">
      <c r="A492" s="4" t="s">
        <v>8718</v>
      </c>
      <c r="B492" s="4" t="s">
        <v>8504</v>
      </c>
      <c r="C492" s="4" t="s">
        <v>8719</v>
      </c>
      <c r="D492" s="5">
        <v>299.32498132252</v>
      </c>
      <c r="H492" s="32">
        <v>0.0</v>
      </c>
    </row>
    <row r="493" ht="14.25" customHeight="1">
      <c r="A493" s="4" t="s">
        <v>8718</v>
      </c>
      <c r="B493" s="4" t="s">
        <v>4407</v>
      </c>
      <c r="C493" s="4" t="s">
        <v>8719</v>
      </c>
      <c r="D493" s="5">
        <v>299.32498132252</v>
      </c>
      <c r="H493" s="32">
        <v>0.0</v>
      </c>
    </row>
    <row r="494" ht="14.25" customHeight="1">
      <c r="A494" s="4" t="s">
        <v>8718</v>
      </c>
      <c r="B494" s="4" t="s">
        <v>8600</v>
      </c>
      <c r="C494" s="4" t="s">
        <v>8719</v>
      </c>
      <c r="D494" s="5">
        <v>299.32498132252</v>
      </c>
      <c r="H494" s="32">
        <v>0.0</v>
      </c>
    </row>
    <row r="495" ht="14.25" customHeight="1">
      <c r="A495" s="4" t="s">
        <v>8718</v>
      </c>
      <c r="B495" s="4" t="s">
        <v>8556</v>
      </c>
      <c r="C495" s="4" t="s">
        <v>8719</v>
      </c>
      <c r="D495" s="5">
        <v>299.32498132252</v>
      </c>
      <c r="H495" s="32">
        <v>0.0</v>
      </c>
    </row>
    <row r="496" ht="14.25" customHeight="1">
      <c r="A496" s="4" t="s">
        <v>8718</v>
      </c>
      <c r="B496" s="4" t="s">
        <v>8712</v>
      </c>
      <c r="C496" s="4" t="s">
        <v>8719</v>
      </c>
      <c r="D496" s="5">
        <v>299.32498132252</v>
      </c>
      <c r="H496" s="32">
        <v>0.0</v>
      </c>
    </row>
    <row r="497" ht="14.25" customHeight="1">
      <c r="A497" s="4" t="s">
        <v>8718</v>
      </c>
      <c r="B497" s="4" t="s">
        <v>8643</v>
      </c>
      <c r="C497" s="4" t="s">
        <v>8719</v>
      </c>
      <c r="D497" s="5">
        <v>299.32498132252</v>
      </c>
      <c r="H497" s="32">
        <v>0.0</v>
      </c>
    </row>
    <row r="498" ht="14.25" customHeight="1">
      <c r="A498" s="4" t="s">
        <v>8718</v>
      </c>
      <c r="B498" s="4" t="s">
        <v>2764</v>
      </c>
      <c r="C498" s="4" t="s">
        <v>8719</v>
      </c>
      <c r="D498" s="5">
        <v>299.32498132252</v>
      </c>
      <c r="H498" s="32">
        <v>0.0</v>
      </c>
    </row>
    <row r="499" ht="14.25" customHeight="1">
      <c r="A499" s="4" t="s">
        <v>8718</v>
      </c>
      <c r="B499" s="4" t="s">
        <v>8739</v>
      </c>
      <c r="C499" s="4" t="s">
        <v>8719</v>
      </c>
      <c r="D499" s="5">
        <v>299.32498132252</v>
      </c>
      <c r="H499" s="32">
        <v>0.0</v>
      </c>
    </row>
    <row r="500" ht="14.25" customHeight="1">
      <c r="A500" s="4" t="s">
        <v>8718</v>
      </c>
      <c r="B500" s="4" t="s">
        <v>3636</v>
      </c>
      <c r="C500" s="4" t="s">
        <v>8719</v>
      </c>
      <c r="D500" s="5">
        <v>299.32498132252</v>
      </c>
      <c r="H500" s="32">
        <v>0.0</v>
      </c>
    </row>
    <row r="501" ht="14.25" customHeight="1">
      <c r="A501" s="4" t="s">
        <v>8718</v>
      </c>
      <c r="B501" s="4" t="s">
        <v>8561</v>
      </c>
      <c r="C501" s="4" t="s">
        <v>8719</v>
      </c>
      <c r="D501" s="5">
        <v>299.32498132252</v>
      </c>
      <c r="H501" s="32">
        <v>0.0</v>
      </c>
    </row>
    <row r="502" ht="14.25" customHeight="1">
      <c r="A502" s="4" t="s">
        <v>8718</v>
      </c>
      <c r="B502" s="4" t="s">
        <v>6058</v>
      </c>
      <c r="C502" s="4" t="s">
        <v>8719</v>
      </c>
      <c r="D502" s="5">
        <v>299.32498132252</v>
      </c>
      <c r="H502" s="32">
        <v>0.0</v>
      </c>
    </row>
    <row r="503" ht="14.25" customHeight="1">
      <c r="A503" s="4" t="s">
        <v>8718</v>
      </c>
      <c r="B503" s="4" t="s">
        <v>8614</v>
      </c>
      <c r="C503" s="4" t="s">
        <v>8719</v>
      </c>
      <c r="D503" s="5">
        <v>299.32498132252</v>
      </c>
      <c r="H503" s="32">
        <v>0.0</v>
      </c>
    </row>
    <row r="504" ht="14.25" customHeight="1">
      <c r="A504" s="4" t="s">
        <v>8718</v>
      </c>
      <c r="B504" s="4" t="s">
        <v>6149</v>
      </c>
      <c r="C504" s="4" t="s">
        <v>8719</v>
      </c>
      <c r="D504" s="5">
        <v>299.32498132252</v>
      </c>
      <c r="H504" s="32">
        <v>0.0</v>
      </c>
    </row>
    <row r="505" ht="14.25" customHeight="1">
      <c r="A505" s="4" t="s">
        <v>8718</v>
      </c>
      <c r="B505" s="4" t="s">
        <v>3163</v>
      </c>
      <c r="C505" s="4" t="s">
        <v>8719</v>
      </c>
      <c r="D505" s="5">
        <v>299.32498132252</v>
      </c>
      <c r="H505" s="32">
        <v>0.0</v>
      </c>
    </row>
    <row r="506" ht="14.25" customHeight="1">
      <c r="A506" s="4" t="s">
        <v>8718</v>
      </c>
      <c r="B506" s="4" t="s">
        <v>4862</v>
      </c>
      <c r="C506" s="4" t="s">
        <v>8740</v>
      </c>
      <c r="D506" s="5">
        <v>298.16420744442</v>
      </c>
      <c r="H506" s="32">
        <v>0.0</v>
      </c>
    </row>
    <row r="507" ht="14.25" customHeight="1">
      <c r="A507" s="4" t="s">
        <v>8718</v>
      </c>
      <c r="B507" s="4" t="s">
        <v>5983</v>
      </c>
      <c r="C507" s="4" t="s">
        <v>8741</v>
      </c>
      <c r="D507" s="5">
        <v>90.06509570020431</v>
      </c>
      <c r="H507" s="32">
        <v>0.0</v>
      </c>
    </row>
    <row r="508" ht="14.25" customHeight="1">
      <c r="A508" s="4" t="s">
        <v>8718</v>
      </c>
      <c r="B508" s="4" t="s">
        <v>8742</v>
      </c>
      <c r="C508" s="4" t="s">
        <v>8719</v>
      </c>
      <c r="D508" s="5">
        <v>299.32498132252</v>
      </c>
      <c r="H508" s="32">
        <v>0.0</v>
      </c>
    </row>
    <row r="509" ht="14.25" customHeight="1">
      <c r="A509" s="4" t="s">
        <v>8718</v>
      </c>
      <c r="B509" s="4" t="s">
        <v>8518</v>
      </c>
      <c r="C509" s="4" t="s">
        <v>8719</v>
      </c>
      <c r="D509" s="5">
        <v>299.32498132252</v>
      </c>
      <c r="H509" s="32">
        <v>0.0</v>
      </c>
    </row>
    <row r="510" ht="14.25" customHeight="1">
      <c r="A510" s="4" t="s">
        <v>8718</v>
      </c>
      <c r="B510" s="4" t="s">
        <v>8679</v>
      </c>
      <c r="C510" s="4" t="s">
        <v>8719</v>
      </c>
      <c r="D510" s="5">
        <v>299.32498132252</v>
      </c>
      <c r="H510" s="32">
        <v>0.0</v>
      </c>
    </row>
    <row r="511" ht="14.25" customHeight="1">
      <c r="A511" s="4" t="s">
        <v>8718</v>
      </c>
      <c r="B511" s="4" t="s">
        <v>306</v>
      </c>
      <c r="C511" s="4" t="s">
        <v>8719</v>
      </c>
      <c r="D511" s="5">
        <v>299.32498132252</v>
      </c>
      <c r="H511" s="32">
        <v>0.0</v>
      </c>
    </row>
    <row r="512" ht="14.25" customHeight="1">
      <c r="A512" s="4" t="s">
        <v>8718</v>
      </c>
      <c r="B512" s="4" t="s">
        <v>2539</v>
      </c>
      <c r="C512" s="4" t="s">
        <v>8743</v>
      </c>
      <c r="D512" s="5">
        <v>129.126777587035</v>
      </c>
      <c r="H512" s="32">
        <v>0.0</v>
      </c>
    </row>
    <row r="513" ht="14.25" customHeight="1">
      <c r="A513" s="4" t="s">
        <v>8718</v>
      </c>
      <c r="B513" s="4" t="s">
        <v>925</v>
      </c>
      <c r="C513" s="4" t="s">
        <v>8719</v>
      </c>
      <c r="D513" s="5">
        <v>299.32498132252</v>
      </c>
      <c r="H513" s="32">
        <v>0.0</v>
      </c>
    </row>
    <row r="514" ht="14.25" customHeight="1">
      <c r="A514" s="4" t="s">
        <v>8718</v>
      </c>
      <c r="B514" s="4" t="s">
        <v>338</v>
      </c>
      <c r="C514" s="4" t="s">
        <v>8719</v>
      </c>
      <c r="D514" s="5">
        <v>299.32498132252</v>
      </c>
      <c r="H514" s="32">
        <v>0.0</v>
      </c>
    </row>
    <row r="515" ht="14.25" customHeight="1">
      <c r="A515" s="4" t="s">
        <v>8718</v>
      </c>
      <c r="B515" s="4" t="s">
        <v>7099</v>
      </c>
      <c r="C515" s="4" t="s">
        <v>8719</v>
      </c>
      <c r="D515" s="5">
        <v>299.32498132252</v>
      </c>
      <c r="H515" s="32">
        <v>0.0</v>
      </c>
    </row>
    <row r="516" ht="14.25" customHeight="1">
      <c r="A516" s="4" t="s">
        <v>8718</v>
      </c>
      <c r="B516" s="4" t="s">
        <v>2342</v>
      </c>
      <c r="C516" s="4" t="s">
        <v>8719</v>
      </c>
      <c r="D516" s="5">
        <v>299.32498132252</v>
      </c>
      <c r="H516" s="32">
        <v>0.0</v>
      </c>
    </row>
    <row r="517" ht="14.25" customHeight="1">
      <c r="A517" s="4" t="s">
        <v>8718</v>
      </c>
      <c r="B517" s="4" t="s">
        <v>3785</v>
      </c>
      <c r="C517" s="4" t="s">
        <v>8719</v>
      </c>
      <c r="D517" s="5">
        <v>299.32498132252</v>
      </c>
      <c r="H517" s="32">
        <v>0.0</v>
      </c>
    </row>
    <row r="518" ht="14.25" customHeight="1">
      <c r="A518" s="4" t="s">
        <v>8718</v>
      </c>
      <c r="B518" s="4" t="s">
        <v>1739</v>
      </c>
      <c r="C518" s="4" t="s">
        <v>8719</v>
      </c>
      <c r="D518" s="5">
        <v>299.32498132252</v>
      </c>
      <c r="H518" s="32">
        <v>0.0</v>
      </c>
    </row>
    <row r="519" ht="14.25" customHeight="1">
      <c r="A519" s="4" t="s">
        <v>8718</v>
      </c>
      <c r="B519" s="4" t="s">
        <v>6569</v>
      </c>
      <c r="C519" s="4" t="s">
        <v>8719</v>
      </c>
      <c r="D519" s="5">
        <v>299.32498132252</v>
      </c>
      <c r="H519" s="32">
        <v>0.0</v>
      </c>
    </row>
    <row r="520" ht="14.25" customHeight="1">
      <c r="A520" s="4" t="s">
        <v>8718</v>
      </c>
      <c r="B520" s="4" t="s">
        <v>5318</v>
      </c>
      <c r="C520" s="4" t="s">
        <v>8719</v>
      </c>
      <c r="D520" s="5">
        <v>299.32498132252</v>
      </c>
      <c r="H520" s="32">
        <v>0.0</v>
      </c>
    </row>
    <row r="521" ht="14.25" customHeight="1">
      <c r="A521" s="4" t="s">
        <v>8718</v>
      </c>
      <c r="B521" s="4" t="s">
        <v>8412</v>
      </c>
      <c r="C521" s="4" t="s">
        <v>8744</v>
      </c>
      <c r="D521" s="5">
        <v>241.477641976188</v>
      </c>
      <c r="H521" s="32">
        <v>0.0</v>
      </c>
    </row>
    <row r="522" ht="14.25" customHeight="1">
      <c r="A522" s="4" t="s">
        <v>8718</v>
      </c>
      <c r="B522" s="4" t="s">
        <v>7465</v>
      </c>
      <c r="C522" s="4" t="s">
        <v>8719</v>
      </c>
      <c r="D522" s="5">
        <v>299.32498132252</v>
      </c>
      <c r="H522" s="32">
        <v>0.0</v>
      </c>
    </row>
    <row r="523" ht="14.25" customHeight="1">
      <c r="A523" s="4" t="s">
        <v>8718</v>
      </c>
      <c r="B523" s="4" t="s">
        <v>568</v>
      </c>
      <c r="C523" s="4" t="s">
        <v>8719</v>
      </c>
      <c r="D523" s="5">
        <v>299.32498132252</v>
      </c>
      <c r="H523" s="32">
        <v>0.0</v>
      </c>
    </row>
    <row r="524" ht="14.25" customHeight="1">
      <c r="A524" s="4" t="s">
        <v>8718</v>
      </c>
      <c r="B524" s="4" t="s">
        <v>3365</v>
      </c>
      <c r="C524" s="4" t="s">
        <v>8719</v>
      </c>
      <c r="D524" s="5">
        <v>299.32498132252</v>
      </c>
      <c r="H524" s="32">
        <v>0.0</v>
      </c>
    </row>
    <row r="525" ht="14.25" customHeight="1">
      <c r="A525" s="4" t="s">
        <v>8718</v>
      </c>
      <c r="B525" s="4" t="s">
        <v>8745</v>
      </c>
      <c r="C525" s="4" t="s">
        <v>8719</v>
      </c>
      <c r="D525" s="5">
        <v>299.32498132252</v>
      </c>
      <c r="H525" s="32">
        <v>0.0</v>
      </c>
    </row>
    <row r="526" ht="14.25" customHeight="1">
      <c r="A526" s="4" t="s">
        <v>8718</v>
      </c>
      <c r="B526" s="4" t="s">
        <v>8686</v>
      </c>
      <c r="C526" s="4" t="s">
        <v>8719</v>
      </c>
      <c r="D526" s="5">
        <v>299.32498132252</v>
      </c>
      <c r="H526" s="32">
        <v>0.0</v>
      </c>
    </row>
    <row r="527" ht="14.25" customHeight="1">
      <c r="A527" s="4" t="s">
        <v>8718</v>
      </c>
      <c r="B527" s="4" t="s">
        <v>1254</v>
      </c>
      <c r="C527" s="4" t="s">
        <v>8719</v>
      </c>
      <c r="D527" s="5">
        <v>299.32498132252</v>
      </c>
      <c r="H527" s="32">
        <v>0.0</v>
      </c>
    </row>
    <row r="528" ht="14.25" customHeight="1">
      <c r="A528" s="4" t="s">
        <v>8718</v>
      </c>
      <c r="B528" s="4" t="s">
        <v>8377</v>
      </c>
      <c r="C528" s="4" t="s">
        <v>8719</v>
      </c>
      <c r="D528" s="5">
        <v>299.32498132252</v>
      </c>
      <c r="H528" s="32">
        <v>0.0</v>
      </c>
    </row>
    <row r="529" ht="14.25" customHeight="1">
      <c r="A529" s="4" t="s">
        <v>8718</v>
      </c>
      <c r="B529" s="4" t="s">
        <v>8603</v>
      </c>
      <c r="C529" s="4" t="s">
        <v>8719</v>
      </c>
      <c r="D529" s="5">
        <v>299.32498132252</v>
      </c>
      <c r="H529" s="32">
        <v>0.0</v>
      </c>
    </row>
    <row r="530" ht="14.25" customHeight="1">
      <c r="A530" s="4" t="s">
        <v>8718</v>
      </c>
      <c r="B530" s="4" t="s">
        <v>8549</v>
      </c>
      <c r="C530" s="4" t="s">
        <v>8719</v>
      </c>
      <c r="D530" s="5">
        <v>299.32498132252</v>
      </c>
      <c r="H530" s="32">
        <v>0.0</v>
      </c>
    </row>
    <row r="531" ht="14.25" customHeight="1">
      <c r="A531" s="4" t="s">
        <v>8718</v>
      </c>
      <c r="B531" s="4" t="s">
        <v>4634</v>
      </c>
      <c r="C531" s="4" t="s">
        <v>8719</v>
      </c>
      <c r="D531" s="5">
        <v>299.32498132252</v>
      </c>
      <c r="H531" s="32">
        <v>0.0</v>
      </c>
    </row>
    <row r="532" ht="14.25" customHeight="1">
      <c r="A532" s="4" t="s">
        <v>8718</v>
      </c>
      <c r="B532" s="4" t="s">
        <v>3105</v>
      </c>
      <c r="C532" s="4" t="s">
        <v>8719</v>
      </c>
      <c r="D532" s="5">
        <v>299.32498132252</v>
      </c>
      <c r="H532" s="32">
        <v>0.0</v>
      </c>
    </row>
    <row r="533" ht="14.25" customHeight="1">
      <c r="A533" s="4" t="s">
        <v>8718</v>
      </c>
      <c r="B533" s="4" t="s">
        <v>8499</v>
      </c>
      <c r="C533" s="4" t="s">
        <v>8719</v>
      </c>
      <c r="D533" s="5">
        <v>299.32498132252</v>
      </c>
      <c r="H533" s="32">
        <v>0.0</v>
      </c>
    </row>
    <row r="534" ht="14.25" customHeight="1">
      <c r="A534" s="4" t="s">
        <v>8718</v>
      </c>
      <c r="B534" s="4" t="s">
        <v>398</v>
      </c>
      <c r="C534" s="4" t="s">
        <v>8719</v>
      </c>
      <c r="D534" s="5">
        <v>299.32498132252</v>
      </c>
      <c r="H534" s="32">
        <v>0.0</v>
      </c>
    </row>
    <row r="535" ht="14.25" customHeight="1">
      <c r="A535" s="4" t="s">
        <v>8718</v>
      </c>
      <c r="B535" s="4" t="s">
        <v>1667</v>
      </c>
      <c r="C535" s="4" t="s">
        <v>8719</v>
      </c>
      <c r="D535" s="5">
        <v>299.32498132252</v>
      </c>
      <c r="H535" s="32">
        <v>0.0</v>
      </c>
    </row>
    <row r="536" ht="14.25" customHeight="1">
      <c r="A536" s="4" t="s">
        <v>8718</v>
      </c>
      <c r="B536" s="4" t="s">
        <v>2225</v>
      </c>
      <c r="C536" s="4" t="s">
        <v>8719</v>
      </c>
      <c r="D536" s="5">
        <v>299.32498132252</v>
      </c>
      <c r="H536" s="32">
        <v>0.0</v>
      </c>
    </row>
    <row r="537" ht="14.25" customHeight="1">
      <c r="A537" s="4" t="s">
        <v>8718</v>
      </c>
      <c r="B537" s="4" t="s">
        <v>645</v>
      </c>
      <c r="C537" s="4" t="s">
        <v>8719</v>
      </c>
      <c r="D537" s="5">
        <v>299.32498132252</v>
      </c>
      <c r="H537" s="32">
        <v>0.0</v>
      </c>
    </row>
    <row r="538" ht="14.25" customHeight="1">
      <c r="A538" s="4" t="s">
        <v>8718</v>
      </c>
      <c r="B538" s="4" t="s">
        <v>8044</v>
      </c>
      <c r="C538" s="4" t="s">
        <v>8719</v>
      </c>
      <c r="D538" s="5">
        <v>299.32498132252</v>
      </c>
      <c r="H538" s="32">
        <v>0.0</v>
      </c>
    </row>
    <row r="539" ht="14.25" customHeight="1">
      <c r="A539" s="4" t="s">
        <v>8718</v>
      </c>
      <c r="B539" s="4" t="s">
        <v>8678</v>
      </c>
      <c r="C539" s="4" t="s">
        <v>8719</v>
      </c>
      <c r="D539" s="5">
        <v>299.32498132252</v>
      </c>
      <c r="H539" s="32">
        <v>0.0</v>
      </c>
    </row>
    <row r="540" ht="14.25" customHeight="1">
      <c r="A540" s="4" t="s">
        <v>8718</v>
      </c>
      <c r="B540" s="4" t="s">
        <v>7910</v>
      </c>
      <c r="C540" s="4" t="s">
        <v>8719</v>
      </c>
      <c r="D540" s="5">
        <v>299.32498132252</v>
      </c>
      <c r="H540" s="32">
        <v>0.0</v>
      </c>
    </row>
    <row r="541" ht="14.25" customHeight="1">
      <c r="A541" s="4" t="s">
        <v>8718</v>
      </c>
      <c r="B541" s="4" t="s">
        <v>8634</v>
      </c>
      <c r="C541" s="4" t="s">
        <v>8719</v>
      </c>
      <c r="D541" s="5">
        <v>299.32498132252</v>
      </c>
      <c r="H541" s="32">
        <v>0.0</v>
      </c>
    </row>
    <row r="542" ht="14.25" customHeight="1">
      <c r="A542" s="4" t="s">
        <v>8718</v>
      </c>
      <c r="B542" s="4" t="s">
        <v>8547</v>
      </c>
      <c r="C542" s="4" t="s">
        <v>8746</v>
      </c>
      <c r="D542" s="5">
        <v>15.6824756519314</v>
      </c>
      <c r="H542" s="32">
        <v>0.0</v>
      </c>
    </row>
    <row r="543" ht="14.25" customHeight="1">
      <c r="A543" s="4" t="s">
        <v>8718</v>
      </c>
      <c r="B543" s="4" t="s">
        <v>861</v>
      </c>
      <c r="C543" s="4" t="s">
        <v>8719</v>
      </c>
      <c r="D543" s="5">
        <v>299.32498132252</v>
      </c>
      <c r="H543" s="32">
        <v>0.0</v>
      </c>
    </row>
    <row r="544" ht="14.25" customHeight="1">
      <c r="A544" s="4" t="s">
        <v>8718</v>
      </c>
      <c r="B544" s="4" t="s">
        <v>8624</v>
      </c>
      <c r="C544" s="4" t="s">
        <v>8719</v>
      </c>
      <c r="D544" s="5">
        <v>299.32498132252</v>
      </c>
      <c r="H544" s="32">
        <v>0.0</v>
      </c>
    </row>
    <row r="545" ht="14.25" customHeight="1">
      <c r="A545" s="4" t="s">
        <v>8718</v>
      </c>
      <c r="B545" s="4" t="s">
        <v>5032</v>
      </c>
      <c r="C545" s="4" t="s">
        <v>8719</v>
      </c>
      <c r="D545" s="5">
        <v>299.32498132252</v>
      </c>
      <c r="H545" s="32">
        <v>0.0</v>
      </c>
    </row>
    <row r="546" ht="14.25" customHeight="1">
      <c r="A546" s="4" t="s">
        <v>8718</v>
      </c>
      <c r="B546" s="4" t="s">
        <v>291</v>
      </c>
      <c r="C546" s="4" t="s">
        <v>8719</v>
      </c>
      <c r="D546" s="5">
        <v>299.32498132252</v>
      </c>
      <c r="H546" s="32">
        <v>0.0</v>
      </c>
    </row>
    <row r="547" ht="14.25" customHeight="1">
      <c r="A547" s="4" t="s">
        <v>8718</v>
      </c>
      <c r="B547" s="4" t="s">
        <v>7180</v>
      </c>
      <c r="C547" s="4" t="s">
        <v>8719</v>
      </c>
      <c r="D547" s="5">
        <v>299.32498132252</v>
      </c>
      <c r="H547" s="32">
        <v>0.0</v>
      </c>
    </row>
    <row r="548" ht="14.25" customHeight="1">
      <c r="A548" s="4" t="s">
        <v>8718</v>
      </c>
      <c r="B548" s="4" t="s">
        <v>5717</v>
      </c>
      <c r="C548" s="4" t="s">
        <v>8719</v>
      </c>
      <c r="D548" s="5">
        <v>299.32498132252</v>
      </c>
      <c r="H548" s="32">
        <v>0.0</v>
      </c>
    </row>
    <row r="549" ht="14.25" customHeight="1">
      <c r="A549" s="4" t="s">
        <v>8718</v>
      </c>
      <c r="B549" s="4" t="s">
        <v>8531</v>
      </c>
      <c r="C549" s="4" t="s">
        <v>8719</v>
      </c>
      <c r="D549" s="5">
        <v>299.32498132252</v>
      </c>
      <c r="H549" s="32">
        <v>0.0</v>
      </c>
    </row>
    <row r="550" ht="14.25" customHeight="1">
      <c r="A550" s="4" t="s">
        <v>8718</v>
      </c>
      <c r="B550" s="4" t="s">
        <v>1884</v>
      </c>
      <c r="C550" s="4" t="s">
        <v>8747</v>
      </c>
      <c r="D550" s="5">
        <v>143.369882827271</v>
      </c>
      <c r="H550" s="32">
        <v>0.0</v>
      </c>
    </row>
    <row r="551" ht="14.25" customHeight="1">
      <c r="A551" s="4" t="s">
        <v>8718</v>
      </c>
      <c r="B551" s="4" t="s">
        <v>8623</v>
      </c>
      <c r="C551" s="4" t="s">
        <v>8719</v>
      </c>
      <c r="D551" s="5">
        <v>299.32498132252</v>
      </c>
      <c r="H551" s="32">
        <v>0.0</v>
      </c>
    </row>
    <row r="552" ht="14.25" customHeight="1">
      <c r="A552" s="4" t="s">
        <v>8718</v>
      </c>
      <c r="B552" s="4" t="s">
        <v>8703</v>
      </c>
      <c r="C552" s="4" t="s">
        <v>8719</v>
      </c>
      <c r="D552" s="5">
        <v>299.32498132252</v>
      </c>
      <c r="H552" s="32">
        <v>0.0</v>
      </c>
    </row>
    <row r="553" ht="14.25" customHeight="1">
      <c r="A553" s="4" t="s">
        <v>8718</v>
      </c>
      <c r="B553" s="4" t="s">
        <v>6764</v>
      </c>
      <c r="C553" s="4" t="s">
        <v>8719</v>
      </c>
      <c r="D553" s="5">
        <v>299.32498132252</v>
      </c>
      <c r="H553" s="32">
        <v>0.0</v>
      </c>
    </row>
    <row r="554" ht="14.25" customHeight="1">
      <c r="A554" s="4" t="s">
        <v>8718</v>
      </c>
      <c r="B554" s="4" t="s">
        <v>8501</v>
      </c>
      <c r="C554" s="4" t="s">
        <v>8719</v>
      </c>
      <c r="D554" s="5">
        <v>299.32498132252</v>
      </c>
      <c r="H554" s="32">
        <v>0.0</v>
      </c>
    </row>
    <row r="555" ht="14.25" customHeight="1">
      <c r="A555" s="4" t="s">
        <v>8718</v>
      </c>
      <c r="B555" s="4" t="s">
        <v>5900</v>
      </c>
      <c r="C555" s="4" t="s">
        <v>8719</v>
      </c>
      <c r="D555" s="5">
        <v>299.32498132252</v>
      </c>
      <c r="H555" s="32">
        <v>0.0</v>
      </c>
    </row>
    <row r="556" ht="14.25" customHeight="1">
      <c r="A556" s="4" t="s">
        <v>8718</v>
      </c>
      <c r="B556" s="4" t="s">
        <v>2669</v>
      </c>
      <c r="C556" s="4" t="s">
        <v>8719</v>
      </c>
      <c r="D556" s="5">
        <v>299.32498132252</v>
      </c>
      <c r="H556" s="32">
        <v>0.0</v>
      </c>
    </row>
    <row r="557" ht="14.25" customHeight="1">
      <c r="A557" s="4" t="s">
        <v>8718</v>
      </c>
      <c r="B557" s="4" t="s">
        <v>856</v>
      </c>
      <c r="C557" s="4" t="s">
        <v>8719</v>
      </c>
      <c r="D557" s="5">
        <v>299.32498132252</v>
      </c>
      <c r="H557" s="32">
        <v>0.0</v>
      </c>
    </row>
    <row r="558" ht="14.25" customHeight="1">
      <c r="A558" s="4" t="s">
        <v>8718</v>
      </c>
      <c r="B558" s="4" t="s">
        <v>8716</v>
      </c>
      <c r="C558" s="4" t="s">
        <v>8719</v>
      </c>
      <c r="D558" s="5">
        <v>299.32498132252</v>
      </c>
      <c r="H558" s="32">
        <v>0.0</v>
      </c>
    </row>
    <row r="559" ht="14.25" customHeight="1">
      <c r="A559" s="4" t="s">
        <v>8718</v>
      </c>
      <c r="B559" s="4" t="s">
        <v>8615</v>
      </c>
      <c r="C559" s="4" t="s">
        <v>8719</v>
      </c>
      <c r="D559" s="5">
        <v>299.32498132252</v>
      </c>
      <c r="H559" s="32">
        <v>0.0</v>
      </c>
    </row>
    <row r="560" ht="14.25" customHeight="1">
      <c r="A560" s="4" t="s">
        <v>8718</v>
      </c>
      <c r="B560" s="4" t="s">
        <v>3315</v>
      </c>
      <c r="C560" s="4" t="s">
        <v>8719</v>
      </c>
      <c r="D560" s="5">
        <v>299.32498132252</v>
      </c>
      <c r="H560" s="32">
        <v>0.0</v>
      </c>
    </row>
    <row r="561" ht="14.25" customHeight="1">
      <c r="A561" s="4" t="s">
        <v>8718</v>
      </c>
      <c r="B561" s="4" t="s">
        <v>1507</v>
      </c>
      <c r="C561" s="4" t="s">
        <v>8719</v>
      </c>
      <c r="D561" s="5">
        <v>299.32498132252</v>
      </c>
      <c r="H561" s="32">
        <v>0.0</v>
      </c>
    </row>
    <row r="562" ht="14.25" customHeight="1">
      <c r="A562" s="4" t="s">
        <v>8718</v>
      </c>
      <c r="B562" s="4" t="s">
        <v>131</v>
      </c>
      <c r="C562" s="4" t="s">
        <v>8719</v>
      </c>
      <c r="D562" s="5">
        <v>299.32498132252</v>
      </c>
      <c r="H562" s="32">
        <v>0.0</v>
      </c>
    </row>
    <row r="563" ht="14.25" customHeight="1">
      <c r="A563" s="4" t="s">
        <v>8718</v>
      </c>
      <c r="B563" s="4" t="s">
        <v>817</v>
      </c>
      <c r="C563" s="4" t="s">
        <v>8719</v>
      </c>
      <c r="D563" s="5">
        <v>299.32498132252</v>
      </c>
      <c r="H563" s="32">
        <v>0.0</v>
      </c>
    </row>
    <row r="564" ht="14.25" customHeight="1">
      <c r="A564" s="4" t="s">
        <v>8718</v>
      </c>
      <c r="B564" s="4" t="s">
        <v>1848</v>
      </c>
      <c r="C564" s="4" t="s">
        <v>8719</v>
      </c>
      <c r="D564" s="5">
        <v>299.32498132252</v>
      </c>
      <c r="H564" s="32">
        <v>0.0</v>
      </c>
    </row>
    <row r="565" ht="14.25" customHeight="1">
      <c r="A565" s="4" t="s">
        <v>8718</v>
      </c>
      <c r="B565" s="4" t="s">
        <v>6946</v>
      </c>
      <c r="C565" s="4" t="s">
        <v>8719</v>
      </c>
      <c r="D565" s="5">
        <v>299.32498132252</v>
      </c>
      <c r="H565" s="32">
        <v>0.0</v>
      </c>
    </row>
    <row r="566" ht="14.25" customHeight="1">
      <c r="A566" s="4" t="s">
        <v>8718</v>
      </c>
      <c r="B566" s="4" t="s">
        <v>3213</v>
      </c>
      <c r="C566" s="4" t="s">
        <v>8719</v>
      </c>
      <c r="D566" s="5">
        <v>299.32498132252</v>
      </c>
      <c r="H566" s="32">
        <v>0.0</v>
      </c>
    </row>
    <row r="567" ht="14.25" customHeight="1">
      <c r="A567" s="4" t="s">
        <v>8718</v>
      </c>
      <c r="B567" s="4" t="s">
        <v>4277</v>
      </c>
      <c r="C567" s="4" t="s">
        <v>8719</v>
      </c>
      <c r="D567" s="5">
        <v>299.32498132252</v>
      </c>
      <c r="H567" s="32">
        <v>0.0</v>
      </c>
    </row>
    <row r="568" ht="14.25" customHeight="1">
      <c r="A568" s="4" t="s">
        <v>8718</v>
      </c>
      <c r="B568" s="4" t="s">
        <v>1482</v>
      </c>
      <c r="C568" s="4" t="s">
        <v>8719</v>
      </c>
      <c r="D568" s="5">
        <v>299.32498132252</v>
      </c>
      <c r="H568" s="32">
        <v>0.0</v>
      </c>
    </row>
    <row r="569" ht="14.25" customHeight="1">
      <c r="A569" s="4" t="s">
        <v>8718</v>
      </c>
      <c r="B569" s="4" t="s">
        <v>8558</v>
      </c>
      <c r="C569" s="4" t="s">
        <v>8748</v>
      </c>
      <c r="D569" s="5">
        <v>247.684136587502</v>
      </c>
      <c r="H569" s="32">
        <v>0.0</v>
      </c>
    </row>
    <row r="570" ht="14.25" customHeight="1">
      <c r="A570" s="4" t="s">
        <v>8718</v>
      </c>
      <c r="B570" s="4" t="s">
        <v>1440</v>
      </c>
      <c r="C570" s="4" t="s">
        <v>8719</v>
      </c>
      <c r="D570" s="5">
        <v>299.32498132252</v>
      </c>
      <c r="H570" s="32">
        <v>0.0</v>
      </c>
    </row>
    <row r="571" ht="14.25" customHeight="1">
      <c r="A571" s="4" t="s">
        <v>8718</v>
      </c>
      <c r="B571" s="4" t="s">
        <v>2368</v>
      </c>
      <c r="C571" s="4" t="s">
        <v>8719</v>
      </c>
      <c r="D571" s="5">
        <v>299.32498132252</v>
      </c>
      <c r="H571" s="32">
        <v>0.0</v>
      </c>
    </row>
    <row r="572" ht="14.25" customHeight="1">
      <c r="A572" s="4" t="s">
        <v>8718</v>
      </c>
      <c r="B572" s="4" t="s">
        <v>8632</v>
      </c>
      <c r="C572" s="4" t="s">
        <v>8749</v>
      </c>
      <c r="D572" s="5">
        <v>61.620717796817104</v>
      </c>
      <c r="H572" s="32">
        <v>0.0</v>
      </c>
    </row>
    <row r="573" ht="14.25" customHeight="1">
      <c r="A573" s="4" t="s">
        <v>8718</v>
      </c>
      <c r="B573" s="4" t="s">
        <v>3335</v>
      </c>
      <c r="C573" s="4" t="s">
        <v>8719</v>
      </c>
      <c r="D573" s="5">
        <v>299.32498132252</v>
      </c>
      <c r="H573" s="32">
        <v>0.0</v>
      </c>
    </row>
    <row r="574" ht="14.25" customHeight="1">
      <c r="A574" s="4" t="s">
        <v>8718</v>
      </c>
      <c r="B574" s="4" t="s">
        <v>8537</v>
      </c>
      <c r="C574" s="4" t="s">
        <v>8719</v>
      </c>
      <c r="D574" s="5">
        <v>299.32498132252</v>
      </c>
      <c r="H574" s="32">
        <v>0.0</v>
      </c>
    </row>
    <row r="575" ht="14.25" customHeight="1">
      <c r="A575" s="4" t="s">
        <v>8718</v>
      </c>
      <c r="B575" s="4" t="s">
        <v>8708</v>
      </c>
      <c r="C575" s="4" t="s">
        <v>8719</v>
      </c>
      <c r="D575" s="5">
        <v>299.32498132252</v>
      </c>
      <c r="H575" s="32">
        <v>0.0</v>
      </c>
    </row>
    <row r="576" ht="14.25" customHeight="1">
      <c r="A576" s="4" t="s">
        <v>8718</v>
      </c>
      <c r="B576" s="4" t="s">
        <v>8522</v>
      </c>
      <c r="C576" s="4" t="s">
        <v>8719</v>
      </c>
      <c r="D576" s="5">
        <v>299.32498132252</v>
      </c>
      <c r="H576" s="32">
        <v>0.0</v>
      </c>
    </row>
    <row r="577" ht="14.25" customHeight="1">
      <c r="A577" s="4" t="s">
        <v>8718</v>
      </c>
      <c r="B577" s="4" t="s">
        <v>3489</v>
      </c>
      <c r="C577" s="4" t="s">
        <v>8719</v>
      </c>
      <c r="D577" s="5">
        <v>299.32498132252</v>
      </c>
      <c r="H577" s="32">
        <v>0.0</v>
      </c>
    </row>
    <row r="578" ht="14.25" customHeight="1">
      <c r="A578" s="4" t="s">
        <v>8718</v>
      </c>
      <c r="B578" s="4" t="s">
        <v>8715</v>
      </c>
      <c r="C578" s="4" t="s">
        <v>8719</v>
      </c>
      <c r="D578" s="5">
        <v>299.32498132252</v>
      </c>
      <c r="H578" s="32">
        <v>0.0</v>
      </c>
    </row>
    <row r="579" ht="14.25" customHeight="1">
      <c r="A579" s="4" t="s">
        <v>8718</v>
      </c>
      <c r="B579" s="4" t="s">
        <v>8750</v>
      </c>
      <c r="C579" s="4" t="s">
        <v>8719</v>
      </c>
      <c r="D579" s="5">
        <v>299.32498132252</v>
      </c>
      <c r="H579" s="32">
        <v>0.0</v>
      </c>
    </row>
    <row r="580" ht="14.25" customHeight="1">
      <c r="A580" s="4" t="s">
        <v>8718</v>
      </c>
      <c r="B580" s="4" t="s">
        <v>1050</v>
      </c>
      <c r="C580" s="4" t="s">
        <v>8719</v>
      </c>
      <c r="D580" s="5">
        <v>299.32498132252</v>
      </c>
      <c r="H580" s="32">
        <v>0.0</v>
      </c>
    </row>
    <row r="581" ht="14.25" customHeight="1">
      <c r="A581" s="4" t="s">
        <v>8718</v>
      </c>
      <c r="B581" s="4" t="s">
        <v>6617</v>
      </c>
      <c r="C581" s="4" t="s">
        <v>8719</v>
      </c>
      <c r="D581" s="5">
        <v>299.32498132252</v>
      </c>
      <c r="H581" s="32">
        <v>0.0</v>
      </c>
    </row>
    <row r="582" ht="14.25" customHeight="1">
      <c r="A582" s="4" t="s">
        <v>8718</v>
      </c>
      <c r="B582" s="4" t="s">
        <v>4364</v>
      </c>
      <c r="C582" s="4" t="s">
        <v>8719</v>
      </c>
      <c r="D582" s="5">
        <v>299.32498132252</v>
      </c>
      <c r="H582" s="32">
        <v>0.0</v>
      </c>
    </row>
    <row r="583" ht="14.25" customHeight="1">
      <c r="A583" s="4" t="s">
        <v>8718</v>
      </c>
      <c r="B583" s="4" t="s">
        <v>8675</v>
      </c>
      <c r="C583" s="4" t="s">
        <v>8719</v>
      </c>
      <c r="D583" s="5">
        <v>299.32498132252</v>
      </c>
      <c r="H583" s="32">
        <v>0.0</v>
      </c>
    </row>
    <row r="584" ht="14.25" customHeight="1">
      <c r="A584" s="4" t="s">
        <v>8718</v>
      </c>
      <c r="B584" s="4" t="s">
        <v>8578</v>
      </c>
      <c r="C584" s="4" t="s">
        <v>8719</v>
      </c>
      <c r="D584" s="5">
        <v>299.32498132252</v>
      </c>
      <c r="H584" s="32">
        <v>0.0</v>
      </c>
    </row>
    <row r="585" ht="14.25" customHeight="1">
      <c r="A585" s="4" t="s">
        <v>8718</v>
      </c>
      <c r="B585" s="4" t="s">
        <v>8539</v>
      </c>
      <c r="C585" s="4" t="s">
        <v>8719</v>
      </c>
      <c r="D585" s="5">
        <v>299.32498132252</v>
      </c>
      <c r="H585" s="32">
        <v>0.0</v>
      </c>
    </row>
    <row r="586" ht="14.25" customHeight="1">
      <c r="A586" s="4" t="s">
        <v>8718</v>
      </c>
      <c r="B586" s="4" t="s">
        <v>7589</v>
      </c>
      <c r="C586" s="4" t="s">
        <v>8719</v>
      </c>
      <c r="D586" s="5">
        <v>299.32498132252</v>
      </c>
      <c r="H586" s="32">
        <v>0.0</v>
      </c>
    </row>
    <row r="587" ht="14.25" customHeight="1">
      <c r="A587" s="4" t="s">
        <v>8718</v>
      </c>
      <c r="B587" s="4" t="s">
        <v>8500</v>
      </c>
      <c r="C587" s="4" t="s">
        <v>8719</v>
      </c>
      <c r="D587" s="5">
        <v>299.32498132252</v>
      </c>
      <c r="H587" s="32">
        <v>0.0</v>
      </c>
    </row>
    <row r="588" ht="14.25" customHeight="1">
      <c r="A588" s="4" t="s">
        <v>8718</v>
      </c>
      <c r="B588" s="4" t="s">
        <v>8751</v>
      </c>
      <c r="C588" s="4" t="s">
        <v>8719</v>
      </c>
      <c r="D588" s="5">
        <v>299.32498132252</v>
      </c>
      <c r="H588" s="32">
        <v>0.0</v>
      </c>
    </row>
    <row r="589" ht="14.25" customHeight="1">
      <c r="A589" s="4" t="s">
        <v>8718</v>
      </c>
      <c r="B589" s="4" t="s">
        <v>1121</v>
      </c>
      <c r="C589" s="4" t="s">
        <v>8719</v>
      </c>
      <c r="D589" s="5">
        <v>299.32498132252</v>
      </c>
      <c r="H589" s="32">
        <v>0.0</v>
      </c>
    </row>
    <row r="590" ht="14.25" customHeight="1">
      <c r="A590" s="4" t="s">
        <v>8718</v>
      </c>
      <c r="B590" s="4" t="s">
        <v>813</v>
      </c>
      <c r="C590" s="4" t="s">
        <v>8719</v>
      </c>
      <c r="D590" s="5">
        <v>299.32498132252</v>
      </c>
      <c r="H590" s="32">
        <v>0.0</v>
      </c>
    </row>
    <row r="591" ht="14.25" customHeight="1">
      <c r="A591" s="4" t="s">
        <v>8718</v>
      </c>
      <c r="B591" s="4" t="s">
        <v>8230</v>
      </c>
      <c r="C591" s="4" t="s">
        <v>8719</v>
      </c>
      <c r="D591" s="5">
        <v>299.32498132252</v>
      </c>
      <c r="H591" s="32">
        <v>0.0</v>
      </c>
    </row>
    <row r="592" ht="14.25" customHeight="1">
      <c r="A592" s="4" t="s">
        <v>8718</v>
      </c>
      <c r="B592" s="4" t="s">
        <v>2292</v>
      </c>
      <c r="C592" s="4" t="s">
        <v>8719</v>
      </c>
      <c r="D592" s="5">
        <v>299.32498132252</v>
      </c>
      <c r="H592" s="32">
        <v>0.0</v>
      </c>
    </row>
    <row r="593" ht="14.25" customHeight="1">
      <c r="A593" s="4" t="s">
        <v>8718</v>
      </c>
      <c r="B593" s="4" t="s">
        <v>8684</v>
      </c>
      <c r="C593" s="4" t="s">
        <v>8719</v>
      </c>
      <c r="D593" s="5">
        <v>299.32498132252</v>
      </c>
      <c r="H593" s="32">
        <v>0.0</v>
      </c>
    </row>
    <row r="594" ht="14.25" customHeight="1">
      <c r="A594" s="4" t="s">
        <v>8718</v>
      </c>
      <c r="B594" s="4" t="s">
        <v>1661</v>
      </c>
      <c r="C594" s="4" t="s">
        <v>8752</v>
      </c>
      <c r="D594" s="5">
        <v>71.1063654987411</v>
      </c>
      <c r="H594" s="32">
        <v>0.0</v>
      </c>
    </row>
    <row r="595" ht="14.25" customHeight="1">
      <c r="A595" s="4" t="s">
        <v>8718</v>
      </c>
      <c r="B595" s="4" t="s">
        <v>8650</v>
      </c>
      <c r="C595" s="4" t="s">
        <v>8719</v>
      </c>
      <c r="D595" s="5">
        <v>299.32498132252</v>
      </c>
      <c r="H595" s="32">
        <v>0.0</v>
      </c>
    </row>
    <row r="596" ht="14.25" customHeight="1">
      <c r="A596" s="4" t="s">
        <v>8718</v>
      </c>
      <c r="B596" s="4" t="s">
        <v>8450</v>
      </c>
      <c r="C596" s="4" t="s">
        <v>8719</v>
      </c>
      <c r="D596" s="5">
        <v>299.32498132252</v>
      </c>
      <c r="H596" s="32">
        <v>0.0</v>
      </c>
    </row>
    <row r="597" ht="14.25" customHeight="1">
      <c r="A597" s="4" t="s">
        <v>8718</v>
      </c>
      <c r="B597" s="4" t="s">
        <v>558</v>
      </c>
      <c r="C597" s="4" t="s">
        <v>8719</v>
      </c>
      <c r="D597" s="5">
        <v>299.32498132252</v>
      </c>
      <c r="H597" s="32">
        <v>0.0</v>
      </c>
    </row>
    <row r="598" ht="14.25" customHeight="1">
      <c r="A598" s="4" t="s">
        <v>8718</v>
      </c>
      <c r="B598" s="4" t="s">
        <v>8673</v>
      </c>
      <c r="C598" s="4" t="s">
        <v>8719</v>
      </c>
      <c r="D598" s="5">
        <v>299.32498132252</v>
      </c>
      <c r="H598" s="32">
        <v>0.0</v>
      </c>
    </row>
    <row r="599" ht="14.25" customHeight="1">
      <c r="A599" s="4" t="s">
        <v>8718</v>
      </c>
      <c r="B599" s="4" t="s">
        <v>8514</v>
      </c>
      <c r="C599" s="4" t="s">
        <v>8719</v>
      </c>
      <c r="D599" s="5">
        <v>299.32498132252</v>
      </c>
      <c r="H599" s="32">
        <v>0.0</v>
      </c>
    </row>
    <row r="600" ht="14.25" customHeight="1">
      <c r="A600" s="4" t="s">
        <v>8718</v>
      </c>
      <c r="B600" s="4" t="s">
        <v>8753</v>
      </c>
      <c r="C600" s="4" t="s">
        <v>8719</v>
      </c>
      <c r="D600" s="5">
        <v>299.32498132252</v>
      </c>
      <c r="H600" s="32">
        <v>0.0</v>
      </c>
    </row>
    <row r="601" ht="14.25" customHeight="1">
      <c r="A601" s="4" t="s">
        <v>8718</v>
      </c>
      <c r="B601" s="4" t="s">
        <v>7111</v>
      </c>
      <c r="C601" s="4" t="s">
        <v>8719</v>
      </c>
      <c r="D601" s="5">
        <v>299.32498132252</v>
      </c>
      <c r="H601" s="32">
        <v>0.0</v>
      </c>
    </row>
    <row r="602" ht="14.25" customHeight="1">
      <c r="A602" s="4" t="s">
        <v>8718</v>
      </c>
      <c r="B602" s="4" t="s">
        <v>8125</v>
      </c>
      <c r="C602" s="4" t="s">
        <v>8719</v>
      </c>
      <c r="D602" s="5">
        <v>299.32498132252</v>
      </c>
      <c r="H602" s="32">
        <v>0.0</v>
      </c>
    </row>
    <row r="603" ht="14.25" customHeight="1">
      <c r="A603" s="4" t="s">
        <v>8718</v>
      </c>
      <c r="B603" s="4" t="s">
        <v>4182</v>
      </c>
      <c r="C603" s="4" t="s">
        <v>8719</v>
      </c>
      <c r="D603" s="5">
        <v>299.32498132252</v>
      </c>
      <c r="H603" s="32">
        <v>0.0</v>
      </c>
    </row>
    <row r="604" ht="14.25" customHeight="1">
      <c r="A604" s="4" t="s">
        <v>8718</v>
      </c>
      <c r="B604" s="4" t="s">
        <v>4202</v>
      </c>
      <c r="C604" s="4" t="s">
        <v>8719</v>
      </c>
      <c r="D604" s="5">
        <v>299.32498132252</v>
      </c>
      <c r="H604" s="32">
        <v>0.0</v>
      </c>
    </row>
    <row r="605" ht="14.25" customHeight="1">
      <c r="A605" s="4" t="s">
        <v>8718</v>
      </c>
      <c r="B605" s="4" t="s">
        <v>1734</v>
      </c>
      <c r="C605" s="4" t="s">
        <v>8719</v>
      </c>
      <c r="D605" s="5">
        <v>299.32498132252</v>
      </c>
      <c r="H605" s="32">
        <v>0.0</v>
      </c>
    </row>
    <row r="606" ht="14.25" customHeight="1">
      <c r="A606" s="4" t="s">
        <v>8718</v>
      </c>
      <c r="B606" s="4" t="s">
        <v>1642</v>
      </c>
      <c r="C606" s="4" t="s">
        <v>8719</v>
      </c>
      <c r="D606" s="5">
        <v>299.32498132252</v>
      </c>
      <c r="H606" s="32">
        <v>0.0</v>
      </c>
    </row>
    <row r="607" ht="14.25" customHeight="1">
      <c r="A607" s="4" t="s">
        <v>8718</v>
      </c>
      <c r="B607" s="4" t="s">
        <v>8685</v>
      </c>
      <c r="C607" s="4" t="s">
        <v>8719</v>
      </c>
      <c r="D607" s="5">
        <v>299.32498132252</v>
      </c>
      <c r="H607" s="32">
        <v>0.0</v>
      </c>
    </row>
    <row r="608" ht="14.25" customHeight="1">
      <c r="A608" s="4" t="s">
        <v>8718</v>
      </c>
      <c r="B608" s="4" t="s">
        <v>6962</v>
      </c>
      <c r="C608" s="4" t="s">
        <v>8719</v>
      </c>
      <c r="D608" s="5">
        <v>299.32498132252</v>
      </c>
      <c r="H608" s="32">
        <v>0.0</v>
      </c>
    </row>
    <row r="609" ht="14.25" customHeight="1">
      <c r="A609" s="4" t="s">
        <v>8718</v>
      </c>
      <c r="B609" s="4" t="s">
        <v>7659</v>
      </c>
      <c r="C609" s="4" t="s">
        <v>8719</v>
      </c>
      <c r="D609" s="5">
        <v>299.32498132252</v>
      </c>
      <c r="H609" s="32">
        <v>0.0</v>
      </c>
    </row>
    <row r="610" ht="14.25" customHeight="1">
      <c r="A610" s="4" t="s">
        <v>8718</v>
      </c>
      <c r="B610" s="4" t="s">
        <v>722</v>
      </c>
      <c r="C610" s="4" t="s">
        <v>8719</v>
      </c>
      <c r="D610" s="5">
        <v>299.32498132252</v>
      </c>
      <c r="H610" s="32">
        <v>0.0</v>
      </c>
    </row>
    <row r="611" ht="14.25" customHeight="1">
      <c r="A611" s="4" t="s">
        <v>8718</v>
      </c>
      <c r="B611" s="4" t="s">
        <v>5141</v>
      </c>
      <c r="C611" s="4" t="s">
        <v>8719</v>
      </c>
      <c r="D611" s="5">
        <v>299.32498132252</v>
      </c>
      <c r="H611" s="32">
        <v>0.0</v>
      </c>
    </row>
    <row r="612" ht="14.25" customHeight="1">
      <c r="A612" s="4" t="s">
        <v>8718</v>
      </c>
      <c r="B612" s="4" t="s">
        <v>8620</v>
      </c>
      <c r="C612" s="4" t="s">
        <v>8719</v>
      </c>
      <c r="D612" s="5">
        <v>299.32498132252</v>
      </c>
      <c r="H612" s="32">
        <v>0.0</v>
      </c>
    </row>
    <row r="613" ht="14.25" customHeight="1">
      <c r="A613" s="4" t="s">
        <v>8718</v>
      </c>
      <c r="B613" s="4" t="s">
        <v>8660</v>
      </c>
      <c r="C613" s="4" t="s">
        <v>8719</v>
      </c>
      <c r="D613" s="5">
        <v>299.32498132252</v>
      </c>
      <c r="H613" s="32">
        <v>0.0</v>
      </c>
    </row>
    <row r="614" ht="14.25" customHeight="1">
      <c r="A614" s="4" t="s">
        <v>8718</v>
      </c>
      <c r="B614" s="4" t="s">
        <v>751</v>
      </c>
      <c r="C614" s="4" t="s">
        <v>8719</v>
      </c>
      <c r="D614" s="5">
        <v>299.32498132252</v>
      </c>
      <c r="H614" s="32">
        <v>0.0</v>
      </c>
    </row>
    <row r="615" ht="14.25" customHeight="1">
      <c r="A615" s="4" t="s">
        <v>8718</v>
      </c>
      <c r="B615" s="4" t="s">
        <v>3332</v>
      </c>
      <c r="C615" s="4" t="s">
        <v>8719</v>
      </c>
      <c r="D615" s="5">
        <v>299.32498132252</v>
      </c>
      <c r="H615" s="32">
        <v>0.0</v>
      </c>
    </row>
    <row r="616" ht="14.25" customHeight="1">
      <c r="A616" s="4" t="s">
        <v>8718</v>
      </c>
      <c r="B616" s="4" t="s">
        <v>1154</v>
      </c>
      <c r="C616" s="4" t="s">
        <v>8719</v>
      </c>
      <c r="D616" s="5">
        <v>299.32498132252</v>
      </c>
      <c r="H616" s="32">
        <v>0.0</v>
      </c>
    </row>
    <row r="617" ht="14.25" customHeight="1">
      <c r="A617" s="4" t="s">
        <v>8718</v>
      </c>
      <c r="B617" s="4" t="s">
        <v>8640</v>
      </c>
      <c r="C617" s="4" t="s">
        <v>8719</v>
      </c>
      <c r="D617" s="5">
        <v>299.32498132252</v>
      </c>
      <c r="H617" s="32">
        <v>0.0</v>
      </c>
    </row>
    <row r="618" ht="14.25" customHeight="1">
      <c r="A618" s="4" t="s">
        <v>8718</v>
      </c>
      <c r="B618" s="4" t="s">
        <v>8512</v>
      </c>
      <c r="C618" s="4" t="s">
        <v>8719</v>
      </c>
      <c r="D618" s="5">
        <v>299.32498132252</v>
      </c>
      <c r="H618" s="32">
        <v>0.0</v>
      </c>
    </row>
    <row r="619" ht="14.25" customHeight="1">
      <c r="A619" s="4" t="s">
        <v>8718</v>
      </c>
      <c r="B619" s="4" t="s">
        <v>8331</v>
      </c>
      <c r="C619" s="4" t="s">
        <v>8719</v>
      </c>
      <c r="D619" s="5">
        <v>299.32498132252</v>
      </c>
      <c r="H619" s="32">
        <v>0.0</v>
      </c>
    </row>
    <row r="620" ht="14.25" customHeight="1">
      <c r="A620" s="4" t="s">
        <v>8718</v>
      </c>
      <c r="B620" s="4" t="s">
        <v>8653</v>
      </c>
      <c r="C620" s="4" t="s">
        <v>8719</v>
      </c>
      <c r="D620" s="5">
        <v>299.32498132252</v>
      </c>
      <c r="H620" s="32">
        <v>0.0</v>
      </c>
    </row>
    <row r="621" ht="14.25" customHeight="1">
      <c r="A621" s="4" t="s">
        <v>8718</v>
      </c>
      <c r="B621" s="4" t="s">
        <v>8535</v>
      </c>
      <c r="C621" s="4" t="s">
        <v>8719</v>
      </c>
      <c r="D621" s="5">
        <v>299.32498132252</v>
      </c>
      <c r="H621" s="32">
        <v>0.0</v>
      </c>
    </row>
    <row r="622" ht="14.25" customHeight="1">
      <c r="A622" s="4" t="s">
        <v>8718</v>
      </c>
      <c r="B622" s="4" t="s">
        <v>7813</v>
      </c>
      <c r="C622" s="4" t="s">
        <v>8719</v>
      </c>
      <c r="D622" s="5">
        <v>299.32498132252</v>
      </c>
      <c r="H622" s="32">
        <v>0.0</v>
      </c>
    </row>
    <row r="623" ht="14.25" customHeight="1">
      <c r="A623" s="4" t="s">
        <v>8718</v>
      </c>
      <c r="B623" s="4" t="s">
        <v>8693</v>
      </c>
      <c r="C623" s="4" t="s">
        <v>8719</v>
      </c>
      <c r="D623" s="5">
        <v>299.32498132252</v>
      </c>
      <c r="H623" s="32">
        <v>0.0</v>
      </c>
    </row>
    <row r="624" ht="14.25" customHeight="1">
      <c r="A624" s="4" t="s">
        <v>8718</v>
      </c>
      <c r="B624" s="4" t="s">
        <v>5124</v>
      </c>
      <c r="C624" s="4" t="s">
        <v>8719</v>
      </c>
      <c r="D624" s="5">
        <v>299.32498132252</v>
      </c>
      <c r="H624" s="32">
        <v>0.0</v>
      </c>
    </row>
    <row r="625" ht="14.25" customHeight="1">
      <c r="A625" s="4" t="s">
        <v>8718</v>
      </c>
      <c r="B625" s="4" t="s">
        <v>7742</v>
      </c>
      <c r="C625" s="4" t="s">
        <v>8719</v>
      </c>
      <c r="D625" s="5">
        <v>299.32498132252</v>
      </c>
      <c r="H625" s="32">
        <v>0.0</v>
      </c>
    </row>
    <row r="626" ht="14.25" customHeight="1">
      <c r="A626" s="4" t="s">
        <v>8718</v>
      </c>
      <c r="B626" s="4" t="s">
        <v>8656</v>
      </c>
      <c r="C626" s="4" t="s">
        <v>8719</v>
      </c>
      <c r="D626" s="5">
        <v>299.32498132252</v>
      </c>
      <c r="H626" s="32">
        <v>0.0</v>
      </c>
    </row>
    <row r="627" ht="14.25" customHeight="1">
      <c r="A627" s="4" t="s">
        <v>8718</v>
      </c>
      <c r="B627" s="4" t="s">
        <v>5023</v>
      </c>
      <c r="C627" s="4" t="s">
        <v>8719</v>
      </c>
      <c r="D627" s="5">
        <v>299.32498132252</v>
      </c>
      <c r="H627" s="32">
        <v>0.0</v>
      </c>
    </row>
    <row r="628" ht="14.25" customHeight="1">
      <c r="A628" s="4" t="s">
        <v>8718</v>
      </c>
      <c r="B628" s="4" t="s">
        <v>8622</v>
      </c>
      <c r="C628" s="4" t="s">
        <v>8719</v>
      </c>
      <c r="D628" s="5">
        <v>299.32498132252</v>
      </c>
      <c r="H628" s="32">
        <v>0.0</v>
      </c>
    </row>
    <row r="629" ht="14.25" customHeight="1">
      <c r="A629" s="4" t="s">
        <v>8718</v>
      </c>
      <c r="B629" s="4" t="s">
        <v>8647</v>
      </c>
      <c r="C629" s="4" t="s">
        <v>8719</v>
      </c>
      <c r="D629" s="5">
        <v>299.32498132252</v>
      </c>
      <c r="H629" s="32">
        <v>0.0</v>
      </c>
    </row>
    <row r="630" ht="14.25" customHeight="1">
      <c r="A630" s="4" t="s">
        <v>8718</v>
      </c>
      <c r="B630" s="4" t="s">
        <v>8536</v>
      </c>
      <c r="C630" s="4" t="s">
        <v>8719</v>
      </c>
      <c r="D630" s="5">
        <v>299.32498132252</v>
      </c>
      <c r="H630" s="32">
        <v>0.0</v>
      </c>
    </row>
    <row r="631" ht="14.25" customHeight="1">
      <c r="A631" s="4" t="s">
        <v>8718</v>
      </c>
      <c r="B631" s="4" t="s">
        <v>5705</v>
      </c>
      <c r="C631" s="4" t="s">
        <v>8719</v>
      </c>
      <c r="D631" s="5">
        <v>299.32498132252</v>
      </c>
      <c r="H631" s="32">
        <v>0.0</v>
      </c>
    </row>
    <row r="632" ht="14.25" customHeight="1">
      <c r="A632" s="4" t="s">
        <v>8718</v>
      </c>
      <c r="B632" s="4" t="s">
        <v>4605</v>
      </c>
      <c r="C632" s="4" t="s">
        <v>8719</v>
      </c>
      <c r="D632" s="5">
        <v>299.32498132252</v>
      </c>
      <c r="H632" s="32">
        <v>0.0</v>
      </c>
    </row>
    <row r="633" ht="14.25" customHeight="1">
      <c r="A633" s="4" t="s">
        <v>8718</v>
      </c>
      <c r="B633" s="4" t="s">
        <v>675</v>
      </c>
      <c r="C633" s="4" t="s">
        <v>8719</v>
      </c>
      <c r="D633" s="5">
        <v>299.32498132252</v>
      </c>
      <c r="H633" s="32">
        <v>0.0</v>
      </c>
    </row>
    <row r="634" ht="14.25" customHeight="1">
      <c r="A634" s="4" t="s">
        <v>8718</v>
      </c>
      <c r="B634" s="4" t="s">
        <v>8498</v>
      </c>
      <c r="C634" s="4" t="s">
        <v>8719</v>
      </c>
      <c r="D634" s="5">
        <v>299.32498132252</v>
      </c>
      <c r="H634" s="32">
        <v>0.0</v>
      </c>
    </row>
    <row r="635" ht="14.25" customHeight="1">
      <c r="A635" s="4" t="s">
        <v>8718</v>
      </c>
      <c r="B635" s="4" t="s">
        <v>8511</v>
      </c>
      <c r="C635" s="4" t="s">
        <v>8719</v>
      </c>
      <c r="D635" s="5">
        <v>299.32498132252</v>
      </c>
      <c r="H635" s="32">
        <v>0.0</v>
      </c>
    </row>
    <row r="636" ht="14.25" customHeight="1">
      <c r="A636" s="4" t="s">
        <v>8718</v>
      </c>
      <c r="B636" s="4" t="s">
        <v>3167</v>
      </c>
      <c r="C636" s="4" t="s">
        <v>8719</v>
      </c>
      <c r="D636" s="5">
        <v>299.32498132252</v>
      </c>
      <c r="H636" s="32">
        <v>0.0</v>
      </c>
    </row>
    <row r="637" ht="14.25" customHeight="1">
      <c r="A637" s="4" t="s">
        <v>8718</v>
      </c>
      <c r="B637" s="4" t="s">
        <v>185</v>
      </c>
      <c r="C637" s="4" t="s">
        <v>8754</v>
      </c>
      <c r="D637" s="5">
        <v>296.511034725914</v>
      </c>
      <c r="H637" s="32">
        <v>0.0</v>
      </c>
    </row>
    <row r="638" ht="14.25" customHeight="1">
      <c r="A638" s="4" t="s">
        <v>8718</v>
      </c>
      <c r="B638" s="4" t="s">
        <v>3626</v>
      </c>
      <c r="C638" s="4" t="s">
        <v>8719</v>
      </c>
      <c r="D638" s="5">
        <v>299.32498132252</v>
      </c>
      <c r="H638" s="32">
        <v>0.0</v>
      </c>
    </row>
    <row r="639" ht="14.25" customHeight="1">
      <c r="A639" s="4" t="s">
        <v>8718</v>
      </c>
      <c r="B639" s="4" t="s">
        <v>8589</v>
      </c>
      <c r="C639" s="4" t="s">
        <v>8719</v>
      </c>
      <c r="D639" s="5">
        <v>299.32498132252</v>
      </c>
      <c r="H639" s="32">
        <v>0.0</v>
      </c>
    </row>
    <row r="640" ht="14.25" customHeight="1">
      <c r="A640" s="4" t="s">
        <v>8718</v>
      </c>
      <c r="B640" s="4" t="s">
        <v>8691</v>
      </c>
      <c r="C640" s="4" t="s">
        <v>8719</v>
      </c>
      <c r="D640" s="5">
        <v>299.32498132252</v>
      </c>
      <c r="H640" s="32">
        <v>0.0</v>
      </c>
    </row>
    <row r="641" ht="14.25" customHeight="1">
      <c r="A641" s="4" t="s">
        <v>8718</v>
      </c>
      <c r="B641" s="4" t="s">
        <v>8532</v>
      </c>
      <c r="C641" s="4" t="s">
        <v>8719</v>
      </c>
      <c r="D641" s="5">
        <v>299.32498132252</v>
      </c>
      <c r="H641" s="32">
        <v>0.0</v>
      </c>
    </row>
    <row r="642" ht="14.25" customHeight="1">
      <c r="A642" s="4" t="s">
        <v>8718</v>
      </c>
      <c r="B642" s="4" t="s">
        <v>6185</v>
      </c>
      <c r="C642" s="4" t="s">
        <v>8719</v>
      </c>
      <c r="D642" s="5">
        <v>299.32498132252</v>
      </c>
      <c r="H642" s="32">
        <v>0.0</v>
      </c>
    </row>
    <row r="643" ht="14.25" customHeight="1">
      <c r="A643" s="4" t="s">
        <v>8718</v>
      </c>
      <c r="B643" s="4" t="s">
        <v>1019</v>
      </c>
      <c r="C643" s="4" t="s">
        <v>8719</v>
      </c>
      <c r="D643" s="5">
        <v>299.32498132252</v>
      </c>
      <c r="H643" s="32">
        <v>0.0</v>
      </c>
    </row>
    <row r="644" ht="14.25" customHeight="1">
      <c r="A644" s="4" t="s">
        <v>8718</v>
      </c>
      <c r="B644" s="4" t="s">
        <v>8529</v>
      </c>
      <c r="C644" s="4" t="s">
        <v>8719</v>
      </c>
      <c r="D644" s="5">
        <v>299.32498132252</v>
      </c>
      <c r="H644" s="32">
        <v>0.0</v>
      </c>
    </row>
    <row r="645" ht="14.25" customHeight="1">
      <c r="A645" s="4" t="s">
        <v>8718</v>
      </c>
      <c r="B645" s="4" t="s">
        <v>1241</v>
      </c>
      <c r="C645" s="4" t="s">
        <v>8719</v>
      </c>
      <c r="D645" s="5">
        <v>299.32498132252</v>
      </c>
      <c r="H645" s="32">
        <v>0.0</v>
      </c>
    </row>
    <row r="646" ht="14.25" customHeight="1">
      <c r="A646" s="4" t="s">
        <v>8718</v>
      </c>
      <c r="B646" s="4" t="s">
        <v>2335</v>
      </c>
      <c r="C646" s="4" t="s">
        <v>8719</v>
      </c>
      <c r="D646" s="5">
        <v>299.32498132252</v>
      </c>
      <c r="H646" s="32">
        <v>0.0</v>
      </c>
    </row>
    <row r="647" ht="14.25" customHeight="1">
      <c r="A647" s="4" t="s">
        <v>8718</v>
      </c>
      <c r="B647" s="4" t="s">
        <v>8542</v>
      </c>
      <c r="C647" s="4" t="s">
        <v>8755</v>
      </c>
      <c r="D647" s="5">
        <v>166.79464335301</v>
      </c>
      <c r="H647" s="32">
        <v>0.0</v>
      </c>
    </row>
    <row r="648" ht="14.25" customHeight="1">
      <c r="A648" s="4" t="s">
        <v>8718</v>
      </c>
      <c r="B648" s="4" t="s">
        <v>8596</v>
      </c>
      <c r="C648" s="4" t="s">
        <v>8756</v>
      </c>
      <c r="D648" s="5">
        <v>143.057355633074</v>
      </c>
      <c r="H648" s="32">
        <v>0.0</v>
      </c>
    </row>
    <row r="649" ht="14.25" customHeight="1">
      <c r="A649" s="4" t="s">
        <v>8718</v>
      </c>
      <c r="B649" s="4" t="s">
        <v>8567</v>
      </c>
      <c r="C649" s="4" t="s">
        <v>8719</v>
      </c>
      <c r="D649" s="5">
        <v>299.32498132252</v>
      </c>
      <c r="H649" s="32">
        <v>0.0</v>
      </c>
    </row>
    <row r="650" ht="14.25" customHeight="1">
      <c r="A650" s="4" t="s">
        <v>8718</v>
      </c>
      <c r="B650" s="4" t="s">
        <v>5143</v>
      </c>
      <c r="C650" s="4" t="s">
        <v>8757</v>
      </c>
      <c r="D650" s="5">
        <v>234.603763560152</v>
      </c>
      <c r="H650" s="32">
        <v>0.0</v>
      </c>
    </row>
    <row r="651" ht="14.25" customHeight="1">
      <c r="A651" s="4" t="s">
        <v>8718</v>
      </c>
      <c r="B651" s="4" t="s">
        <v>8503</v>
      </c>
      <c r="C651" s="4" t="s">
        <v>8719</v>
      </c>
      <c r="D651" s="5">
        <v>299.32498132252</v>
      </c>
      <c r="H651" s="32">
        <v>0.0</v>
      </c>
    </row>
    <row r="652" ht="14.25" customHeight="1">
      <c r="A652" s="4" t="s">
        <v>8718</v>
      </c>
      <c r="B652" s="4" t="s">
        <v>5440</v>
      </c>
      <c r="C652" s="4" t="s">
        <v>8719</v>
      </c>
      <c r="D652" s="5">
        <v>299.32498132252</v>
      </c>
      <c r="H652" s="32">
        <v>0.0</v>
      </c>
    </row>
    <row r="653" ht="14.25" customHeight="1">
      <c r="A653" s="4" t="s">
        <v>8718</v>
      </c>
      <c r="B653" s="4" t="s">
        <v>3789</v>
      </c>
      <c r="C653" s="4" t="s">
        <v>8719</v>
      </c>
      <c r="D653" s="5">
        <v>299.32498132252</v>
      </c>
      <c r="H653" s="32">
        <v>0.0</v>
      </c>
    </row>
    <row r="654" ht="14.25" customHeight="1">
      <c r="A654" s="4" t="s">
        <v>8718</v>
      </c>
      <c r="B654" s="4" t="s">
        <v>8604</v>
      </c>
      <c r="C654" s="4" t="s">
        <v>8719</v>
      </c>
      <c r="D654" s="5">
        <v>299.32498132252</v>
      </c>
      <c r="H654" s="32">
        <v>0.0</v>
      </c>
    </row>
    <row r="655" ht="14.25" customHeight="1">
      <c r="A655" s="4" t="s">
        <v>8718</v>
      </c>
      <c r="B655" s="4" t="s">
        <v>8635</v>
      </c>
      <c r="C655" s="4" t="s">
        <v>8758</v>
      </c>
      <c r="D655" s="5">
        <v>56.057171080432404</v>
      </c>
      <c r="H655" s="32">
        <v>0.0</v>
      </c>
    </row>
    <row r="656" ht="14.25" customHeight="1">
      <c r="A656" s="4" t="s">
        <v>8718</v>
      </c>
      <c r="B656" s="4" t="s">
        <v>6009</v>
      </c>
      <c r="C656" s="4" t="s">
        <v>8719</v>
      </c>
      <c r="D656" s="5">
        <v>299.32498132252</v>
      </c>
      <c r="H656" s="32">
        <v>0.0</v>
      </c>
    </row>
    <row r="657" ht="14.25" customHeight="1">
      <c r="A657" s="4" t="s">
        <v>8718</v>
      </c>
      <c r="B657" s="4" t="s">
        <v>8663</v>
      </c>
      <c r="C657" s="4" t="s">
        <v>8719</v>
      </c>
      <c r="D657" s="5">
        <v>299.32498132252</v>
      </c>
      <c r="H657" s="32">
        <v>0.0</v>
      </c>
    </row>
    <row r="658" ht="14.25" customHeight="1">
      <c r="A658" s="4" t="s">
        <v>8718</v>
      </c>
      <c r="B658" s="4" t="s">
        <v>8590</v>
      </c>
      <c r="C658" s="4" t="s">
        <v>8719</v>
      </c>
      <c r="D658" s="5">
        <v>299.32498132252</v>
      </c>
      <c r="H658" s="32">
        <v>0.0</v>
      </c>
    </row>
    <row r="659" ht="14.25" customHeight="1">
      <c r="A659" s="4" t="s">
        <v>8718</v>
      </c>
      <c r="B659" s="4" t="s">
        <v>8580</v>
      </c>
      <c r="C659" s="4" t="s">
        <v>8719</v>
      </c>
      <c r="D659" s="5">
        <v>299.32498132252</v>
      </c>
      <c r="H659" s="32">
        <v>0.0</v>
      </c>
    </row>
    <row r="660" ht="14.25" customHeight="1">
      <c r="A660" s="4" t="s">
        <v>8718</v>
      </c>
      <c r="B660" s="4" t="s">
        <v>4445</v>
      </c>
      <c r="C660" s="4" t="s">
        <v>8719</v>
      </c>
      <c r="D660" s="5">
        <v>299.32498132252</v>
      </c>
      <c r="H660" s="32">
        <v>0.0</v>
      </c>
    </row>
    <row r="661" ht="14.25" customHeight="1">
      <c r="A661" s="4" t="s">
        <v>8718</v>
      </c>
      <c r="B661" s="4" t="s">
        <v>1621</v>
      </c>
      <c r="C661" s="4" t="s">
        <v>8759</v>
      </c>
      <c r="D661" s="5">
        <v>294.76595778287</v>
      </c>
      <c r="H661" s="32">
        <v>0.0</v>
      </c>
    </row>
    <row r="662" ht="14.25" customHeight="1">
      <c r="A662" s="4" t="s">
        <v>8718</v>
      </c>
      <c r="B662" s="4" t="s">
        <v>8760</v>
      </c>
      <c r="C662" s="4" t="s">
        <v>8719</v>
      </c>
      <c r="D662" s="5">
        <v>299.32498132252</v>
      </c>
      <c r="H662" s="32">
        <v>0.0</v>
      </c>
    </row>
    <row r="663" ht="14.25" customHeight="1">
      <c r="A663" s="4" t="s">
        <v>8718</v>
      </c>
      <c r="B663" s="4" t="s">
        <v>3887</v>
      </c>
      <c r="C663" s="4" t="s">
        <v>8719</v>
      </c>
      <c r="D663" s="5">
        <v>299.32498132252</v>
      </c>
      <c r="H663" s="32">
        <v>0.0</v>
      </c>
    </row>
    <row r="664" ht="14.25" customHeight="1">
      <c r="A664" s="4" t="s">
        <v>8718</v>
      </c>
      <c r="B664" s="4" t="s">
        <v>7220</v>
      </c>
      <c r="C664" s="4" t="s">
        <v>8719</v>
      </c>
      <c r="D664" s="5">
        <v>299.32498132252</v>
      </c>
      <c r="H664" s="32">
        <v>0.0</v>
      </c>
    </row>
    <row r="665" ht="14.25" customHeight="1">
      <c r="A665" s="4" t="s">
        <v>8718</v>
      </c>
      <c r="B665" s="4" t="s">
        <v>8713</v>
      </c>
      <c r="C665" s="4" t="s">
        <v>8719</v>
      </c>
      <c r="D665" s="5">
        <v>299.32498132252</v>
      </c>
      <c r="H665" s="32">
        <v>0.0</v>
      </c>
    </row>
    <row r="666" ht="14.25" customHeight="1">
      <c r="A666" s="4" t="s">
        <v>8718</v>
      </c>
      <c r="B666" s="4" t="s">
        <v>8761</v>
      </c>
      <c r="C666" s="4" t="s">
        <v>8719</v>
      </c>
      <c r="D666" s="5">
        <v>299.32498132252</v>
      </c>
      <c r="H666" s="32">
        <v>0.0</v>
      </c>
    </row>
    <row r="667" ht="14.25" customHeight="1">
      <c r="A667" s="4" t="s">
        <v>8718</v>
      </c>
      <c r="B667" s="4" t="s">
        <v>8667</v>
      </c>
      <c r="C667" s="4" t="s">
        <v>8719</v>
      </c>
      <c r="D667" s="5">
        <v>299.32498132252</v>
      </c>
      <c r="H667" s="32">
        <v>0.0</v>
      </c>
    </row>
    <row r="668" ht="14.25" customHeight="1">
      <c r="A668" s="4" t="s">
        <v>8718</v>
      </c>
      <c r="B668" s="4" t="s">
        <v>2807</v>
      </c>
      <c r="C668" s="4" t="s">
        <v>8719</v>
      </c>
      <c r="D668" s="5">
        <v>299.32498132252</v>
      </c>
      <c r="H668" s="32">
        <v>0.0</v>
      </c>
    </row>
    <row r="669" ht="14.25" customHeight="1">
      <c r="A669" s="4" t="s">
        <v>8718</v>
      </c>
      <c r="B669" s="4" t="s">
        <v>8581</v>
      </c>
      <c r="C669" s="4" t="s">
        <v>8719</v>
      </c>
      <c r="D669" s="5">
        <v>299.32498132252</v>
      </c>
      <c r="H669" s="32">
        <v>0.0</v>
      </c>
    </row>
    <row r="670" ht="14.25" customHeight="1">
      <c r="A670" s="4" t="s">
        <v>8718</v>
      </c>
      <c r="B670" s="4" t="s">
        <v>8762</v>
      </c>
      <c r="C670" s="4" t="s">
        <v>8763</v>
      </c>
      <c r="D670" s="5">
        <v>101.23072730215901</v>
      </c>
      <c r="H670" s="32">
        <v>0.0</v>
      </c>
    </row>
    <row r="671" ht="14.25" customHeight="1">
      <c r="A671" s="4" t="s">
        <v>8718</v>
      </c>
      <c r="B671" s="4" t="s">
        <v>7134</v>
      </c>
      <c r="C671" s="4" t="s">
        <v>8719</v>
      </c>
      <c r="D671" s="5">
        <v>299.32498132252</v>
      </c>
      <c r="H671" s="32">
        <v>0.0</v>
      </c>
    </row>
    <row r="672" ht="14.25" customHeight="1">
      <c r="A672" s="4" t="s">
        <v>8718</v>
      </c>
      <c r="B672" s="4" t="s">
        <v>8149</v>
      </c>
      <c r="C672" s="4" t="s">
        <v>8719</v>
      </c>
      <c r="D672" s="5">
        <v>299.32498132252</v>
      </c>
      <c r="H672" s="32">
        <v>0.0</v>
      </c>
    </row>
    <row r="673" ht="14.25" customHeight="1">
      <c r="A673" s="4" t="s">
        <v>8718</v>
      </c>
      <c r="B673" s="4" t="s">
        <v>8563</v>
      </c>
      <c r="C673" s="4" t="s">
        <v>8719</v>
      </c>
      <c r="D673" s="5">
        <v>299.32498132252</v>
      </c>
      <c r="H673" s="32">
        <v>0.0</v>
      </c>
    </row>
    <row r="674" ht="14.25" customHeight="1">
      <c r="A674" s="4" t="s">
        <v>8718</v>
      </c>
      <c r="B674" s="4" t="s">
        <v>977</v>
      </c>
      <c r="C674" s="4" t="s">
        <v>8719</v>
      </c>
      <c r="D674" s="5">
        <v>299.32498132252</v>
      </c>
      <c r="H674" s="32">
        <v>0.0</v>
      </c>
    </row>
    <row r="675" ht="14.25" customHeight="1">
      <c r="A675" s="4" t="s">
        <v>8718</v>
      </c>
      <c r="B675" s="4" t="s">
        <v>8764</v>
      </c>
      <c r="C675" s="4" t="s">
        <v>8719</v>
      </c>
      <c r="D675" s="5">
        <v>299.32498132252</v>
      </c>
      <c r="H675" s="32">
        <v>0.0</v>
      </c>
    </row>
    <row r="676" ht="14.25" customHeight="1">
      <c r="A676" s="4" t="s">
        <v>8718</v>
      </c>
      <c r="B676" s="4" t="s">
        <v>8707</v>
      </c>
      <c r="C676" s="4" t="s">
        <v>8719</v>
      </c>
      <c r="D676" s="5">
        <v>299.32498132252</v>
      </c>
      <c r="H676" s="32">
        <v>0.0</v>
      </c>
    </row>
    <row r="677" ht="14.25" customHeight="1">
      <c r="A677" s="4" t="s">
        <v>8718</v>
      </c>
      <c r="B677" s="4" t="s">
        <v>8553</v>
      </c>
      <c r="C677" s="4" t="s">
        <v>8719</v>
      </c>
      <c r="D677" s="5">
        <v>299.32498132252</v>
      </c>
      <c r="H677" s="32">
        <v>0.0</v>
      </c>
    </row>
    <row r="678" ht="14.25" customHeight="1">
      <c r="A678" s="4" t="s">
        <v>8718</v>
      </c>
      <c r="B678" s="4" t="s">
        <v>5113</v>
      </c>
      <c r="C678" s="4" t="s">
        <v>8719</v>
      </c>
      <c r="D678" s="5">
        <v>299.32498132252</v>
      </c>
      <c r="H678" s="32">
        <v>0.0</v>
      </c>
    </row>
    <row r="679" ht="14.25" customHeight="1">
      <c r="A679" s="4" t="s">
        <v>8718</v>
      </c>
      <c r="B679" s="4" t="s">
        <v>8591</v>
      </c>
      <c r="C679" s="4" t="s">
        <v>8765</v>
      </c>
      <c r="D679" s="5">
        <v>247.434553039023</v>
      </c>
      <c r="H679" s="32">
        <v>0.0</v>
      </c>
    </row>
    <row r="680" ht="14.25" customHeight="1">
      <c r="A680" s="4" t="s">
        <v>8718</v>
      </c>
      <c r="B680" s="4" t="s">
        <v>3790</v>
      </c>
      <c r="C680" s="4" t="s">
        <v>8719</v>
      </c>
      <c r="D680" s="5">
        <v>299.32498132252</v>
      </c>
      <c r="H680" s="32">
        <v>0.0</v>
      </c>
    </row>
    <row r="681" ht="14.25" customHeight="1">
      <c r="A681" s="4" t="s">
        <v>8718</v>
      </c>
      <c r="B681" s="4" t="s">
        <v>683</v>
      </c>
      <c r="C681" s="4" t="s">
        <v>8719</v>
      </c>
      <c r="D681" s="5">
        <v>299.32498132252</v>
      </c>
      <c r="H681" s="32">
        <v>0.0</v>
      </c>
    </row>
    <row r="682" ht="14.25" customHeight="1">
      <c r="A682" s="4" t="s">
        <v>8718</v>
      </c>
      <c r="B682" s="4" t="s">
        <v>8572</v>
      </c>
      <c r="C682" s="4" t="s">
        <v>8719</v>
      </c>
      <c r="D682" s="5">
        <v>299.32498132252</v>
      </c>
      <c r="H682" s="32">
        <v>0.0</v>
      </c>
    </row>
    <row r="683" ht="14.25" customHeight="1">
      <c r="A683" s="4" t="s">
        <v>8718</v>
      </c>
      <c r="B683" s="4" t="s">
        <v>107</v>
      </c>
      <c r="C683" s="4" t="s">
        <v>8719</v>
      </c>
      <c r="D683" s="5">
        <v>299.32498132252</v>
      </c>
      <c r="H683" s="32">
        <v>0.0</v>
      </c>
    </row>
    <row r="684" ht="14.25" customHeight="1">
      <c r="A684" s="4" t="s">
        <v>8718</v>
      </c>
      <c r="B684" s="4" t="s">
        <v>778</v>
      </c>
      <c r="C684" s="4" t="s">
        <v>8719</v>
      </c>
      <c r="D684" s="5">
        <v>299.32498132252</v>
      </c>
      <c r="H684" s="32">
        <v>0.0</v>
      </c>
    </row>
    <row r="685" ht="14.25" customHeight="1">
      <c r="A685" s="4" t="s">
        <v>8718</v>
      </c>
      <c r="B685" s="4" t="s">
        <v>8631</v>
      </c>
      <c r="C685" s="4" t="s">
        <v>8719</v>
      </c>
      <c r="D685" s="5">
        <v>299.32498132252</v>
      </c>
      <c r="H685" s="32">
        <v>0.0</v>
      </c>
    </row>
    <row r="686" ht="14.25" customHeight="1">
      <c r="A686" s="4" t="s">
        <v>8718</v>
      </c>
      <c r="B686" s="4" t="s">
        <v>6480</v>
      </c>
      <c r="C686" s="4" t="s">
        <v>8719</v>
      </c>
      <c r="D686" s="5">
        <v>299.32498132252</v>
      </c>
      <c r="H686" s="32">
        <v>0.0</v>
      </c>
    </row>
    <row r="687" ht="14.25" customHeight="1">
      <c r="A687" s="4" t="s">
        <v>8718</v>
      </c>
      <c r="B687" s="4" t="s">
        <v>2417</v>
      </c>
      <c r="C687" s="4" t="s">
        <v>8766</v>
      </c>
      <c r="D687" s="5">
        <v>141.8834048621</v>
      </c>
      <c r="H687" s="32">
        <v>0.0</v>
      </c>
    </row>
    <row r="688" ht="14.25" customHeight="1">
      <c r="A688" s="4" t="s">
        <v>8718</v>
      </c>
      <c r="B688" s="4" t="s">
        <v>373</v>
      </c>
      <c r="C688" s="4" t="s">
        <v>8767</v>
      </c>
      <c r="D688" s="5">
        <v>288.11721304394</v>
      </c>
      <c r="H688" s="32">
        <v>0.0</v>
      </c>
    </row>
    <row r="689" ht="14.25" customHeight="1">
      <c r="A689" s="4" t="s">
        <v>8718</v>
      </c>
      <c r="B689" s="4" t="s">
        <v>4731</v>
      </c>
      <c r="C689" s="4" t="s">
        <v>8719</v>
      </c>
      <c r="D689" s="5">
        <v>299.32498132252</v>
      </c>
      <c r="H689" s="32">
        <v>0.0</v>
      </c>
    </row>
    <row r="690" ht="14.25" customHeight="1">
      <c r="A690" s="4" t="s">
        <v>8718</v>
      </c>
      <c r="B690" s="4" t="s">
        <v>7679</v>
      </c>
      <c r="C690" s="4" t="s">
        <v>8768</v>
      </c>
      <c r="D690" s="5">
        <v>37.504682510164905</v>
      </c>
      <c r="H690" s="32">
        <v>0.0</v>
      </c>
    </row>
    <row r="691" ht="14.25" customHeight="1">
      <c r="A691" s="4" t="s">
        <v>8718</v>
      </c>
      <c r="B691" s="4" t="s">
        <v>8626</v>
      </c>
      <c r="C691" s="4" t="s">
        <v>8719</v>
      </c>
      <c r="D691" s="5">
        <v>299.32498132252</v>
      </c>
      <c r="H691" s="32">
        <v>0.0</v>
      </c>
    </row>
    <row r="692" ht="14.25" customHeight="1">
      <c r="A692" s="4" t="s">
        <v>8718</v>
      </c>
      <c r="B692" s="4" t="s">
        <v>6761</v>
      </c>
      <c r="C692" s="4" t="s">
        <v>8719</v>
      </c>
      <c r="D692" s="5">
        <v>299.32498132252</v>
      </c>
      <c r="H692" s="32">
        <v>0.0</v>
      </c>
    </row>
    <row r="693" ht="14.25" customHeight="1">
      <c r="A693" s="4" t="s">
        <v>8718</v>
      </c>
      <c r="B693" s="4" t="s">
        <v>8540</v>
      </c>
      <c r="C693" s="4" t="s">
        <v>8719</v>
      </c>
      <c r="D693" s="5">
        <v>299.32498132252</v>
      </c>
      <c r="H693" s="32">
        <v>0.0</v>
      </c>
    </row>
    <row r="694" ht="14.25" customHeight="1">
      <c r="A694" s="4" t="s">
        <v>8718</v>
      </c>
      <c r="B694" s="4" t="s">
        <v>2914</v>
      </c>
      <c r="C694" s="4" t="s">
        <v>8719</v>
      </c>
      <c r="D694" s="5">
        <v>299.32498132252</v>
      </c>
      <c r="H694" s="32">
        <v>0.0</v>
      </c>
    </row>
    <row r="695" ht="14.25" customHeight="1">
      <c r="A695" s="4" t="s">
        <v>8718</v>
      </c>
      <c r="B695" s="4" t="s">
        <v>3412</v>
      </c>
      <c r="C695" s="4" t="s">
        <v>8719</v>
      </c>
      <c r="D695" s="5">
        <v>299.32498132252</v>
      </c>
      <c r="H695" s="32">
        <v>0.0</v>
      </c>
    </row>
    <row r="696" ht="14.25" customHeight="1">
      <c r="A696" s="4" t="s">
        <v>8718</v>
      </c>
      <c r="B696" s="4" t="s">
        <v>3639</v>
      </c>
      <c r="C696" s="4" t="s">
        <v>8769</v>
      </c>
      <c r="D696" s="5">
        <v>188.484246096768</v>
      </c>
      <c r="H696" s="32">
        <v>0.0</v>
      </c>
    </row>
    <row r="697" ht="14.25" customHeight="1">
      <c r="A697" s="4" t="s">
        <v>8718</v>
      </c>
      <c r="B697" s="4" t="s">
        <v>6345</v>
      </c>
      <c r="C697" s="4" t="s">
        <v>8770</v>
      </c>
      <c r="D697" s="5">
        <v>150.59608033651</v>
      </c>
      <c r="H697" s="32">
        <v>0.0</v>
      </c>
    </row>
    <row r="698" ht="14.25" customHeight="1">
      <c r="A698" s="4" t="s">
        <v>8718</v>
      </c>
      <c r="B698" s="4" t="s">
        <v>5057</v>
      </c>
      <c r="C698" s="4" t="s">
        <v>8719</v>
      </c>
      <c r="D698" s="5">
        <v>299.32498132252</v>
      </c>
      <c r="H698" s="32">
        <v>0.0</v>
      </c>
    </row>
    <row r="699" ht="14.25" customHeight="1">
      <c r="A699" s="4" t="s">
        <v>8718</v>
      </c>
      <c r="B699" s="4" t="s">
        <v>8680</v>
      </c>
      <c r="C699" s="4" t="s">
        <v>8771</v>
      </c>
      <c r="D699" s="5">
        <v>96.5606862002292</v>
      </c>
      <c r="H699" s="32">
        <v>0.0</v>
      </c>
    </row>
    <row r="700" ht="14.25" customHeight="1">
      <c r="A700" s="4" t="s">
        <v>8718</v>
      </c>
      <c r="B700" s="4" t="s">
        <v>8772</v>
      </c>
      <c r="C700" s="4" t="s">
        <v>8719</v>
      </c>
      <c r="D700" s="5">
        <v>299.32498132252</v>
      </c>
      <c r="H700" s="32">
        <v>0.0</v>
      </c>
    </row>
    <row r="701" ht="14.25" customHeight="1">
      <c r="A701" s="4" t="s">
        <v>8718</v>
      </c>
      <c r="B701" s="4" t="s">
        <v>8717</v>
      </c>
      <c r="C701" s="4" t="s">
        <v>8719</v>
      </c>
      <c r="D701" s="5">
        <v>299.32498132252</v>
      </c>
      <c r="H701" s="32">
        <v>0.0</v>
      </c>
    </row>
    <row r="702" ht="14.25" customHeight="1">
      <c r="A702" s="4" t="s">
        <v>8718</v>
      </c>
      <c r="B702" s="4" t="s">
        <v>7853</v>
      </c>
      <c r="C702" s="4" t="s">
        <v>8719</v>
      </c>
      <c r="D702" s="5">
        <v>299.32498132252</v>
      </c>
      <c r="H702" s="32">
        <v>0.0</v>
      </c>
    </row>
    <row r="703" ht="14.25" customHeight="1">
      <c r="A703" s="4" t="s">
        <v>8718</v>
      </c>
      <c r="B703" s="4" t="s">
        <v>1041</v>
      </c>
      <c r="C703" s="4" t="s">
        <v>8719</v>
      </c>
      <c r="D703" s="5">
        <v>299.32498132252</v>
      </c>
      <c r="H703" s="32">
        <v>0.0</v>
      </c>
    </row>
    <row r="704" ht="14.25" customHeight="1">
      <c r="A704" s="4" t="s">
        <v>8718</v>
      </c>
      <c r="B704" s="4" t="s">
        <v>2316</v>
      </c>
      <c r="C704" s="4" t="s">
        <v>8719</v>
      </c>
      <c r="D704" s="5">
        <v>299.32498132252</v>
      </c>
      <c r="H704" s="32">
        <v>0.0</v>
      </c>
    </row>
    <row r="705" ht="14.25" customHeight="1">
      <c r="A705" s="4" t="s">
        <v>8718</v>
      </c>
      <c r="B705" s="4" t="s">
        <v>8519</v>
      </c>
      <c r="C705" s="4" t="s">
        <v>8719</v>
      </c>
      <c r="D705" s="5">
        <v>299.32498132252</v>
      </c>
      <c r="H705" s="32">
        <v>0.0</v>
      </c>
    </row>
    <row r="706" ht="14.25" customHeight="1">
      <c r="A706" s="4" t="s">
        <v>8718</v>
      </c>
      <c r="B706" s="4" t="s">
        <v>4643</v>
      </c>
      <c r="C706" s="4" t="s">
        <v>8719</v>
      </c>
      <c r="D706" s="5">
        <v>299.32498132252</v>
      </c>
      <c r="H706" s="32">
        <v>0.0</v>
      </c>
    </row>
    <row r="707" ht="14.25" customHeight="1">
      <c r="A707" s="4" t="s">
        <v>8718</v>
      </c>
      <c r="B707" s="4" t="s">
        <v>1576</v>
      </c>
      <c r="C707" s="4" t="s">
        <v>8719</v>
      </c>
      <c r="D707" s="5">
        <v>299.32498132252</v>
      </c>
      <c r="H707" s="32">
        <v>0.0</v>
      </c>
    </row>
    <row r="708" ht="14.25" customHeight="1">
      <c r="A708" s="4" t="s">
        <v>8718</v>
      </c>
      <c r="B708" s="4" t="s">
        <v>8506</v>
      </c>
      <c r="C708" s="4" t="s">
        <v>8719</v>
      </c>
      <c r="D708" s="5">
        <v>299.32498132252</v>
      </c>
      <c r="H708" s="32">
        <v>0.0</v>
      </c>
    </row>
    <row r="709" ht="14.25" customHeight="1">
      <c r="A709" s="4" t="s">
        <v>8718</v>
      </c>
      <c r="B709" s="4" t="s">
        <v>8281</v>
      </c>
      <c r="C709" s="4" t="s">
        <v>8719</v>
      </c>
      <c r="D709" s="5">
        <v>299.32498132252</v>
      </c>
      <c r="H709" s="32">
        <v>0.0</v>
      </c>
    </row>
    <row r="710" ht="14.25" customHeight="1">
      <c r="A710" s="4" t="s">
        <v>8718</v>
      </c>
      <c r="B710" s="4" t="s">
        <v>3024</v>
      </c>
      <c r="C710" s="4" t="s">
        <v>8719</v>
      </c>
      <c r="D710" s="5">
        <v>299.32498132252</v>
      </c>
      <c r="H710" s="32">
        <v>0.0</v>
      </c>
    </row>
    <row r="711" ht="14.25" customHeight="1">
      <c r="A711" s="4" t="s">
        <v>8718</v>
      </c>
      <c r="B711" s="4" t="s">
        <v>8612</v>
      </c>
      <c r="C711" s="4" t="s">
        <v>8719</v>
      </c>
      <c r="D711" s="5">
        <v>299.32498132252</v>
      </c>
      <c r="H711" s="32">
        <v>0.0</v>
      </c>
    </row>
    <row r="712" ht="14.25" customHeight="1">
      <c r="A712" s="4" t="s">
        <v>8718</v>
      </c>
      <c r="B712" s="4" t="s">
        <v>6666</v>
      </c>
      <c r="C712" s="4" t="s">
        <v>8719</v>
      </c>
      <c r="D712" s="5">
        <v>299.32498132252</v>
      </c>
      <c r="H712" s="32">
        <v>0.0</v>
      </c>
    </row>
    <row r="713" ht="14.25" customHeight="1">
      <c r="A713" s="4" t="s">
        <v>8718</v>
      </c>
      <c r="B713" s="4" t="s">
        <v>8651</v>
      </c>
      <c r="C713" s="4" t="s">
        <v>8773</v>
      </c>
      <c r="D713" s="5">
        <v>210.068982217475</v>
      </c>
      <c r="H713" s="32">
        <v>0.0</v>
      </c>
    </row>
    <row r="714" ht="14.25" customHeight="1">
      <c r="A714" s="4" t="s">
        <v>8718</v>
      </c>
      <c r="B714" s="4" t="s">
        <v>6280</v>
      </c>
      <c r="C714" s="4" t="s">
        <v>8719</v>
      </c>
      <c r="D714" s="5">
        <v>299.32498132252</v>
      </c>
      <c r="H714" s="32">
        <v>0.0</v>
      </c>
    </row>
    <row r="715" ht="14.25" customHeight="1">
      <c r="A715" s="4" t="s">
        <v>8718</v>
      </c>
      <c r="B715" s="4" t="s">
        <v>8698</v>
      </c>
      <c r="C715" s="4" t="s">
        <v>8719</v>
      </c>
      <c r="D715" s="5">
        <v>299.32498132252</v>
      </c>
      <c r="H715" s="32">
        <v>0.0</v>
      </c>
    </row>
    <row r="716" ht="14.25" customHeight="1">
      <c r="A716" s="4" t="s">
        <v>8718</v>
      </c>
      <c r="B716" s="4" t="s">
        <v>8774</v>
      </c>
      <c r="C716" s="4" t="s">
        <v>8719</v>
      </c>
      <c r="D716" s="5">
        <v>299.32498132252</v>
      </c>
      <c r="H716" s="32">
        <v>0.0</v>
      </c>
    </row>
    <row r="717" ht="14.25" customHeight="1">
      <c r="A717" s="4" t="s">
        <v>8718</v>
      </c>
      <c r="B717" s="4" t="s">
        <v>8775</v>
      </c>
      <c r="C717" s="4" t="s">
        <v>8719</v>
      </c>
      <c r="D717" s="5">
        <v>299.32498132252</v>
      </c>
      <c r="H717" s="32">
        <v>0.0</v>
      </c>
    </row>
    <row r="718" ht="14.25" customHeight="1">
      <c r="A718" s="4" t="s">
        <v>8718</v>
      </c>
      <c r="B718" s="4" t="s">
        <v>7332</v>
      </c>
      <c r="C718" s="4" t="s">
        <v>8719</v>
      </c>
      <c r="D718" s="5">
        <v>299.32498132252</v>
      </c>
      <c r="H718" s="32">
        <v>0.0</v>
      </c>
    </row>
    <row r="719" ht="14.25" customHeight="1">
      <c r="A719" s="4" t="s">
        <v>8718</v>
      </c>
      <c r="B719" s="4" t="s">
        <v>6626</v>
      </c>
      <c r="C719" s="4" t="s">
        <v>8719</v>
      </c>
      <c r="D719" s="5">
        <v>299.32498132252</v>
      </c>
      <c r="H719" s="32">
        <v>0.0</v>
      </c>
    </row>
    <row r="720" ht="14.25" customHeight="1">
      <c r="A720" s="4" t="s">
        <v>8718</v>
      </c>
      <c r="B720" s="4" t="s">
        <v>7568</v>
      </c>
      <c r="C720" s="4" t="s">
        <v>8719</v>
      </c>
      <c r="D720" s="5">
        <v>299.32498132252</v>
      </c>
      <c r="H720" s="32">
        <v>0.0</v>
      </c>
    </row>
    <row r="721" ht="14.25" customHeight="1">
      <c r="A721" s="4" t="s">
        <v>8718</v>
      </c>
      <c r="B721" s="4" t="s">
        <v>8517</v>
      </c>
      <c r="C721" s="4" t="s">
        <v>8719</v>
      </c>
      <c r="D721" s="5">
        <v>299.32498132252</v>
      </c>
      <c r="H721" s="32">
        <v>0.0</v>
      </c>
    </row>
    <row r="722" ht="14.25" customHeight="1">
      <c r="A722" s="4" t="s">
        <v>8718</v>
      </c>
      <c r="B722" s="4" t="s">
        <v>3501</v>
      </c>
      <c r="C722" s="4" t="s">
        <v>8719</v>
      </c>
      <c r="D722" s="5">
        <v>299.32498132252</v>
      </c>
      <c r="H722" s="32">
        <v>0.0</v>
      </c>
    </row>
    <row r="723" ht="14.25" customHeight="1">
      <c r="A723" s="4" t="s">
        <v>8718</v>
      </c>
      <c r="B723" s="4" t="s">
        <v>8564</v>
      </c>
      <c r="C723" s="4" t="s">
        <v>8719</v>
      </c>
      <c r="D723" s="5">
        <v>299.32498132252</v>
      </c>
      <c r="H723" s="32">
        <v>0.0</v>
      </c>
    </row>
    <row r="724" ht="14.25" customHeight="1">
      <c r="A724" s="4" t="s">
        <v>8718</v>
      </c>
      <c r="B724" s="4" t="s">
        <v>2048</v>
      </c>
      <c r="C724" s="4" t="s">
        <v>8719</v>
      </c>
      <c r="D724" s="5">
        <v>299.32498132252</v>
      </c>
      <c r="H724" s="32">
        <v>0.0</v>
      </c>
    </row>
    <row r="725" ht="14.25" customHeight="1">
      <c r="A725" s="4" t="s">
        <v>8718</v>
      </c>
      <c r="B725" s="4" t="s">
        <v>507</v>
      </c>
      <c r="C725" s="4" t="s">
        <v>8719</v>
      </c>
      <c r="D725" s="5">
        <v>299.32498132252</v>
      </c>
      <c r="H725" s="32">
        <v>0.0</v>
      </c>
    </row>
    <row r="726" ht="14.25" customHeight="1">
      <c r="A726" s="4" t="s">
        <v>8718</v>
      </c>
      <c r="B726" s="4" t="s">
        <v>8776</v>
      </c>
      <c r="C726" s="4" t="s">
        <v>8719</v>
      </c>
      <c r="D726" s="5">
        <v>299.32498132252</v>
      </c>
      <c r="H726" s="32">
        <v>0.0</v>
      </c>
    </row>
    <row r="727" ht="14.25" customHeight="1">
      <c r="A727" s="4" t="s">
        <v>8718</v>
      </c>
      <c r="B727" s="4" t="s">
        <v>2789</v>
      </c>
      <c r="C727" s="4" t="s">
        <v>8719</v>
      </c>
      <c r="D727" s="5">
        <v>299.32498132252</v>
      </c>
      <c r="H727" s="32">
        <v>0.0</v>
      </c>
    </row>
    <row r="728" ht="14.25" customHeight="1">
      <c r="A728" s="4" t="s">
        <v>8718</v>
      </c>
      <c r="B728" s="4" t="s">
        <v>8777</v>
      </c>
      <c r="C728" s="4" t="s">
        <v>8719</v>
      </c>
      <c r="D728" s="5">
        <v>299.32498132252</v>
      </c>
      <c r="H728" s="32">
        <v>0.0</v>
      </c>
    </row>
    <row r="729" ht="14.25" customHeight="1">
      <c r="A729" s="4" t="s">
        <v>8718</v>
      </c>
      <c r="B729" s="4" t="s">
        <v>2999</v>
      </c>
      <c r="C729" s="4" t="s">
        <v>8719</v>
      </c>
      <c r="D729" s="5">
        <v>299.32498132252</v>
      </c>
      <c r="H729" s="32">
        <v>0.0</v>
      </c>
    </row>
    <row r="730" ht="14.25" customHeight="1">
      <c r="A730" s="4" t="s">
        <v>8718</v>
      </c>
      <c r="B730" s="4" t="s">
        <v>8538</v>
      </c>
      <c r="C730" s="4" t="s">
        <v>8719</v>
      </c>
      <c r="D730" s="5">
        <v>299.32498132252</v>
      </c>
      <c r="H730" s="32">
        <v>0.0</v>
      </c>
    </row>
    <row r="731" ht="14.25" customHeight="1">
      <c r="A731" s="4" t="s">
        <v>8718</v>
      </c>
      <c r="B731" s="4" t="s">
        <v>8627</v>
      </c>
      <c r="C731" s="4" t="s">
        <v>8719</v>
      </c>
      <c r="D731" s="5">
        <v>299.32498132252</v>
      </c>
      <c r="H731" s="32">
        <v>0.0</v>
      </c>
    </row>
    <row r="732" ht="14.25" customHeight="1">
      <c r="A732" s="4" t="s">
        <v>8718</v>
      </c>
      <c r="B732" s="4" t="s">
        <v>7952</v>
      </c>
      <c r="C732" s="4" t="s">
        <v>8719</v>
      </c>
      <c r="D732" s="5">
        <v>299.32498132252</v>
      </c>
      <c r="H732" s="32">
        <v>0.0</v>
      </c>
    </row>
    <row r="733" ht="14.25" customHeight="1">
      <c r="A733" s="4" t="s">
        <v>8718</v>
      </c>
      <c r="B733" s="4" t="s">
        <v>8521</v>
      </c>
      <c r="C733" s="4" t="s">
        <v>8719</v>
      </c>
      <c r="D733" s="5">
        <v>299.32498132252</v>
      </c>
      <c r="H733" s="32">
        <v>0.0</v>
      </c>
    </row>
    <row r="734" ht="14.25" customHeight="1">
      <c r="A734" s="4" t="s">
        <v>8718</v>
      </c>
      <c r="B734" s="4" t="s">
        <v>8701</v>
      </c>
      <c r="C734" s="4" t="s">
        <v>8719</v>
      </c>
      <c r="D734" s="5">
        <v>299.32498132252</v>
      </c>
      <c r="H734" s="32">
        <v>0.0</v>
      </c>
    </row>
    <row r="735" ht="14.25" customHeight="1">
      <c r="A735" s="4" t="s">
        <v>8718</v>
      </c>
      <c r="B735" s="4" t="s">
        <v>3547</v>
      </c>
      <c r="C735" s="4" t="s">
        <v>8719</v>
      </c>
      <c r="D735" s="5">
        <v>299.32498132252</v>
      </c>
      <c r="H735" s="32">
        <v>0.0</v>
      </c>
    </row>
    <row r="736" ht="14.25" customHeight="1">
      <c r="A736" s="4" t="s">
        <v>8718</v>
      </c>
      <c r="B736" s="4" t="s">
        <v>8659</v>
      </c>
      <c r="C736" s="4" t="s">
        <v>8719</v>
      </c>
      <c r="D736" s="5">
        <v>299.32498132252</v>
      </c>
      <c r="H736" s="32">
        <v>0.0</v>
      </c>
    </row>
    <row r="737" ht="14.25" customHeight="1">
      <c r="A737" s="4" t="s">
        <v>8718</v>
      </c>
      <c r="B737" s="4" t="s">
        <v>8641</v>
      </c>
      <c r="C737" s="4" t="s">
        <v>8719</v>
      </c>
      <c r="D737" s="5">
        <v>299.32498132252</v>
      </c>
      <c r="H737" s="32">
        <v>0.0</v>
      </c>
    </row>
    <row r="738" ht="14.25" customHeight="1">
      <c r="A738" s="4" t="s">
        <v>8718</v>
      </c>
      <c r="B738" s="4" t="s">
        <v>591</v>
      </c>
      <c r="C738" s="4" t="s">
        <v>8719</v>
      </c>
      <c r="D738" s="5">
        <v>299.32498132252</v>
      </c>
      <c r="H738" s="32">
        <v>0.0</v>
      </c>
    </row>
    <row r="739" ht="14.25" customHeight="1">
      <c r="A739" s="4" t="s">
        <v>8718</v>
      </c>
      <c r="B739" s="4" t="s">
        <v>8525</v>
      </c>
      <c r="C739" s="4" t="s">
        <v>8719</v>
      </c>
      <c r="D739" s="5">
        <v>299.32498132252</v>
      </c>
      <c r="H739" s="32">
        <v>0.0</v>
      </c>
    </row>
    <row r="740" ht="14.25" customHeight="1">
      <c r="A740" s="4" t="s">
        <v>8718</v>
      </c>
      <c r="B740" s="4" t="s">
        <v>3668</v>
      </c>
      <c r="C740" s="4" t="s">
        <v>8719</v>
      </c>
      <c r="D740" s="5">
        <v>299.32498132252</v>
      </c>
      <c r="H740" s="32">
        <v>0.0</v>
      </c>
    </row>
    <row r="741" ht="14.25" customHeight="1">
      <c r="A741" s="4" t="s">
        <v>8718</v>
      </c>
      <c r="B741" s="4" t="s">
        <v>8073</v>
      </c>
      <c r="C741" s="4" t="s">
        <v>8719</v>
      </c>
      <c r="D741" s="5">
        <v>299.32498132252</v>
      </c>
      <c r="H741" s="32">
        <v>0.0</v>
      </c>
    </row>
    <row r="742" ht="14.25" customHeight="1">
      <c r="A742" s="4" t="s">
        <v>8718</v>
      </c>
      <c r="B742" s="4" t="s">
        <v>6088</v>
      </c>
      <c r="C742" s="4" t="s">
        <v>8719</v>
      </c>
      <c r="D742" s="5">
        <v>299.32498132252</v>
      </c>
      <c r="H742" s="32">
        <v>0.0</v>
      </c>
    </row>
    <row r="743" ht="14.25" customHeight="1">
      <c r="A743" s="4" t="s">
        <v>8718</v>
      </c>
      <c r="B743" s="4" t="s">
        <v>2960</v>
      </c>
      <c r="C743" s="4" t="s">
        <v>8719</v>
      </c>
      <c r="D743" s="5">
        <v>299.32498132252</v>
      </c>
      <c r="H743" s="32">
        <v>0.0</v>
      </c>
    </row>
    <row r="744" ht="14.25" customHeight="1">
      <c r="A744" s="4" t="s">
        <v>8718</v>
      </c>
      <c r="B744" s="4" t="s">
        <v>2471</v>
      </c>
      <c r="C744" s="4" t="s">
        <v>8719</v>
      </c>
      <c r="D744" s="5">
        <v>299.32498132252</v>
      </c>
      <c r="H744" s="32">
        <v>0.0</v>
      </c>
    </row>
    <row r="745" ht="14.25" customHeight="1">
      <c r="A745" s="4" t="s">
        <v>8718</v>
      </c>
      <c r="B745" s="4" t="s">
        <v>1836</v>
      </c>
      <c r="C745" s="4" t="s">
        <v>8778</v>
      </c>
      <c r="D745" s="5">
        <v>179.594988793512</v>
      </c>
      <c r="H745" s="32">
        <v>0.0</v>
      </c>
    </row>
    <row r="746" ht="14.25" customHeight="1">
      <c r="A746" s="4" t="s">
        <v>8718</v>
      </c>
      <c r="B746" s="4" t="s">
        <v>4354</v>
      </c>
      <c r="C746" s="4" t="s">
        <v>8719</v>
      </c>
      <c r="D746" s="5">
        <v>299.32498132252</v>
      </c>
      <c r="H746" s="32">
        <v>0.0</v>
      </c>
    </row>
    <row r="747" ht="14.25" customHeight="1">
      <c r="A747" s="4" t="s">
        <v>8718</v>
      </c>
      <c r="B747" s="4" t="s">
        <v>8779</v>
      </c>
      <c r="C747" s="4" t="s">
        <v>8780</v>
      </c>
      <c r="D747" s="5">
        <v>93.00262721240999</v>
      </c>
      <c r="H747" s="32">
        <v>0.0</v>
      </c>
    </row>
    <row r="748" ht="14.25" customHeight="1">
      <c r="A748" s="4" t="s">
        <v>8718</v>
      </c>
      <c r="B748" s="4" t="s">
        <v>3669</v>
      </c>
      <c r="C748" s="4" t="s">
        <v>8719</v>
      </c>
      <c r="D748" s="5">
        <v>299.32498132252</v>
      </c>
      <c r="H748" s="32">
        <v>0.0</v>
      </c>
    </row>
    <row r="749" ht="14.25" customHeight="1">
      <c r="A749" s="4" t="s">
        <v>8718</v>
      </c>
      <c r="B749" s="4" t="s">
        <v>8545</v>
      </c>
      <c r="C749" s="4" t="s">
        <v>8781</v>
      </c>
      <c r="D749" s="5">
        <v>210.485524501693</v>
      </c>
      <c r="H749" s="32">
        <v>0.0</v>
      </c>
    </row>
    <row r="750" ht="14.25" customHeight="1">
      <c r="A750" s="4" t="s">
        <v>8718</v>
      </c>
      <c r="B750" s="4" t="s">
        <v>3277</v>
      </c>
      <c r="C750" s="4" t="s">
        <v>8719</v>
      </c>
      <c r="D750" s="5">
        <v>299.32498132252</v>
      </c>
      <c r="H750" s="32">
        <v>0.0</v>
      </c>
    </row>
    <row r="751" ht="14.25" customHeight="1">
      <c r="A751" s="4" t="s">
        <v>8718</v>
      </c>
      <c r="B751" s="4" t="s">
        <v>1493</v>
      </c>
      <c r="C751" s="4" t="s">
        <v>8719</v>
      </c>
      <c r="D751" s="5">
        <v>299.32498132252</v>
      </c>
      <c r="H751" s="32">
        <v>0.0</v>
      </c>
    </row>
    <row r="752" ht="14.25" customHeight="1">
      <c r="A752" s="4" t="s">
        <v>8718</v>
      </c>
      <c r="B752" s="4" t="s">
        <v>280</v>
      </c>
      <c r="C752" s="4" t="s">
        <v>8719</v>
      </c>
      <c r="D752" s="5">
        <v>299.32498132252</v>
      </c>
      <c r="H752" s="32">
        <v>0.0</v>
      </c>
    </row>
    <row r="753" ht="14.25" customHeight="1">
      <c r="A753" s="4" t="s">
        <v>8718</v>
      </c>
      <c r="B753" s="4" t="s">
        <v>8668</v>
      </c>
      <c r="C753" s="4" t="s">
        <v>8719</v>
      </c>
      <c r="D753" s="5">
        <v>299.32498132252</v>
      </c>
      <c r="H753" s="32">
        <v>0.0</v>
      </c>
    </row>
    <row r="754" ht="14.25" customHeight="1">
      <c r="A754" s="4" t="s">
        <v>8718</v>
      </c>
      <c r="B754" s="4" t="s">
        <v>8617</v>
      </c>
      <c r="C754" s="4" t="s">
        <v>8719</v>
      </c>
      <c r="D754" s="5">
        <v>299.32498132252</v>
      </c>
      <c r="H754" s="32">
        <v>0.0</v>
      </c>
    </row>
    <row r="755" ht="14.25" customHeight="1">
      <c r="A755" s="4" t="s">
        <v>8718</v>
      </c>
      <c r="B755" s="4" t="s">
        <v>8782</v>
      </c>
      <c r="C755" s="4" t="s">
        <v>8719</v>
      </c>
      <c r="D755" s="5">
        <v>299.32498132252</v>
      </c>
      <c r="H755" s="32">
        <v>0.0</v>
      </c>
    </row>
    <row r="756" ht="14.25" customHeight="1">
      <c r="A756" s="4" t="s">
        <v>8718</v>
      </c>
      <c r="B756" s="4" t="s">
        <v>7453</v>
      </c>
      <c r="C756" s="4" t="s">
        <v>8719</v>
      </c>
      <c r="D756" s="5">
        <v>299.32498132252</v>
      </c>
      <c r="H756" s="32">
        <v>0.0</v>
      </c>
    </row>
    <row r="757" ht="14.25" customHeight="1">
      <c r="A757" s="4" t="s">
        <v>8718</v>
      </c>
      <c r="B757" s="4" t="s">
        <v>8509</v>
      </c>
      <c r="C757" s="4" t="s">
        <v>8719</v>
      </c>
      <c r="D757" s="5">
        <v>299.32498132252</v>
      </c>
      <c r="H757" s="32">
        <v>0.0</v>
      </c>
    </row>
    <row r="758" ht="14.25" customHeight="1">
      <c r="A758" s="4" t="s">
        <v>8718</v>
      </c>
      <c r="B758" s="4" t="s">
        <v>8669</v>
      </c>
      <c r="C758" s="4" t="s">
        <v>8719</v>
      </c>
      <c r="D758" s="5">
        <v>299.32498132252</v>
      </c>
      <c r="H758" s="32">
        <v>0.0</v>
      </c>
    </row>
    <row r="759" ht="14.25" customHeight="1">
      <c r="A759" s="4" t="s">
        <v>8718</v>
      </c>
      <c r="B759" s="4" t="s">
        <v>8783</v>
      </c>
      <c r="C759" s="4" t="s">
        <v>8719</v>
      </c>
      <c r="D759" s="5">
        <v>299.32498132252</v>
      </c>
      <c r="H759" s="32">
        <v>0.0</v>
      </c>
    </row>
    <row r="760" ht="14.25" customHeight="1">
      <c r="A760" s="4" t="s">
        <v>8718</v>
      </c>
      <c r="B760" s="4" t="s">
        <v>8598</v>
      </c>
      <c r="C760" s="4" t="s">
        <v>8784</v>
      </c>
      <c r="D760" s="5">
        <v>76.0748732149214</v>
      </c>
      <c r="H760" s="32">
        <v>0.0</v>
      </c>
    </row>
    <row r="761" ht="14.25" customHeight="1">
      <c r="A761" s="4" t="s">
        <v>8718</v>
      </c>
      <c r="B761" s="4" t="s">
        <v>8594</v>
      </c>
      <c r="C761" s="4" t="s">
        <v>8719</v>
      </c>
      <c r="D761" s="5">
        <v>299.32498132252</v>
      </c>
      <c r="H761" s="32">
        <v>0.0</v>
      </c>
    </row>
    <row r="762" ht="14.25" customHeight="1">
      <c r="A762" s="4" t="s">
        <v>8718</v>
      </c>
      <c r="B762" s="4" t="s">
        <v>834</v>
      </c>
      <c r="C762" s="4" t="s">
        <v>8719</v>
      </c>
      <c r="D762" s="5">
        <v>299.32498132252</v>
      </c>
      <c r="H762" s="32">
        <v>0.0</v>
      </c>
    </row>
    <row r="763" ht="14.25" customHeight="1">
      <c r="A763" s="4" t="s">
        <v>8718</v>
      </c>
      <c r="B763" s="4" t="s">
        <v>2036</v>
      </c>
      <c r="C763" s="4" t="s">
        <v>8719</v>
      </c>
      <c r="D763" s="5">
        <v>299.32498132252</v>
      </c>
      <c r="H763" s="32">
        <v>0.0</v>
      </c>
    </row>
    <row r="764" ht="14.25" customHeight="1">
      <c r="A764" s="4" t="s">
        <v>8718</v>
      </c>
      <c r="B764" s="4" t="s">
        <v>8601</v>
      </c>
      <c r="C764" s="4" t="s">
        <v>8719</v>
      </c>
      <c r="D764" s="5">
        <v>299.32498132252</v>
      </c>
      <c r="H764" s="32">
        <v>0.0</v>
      </c>
    </row>
    <row r="765" ht="14.25" customHeight="1">
      <c r="A765" s="4" t="s">
        <v>8718</v>
      </c>
      <c r="B765" s="4" t="s">
        <v>7446</v>
      </c>
      <c r="C765" s="4" t="s">
        <v>8785</v>
      </c>
      <c r="D765" s="5">
        <v>107.13815853211</v>
      </c>
      <c r="H765" s="32">
        <v>0.0</v>
      </c>
    </row>
    <row r="766" ht="14.25" customHeight="1">
      <c r="A766" s="4" t="s">
        <v>8718</v>
      </c>
      <c r="B766" s="4" t="s">
        <v>8516</v>
      </c>
      <c r="C766" s="4" t="s">
        <v>8719</v>
      </c>
      <c r="D766" s="5">
        <v>299.32498132252</v>
      </c>
      <c r="H766" s="32">
        <v>0.0</v>
      </c>
    </row>
    <row r="767" ht="14.25" customHeight="1">
      <c r="A767" s="4" t="s">
        <v>8718</v>
      </c>
      <c r="B767" s="4" t="s">
        <v>8642</v>
      </c>
      <c r="C767" s="4" t="s">
        <v>8719</v>
      </c>
      <c r="D767" s="5">
        <v>299.32498132252</v>
      </c>
      <c r="H767" s="32">
        <v>0.0</v>
      </c>
    </row>
    <row r="768" ht="14.25" customHeight="1">
      <c r="A768" s="4" t="s">
        <v>8718</v>
      </c>
      <c r="B768" s="4" t="s">
        <v>2473</v>
      </c>
      <c r="C768" s="4" t="s">
        <v>8719</v>
      </c>
      <c r="D768" s="5">
        <v>299.32498132252</v>
      </c>
      <c r="H768" s="32">
        <v>0.0</v>
      </c>
    </row>
    <row r="769" ht="14.25" customHeight="1">
      <c r="A769" s="4" t="s">
        <v>8718</v>
      </c>
      <c r="B769" s="4" t="s">
        <v>3239</v>
      </c>
      <c r="C769" s="4" t="s">
        <v>8719</v>
      </c>
      <c r="D769" s="5">
        <v>299.32498132252</v>
      </c>
      <c r="H769" s="32">
        <v>0.0</v>
      </c>
    </row>
    <row r="770" ht="14.25" customHeight="1">
      <c r="A770" s="4" t="s">
        <v>8786</v>
      </c>
      <c r="B770" s="4" t="s">
        <v>8517</v>
      </c>
      <c r="C770" s="4" t="s">
        <v>8787</v>
      </c>
      <c r="D770" s="5">
        <v>6013.01447957185</v>
      </c>
      <c r="H770" s="32">
        <v>0.0</v>
      </c>
    </row>
    <row r="771" ht="14.25" customHeight="1">
      <c r="A771" s="4" t="s">
        <v>8786</v>
      </c>
      <c r="B771" s="4" t="s">
        <v>977</v>
      </c>
      <c r="C771" s="4" t="s">
        <v>8788</v>
      </c>
      <c r="D771" s="5">
        <v>690.2649961801311</v>
      </c>
      <c r="H771" s="32">
        <v>0.0</v>
      </c>
    </row>
    <row r="772" ht="14.25" customHeight="1">
      <c r="A772" s="4" t="s">
        <v>8786</v>
      </c>
      <c r="B772" s="4" t="s">
        <v>2999</v>
      </c>
      <c r="C772" s="4" t="s">
        <v>8789</v>
      </c>
      <c r="D772" s="5">
        <v>790.841290691458</v>
      </c>
      <c r="H772" s="32">
        <v>0.0</v>
      </c>
    </row>
    <row r="773" ht="14.25" customHeight="1">
      <c r="A773" s="4" t="s">
        <v>8786</v>
      </c>
      <c r="B773" s="4" t="s">
        <v>1121</v>
      </c>
      <c r="C773" s="4" t="s">
        <v>8790</v>
      </c>
      <c r="D773" s="5">
        <v>730.014407895108</v>
      </c>
      <c r="H773" s="32">
        <v>0.0</v>
      </c>
    </row>
    <row r="774" ht="14.25" customHeight="1">
      <c r="A774" s="4" t="s">
        <v>8786</v>
      </c>
      <c r="B774" s="4" t="s">
        <v>778</v>
      </c>
      <c r="C774" s="4" t="s">
        <v>8791</v>
      </c>
      <c r="D774" s="5">
        <v>830.014008721093</v>
      </c>
      <c r="H774" s="32">
        <v>0.0</v>
      </c>
    </row>
    <row r="775" ht="14.25" customHeight="1">
      <c r="A775" s="4" t="s">
        <v>8786</v>
      </c>
      <c r="B775" s="4" t="s">
        <v>822</v>
      </c>
      <c r="C775" s="4" t="s">
        <v>8792</v>
      </c>
      <c r="D775" s="5">
        <v>101.87950764977599</v>
      </c>
      <c r="H775" s="32">
        <v>0.0</v>
      </c>
    </row>
    <row r="776" ht="14.25" customHeight="1">
      <c r="A776" s="4" t="s">
        <v>8786</v>
      </c>
      <c r="B776" s="4" t="s">
        <v>966</v>
      </c>
      <c r="C776" s="4" t="s">
        <v>8793</v>
      </c>
      <c r="D776" s="5">
        <v>573.129342107254</v>
      </c>
      <c r="H776" s="32">
        <v>0.0</v>
      </c>
    </row>
    <row r="777" ht="14.25" customHeight="1">
      <c r="A777" s="4" t="s">
        <v>8786</v>
      </c>
      <c r="B777" s="4" t="s">
        <v>6617</v>
      </c>
      <c r="C777" s="4" t="s">
        <v>8794</v>
      </c>
      <c r="D777" s="5">
        <v>42.9705367735861</v>
      </c>
      <c r="H777" s="32">
        <v>0.0</v>
      </c>
    </row>
    <row r="778" ht="14.25" customHeight="1">
      <c r="A778" s="4" t="s">
        <v>8786</v>
      </c>
      <c r="B778" s="4" t="s">
        <v>1656</v>
      </c>
      <c r="C778" s="4" t="s">
        <v>8795</v>
      </c>
      <c r="D778" s="5">
        <v>2179.70705284075</v>
      </c>
      <c r="H778" s="32">
        <v>0.0</v>
      </c>
    </row>
    <row r="779" ht="14.25" customHeight="1">
      <c r="A779" s="4" t="s">
        <v>8786</v>
      </c>
      <c r="B779" s="4" t="s">
        <v>1019</v>
      </c>
      <c r="C779" s="4" t="s">
        <v>8796</v>
      </c>
      <c r="D779" s="5">
        <v>247.117747994662</v>
      </c>
      <c r="H779" s="32">
        <v>0.0</v>
      </c>
    </row>
    <row r="780" ht="14.25" customHeight="1">
      <c r="A780" s="4" t="s">
        <v>8786</v>
      </c>
      <c r="B780" s="4" t="s">
        <v>3790</v>
      </c>
      <c r="C780" s="4" t="s">
        <v>8797</v>
      </c>
      <c r="D780" s="5">
        <v>43.594141056815</v>
      </c>
      <c r="H780" s="32">
        <v>0.0</v>
      </c>
    </row>
    <row r="781" ht="14.25" customHeight="1">
      <c r="A781" s="4" t="s">
        <v>8786</v>
      </c>
      <c r="B781" s="4" t="s">
        <v>4182</v>
      </c>
      <c r="C781" s="4" t="s">
        <v>8797</v>
      </c>
      <c r="D781" s="5">
        <v>43.594141056815</v>
      </c>
      <c r="H781" s="32">
        <v>0.0</v>
      </c>
    </row>
    <row r="782" ht="14.25" customHeight="1">
      <c r="A782" s="4" t="s">
        <v>8786</v>
      </c>
      <c r="B782" s="4" t="s">
        <v>8547</v>
      </c>
      <c r="C782" s="4" t="s">
        <v>8798</v>
      </c>
      <c r="D782" s="5">
        <v>526.303255090718</v>
      </c>
      <c r="H782" s="32">
        <v>0.0</v>
      </c>
    </row>
    <row r="783" ht="14.25" customHeight="1">
      <c r="A783" s="4" t="s">
        <v>8786</v>
      </c>
      <c r="B783" s="4" t="s">
        <v>8684</v>
      </c>
      <c r="C783" s="4" t="s">
        <v>8799</v>
      </c>
      <c r="D783" s="5">
        <v>13.0782423170445</v>
      </c>
      <c r="H783" s="32">
        <v>0.0</v>
      </c>
    </row>
    <row r="784" ht="14.25" customHeight="1">
      <c r="A784" s="4" t="s">
        <v>8786</v>
      </c>
      <c r="B784" s="4" t="s">
        <v>1739</v>
      </c>
      <c r="C784" s="4" t="s">
        <v>8800</v>
      </c>
      <c r="D784" s="5">
        <v>672.2231082341231</v>
      </c>
      <c r="H784" s="32">
        <v>0.0</v>
      </c>
    </row>
    <row r="785" ht="14.25" customHeight="1">
      <c r="A785" s="4" t="s">
        <v>8786</v>
      </c>
      <c r="B785" s="4" t="s">
        <v>8706</v>
      </c>
      <c r="C785" s="4" t="s">
        <v>8801</v>
      </c>
      <c r="D785" s="5">
        <v>642.856595233421</v>
      </c>
      <c r="H785" s="32">
        <v>0.0</v>
      </c>
    </row>
    <row r="786" ht="14.25" customHeight="1">
      <c r="A786" s="4" t="s">
        <v>8786</v>
      </c>
      <c r="B786" s="4" t="s">
        <v>8585</v>
      </c>
      <c r="C786" s="4" t="s">
        <v>8802</v>
      </c>
      <c r="D786" s="5">
        <v>29.1171180916789</v>
      </c>
      <c r="H786" s="32">
        <v>0.0</v>
      </c>
    </row>
    <row r="787" ht="14.25" customHeight="1">
      <c r="A787" s="4" t="s">
        <v>8786</v>
      </c>
      <c r="B787" s="4" t="s">
        <v>6009</v>
      </c>
      <c r="C787" s="4" t="s">
        <v>8803</v>
      </c>
      <c r="D787" s="5">
        <v>188.907944579532</v>
      </c>
      <c r="H787" s="32">
        <v>0.0</v>
      </c>
    </row>
    <row r="788" ht="14.25" customHeight="1">
      <c r="A788" s="4" t="s">
        <v>8786</v>
      </c>
      <c r="B788" s="4" t="s">
        <v>8606</v>
      </c>
      <c r="C788" s="4" t="s">
        <v>8804</v>
      </c>
      <c r="D788" s="5">
        <v>27442.511795265</v>
      </c>
      <c r="H788" s="32">
        <v>0.0</v>
      </c>
    </row>
    <row r="789" ht="14.25" customHeight="1">
      <c r="A789" s="4" t="s">
        <v>8786</v>
      </c>
      <c r="B789" s="4" t="s">
        <v>8453</v>
      </c>
      <c r="C789" s="4" t="s">
        <v>8805</v>
      </c>
      <c r="D789" s="5">
        <v>334.512375709294</v>
      </c>
      <c r="H789" s="32">
        <v>0.0</v>
      </c>
    </row>
    <row r="790" ht="14.25" customHeight="1">
      <c r="A790" s="4" t="s">
        <v>8786</v>
      </c>
      <c r="B790" s="4" t="s">
        <v>8616</v>
      </c>
      <c r="C790" s="4" t="s">
        <v>8806</v>
      </c>
      <c r="D790" s="5">
        <v>390.040464353904</v>
      </c>
      <c r="H790" s="32">
        <v>0.0</v>
      </c>
    </row>
    <row r="791" ht="14.25" customHeight="1">
      <c r="A791" s="4" t="s">
        <v>8786</v>
      </c>
      <c r="B791" s="4" t="s">
        <v>8716</v>
      </c>
      <c r="C791" s="4" t="s">
        <v>8807</v>
      </c>
      <c r="D791" s="5">
        <v>3567.45591087595</v>
      </c>
      <c r="H791" s="32">
        <v>0.0</v>
      </c>
    </row>
    <row r="792" ht="14.25" customHeight="1">
      <c r="A792" s="4" t="s">
        <v>8786</v>
      </c>
      <c r="B792" s="4" t="s">
        <v>8534</v>
      </c>
      <c r="C792" s="4" t="s">
        <v>8808</v>
      </c>
      <c r="D792" s="5">
        <v>1164.03878064166</v>
      </c>
      <c r="H792" s="32">
        <v>0.0</v>
      </c>
    </row>
    <row r="793" ht="14.25" customHeight="1">
      <c r="A793" s="4" t="s">
        <v>8786</v>
      </c>
      <c r="B793" s="4" t="s">
        <v>8436</v>
      </c>
      <c r="C793" s="4" t="s">
        <v>8797</v>
      </c>
      <c r="D793" s="5">
        <v>43.594141056815</v>
      </c>
      <c r="H793" s="32">
        <v>0.0</v>
      </c>
    </row>
    <row r="794" ht="14.25" customHeight="1">
      <c r="A794" s="4" t="s">
        <v>8786</v>
      </c>
      <c r="B794" s="4" t="s">
        <v>7180</v>
      </c>
      <c r="C794" s="4" t="s">
        <v>8809</v>
      </c>
      <c r="D794" s="5">
        <v>7.2656901761358395</v>
      </c>
      <c r="H794" s="32">
        <v>0.0</v>
      </c>
    </row>
    <row r="795" ht="14.25" customHeight="1">
      <c r="A795" s="4" t="s">
        <v>8786</v>
      </c>
      <c r="B795" s="4" t="s">
        <v>6149</v>
      </c>
      <c r="C795" s="4" t="s">
        <v>8810</v>
      </c>
      <c r="D795" s="5">
        <v>72.66697248835</v>
      </c>
      <c r="H795" s="32">
        <v>0.0</v>
      </c>
    </row>
    <row r="796" ht="14.25" customHeight="1">
      <c r="A796" s="4" t="s">
        <v>8786</v>
      </c>
      <c r="B796" s="4" t="s">
        <v>5738</v>
      </c>
      <c r="C796" s="4" t="s">
        <v>8797</v>
      </c>
      <c r="D796" s="5">
        <v>43.594141056815</v>
      </c>
      <c r="H796" s="32">
        <v>0.0</v>
      </c>
    </row>
    <row r="797" ht="14.25" customHeight="1">
      <c r="A797" s="4" t="s">
        <v>8786</v>
      </c>
      <c r="B797" s="4" t="s">
        <v>872</v>
      </c>
      <c r="C797" s="4" t="s">
        <v>8811</v>
      </c>
      <c r="D797" s="5">
        <v>186.723643624786</v>
      </c>
      <c r="H797" s="32">
        <v>0.0</v>
      </c>
    </row>
    <row r="798" ht="14.25" customHeight="1">
      <c r="A798" s="4" t="s">
        <v>8786</v>
      </c>
      <c r="B798" s="4" t="s">
        <v>4445</v>
      </c>
      <c r="C798" s="4" t="s">
        <v>8797</v>
      </c>
      <c r="D798" s="5">
        <v>43.594141056815</v>
      </c>
      <c r="H798" s="32">
        <v>0.0</v>
      </c>
    </row>
    <row r="799" ht="14.25" customHeight="1">
      <c r="A799" s="4" t="s">
        <v>8786</v>
      </c>
      <c r="B799" s="4" t="s">
        <v>8680</v>
      </c>
      <c r="C799" s="4" t="s">
        <v>8812</v>
      </c>
      <c r="D799" s="5">
        <v>21.3395673760568</v>
      </c>
      <c r="H799" s="32">
        <v>0.0</v>
      </c>
    </row>
    <row r="800" ht="14.25" customHeight="1">
      <c r="A800" s="4" t="s">
        <v>8786</v>
      </c>
      <c r="B800" s="4" t="s">
        <v>2020</v>
      </c>
      <c r="C800" s="4" t="s">
        <v>8809</v>
      </c>
      <c r="D800" s="5">
        <v>7.2656901761358395</v>
      </c>
      <c r="H800" s="32">
        <v>0.0</v>
      </c>
    </row>
    <row r="801" ht="14.25" customHeight="1">
      <c r="A801" s="4" t="s">
        <v>8786</v>
      </c>
      <c r="B801" s="4" t="s">
        <v>8499</v>
      </c>
      <c r="C801" s="4" t="s">
        <v>8813</v>
      </c>
      <c r="D801" s="5">
        <v>29.0627607045433</v>
      </c>
      <c r="H801" s="32">
        <v>0.0</v>
      </c>
    </row>
    <row r="802" ht="14.25" customHeight="1">
      <c r="A802" s="4" t="s">
        <v>8786</v>
      </c>
      <c r="B802" s="4" t="s">
        <v>7742</v>
      </c>
      <c r="C802" s="4" t="s">
        <v>8814</v>
      </c>
      <c r="D802" s="5">
        <v>43.7394548603378</v>
      </c>
      <c r="H802" s="32">
        <v>0.0</v>
      </c>
    </row>
    <row r="803" ht="14.25" customHeight="1">
      <c r="A803" s="4" t="s">
        <v>8786</v>
      </c>
      <c r="B803" s="4" t="s">
        <v>2293</v>
      </c>
      <c r="C803" s="4" t="s">
        <v>8815</v>
      </c>
      <c r="D803" s="5">
        <v>7.65788659742213</v>
      </c>
      <c r="H803" s="32">
        <v>0.0</v>
      </c>
    </row>
    <row r="804" ht="14.25" customHeight="1">
      <c r="A804" s="4" t="s">
        <v>8786</v>
      </c>
      <c r="B804" s="4" t="s">
        <v>8816</v>
      </c>
      <c r="C804" s="4" t="s">
        <v>8817</v>
      </c>
      <c r="D804" s="5">
        <v>70.3093175344774</v>
      </c>
      <c r="H804" s="32">
        <v>0.0</v>
      </c>
    </row>
    <row r="805" ht="14.25" customHeight="1">
      <c r="A805" s="4" t="s">
        <v>8786</v>
      </c>
      <c r="B805" s="4" t="s">
        <v>8687</v>
      </c>
      <c r="C805" s="4" t="s">
        <v>8818</v>
      </c>
      <c r="D805" s="5">
        <v>175.189260484974</v>
      </c>
      <c r="H805" s="32">
        <v>0.0</v>
      </c>
    </row>
    <row r="806" ht="14.25" customHeight="1">
      <c r="A806" s="4" t="s">
        <v>8786</v>
      </c>
      <c r="B806" s="4" t="s">
        <v>3669</v>
      </c>
      <c r="C806" s="4" t="s">
        <v>8813</v>
      </c>
      <c r="D806" s="5">
        <v>29.0627607045433</v>
      </c>
      <c r="H806" s="32">
        <v>0.0</v>
      </c>
    </row>
    <row r="807" ht="14.25" customHeight="1">
      <c r="A807" s="4" t="s">
        <v>8786</v>
      </c>
      <c r="B807" s="4" t="s">
        <v>4202</v>
      </c>
      <c r="C807" s="4" t="s">
        <v>8819</v>
      </c>
      <c r="D807" s="5">
        <v>174.37656422726</v>
      </c>
      <c r="H807" s="32">
        <v>0.0</v>
      </c>
    </row>
    <row r="808" ht="14.25" customHeight="1">
      <c r="A808" s="4" t="s">
        <v>8786</v>
      </c>
      <c r="B808" s="4" t="s">
        <v>2789</v>
      </c>
      <c r="C808" s="4" t="s">
        <v>8813</v>
      </c>
      <c r="D808" s="5">
        <v>29.0627607045433</v>
      </c>
      <c r="H808" s="32">
        <v>0.0</v>
      </c>
    </row>
    <row r="809" ht="14.25" customHeight="1">
      <c r="A809" s="4" t="s">
        <v>8786</v>
      </c>
      <c r="B809" s="4" t="s">
        <v>1507</v>
      </c>
      <c r="C809" s="4" t="s">
        <v>8820</v>
      </c>
      <c r="D809" s="5">
        <v>247.033465988618</v>
      </c>
      <c r="H809" s="32">
        <v>0.0</v>
      </c>
    </row>
    <row r="810" ht="14.25" customHeight="1">
      <c r="A810" s="4" t="s">
        <v>8786</v>
      </c>
      <c r="B810" s="4" t="s">
        <v>5440</v>
      </c>
      <c r="C810" s="4" t="s">
        <v>8797</v>
      </c>
      <c r="D810" s="5">
        <v>43.594141056815</v>
      </c>
      <c r="H810" s="32">
        <v>0.0</v>
      </c>
    </row>
    <row r="811" ht="14.25" customHeight="1">
      <c r="A811" s="4" t="s">
        <v>8786</v>
      </c>
      <c r="B811" s="4" t="s">
        <v>398</v>
      </c>
      <c r="C811" s="4" t="s">
        <v>8821</v>
      </c>
      <c r="D811" s="5">
        <v>101.80685074787</v>
      </c>
      <c r="H811" s="32">
        <v>0.0</v>
      </c>
    </row>
    <row r="812" ht="14.25" customHeight="1">
      <c r="A812" s="4" t="s">
        <v>8786</v>
      </c>
      <c r="B812" s="4" t="s">
        <v>5278</v>
      </c>
      <c r="C812" s="4" t="s">
        <v>8822</v>
      </c>
      <c r="D812" s="5">
        <v>410.297333866012</v>
      </c>
      <c r="H812" s="32">
        <v>0.0</v>
      </c>
    </row>
    <row r="813" ht="14.25" customHeight="1">
      <c r="A813" s="4" t="s">
        <v>8786</v>
      </c>
      <c r="B813" s="4" t="s">
        <v>4634</v>
      </c>
      <c r="C813" s="4" t="s">
        <v>8797</v>
      </c>
      <c r="D813" s="5">
        <v>43.594141056815</v>
      </c>
      <c r="H813" s="32">
        <v>0.0</v>
      </c>
    </row>
    <row r="814" ht="14.25" customHeight="1">
      <c r="A814" s="4" t="s">
        <v>8786</v>
      </c>
      <c r="B814" s="4" t="s">
        <v>1621</v>
      </c>
      <c r="C814" s="4" t="s">
        <v>8823</v>
      </c>
      <c r="D814" s="5">
        <v>242.257882518467</v>
      </c>
      <c r="H814" s="32">
        <v>0.0</v>
      </c>
    </row>
    <row r="815" ht="14.25" customHeight="1">
      <c r="A815" s="4" t="s">
        <v>8786</v>
      </c>
      <c r="B815" s="4" t="s">
        <v>291</v>
      </c>
      <c r="C815" s="4" t="s">
        <v>8824</v>
      </c>
      <c r="D815" s="5">
        <v>101.792319367663</v>
      </c>
      <c r="H815" s="32">
        <v>0.0</v>
      </c>
    </row>
    <row r="816" ht="14.25" customHeight="1">
      <c r="A816" s="4" t="s">
        <v>8786</v>
      </c>
      <c r="B816" s="4" t="s">
        <v>1667</v>
      </c>
      <c r="C816" s="4" t="s">
        <v>8825</v>
      </c>
      <c r="D816" s="5">
        <v>5288.8702557735105</v>
      </c>
      <c r="H816" s="32">
        <v>0.0</v>
      </c>
    </row>
    <row r="817" ht="14.25" customHeight="1">
      <c r="A817" s="4" t="s">
        <v>8786</v>
      </c>
      <c r="B817" s="4" t="s">
        <v>8525</v>
      </c>
      <c r="C817" s="4" t="s">
        <v>8826</v>
      </c>
      <c r="D817" s="5">
        <v>690.627623420509</v>
      </c>
      <c r="H817" s="32">
        <v>0.0</v>
      </c>
    </row>
    <row r="818" ht="14.25" customHeight="1">
      <c r="A818" s="4" t="s">
        <v>8786</v>
      </c>
      <c r="B818" s="4" t="s">
        <v>8675</v>
      </c>
      <c r="C818" s="4" t="s">
        <v>8827</v>
      </c>
      <c r="D818" s="5">
        <v>1405.11025961661</v>
      </c>
      <c r="H818" s="32">
        <v>0.0</v>
      </c>
    </row>
    <row r="819" ht="14.25" customHeight="1">
      <c r="A819" s="4" t="s">
        <v>8786</v>
      </c>
      <c r="B819" s="4" t="s">
        <v>2471</v>
      </c>
      <c r="C819" s="4" t="s">
        <v>8828</v>
      </c>
      <c r="D819" s="5">
        <v>29.2146854172951</v>
      </c>
      <c r="H819" s="32">
        <v>0.0</v>
      </c>
    </row>
    <row r="820" ht="14.25" customHeight="1">
      <c r="A820" s="4" t="s">
        <v>8786</v>
      </c>
      <c r="B820" s="4" t="s">
        <v>8580</v>
      </c>
      <c r="C820" s="4" t="s">
        <v>8829</v>
      </c>
      <c r="D820" s="5">
        <v>40.6976697538716</v>
      </c>
      <c r="H820" s="32">
        <v>0.0</v>
      </c>
    </row>
    <row r="821" ht="14.25" customHeight="1">
      <c r="A821" s="4" t="s">
        <v>8786</v>
      </c>
      <c r="B821" s="4" t="s">
        <v>8530</v>
      </c>
      <c r="C821" s="4" t="s">
        <v>8830</v>
      </c>
      <c r="D821" s="5">
        <v>584.865680853193</v>
      </c>
      <c r="H821" s="32">
        <v>0.0</v>
      </c>
    </row>
    <row r="822" ht="14.25" customHeight="1">
      <c r="A822" s="4" t="s">
        <v>8786</v>
      </c>
      <c r="B822" s="4" t="s">
        <v>8512</v>
      </c>
      <c r="C822" s="4" t="s">
        <v>8831</v>
      </c>
      <c r="D822" s="5">
        <v>755.6319499219591</v>
      </c>
      <c r="H822" s="32">
        <v>0.0</v>
      </c>
    </row>
    <row r="823" ht="14.25" customHeight="1">
      <c r="A823" s="4" t="s">
        <v>8786</v>
      </c>
      <c r="B823" s="4" t="s">
        <v>3501</v>
      </c>
      <c r="C823" s="4" t="s">
        <v>8797</v>
      </c>
      <c r="D823" s="5">
        <v>43.594141056815</v>
      </c>
      <c r="H823" s="32">
        <v>0.0</v>
      </c>
    </row>
    <row r="824" ht="14.25" customHeight="1">
      <c r="A824" s="4" t="s">
        <v>8786</v>
      </c>
      <c r="B824" s="4" t="s">
        <v>3167</v>
      </c>
      <c r="C824" s="4" t="s">
        <v>8797</v>
      </c>
      <c r="D824" s="5">
        <v>43.594141056815</v>
      </c>
      <c r="H824" s="32">
        <v>0.0</v>
      </c>
    </row>
    <row r="825" ht="14.25" customHeight="1">
      <c r="A825" s="4" t="s">
        <v>8786</v>
      </c>
      <c r="B825" s="4" t="s">
        <v>5384</v>
      </c>
      <c r="C825" s="4" t="s">
        <v>8832</v>
      </c>
      <c r="D825" s="5">
        <v>43.7249234799855</v>
      </c>
      <c r="H825" s="32">
        <v>0.0</v>
      </c>
    </row>
    <row r="826" ht="14.25" customHeight="1">
      <c r="A826" s="4" t="s">
        <v>8786</v>
      </c>
      <c r="B826" s="4" t="s">
        <v>8506</v>
      </c>
      <c r="C826" s="4" t="s">
        <v>8833</v>
      </c>
      <c r="D826" s="5">
        <v>63.1894693830599</v>
      </c>
      <c r="H826" s="32">
        <v>0.0</v>
      </c>
    </row>
    <row r="827" ht="14.25" customHeight="1">
      <c r="A827" s="4" t="s">
        <v>8786</v>
      </c>
      <c r="B827" s="4" t="s">
        <v>8704</v>
      </c>
      <c r="C827" s="4" t="s">
        <v>8834</v>
      </c>
      <c r="D827" s="5">
        <v>682.974876556769</v>
      </c>
      <c r="H827" s="32">
        <v>0.0</v>
      </c>
    </row>
    <row r="828" ht="14.25" customHeight="1">
      <c r="A828" s="4" t="s">
        <v>8786</v>
      </c>
      <c r="B828" s="4" t="s">
        <v>8511</v>
      </c>
      <c r="C828" s="4" t="s">
        <v>8835</v>
      </c>
      <c r="D828" s="5">
        <v>538.678269658711</v>
      </c>
      <c r="H828" s="32">
        <v>0.0</v>
      </c>
    </row>
    <row r="829" ht="14.25" customHeight="1">
      <c r="A829" s="4" t="s">
        <v>8786</v>
      </c>
      <c r="B829" s="4" t="s">
        <v>2960</v>
      </c>
      <c r="C829" s="4" t="s">
        <v>8836</v>
      </c>
      <c r="D829" s="5">
        <v>143.63998246018102</v>
      </c>
      <c r="H829" s="32">
        <v>0.0</v>
      </c>
    </row>
    <row r="830" ht="14.25" customHeight="1">
      <c r="A830" s="4" t="s">
        <v>8786</v>
      </c>
      <c r="B830" s="4" t="s">
        <v>558</v>
      </c>
      <c r="C830" s="4" t="s">
        <v>8837</v>
      </c>
      <c r="D830" s="5">
        <v>561.110598530585</v>
      </c>
      <c r="H830" s="32">
        <v>0.0</v>
      </c>
    </row>
    <row r="831" ht="14.25" customHeight="1">
      <c r="A831" s="4" t="s">
        <v>8786</v>
      </c>
      <c r="B831" s="4" t="s">
        <v>8513</v>
      </c>
      <c r="C831" s="4" t="s">
        <v>8838</v>
      </c>
      <c r="D831" s="5">
        <v>43.884768663860505</v>
      </c>
      <c r="H831" s="32">
        <v>0.0</v>
      </c>
    </row>
    <row r="832" ht="14.25" customHeight="1">
      <c r="A832" s="4" t="s">
        <v>8786</v>
      </c>
      <c r="B832" s="4" t="s">
        <v>8664</v>
      </c>
      <c r="C832" s="4" t="s">
        <v>8839</v>
      </c>
      <c r="D832" s="5">
        <v>247.04213948662502</v>
      </c>
      <c r="H832" s="32">
        <v>0.0</v>
      </c>
    </row>
    <row r="833" ht="14.25" customHeight="1">
      <c r="A833" s="4" t="s">
        <v>8786</v>
      </c>
      <c r="B833" s="4" t="s">
        <v>1041</v>
      </c>
      <c r="C833" s="4" t="s">
        <v>8840</v>
      </c>
      <c r="D833" s="5">
        <v>101.73419384625399</v>
      </c>
      <c r="H833" s="32">
        <v>0.0</v>
      </c>
    </row>
    <row r="834" ht="14.25" customHeight="1">
      <c r="A834" s="4" t="s">
        <v>8786</v>
      </c>
      <c r="B834" s="4" t="s">
        <v>3912</v>
      </c>
      <c r="C834" s="4" t="s">
        <v>8841</v>
      </c>
      <c r="D834" s="5">
        <v>87.1882821136301</v>
      </c>
      <c r="H834" s="32">
        <v>0.0</v>
      </c>
    </row>
    <row r="835" ht="14.25" customHeight="1">
      <c r="A835" s="4" t="s">
        <v>8786</v>
      </c>
      <c r="B835" s="4" t="s">
        <v>1241</v>
      </c>
      <c r="C835" s="4" t="s">
        <v>8842</v>
      </c>
      <c r="D835" s="5">
        <v>726.621892957299</v>
      </c>
      <c r="H835" s="32">
        <v>0.0</v>
      </c>
    </row>
    <row r="836" ht="14.25" customHeight="1">
      <c r="A836" s="4" t="s">
        <v>8786</v>
      </c>
      <c r="B836" s="4" t="s">
        <v>5318</v>
      </c>
      <c r="C836" s="4" t="s">
        <v>8843</v>
      </c>
      <c r="D836" s="5">
        <v>65.7477297077494</v>
      </c>
      <c r="H836" s="32">
        <v>0.0</v>
      </c>
    </row>
    <row r="837" ht="14.25" customHeight="1">
      <c r="A837" s="4" t="s">
        <v>8786</v>
      </c>
      <c r="B837" s="4" t="s">
        <v>7332</v>
      </c>
      <c r="C837" s="4" t="s">
        <v>8797</v>
      </c>
      <c r="D837" s="5">
        <v>43.594141056815</v>
      </c>
      <c r="H837" s="32">
        <v>0.0</v>
      </c>
    </row>
    <row r="838" ht="14.25" customHeight="1">
      <c r="A838" s="4" t="s">
        <v>8786</v>
      </c>
      <c r="B838" s="4" t="s">
        <v>390</v>
      </c>
      <c r="C838" s="4" t="s">
        <v>8844</v>
      </c>
      <c r="D838" s="5">
        <v>203.476738641243</v>
      </c>
      <c r="H838" s="32">
        <v>0.0</v>
      </c>
    </row>
    <row r="839" ht="14.25" customHeight="1">
      <c r="A839" s="4" t="s">
        <v>8786</v>
      </c>
      <c r="B839" s="4" t="s">
        <v>6626</v>
      </c>
      <c r="C839" s="4" t="s">
        <v>8797</v>
      </c>
      <c r="D839" s="5">
        <v>43.594141056815</v>
      </c>
      <c r="H839" s="32">
        <v>0.0</v>
      </c>
    </row>
    <row r="840" ht="14.25" customHeight="1">
      <c r="A840" s="4" t="s">
        <v>8786</v>
      </c>
      <c r="B840" s="4" t="s">
        <v>2225</v>
      </c>
      <c r="C840" s="4" t="s">
        <v>8845</v>
      </c>
      <c r="D840" s="5">
        <v>70.0184102949386</v>
      </c>
      <c r="H840" s="32">
        <v>0.0</v>
      </c>
    </row>
    <row r="841" ht="14.25" customHeight="1">
      <c r="A841" s="4" t="s">
        <v>8786</v>
      </c>
      <c r="B841" s="4" t="s">
        <v>2137</v>
      </c>
      <c r="C841" s="4" t="s">
        <v>8838</v>
      </c>
      <c r="D841" s="5">
        <v>43.884768663860505</v>
      </c>
      <c r="H841" s="32">
        <v>0.0</v>
      </c>
    </row>
    <row r="842" ht="14.25" customHeight="1">
      <c r="A842" s="4" t="s">
        <v>8786</v>
      </c>
      <c r="B842" s="4" t="s">
        <v>699</v>
      </c>
      <c r="C842" s="4" t="s">
        <v>8846</v>
      </c>
      <c r="D842" s="5">
        <v>317.420042217444</v>
      </c>
      <c r="H842" s="32">
        <v>0.0</v>
      </c>
    </row>
    <row r="843" ht="14.25" customHeight="1">
      <c r="A843" s="4" t="s">
        <v>8786</v>
      </c>
      <c r="B843" s="4" t="s">
        <v>8601</v>
      </c>
      <c r="C843" s="4" t="s">
        <v>8847</v>
      </c>
      <c r="D843" s="5">
        <v>3326.56650515702</v>
      </c>
      <c r="H843" s="32">
        <v>0.0</v>
      </c>
    </row>
    <row r="844" ht="14.25" customHeight="1">
      <c r="A844" s="4" t="s">
        <v>8786</v>
      </c>
      <c r="B844" s="4" t="s">
        <v>8657</v>
      </c>
      <c r="C844" s="4" t="s">
        <v>8848</v>
      </c>
      <c r="D844" s="5">
        <v>38.9937381449898</v>
      </c>
      <c r="H844" s="32">
        <v>0.0</v>
      </c>
    </row>
    <row r="845" ht="14.25" customHeight="1">
      <c r="A845" s="4" t="s">
        <v>8786</v>
      </c>
      <c r="B845" s="4" t="s">
        <v>3626</v>
      </c>
      <c r="C845" s="4" t="s">
        <v>8849</v>
      </c>
      <c r="D845" s="5">
        <v>106.935558171495</v>
      </c>
      <c r="H845" s="32">
        <v>0.0</v>
      </c>
    </row>
    <row r="846" ht="14.25" customHeight="1">
      <c r="A846" s="4" t="s">
        <v>8786</v>
      </c>
      <c r="B846" s="4" t="s">
        <v>5717</v>
      </c>
      <c r="C846" s="4" t="s">
        <v>8850</v>
      </c>
      <c r="D846" s="5">
        <v>48.8403584060922</v>
      </c>
      <c r="H846" s="32">
        <v>0.0</v>
      </c>
    </row>
    <row r="847" ht="14.25" customHeight="1">
      <c r="A847" s="4" t="s">
        <v>8786</v>
      </c>
      <c r="B847" s="4" t="s">
        <v>289</v>
      </c>
      <c r="C847" s="4" t="s">
        <v>8851</v>
      </c>
      <c r="D847" s="5">
        <v>250.966631768339</v>
      </c>
      <c r="H847" s="32">
        <v>0.0</v>
      </c>
    </row>
    <row r="848" ht="14.25" customHeight="1">
      <c r="A848" s="4" t="s">
        <v>8786</v>
      </c>
      <c r="B848" s="4" t="s">
        <v>587</v>
      </c>
      <c r="C848" s="4" t="s">
        <v>8852</v>
      </c>
      <c r="D848" s="5">
        <v>145.411804006257</v>
      </c>
      <c r="H848" s="32">
        <v>0.0</v>
      </c>
    </row>
    <row r="849" ht="14.25" customHeight="1">
      <c r="A849" s="4" t="s">
        <v>8786</v>
      </c>
      <c r="B849" s="4" t="s">
        <v>1154</v>
      </c>
      <c r="C849" s="4" t="s">
        <v>8853</v>
      </c>
      <c r="D849" s="5">
        <v>288.615632036072</v>
      </c>
      <c r="H849" s="32">
        <v>0.0</v>
      </c>
    </row>
    <row r="850" ht="14.25" customHeight="1">
      <c r="A850" s="4" t="s">
        <v>8786</v>
      </c>
      <c r="B850" s="4" t="s">
        <v>813</v>
      </c>
      <c r="C850" s="4" t="s">
        <v>8854</v>
      </c>
      <c r="D850" s="5">
        <v>667.225371926984</v>
      </c>
      <c r="H850" s="32">
        <v>0.0</v>
      </c>
    </row>
    <row r="851" ht="14.25" customHeight="1">
      <c r="A851" s="4" t="s">
        <v>8786</v>
      </c>
      <c r="B851" s="4" t="s">
        <v>8567</v>
      </c>
      <c r="C851" s="4" t="s">
        <v>8855</v>
      </c>
      <c r="D851" s="5">
        <v>72.6569017613584</v>
      </c>
      <c r="H851" s="32">
        <v>0.0</v>
      </c>
    </row>
    <row r="852" ht="14.25" customHeight="1">
      <c r="A852" s="4" t="s">
        <v>8786</v>
      </c>
      <c r="B852" s="4" t="s">
        <v>2478</v>
      </c>
      <c r="C852" s="4" t="s">
        <v>8856</v>
      </c>
      <c r="D852" s="5">
        <v>94.1958845093979</v>
      </c>
      <c r="H852" s="32">
        <v>0.0</v>
      </c>
    </row>
    <row r="853" ht="14.25" customHeight="1">
      <c r="A853" s="4" t="s">
        <v>8786</v>
      </c>
      <c r="B853" s="4" t="s">
        <v>8650</v>
      </c>
      <c r="C853" s="4" t="s">
        <v>8857</v>
      </c>
      <c r="D853" s="5">
        <v>176.643459562214</v>
      </c>
      <c r="H853" s="32">
        <v>0.0</v>
      </c>
    </row>
    <row r="854" ht="14.25" customHeight="1">
      <c r="A854" s="4" t="s">
        <v>8786</v>
      </c>
      <c r="B854" s="4" t="s">
        <v>1254</v>
      </c>
      <c r="C854" s="4" t="s">
        <v>8858</v>
      </c>
      <c r="D854" s="5">
        <v>793.849308644602</v>
      </c>
      <c r="H854" s="32">
        <v>0.0</v>
      </c>
    </row>
    <row r="855" ht="14.25" customHeight="1">
      <c r="A855" s="4" t="s">
        <v>8786</v>
      </c>
      <c r="B855" s="4" t="s">
        <v>3024</v>
      </c>
      <c r="C855" s="4" t="s">
        <v>8859</v>
      </c>
      <c r="D855" s="5">
        <v>16.3868479415162</v>
      </c>
      <c r="H855" s="32">
        <v>0.0</v>
      </c>
    </row>
    <row r="856" ht="14.25" customHeight="1">
      <c r="A856" s="4" t="s">
        <v>8786</v>
      </c>
      <c r="B856" s="4" t="s">
        <v>280</v>
      </c>
      <c r="C856" s="4" t="s">
        <v>8860</v>
      </c>
      <c r="D856" s="5">
        <v>685.014694424429</v>
      </c>
      <c r="H856" s="32">
        <v>0.0</v>
      </c>
    </row>
    <row r="857" ht="14.25" customHeight="1">
      <c r="A857" s="4" t="s">
        <v>8786</v>
      </c>
      <c r="B857" s="4" t="s">
        <v>3335</v>
      </c>
      <c r="C857" s="4" t="s">
        <v>8797</v>
      </c>
      <c r="D857" s="5">
        <v>43.594141056815</v>
      </c>
      <c r="H857" s="32">
        <v>0.0</v>
      </c>
    </row>
    <row r="858" ht="14.25" customHeight="1">
      <c r="A858" s="4" t="s">
        <v>8786</v>
      </c>
      <c r="B858" s="4" t="s">
        <v>1125</v>
      </c>
      <c r="C858" s="4" t="s">
        <v>8861</v>
      </c>
      <c r="D858" s="5">
        <v>356.953606067377</v>
      </c>
      <c r="H858" s="32">
        <v>0.0</v>
      </c>
    </row>
    <row r="859" ht="14.25" customHeight="1">
      <c r="A859" s="4" t="s">
        <v>8786</v>
      </c>
      <c r="B859" s="4" t="s">
        <v>4731</v>
      </c>
      <c r="C859" s="4" t="s">
        <v>8797</v>
      </c>
      <c r="D859" s="5">
        <v>43.594141056815</v>
      </c>
      <c r="H859" s="32">
        <v>0.0</v>
      </c>
    </row>
    <row r="860" ht="14.25" customHeight="1">
      <c r="A860" s="4" t="s">
        <v>8786</v>
      </c>
      <c r="B860" s="4" t="s">
        <v>5264</v>
      </c>
      <c r="C860" s="4" t="s">
        <v>8862</v>
      </c>
      <c r="D860" s="5">
        <v>66.2570150907703</v>
      </c>
      <c r="H860" s="32">
        <v>0.0</v>
      </c>
    </row>
    <row r="861" ht="14.25" customHeight="1">
      <c r="A861" s="4" t="s">
        <v>8786</v>
      </c>
      <c r="B861" s="4" t="s">
        <v>8556</v>
      </c>
      <c r="C861" s="4" t="s">
        <v>8863</v>
      </c>
      <c r="D861" s="5">
        <v>100.993093448288</v>
      </c>
      <c r="H861" s="32">
        <v>0.0</v>
      </c>
    </row>
    <row r="862" ht="14.25" customHeight="1">
      <c r="A862" s="4" t="s">
        <v>8786</v>
      </c>
      <c r="B862" s="4" t="s">
        <v>568</v>
      </c>
      <c r="C862" s="4" t="s">
        <v>8864</v>
      </c>
      <c r="D862" s="5">
        <v>643.013580588022</v>
      </c>
      <c r="H862" s="32">
        <v>0.0</v>
      </c>
    </row>
    <row r="863" ht="14.25" customHeight="1">
      <c r="A863" s="4" t="s">
        <v>8786</v>
      </c>
      <c r="B863" s="4" t="s">
        <v>8531</v>
      </c>
      <c r="C863" s="4" t="s">
        <v>8865</v>
      </c>
      <c r="D863" s="5">
        <v>43.7794503214708</v>
      </c>
      <c r="H863" s="32">
        <v>0.0</v>
      </c>
    </row>
    <row r="864" ht="14.25" customHeight="1">
      <c r="A864" s="4" t="s">
        <v>8786</v>
      </c>
      <c r="B864" s="4" t="s">
        <v>6172</v>
      </c>
      <c r="C864" s="4" t="s">
        <v>8866</v>
      </c>
      <c r="D864" s="5">
        <v>290.627607045433</v>
      </c>
      <c r="H864" s="32">
        <v>0.0</v>
      </c>
    </row>
    <row r="865" ht="14.25" customHeight="1">
      <c r="A865" s="4" t="s">
        <v>8786</v>
      </c>
      <c r="B865" s="4" t="s">
        <v>8134</v>
      </c>
      <c r="C865" s="4" t="s">
        <v>8867</v>
      </c>
      <c r="D865" s="5">
        <v>28.450558536496597</v>
      </c>
      <c r="H865" s="32">
        <v>0.0</v>
      </c>
    </row>
    <row r="866" ht="14.25" customHeight="1">
      <c r="A866" s="4" t="s">
        <v>8786</v>
      </c>
      <c r="B866" s="4" t="s">
        <v>1482</v>
      </c>
      <c r="C866" s="4" t="s">
        <v>8868</v>
      </c>
      <c r="D866" s="5">
        <v>74.7238453026656</v>
      </c>
      <c r="H866" s="32">
        <v>0.0</v>
      </c>
    </row>
    <row r="867" ht="14.25" customHeight="1">
      <c r="A867" s="4" t="s">
        <v>8786</v>
      </c>
      <c r="B867" s="4" t="s">
        <v>3789</v>
      </c>
      <c r="C867" s="4" t="s">
        <v>8869</v>
      </c>
      <c r="D867" s="5">
        <v>118.328871392186</v>
      </c>
      <c r="H867" s="32">
        <v>0.0</v>
      </c>
    </row>
    <row r="868" ht="14.25" customHeight="1">
      <c r="A868" s="4" t="s">
        <v>8786</v>
      </c>
      <c r="B868" s="4" t="s">
        <v>2368</v>
      </c>
      <c r="C868" s="4" t="s">
        <v>8797</v>
      </c>
      <c r="D868" s="5">
        <v>43.594141056815</v>
      </c>
      <c r="H868" s="32">
        <v>0.0</v>
      </c>
    </row>
    <row r="869" ht="14.25" customHeight="1">
      <c r="A869" s="4" t="s">
        <v>8786</v>
      </c>
      <c r="B869" s="4" t="s">
        <v>591</v>
      </c>
      <c r="C869" s="4" t="s">
        <v>8840</v>
      </c>
      <c r="D869" s="5">
        <v>101.73419384625399</v>
      </c>
      <c r="H869" s="32">
        <v>0.0</v>
      </c>
    </row>
    <row r="870" ht="14.25" customHeight="1">
      <c r="A870" s="4" t="s">
        <v>8786</v>
      </c>
      <c r="B870" s="4" t="s">
        <v>5113</v>
      </c>
      <c r="C870" s="4" t="s">
        <v>8797</v>
      </c>
      <c r="D870" s="5">
        <v>43.594141056815</v>
      </c>
      <c r="H870" s="32">
        <v>0.0</v>
      </c>
    </row>
    <row r="871" ht="14.25" customHeight="1">
      <c r="A871" s="4" t="s">
        <v>8786</v>
      </c>
      <c r="B871" s="4" t="s">
        <v>1066</v>
      </c>
      <c r="C871" s="4" t="s">
        <v>8870</v>
      </c>
      <c r="D871" s="5">
        <v>683.120190360292</v>
      </c>
      <c r="H871" s="32">
        <v>0.0</v>
      </c>
    </row>
    <row r="872" ht="14.25" customHeight="1">
      <c r="A872" s="4" t="s">
        <v>8786</v>
      </c>
      <c r="B872" s="4" t="s">
        <v>31</v>
      </c>
      <c r="C872" s="4" t="s">
        <v>8871</v>
      </c>
      <c r="D872" s="5">
        <v>248.235211143751</v>
      </c>
      <c r="H872" s="32">
        <v>0.0</v>
      </c>
    </row>
    <row r="873" ht="14.25" customHeight="1">
      <c r="A873" s="4" t="s">
        <v>8786</v>
      </c>
      <c r="B873" s="4" t="s">
        <v>8596</v>
      </c>
      <c r="C873" s="4" t="s">
        <v>8872</v>
      </c>
      <c r="D873" s="5">
        <v>16.5173140548434</v>
      </c>
      <c r="H873" s="32">
        <v>0.0</v>
      </c>
    </row>
    <row r="874" ht="14.25" customHeight="1">
      <c r="A874" s="4" t="s">
        <v>8786</v>
      </c>
      <c r="B874" s="4" t="s">
        <v>5396</v>
      </c>
      <c r="C874" s="4" t="s">
        <v>8873</v>
      </c>
      <c r="D874" s="5">
        <v>179.748815543495</v>
      </c>
      <c r="H874" s="32">
        <v>0.0</v>
      </c>
    </row>
    <row r="875" ht="14.25" customHeight="1">
      <c r="A875" s="4" t="s">
        <v>8786</v>
      </c>
      <c r="B875" s="4" t="s">
        <v>8874</v>
      </c>
      <c r="C875" s="4" t="s">
        <v>8875</v>
      </c>
      <c r="D875" s="5">
        <v>57.6009758614802</v>
      </c>
      <c r="H875" s="32">
        <v>0.0</v>
      </c>
    </row>
    <row r="876" ht="14.25" customHeight="1">
      <c r="A876" s="4" t="s">
        <v>8786</v>
      </c>
      <c r="B876" s="4" t="s">
        <v>8640</v>
      </c>
      <c r="C876" s="4" t="s">
        <v>8876</v>
      </c>
      <c r="D876" s="5">
        <v>101.811174451253</v>
      </c>
      <c r="H876" s="32">
        <v>0.0</v>
      </c>
    </row>
    <row r="877" ht="14.25" customHeight="1">
      <c r="A877" s="4" t="s">
        <v>8786</v>
      </c>
      <c r="B877" s="4" t="s">
        <v>1734</v>
      </c>
      <c r="C877" s="4" t="s">
        <v>8824</v>
      </c>
      <c r="D877" s="5">
        <v>101.792319367663</v>
      </c>
      <c r="H877" s="32">
        <v>0.0</v>
      </c>
    </row>
    <row r="878" ht="14.25" customHeight="1">
      <c r="A878" s="4" t="s">
        <v>8786</v>
      </c>
      <c r="B878" s="4" t="s">
        <v>8643</v>
      </c>
      <c r="C878" s="4" t="s">
        <v>8877</v>
      </c>
      <c r="D878" s="5">
        <v>241.802994155321</v>
      </c>
      <c r="H878" s="32">
        <v>0.0</v>
      </c>
    </row>
    <row r="879" ht="14.25" customHeight="1">
      <c r="A879" s="4" t="s">
        <v>8786</v>
      </c>
      <c r="B879" s="4" t="s">
        <v>1050</v>
      </c>
      <c r="C879" s="4" t="s">
        <v>8878</v>
      </c>
      <c r="D879" s="5">
        <v>1628.24116847204</v>
      </c>
      <c r="H879" s="32">
        <v>0.0</v>
      </c>
    </row>
    <row r="880" ht="14.25" customHeight="1">
      <c r="A880" s="4" t="s">
        <v>8786</v>
      </c>
      <c r="B880" s="4" t="s">
        <v>373</v>
      </c>
      <c r="C880" s="4" t="s">
        <v>8879</v>
      </c>
      <c r="D880" s="5">
        <v>235.897224218933</v>
      </c>
      <c r="H880" s="32">
        <v>0.0</v>
      </c>
    </row>
    <row r="881" ht="14.25" customHeight="1">
      <c r="A881" s="4" t="s">
        <v>8786</v>
      </c>
      <c r="B881" s="4" t="s">
        <v>3412</v>
      </c>
      <c r="C881" s="4" t="s">
        <v>8809</v>
      </c>
      <c r="D881" s="5">
        <v>7.2656901761358395</v>
      </c>
      <c r="H881" s="32">
        <v>0.0</v>
      </c>
    </row>
    <row r="882" ht="14.25" customHeight="1">
      <c r="A882" s="4" t="s">
        <v>8786</v>
      </c>
      <c r="B882" s="4" t="s">
        <v>8589</v>
      </c>
      <c r="C882" s="4" t="s">
        <v>8880</v>
      </c>
      <c r="D882" s="5">
        <v>1453.13803522716</v>
      </c>
      <c r="H882" s="32">
        <v>0.0</v>
      </c>
    </row>
    <row r="883" ht="14.25" customHeight="1">
      <c r="A883" s="4" t="s">
        <v>8786</v>
      </c>
      <c r="B883" s="4" t="s">
        <v>3772</v>
      </c>
      <c r="C883" s="4" t="s">
        <v>8881</v>
      </c>
      <c r="D883" s="5">
        <v>85.56039640021841</v>
      </c>
      <c r="H883" s="32">
        <v>0.0</v>
      </c>
    </row>
    <row r="884" ht="14.25" customHeight="1">
      <c r="A884" s="4" t="s">
        <v>8786</v>
      </c>
      <c r="B884" s="4" t="s">
        <v>6058</v>
      </c>
      <c r="C884" s="4" t="s">
        <v>8797</v>
      </c>
      <c r="D884" s="5">
        <v>43.594141056815</v>
      </c>
      <c r="H884" s="32">
        <v>0.0</v>
      </c>
    </row>
    <row r="885" ht="14.25" customHeight="1">
      <c r="A885" s="4" t="s">
        <v>8786</v>
      </c>
      <c r="B885" s="4" t="s">
        <v>632</v>
      </c>
      <c r="C885" s="4" t="s">
        <v>8882</v>
      </c>
      <c r="D885" s="5">
        <v>244.9990727393</v>
      </c>
      <c r="H885" s="32">
        <v>0.0</v>
      </c>
    </row>
    <row r="886" ht="14.25" customHeight="1">
      <c r="A886" s="4" t="s">
        <v>8786</v>
      </c>
      <c r="B886" s="4" t="s">
        <v>1440</v>
      </c>
      <c r="C886" s="4" t="s">
        <v>8883</v>
      </c>
      <c r="D886" s="5">
        <v>207.26708449787702</v>
      </c>
      <c r="H886" s="32">
        <v>0.0</v>
      </c>
    </row>
    <row r="887" ht="14.25" customHeight="1">
      <c r="A887" s="4" t="s">
        <v>8786</v>
      </c>
      <c r="B887" s="4" t="s">
        <v>8073</v>
      </c>
      <c r="C887" s="4" t="s">
        <v>8797</v>
      </c>
      <c r="D887" s="5">
        <v>43.594141056815</v>
      </c>
      <c r="H887" s="32">
        <v>0.0</v>
      </c>
    </row>
    <row r="888" ht="14.25" customHeight="1">
      <c r="A888" s="4" t="s">
        <v>8786</v>
      </c>
      <c r="B888" s="4" t="s">
        <v>2210</v>
      </c>
      <c r="C888" s="4" t="s">
        <v>8884</v>
      </c>
      <c r="D888" s="5">
        <v>4.20375358910225</v>
      </c>
      <c r="H888" s="32">
        <v>0.0</v>
      </c>
    </row>
    <row r="889" ht="14.25" customHeight="1">
      <c r="A889" s="4" t="s">
        <v>8786</v>
      </c>
      <c r="B889" s="4" t="s">
        <v>4008</v>
      </c>
      <c r="C889" s="4" t="s">
        <v>8797</v>
      </c>
      <c r="D889" s="5">
        <v>43.594141056815</v>
      </c>
      <c r="H889" s="32">
        <v>0.0</v>
      </c>
    </row>
    <row r="890" ht="14.25" customHeight="1">
      <c r="A890" s="4" t="s">
        <v>8786</v>
      </c>
      <c r="B890" s="4" t="s">
        <v>683</v>
      </c>
      <c r="C890" s="4" t="s">
        <v>8880</v>
      </c>
      <c r="D890" s="5">
        <v>1453.13803522716</v>
      </c>
      <c r="H890" s="32">
        <v>0.0</v>
      </c>
    </row>
    <row r="891" ht="14.25" customHeight="1">
      <c r="A891" s="4" t="s">
        <v>8786</v>
      </c>
      <c r="B891" s="4" t="s">
        <v>501</v>
      </c>
      <c r="C891" s="4" t="s">
        <v>8885</v>
      </c>
      <c r="D891" s="5">
        <v>240.500032209051</v>
      </c>
      <c r="H891" s="32">
        <v>0.0</v>
      </c>
    </row>
    <row r="892" ht="14.25" customHeight="1">
      <c r="A892" s="4" t="s">
        <v>8786</v>
      </c>
      <c r="B892" s="4" t="s">
        <v>8514</v>
      </c>
      <c r="C892" s="4" t="s">
        <v>8886</v>
      </c>
      <c r="D892" s="5">
        <v>72.7501922587723</v>
      </c>
      <c r="H892" s="32">
        <v>0.0</v>
      </c>
    </row>
    <row r="893" ht="14.25" customHeight="1">
      <c r="A893" s="4" t="s">
        <v>8786</v>
      </c>
      <c r="B893" s="4" t="s">
        <v>8614</v>
      </c>
      <c r="C893" s="4" t="s">
        <v>8855</v>
      </c>
      <c r="D893" s="5">
        <v>72.6569017613584</v>
      </c>
      <c r="H893" s="32">
        <v>0.0</v>
      </c>
    </row>
    <row r="894" ht="14.25" customHeight="1">
      <c r="A894" s="4" t="s">
        <v>8786</v>
      </c>
      <c r="B894" s="4" t="s">
        <v>1514</v>
      </c>
      <c r="C894" s="4" t="s">
        <v>8819</v>
      </c>
      <c r="D894" s="5">
        <v>174.37656422726</v>
      </c>
      <c r="H894" s="32">
        <v>0.0</v>
      </c>
    </row>
    <row r="895" ht="14.25" customHeight="1">
      <c r="A895" s="4" t="s">
        <v>8786</v>
      </c>
      <c r="B895" s="4" t="s">
        <v>2807</v>
      </c>
      <c r="C895" s="4" t="s">
        <v>8797</v>
      </c>
      <c r="D895" s="5">
        <v>43.594141056815</v>
      </c>
      <c r="H895" s="32">
        <v>0.0</v>
      </c>
    </row>
    <row r="896" ht="14.25" customHeight="1">
      <c r="A896" s="4" t="s">
        <v>8786</v>
      </c>
      <c r="B896" s="4" t="s">
        <v>2028</v>
      </c>
      <c r="C896" s="4" t="s">
        <v>8797</v>
      </c>
      <c r="D896" s="5">
        <v>43.594141056815</v>
      </c>
      <c r="H896" s="32">
        <v>0.0</v>
      </c>
    </row>
    <row r="897" ht="14.25" customHeight="1">
      <c r="A897" s="4" t="s">
        <v>8786</v>
      </c>
      <c r="B897" s="4" t="s">
        <v>7568</v>
      </c>
      <c r="C897" s="4" t="s">
        <v>8887</v>
      </c>
      <c r="D897" s="5">
        <v>239.385123255383</v>
      </c>
      <c r="H897" s="32">
        <v>0.0</v>
      </c>
    </row>
    <row r="898" ht="14.25" customHeight="1">
      <c r="A898" s="4" t="s">
        <v>8786</v>
      </c>
      <c r="B898" s="4" t="s">
        <v>8653</v>
      </c>
      <c r="C898" s="4" t="s">
        <v>8888</v>
      </c>
      <c r="D898" s="5">
        <v>431.37054313097</v>
      </c>
      <c r="H898" s="32">
        <v>0.0</v>
      </c>
    </row>
    <row r="899" ht="14.25" customHeight="1">
      <c r="A899" s="4" t="s">
        <v>8786</v>
      </c>
      <c r="B899" s="4" t="s">
        <v>8660</v>
      </c>
      <c r="C899" s="4" t="s">
        <v>8889</v>
      </c>
      <c r="D899" s="5">
        <v>29.498703573190202</v>
      </c>
      <c r="H899" s="32">
        <v>0.0</v>
      </c>
    </row>
    <row r="900" ht="14.25" customHeight="1">
      <c r="A900" s="4" t="s">
        <v>8786</v>
      </c>
      <c r="B900" s="4" t="s">
        <v>1493</v>
      </c>
      <c r="C900" s="4" t="s">
        <v>8890</v>
      </c>
      <c r="D900" s="5">
        <v>399.612959687471</v>
      </c>
      <c r="H900" s="32">
        <v>0.0</v>
      </c>
    </row>
    <row r="901" ht="14.25" customHeight="1">
      <c r="A901" s="4" t="s">
        <v>8786</v>
      </c>
      <c r="B901" s="4" t="s">
        <v>3136</v>
      </c>
      <c r="C901" s="4" t="s">
        <v>8797</v>
      </c>
      <c r="D901" s="5">
        <v>43.594141056815</v>
      </c>
      <c r="H901" s="32">
        <v>0.0</v>
      </c>
    </row>
    <row r="902" ht="14.25" customHeight="1">
      <c r="A902" s="4" t="s">
        <v>8786</v>
      </c>
      <c r="B902" s="4" t="s">
        <v>4154</v>
      </c>
      <c r="C902" s="4" t="s">
        <v>8891</v>
      </c>
      <c r="D902" s="5">
        <v>29.208074508066098</v>
      </c>
      <c r="H902" s="32">
        <v>0.0</v>
      </c>
    </row>
    <row r="903" ht="14.25" customHeight="1">
      <c r="A903" s="4" t="s">
        <v>8786</v>
      </c>
      <c r="B903" s="4" t="s">
        <v>1283</v>
      </c>
      <c r="C903" s="4" t="s">
        <v>8892</v>
      </c>
      <c r="D903" s="5">
        <v>238.77936275416502</v>
      </c>
      <c r="H903" s="32">
        <v>0.0</v>
      </c>
    </row>
    <row r="904" ht="14.25" customHeight="1">
      <c r="A904" s="4" t="s">
        <v>8786</v>
      </c>
      <c r="B904" s="4" t="s">
        <v>1848</v>
      </c>
      <c r="C904" s="4" t="s">
        <v>8797</v>
      </c>
      <c r="D904" s="5">
        <v>43.594141056815</v>
      </c>
      <c r="H904" s="32">
        <v>0.0</v>
      </c>
    </row>
    <row r="905" ht="14.25" customHeight="1">
      <c r="A905" s="4" t="s">
        <v>8786</v>
      </c>
      <c r="B905" s="4" t="s">
        <v>8521</v>
      </c>
      <c r="C905" s="4" t="s">
        <v>8893</v>
      </c>
      <c r="D905" s="5">
        <v>772.892085015664</v>
      </c>
      <c r="H905" s="32">
        <v>0.0</v>
      </c>
    </row>
    <row r="906" ht="14.25" customHeight="1">
      <c r="A906" s="4" t="s">
        <v>8786</v>
      </c>
      <c r="B906" s="4" t="s">
        <v>8894</v>
      </c>
      <c r="C906" s="4" t="s">
        <v>8797</v>
      </c>
      <c r="D906" s="5">
        <v>43.594141056815</v>
      </c>
      <c r="H906" s="32">
        <v>0.0</v>
      </c>
    </row>
    <row r="907" ht="14.25" customHeight="1">
      <c r="A907" s="4" t="s">
        <v>8786</v>
      </c>
      <c r="B907" s="4" t="s">
        <v>8579</v>
      </c>
      <c r="C907" s="4" t="s">
        <v>8895</v>
      </c>
      <c r="D907" s="5">
        <v>43.7171950429427</v>
      </c>
      <c r="H907" s="32">
        <v>0.0</v>
      </c>
    </row>
    <row r="908" ht="14.25" customHeight="1">
      <c r="A908" s="4" t="s">
        <v>8786</v>
      </c>
      <c r="B908" s="4" t="s">
        <v>3489</v>
      </c>
      <c r="C908" s="4" t="s">
        <v>8896</v>
      </c>
      <c r="D908" s="5">
        <v>139.165807118122</v>
      </c>
      <c r="H908" s="32">
        <v>0.0</v>
      </c>
    </row>
    <row r="909" ht="14.25" customHeight="1">
      <c r="A909" s="4" t="s">
        <v>8786</v>
      </c>
      <c r="B909" s="4" t="s">
        <v>7446</v>
      </c>
      <c r="C909" s="4" t="s">
        <v>8897</v>
      </c>
      <c r="D909" s="5">
        <v>97.8280146959297</v>
      </c>
      <c r="H909" s="32">
        <v>0.0</v>
      </c>
    </row>
    <row r="910" ht="14.25" customHeight="1">
      <c r="A910" s="4" t="s">
        <v>8786</v>
      </c>
      <c r="B910" s="4" t="s">
        <v>8501</v>
      </c>
      <c r="C910" s="4" t="s">
        <v>8898</v>
      </c>
      <c r="D910" s="5">
        <v>682.975139574754</v>
      </c>
      <c r="H910" s="32">
        <v>0.0</v>
      </c>
    </row>
    <row r="911" ht="14.25" customHeight="1">
      <c r="A911" s="4" t="s">
        <v>8786</v>
      </c>
      <c r="B911" s="4" t="s">
        <v>5105</v>
      </c>
      <c r="C911" s="4" t="s">
        <v>8899</v>
      </c>
      <c r="D911" s="5">
        <v>294.680980901035</v>
      </c>
      <c r="H911" s="32">
        <v>0.0</v>
      </c>
    </row>
    <row r="912" ht="14.25" customHeight="1">
      <c r="A912" s="4" t="s">
        <v>8786</v>
      </c>
      <c r="B912" s="4" t="s">
        <v>7491</v>
      </c>
      <c r="C912" s="4" t="s">
        <v>8900</v>
      </c>
      <c r="D912" s="5">
        <v>5.79749624889873</v>
      </c>
      <c r="H912" s="32">
        <v>0.0</v>
      </c>
    </row>
    <row r="913" ht="14.25" customHeight="1">
      <c r="A913" s="4" t="s">
        <v>8786</v>
      </c>
      <c r="B913" s="4" t="s">
        <v>2417</v>
      </c>
      <c r="C913" s="4" t="s">
        <v>8901</v>
      </c>
      <c r="D913" s="5">
        <v>2.00013518813077</v>
      </c>
      <c r="H913" s="32">
        <v>0.0</v>
      </c>
    </row>
    <row r="914" ht="14.25" customHeight="1">
      <c r="A914" s="4" t="s">
        <v>8786</v>
      </c>
      <c r="B914" s="4" t="s">
        <v>3277</v>
      </c>
      <c r="C914" s="4" t="s">
        <v>8797</v>
      </c>
      <c r="D914" s="5">
        <v>43.594141056815</v>
      </c>
      <c r="H914" s="32">
        <v>0.0</v>
      </c>
    </row>
    <row r="915" ht="14.25" customHeight="1">
      <c r="A915" s="4" t="s">
        <v>8786</v>
      </c>
      <c r="B915" s="4" t="s">
        <v>8685</v>
      </c>
      <c r="C915" s="4" t="s">
        <v>8902</v>
      </c>
      <c r="D915" s="5">
        <v>73.06170764277691</v>
      </c>
      <c r="H915" s="32">
        <v>0.0</v>
      </c>
    </row>
    <row r="916" ht="14.25" customHeight="1">
      <c r="A916" s="4" t="s">
        <v>8786</v>
      </c>
      <c r="B916" s="4" t="s">
        <v>306</v>
      </c>
      <c r="C916" s="4" t="s">
        <v>8834</v>
      </c>
      <c r="D916" s="5">
        <v>682.974876556769</v>
      </c>
      <c r="H916" s="32">
        <v>0.0</v>
      </c>
    </row>
    <row r="917" ht="14.25" customHeight="1">
      <c r="A917" s="4" t="s">
        <v>8786</v>
      </c>
      <c r="B917" s="4" t="s">
        <v>3261</v>
      </c>
      <c r="C917" s="4" t="s">
        <v>8903</v>
      </c>
      <c r="D917" s="5">
        <v>159.939809060506</v>
      </c>
      <c r="H917" s="32">
        <v>0.0</v>
      </c>
    </row>
    <row r="918" ht="14.25" customHeight="1">
      <c r="A918" s="4" t="s">
        <v>8786</v>
      </c>
      <c r="B918" s="4" t="s">
        <v>8715</v>
      </c>
      <c r="C918" s="4" t="s">
        <v>8904</v>
      </c>
      <c r="D918" s="5">
        <v>530.2272083375381</v>
      </c>
      <c r="H918" s="32">
        <v>0.0</v>
      </c>
    </row>
    <row r="919" ht="14.25" customHeight="1">
      <c r="A919" s="4" t="s">
        <v>8786</v>
      </c>
      <c r="B919" s="4" t="s">
        <v>8905</v>
      </c>
      <c r="C919" s="4" t="s">
        <v>8906</v>
      </c>
      <c r="D919" s="5">
        <v>101.864976269424</v>
      </c>
      <c r="H919" s="32">
        <v>0.0</v>
      </c>
    </row>
    <row r="920" ht="14.25" customHeight="1">
      <c r="A920" s="4" t="s">
        <v>8786</v>
      </c>
      <c r="B920" s="4" t="s">
        <v>8907</v>
      </c>
      <c r="C920" s="4" t="s">
        <v>8908</v>
      </c>
      <c r="D920" s="5">
        <v>3658.52866905187</v>
      </c>
      <c r="H920" s="32">
        <v>0.0</v>
      </c>
    </row>
    <row r="921" ht="14.25" customHeight="1">
      <c r="A921" s="4" t="s">
        <v>8786</v>
      </c>
      <c r="B921" s="4" t="s">
        <v>8709</v>
      </c>
      <c r="C921" s="4" t="s">
        <v>8909</v>
      </c>
      <c r="D921" s="5">
        <v>5.25420766944793</v>
      </c>
      <c r="H921" s="32">
        <v>0.0</v>
      </c>
    </row>
    <row r="922" ht="14.25" customHeight="1">
      <c r="A922" s="4" t="s">
        <v>8786</v>
      </c>
      <c r="B922" s="4" t="s">
        <v>8910</v>
      </c>
      <c r="C922" s="4" t="s">
        <v>8911</v>
      </c>
      <c r="D922" s="5">
        <v>36.4572919445661</v>
      </c>
      <c r="H922" s="32">
        <v>0.0</v>
      </c>
    </row>
    <row r="923" ht="14.25" customHeight="1">
      <c r="A923" s="4" t="s">
        <v>8786</v>
      </c>
      <c r="B923" s="4" t="s">
        <v>4605</v>
      </c>
      <c r="C923" s="4" t="s">
        <v>8797</v>
      </c>
      <c r="D923" s="5">
        <v>43.594141056815</v>
      </c>
      <c r="H923" s="32">
        <v>0.0</v>
      </c>
    </row>
    <row r="924" ht="14.25" customHeight="1">
      <c r="A924" s="4" t="s">
        <v>8786</v>
      </c>
      <c r="B924" s="4" t="s">
        <v>8663</v>
      </c>
      <c r="C924" s="4" t="s">
        <v>8813</v>
      </c>
      <c r="D924" s="5">
        <v>29.0627607045433</v>
      </c>
      <c r="H924" s="32">
        <v>0.0</v>
      </c>
    </row>
    <row r="925" ht="14.25" customHeight="1">
      <c r="A925" s="4" t="s">
        <v>8786</v>
      </c>
      <c r="B925" s="4" t="s">
        <v>929</v>
      </c>
      <c r="C925" s="4" t="s">
        <v>8912</v>
      </c>
      <c r="D925" s="5">
        <v>81.8889284116175</v>
      </c>
      <c r="H925" s="32">
        <v>0.0</v>
      </c>
    </row>
    <row r="926" ht="14.25" customHeight="1">
      <c r="A926" s="4" t="s">
        <v>8786</v>
      </c>
      <c r="B926" s="4" t="s">
        <v>675</v>
      </c>
      <c r="C926" s="4" t="s">
        <v>8813</v>
      </c>
      <c r="D926" s="5">
        <v>29.0627607045433</v>
      </c>
      <c r="H926" s="32">
        <v>0.0</v>
      </c>
    </row>
    <row r="927" ht="14.25" customHeight="1">
      <c r="A927" s="4" t="s">
        <v>8786</v>
      </c>
      <c r="B927" s="4" t="s">
        <v>8568</v>
      </c>
      <c r="C927" s="4" t="s">
        <v>8913</v>
      </c>
      <c r="D927" s="5">
        <v>633.941639833954</v>
      </c>
      <c r="H927" s="32">
        <v>0.0</v>
      </c>
    </row>
    <row r="928" ht="14.25" customHeight="1">
      <c r="A928" s="4" t="s">
        <v>8786</v>
      </c>
      <c r="B928" s="4" t="s">
        <v>8331</v>
      </c>
      <c r="C928" s="4" t="s">
        <v>8914</v>
      </c>
      <c r="D928" s="5">
        <v>36.3284508806792</v>
      </c>
      <c r="H928" s="32">
        <v>0.0</v>
      </c>
    </row>
    <row r="929" ht="14.25" customHeight="1">
      <c r="A929" s="4" t="s">
        <v>8786</v>
      </c>
      <c r="B929" s="4" t="s">
        <v>8915</v>
      </c>
      <c r="C929" s="4" t="s">
        <v>8916</v>
      </c>
      <c r="D929" s="5">
        <v>1041.5108208920399</v>
      </c>
      <c r="H929" s="32">
        <v>0.0</v>
      </c>
    </row>
    <row r="930" ht="14.25" customHeight="1">
      <c r="A930" s="4" t="s">
        <v>8786</v>
      </c>
      <c r="B930" s="4" t="s">
        <v>8623</v>
      </c>
      <c r="C930" s="4" t="s">
        <v>8917</v>
      </c>
      <c r="D930" s="5">
        <v>167.17335898663902</v>
      </c>
      <c r="H930" s="32">
        <v>0.0</v>
      </c>
    </row>
    <row r="931" ht="14.25" customHeight="1">
      <c r="A931" s="4" t="s">
        <v>8786</v>
      </c>
      <c r="B931" s="4" t="s">
        <v>817</v>
      </c>
      <c r="C931" s="4" t="s">
        <v>8918</v>
      </c>
      <c r="D931" s="5">
        <v>319.78091489599404</v>
      </c>
      <c r="H931" s="32">
        <v>0.0</v>
      </c>
    </row>
    <row r="932" ht="14.25" customHeight="1">
      <c r="A932" s="4" t="s">
        <v>8786</v>
      </c>
      <c r="B932" s="4" t="s">
        <v>8919</v>
      </c>
      <c r="C932" s="4" t="s">
        <v>8920</v>
      </c>
      <c r="D932" s="5">
        <v>13.6210752806881</v>
      </c>
      <c r="H932" s="32">
        <v>0.0</v>
      </c>
    </row>
    <row r="933" ht="14.25" customHeight="1">
      <c r="A933" s="4" t="s">
        <v>8786</v>
      </c>
      <c r="B933" s="4" t="s">
        <v>6280</v>
      </c>
      <c r="C933" s="4" t="s">
        <v>8797</v>
      </c>
      <c r="D933" s="5">
        <v>43.594141056815</v>
      </c>
      <c r="H933" s="32">
        <v>0.0</v>
      </c>
    </row>
    <row r="934" ht="14.25" customHeight="1">
      <c r="A934" s="4" t="s">
        <v>8786</v>
      </c>
      <c r="B934" s="4" t="s">
        <v>834</v>
      </c>
      <c r="C934" s="4" t="s">
        <v>8921</v>
      </c>
      <c r="D934" s="5">
        <v>465.004171272694</v>
      </c>
      <c r="H934" s="32">
        <v>0.0</v>
      </c>
    </row>
    <row r="935" ht="14.25" customHeight="1">
      <c r="A935" s="4" t="s">
        <v>8786</v>
      </c>
      <c r="B935" s="4" t="s">
        <v>722</v>
      </c>
      <c r="C935" s="4" t="s">
        <v>8922</v>
      </c>
      <c r="D935" s="5">
        <v>59.5786594443139</v>
      </c>
      <c r="H935" s="32">
        <v>0.0</v>
      </c>
    </row>
    <row r="936" ht="14.25" customHeight="1">
      <c r="A936" s="4" t="s">
        <v>8786</v>
      </c>
      <c r="B936" s="4" t="s">
        <v>4354</v>
      </c>
      <c r="C936" s="4" t="s">
        <v>8797</v>
      </c>
      <c r="D936" s="5">
        <v>43.594141056815</v>
      </c>
      <c r="H936" s="32">
        <v>0.0</v>
      </c>
    </row>
    <row r="937" ht="14.25" customHeight="1">
      <c r="A937" s="4" t="s">
        <v>8786</v>
      </c>
      <c r="B937" s="4" t="s">
        <v>1517</v>
      </c>
      <c r="C937" s="4" t="s">
        <v>8923</v>
      </c>
      <c r="D937" s="5">
        <v>281.51120850154797</v>
      </c>
      <c r="H937" s="32">
        <v>0.0</v>
      </c>
    </row>
    <row r="938" ht="14.25" customHeight="1">
      <c r="A938" s="4" t="s">
        <v>8786</v>
      </c>
      <c r="B938" s="4" t="s">
        <v>8698</v>
      </c>
      <c r="C938" s="4" t="s">
        <v>8924</v>
      </c>
      <c r="D938" s="5">
        <v>247.91032566003202</v>
      </c>
      <c r="H938" s="32">
        <v>0.0</v>
      </c>
    </row>
    <row r="939" ht="14.25" customHeight="1">
      <c r="A939" s="4" t="s">
        <v>8786</v>
      </c>
      <c r="B939" s="4" t="s">
        <v>7134</v>
      </c>
      <c r="C939" s="4" t="s">
        <v>8925</v>
      </c>
      <c r="D939" s="5">
        <v>39.1040109291056</v>
      </c>
      <c r="H939" s="32">
        <v>0.0</v>
      </c>
    </row>
    <row r="940" ht="14.25" customHeight="1">
      <c r="A940" s="4" t="s">
        <v>8786</v>
      </c>
      <c r="B940" s="4" t="s">
        <v>923</v>
      </c>
      <c r="C940" s="4" t="s">
        <v>8926</v>
      </c>
      <c r="D940" s="5">
        <v>683.005545020326</v>
      </c>
      <c r="H940" s="32">
        <v>0.0</v>
      </c>
    </row>
    <row r="941" ht="14.25" customHeight="1">
      <c r="A941" s="4" t="s">
        <v>8786</v>
      </c>
      <c r="B941" s="4" t="s">
        <v>6946</v>
      </c>
      <c r="C941" s="4" t="s">
        <v>8797</v>
      </c>
      <c r="D941" s="5">
        <v>43.594141056815</v>
      </c>
      <c r="H941" s="32">
        <v>0.0</v>
      </c>
    </row>
    <row r="942" ht="14.25" customHeight="1">
      <c r="A942" s="4" t="s">
        <v>8786</v>
      </c>
      <c r="B942" s="4" t="s">
        <v>1052</v>
      </c>
      <c r="C942" s="4" t="s">
        <v>8819</v>
      </c>
      <c r="D942" s="5">
        <v>174.37656422726</v>
      </c>
      <c r="H942" s="32">
        <v>0.0</v>
      </c>
    </row>
    <row r="943" ht="14.25" customHeight="1">
      <c r="A943" s="4" t="s">
        <v>8786</v>
      </c>
      <c r="B943" s="4" t="s">
        <v>1495</v>
      </c>
      <c r="C943" s="4" t="s">
        <v>8927</v>
      </c>
      <c r="D943" s="5">
        <v>30.628612796274098</v>
      </c>
      <c r="H943" s="32">
        <v>0.0</v>
      </c>
    </row>
    <row r="944" ht="14.25" customHeight="1">
      <c r="A944" s="4" t="s">
        <v>8786</v>
      </c>
      <c r="B944" s="4" t="s">
        <v>8536</v>
      </c>
      <c r="C944" s="4" t="s">
        <v>8928</v>
      </c>
      <c r="D944" s="5">
        <v>29.2761150937047</v>
      </c>
      <c r="H944" s="32">
        <v>0.0</v>
      </c>
    </row>
    <row r="945" ht="14.25" customHeight="1">
      <c r="A945" s="4" t="s">
        <v>8786</v>
      </c>
      <c r="B945" s="4" t="s">
        <v>8586</v>
      </c>
      <c r="C945" s="4" t="s">
        <v>8929</v>
      </c>
      <c r="D945" s="5">
        <v>210.973740355493</v>
      </c>
      <c r="H945" s="32">
        <v>0.0</v>
      </c>
    </row>
    <row r="946" ht="14.25" customHeight="1">
      <c r="A946" s="4" t="s">
        <v>8786</v>
      </c>
      <c r="B946" s="4" t="s">
        <v>8552</v>
      </c>
      <c r="C946" s="4" t="s">
        <v>8930</v>
      </c>
      <c r="D946" s="5">
        <v>29.2970689471754</v>
      </c>
      <c r="H946" s="32">
        <v>0.0</v>
      </c>
    </row>
    <row r="947" ht="14.25" customHeight="1">
      <c r="A947" s="4" t="s">
        <v>8786</v>
      </c>
      <c r="B947" s="4" t="s">
        <v>8125</v>
      </c>
      <c r="C947" s="4" t="s">
        <v>8931</v>
      </c>
      <c r="D947" s="5">
        <v>51.07171816151261</v>
      </c>
      <c r="H947" s="32">
        <v>0.0</v>
      </c>
    </row>
    <row r="948" ht="14.25" customHeight="1">
      <c r="A948" s="4" t="s">
        <v>8786</v>
      </c>
      <c r="B948" s="4" t="s">
        <v>131</v>
      </c>
      <c r="C948" s="4" t="s">
        <v>8932</v>
      </c>
      <c r="D948" s="5">
        <v>247.751838708148</v>
      </c>
      <c r="H948" s="32">
        <v>0.0</v>
      </c>
    </row>
    <row r="949" ht="14.25" customHeight="1">
      <c r="A949" s="4" t="s">
        <v>8786</v>
      </c>
      <c r="B949" s="4" t="s">
        <v>7099</v>
      </c>
      <c r="C949" s="4" t="s">
        <v>8797</v>
      </c>
      <c r="D949" s="5">
        <v>43.594141056815</v>
      </c>
      <c r="H949" s="32">
        <v>0.0</v>
      </c>
    </row>
    <row r="950" ht="14.25" customHeight="1">
      <c r="A950" s="4" t="s">
        <v>8786</v>
      </c>
      <c r="B950" s="4" t="s">
        <v>3163</v>
      </c>
      <c r="C950" s="4" t="s">
        <v>8933</v>
      </c>
      <c r="D950" s="5">
        <v>235.94120387839698</v>
      </c>
      <c r="H950" s="32">
        <v>0.0</v>
      </c>
    </row>
    <row r="951" ht="14.25" customHeight="1">
      <c r="A951" s="4" t="s">
        <v>8786</v>
      </c>
      <c r="B951" s="4" t="s">
        <v>856</v>
      </c>
      <c r="C951" s="4" t="s">
        <v>8870</v>
      </c>
      <c r="D951" s="5">
        <v>683.120190360292</v>
      </c>
      <c r="H951" s="32">
        <v>0.0</v>
      </c>
    </row>
    <row r="952" ht="14.25" customHeight="1">
      <c r="A952" s="4" t="s">
        <v>8786</v>
      </c>
      <c r="B952" s="4" t="s">
        <v>338</v>
      </c>
      <c r="C952" s="4" t="s">
        <v>8934</v>
      </c>
      <c r="D952" s="5">
        <v>73.5643940944974</v>
      </c>
      <c r="H952" s="32">
        <v>0.0</v>
      </c>
    </row>
    <row r="953" ht="14.25" customHeight="1">
      <c r="A953" s="4" t="s">
        <v>8786</v>
      </c>
      <c r="B953" s="4" t="s">
        <v>5942</v>
      </c>
      <c r="C953" s="4" t="s">
        <v>8855</v>
      </c>
      <c r="D953" s="5">
        <v>72.6569017613584</v>
      </c>
      <c r="H953" s="32">
        <v>0.0</v>
      </c>
    </row>
    <row r="954" ht="14.25" customHeight="1">
      <c r="A954" s="4" t="s">
        <v>8786</v>
      </c>
      <c r="B954" s="4" t="s">
        <v>8649</v>
      </c>
      <c r="C954" s="4" t="s">
        <v>8935</v>
      </c>
      <c r="D954" s="5">
        <v>325.506772834799</v>
      </c>
      <c r="H954" s="32">
        <v>0.0</v>
      </c>
    </row>
    <row r="955" ht="14.25" customHeight="1">
      <c r="A955" s="4" t="s">
        <v>8786</v>
      </c>
      <c r="B955" s="4" t="s">
        <v>8670</v>
      </c>
      <c r="C955" s="4" t="s">
        <v>8936</v>
      </c>
      <c r="D955" s="5">
        <v>175.85359062170502</v>
      </c>
      <c r="H955" s="32">
        <v>0.0</v>
      </c>
    </row>
    <row r="956" ht="14.25" customHeight="1">
      <c r="A956" s="4" t="s">
        <v>8786</v>
      </c>
      <c r="B956" s="4" t="s">
        <v>8694</v>
      </c>
      <c r="C956" s="4" t="s">
        <v>8813</v>
      </c>
      <c r="D956" s="5">
        <v>29.0627607045433</v>
      </c>
      <c r="H956" s="32">
        <v>0.0</v>
      </c>
    </row>
    <row r="957" ht="14.25" customHeight="1">
      <c r="A957" s="4" t="s">
        <v>8786</v>
      </c>
      <c r="B957" s="4" t="s">
        <v>5124</v>
      </c>
      <c r="C957" s="4" t="s">
        <v>8937</v>
      </c>
      <c r="D957" s="5">
        <v>15.210412697501399</v>
      </c>
      <c r="H957" s="32">
        <v>0.0</v>
      </c>
    </row>
    <row r="958" ht="14.25" customHeight="1">
      <c r="A958" s="4" t="s">
        <v>8786</v>
      </c>
      <c r="B958" s="4" t="s">
        <v>2506</v>
      </c>
      <c r="C958" s="4" t="s">
        <v>8938</v>
      </c>
      <c r="D958" s="5">
        <v>43.9806778523252</v>
      </c>
      <c r="H958" s="32">
        <v>0.0</v>
      </c>
    </row>
    <row r="959" ht="14.25" customHeight="1">
      <c r="A959" s="4" t="s">
        <v>8786</v>
      </c>
      <c r="B959" s="4" t="s">
        <v>2669</v>
      </c>
      <c r="C959" s="4" t="s">
        <v>8939</v>
      </c>
      <c r="D959" s="5">
        <v>14.531380352271599</v>
      </c>
      <c r="H959" s="32">
        <v>0.0</v>
      </c>
    </row>
    <row r="960" ht="14.25" customHeight="1">
      <c r="A960" s="4" t="s">
        <v>8786</v>
      </c>
      <c r="B960" s="4" t="s">
        <v>664</v>
      </c>
      <c r="C960" s="4" t="s">
        <v>8940</v>
      </c>
      <c r="D960" s="5">
        <v>319.69036774997704</v>
      </c>
      <c r="H960" s="32">
        <v>0.0</v>
      </c>
    </row>
    <row r="961" ht="14.25" customHeight="1">
      <c r="A961" s="4" t="s">
        <v>8786</v>
      </c>
      <c r="B961" s="4" t="s">
        <v>8671</v>
      </c>
      <c r="C961" s="4" t="s">
        <v>8941</v>
      </c>
      <c r="D961" s="5">
        <v>20.8797044867686</v>
      </c>
      <c r="H961" s="32">
        <v>0.0</v>
      </c>
    </row>
    <row r="962" ht="14.25" customHeight="1">
      <c r="A962" s="4" t="s">
        <v>8786</v>
      </c>
      <c r="B962" s="4" t="s">
        <v>613</v>
      </c>
      <c r="C962" s="4" t="s">
        <v>8942</v>
      </c>
      <c r="D962" s="5">
        <v>1307.82423170445</v>
      </c>
      <c r="H962" s="32">
        <v>0.0</v>
      </c>
    </row>
    <row r="963" ht="14.25" customHeight="1">
      <c r="A963" s="4" t="s">
        <v>8786</v>
      </c>
      <c r="B963" s="4" t="s">
        <v>1576</v>
      </c>
      <c r="C963" s="4" t="s">
        <v>8943</v>
      </c>
      <c r="D963" s="5">
        <v>31045.539829960402</v>
      </c>
      <c r="H963" s="32">
        <v>0.0</v>
      </c>
    </row>
    <row r="964" ht="14.25" customHeight="1">
      <c r="A964" s="4" t="s">
        <v>8786</v>
      </c>
      <c r="B964" s="4" t="s">
        <v>107</v>
      </c>
      <c r="C964" s="4" t="s">
        <v>8944</v>
      </c>
      <c r="D964" s="5">
        <v>799.225919374943</v>
      </c>
      <c r="H964" s="32">
        <v>0.0</v>
      </c>
    </row>
    <row r="965" ht="14.25" customHeight="1">
      <c r="A965" s="4" t="s">
        <v>8786</v>
      </c>
      <c r="B965" s="4" t="s">
        <v>8673</v>
      </c>
      <c r="C965" s="4" t="s">
        <v>8945</v>
      </c>
      <c r="D965" s="5">
        <v>145.539813732635</v>
      </c>
      <c r="H965" s="32">
        <v>0.0</v>
      </c>
    </row>
    <row r="966" ht="14.25" customHeight="1">
      <c r="A966" s="4" t="s">
        <v>8786</v>
      </c>
      <c r="B966" s="4" t="s">
        <v>8667</v>
      </c>
      <c r="C966" s="4" t="s">
        <v>8946</v>
      </c>
      <c r="D966" s="5">
        <v>29.0628085386506</v>
      </c>
      <c r="H966" s="32">
        <v>0.0</v>
      </c>
    </row>
    <row r="967" ht="14.25" customHeight="1">
      <c r="A967" s="4" t="s">
        <v>8786</v>
      </c>
      <c r="B967" s="4" t="s">
        <v>3668</v>
      </c>
      <c r="C967" s="4" t="s">
        <v>8947</v>
      </c>
      <c r="D967" s="5">
        <v>55.589638032771596</v>
      </c>
      <c r="H967" s="32">
        <v>0.0</v>
      </c>
    </row>
    <row r="968" ht="14.25" customHeight="1">
      <c r="A968" s="4" t="s">
        <v>8786</v>
      </c>
      <c r="B968" s="4" t="s">
        <v>8528</v>
      </c>
      <c r="C968" s="4" t="s">
        <v>8948</v>
      </c>
      <c r="D968" s="5">
        <v>101.71966246590101</v>
      </c>
      <c r="H968" s="32">
        <v>0.0</v>
      </c>
    </row>
    <row r="969" ht="14.25" customHeight="1">
      <c r="A969" s="4" t="s">
        <v>8786</v>
      </c>
      <c r="B969" s="4" t="s">
        <v>2806</v>
      </c>
      <c r="C969" s="4" t="s">
        <v>8949</v>
      </c>
      <c r="D969" s="5">
        <v>682.7399031418</v>
      </c>
      <c r="H969" s="32">
        <v>0.0</v>
      </c>
    </row>
    <row r="970" ht="14.25" customHeight="1">
      <c r="A970" s="4" t="s">
        <v>8786</v>
      </c>
      <c r="B970" s="4" t="s">
        <v>185</v>
      </c>
      <c r="C970" s="4" t="s">
        <v>8950</v>
      </c>
      <c r="D970" s="5">
        <v>675.247324377304</v>
      </c>
      <c r="H970" s="32">
        <v>0.0</v>
      </c>
    </row>
    <row r="971" ht="14.25" customHeight="1">
      <c r="A971" s="4" t="s">
        <v>8786</v>
      </c>
      <c r="B971" s="4" t="s">
        <v>7465</v>
      </c>
      <c r="C971" s="4" t="s">
        <v>8805</v>
      </c>
      <c r="D971" s="5">
        <v>334.512375709294</v>
      </c>
      <c r="H971" s="32">
        <v>0.0</v>
      </c>
    </row>
    <row r="972" ht="14.25" customHeight="1">
      <c r="A972" s="4"/>
      <c r="B972" s="4"/>
      <c r="C972" s="4"/>
      <c r="D972" s="5">
        <v>0.0</v>
      </c>
      <c r="H972" s="32">
        <v>0.0</v>
      </c>
    </row>
    <row r="973" ht="14.25" customHeight="1">
      <c r="A973" s="4"/>
      <c r="B973" s="4"/>
      <c r="C973" s="4"/>
      <c r="D973" s="5">
        <v>0.0</v>
      </c>
      <c r="H973" s="32">
        <v>0.0</v>
      </c>
    </row>
    <row r="974" ht="14.25" customHeight="1">
      <c r="A974" s="4"/>
      <c r="B974" s="4"/>
      <c r="C974" s="4"/>
      <c r="D974" s="5">
        <v>0.0</v>
      </c>
      <c r="H974" s="32">
        <v>0.0</v>
      </c>
    </row>
    <row r="975" ht="14.25" customHeight="1">
      <c r="A975" s="4"/>
      <c r="B975" s="4"/>
      <c r="C975" s="4"/>
      <c r="D975" s="5">
        <v>0.0</v>
      </c>
      <c r="H975" s="32">
        <v>0.0</v>
      </c>
    </row>
    <row r="976" ht="14.25" customHeight="1">
      <c r="A976" s="4"/>
      <c r="B976" s="4"/>
      <c r="C976" s="4"/>
      <c r="D976" s="5">
        <v>0.0</v>
      </c>
      <c r="H976" s="32">
        <v>0.0</v>
      </c>
    </row>
    <row r="977" ht="14.25" customHeight="1">
      <c r="A977" s="4"/>
      <c r="B977" s="4"/>
      <c r="C977" s="4"/>
      <c r="D977" s="5">
        <v>0.0</v>
      </c>
      <c r="H977" s="32">
        <v>0.0</v>
      </c>
    </row>
    <row r="978" ht="14.25" customHeight="1">
      <c r="A978" s="4"/>
      <c r="B978" s="4"/>
      <c r="C978" s="4"/>
      <c r="D978" s="5">
        <v>0.0</v>
      </c>
      <c r="H978" s="32">
        <v>0.0</v>
      </c>
    </row>
    <row r="979" ht="14.25" customHeight="1">
      <c r="A979" s="4"/>
      <c r="B979" s="4"/>
      <c r="C979" s="4"/>
      <c r="D979" s="5">
        <v>0.0</v>
      </c>
      <c r="H979" s="32">
        <v>0.0</v>
      </c>
    </row>
    <row r="980" ht="14.25" customHeight="1">
      <c r="A980" s="4"/>
      <c r="B980" s="4"/>
      <c r="C980" s="4"/>
      <c r="D980" s="5">
        <v>0.0</v>
      </c>
      <c r="H980" s="32">
        <v>0.0</v>
      </c>
    </row>
    <row r="981" ht="14.25" customHeight="1">
      <c r="A981" s="4"/>
      <c r="B981" s="4"/>
      <c r="C981" s="4"/>
      <c r="D981" s="5">
        <v>0.0</v>
      </c>
      <c r="H981" s="32">
        <v>0.0</v>
      </c>
    </row>
    <row r="982" ht="14.25" customHeight="1">
      <c r="A982" s="4"/>
      <c r="B982" s="4"/>
      <c r="C982" s="4"/>
      <c r="D982" s="5">
        <v>0.0</v>
      </c>
      <c r="H982" s="32">
        <v>0.0</v>
      </c>
    </row>
    <row r="983" ht="14.25" customHeight="1">
      <c r="A983" s="4"/>
      <c r="B983" s="4"/>
      <c r="C983" s="4"/>
      <c r="D983" s="5">
        <v>0.0</v>
      </c>
      <c r="H983" s="32">
        <v>0.0</v>
      </c>
    </row>
    <row r="984" ht="14.25" customHeight="1">
      <c r="A984" s="4"/>
      <c r="B984" s="4"/>
      <c r="C984" s="4"/>
      <c r="D984" s="5">
        <v>0.0</v>
      </c>
      <c r="H984" s="32">
        <v>0.0</v>
      </c>
    </row>
    <row r="985" ht="14.25" customHeight="1">
      <c r="A985" s="4"/>
      <c r="B985" s="4"/>
      <c r="C985" s="4"/>
      <c r="D985" s="5">
        <v>0.0</v>
      </c>
      <c r="H985" s="32">
        <v>0.0</v>
      </c>
    </row>
    <row r="986" ht="14.25" customHeight="1">
      <c r="A986" s="4"/>
      <c r="B986" s="4"/>
      <c r="C986" s="4"/>
      <c r="D986" s="5">
        <v>0.0</v>
      </c>
      <c r="H986" s="32">
        <v>0.0</v>
      </c>
    </row>
    <row r="987" ht="14.25" customHeight="1">
      <c r="A987" s="4"/>
      <c r="B987" s="4"/>
      <c r="C987" s="4"/>
      <c r="D987" s="5">
        <v>0.0</v>
      </c>
      <c r="H987" s="32">
        <v>0.0</v>
      </c>
    </row>
    <row r="988" ht="14.25" customHeight="1">
      <c r="A988" s="4"/>
      <c r="B988" s="4"/>
      <c r="C988" s="4"/>
      <c r="D988" s="5">
        <v>0.0</v>
      </c>
      <c r="H988" s="32">
        <v>0.0</v>
      </c>
    </row>
    <row r="989" ht="14.25" customHeight="1">
      <c r="A989" s="4"/>
      <c r="B989" s="4"/>
      <c r="C989" s="4"/>
      <c r="D989" s="5">
        <v>0.0</v>
      </c>
      <c r="H989" s="32">
        <v>0.0</v>
      </c>
    </row>
    <row r="990" ht="14.25" customHeight="1">
      <c r="A990" s="4"/>
      <c r="B990" s="4"/>
      <c r="C990" s="4"/>
      <c r="D990" s="5">
        <v>0.0</v>
      </c>
      <c r="H990" s="32">
        <v>0.0</v>
      </c>
    </row>
    <row r="991" ht="14.25" customHeight="1">
      <c r="A991" s="4"/>
      <c r="B991" s="4"/>
      <c r="C991" s="4"/>
      <c r="D991" s="5">
        <v>0.0</v>
      </c>
      <c r="H991" s="32">
        <v>0.0</v>
      </c>
    </row>
    <row r="992" ht="14.25" customHeight="1">
      <c r="A992" s="4"/>
      <c r="B992" s="4"/>
      <c r="C992" s="4"/>
      <c r="D992" s="5">
        <v>0.0</v>
      </c>
      <c r="H992" s="32">
        <v>0.0</v>
      </c>
    </row>
    <row r="993" ht="14.25" customHeight="1">
      <c r="A993" s="4"/>
      <c r="B993" s="4"/>
      <c r="C993" s="4"/>
      <c r="D993" s="5">
        <v>0.0</v>
      </c>
      <c r="H993" s="32">
        <v>0.0</v>
      </c>
    </row>
    <row r="994" ht="14.25" customHeight="1">
      <c r="A994" s="4"/>
      <c r="B994" s="4"/>
      <c r="C994" s="4"/>
      <c r="D994" s="5">
        <v>0.0</v>
      </c>
      <c r="H994" s="32">
        <v>0.0</v>
      </c>
    </row>
    <row r="995" ht="14.25" customHeight="1">
      <c r="A995" s="4"/>
      <c r="B995" s="4"/>
      <c r="C995" s="4"/>
      <c r="D995" s="5">
        <v>0.0</v>
      </c>
      <c r="H995" s="32">
        <v>0.0</v>
      </c>
    </row>
    <row r="996" ht="14.25" customHeight="1">
      <c r="A996" s="4"/>
      <c r="B996" s="4"/>
      <c r="C996" s="4"/>
      <c r="D996" s="5">
        <v>0.0</v>
      </c>
      <c r="H996" s="32">
        <v>0.0</v>
      </c>
    </row>
    <row r="997" ht="14.25" customHeight="1">
      <c r="A997" s="4"/>
      <c r="B997" s="4"/>
      <c r="C997" s="4"/>
      <c r="D997" s="5">
        <v>0.0</v>
      </c>
      <c r="H997" s="32">
        <v>0.0</v>
      </c>
    </row>
    <row r="998" ht="14.25" customHeight="1">
      <c r="A998" s="4"/>
      <c r="B998" s="4"/>
      <c r="C998" s="4"/>
      <c r="D998" s="5">
        <v>0.0</v>
      </c>
      <c r="H998" s="32">
        <v>0.0</v>
      </c>
    </row>
    <row r="999" ht="14.25" customHeight="1">
      <c r="A999" s="4"/>
      <c r="B999" s="4"/>
      <c r="C999" s="4"/>
      <c r="D999" s="5">
        <v>0.0</v>
      </c>
      <c r="H999" s="32">
        <v>0.0</v>
      </c>
    </row>
    <row r="1000" ht="14.25" customHeight="1">
      <c r="A1000" s="4"/>
      <c r="B1000" s="4"/>
      <c r="C1000" s="4"/>
      <c r="D1000" s="5">
        <v>0.0</v>
      </c>
      <c r="H1000" s="32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40.57"/>
    <col customWidth="1" min="3" max="3" width="8.71"/>
    <col customWidth="1" min="4" max="4" width="32.29"/>
    <col customWidth="1" min="6" max="6" width="49.57"/>
    <col customWidth="1" min="7" max="7" width="32.29"/>
    <col customWidth="1" min="9" max="9" width="57.57"/>
    <col customWidth="1" min="11" max="11" width="41.0"/>
    <col customWidth="1" min="12" max="12" width="32.29"/>
    <col customWidth="1" min="13" max="13" width="43.71"/>
  </cols>
  <sheetData>
    <row r="1">
      <c r="A1" s="6"/>
      <c r="B1" s="7"/>
      <c r="C1" s="2"/>
      <c r="D1" s="8" t="s">
        <v>2</v>
      </c>
      <c r="E1" s="33" t="s">
        <v>1</v>
      </c>
      <c r="F1" s="4"/>
      <c r="G1" s="7"/>
      <c r="H1" s="9"/>
      <c r="I1" s="10" t="s">
        <v>8485</v>
      </c>
      <c r="J1" s="11" t="s">
        <v>8486</v>
      </c>
      <c r="K1" s="10" t="str">
        <f>"tokens owed ($"&amp;B6&amp;"/token)"</f>
        <v>tokens owed ($0.06/token)</v>
      </c>
      <c r="L1" s="12" t="str">
        <f>"tokens owed "&amp;B3&amp;"dp"</f>
        <v>tokens owed 18dp</v>
      </c>
      <c r="M1" s="13" t="str">
        <f>"tokens owed *"&amp;B9&amp;""</f>
        <v>tokens owed *0.1</v>
      </c>
    </row>
    <row r="2">
      <c r="A2" s="14"/>
      <c r="B2" s="15" t="s">
        <v>8487</v>
      </c>
      <c r="C2" s="4"/>
      <c r="D2" s="4">
        <v>327.22651636833797</v>
      </c>
      <c r="E2" s="4" t="s">
        <v>4202</v>
      </c>
      <c r="F2" s="9"/>
      <c r="G2" s="16" t="s">
        <v>8488</v>
      </c>
      <c r="H2" s="4"/>
      <c r="I2" s="17" t="str">
        <f>IFERROR(__xludf.DUMMYFUNCTION("UNIQUE(E2:E971)"),"0x78f64a5c3ea827c8a41fd76a2c59cac11ca17152")</f>
        <v>0x78f64a5c3ea827c8a41fd76a2c59cac11ca17152</v>
      </c>
      <c r="J2" s="18">
        <f t="array" ref="J2:J971">sumif(E2:E971,I2:I971,D2:D971)</f>
        <v>800.9280619</v>
      </c>
      <c r="K2" s="4">
        <f t="array" ref="K2:K971">IF(J2:J971,J2:J971/$B$6,"")</f>
        <v>13348.80103</v>
      </c>
      <c r="L2" s="19">
        <f t="array" ref="L2:L971">IF(K2:K971,K2:K971*10^$B$3,"")</f>
        <v>1.33488E+22</v>
      </c>
      <c r="M2" s="20">
        <f t="array" ref="M2:M971">IF(L2:L971,L2:L971*$B$9,"")</f>
        <v>1.33488E+21</v>
      </c>
    </row>
    <row r="3">
      <c r="A3" s="14"/>
      <c r="B3" s="21">
        <v>18.0</v>
      </c>
      <c r="C3" s="4"/>
      <c r="D3" s="4">
        <v>327.22651636833797</v>
      </c>
      <c r="E3" s="4" t="s">
        <v>8498</v>
      </c>
      <c r="F3" s="9"/>
      <c r="G3" s="22">
        <f>sum(K2:K971)</f>
        <v>5948083.748</v>
      </c>
      <c r="H3" s="4"/>
      <c r="I3" s="4" t="str">
        <f>IFERROR(__xludf.DUMMYFUNCTION("""COMPUTED_VALUE"""),"0x0d4e4a6f1e61885b2b5f8580e533d776b27f6c3c")</f>
        <v>0x0d4e4a6f1e61885b2b5f8580e533d776b27f6c3c</v>
      </c>
      <c r="J3" s="18">
        <v>626.551497690858</v>
      </c>
      <c r="K3" s="4">
        <v>10442.5249615143</v>
      </c>
      <c r="L3" s="19">
        <v>1.04425249615143E22</v>
      </c>
      <c r="M3" s="20">
        <v>1.04425249615143E21</v>
      </c>
    </row>
    <row r="4">
      <c r="A4" s="6"/>
      <c r="B4" s="23"/>
      <c r="C4" s="4"/>
      <c r="D4" s="4">
        <v>327.22651636833797</v>
      </c>
      <c r="E4" s="4" t="s">
        <v>3105</v>
      </c>
      <c r="F4" s="4"/>
      <c r="G4" s="7"/>
      <c r="H4" s="4"/>
      <c r="I4" s="4" t="str">
        <f>IFERROR(__xludf.DUMMYFUNCTION("""COMPUTED_VALUE"""),"0x875b9932eeab29b5848f873b2044e1801773ce8e")</f>
        <v>0x875b9932eeab29b5848f873b2044e1801773ce8e</v>
      </c>
      <c r="J4" s="18">
        <v>626.551497690858</v>
      </c>
      <c r="K4" s="4">
        <v>10442.5249615143</v>
      </c>
      <c r="L4" s="19">
        <v>1.04425249615143E22</v>
      </c>
      <c r="M4" s="20">
        <v>1.04425249615143E21</v>
      </c>
    </row>
    <row r="5">
      <c r="A5" s="14"/>
      <c r="B5" s="16" t="s">
        <v>8489</v>
      </c>
      <c r="C5" s="4"/>
      <c r="D5" s="4">
        <v>327.22651636833797</v>
      </c>
      <c r="E5" s="4" t="s">
        <v>8499</v>
      </c>
      <c r="F5" s="9"/>
      <c r="G5" s="16" t="s">
        <v>8490</v>
      </c>
      <c r="H5" s="4"/>
      <c r="I5" s="4" t="str">
        <f>IFERROR(__xludf.DUMMYFUNCTION("""COMPUTED_VALUE"""),"0xba179f9c7fe5b6fb9ff8378bf1f802e74fb60e28")</f>
        <v>0xba179f9c7fe5b6fb9ff8378bf1f802e74fb60e28</v>
      </c>
      <c r="J5" s="18">
        <v>655.6142583954013</v>
      </c>
      <c r="K5" s="4">
        <v>10926.904306590022</v>
      </c>
      <c r="L5" s="19">
        <v>1.0926904306590022E22</v>
      </c>
      <c r="M5" s="20">
        <v>1.0926904306590022E21</v>
      </c>
    </row>
    <row r="6">
      <c r="A6" s="14"/>
      <c r="B6" s="24">
        <v>0.06</v>
      </c>
      <c r="C6" s="4"/>
      <c r="D6" s="4">
        <v>327.22651636833797</v>
      </c>
      <c r="E6" s="4" t="s">
        <v>8500</v>
      </c>
      <c r="F6" s="9"/>
      <c r="G6" s="25">
        <f>COUNTA(I2:I971)</f>
        <v>459</v>
      </c>
      <c r="H6" s="4"/>
      <c r="I6" s="4" t="str">
        <f>IFERROR(__xludf.DUMMYFUNCTION("""COMPUTED_VALUE"""),"0xc961d025e0cbe5c15d430291e54cd5f11237d598")</f>
        <v>0xc961d025e0cbe5c15d430291e54cd5f11237d598</v>
      </c>
      <c r="J6" s="18">
        <v>626.551497690858</v>
      </c>
      <c r="K6" s="4">
        <v>10442.5249615143</v>
      </c>
      <c r="L6" s="19">
        <v>1.04425249615143E22</v>
      </c>
      <c r="M6" s="20">
        <v>1.04425249615143E21</v>
      </c>
    </row>
    <row r="7">
      <c r="A7" s="6"/>
      <c r="B7" s="23"/>
      <c r="C7" s="4"/>
      <c r="D7" s="4">
        <v>327.22651636833797</v>
      </c>
      <c r="E7" s="4" t="s">
        <v>8501</v>
      </c>
      <c r="F7" s="4"/>
      <c r="G7" s="7"/>
      <c r="H7" s="4"/>
      <c r="I7" s="4" t="str">
        <f>IFERROR(__xludf.DUMMYFUNCTION("""COMPUTED_VALUE"""),"0xb253b4c559452070d76569840d51dfc7c3075be5")</f>
        <v>0xb253b4c559452070d76569840d51dfc7c3075be5</v>
      </c>
      <c r="J7" s="18">
        <v>1309.526637265612</v>
      </c>
      <c r="K7" s="4">
        <v>21825.443954426868</v>
      </c>
      <c r="L7" s="19">
        <v>2.1825443954426867E22</v>
      </c>
      <c r="M7" s="20">
        <v>2.1825443954426868E21</v>
      </c>
    </row>
    <row r="8">
      <c r="A8" s="14"/>
      <c r="B8" s="16" t="s">
        <v>8491</v>
      </c>
      <c r="C8" s="4"/>
      <c r="D8" s="4">
        <v>327.22651636833797</v>
      </c>
      <c r="E8" s="4" t="s">
        <v>8125</v>
      </c>
      <c r="F8" s="9"/>
      <c r="G8" s="26" t="s">
        <v>8492</v>
      </c>
      <c r="H8" s="4"/>
      <c r="I8" s="4" t="str">
        <f>IFERROR(__xludf.DUMMYFUNCTION("""COMPUTED_VALUE"""),"0x8852ae619237638b71cc4c09f8fa6b0c5b5644ad")</f>
        <v>0x8852ae619237638b71cc4c09f8fa6b0c5b5644ad</v>
      </c>
      <c r="J8" s="18">
        <v>677.6232158523707</v>
      </c>
      <c r="K8" s="4">
        <v>11293.720264206178</v>
      </c>
      <c r="L8" s="19">
        <v>1.1293720264206178E22</v>
      </c>
      <c r="M8" s="20">
        <v>1.1293720264206178E21</v>
      </c>
    </row>
    <row r="9">
      <c r="A9" s="14"/>
      <c r="B9" s="27">
        <v>0.1</v>
      </c>
      <c r="C9" s="4"/>
      <c r="D9" s="4">
        <v>327.22651636833797</v>
      </c>
      <c r="E9" s="4" t="s">
        <v>3163</v>
      </c>
      <c r="F9" s="9"/>
      <c r="G9" s="28">
        <f>SUM(D2:D971)</f>
        <v>356885.0249</v>
      </c>
      <c r="H9" s="4"/>
      <c r="I9" s="4" t="str">
        <f>IFERROR(__xludf.DUMMYFUNCTION("""COMPUTED_VALUE"""),"0xbb17b689aba22a3be6792655ff4ca363c89771df")</f>
        <v>0xbb17b689aba22a3be6792655ff4ca363c89771df</v>
      </c>
      <c r="J9" s="18">
        <v>862.492701569255</v>
      </c>
      <c r="K9" s="4">
        <v>14374.878359487584</v>
      </c>
      <c r="L9" s="19">
        <v>1.4374878359487584E22</v>
      </c>
      <c r="M9" s="20">
        <v>1.4374878359487586E21</v>
      </c>
    </row>
    <row r="10">
      <c r="A10" s="6"/>
      <c r="B10" s="6"/>
      <c r="C10" s="4"/>
      <c r="D10" s="4">
        <v>327.22651636833797</v>
      </c>
      <c r="E10" s="4" t="s">
        <v>8230</v>
      </c>
      <c r="F10" s="4"/>
      <c r="G10" s="7"/>
      <c r="H10" s="4"/>
      <c r="I10" s="4" t="str">
        <f>IFERROR(__xludf.DUMMYFUNCTION("""COMPUTED_VALUE"""),"0x24b277989aa7bd31dbcd3d16252f536c197c3dd3")</f>
        <v>0x24b277989aa7bd31dbcd3d16252f536c197c3dd3</v>
      </c>
      <c r="J10" s="18">
        <v>626.551497690858</v>
      </c>
      <c r="K10" s="4">
        <v>10442.5249615143</v>
      </c>
      <c r="L10" s="19">
        <v>1.04425249615143E22</v>
      </c>
      <c r="M10" s="20">
        <v>1.04425249615143E21</v>
      </c>
    </row>
    <row r="11">
      <c r="A11" s="6"/>
      <c r="B11" s="6"/>
      <c r="C11" s="4"/>
      <c r="D11" s="4">
        <v>327.22651636833797</v>
      </c>
      <c r="E11" s="4" t="s">
        <v>6066</v>
      </c>
      <c r="F11" s="9"/>
      <c r="G11" s="29" t="s">
        <v>8493</v>
      </c>
      <c r="H11" s="4"/>
      <c r="I11" s="4" t="str">
        <f>IFERROR(__xludf.DUMMYFUNCTION("""COMPUTED_VALUE"""),"0xdf9902ceb5403094bacbb5d1e5fe56b7e10dc298")</f>
        <v>0xdf9902ceb5403094bacbb5d1e5fe56b7e10dc298</v>
      </c>
      <c r="J11" s="18">
        <v>327.22651636833797</v>
      </c>
      <c r="K11" s="4">
        <v>5453.775272805633</v>
      </c>
      <c r="L11" s="19">
        <v>5.453775272805633E21</v>
      </c>
      <c r="M11" s="20">
        <v>5.453775272805634E20</v>
      </c>
    </row>
    <row r="12">
      <c r="A12" s="6"/>
      <c r="B12" s="6"/>
      <c r="C12" s="4"/>
      <c r="D12" s="4">
        <v>252.796661759655</v>
      </c>
      <c r="E12" s="4" t="s">
        <v>1495</v>
      </c>
      <c r="F12" s="9"/>
      <c r="G12" s="25">
        <f>COUNTA(D2:D971)</f>
        <v>970</v>
      </c>
      <c r="H12" s="4"/>
      <c r="I12" s="4" t="str">
        <f>IFERROR(__xludf.DUMMYFUNCTION("""COMPUTED_VALUE"""),"0xba3608c9903d92d24d3d7aa856a5744f3cabafed")</f>
        <v>0xba3608c9903d92d24d3d7aa856a5744f3cabafed</v>
      </c>
      <c r="J12" s="18">
        <v>283.4252745559291</v>
      </c>
      <c r="K12" s="4">
        <v>4723.754575932152</v>
      </c>
      <c r="L12" s="19">
        <v>4.723754575932152E21</v>
      </c>
      <c r="M12" s="20">
        <v>4.7237545759321516E20</v>
      </c>
    </row>
    <row r="13">
      <c r="A13" s="6"/>
      <c r="B13" s="6"/>
      <c r="C13" s="4"/>
      <c r="D13" s="4">
        <v>327.22651636833797</v>
      </c>
      <c r="E13" s="4" t="s">
        <v>8503</v>
      </c>
      <c r="F13" s="4"/>
      <c r="G13" s="4"/>
      <c r="H13" s="4"/>
      <c r="I13" s="4" t="str">
        <f>IFERROR(__xludf.DUMMYFUNCTION("""COMPUTED_VALUE"""),"0x6c3aee123e944f823fb2c10c12d64527d5651972")</f>
        <v>0x6c3aee123e944f823fb2c10c12d64527d5651972</v>
      </c>
      <c r="J13" s="18">
        <v>626.551497690858</v>
      </c>
      <c r="K13" s="4">
        <v>10442.5249615143</v>
      </c>
      <c r="L13" s="19">
        <v>1.04425249615143E22</v>
      </c>
      <c r="M13" s="20">
        <v>1.04425249615143E21</v>
      </c>
    </row>
    <row r="14">
      <c r="A14" s="6"/>
      <c r="B14" s="6"/>
      <c r="C14" s="4"/>
      <c r="D14" s="4">
        <v>327.22651636833797</v>
      </c>
      <c r="E14" s="4" t="s">
        <v>591</v>
      </c>
      <c r="F14" s="4"/>
      <c r="G14" s="4"/>
      <c r="H14" s="4"/>
      <c r="I14" s="4" t="str">
        <f>IFERROR(__xludf.DUMMYFUNCTION("""COMPUTED_VALUE"""),"0xbbda8c587de8dc04abb35de738c04e4413355007")</f>
        <v>0xbbda8c587de8dc04abb35de738c04e4413355007</v>
      </c>
      <c r="J14" s="18">
        <v>728.285691537112</v>
      </c>
      <c r="K14" s="4">
        <v>12138.094858951868</v>
      </c>
      <c r="L14" s="19">
        <v>1.2138094858951868E22</v>
      </c>
      <c r="M14" s="20">
        <v>1.2138094858951868E21</v>
      </c>
    </row>
    <row r="15">
      <c r="A15" s="6"/>
      <c r="B15" s="6"/>
      <c r="C15" s="4"/>
      <c r="D15" s="4">
        <v>327.22651636833797</v>
      </c>
      <c r="E15" s="4" t="s">
        <v>675</v>
      </c>
      <c r="F15" s="4"/>
      <c r="G15" s="4"/>
      <c r="H15" s="4"/>
      <c r="I15" s="4" t="str">
        <f>IFERROR(__xludf.DUMMYFUNCTION("""COMPUTED_VALUE"""),"0x64b384e47d67b62d981aee727018e765a8540072")</f>
        <v>0x64b384e47d67b62d981aee727018e765a8540072</v>
      </c>
      <c r="J15" s="18">
        <v>655.6142583954013</v>
      </c>
      <c r="K15" s="4">
        <v>10926.904306590022</v>
      </c>
      <c r="L15" s="19">
        <v>1.0926904306590022E22</v>
      </c>
      <c r="M15" s="20">
        <v>1.0926904306590022E21</v>
      </c>
    </row>
    <row r="16">
      <c r="A16" s="6"/>
      <c r="B16" s="6"/>
      <c r="C16" s="4"/>
      <c r="D16" s="4">
        <v>327.22651636833797</v>
      </c>
      <c r="E16" s="4" t="s">
        <v>8504</v>
      </c>
      <c r="F16" s="4"/>
      <c r="G16" s="4"/>
      <c r="H16" s="4"/>
      <c r="I16" s="4" t="str">
        <f>IFERROR(__xludf.DUMMYFUNCTION("""COMPUTED_VALUE"""),"0xf66c0c90d988b10f20e2a2ddc9c6a8847bb0f571")</f>
        <v>0xf66c0c90d988b10f20e2a2ddc9c6a8847bb0f571</v>
      </c>
      <c r="J16" s="18">
        <v>626.551497690858</v>
      </c>
      <c r="K16" s="4">
        <v>10442.5249615143</v>
      </c>
      <c r="L16" s="19">
        <v>1.04425249615143E22</v>
      </c>
      <c r="M16" s="20">
        <v>1.04425249615143E21</v>
      </c>
    </row>
    <row r="17">
      <c r="A17" s="6"/>
      <c r="B17" s="6"/>
      <c r="C17" s="4"/>
      <c r="D17" s="4">
        <v>327.22651636833797</v>
      </c>
      <c r="E17" s="4" t="s">
        <v>2293</v>
      </c>
      <c r="F17" s="4"/>
      <c r="G17" s="4"/>
      <c r="H17" s="4"/>
      <c r="I17" s="4" t="str">
        <f>IFERROR(__xludf.DUMMYFUNCTION("""COMPUTED_VALUE"""),"0x44dc3320ead2bd42a0f8c4abd980c568f1e40417")</f>
        <v>0x44dc3320ead2bd42a0f8c4abd980c568f1e40417</v>
      </c>
      <c r="J17" s="18">
        <v>634.2093842882801</v>
      </c>
      <c r="K17" s="4">
        <v>10570.15640480467</v>
      </c>
      <c r="L17" s="19">
        <v>1.057015640480467E22</v>
      </c>
      <c r="M17" s="20">
        <v>1.057015640480467E21</v>
      </c>
    </row>
    <row r="18">
      <c r="A18" s="6"/>
      <c r="B18" s="6"/>
      <c r="C18" s="4"/>
      <c r="D18" s="4">
        <v>204.93329132575101</v>
      </c>
      <c r="E18" s="4" t="s">
        <v>6833</v>
      </c>
      <c r="F18" s="4"/>
      <c r="G18" s="4"/>
      <c r="H18" s="4"/>
      <c r="I18" s="4" t="str">
        <f>IFERROR(__xludf.DUMMYFUNCTION("""COMPUTED_VALUE"""),"0x367bc1a9d1ef225307666e330e127eaf19b2160a")</f>
        <v>0x367bc1a9d1ef225307666e330e127eaf19b2160a</v>
      </c>
      <c r="J18" s="18">
        <v>204.93329132575101</v>
      </c>
      <c r="K18" s="4">
        <v>3415.5548554291836</v>
      </c>
      <c r="L18" s="19">
        <v>3.4155548554291834E21</v>
      </c>
      <c r="M18" s="20">
        <v>3.415554855429183E20</v>
      </c>
    </row>
    <row r="19">
      <c r="A19" s="6"/>
      <c r="B19" s="6"/>
      <c r="C19" s="4"/>
      <c r="D19" s="4">
        <v>327.22651636833797</v>
      </c>
      <c r="E19" s="4" t="s">
        <v>5318</v>
      </c>
      <c r="F19" s="4"/>
      <c r="G19" s="4"/>
      <c r="H19" s="4"/>
      <c r="I19" s="4" t="str">
        <f>IFERROR(__xludf.DUMMYFUNCTION("""COMPUTED_VALUE"""),"0x7e11b9e012f8ed4c13f5b9daf8e0ae664852695e")</f>
        <v>0x7e11b9e012f8ed4c13f5b9daf8e0ae664852695e</v>
      </c>
      <c r="J19" s="18">
        <v>692.2992273986074</v>
      </c>
      <c r="K19" s="4">
        <v>11538.320456643458</v>
      </c>
      <c r="L19" s="19">
        <v>1.1538320456643458E22</v>
      </c>
      <c r="M19" s="20">
        <v>1.1538320456643458E21</v>
      </c>
    </row>
    <row r="20">
      <c r="A20" s="6"/>
      <c r="B20" s="6"/>
      <c r="C20" s="4"/>
      <c r="D20" s="4">
        <v>327.22651636833797</v>
      </c>
      <c r="E20" s="4" t="s">
        <v>8506</v>
      </c>
      <c r="F20" s="4"/>
      <c r="G20" s="4"/>
      <c r="H20" s="4"/>
      <c r="I20" s="4" t="str">
        <f>IFERROR(__xludf.DUMMYFUNCTION("""COMPUTED_VALUE"""),"0xd3aecf9e0856822bd320873e905ae9f78a2977e7")</f>
        <v>0xd3aecf9e0856822bd320873e905ae9f78a2977e7</v>
      </c>
      <c r="J20" s="18">
        <v>689.7409670739179</v>
      </c>
      <c r="K20" s="4">
        <v>11495.682784565299</v>
      </c>
      <c r="L20" s="19">
        <v>1.14956827845653E22</v>
      </c>
      <c r="M20" s="20">
        <v>1.14956827845653E21</v>
      </c>
    </row>
    <row r="21">
      <c r="A21" s="6"/>
      <c r="B21" s="6"/>
      <c r="C21" s="4"/>
      <c r="D21" s="4">
        <v>327.22651636833797</v>
      </c>
      <c r="E21" s="4" t="s">
        <v>8507</v>
      </c>
      <c r="F21" s="4"/>
      <c r="G21" s="4"/>
      <c r="H21" s="4"/>
      <c r="I21" s="4" t="str">
        <f>IFERROR(__xludf.DUMMYFUNCTION("""COMPUTED_VALUE"""),"0xf8e63ce2b3c53a8fe9a014e3468c89ad3c321c0a")</f>
        <v>0xf8e63ce2b3c53a8fe9a014e3468c89ad3c321c0a</v>
      </c>
      <c r="J21" s="18">
        <v>327.22651636833797</v>
      </c>
      <c r="K21" s="4">
        <v>5453.775272805633</v>
      </c>
      <c r="L21" s="19">
        <v>5.453775272805633E21</v>
      </c>
      <c r="M21" s="20">
        <v>5.453775272805634E20</v>
      </c>
    </row>
    <row r="22">
      <c r="A22" s="6"/>
      <c r="B22" s="6"/>
      <c r="C22" s="4"/>
      <c r="D22" s="4">
        <v>327.22651636833797</v>
      </c>
      <c r="E22" s="4" t="s">
        <v>3024</v>
      </c>
      <c r="F22" s="4"/>
      <c r="G22" s="4"/>
      <c r="H22" s="4"/>
      <c r="I22" s="4" t="str">
        <f>IFERROR(__xludf.DUMMYFUNCTION("""COMPUTED_VALUE"""),"0x53a15a8c187820720b94463f31c57c641a564f13")</f>
        <v>0x53a15a8c187820720b94463f31c57c641a564f13</v>
      </c>
      <c r="J22" s="18">
        <v>642.9383456323742</v>
      </c>
      <c r="K22" s="4">
        <v>10715.639093872904</v>
      </c>
      <c r="L22" s="19">
        <v>1.0715639093872904E22</v>
      </c>
      <c r="M22" s="20">
        <v>1.0715639093872904E21</v>
      </c>
    </row>
    <row r="23">
      <c r="A23" s="6"/>
      <c r="B23" s="6"/>
      <c r="C23" s="4"/>
      <c r="D23" s="4">
        <v>327.22651636833797</v>
      </c>
      <c r="E23" s="4" t="s">
        <v>1734</v>
      </c>
      <c r="F23" s="4"/>
      <c r="G23" s="4"/>
      <c r="H23" s="4"/>
      <c r="I23" s="4" t="str">
        <f>IFERROR(__xludf.DUMMYFUNCTION("""COMPUTED_VALUE"""),"0xd868ea7cf6e655491cafa944e6703f081468b162")</f>
        <v>0xd868ea7cf6e655491cafa944e6703f081468b162</v>
      </c>
      <c r="J23" s="18">
        <v>728.343817058521</v>
      </c>
      <c r="K23" s="4">
        <v>12139.063617642018</v>
      </c>
      <c r="L23" s="19">
        <v>1.2139063617642018E22</v>
      </c>
      <c r="M23" s="20">
        <v>1.213906361764202E21</v>
      </c>
    </row>
    <row r="24">
      <c r="A24" s="6"/>
      <c r="B24" s="6"/>
      <c r="C24" s="4"/>
      <c r="D24" s="4">
        <v>327.22651636833797</v>
      </c>
      <c r="E24" s="4" t="s">
        <v>6088</v>
      </c>
      <c r="F24" s="4"/>
      <c r="G24" s="4"/>
      <c r="H24" s="4"/>
      <c r="I24" s="4" t="str">
        <f>IFERROR(__xludf.DUMMYFUNCTION("""COMPUTED_VALUE"""),"0x8bc0fc5b31fa30266a3dd81753be66ee4b62a7f9")</f>
        <v>0x8bc0fc5b31fa30266a3dd81753be66ee4b62a7f9</v>
      </c>
      <c r="J24" s="18">
        <v>626.551497690858</v>
      </c>
      <c r="K24" s="4">
        <v>10442.5249615143</v>
      </c>
      <c r="L24" s="19">
        <v>1.04425249615143E22</v>
      </c>
      <c r="M24" s="20">
        <v>1.04425249615143E21</v>
      </c>
    </row>
    <row r="25">
      <c r="A25" s="6"/>
      <c r="B25" s="6"/>
      <c r="C25" s="4"/>
      <c r="D25" s="4">
        <v>82.7367329652235</v>
      </c>
      <c r="E25" s="4" t="s">
        <v>2335</v>
      </c>
      <c r="F25" s="4"/>
      <c r="G25" s="4"/>
      <c r="H25" s="4"/>
      <c r="I25" s="4" t="str">
        <f>IFERROR(__xludf.DUMMYFUNCTION("""COMPUTED_VALUE"""),"0xb381a30653fb825e336687becbdbf784a1470c3c")</f>
        <v>0xb381a30653fb825e336687becbdbf784a1470c3c</v>
      </c>
      <c r="J25" s="18">
        <v>382.0617142877435</v>
      </c>
      <c r="K25" s="4">
        <v>6367.695238129058</v>
      </c>
      <c r="L25" s="19">
        <v>6.367695238129058E21</v>
      </c>
      <c r="M25" s="20">
        <v>6.367695238129059E20</v>
      </c>
    </row>
    <row r="26">
      <c r="A26" s="6"/>
      <c r="B26" s="6"/>
      <c r="C26" s="4"/>
      <c r="D26" s="4">
        <v>327.22651636833797</v>
      </c>
      <c r="E26" s="4" t="s">
        <v>7465</v>
      </c>
      <c r="F26" s="4"/>
      <c r="G26" s="4"/>
      <c r="H26" s="4"/>
      <c r="I26" s="4" t="str">
        <f>IFERROR(__xludf.DUMMYFUNCTION("""COMPUTED_VALUE"""),"0x06b75101418151a6adae4154251eb4aa2a7b7943")</f>
        <v>0x06b75101418151a6adae4154251eb4aa2a7b7943</v>
      </c>
      <c r="J26" s="18">
        <v>961.063873400152</v>
      </c>
      <c r="K26" s="4">
        <v>16017.731223335868</v>
      </c>
      <c r="L26" s="19">
        <v>1.6017731223335868E22</v>
      </c>
      <c r="M26" s="20">
        <v>1.6017731223335868E21</v>
      </c>
    </row>
    <row r="27">
      <c r="A27" s="6"/>
      <c r="B27" s="6"/>
      <c r="C27" s="4"/>
      <c r="D27" s="4">
        <v>44.5028279055051</v>
      </c>
      <c r="E27" s="4" t="s">
        <v>8509</v>
      </c>
      <c r="F27" s="4"/>
      <c r="G27" s="4"/>
      <c r="H27" s="4"/>
      <c r="I27" s="4" t="str">
        <f>IFERROR(__xludf.DUMMYFUNCTION("""COMPUTED_VALUE"""),"0xe9f7e9be43abed733dbafb663f96e3e8c48d152f")</f>
        <v>0xe9f7e9be43abed733dbafb663f96e3e8c48d152f</v>
      </c>
      <c r="J27" s="18">
        <v>343.8278092280251</v>
      </c>
      <c r="K27" s="4">
        <v>5730.463487133752</v>
      </c>
      <c r="L27" s="19">
        <v>5.730463487133752E21</v>
      </c>
      <c r="M27" s="20">
        <v>5.730463487133753E20</v>
      </c>
    </row>
    <row r="28">
      <c r="A28" s="6"/>
      <c r="B28" s="6"/>
      <c r="C28" s="4"/>
      <c r="D28" s="4">
        <v>327.22651636833797</v>
      </c>
      <c r="E28" s="4" t="s">
        <v>8511</v>
      </c>
      <c r="F28" s="4"/>
      <c r="G28" s="4"/>
      <c r="H28" s="4"/>
      <c r="I28" s="4" t="str">
        <f>IFERROR(__xludf.DUMMYFUNCTION("""COMPUTED_VALUE"""),"0x28788ca3f834b890e45b3d0fb9135f8b1f6bec3b")</f>
        <v>0x28788ca3f834b890e45b3d0fb9135f8b1f6bec3b</v>
      </c>
      <c r="J28" s="18">
        <v>1165.229767349569</v>
      </c>
      <c r="K28" s="4">
        <v>19420.49612249282</v>
      </c>
      <c r="L28" s="19">
        <v>1.942049612249282E22</v>
      </c>
      <c r="M28" s="20">
        <v>1.942049612249282E21</v>
      </c>
    </row>
    <row r="29">
      <c r="A29" s="6"/>
      <c r="B29" s="6"/>
      <c r="C29" s="4"/>
      <c r="D29" s="4">
        <v>327.22651636833797</v>
      </c>
      <c r="E29" s="4" t="s">
        <v>8512</v>
      </c>
      <c r="F29" s="4"/>
      <c r="G29" s="4"/>
      <c r="H29" s="4"/>
      <c r="I29" s="4" t="str">
        <f>IFERROR(__xludf.DUMMYFUNCTION("""COMPUTED_VALUE"""),"0xfca319f920b6757a247c78e39be29e41e3603e8b")</f>
        <v>0xfca319f920b6757a247c78e39be29e41e3603e8b</v>
      </c>
      <c r="J29" s="18">
        <v>1382.183447612817</v>
      </c>
      <c r="K29" s="4">
        <v>23036.39079354695</v>
      </c>
      <c r="L29" s="19">
        <v>2.303639079354695E22</v>
      </c>
      <c r="M29" s="20">
        <v>2.3036390793546952E21</v>
      </c>
    </row>
    <row r="30">
      <c r="A30" s="6"/>
      <c r="B30" s="6"/>
      <c r="C30" s="4"/>
      <c r="D30" s="4">
        <v>327.22651636833797</v>
      </c>
      <c r="E30" s="4" t="s">
        <v>5440</v>
      </c>
      <c r="F30" s="4"/>
      <c r="G30" s="4"/>
      <c r="H30" s="4"/>
      <c r="I30" s="4" t="str">
        <f>IFERROR(__xludf.DUMMYFUNCTION("""COMPUTED_VALUE"""),"0xc8f06894f521296b288a35527d9db37e1b02bccc")</f>
        <v>0xc8f06894f521296b288a35527d9db37e1b02bccc</v>
      </c>
      <c r="J30" s="18">
        <v>670.145638747673</v>
      </c>
      <c r="K30" s="4">
        <v>11169.093979127885</v>
      </c>
      <c r="L30" s="19">
        <v>1.1169093979127885E22</v>
      </c>
      <c r="M30" s="20">
        <v>1.1169093979127885E21</v>
      </c>
    </row>
    <row r="31">
      <c r="A31" s="6"/>
      <c r="B31" s="6"/>
      <c r="C31" s="4"/>
      <c r="D31" s="4">
        <v>327.22651636833797</v>
      </c>
      <c r="E31" s="4" t="s">
        <v>8513</v>
      </c>
      <c r="F31" s="4"/>
      <c r="G31" s="4"/>
      <c r="H31" s="4"/>
      <c r="I31" s="4" t="str">
        <f>IFERROR(__xludf.DUMMYFUNCTION("""COMPUTED_VALUE"""),"0x7a6fc813508f9d4bf4459e2cd9abe3e4127991cb")</f>
        <v>0x7a6fc813508f9d4bf4459e2cd9abe3e4127991cb</v>
      </c>
      <c r="J31" s="18">
        <v>371.11128503219845</v>
      </c>
      <c r="K31" s="4">
        <v>6185.188083869974</v>
      </c>
      <c r="L31" s="19">
        <v>6.185188083869974E21</v>
      </c>
      <c r="M31" s="20">
        <v>6.185188083869975E20</v>
      </c>
    </row>
    <row r="32">
      <c r="A32" s="6"/>
      <c r="B32" s="6"/>
      <c r="C32" s="4"/>
      <c r="D32" s="4">
        <v>327.22651636833797</v>
      </c>
      <c r="E32" s="4" t="s">
        <v>2048</v>
      </c>
      <c r="F32" s="4"/>
      <c r="G32" s="4"/>
      <c r="H32" s="4"/>
      <c r="I32" s="4" t="str">
        <f>IFERROR(__xludf.DUMMYFUNCTION("""COMPUTED_VALUE"""),"0xaa089eae69704d383794139318e76b28fdfd8b41")</f>
        <v>0xaa089eae69704d383794139318e76b28fdfd8b41</v>
      </c>
      <c r="J32" s="18">
        <v>626.551497690858</v>
      </c>
      <c r="K32" s="4">
        <v>10442.5249615143</v>
      </c>
      <c r="L32" s="19">
        <v>1.04425249615143E22</v>
      </c>
      <c r="M32" s="20">
        <v>1.04425249615143E21</v>
      </c>
    </row>
    <row r="33">
      <c r="A33" s="6"/>
      <c r="B33" s="6"/>
      <c r="C33" s="4"/>
      <c r="D33" s="4">
        <v>327.22651636833797</v>
      </c>
      <c r="E33" s="4" t="s">
        <v>8514</v>
      </c>
      <c r="F33" s="4"/>
      <c r="G33" s="4"/>
      <c r="H33" s="4"/>
      <c r="I33" s="4" t="str">
        <f>IFERROR(__xludf.DUMMYFUNCTION("""COMPUTED_VALUE"""),"0x8a8a0197364ad87ebed73f609d6792db9a18c796")</f>
        <v>0x8a8a0197364ad87ebed73f609d6792db9a18c796</v>
      </c>
      <c r="J33" s="18">
        <v>699.3016899496304</v>
      </c>
      <c r="K33" s="4">
        <v>11655.028165827172</v>
      </c>
      <c r="L33" s="19">
        <v>1.1655028165827172E22</v>
      </c>
      <c r="M33" s="20">
        <v>1.1655028165827173E21</v>
      </c>
    </row>
    <row r="34">
      <c r="A34" s="6"/>
      <c r="B34" s="6"/>
      <c r="C34" s="4"/>
      <c r="D34" s="4">
        <v>325.25867737036396</v>
      </c>
      <c r="E34" s="4" t="s">
        <v>4862</v>
      </c>
      <c r="F34" s="4"/>
      <c r="G34" s="4"/>
      <c r="H34" s="4"/>
      <c r="I34" s="4" t="str">
        <f>IFERROR(__xludf.DUMMYFUNCTION("""COMPUTED_VALUE"""),"0x941e710a60a07307c575631a0fbe32c25def4956")</f>
        <v>0x941e710a60a07307c575631a0fbe32c25def4956</v>
      </c>
      <c r="J34" s="18">
        <v>623.422884814784</v>
      </c>
      <c r="K34" s="4">
        <v>10390.381413579733</v>
      </c>
      <c r="L34" s="19">
        <v>1.0390381413579734E22</v>
      </c>
      <c r="M34" s="20">
        <v>1.0390381413579734E21</v>
      </c>
    </row>
    <row r="35">
      <c r="A35" s="6"/>
      <c r="B35" s="6"/>
      <c r="C35" s="4"/>
      <c r="D35" s="4">
        <v>327.22651636833797</v>
      </c>
      <c r="E35" s="4" t="s">
        <v>8516</v>
      </c>
      <c r="F35" s="4"/>
      <c r="G35" s="4"/>
      <c r="H35" s="4"/>
      <c r="I35" s="4" t="str">
        <f>IFERROR(__xludf.DUMMYFUNCTION("""COMPUTED_VALUE"""),"0x4f941e5da657375e75d6d92852431cc7be3ef7a8")</f>
        <v>0x4f941e5da657375e75d6d92852431cc7be3ef7a8</v>
      </c>
      <c r="J35" s="18">
        <v>626.551497690858</v>
      </c>
      <c r="K35" s="4">
        <v>10442.5249615143</v>
      </c>
      <c r="L35" s="19">
        <v>1.04425249615143E22</v>
      </c>
      <c r="M35" s="20">
        <v>1.04425249615143E21</v>
      </c>
    </row>
    <row r="36">
      <c r="A36" s="6"/>
      <c r="B36" s="6"/>
      <c r="C36" s="4"/>
      <c r="D36" s="4">
        <v>327.22651636833797</v>
      </c>
      <c r="E36" s="4" t="s">
        <v>1493</v>
      </c>
      <c r="F36" s="4"/>
      <c r="G36" s="4"/>
      <c r="H36" s="4"/>
      <c r="I36" s="4" t="str">
        <f>IFERROR(__xludf.DUMMYFUNCTION("""COMPUTED_VALUE"""),"0xb3ac5474ac95e004c02c92d300d1c3f98d3b5983")</f>
        <v>0xb3ac5474ac95e004c02c92d300d1c3f98d3b5983</v>
      </c>
      <c r="J36" s="18">
        <v>1026.164457378329</v>
      </c>
      <c r="K36" s="4">
        <v>17102.740956305483</v>
      </c>
      <c r="L36" s="19">
        <v>1.7102740956305483E22</v>
      </c>
      <c r="M36" s="20">
        <v>1.7102740956305485E21</v>
      </c>
    </row>
    <row r="37">
      <c r="A37" s="6"/>
      <c r="B37" s="6"/>
      <c r="C37" s="4"/>
      <c r="D37" s="4">
        <v>327.22651636833797</v>
      </c>
      <c r="E37" s="4" t="s">
        <v>4182</v>
      </c>
      <c r="F37" s="4"/>
      <c r="G37" s="4"/>
      <c r="H37" s="4"/>
      <c r="I37" s="4" t="str">
        <f>IFERROR(__xludf.DUMMYFUNCTION("""COMPUTED_VALUE"""),"0x3b4eaa66d0b49298052a9c875adc671be39d38c4")</f>
        <v>0x3b4eaa66d0b49298052a9c875adc671be39d38c4</v>
      </c>
      <c r="J37" s="18">
        <v>670.145638747673</v>
      </c>
      <c r="K37" s="4">
        <v>11169.093979127885</v>
      </c>
      <c r="L37" s="19">
        <v>1.1169093979127885E22</v>
      </c>
      <c r="M37" s="20">
        <v>1.1169093979127885E21</v>
      </c>
    </row>
    <row r="38">
      <c r="A38" s="6"/>
      <c r="B38" s="6"/>
      <c r="C38" s="4"/>
      <c r="D38" s="4">
        <v>327.22651636833797</v>
      </c>
      <c r="E38" s="4" t="s">
        <v>8517</v>
      </c>
      <c r="F38" s="4"/>
      <c r="G38" s="4"/>
      <c r="H38" s="4"/>
      <c r="I38" s="4" t="str">
        <f>IFERROR(__xludf.DUMMYFUNCTION("""COMPUTED_VALUE"""),"0x681b683ccefcff1ec8ecae609b01ed5233d4a679")</f>
        <v>0x681b683ccefcff1ec8ecae609b01ed5233d4a679</v>
      </c>
      <c r="J38" s="18">
        <v>6639.565977262708</v>
      </c>
      <c r="K38" s="4">
        <v>110659.43295437847</v>
      </c>
      <c r="L38" s="19">
        <v>1.1065943295437847E23</v>
      </c>
      <c r="M38" s="20">
        <v>1.1065943295437847E22</v>
      </c>
    </row>
    <row r="39">
      <c r="A39" s="6"/>
      <c r="B39" s="6"/>
      <c r="C39" s="4"/>
      <c r="D39" s="4">
        <v>327.22651636833797</v>
      </c>
      <c r="E39" s="4" t="s">
        <v>8518</v>
      </c>
      <c r="F39" s="4"/>
      <c r="G39" s="4"/>
      <c r="H39" s="4"/>
      <c r="I39" s="4" t="str">
        <f>IFERROR(__xludf.DUMMYFUNCTION("""COMPUTED_VALUE"""),"0xb3217e4ad1d22d095d9c83de172edddc27b7f053")</f>
        <v>0xb3217e4ad1d22d095d9c83de172edddc27b7f053</v>
      </c>
      <c r="J39" s="18">
        <v>626.551497690858</v>
      </c>
      <c r="K39" s="4">
        <v>10442.5249615143</v>
      </c>
      <c r="L39" s="19">
        <v>1.04425249615143E22</v>
      </c>
      <c r="M39" s="20">
        <v>1.04425249615143E21</v>
      </c>
    </row>
    <row r="40">
      <c r="A40" s="6"/>
      <c r="B40" s="6"/>
      <c r="C40" s="4"/>
      <c r="D40" s="4">
        <v>327.22651636833797</v>
      </c>
      <c r="E40" s="4" t="s">
        <v>8519</v>
      </c>
      <c r="F40" s="4"/>
      <c r="G40" s="4"/>
      <c r="H40" s="4"/>
      <c r="I40" s="4" t="str">
        <f>IFERROR(__xludf.DUMMYFUNCTION("""COMPUTED_VALUE"""),"0x2dfbf075bbf541744f946ed97be710f5f12747b8")</f>
        <v>0x2dfbf075bbf541744f946ed97be710f5f12747b8</v>
      </c>
      <c r="J40" s="18">
        <v>626.551497690858</v>
      </c>
      <c r="K40" s="4">
        <v>10442.5249615143</v>
      </c>
      <c r="L40" s="19">
        <v>1.04425249615143E22</v>
      </c>
      <c r="M40" s="20">
        <v>1.04425249615143E21</v>
      </c>
    </row>
    <row r="41">
      <c r="A41" s="6"/>
      <c r="B41" s="6"/>
      <c r="C41" s="4"/>
      <c r="D41" s="4">
        <v>327.22651636833797</v>
      </c>
      <c r="E41" s="4" t="s">
        <v>6617</v>
      </c>
      <c r="F41" s="4"/>
      <c r="G41" s="4"/>
      <c r="H41" s="4"/>
      <c r="I41" s="4" t="str">
        <f>IFERROR(__xludf.DUMMYFUNCTION("""COMPUTED_VALUE"""),"0xa011a2379e884826ec192bd7f46b2afa6c356dc1")</f>
        <v>0xa011a2379e884826ec192bd7f46b2afa6c356dc1</v>
      </c>
      <c r="J41" s="18">
        <v>669.5220344644441</v>
      </c>
      <c r="K41" s="4">
        <v>11158.700574407403</v>
      </c>
      <c r="L41" s="19">
        <v>1.1158700574407404E22</v>
      </c>
      <c r="M41" s="20">
        <v>1.1158700574407404E21</v>
      </c>
    </row>
    <row r="42">
      <c r="A42" s="6"/>
      <c r="B42" s="6"/>
      <c r="C42" s="4"/>
      <c r="D42" s="4">
        <v>196.335909821002</v>
      </c>
      <c r="E42" s="4" t="s">
        <v>5870</v>
      </c>
      <c r="F42" s="4"/>
      <c r="G42" s="4"/>
      <c r="H42" s="4"/>
      <c r="I42" s="4" t="str">
        <f>IFERROR(__xludf.DUMMYFUNCTION("""COMPUTED_VALUE"""),"0x73ae5b993038aa91df76866ef71cfb248b2bc75f")</f>
        <v>0x73ae5b993038aa91df76866ef71cfb248b2bc75f</v>
      </c>
      <c r="J42" s="18">
        <v>495.660891143522</v>
      </c>
      <c r="K42" s="4">
        <v>8261.014852392034</v>
      </c>
      <c r="L42" s="19">
        <v>8.261014852392035E21</v>
      </c>
      <c r="M42" s="20">
        <v>8.261014852392035E20</v>
      </c>
    </row>
    <row r="43">
      <c r="A43" s="6"/>
      <c r="B43" s="6"/>
      <c r="C43" s="4"/>
      <c r="D43" s="4">
        <v>327.22651636833797</v>
      </c>
      <c r="E43" s="4" t="s">
        <v>6172</v>
      </c>
      <c r="F43" s="4"/>
      <c r="G43" s="4"/>
      <c r="H43" s="4"/>
      <c r="I43" s="4" t="str">
        <f>IFERROR(__xludf.DUMMYFUNCTION("""COMPUTED_VALUE"""),"0x5db8eff3bd353f7f676f3444d4da359c97f554f5")</f>
        <v>0x5db8eff3bd353f7f676f3444d4da359c97f554f5</v>
      </c>
      <c r="J43" s="18">
        <v>917.179104736291</v>
      </c>
      <c r="K43" s="4">
        <v>15286.318412271517</v>
      </c>
      <c r="L43" s="19">
        <v>1.5286318412271517E22</v>
      </c>
      <c r="M43" s="20">
        <v>1.5286318412271518E21</v>
      </c>
    </row>
    <row r="44">
      <c r="A44" s="6"/>
      <c r="B44" s="6"/>
      <c r="C44" s="4"/>
      <c r="D44" s="4">
        <v>327.22651636833797</v>
      </c>
      <c r="E44" s="4" t="s">
        <v>2036</v>
      </c>
      <c r="F44" s="4"/>
      <c r="G44" s="4"/>
      <c r="H44" s="4"/>
      <c r="I44" s="4" t="str">
        <f>IFERROR(__xludf.DUMMYFUNCTION("""COMPUTED_VALUE"""),"0xa9a1848aeb76edddeac27a307f9e59e55c0dd4cc")</f>
        <v>0xa9a1848aeb76edddeac27a307f9e59e55c0dd4cc</v>
      </c>
      <c r="J44" s="18">
        <v>626.551497690858</v>
      </c>
      <c r="K44" s="4">
        <v>10442.5249615143</v>
      </c>
      <c r="L44" s="19">
        <v>1.04425249615143E22</v>
      </c>
      <c r="M44" s="20">
        <v>1.04425249615143E21</v>
      </c>
    </row>
    <row r="45">
      <c r="A45" s="6"/>
      <c r="B45" s="6"/>
      <c r="C45" s="4"/>
      <c r="D45" s="4">
        <v>327.22651636833797</v>
      </c>
      <c r="E45" s="4" t="s">
        <v>5105</v>
      </c>
      <c r="F45" s="4"/>
      <c r="G45" s="4"/>
      <c r="H45" s="4"/>
      <c r="I45" s="4" t="str">
        <f>IFERROR(__xludf.DUMMYFUNCTION("""COMPUTED_VALUE"""),"0x5e8e7a1e4b919c4548085bc8e6a3e8ac254f14a9")</f>
        <v>0x5e8e7a1e4b919c4548085bc8e6a3e8ac254f14a9</v>
      </c>
      <c r="J45" s="18">
        <v>921.232478591893</v>
      </c>
      <c r="K45" s="4">
        <v>15353.874643198218</v>
      </c>
      <c r="L45" s="19">
        <v>1.5353874643198218E22</v>
      </c>
      <c r="M45" s="20">
        <v>1.535387464319822E21</v>
      </c>
    </row>
    <row r="46">
      <c r="A46" s="6"/>
      <c r="B46" s="6"/>
      <c r="C46" s="4"/>
      <c r="D46" s="4">
        <v>327.22651636833797</v>
      </c>
      <c r="E46" s="4" t="s">
        <v>8521</v>
      </c>
      <c r="F46" s="4"/>
      <c r="G46" s="4"/>
      <c r="H46" s="4"/>
      <c r="I46" s="4" t="str">
        <f>IFERROR(__xludf.DUMMYFUNCTION("""COMPUTED_VALUE"""),"0x34dc8eebb875219b7f1971d3d4039300e93ce5de")</f>
        <v>0x34dc8eebb875219b7f1971d3d4039300e93ce5de</v>
      </c>
      <c r="J46" s="18">
        <v>1399.443582706522</v>
      </c>
      <c r="K46" s="4">
        <v>23324.059711775368</v>
      </c>
      <c r="L46" s="19">
        <v>2.332405971177537E22</v>
      </c>
      <c r="M46" s="20">
        <v>2.332405971177537E21</v>
      </c>
    </row>
    <row r="47">
      <c r="A47" s="6"/>
      <c r="B47" s="6"/>
      <c r="C47" s="4"/>
      <c r="D47" s="4">
        <v>327.22651636833797</v>
      </c>
      <c r="E47" s="4" t="s">
        <v>8331</v>
      </c>
      <c r="F47" s="4"/>
      <c r="G47" s="4"/>
      <c r="H47" s="4"/>
      <c r="I47" s="4" t="str">
        <f>IFERROR(__xludf.DUMMYFUNCTION("""COMPUTED_VALUE"""),"0xb9bfc11c32b6f1b09df687d96dfa9072a292315f")</f>
        <v>0xb9bfc11c32b6f1b09df687d96dfa9072a292315f</v>
      </c>
      <c r="J47" s="18">
        <v>662.8799485715372</v>
      </c>
      <c r="K47" s="4">
        <v>11047.999142858953</v>
      </c>
      <c r="L47" s="19">
        <v>1.1047999142858953E22</v>
      </c>
      <c r="M47" s="20">
        <v>1.1047999142858954E21</v>
      </c>
    </row>
    <row r="48">
      <c r="A48" s="6"/>
      <c r="B48" s="6"/>
      <c r="C48" s="4"/>
      <c r="D48" s="4">
        <v>327.22651636833797</v>
      </c>
      <c r="E48" s="4" t="s">
        <v>390</v>
      </c>
      <c r="F48" s="4"/>
      <c r="G48" s="4"/>
      <c r="H48" s="4"/>
      <c r="I48" s="4" t="str">
        <f>IFERROR(__xludf.DUMMYFUNCTION("""COMPUTED_VALUE"""),"0x61e5776b24e2e2db07d2ac729a39ed70f96a9b7c")</f>
        <v>0x61e5776b24e2e2db07d2ac729a39ed70f96a9b7c</v>
      </c>
      <c r="J48" s="18">
        <v>830.028236332101</v>
      </c>
      <c r="K48" s="4">
        <v>13833.80393886835</v>
      </c>
      <c r="L48" s="19">
        <v>1.383380393886835E22</v>
      </c>
      <c r="M48" s="20">
        <v>1.383380393886835E21</v>
      </c>
    </row>
    <row r="49">
      <c r="A49" s="6"/>
      <c r="B49" s="6"/>
      <c r="C49" s="4"/>
      <c r="D49" s="4">
        <v>327.22651636833797</v>
      </c>
      <c r="E49" s="4" t="s">
        <v>8522</v>
      </c>
      <c r="F49" s="4"/>
      <c r="G49" s="4"/>
      <c r="H49" s="4"/>
      <c r="I49" s="4" t="str">
        <f>IFERROR(__xludf.DUMMYFUNCTION("""COMPUTED_VALUE"""),"0xbc8ca713a71ffbe54446e215ef850f773ec4d5a7")</f>
        <v>0xbc8ca713a71ffbe54446e215ef850f773ec4d5a7</v>
      </c>
      <c r="J49" s="18">
        <v>626.551497690858</v>
      </c>
      <c r="K49" s="4">
        <v>10442.5249615143</v>
      </c>
      <c r="L49" s="19">
        <v>1.04425249615143E22</v>
      </c>
      <c r="M49" s="20">
        <v>1.04425249615143E21</v>
      </c>
    </row>
    <row r="50">
      <c r="A50" s="6"/>
      <c r="B50" s="6"/>
      <c r="C50" s="4"/>
      <c r="D50" s="4">
        <v>327.22651636833797</v>
      </c>
      <c r="E50" s="4" t="s">
        <v>8523</v>
      </c>
      <c r="F50" s="4"/>
      <c r="G50" s="4"/>
      <c r="H50" s="4"/>
      <c r="I50" s="4" t="str">
        <f>IFERROR(__xludf.DUMMYFUNCTION("""COMPUTED_VALUE"""),"0x3917f177e33cf15341e2b5d993bece88086497f8")</f>
        <v>0x3917f177e33cf15341e2b5d993bece88086497f8</v>
      </c>
      <c r="J50" s="18">
        <v>626.551497690858</v>
      </c>
      <c r="K50" s="4">
        <v>10442.5249615143</v>
      </c>
      <c r="L50" s="19">
        <v>1.04425249615143E22</v>
      </c>
      <c r="M50" s="20">
        <v>1.04425249615143E21</v>
      </c>
    </row>
    <row r="51">
      <c r="A51" s="6"/>
      <c r="B51" s="6"/>
      <c r="C51" s="4"/>
      <c r="D51" s="4">
        <v>327.22651636833797</v>
      </c>
      <c r="E51" s="4" t="s">
        <v>722</v>
      </c>
      <c r="F51" s="4"/>
      <c r="G51" s="4"/>
      <c r="H51" s="4"/>
      <c r="I51" s="4" t="str">
        <f>IFERROR(__xludf.DUMMYFUNCTION("""COMPUTED_VALUE"""),"0xd4d00a14d2d3181dbebeaf062933d150e9bafb27")</f>
        <v>0xd4d00a14d2d3181dbebeaf062933d150e9bafb27</v>
      </c>
      <c r="J51" s="18">
        <v>686.1301571351719</v>
      </c>
      <c r="K51" s="4">
        <v>11435.502618919532</v>
      </c>
      <c r="L51" s="19">
        <v>1.1435502618919532E22</v>
      </c>
      <c r="M51" s="20">
        <v>1.1435502618919532E21</v>
      </c>
    </row>
    <row r="52">
      <c r="A52" s="6"/>
      <c r="B52" s="6"/>
      <c r="C52" s="4"/>
      <c r="D52" s="4">
        <v>327.22651636833797</v>
      </c>
      <c r="E52" s="4" t="s">
        <v>6058</v>
      </c>
      <c r="F52" s="4"/>
      <c r="G52" s="4"/>
      <c r="H52" s="4"/>
      <c r="I52" s="4" t="str">
        <f>IFERROR(__xludf.DUMMYFUNCTION("""COMPUTED_VALUE"""),"0x40409954cb878a6384ec099e65106ad17b80fced")</f>
        <v>0x40409954cb878a6384ec099e65106ad17b80fced</v>
      </c>
      <c r="J52" s="18">
        <v>670.145638747673</v>
      </c>
      <c r="K52" s="4">
        <v>11169.093979127885</v>
      </c>
      <c r="L52" s="19">
        <v>1.1169093979127885E22</v>
      </c>
      <c r="M52" s="20">
        <v>1.1169093979127885E21</v>
      </c>
    </row>
    <row r="53">
      <c r="A53" s="6"/>
      <c r="B53" s="6"/>
      <c r="C53" s="4"/>
      <c r="D53" s="4">
        <v>327.22651636833797</v>
      </c>
      <c r="E53" s="4" t="s">
        <v>3489</v>
      </c>
      <c r="F53" s="4"/>
      <c r="G53" s="4"/>
      <c r="H53" s="4"/>
      <c r="I53" s="4" t="str">
        <f>IFERROR(__xludf.DUMMYFUNCTION("""COMPUTED_VALUE"""),"0x605981cfc1a070f08fcf206e258458836251c429")</f>
        <v>0x605981cfc1a070f08fcf206e258458836251c429</v>
      </c>
      <c r="J53" s="18">
        <v>765.71730480898</v>
      </c>
      <c r="K53" s="4">
        <v>12761.955080149666</v>
      </c>
      <c r="L53" s="19">
        <v>1.2761955080149666E22</v>
      </c>
      <c r="M53" s="20">
        <v>1.2761955080149666E21</v>
      </c>
    </row>
    <row r="54">
      <c r="A54" s="6"/>
      <c r="B54" s="6"/>
      <c r="C54" s="4"/>
      <c r="D54" s="4">
        <v>327.22651636833797</v>
      </c>
      <c r="E54" s="4" t="s">
        <v>856</v>
      </c>
      <c r="F54" s="4"/>
      <c r="G54" s="4"/>
      <c r="H54" s="4"/>
      <c r="I54" s="4" t="str">
        <f>IFERROR(__xludf.DUMMYFUNCTION("""COMPUTED_VALUE"""),"0x12fbe87ca2674036a9d5d6cf2593043efbee1a6c")</f>
        <v>0x12fbe87ca2674036a9d5d6cf2593043efbee1a6c</v>
      </c>
      <c r="J54" s="18">
        <v>1309.6716880511499</v>
      </c>
      <c r="K54" s="4">
        <v>21827.861467519164</v>
      </c>
      <c r="L54" s="19">
        <v>2.1827861467519164E22</v>
      </c>
      <c r="M54" s="20">
        <v>2.1827861467519165E21</v>
      </c>
    </row>
    <row r="55">
      <c r="A55" s="6"/>
      <c r="B55" s="6"/>
      <c r="C55" s="4"/>
      <c r="D55" s="4">
        <v>327.22651636833797</v>
      </c>
      <c r="E55" s="4" t="s">
        <v>568</v>
      </c>
      <c r="F55" s="4"/>
      <c r="G55" s="4"/>
      <c r="H55" s="4"/>
      <c r="I55" s="4" t="str">
        <f>IFERROR(__xludf.DUMMYFUNCTION("""COMPUTED_VALUE"""),"0x070c8eba534900e54d74b215d1dc54d8b05514be")</f>
        <v>0x070c8eba534900e54d74b215d1dc54d8b05514be</v>
      </c>
      <c r="J55" s="18">
        <v>1269.56507827888</v>
      </c>
      <c r="K55" s="4">
        <v>21159.41797131467</v>
      </c>
      <c r="L55" s="19">
        <v>2.115941797131467E22</v>
      </c>
      <c r="M55" s="20">
        <v>2.115941797131467E21</v>
      </c>
    </row>
    <row r="56">
      <c r="A56" s="6"/>
      <c r="B56" s="6"/>
      <c r="C56" s="4"/>
      <c r="D56" s="4">
        <v>327.22651636833797</v>
      </c>
      <c r="E56" s="4" t="s">
        <v>8377</v>
      </c>
      <c r="F56" s="4"/>
      <c r="G56" s="4"/>
      <c r="H56" s="4"/>
      <c r="I56" s="4" t="str">
        <f>IFERROR(__xludf.DUMMYFUNCTION("""COMPUTED_VALUE"""),"0x91b65bebdba0e6b5b3bcd9a945327484c17db142")</f>
        <v>0x91b65bebdba0e6b5b3bcd9a945327484c17db142</v>
      </c>
      <c r="J56" s="18">
        <v>626.551497690858</v>
      </c>
      <c r="K56" s="4">
        <v>10442.5249615143</v>
      </c>
      <c r="L56" s="19">
        <v>1.04425249615143E22</v>
      </c>
      <c r="M56" s="20">
        <v>1.04425249615143E21</v>
      </c>
    </row>
    <row r="57">
      <c r="A57" s="6"/>
      <c r="B57" s="6"/>
      <c r="C57" s="4"/>
      <c r="D57" s="4">
        <v>323.845909486695</v>
      </c>
      <c r="E57" s="4" t="s">
        <v>185</v>
      </c>
      <c r="F57" s="4"/>
      <c r="G57" s="4"/>
      <c r="H57" s="4"/>
      <c r="I57" s="4" t="str">
        <f>IFERROR(__xludf.DUMMYFUNCTION("""COMPUTED_VALUE"""),"0xcda52838ef354ac7166bec9a7f631bcea34d1001")</f>
        <v>0xcda52838ef354ac7166bec9a7f631bcea34d1001</v>
      </c>
      <c r="J57" s="18">
        <v>1295.604268589913</v>
      </c>
      <c r="K57" s="4">
        <v>21593.404476498552</v>
      </c>
      <c r="L57" s="19">
        <v>2.1593404476498553E22</v>
      </c>
      <c r="M57" s="20">
        <v>2.1593404476498554E21</v>
      </c>
    </row>
    <row r="58">
      <c r="A58" s="6"/>
      <c r="B58" s="6"/>
      <c r="C58" s="4"/>
      <c r="D58" s="4">
        <v>327.22651636833797</v>
      </c>
      <c r="E58" s="4" t="s">
        <v>5124</v>
      </c>
      <c r="F58" s="4"/>
      <c r="G58" s="4"/>
      <c r="H58" s="4"/>
      <c r="I58" s="4" t="str">
        <f>IFERROR(__xludf.DUMMYFUNCTION("""COMPUTED_VALUE"""),"0xfc37a4e2646cfcbf9fe10165cac369a1b886a619")</f>
        <v>0xfc37a4e2646cfcbf9fe10165cac369a1b886a619</v>
      </c>
      <c r="J58" s="18">
        <v>641.7619103883594</v>
      </c>
      <c r="K58" s="4">
        <v>10696.03183980599</v>
      </c>
      <c r="L58" s="19">
        <v>1.069603183980599E22</v>
      </c>
      <c r="M58" s="20">
        <v>1.069603183980599E21</v>
      </c>
    </row>
    <row r="59">
      <c r="A59" s="6"/>
      <c r="B59" s="6"/>
      <c r="C59" s="4"/>
      <c r="D59" s="4">
        <v>327.22651636833797</v>
      </c>
      <c r="E59" s="4" t="s">
        <v>8044</v>
      </c>
      <c r="F59" s="4"/>
      <c r="G59" s="4"/>
      <c r="H59" s="4"/>
      <c r="I59" s="4" t="str">
        <f>IFERROR(__xludf.DUMMYFUNCTION("""COMPUTED_VALUE"""),"0xb37b7e0be3471cbc4a738d50883f1951d09be9a6")</f>
        <v>0xb37b7e0be3471cbc4a738d50883f1951d09be9a6</v>
      </c>
      <c r="J59" s="18">
        <v>626.551497690858</v>
      </c>
      <c r="K59" s="4">
        <v>10442.5249615143</v>
      </c>
      <c r="L59" s="19">
        <v>1.04425249615143E22</v>
      </c>
      <c r="M59" s="20">
        <v>1.04425249615143E21</v>
      </c>
    </row>
    <row r="60">
      <c r="A60" s="6"/>
      <c r="B60" s="6"/>
      <c r="C60" s="4"/>
      <c r="D60" s="4">
        <v>327.22651636833797</v>
      </c>
      <c r="E60" s="4" t="s">
        <v>8525</v>
      </c>
      <c r="F60" s="4"/>
      <c r="G60" s="4"/>
      <c r="H60" s="4"/>
      <c r="I60" s="4" t="str">
        <f>IFERROR(__xludf.DUMMYFUNCTION("""COMPUTED_VALUE"""),"0x3673cf19b6efb296e29d9b07666e9625ed63cfe1")</f>
        <v>0x3673cf19b6efb296e29d9b07666e9625ed63cfe1</v>
      </c>
      <c r="J60" s="18">
        <v>1317.179121111367</v>
      </c>
      <c r="K60" s="4">
        <v>21952.985351856118</v>
      </c>
      <c r="L60" s="19">
        <v>2.195298535185612E22</v>
      </c>
      <c r="M60" s="20">
        <v>2.195298535185612E21</v>
      </c>
    </row>
    <row r="61">
      <c r="A61" s="6"/>
      <c r="B61" s="6"/>
      <c r="C61" s="4"/>
      <c r="D61" s="4">
        <v>66.754209339141</v>
      </c>
      <c r="E61" s="4" t="s">
        <v>5490</v>
      </c>
      <c r="F61" s="4"/>
      <c r="G61" s="4"/>
      <c r="H61" s="4"/>
      <c r="I61" s="4" t="str">
        <f>IFERROR(__xludf.DUMMYFUNCTION("""COMPUTED_VALUE"""),"0x741b150a2d750c304401a569bad735e0cfc363d7")</f>
        <v>0x741b150a2d750c304401a569bad735e0cfc363d7</v>
      </c>
      <c r="J61" s="18">
        <v>66.754209339141</v>
      </c>
      <c r="K61" s="4">
        <v>1112.57015565235</v>
      </c>
      <c r="L61" s="19">
        <v>1.11257015565235E21</v>
      </c>
      <c r="M61" s="20">
        <v>1.11257015565235E20</v>
      </c>
    </row>
    <row r="62">
      <c r="A62" s="6"/>
      <c r="B62" s="6"/>
      <c r="C62" s="4"/>
      <c r="D62" s="4">
        <v>327.22651636833797</v>
      </c>
      <c r="E62" s="4" t="s">
        <v>3547</v>
      </c>
      <c r="F62" s="4"/>
      <c r="G62" s="4"/>
      <c r="H62" s="4"/>
      <c r="I62" s="4" t="str">
        <f>IFERROR(__xludf.DUMMYFUNCTION("""COMPUTED_VALUE"""),"0xe63e7c1055aef17d89c11e4317d5bc602d71f33f")</f>
        <v>0xe63e7c1055aef17d89c11e4317d5bc602d71f33f</v>
      </c>
      <c r="J62" s="18">
        <v>626.551497690858</v>
      </c>
      <c r="K62" s="4">
        <v>10442.5249615143</v>
      </c>
      <c r="L62" s="19">
        <v>1.04425249615143E22</v>
      </c>
      <c r="M62" s="20">
        <v>1.04425249615143E21</v>
      </c>
    </row>
    <row r="63">
      <c r="A63" s="6"/>
      <c r="B63" s="6"/>
      <c r="C63" s="4"/>
      <c r="D63" s="4">
        <v>155.198468288582</v>
      </c>
      <c r="E63" s="4" t="s">
        <v>2417</v>
      </c>
      <c r="F63" s="4"/>
      <c r="G63" s="4"/>
      <c r="H63" s="4"/>
      <c r="I63" s="4" t="str">
        <f>IFERROR(__xludf.DUMMYFUNCTION("""COMPUTED_VALUE"""),"0xd2cc14b0628beaee4c8cd680d507252afcbb418e")</f>
        <v>0xd2cc14b0628beaee4c8cd680d507252afcbb418e</v>
      </c>
      <c r="J63" s="18">
        <v>299.0820083388128</v>
      </c>
      <c r="K63" s="4">
        <v>4984.7001389802135</v>
      </c>
      <c r="L63" s="19">
        <v>4.984700138980214E21</v>
      </c>
      <c r="M63" s="20">
        <v>4.984700138980214E20</v>
      </c>
    </row>
    <row r="64">
      <c r="A64" s="6"/>
      <c r="B64" s="6"/>
      <c r="C64" s="4"/>
      <c r="D64" s="4">
        <v>327.22651636833797</v>
      </c>
      <c r="E64" s="4" t="s">
        <v>8528</v>
      </c>
      <c r="F64" s="4"/>
      <c r="G64" s="4"/>
      <c r="H64" s="4"/>
      <c r="I64" s="4" t="str">
        <f>IFERROR(__xludf.DUMMYFUNCTION("""COMPUTED_VALUE"""),"0x9c4cfd0e9863201908892ef5413eaa61e36bab02")</f>
        <v>0x9c4cfd0e9863201908892ef5413eaa61e36bab02</v>
      </c>
      <c r="J64" s="18">
        <v>728.271160156759</v>
      </c>
      <c r="K64" s="4">
        <v>12137.852669279318</v>
      </c>
      <c r="L64" s="19">
        <v>1.2137852669279318E22</v>
      </c>
      <c r="M64" s="20">
        <v>1.2137852669279318E21</v>
      </c>
    </row>
    <row r="65">
      <c r="A65" s="6"/>
      <c r="B65" s="6"/>
      <c r="C65" s="4"/>
      <c r="D65" s="4">
        <v>327.22651636833797</v>
      </c>
      <c r="E65" s="4" t="s">
        <v>6009</v>
      </c>
      <c r="F65" s="4"/>
      <c r="G65" s="4"/>
      <c r="H65" s="4"/>
      <c r="I65" s="4" t="str">
        <f>IFERROR(__xludf.DUMMYFUNCTION("""COMPUTED_VALUE"""),"0x2ae42274c4e0a45b39c3934cfcc83a66776afc0b")</f>
        <v>0x2ae42274c4e0a45b39c3934cfcc83a66776afc0b</v>
      </c>
      <c r="J65" s="18">
        <v>815.45944227039</v>
      </c>
      <c r="K65" s="4">
        <v>13590.990704506501</v>
      </c>
      <c r="L65" s="19">
        <v>1.3590990704506502E22</v>
      </c>
      <c r="M65" s="20">
        <v>1.3590990704506503E21</v>
      </c>
    </row>
    <row r="66">
      <c r="A66" s="6"/>
      <c r="B66" s="6"/>
      <c r="C66" s="4"/>
      <c r="D66" s="4">
        <v>327.22651636833797</v>
      </c>
      <c r="E66" s="4" t="s">
        <v>2459</v>
      </c>
      <c r="F66" s="4"/>
      <c r="G66" s="4"/>
      <c r="H66" s="4"/>
      <c r="I66" s="4" t="str">
        <f>IFERROR(__xludf.DUMMYFUNCTION("""COMPUTED_VALUE"""),"0x7c608b36f8a0aa5dcd610fbf188c189fd27a1fdc")</f>
        <v>0x7c608b36f8a0aa5dcd610fbf188c189fd27a1fdc</v>
      </c>
      <c r="J66" s="18">
        <v>327.22651636833797</v>
      </c>
      <c r="K66" s="4">
        <v>5453.775272805633</v>
      </c>
      <c r="L66" s="19">
        <v>5.453775272805633E21</v>
      </c>
      <c r="M66" s="20">
        <v>5.453775272805634E20</v>
      </c>
    </row>
    <row r="67">
      <c r="A67" s="6"/>
      <c r="B67" s="6"/>
      <c r="C67" s="4"/>
      <c r="D67" s="4">
        <v>327.22651636833797</v>
      </c>
      <c r="E67" s="4" t="s">
        <v>5717</v>
      </c>
      <c r="F67" s="4"/>
      <c r="G67" s="4"/>
      <c r="H67" s="4"/>
      <c r="I67" s="4" t="str">
        <f>IFERROR(__xludf.DUMMYFUNCTION("""COMPUTED_VALUE"""),"0x61f4e0111ca69a2547b56ce9e6a93d38b02175d3")</f>
        <v>0x61f4e0111ca69a2547b56ce9e6a93d38b02175d3</v>
      </c>
      <c r="J67" s="18">
        <v>675.3918560969502</v>
      </c>
      <c r="K67" s="4">
        <v>11256.530934949169</v>
      </c>
      <c r="L67" s="19">
        <v>1.1256530934949168E22</v>
      </c>
      <c r="M67" s="20">
        <v>1.1256530934949169E21</v>
      </c>
    </row>
    <row r="68">
      <c r="A68" s="6"/>
      <c r="B68" s="6"/>
      <c r="C68" s="4"/>
      <c r="D68" s="4">
        <v>327.22651636833797</v>
      </c>
      <c r="E68" s="4" t="s">
        <v>8529</v>
      </c>
      <c r="F68" s="4"/>
      <c r="G68" s="4"/>
      <c r="H68" s="4"/>
      <c r="I68" s="4" t="str">
        <f>IFERROR(__xludf.DUMMYFUNCTION("""COMPUTED_VALUE"""),"0xc765bacb8950756ad405767288266fd9671beb6d")</f>
        <v>0xc765bacb8950756ad405767288266fd9671beb6d</v>
      </c>
      <c r="J68" s="18">
        <v>626.551497690858</v>
      </c>
      <c r="K68" s="4">
        <v>10442.5249615143</v>
      </c>
      <c r="L68" s="19">
        <v>1.04425249615143E22</v>
      </c>
      <c r="M68" s="20">
        <v>1.04425249615143E21</v>
      </c>
    </row>
    <row r="69">
      <c r="A69" s="6"/>
      <c r="B69" s="6"/>
      <c r="C69" s="4"/>
      <c r="D69" s="4">
        <v>327.22651636833797</v>
      </c>
      <c r="E69" s="4" t="s">
        <v>8530</v>
      </c>
      <c r="F69" s="4"/>
      <c r="G69" s="4"/>
      <c r="H69" s="4"/>
      <c r="I69" s="4" t="str">
        <f>IFERROR(__xludf.DUMMYFUNCTION("""COMPUTED_VALUE"""),"0xe9e6867dbcbeebc874ea071dbae681040d2399c8")</f>
        <v>0xe9e6867dbcbeebc874ea071dbae681040d2399c8</v>
      </c>
      <c r="J69" s="18">
        <v>912.092197221531</v>
      </c>
      <c r="K69" s="4">
        <v>15201.536620358851</v>
      </c>
      <c r="L69" s="19">
        <v>1.5201536620358852E22</v>
      </c>
      <c r="M69" s="20">
        <v>1.5201536620358853E21</v>
      </c>
    </row>
    <row r="70">
      <c r="A70" s="6"/>
      <c r="B70" s="6"/>
      <c r="C70" s="4"/>
      <c r="D70" s="4">
        <v>327.22651636833797</v>
      </c>
      <c r="E70" s="4" t="s">
        <v>306</v>
      </c>
      <c r="F70" s="4"/>
      <c r="G70" s="4"/>
      <c r="H70" s="4"/>
      <c r="I70" s="4" t="str">
        <f>IFERROR(__xludf.DUMMYFUNCTION("""COMPUTED_VALUE"""),"0x00f9d3006853d08d6a161bfac109a02493aae8d6")</f>
        <v>0x00f9d3006853d08d6a161bfac109a02493aae8d6</v>
      </c>
      <c r="J70" s="18">
        <v>1309.526374247627</v>
      </c>
      <c r="K70" s="4">
        <v>21825.439570793784</v>
      </c>
      <c r="L70" s="19">
        <v>2.1825439570793784E22</v>
      </c>
      <c r="M70" s="20">
        <v>2.1825439570793784E21</v>
      </c>
    </row>
    <row r="71">
      <c r="A71" s="6"/>
      <c r="B71" s="6"/>
      <c r="C71" s="4"/>
      <c r="D71" s="4">
        <v>327.22651636833797</v>
      </c>
      <c r="E71" s="4" t="s">
        <v>5546</v>
      </c>
      <c r="F71" s="4"/>
      <c r="G71" s="4"/>
      <c r="H71" s="4"/>
      <c r="I71" s="4" t="str">
        <f>IFERROR(__xludf.DUMMYFUNCTION("""COMPUTED_VALUE"""),"0x29d6d6d84c9662486198667b5a9fbda3e698b23f")</f>
        <v>0x29d6d6d84c9662486198667b5a9fbda3e698b23f</v>
      </c>
      <c r="J71" s="18">
        <v>327.22651636833797</v>
      </c>
      <c r="K71" s="4">
        <v>5453.775272805633</v>
      </c>
      <c r="L71" s="19">
        <v>5.453775272805633E21</v>
      </c>
      <c r="M71" s="20">
        <v>5.453775272805634E20</v>
      </c>
    </row>
    <row r="72">
      <c r="A72" s="6"/>
      <c r="B72" s="6"/>
      <c r="C72" s="4"/>
      <c r="D72" s="4">
        <v>327.22651636833797</v>
      </c>
      <c r="E72" s="4" t="s">
        <v>131</v>
      </c>
      <c r="F72" s="4"/>
      <c r="G72" s="4"/>
      <c r="H72" s="4"/>
      <c r="I72" s="4" t="str">
        <f>IFERROR(__xludf.DUMMYFUNCTION("""COMPUTED_VALUE"""),"0x36cc35145dbea5a020ddde8c37818996c0f3480c")</f>
        <v>0x36cc35145dbea5a020ddde8c37818996c0f3480c</v>
      </c>
      <c r="J72" s="18">
        <v>874.303336399006</v>
      </c>
      <c r="K72" s="4">
        <v>14571.722273316767</v>
      </c>
      <c r="L72" s="19">
        <v>1.4571722273316768E22</v>
      </c>
      <c r="M72" s="20">
        <v>1.457172227331677E21</v>
      </c>
    </row>
    <row r="73">
      <c r="A73" s="6"/>
      <c r="B73" s="6"/>
      <c r="C73" s="4"/>
      <c r="D73" s="4">
        <v>327.22651636833797</v>
      </c>
      <c r="E73" s="4" t="s">
        <v>8531</v>
      </c>
      <c r="F73" s="4"/>
      <c r="G73" s="4"/>
      <c r="H73" s="4"/>
      <c r="I73" s="4" t="str">
        <f>IFERROR(__xludf.DUMMYFUNCTION("""COMPUTED_VALUE"""),"0xabac45a6bc6851b87ad95839af9f463124eb774e")</f>
        <v>0xabac45a6bc6851b87ad95839af9f463124eb774e</v>
      </c>
      <c r="J73" s="18">
        <v>670.3309480123288</v>
      </c>
      <c r="K73" s="4">
        <v>11172.182466872147</v>
      </c>
      <c r="L73" s="19">
        <v>1.1172182466872146E22</v>
      </c>
      <c r="M73" s="20">
        <v>1.1172182466872147E21</v>
      </c>
    </row>
    <row r="74">
      <c r="A74" s="6"/>
      <c r="B74" s="6"/>
      <c r="C74" s="4"/>
      <c r="D74" s="4">
        <v>327.22651636833797</v>
      </c>
      <c r="E74" s="4" t="s">
        <v>5113</v>
      </c>
      <c r="F74" s="4"/>
      <c r="G74" s="4"/>
      <c r="H74" s="4"/>
      <c r="I74" s="4" t="str">
        <f>IFERROR(__xludf.DUMMYFUNCTION("""COMPUTED_VALUE"""),"0xfe54d971803073f923c65cae2b1179301893eeb7")</f>
        <v>0xfe54d971803073f923c65cae2b1179301893eeb7</v>
      </c>
      <c r="J74" s="18">
        <v>670.145638747673</v>
      </c>
      <c r="K74" s="4">
        <v>11169.093979127885</v>
      </c>
      <c r="L74" s="19">
        <v>1.1169093979127885E22</v>
      </c>
      <c r="M74" s="20">
        <v>1.1169093979127885E21</v>
      </c>
    </row>
    <row r="75">
      <c r="A75" s="6"/>
      <c r="B75" s="6"/>
      <c r="C75" s="4"/>
      <c r="D75" s="4">
        <v>327.22651636833797</v>
      </c>
      <c r="E75" s="4" t="s">
        <v>2999</v>
      </c>
      <c r="F75" s="4"/>
      <c r="G75" s="4"/>
      <c r="H75" s="4"/>
      <c r="I75" s="4" t="str">
        <f>IFERROR(__xludf.DUMMYFUNCTION("""COMPUTED_VALUE"""),"0x75afa0148a5330c0d54a63a2388fb4aefb36b540")</f>
        <v>0x75afa0148a5330c0d54a63a2388fb4aefb36b540</v>
      </c>
      <c r="J75" s="18">
        <v>1417.392788382316</v>
      </c>
      <c r="K75" s="4">
        <v>23623.21313970527</v>
      </c>
      <c r="L75" s="19">
        <v>2.3623213139705268E22</v>
      </c>
      <c r="M75" s="20">
        <v>2.362321313970527E21</v>
      </c>
    </row>
    <row r="76">
      <c r="A76" s="6"/>
      <c r="B76" s="6"/>
      <c r="C76" s="4"/>
      <c r="D76" s="4">
        <v>327.22651636833797</v>
      </c>
      <c r="E76" s="4" t="s">
        <v>8532</v>
      </c>
      <c r="F76" s="4"/>
      <c r="G76" s="4"/>
      <c r="H76" s="4"/>
      <c r="I76" s="4" t="str">
        <f>IFERROR(__xludf.DUMMYFUNCTION("""COMPUTED_VALUE"""),"0xe56e90cea02c9ec4c5332ce0a0063f01aa215c67")</f>
        <v>0xe56e90cea02c9ec4c5332ce0a0063f01aa215c67</v>
      </c>
      <c r="J76" s="18">
        <v>626.551497690858</v>
      </c>
      <c r="K76" s="4">
        <v>10442.5249615143</v>
      </c>
      <c r="L76" s="19">
        <v>1.04425249615143E22</v>
      </c>
      <c r="M76" s="20">
        <v>1.04425249615143E21</v>
      </c>
    </row>
    <row r="77">
      <c r="A77" s="6"/>
      <c r="B77" s="6"/>
      <c r="C77" s="4"/>
      <c r="D77" s="4">
        <v>327.22651636833797</v>
      </c>
      <c r="E77" s="4" t="s">
        <v>3772</v>
      </c>
      <c r="F77" s="4"/>
      <c r="G77" s="4"/>
      <c r="H77" s="4"/>
      <c r="I77" s="4" t="str">
        <f>IFERROR(__xludf.DUMMYFUNCTION("""COMPUTED_VALUE"""),"0x920961a4a7a15385c4f3328e50f76f781c71d859")</f>
        <v>0x920961a4a7a15385c4f3328e50f76f781c71d859</v>
      </c>
      <c r="J77" s="18">
        <v>712.1118940910765</v>
      </c>
      <c r="K77" s="4">
        <v>11868.531568184608</v>
      </c>
      <c r="L77" s="19">
        <v>1.1868531568184608E22</v>
      </c>
      <c r="M77" s="20">
        <v>1.1868531568184609E21</v>
      </c>
    </row>
    <row r="78">
      <c r="A78" s="6"/>
      <c r="B78" s="6"/>
      <c r="C78" s="4"/>
      <c r="D78" s="4">
        <v>327.22651636833797</v>
      </c>
      <c r="E78" s="4" t="s">
        <v>7230</v>
      </c>
      <c r="F78" s="4"/>
      <c r="G78" s="4"/>
      <c r="H78" s="4"/>
      <c r="I78" s="4" t="str">
        <f>IFERROR(__xludf.DUMMYFUNCTION("""COMPUTED_VALUE"""),"0x0b402b3e1336d8e0f84d7333622e87617b254f11")</f>
        <v>0x0b402b3e1336d8e0f84d7333622e87617b254f11</v>
      </c>
      <c r="J78" s="18">
        <v>626.551497690858</v>
      </c>
      <c r="K78" s="4">
        <v>10442.5249615143</v>
      </c>
      <c r="L78" s="19">
        <v>1.04425249615143E22</v>
      </c>
      <c r="M78" s="20">
        <v>1.04425249615143E21</v>
      </c>
    </row>
    <row r="79">
      <c r="A79" s="6"/>
      <c r="B79" s="6"/>
      <c r="C79" s="4"/>
      <c r="D79" s="4">
        <v>327.22651636833797</v>
      </c>
      <c r="E79" s="4" t="s">
        <v>3136</v>
      </c>
      <c r="F79" s="4"/>
      <c r="G79" s="4"/>
      <c r="H79" s="4"/>
      <c r="I79" s="4" t="str">
        <f>IFERROR(__xludf.DUMMYFUNCTION("""COMPUTED_VALUE"""),"0x409013faa477e7d6afb3a17673c8dd6b89c515ef")</f>
        <v>0x409013faa477e7d6afb3a17673c8dd6b89c515ef</v>
      </c>
      <c r="J79" s="18">
        <v>370.82065742515294</v>
      </c>
      <c r="K79" s="4">
        <v>6180.344290419216</v>
      </c>
      <c r="L79" s="19">
        <v>6.180344290419216E21</v>
      </c>
      <c r="M79" s="20">
        <v>6.180344290419216E20</v>
      </c>
    </row>
    <row r="80">
      <c r="A80" s="6"/>
      <c r="B80" s="6"/>
      <c r="C80" s="4"/>
      <c r="D80" s="4">
        <v>327.22651636833797</v>
      </c>
      <c r="E80" s="4" t="s">
        <v>2506</v>
      </c>
      <c r="F80" s="4"/>
      <c r="G80" s="4"/>
      <c r="H80" s="4"/>
      <c r="I80" s="4" t="str">
        <f>IFERROR(__xludf.DUMMYFUNCTION("""COMPUTED_VALUE"""),"0xfd7d1b7d8644f32b57c2736c9557240dd5e05475")</f>
        <v>0xfd7d1b7d8644f32b57c2736c9557240dd5e05475</v>
      </c>
      <c r="J80" s="18">
        <v>670.5321755431833</v>
      </c>
      <c r="K80" s="4">
        <v>11175.536259053055</v>
      </c>
      <c r="L80" s="19">
        <v>1.1175536259053054E22</v>
      </c>
      <c r="M80" s="20">
        <v>1.1175536259053055E21</v>
      </c>
    </row>
    <row r="81">
      <c r="A81" s="6"/>
      <c r="B81" s="6"/>
      <c r="C81" s="4"/>
      <c r="D81" s="4">
        <v>327.22651636833797</v>
      </c>
      <c r="E81" s="4" t="s">
        <v>8533</v>
      </c>
      <c r="F81" s="4"/>
      <c r="G81" s="4"/>
      <c r="H81" s="4"/>
      <c r="I81" s="4" t="str">
        <f>IFERROR(__xludf.DUMMYFUNCTION("""COMPUTED_VALUE"""),"0xd94016e0b99581ae7d1520a72938577d802379fc")</f>
        <v>0xd94016e0b99581ae7d1520a72938577d802379fc</v>
      </c>
      <c r="J81" s="18">
        <v>626.551497690858</v>
      </c>
      <c r="K81" s="4">
        <v>10442.5249615143</v>
      </c>
      <c r="L81" s="19">
        <v>1.04425249615143E22</v>
      </c>
      <c r="M81" s="20">
        <v>1.04425249615143E21</v>
      </c>
    </row>
    <row r="82">
      <c r="A82" s="6"/>
      <c r="B82" s="6"/>
      <c r="C82" s="4"/>
      <c r="D82" s="4">
        <v>327.22651636833797</v>
      </c>
      <c r="E82" s="4" t="s">
        <v>4605</v>
      </c>
      <c r="F82" s="4"/>
      <c r="G82" s="4"/>
      <c r="H82" s="4"/>
      <c r="I82" s="4" t="str">
        <f>IFERROR(__xludf.DUMMYFUNCTION("""COMPUTED_VALUE"""),"0x5115dad03662dd8a60ba91bee2bfb83c5c5163eb")</f>
        <v>0x5115dad03662dd8a60ba91bee2bfb83c5c5163eb</v>
      </c>
      <c r="J82" s="18">
        <v>670.145638747673</v>
      </c>
      <c r="K82" s="4">
        <v>11169.093979127885</v>
      </c>
      <c r="L82" s="19">
        <v>1.1169093979127885E22</v>
      </c>
      <c r="M82" s="20">
        <v>1.1169093979127885E21</v>
      </c>
    </row>
    <row r="83">
      <c r="A83" s="6"/>
      <c r="B83" s="6"/>
      <c r="C83" s="4"/>
      <c r="D83" s="4">
        <v>327.22651636833797</v>
      </c>
      <c r="E83" s="4" t="s">
        <v>7134</v>
      </c>
      <c r="F83" s="4"/>
      <c r="G83" s="4"/>
      <c r="H83" s="4"/>
      <c r="I83" s="4" t="str">
        <f>IFERROR(__xludf.DUMMYFUNCTION("""COMPUTED_VALUE"""),"0xc13456a34305e9265e907f70f76b1ba6e2055c8b")</f>
        <v>0xc13456a34305e9265e907f70f76b1ba6e2055c8b</v>
      </c>
      <c r="J83" s="18">
        <v>665.6555086199636</v>
      </c>
      <c r="K83" s="4">
        <v>11094.258476999394</v>
      </c>
      <c r="L83" s="19">
        <v>1.1094258476999395E22</v>
      </c>
      <c r="M83" s="20">
        <v>1.1094258476999395E21</v>
      </c>
    </row>
    <row r="84">
      <c r="A84" s="6"/>
      <c r="B84" s="6"/>
      <c r="C84" s="4"/>
      <c r="D84" s="4">
        <v>327.22651636833797</v>
      </c>
      <c r="E84" s="4" t="s">
        <v>8534</v>
      </c>
      <c r="F84" s="4"/>
      <c r="G84" s="4"/>
      <c r="H84" s="4"/>
      <c r="I84" s="4" t="str">
        <f>IFERROR(__xludf.DUMMYFUNCTION("""COMPUTED_VALUE"""),"0xea392d5deee981ae21d829fbf83b90a908f8ced2")</f>
        <v>0xea392d5deee981ae21d829fbf83b90a908f8ced2</v>
      </c>
      <c r="J84" s="18">
        <v>1790.590278332518</v>
      </c>
      <c r="K84" s="4">
        <v>29843.171305541968</v>
      </c>
      <c r="L84" s="19">
        <v>2.984317130554197E22</v>
      </c>
      <c r="M84" s="20">
        <v>2.984317130554197E21</v>
      </c>
    </row>
    <row r="85">
      <c r="A85" s="6"/>
      <c r="B85" s="6"/>
      <c r="C85" s="4"/>
      <c r="D85" s="4">
        <v>327.22651636833797</v>
      </c>
      <c r="E85" s="4" t="s">
        <v>8535</v>
      </c>
      <c r="F85" s="4"/>
      <c r="G85" s="4"/>
      <c r="H85" s="4"/>
      <c r="I85" s="4" t="str">
        <f>IFERROR(__xludf.DUMMYFUNCTION("""COMPUTED_VALUE"""),"0x9b9ec109f4d01134696a9270ba382e69d383232e")</f>
        <v>0x9b9ec109f4d01134696a9270ba382e69d383232e</v>
      </c>
      <c r="J85" s="18">
        <v>626.551497690858</v>
      </c>
      <c r="K85" s="4">
        <v>10442.5249615143</v>
      </c>
      <c r="L85" s="19">
        <v>1.04425249615143E22</v>
      </c>
      <c r="M85" s="20">
        <v>1.04425249615143E21</v>
      </c>
    </row>
    <row r="86">
      <c r="A86" s="6"/>
      <c r="B86" s="6"/>
      <c r="C86" s="4"/>
      <c r="D86" s="4">
        <v>327.22651636833797</v>
      </c>
      <c r="E86" s="4" t="s">
        <v>8536</v>
      </c>
      <c r="F86" s="4"/>
      <c r="G86" s="4"/>
      <c r="H86" s="4"/>
      <c r="I86" s="4" t="str">
        <f>IFERROR(__xludf.DUMMYFUNCTION("""COMPUTED_VALUE"""),"0x81252eb6e884bfc452def81b3288e020cf9dd71f")</f>
        <v>0x81252eb6e884bfc452def81b3288e020cf9dd71f</v>
      </c>
      <c r="J86" s="18">
        <v>655.8276127845627</v>
      </c>
      <c r="K86" s="4">
        <v>10930.460213076045</v>
      </c>
      <c r="L86" s="19">
        <v>1.0930460213076044E22</v>
      </c>
      <c r="M86" s="20">
        <v>1.0930460213076044E21</v>
      </c>
    </row>
    <row r="87">
      <c r="A87" s="6"/>
      <c r="B87" s="6"/>
      <c r="C87" s="4"/>
      <c r="D87" s="4">
        <v>327.22651636833797</v>
      </c>
      <c r="E87" s="4" t="s">
        <v>6569</v>
      </c>
      <c r="F87" s="4"/>
      <c r="G87" s="4"/>
      <c r="H87" s="4"/>
      <c r="I87" s="4" t="str">
        <f>IFERROR(__xludf.DUMMYFUNCTION("""COMPUTED_VALUE"""),"0x23271e551fe63b3c911b3c060ac62fdec232ba0e")</f>
        <v>0x23271e551fe63b3c911b3c060ac62fdec232ba0e</v>
      </c>
      <c r="J87" s="18">
        <v>626.551497690858</v>
      </c>
      <c r="K87" s="4">
        <v>10442.5249615143</v>
      </c>
      <c r="L87" s="19">
        <v>1.04425249615143E22</v>
      </c>
      <c r="M87" s="20">
        <v>1.04425249615143E21</v>
      </c>
    </row>
    <row r="88">
      <c r="A88" s="6"/>
      <c r="B88" s="6"/>
      <c r="C88" s="4"/>
      <c r="D88" s="4">
        <v>327.22651636833797</v>
      </c>
      <c r="E88" s="4" t="s">
        <v>3790</v>
      </c>
      <c r="F88" s="4"/>
      <c r="G88" s="4"/>
      <c r="H88" s="4"/>
      <c r="I88" s="4" t="str">
        <f>IFERROR(__xludf.DUMMYFUNCTION("""COMPUTED_VALUE"""),"0xdee8ecfd1b19abef66cd2c57e9b26a18e2ddf8f8")</f>
        <v>0xdee8ecfd1b19abef66cd2c57e9b26a18e2ddf8f8</v>
      </c>
      <c r="J88" s="18">
        <v>670.145638747673</v>
      </c>
      <c r="K88" s="4">
        <v>11169.093979127885</v>
      </c>
      <c r="L88" s="19">
        <v>1.1169093979127885E22</v>
      </c>
      <c r="M88" s="20">
        <v>1.1169093979127885E21</v>
      </c>
    </row>
    <row r="89">
      <c r="A89" s="6"/>
      <c r="B89" s="6"/>
      <c r="C89" s="4"/>
      <c r="D89" s="4">
        <v>327.22651636833797</v>
      </c>
      <c r="E89" s="4" t="s">
        <v>8537</v>
      </c>
      <c r="F89" s="4"/>
      <c r="G89" s="4"/>
      <c r="H89" s="4"/>
      <c r="I89" s="4" t="str">
        <f>IFERROR(__xludf.DUMMYFUNCTION("""COMPUTED_VALUE"""),"0x7f1e7f6253dd2c64b6818fb2376f0e38e46f9ccd")</f>
        <v>0x7f1e7f6253dd2c64b6818fb2376f0e38e46f9ccd</v>
      </c>
      <c r="J89" s="18">
        <v>626.551497690858</v>
      </c>
      <c r="K89" s="4">
        <v>10442.5249615143</v>
      </c>
      <c r="L89" s="19">
        <v>1.04425249615143E22</v>
      </c>
      <c r="M89" s="20">
        <v>1.04425249615143E21</v>
      </c>
    </row>
    <row r="90">
      <c r="A90" s="6"/>
      <c r="B90" s="6"/>
      <c r="C90" s="4"/>
      <c r="D90" s="4">
        <v>327.22651636833797</v>
      </c>
      <c r="E90" s="4" t="s">
        <v>8538</v>
      </c>
      <c r="F90" s="4"/>
      <c r="G90" s="4"/>
      <c r="H90" s="4"/>
      <c r="I90" s="4" t="str">
        <f>IFERROR(__xludf.DUMMYFUNCTION("""COMPUTED_VALUE"""),"0xcc2f8c281c9e5b7ff57ae9aa53d2fca1bc1cda92")</f>
        <v>0xcc2f8c281c9e5b7ff57ae9aa53d2fca1bc1cda92</v>
      </c>
      <c r="J90" s="18">
        <v>626.551497690858</v>
      </c>
      <c r="K90" s="4">
        <v>10442.5249615143</v>
      </c>
      <c r="L90" s="19">
        <v>1.04425249615143E22</v>
      </c>
      <c r="M90" s="20">
        <v>1.04425249615143E21</v>
      </c>
    </row>
    <row r="91">
      <c r="A91" s="6"/>
      <c r="B91" s="6"/>
      <c r="C91" s="4"/>
      <c r="D91" s="4">
        <v>327.22651636833797</v>
      </c>
      <c r="E91" s="4" t="s">
        <v>8539</v>
      </c>
      <c r="F91" s="4"/>
      <c r="G91" s="4"/>
      <c r="H91" s="4"/>
      <c r="I91" s="4" t="str">
        <f>IFERROR(__xludf.DUMMYFUNCTION("""COMPUTED_VALUE"""),"0xaec7a2d62b1beb5ba9d036734d223bb0b6092945")</f>
        <v>0xaec7a2d62b1beb5ba9d036734d223bb0b6092945</v>
      </c>
      <c r="J91" s="18">
        <v>626.551497690858</v>
      </c>
      <c r="K91" s="4">
        <v>10442.5249615143</v>
      </c>
      <c r="L91" s="19">
        <v>1.04425249615143E22</v>
      </c>
      <c r="M91" s="20">
        <v>1.04425249615143E21</v>
      </c>
    </row>
    <row r="92">
      <c r="A92" s="6"/>
      <c r="B92" s="6"/>
      <c r="C92" s="4"/>
      <c r="D92" s="4">
        <v>327.22651636833797</v>
      </c>
      <c r="E92" s="4" t="s">
        <v>8540</v>
      </c>
      <c r="F92" s="4"/>
      <c r="G92" s="4"/>
      <c r="H92" s="4"/>
      <c r="I92" s="4" t="str">
        <f>IFERROR(__xludf.DUMMYFUNCTION("""COMPUTED_VALUE"""),"0xcfee964deb29207b71cbbb933cec00a5d183334f")</f>
        <v>0xcfee964deb29207b71cbbb933cec00a5d183334f</v>
      </c>
      <c r="J92" s="18">
        <v>626.551497690858</v>
      </c>
      <c r="K92" s="4">
        <v>10442.5249615143</v>
      </c>
      <c r="L92" s="19">
        <v>1.04425249615143E22</v>
      </c>
      <c r="M92" s="20">
        <v>1.04425249615143E21</v>
      </c>
    </row>
    <row r="93">
      <c r="A93" s="6"/>
      <c r="B93" s="6"/>
      <c r="C93" s="4"/>
      <c r="D93" s="4">
        <v>321.767133427582</v>
      </c>
      <c r="E93" s="4" t="s">
        <v>1621</v>
      </c>
      <c r="F93" s="4"/>
      <c r="G93" s="4"/>
      <c r="H93" s="4"/>
      <c r="I93" s="4" t="str">
        <f>IFERROR(__xludf.DUMMYFUNCTION("""COMPUTED_VALUE"""),"0x1d8217cb1779a0cefe820d4087fbaa5d44a7c355")</f>
        <v>0x1d8217cb1779a0cefe820d4087fbaa5d44a7c355</v>
      </c>
      <c r="J93" s="18">
        <v>858.790973728919</v>
      </c>
      <c r="K93" s="4">
        <v>14313.182895481983</v>
      </c>
      <c r="L93" s="19">
        <v>1.4313182895481983E22</v>
      </c>
      <c r="M93" s="20">
        <v>1.4313182895481983E21</v>
      </c>
    </row>
    <row r="94">
      <c r="A94" s="6"/>
      <c r="B94" s="6"/>
      <c r="C94" s="4"/>
      <c r="D94" s="4">
        <v>327.22651636833797</v>
      </c>
      <c r="E94" s="4" t="s">
        <v>3167</v>
      </c>
      <c r="F94" s="4"/>
      <c r="G94" s="4"/>
      <c r="H94" s="4"/>
      <c r="I94" s="4" t="str">
        <f>IFERROR(__xludf.DUMMYFUNCTION("""COMPUTED_VALUE"""),"0x2967ca89c96792e938d8475d81fc66c8180490e0")</f>
        <v>0x2967ca89c96792e938d8475d81fc66c8180490e0</v>
      </c>
      <c r="J94" s="18">
        <v>670.145638747673</v>
      </c>
      <c r="K94" s="4">
        <v>11169.093979127885</v>
      </c>
      <c r="L94" s="19">
        <v>1.1169093979127885E22</v>
      </c>
      <c r="M94" s="20">
        <v>1.1169093979127885E21</v>
      </c>
    </row>
    <row r="95">
      <c r="A95" s="6"/>
      <c r="B95" s="6"/>
      <c r="C95" s="4"/>
      <c r="D95" s="4">
        <v>327.22651636833797</v>
      </c>
      <c r="E95" s="4" t="s">
        <v>872</v>
      </c>
      <c r="F95" s="4"/>
      <c r="G95" s="4"/>
      <c r="H95" s="4"/>
      <c r="I95" s="4" t="str">
        <f>IFERROR(__xludf.DUMMYFUNCTION("""COMPUTED_VALUE"""),"0x47e9e678452882dd94d2e01b372f2e119dc68fc1")</f>
        <v>0x47e9e678452882dd94d2e01b372f2e119dc68fc1</v>
      </c>
      <c r="J95" s="18">
        <v>813.2751413156441</v>
      </c>
      <c r="K95" s="4">
        <v>13554.585688594068</v>
      </c>
      <c r="L95" s="19">
        <v>1.3554585688594069E22</v>
      </c>
      <c r="M95" s="20">
        <v>1.3554585688594068E21</v>
      </c>
    </row>
    <row r="96">
      <c r="A96" s="6"/>
      <c r="B96" s="6"/>
      <c r="C96" s="4"/>
      <c r="D96" s="4">
        <v>327.22651636833797</v>
      </c>
      <c r="E96" s="4" t="s">
        <v>5900</v>
      </c>
      <c r="F96" s="4"/>
      <c r="G96" s="4"/>
      <c r="H96" s="4"/>
      <c r="I96" s="4" t="str">
        <f>IFERROR(__xludf.DUMMYFUNCTION("""COMPUTED_VALUE"""),"0xca618709bb757c9c440a64c4f337b7a9970a058b")</f>
        <v>0xca618709bb757c9c440a64c4f337b7a9970a058b</v>
      </c>
      <c r="J96" s="18">
        <v>626.551497690858</v>
      </c>
      <c r="K96" s="4">
        <v>10442.5249615143</v>
      </c>
      <c r="L96" s="19">
        <v>1.04425249615143E22</v>
      </c>
      <c r="M96" s="20">
        <v>1.04425249615143E21</v>
      </c>
    </row>
    <row r="97">
      <c r="A97" s="6"/>
      <c r="B97" s="6"/>
      <c r="C97" s="4"/>
      <c r="D97" s="4">
        <v>327.22651636833797</v>
      </c>
      <c r="E97" s="4" t="s">
        <v>1121</v>
      </c>
      <c r="F97" s="4"/>
      <c r="G97" s="4"/>
      <c r="H97" s="4"/>
      <c r="I97" s="4" t="str">
        <f>IFERROR(__xludf.DUMMYFUNCTION("""COMPUTED_VALUE"""),"0x337b9a57187d7c80a7ba8f773512403a0edcc14b")</f>
        <v>0x337b9a57187d7c80a7ba8f773512403a0edcc14b</v>
      </c>
      <c r="J97" s="18">
        <v>1356.565905585966</v>
      </c>
      <c r="K97" s="4">
        <v>22609.4317597661</v>
      </c>
      <c r="L97" s="19">
        <v>2.26094317597661E22</v>
      </c>
      <c r="M97" s="20">
        <v>2.26094317597661E21</v>
      </c>
    </row>
    <row r="98">
      <c r="A98" s="6"/>
      <c r="B98" s="6"/>
      <c r="C98" s="4"/>
      <c r="D98" s="4">
        <v>182.916168855419</v>
      </c>
      <c r="E98" s="4" t="s">
        <v>8542</v>
      </c>
      <c r="F98" s="4"/>
      <c r="G98" s="4"/>
      <c r="H98" s="4"/>
      <c r="I98" s="4" t="str">
        <f>IFERROR(__xludf.DUMMYFUNCTION("""COMPUTED_VALUE"""),"0xeb387c396e490279602193c44dc01b7654604de3")</f>
        <v>0xeb387c396e490279602193c44dc01b7654604de3</v>
      </c>
      <c r="J98" s="18">
        <v>349.710812208429</v>
      </c>
      <c r="K98" s="4">
        <v>5828.51353680715</v>
      </c>
      <c r="L98" s="19">
        <v>5.82851353680715E21</v>
      </c>
      <c r="M98" s="20">
        <v>5.82851353680715E20</v>
      </c>
    </row>
    <row r="99">
      <c r="A99" s="6"/>
      <c r="B99" s="6"/>
      <c r="C99" s="4"/>
      <c r="D99" s="4">
        <v>327.22651636833797</v>
      </c>
      <c r="E99" s="4" t="s">
        <v>5815</v>
      </c>
      <c r="F99" s="4"/>
      <c r="G99" s="4"/>
      <c r="H99" s="4"/>
      <c r="I99" s="4" t="str">
        <f>IFERROR(__xludf.DUMMYFUNCTION("""COMPUTED_VALUE"""),"0x1053f4b74a78342ed5708dc96482f37bcab5a8b2")</f>
        <v>0x1053f4b74a78342ed5708dc96482f37bcab5a8b2</v>
      </c>
      <c r="J99" s="18">
        <v>626.551497690858</v>
      </c>
      <c r="K99" s="4">
        <v>10442.5249615143</v>
      </c>
      <c r="L99" s="19">
        <v>1.04425249615143E22</v>
      </c>
      <c r="M99" s="20">
        <v>1.04425249615143E21</v>
      </c>
    </row>
    <row r="100">
      <c r="A100" s="6"/>
      <c r="B100" s="6"/>
      <c r="C100" s="4"/>
      <c r="D100" s="4">
        <v>327.22651636833797</v>
      </c>
      <c r="E100" s="4" t="s">
        <v>7813</v>
      </c>
      <c r="F100" s="4"/>
      <c r="G100" s="4"/>
      <c r="H100" s="4"/>
      <c r="I100" s="4" t="str">
        <f>IFERROR(__xludf.DUMMYFUNCTION("""COMPUTED_VALUE"""),"0x9c1ed1428a5f6375d3505d5e46680d5a1afacb73")</f>
        <v>0x9c1ed1428a5f6375d3505d5e46680d5a1afacb73</v>
      </c>
      <c r="J100" s="18">
        <v>626.551497690858</v>
      </c>
      <c r="K100" s="4">
        <v>10442.5249615143</v>
      </c>
      <c r="L100" s="19">
        <v>1.04425249615143E22</v>
      </c>
      <c r="M100" s="20">
        <v>1.04425249615143E21</v>
      </c>
    </row>
    <row r="101">
      <c r="A101" s="6"/>
      <c r="B101" s="6"/>
      <c r="C101" s="4"/>
      <c r="D101" s="4">
        <v>112.37507909624</v>
      </c>
      <c r="E101" s="4" t="s">
        <v>4364</v>
      </c>
      <c r="F101" s="4"/>
      <c r="G101" s="4"/>
      <c r="H101" s="4"/>
      <c r="I101" s="4" t="str">
        <f>IFERROR(__xludf.DUMMYFUNCTION("""COMPUTED_VALUE"""),"0x1d41cb6b809d25bc3ddd7f51635facfa4a8a3a98")</f>
        <v>0x1d41cb6b809d25bc3ddd7f51635facfa4a8a3a98</v>
      </c>
      <c r="J101" s="18">
        <v>411.70006041876</v>
      </c>
      <c r="K101" s="4">
        <v>6861.667673646</v>
      </c>
      <c r="L101" s="19">
        <v>6.861667673646E21</v>
      </c>
      <c r="M101" s="20">
        <v>6.861667673646001E20</v>
      </c>
    </row>
    <row r="102">
      <c r="A102" s="6"/>
      <c r="B102" s="6"/>
      <c r="C102" s="4"/>
      <c r="D102" s="4">
        <v>230.121408269154</v>
      </c>
      <c r="E102" s="4" t="s">
        <v>8545</v>
      </c>
      <c r="F102" s="4"/>
      <c r="G102" s="4"/>
      <c r="H102" s="4"/>
      <c r="I102" s="4" t="str">
        <f>IFERROR(__xludf.DUMMYFUNCTION("""COMPUTED_VALUE"""),"0x18dd27942fa67e6a997f71547655e80e7dfac29f")</f>
        <v>0x18dd27942fa67e6a997f71547655e80e7dfac29f</v>
      </c>
      <c r="J102" s="18">
        <v>440.606932770847</v>
      </c>
      <c r="K102" s="4">
        <v>7343.448879514117</v>
      </c>
      <c r="L102" s="19">
        <v>7.343448879514117E21</v>
      </c>
      <c r="M102" s="20">
        <v>7.343448879514118E20</v>
      </c>
    </row>
    <row r="103">
      <c r="A103" s="6"/>
      <c r="B103" s="6"/>
      <c r="C103" s="4"/>
      <c r="D103" s="4">
        <v>327.22651636833797</v>
      </c>
      <c r="E103" s="4" t="s">
        <v>2733</v>
      </c>
      <c r="F103" s="4"/>
      <c r="G103" s="4"/>
      <c r="H103" s="4"/>
      <c r="I103" s="4" t="str">
        <f>IFERROR(__xludf.DUMMYFUNCTION("""COMPUTED_VALUE"""),"0x6bdf72fe7e389e89dc1b53a8352a90c8244b1d6a")</f>
        <v>0x6bdf72fe7e389e89dc1b53a8352a90c8244b1d6a</v>
      </c>
      <c r="J103" s="18">
        <v>626.551497690858</v>
      </c>
      <c r="K103" s="4">
        <v>10442.5249615143</v>
      </c>
      <c r="L103" s="19">
        <v>1.04425249615143E22</v>
      </c>
      <c r="M103" s="20">
        <v>1.04425249615143E21</v>
      </c>
    </row>
    <row r="104">
      <c r="A104" s="6"/>
      <c r="B104" s="6"/>
      <c r="C104" s="4"/>
      <c r="D104" s="4">
        <v>17.0700012441811</v>
      </c>
      <c r="E104" s="4" t="s">
        <v>8547</v>
      </c>
      <c r="F104" s="4"/>
      <c r="G104" s="4"/>
      <c r="H104" s="4"/>
      <c r="I104" s="4" t="str">
        <f>IFERROR(__xludf.DUMMYFUNCTION("""COMPUTED_VALUE"""),"0xc6f1d794d9a07267d1adfbff69caabba4bb11f51")</f>
        <v>0xc6f1d794d9a07267d1adfbff69caabba4bb11f51</v>
      </c>
      <c r="J104" s="18">
        <v>559.0557319868306</v>
      </c>
      <c r="K104" s="4">
        <v>9317.595533113843</v>
      </c>
      <c r="L104" s="19">
        <v>9.317595533113843E21</v>
      </c>
      <c r="M104" s="20">
        <v>9.317595533113844E20</v>
      </c>
    </row>
    <row r="105">
      <c r="A105" s="6"/>
      <c r="B105" s="6"/>
      <c r="C105" s="4"/>
      <c r="D105" s="4">
        <v>327.22651636833797</v>
      </c>
      <c r="E105" s="4" t="s">
        <v>8549</v>
      </c>
      <c r="F105" s="4"/>
      <c r="G105" s="4"/>
      <c r="H105" s="4"/>
      <c r="I105" s="4" t="str">
        <f>IFERROR(__xludf.DUMMYFUNCTION("""COMPUTED_VALUE"""),"0x0d8fbfce9018950e97ea5b10f4dce118f02fda81")</f>
        <v>0x0d8fbfce9018950e97ea5b10f4dce118f02fda81</v>
      </c>
      <c r="J105" s="18">
        <v>626.551497690858</v>
      </c>
      <c r="K105" s="4">
        <v>10442.5249615143</v>
      </c>
      <c r="L105" s="19">
        <v>1.04425249615143E22</v>
      </c>
      <c r="M105" s="20">
        <v>1.04425249615143E21</v>
      </c>
    </row>
    <row r="106">
      <c r="A106" s="6"/>
      <c r="B106" s="6"/>
      <c r="C106" s="4"/>
      <c r="D106" s="4">
        <v>304.379768633302</v>
      </c>
      <c r="E106" s="4" t="s">
        <v>8550</v>
      </c>
      <c r="F106" s="4"/>
      <c r="G106" s="4"/>
      <c r="H106" s="4"/>
      <c r="I106" s="4" t="str">
        <f>IFERROR(__xludf.DUMMYFUNCTION("""COMPUTED_VALUE"""),"0x21ad10875ff83045063fecef764eb2664947dc14")</f>
        <v>0x21ad10875ff83045063fecef764eb2664947dc14</v>
      </c>
      <c r="J106" s="18">
        <v>582.094246165335</v>
      </c>
      <c r="K106" s="4">
        <v>9701.570769422251</v>
      </c>
      <c r="L106" s="19">
        <v>9.70157076942225E21</v>
      </c>
      <c r="M106" s="20">
        <v>9.701570769422251E20</v>
      </c>
    </row>
    <row r="107">
      <c r="A107" s="6"/>
      <c r="B107" s="6"/>
      <c r="C107" s="4"/>
      <c r="D107" s="4">
        <v>327.22651636833797</v>
      </c>
      <c r="E107" s="4" t="s">
        <v>3412</v>
      </c>
      <c r="F107" s="4"/>
      <c r="G107" s="4"/>
      <c r="H107" s="4"/>
      <c r="I107" s="4" t="str">
        <f>IFERROR(__xludf.DUMMYFUNCTION("""COMPUTED_VALUE"""),"0xa36e72b78d1ea07872dbf13112061decd4825999")</f>
        <v>0xa36e72b78d1ea07872dbf13112061decd4825999</v>
      </c>
      <c r="J107" s="18">
        <v>633.8171878669939</v>
      </c>
      <c r="K107" s="4">
        <v>10563.619797783233</v>
      </c>
      <c r="L107" s="19">
        <v>1.0563619797783233E22</v>
      </c>
      <c r="M107" s="20">
        <v>1.0563619797783234E21</v>
      </c>
    </row>
    <row r="108">
      <c r="A108" s="6"/>
      <c r="B108" s="6"/>
      <c r="C108" s="4"/>
      <c r="D108" s="4">
        <v>327.22651636833797</v>
      </c>
      <c r="E108" s="4" t="s">
        <v>8552</v>
      </c>
      <c r="F108" s="4"/>
      <c r="G108" s="4"/>
      <c r="H108" s="4"/>
      <c r="I108" s="4" t="str">
        <f>IFERROR(__xludf.DUMMYFUNCTION("""COMPUTED_VALUE"""),"0x3b865a84b35402b0f7fbaf9c06e6acdf9d08b134")</f>
        <v>0x3b865a84b35402b0f7fbaf9c06e6acdf9d08b134</v>
      </c>
      <c r="J108" s="18">
        <v>655.8485666380334</v>
      </c>
      <c r="K108" s="4">
        <v>10930.809443967224</v>
      </c>
      <c r="L108" s="19">
        <v>1.0930809443967224E22</v>
      </c>
      <c r="M108" s="20">
        <v>1.0930809443967225E21</v>
      </c>
    </row>
    <row r="109">
      <c r="A109" s="6"/>
      <c r="B109" s="6"/>
      <c r="C109" s="4"/>
      <c r="D109" s="4">
        <v>327.22651636833797</v>
      </c>
      <c r="E109" s="4" t="s">
        <v>4129</v>
      </c>
      <c r="F109" s="4"/>
      <c r="G109" s="4"/>
      <c r="H109" s="4"/>
      <c r="I109" s="4" t="str">
        <f>IFERROR(__xludf.DUMMYFUNCTION("""COMPUTED_VALUE"""),"0x7df67073c591dfe102295a8492dde45f9b0a112f")</f>
        <v>0x7df67073c591dfe102295a8492dde45f9b0a112f</v>
      </c>
      <c r="J109" s="18">
        <v>327.22651636833797</v>
      </c>
      <c r="K109" s="4">
        <v>5453.775272805633</v>
      </c>
      <c r="L109" s="19">
        <v>5.453775272805633E21</v>
      </c>
      <c r="M109" s="20">
        <v>5.453775272805634E20</v>
      </c>
    </row>
    <row r="110">
      <c r="A110" s="6"/>
      <c r="B110" s="6"/>
      <c r="C110" s="4"/>
      <c r="D110" s="4">
        <v>327.22651636833797</v>
      </c>
      <c r="E110" s="4" t="s">
        <v>3261</v>
      </c>
      <c r="F110" s="4"/>
      <c r="G110" s="4"/>
      <c r="H110" s="4"/>
      <c r="I110" s="4" t="str">
        <f>IFERROR(__xludf.DUMMYFUNCTION("""COMPUTED_VALUE"""),"0x0b2677f1db50a327a72e8dc7c748886ecd90870f")</f>
        <v>0x0b2677f1db50a327a72e8dc7c748886ecd90870f</v>
      </c>
      <c r="J110" s="18">
        <v>786.491306751364</v>
      </c>
      <c r="K110" s="4">
        <v>13108.188445856067</v>
      </c>
      <c r="L110" s="19">
        <v>1.3108188445856068E22</v>
      </c>
      <c r="M110" s="20">
        <v>1.3108188445856068E21</v>
      </c>
    </row>
    <row r="111">
      <c r="A111" s="6"/>
      <c r="B111" s="6"/>
      <c r="C111" s="4"/>
      <c r="D111" s="4">
        <v>327.22651636833797</v>
      </c>
      <c r="E111" s="4" t="s">
        <v>8553</v>
      </c>
      <c r="F111" s="4"/>
      <c r="G111" s="4"/>
      <c r="H111" s="4"/>
      <c r="I111" s="4" t="str">
        <f>IFERROR(__xludf.DUMMYFUNCTION("""COMPUTED_VALUE"""),"0xf39bb57db4cf1e34993bd45f69161349b9d79376")</f>
        <v>0xf39bb57db4cf1e34993bd45f69161349b9d79376</v>
      </c>
      <c r="J111" s="18">
        <v>626.551497690858</v>
      </c>
      <c r="K111" s="4">
        <v>10442.5249615143</v>
      </c>
      <c r="L111" s="19">
        <v>1.04425249615143E22</v>
      </c>
      <c r="M111" s="20">
        <v>1.04425249615143E21</v>
      </c>
    </row>
    <row r="112">
      <c r="A112" s="6"/>
      <c r="B112" s="6"/>
      <c r="C112" s="4"/>
      <c r="D112" s="4">
        <v>327.22651636833797</v>
      </c>
      <c r="E112" s="4" t="s">
        <v>7111</v>
      </c>
      <c r="F112" s="4"/>
      <c r="G112" s="4"/>
      <c r="H112" s="4"/>
      <c r="I112" s="4" t="str">
        <f>IFERROR(__xludf.DUMMYFUNCTION("""COMPUTED_VALUE"""),"0x99c8f397a63969b65e60a2964fa93421cce5a35f")</f>
        <v>0x99c8f397a63969b65e60a2964fa93421cce5a35f</v>
      </c>
      <c r="J112" s="18">
        <v>626.551497690858</v>
      </c>
      <c r="K112" s="4">
        <v>10442.5249615143</v>
      </c>
      <c r="L112" s="19">
        <v>1.04425249615143E22</v>
      </c>
      <c r="M112" s="20">
        <v>1.04425249615143E21</v>
      </c>
    </row>
    <row r="113">
      <c r="A113" s="6"/>
      <c r="B113" s="6"/>
      <c r="C113" s="4"/>
      <c r="D113" s="4">
        <v>77.82260749046479</v>
      </c>
      <c r="E113" s="4" t="s">
        <v>1661</v>
      </c>
      <c r="F113" s="4"/>
      <c r="G113" s="4"/>
      <c r="H113" s="4"/>
      <c r="I113" s="4" t="str">
        <f>IFERROR(__xludf.DUMMYFUNCTION("""COMPUTED_VALUE"""),"0x620462ab7a62eac171eb3e56c88d35a2a2e86958")</f>
        <v>0x620462ab7a62eac171eb3e56c88d35a2a2e86958</v>
      </c>
      <c r="J113" s="18">
        <v>148.92897298920587</v>
      </c>
      <c r="K113" s="4">
        <v>2482.149549820098</v>
      </c>
      <c r="L113" s="19">
        <v>2.482149549820098E21</v>
      </c>
      <c r="M113" s="20">
        <v>2.482149549820098E20</v>
      </c>
    </row>
    <row r="114">
      <c r="A114" s="6"/>
      <c r="B114" s="6"/>
      <c r="C114" s="4"/>
      <c r="D114" s="4">
        <v>327.22651636833797</v>
      </c>
      <c r="E114" s="4" t="s">
        <v>8555</v>
      </c>
      <c r="F114" s="4"/>
      <c r="G114" s="4"/>
      <c r="H114" s="4"/>
      <c r="I114" s="4" t="str">
        <f>IFERROR(__xludf.DUMMYFUNCTION("""COMPUTED_VALUE"""),"0xde400329505f7887ac2aa48bd581a8623374ddd9")</f>
        <v>0xde400329505f7887ac2aa48bd581a8623374ddd9</v>
      </c>
      <c r="J114" s="18">
        <v>327.22651636833797</v>
      </c>
      <c r="K114" s="4">
        <v>5453.775272805633</v>
      </c>
      <c r="L114" s="19">
        <v>5.453775272805633E21</v>
      </c>
      <c r="M114" s="20">
        <v>5.453775272805634E20</v>
      </c>
    </row>
    <row r="115">
      <c r="A115" s="6"/>
      <c r="B115" s="6"/>
      <c r="C115" s="4"/>
      <c r="D115" s="4">
        <v>327.22651636833797</v>
      </c>
      <c r="E115" s="4" t="s">
        <v>507</v>
      </c>
      <c r="F115" s="4"/>
      <c r="G115" s="4"/>
      <c r="H115" s="4"/>
      <c r="I115" s="4" t="str">
        <f>IFERROR(__xludf.DUMMYFUNCTION("""COMPUTED_VALUE"""),"0x4f262395cdead58c12f97daaf1b44b1d0215d1c5")</f>
        <v>0x4f262395cdead58c12f97daaf1b44b1d0215d1c5</v>
      </c>
      <c r="J115" s="18">
        <v>626.551497690858</v>
      </c>
      <c r="K115" s="4">
        <v>10442.5249615143</v>
      </c>
      <c r="L115" s="19">
        <v>1.04425249615143E22</v>
      </c>
      <c r="M115" s="20">
        <v>1.04425249615143E21</v>
      </c>
    </row>
    <row r="116">
      <c r="A116" s="6"/>
      <c r="B116" s="6"/>
      <c r="C116" s="4"/>
      <c r="D116" s="4">
        <v>327.22651636833797</v>
      </c>
      <c r="E116" s="4" t="s">
        <v>8556</v>
      </c>
      <c r="F116" s="4"/>
      <c r="G116" s="4"/>
      <c r="H116" s="4"/>
      <c r="I116" s="4" t="str">
        <f>IFERROR(__xludf.DUMMYFUNCTION("""COMPUTED_VALUE"""),"0xa6ed26749cb54591291b4550a82f15ff64ae98d9")</f>
        <v>0xa6ed26749cb54591291b4550a82f15ff64ae98d9</v>
      </c>
      <c r="J116" s="18">
        <v>727.544591139146</v>
      </c>
      <c r="K116" s="4">
        <v>12125.743185652433</v>
      </c>
      <c r="L116" s="19">
        <v>1.2125743185652433E22</v>
      </c>
      <c r="M116" s="20">
        <v>1.2125743185652432E21</v>
      </c>
    </row>
    <row r="117">
      <c r="A117" s="6"/>
      <c r="B117" s="6"/>
      <c r="C117" s="4"/>
      <c r="D117" s="4">
        <v>327.22651636833797</v>
      </c>
      <c r="E117" s="4" t="s">
        <v>8557</v>
      </c>
      <c r="F117" s="4"/>
      <c r="G117" s="4"/>
      <c r="H117" s="4"/>
      <c r="I117" s="4" t="str">
        <f>IFERROR(__xludf.DUMMYFUNCTION("""COMPUTED_VALUE"""),"0xf04a9bb6a074b004b9996cee64b0c5c7d815f32d")</f>
        <v>0xf04a9bb6a074b004b9996cee64b0c5c7d815f32d</v>
      </c>
      <c r="J117" s="18">
        <v>327.22651636833797</v>
      </c>
      <c r="K117" s="4">
        <v>5453.775272805633</v>
      </c>
      <c r="L117" s="19">
        <v>5.453775272805633E21</v>
      </c>
      <c r="M117" s="20">
        <v>5.453775272805634E20</v>
      </c>
    </row>
    <row r="118">
      <c r="A118" s="6"/>
      <c r="B118" s="6"/>
      <c r="C118" s="4"/>
      <c r="D118" s="4">
        <v>271.409402211025</v>
      </c>
      <c r="E118" s="4" t="s">
        <v>8558</v>
      </c>
      <c r="F118" s="4"/>
      <c r="G118" s="4"/>
      <c r="H118" s="4"/>
      <c r="I118" s="4" t="str">
        <f>IFERROR(__xludf.DUMMYFUNCTION("""COMPUTED_VALUE"""),"0x74a0bacb5a64344648d481eec534444898ec2d34")</f>
        <v>0x74a0bacb5a64344648d481eec534444898ec2d34</v>
      </c>
      <c r="J118" s="18">
        <v>519.093538798527</v>
      </c>
      <c r="K118" s="4">
        <v>8651.55897997545</v>
      </c>
      <c r="L118" s="19">
        <v>8.65155897997545E21</v>
      </c>
      <c r="M118" s="20">
        <v>8.65155897997545E20</v>
      </c>
    </row>
    <row r="119">
      <c r="A119" s="6"/>
      <c r="B119" s="6"/>
      <c r="C119" s="4"/>
      <c r="D119" s="4">
        <v>327.22651636833797</v>
      </c>
      <c r="E119" s="4" t="s">
        <v>4445</v>
      </c>
      <c r="F119" s="4"/>
      <c r="G119" s="4"/>
      <c r="H119" s="4"/>
      <c r="I119" s="4" t="str">
        <f>IFERROR(__xludf.DUMMYFUNCTION("""COMPUTED_VALUE"""),"0xc9a3592a5f37cd53206231491d03ecf33d70ec30")</f>
        <v>0xc9a3592a5f37cd53206231491d03ecf33d70ec30</v>
      </c>
      <c r="J119" s="18">
        <v>670.145638747673</v>
      </c>
      <c r="K119" s="4">
        <v>11169.093979127885</v>
      </c>
      <c r="L119" s="19">
        <v>1.1169093979127885E22</v>
      </c>
      <c r="M119" s="20">
        <v>1.1169093979127885E21</v>
      </c>
    </row>
    <row r="120">
      <c r="A120" s="6"/>
      <c r="B120" s="6"/>
      <c r="C120" s="4"/>
      <c r="D120" s="4">
        <v>327.22651636833797</v>
      </c>
      <c r="E120" s="4" t="s">
        <v>7332</v>
      </c>
      <c r="F120" s="4"/>
      <c r="G120" s="4"/>
      <c r="H120" s="4"/>
      <c r="I120" s="4" t="str">
        <f>IFERROR(__xludf.DUMMYFUNCTION("""COMPUTED_VALUE"""),"0x3cdc97725ab4aa56f0f25dd26c9e07a40d58556c")</f>
        <v>0x3cdc97725ab4aa56f0f25dd26c9e07a40d58556c</v>
      </c>
      <c r="J120" s="18">
        <v>670.145638747673</v>
      </c>
      <c r="K120" s="4">
        <v>11169.093979127885</v>
      </c>
      <c r="L120" s="19">
        <v>1.1169093979127885E22</v>
      </c>
      <c r="M120" s="20">
        <v>1.1169093979127885E21</v>
      </c>
    </row>
    <row r="121">
      <c r="A121" s="6"/>
      <c r="B121" s="6"/>
      <c r="C121" s="4"/>
      <c r="D121" s="4">
        <v>325.91346301556797</v>
      </c>
      <c r="E121" s="4" t="s">
        <v>966</v>
      </c>
      <c r="F121" s="4"/>
      <c r="G121" s="4"/>
      <c r="H121" s="4"/>
      <c r="I121" s="4" t="str">
        <f>IFERROR(__xludf.DUMMYFUNCTION("""COMPUTED_VALUE"""),"0x3796b96c3807d0469db00638e405f8d469d0b76d")</f>
        <v>0x3796b96c3807d0469db00638e405f8d469d0b76d</v>
      </c>
      <c r="J121" s="18">
        <v>1197.4467101843688</v>
      </c>
      <c r="K121" s="4">
        <v>19957.44516973948</v>
      </c>
      <c r="L121" s="19">
        <v>1.995744516973948E22</v>
      </c>
      <c r="M121" s="20">
        <v>1.9957445169739483E21</v>
      </c>
    </row>
    <row r="122">
      <c r="A122" s="6"/>
      <c r="B122" s="6"/>
      <c r="C122" s="4"/>
      <c r="D122" s="4">
        <v>327.22651636833797</v>
      </c>
      <c r="E122" s="4" t="s">
        <v>7853</v>
      </c>
      <c r="F122" s="4"/>
      <c r="G122" s="4"/>
      <c r="H122" s="4"/>
      <c r="I122" s="4" t="str">
        <f>IFERROR(__xludf.DUMMYFUNCTION("""COMPUTED_VALUE"""),"0x3c0ccdfa2fd87dae7364d8ee5db53b305f6cc0da")</f>
        <v>0x3c0ccdfa2fd87dae7364d8ee5db53b305f6cc0da</v>
      </c>
      <c r="J122" s="18">
        <v>626.551497690858</v>
      </c>
      <c r="K122" s="4">
        <v>10442.5249615143</v>
      </c>
      <c r="L122" s="19">
        <v>1.04425249615143E22</v>
      </c>
      <c r="M122" s="20">
        <v>1.04425249615143E21</v>
      </c>
    </row>
    <row r="123">
      <c r="A123" s="6"/>
      <c r="B123" s="6"/>
      <c r="C123" s="4"/>
      <c r="D123" s="4">
        <v>327.22651636833797</v>
      </c>
      <c r="E123" s="4" t="s">
        <v>1576</v>
      </c>
      <c r="F123" s="4"/>
      <c r="G123" s="4"/>
      <c r="H123" s="4"/>
      <c r="I123" s="4" t="str">
        <f>IFERROR(__xludf.DUMMYFUNCTION("""COMPUTED_VALUE"""),"0xe356fe28b7b6b015a3b2bb4419dbdf2777d7420b")</f>
        <v>0xe356fe28b7b6b015a3b2bb4419dbdf2777d7420b</v>
      </c>
      <c r="J123" s="18">
        <v>31672.09132765126</v>
      </c>
      <c r="K123" s="4">
        <v>527868.1887941876</v>
      </c>
      <c r="L123" s="19">
        <v>5.2786818879418763E23</v>
      </c>
      <c r="M123" s="20">
        <v>5.278681887941877E22</v>
      </c>
    </row>
    <row r="124">
      <c r="A124" s="6"/>
      <c r="B124" s="6"/>
      <c r="C124" s="4"/>
      <c r="D124" s="4">
        <v>327.22651636833797</v>
      </c>
      <c r="E124" s="4" t="s">
        <v>1482</v>
      </c>
      <c r="F124" s="4"/>
      <c r="G124" s="4"/>
      <c r="H124" s="4"/>
      <c r="I124" s="4" t="str">
        <f>IFERROR(__xludf.DUMMYFUNCTION("""COMPUTED_VALUE"""),"0x971cdd31accfcff7f1dcdef7b6c813279e364378")</f>
        <v>0x971cdd31accfcff7f1dcdef7b6c813279e364378</v>
      </c>
      <c r="J124" s="18">
        <v>701.2753429935236</v>
      </c>
      <c r="K124" s="4">
        <v>11687.922383225394</v>
      </c>
      <c r="L124" s="19">
        <v>1.1687922383225394E22</v>
      </c>
      <c r="M124" s="20">
        <v>1.1687922383225394E21</v>
      </c>
    </row>
    <row r="125">
      <c r="A125" s="6"/>
      <c r="B125" s="6"/>
      <c r="C125" s="4"/>
      <c r="D125" s="4">
        <v>327.22651636833797</v>
      </c>
      <c r="E125" s="4" t="s">
        <v>7910</v>
      </c>
      <c r="F125" s="4"/>
      <c r="G125" s="4"/>
      <c r="H125" s="4"/>
      <c r="I125" s="4" t="str">
        <f>IFERROR(__xludf.DUMMYFUNCTION("""COMPUTED_VALUE"""),"0xd554ff20b3716fde0bb9b334cded4d7c04e5e47d")</f>
        <v>0xd554ff20b3716fde0bb9b334cded4d7c04e5e47d</v>
      </c>
      <c r="J125" s="18">
        <v>626.551497690858</v>
      </c>
      <c r="K125" s="4">
        <v>10442.5249615143</v>
      </c>
      <c r="L125" s="19">
        <v>1.04425249615143E22</v>
      </c>
      <c r="M125" s="20">
        <v>1.04425249615143E21</v>
      </c>
    </row>
    <row r="126">
      <c r="A126" s="6"/>
      <c r="B126" s="6"/>
      <c r="C126" s="4"/>
      <c r="D126" s="4">
        <v>197.64577943244</v>
      </c>
      <c r="E126" s="4" t="s">
        <v>8561</v>
      </c>
      <c r="F126" s="4"/>
      <c r="G126" s="4"/>
      <c r="H126" s="4"/>
      <c r="I126" s="4" t="str">
        <f>IFERROR(__xludf.DUMMYFUNCTION("""COMPUTED_VALUE"""),"0xeda452817a24aea26e6e90cd6f614c121a3fb014")</f>
        <v>0xeda452817a24aea26e6e90cd6f614c121a3fb014</v>
      </c>
      <c r="J126" s="18">
        <v>496.97076075496</v>
      </c>
      <c r="K126" s="4">
        <v>8282.846012582668</v>
      </c>
      <c r="L126" s="19">
        <v>8.282846012582667E21</v>
      </c>
      <c r="M126" s="20">
        <v>8.282846012582669E20</v>
      </c>
    </row>
    <row r="127">
      <c r="A127" s="6"/>
      <c r="B127" s="6"/>
      <c r="C127" s="4"/>
      <c r="D127" s="4">
        <v>327.22651636833797</v>
      </c>
      <c r="E127" s="4" t="s">
        <v>8563</v>
      </c>
      <c r="F127" s="4"/>
      <c r="G127" s="4"/>
      <c r="H127" s="4"/>
      <c r="I127" s="4" t="str">
        <f>IFERROR(__xludf.DUMMYFUNCTION("""COMPUTED_VALUE"""),"0xb98331c95471b0e72d26663432bf8b0dbfb264b7")</f>
        <v>0xb98331c95471b0e72d26663432bf8b0dbfb264b7</v>
      </c>
      <c r="J127" s="18">
        <v>626.551497690858</v>
      </c>
      <c r="K127" s="4">
        <v>10442.5249615143</v>
      </c>
      <c r="L127" s="19">
        <v>1.04425249615143E22</v>
      </c>
      <c r="M127" s="20">
        <v>1.04425249615143E21</v>
      </c>
    </row>
    <row r="128">
      <c r="A128" s="6"/>
      <c r="B128" s="6"/>
      <c r="C128" s="4"/>
      <c r="D128" s="4">
        <v>327.22651636833797</v>
      </c>
      <c r="E128" s="4" t="s">
        <v>8564</v>
      </c>
      <c r="F128" s="4"/>
      <c r="G128" s="4"/>
      <c r="H128" s="4"/>
      <c r="I128" s="4" t="str">
        <f>IFERROR(__xludf.DUMMYFUNCTION("""COMPUTED_VALUE"""),"0x6aac65351fd7f80e6142c3c7a0240416e3b94cc1")</f>
        <v>0x6aac65351fd7f80e6142c3c7a0240416e3b94cc1</v>
      </c>
      <c r="J128" s="18">
        <v>626.551497690858</v>
      </c>
      <c r="K128" s="4">
        <v>10442.5249615143</v>
      </c>
      <c r="L128" s="19">
        <v>1.04425249615143E22</v>
      </c>
      <c r="M128" s="20">
        <v>1.04425249615143E21</v>
      </c>
    </row>
    <row r="129">
      <c r="A129" s="6"/>
      <c r="B129" s="6"/>
      <c r="C129" s="4"/>
      <c r="D129" s="4">
        <v>327.22651636833797</v>
      </c>
      <c r="E129" s="4" t="s">
        <v>1125</v>
      </c>
      <c r="F129" s="4"/>
      <c r="G129" s="4"/>
      <c r="H129" s="4"/>
      <c r="I129" s="4" t="str">
        <f>IFERROR(__xludf.DUMMYFUNCTION("""COMPUTED_VALUE"""),"0xbbb7b32a5e384829fa67e200041d64e4dd8a6105")</f>
        <v>0xbbb7b32a5e384829fa67e200041d64e4dd8a6105</v>
      </c>
      <c r="J129" s="18">
        <v>983.505103758235</v>
      </c>
      <c r="K129" s="4">
        <v>16391.751729303916</v>
      </c>
      <c r="L129" s="19">
        <v>1.6391751729303916E22</v>
      </c>
      <c r="M129" s="20">
        <v>1.6391751729303918E21</v>
      </c>
    </row>
    <row r="130">
      <c r="A130" s="6"/>
      <c r="B130" s="6"/>
      <c r="C130" s="4"/>
      <c r="D130" s="4">
        <v>106.01539306954</v>
      </c>
      <c r="E130" s="4" t="s">
        <v>8565</v>
      </c>
      <c r="F130" s="4"/>
      <c r="G130" s="4"/>
      <c r="H130" s="4"/>
      <c r="I130" s="4" t="str">
        <f>IFERROR(__xludf.DUMMYFUNCTION("""COMPUTED_VALUE"""),"0x5b56d735fe36885b77c6b5292a86bb5e6f13e83f")</f>
        <v>0x5b56d735fe36885b77c6b5292a86bb5e6f13e83f</v>
      </c>
      <c r="J130" s="18">
        <v>106.01539306954</v>
      </c>
      <c r="K130" s="4">
        <v>1766.9232178256666</v>
      </c>
      <c r="L130" s="19">
        <v>1.7669232178256667E21</v>
      </c>
      <c r="M130" s="20">
        <v>1.7669232178256668E20</v>
      </c>
    </row>
    <row r="131">
      <c r="A131" s="6"/>
      <c r="B131" s="6"/>
      <c r="C131" s="4"/>
      <c r="D131" s="4">
        <v>327.22651636833797</v>
      </c>
      <c r="E131" s="4" t="s">
        <v>8567</v>
      </c>
      <c r="F131" s="4"/>
      <c r="G131" s="4"/>
      <c r="H131" s="4"/>
      <c r="I131" s="4" t="str">
        <f>IFERROR(__xludf.DUMMYFUNCTION("""COMPUTED_VALUE"""),"0xd81af520255a973825b7d62dfc998c1316cffc3b")</f>
        <v>0xd81af520255a973825b7d62dfc998c1316cffc3b</v>
      </c>
      <c r="J131" s="18">
        <v>699.2083994522164</v>
      </c>
      <c r="K131" s="4">
        <v>11653.473324203607</v>
      </c>
      <c r="L131" s="19">
        <v>1.1653473324203606E22</v>
      </c>
      <c r="M131" s="20">
        <v>1.1653473324203607E21</v>
      </c>
    </row>
    <row r="132">
      <c r="A132" s="6"/>
      <c r="B132" s="6"/>
      <c r="C132" s="4"/>
      <c r="D132" s="4">
        <v>327.22651636833797</v>
      </c>
      <c r="E132" s="4" t="s">
        <v>31</v>
      </c>
      <c r="F132" s="4"/>
      <c r="G132" s="4"/>
      <c r="H132" s="4"/>
      <c r="I132" s="4" t="str">
        <f>IFERROR(__xludf.DUMMYFUNCTION("""COMPUTED_VALUE"""),"0x740320f15bf19a2ece2eb13576e69fd6700bb8d4")</f>
        <v>0x740320f15bf19a2ece2eb13576e69fd6700bb8d4</v>
      </c>
      <c r="J132" s="18">
        <v>874.786708834609</v>
      </c>
      <c r="K132" s="4">
        <v>14579.778480576819</v>
      </c>
      <c r="L132" s="19">
        <v>1.4579778480576819E22</v>
      </c>
      <c r="M132" s="20">
        <v>1.457977848057682E21</v>
      </c>
    </row>
    <row r="133">
      <c r="A133" s="6"/>
      <c r="B133" s="6"/>
      <c r="C133" s="4"/>
      <c r="D133" s="4">
        <v>327.22651636833797</v>
      </c>
      <c r="E133" s="4" t="s">
        <v>8568</v>
      </c>
      <c r="F133" s="4"/>
      <c r="G133" s="4"/>
      <c r="H133" s="4"/>
      <c r="I133" s="4" t="str">
        <f>IFERROR(__xludf.DUMMYFUNCTION("""COMPUTED_VALUE"""),"0x450fffcdcca801488ac805f2bbb30e0447aef746")</f>
        <v>0x450fffcdcca801488ac805f2bbb30e0447aef746</v>
      </c>
      <c r="J133" s="18">
        <v>1260.493137524812</v>
      </c>
      <c r="K133" s="4">
        <v>21008.218958746867</v>
      </c>
      <c r="L133" s="19">
        <v>2.1008218958746867E22</v>
      </c>
      <c r="M133" s="20">
        <v>2.1008218958746867E21</v>
      </c>
    </row>
    <row r="134">
      <c r="A134" s="6"/>
      <c r="B134" s="6"/>
      <c r="C134" s="4"/>
      <c r="D134" s="4">
        <v>316.80446214891896</v>
      </c>
      <c r="E134" s="4" t="s">
        <v>1283</v>
      </c>
      <c r="F134" s="4"/>
      <c r="G134" s="4"/>
      <c r="H134" s="4"/>
      <c r="I134" s="4" t="str">
        <f>IFERROR(__xludf.DUMMYFUNCTION("""COMPUTED_VALUE"""),"0x9cb0e2afa1d32a4f077bc94e412d595dba6ebb71")</f>
        <v>0x9cb0e2afa1d32a4f077bc94e412d595dba6ebb71</v>
      </c>
      <c r="J134" s="18">
        <v>845.660474633188</v>
      </c>
      <c r="K134" s="4">
        <v>14094.341243886467</v>
      </c>
      <c r="L134" s="19">
        <v>1.4094341243886467E22</v>
      </c>
      <c r="M134" s="20">
        <v>1.4094341243886468E21</v>
      </c>
    </row>
    <row r="135">
      <c r="A135" s="6"/>
      <c r="B135" s="6"/>
      <c r="C135" s="4"/>
      <c r="D135" s="4">
        <v>327.22651636833797</v>
      </c>
      <c r="E135" s="4" t="s">
        <v>822</v>
      </c>
      <c r="F135" s="4"/>
      <c r="G135" s="4"/>
      <c r="H135" s="4"/>
      <c r="I135" s="4" t="str">
        <f>IFERROR(__xludf.DUMMYFUNCTION("""COMPUTED_VALUE"""),"0x821ebc8d481c2440c6581534acc6cc0d0bff7c73")</f>
        <v>0x821ebc8d481c2440c6581534acc6cc0d0bff7c73</v>
      </c>
      <c r="J135" s="18">
        <v>728.431005340634</v>
      </c>
      <c r="K135" s="4">
        <v>12140.516755677234</v>
      </c>
      <c r="L135" s="19">
        <v>1.2140516755677234E22</v>
      </c>
      <c r="M135" s="20">
        <v>1.2140516755677234E21</v>
      </c>
    </row>
    <row r="136">
      <c r="A136" s="6"/>
      <c r="B136" s="6"/>
      <c r="C136" s="4"/>
      <c r="D136" s="4">
        <v>327.22651636833797</v>
      </c>
      <c r="E136" s="4" t="s">
        <v>3636</v>
      </c>
      <c r="F136" s="4"/>
      <c r="G136" s="4"/>
      <c r="H136" s="4"/>
      <c r="I136" s="4" t="str">
        <f>IFERROR(__xludf.DUMMYFUNCTION("""COMPUTED_VALUE"""),"0x1a38ddd62d0361d5856bae9ff435a8cff34648c6")</f>
        <v>0x1a38ddd62d0361d5856bae9ff435a8cff34648c6</v>
      </c>
      <c r="J136" s="18">
        <v>626.551497690858</v>
      </c>
      <c r="K136" s="4">
        <v>10442.5249615143</v>
      </c>
      <c r="L136" s="19">
        <v>1.04425249615143E22</v>
      </c>
      <c r="M136" s="20">
        <v>1.04425249615143E21</v>
      </c>
    </row>
    <row r="137">
      <c r="A137" s="6"/>
      <c r="B137" s="6"/>
      <c r="C137" s="4"/>
      <c r="D137" s="4">
        <v>320.687278608515</v>
      </c>
      <c r="E137" s="4" t="s">
        <v>8570</v>
      </c>
      <c r="F137" s="4"/>
      <c r="G137" s="4"/>
      <c r="H137" s="4"/>
      <c r="I137" s="4" t="str">
        <f>IFERROR(__xludf.DUMMYFUNCTION("""COMPUTED_VALUE"""),"0xee64a3e1088f9804c35346d3de477c3133dfebff")</f>
        <v>0xee64a3e1088f9804c35346d3de477c3133dfebff</v>
      </c>
      <c r="J137" s="18">
        <v>320.687278608515</v>
      </c>
      <c r="K137" s="4">
        <v>5344.787976808583</v>
      </c>
      <c r="L137" s="19">
        <v>5.344787976808584E21</v>
      </c>
      <c r="M137" s="20">
        <v>5.3447879768085837E20</v>
      </c>
    </row>
    <row r="138">
      <c r="A138" s="6"/>
      <c r="B138" s="6"/>
      <c r="C138" s="4"/>
      <c r="D138" s="4">
        <v>327.22651636833797</v>
      </c>
      <c r="E138" s="4" t="s">
        <v>8572</v>
      </c>
      <c r="F138" s="4"/>
      <c r="G138" s="4"/>
      <c r="H138" s="4"/>
      <c r="I138" s="4" t="str">
        <f>IFERROR(__xludf.DUMMYFUNCTION("""COMPUTED_VALUE"""),"0x44979372aed83116860fc7b5daf70f012e3a3958")</f>
        <v>0x44979372aed83116860fc7b5daf70f012e3a3958</v>
      </c>
      <c r="J138" s="18">
        <v>626.551497690858</v>
      </c>
      <c r="K138" s="4">
        <v>10442.5249615143</v>
      </c>
      <c r="L138" s="19">
        <v>1.04425249615143E22</v>
      </c>
      <c r="M138" s="20">
        <v>1.04425249615143E21</v>
      </c>
    </row>
    <row r="139">
      <c r="A139" s="6"/>
      <c r="B139" s="6"/>
      <c r="C139" s="4"/>
      <c r="D139" s="4">
        <v>250.52148016306597</v>
      </c>
      <c r="E139" s="4" t="s">
        <v>8573</v>
      </c>
      <c r="F139" s="4"/>
      <c r="G139" s="4"/>
      <c r="H139" s="4"/>
      <c r="I139" s="4" t="str">
        <f>IFERROR(__xludf.DUMMYFUNCTION("""COMPUTED_VALUE"""),"0xf3da50eb4e7536e693d9f8d7e956c839c7469cb0")</f>
        <v>0xf3da50eb4e7536e693d9f8d7e956c839c7469cb0</v>
      </c>
      <c r="J139" s="18">
        <v>250.52148016306597</v>
      </c>
      <c r="K139" s="4">
        <v>4175.358002717767</v>
      </c>
      <c r="L139" s="19">
        <v>4.1753580027177667E21</v>
      </c>
      <c r="M139" s="20">
        <v>4.175358002717767E20</v>
      </c>
    </row>
    <row r="140">
      <c r="A140" s="6"/>
      <c r="B140" s="6"/>
      <c r="C140" s="4"/>
      <c r="D140" s="4">
        <v>130.890606547335</v>
      </c>
      <c r="E140" s="4" t="s">
        <v>8575</v>
      </c>
      <c r="F140" s="4"/>
      <c r="G140" s="4"/>
      <c r="H140" s="4"/>
      <c r="I140" s="4" t="str">
        <f>IFERROR(__xludf.DUMMYFUNCTION("""COMPUTED_VALUE"""),"0xcd7f6b72049c3b54416f9f26392cb271e74ca3fd")</f>
        <v>0xcd7f6b72049c3b54416f9f26392cb271e74ca3fd</v>
      </c>
      <c r="J140" s="18">
        <v>430.21558786985497</v>
      </c>
      <c r="K140" s="4">
        <v>7170.259797830917</v>
      </c>
      <c r="L140" s="19">
        <v>7.170259797830917E21</v>
      </c>
      <c r="M140" s="20">
        <v>7.170259797830917E20</v>
      </c>
    </row>
    <row r="141">
      <c r="A141" s="6"/>
      <c r="B141" s="6"/>
      <c r="C141" s="4"/>
      <c r="D141" s="4">
        <v>41.5002089109709</v>
      </c>
      <c r="E141" s="4" t="s">
        <v>7679</v>
      </c>
      <c r="F141" s="4"/>
      <c r="G141" s="4"/>
      <c r="H141" s="4"/>
      <c r="I141" s="4" t="str">
        <f>IFERROR(__xludf.DUMMYFUNCTION("""COMPUTED_VALUE"""),"0xd2749e7729d61b8daf41f4e26f5bf5d0047481ed")</f>
        <v>0xd2749e7729d61b8daf41f4e26f5bf5d0047481ed</v>
      </c>
      <c r="J141" s="18">
        <v>79.0048914211358</v>
      </c>
      <c r="K141" s="4">
        <v>1316.7481903522632</v>
      </c>
      <c r="L141" s="19">
        <v>1.3167481903522633E21</v>
      </c>
      <c r="M141" s="20">
        <v>1.3167481903522634E20</v>
      </c>
    </row>
    <row r="142">
      <c r="A142" s="6"/>
      <c r="B142" s="6"/>
      <c r="C142" s="4"/>
      <c r="D142" s="4">
        <v>327.22651636833797</v>
      </c>
      <c r="E142" s="4" t="s">
        <v>8578</v>
      </c>
      <c r="F142" s="4"/>
      <c r="G142" s="4"/>
      <c r="H142" s="4"/>
      <c r="I142" s="4" t="str">
        <f>IFERROR(__xludf.DUMMYFUNCTION("""COMPUTED_VALUE"""),"0x07dfdf8c15cd738d0d85830127646fb6b2e4cadd")</f>
        <v>0x07dfdf8c15cd738d0d85830127646fb6b2e4cadd</v>
      </c>
      <c r="J142" s="18">
        <v>626.551497690858</v>
      </c>
      <c r="K142" s="4">
        <v>10442.5249615143</v>
      </c>
      <c r="L142" s="19">
        <v>1.04425249615143E22</v>
      </c>
      <c r="M142" s="20">
        <v>1.04425249615143E21</v>
      </c>
    </row>
    <row r="143">
      <c r="A143" s="6"/>
      <c r="B143" s="6"/>
      <c r="C143" s="4"/>
      <c r="D143" s="4">
        <v>327.22651636833797</v>
      </c>
      <c r="E143" s="4" t="s">
        <v>8579</v>
      </c>
      <c r="F143" s="4"/>
      <c r="G143" s="4"/>
      <c r="H143" s="4"/>
      <c r="I143" s="4" t="str">
        <f>IFERROR(__xludf.DUMMYFUNCTION("""COMPUTED_VALUE"""),"0x674f357be1c16b6e7e29e1ecf3565fe876d7f5eb")</f>
        <v>0x674f357be1c16b6e7e29e1ecf3565fe876d7f5eb</v>
      </c>
      <c r="J143" s="18">
        <v>670.2686927338007</v>
      </c>
      <c r="K143" s="4">
        <v>11171.144878896677</v>
      </c>
      <c r="L143" s="19">
        <v>1.1171144878896678E22</v>
      </c>
      <c r="M143" s="20">
        <v>1.1171144878896678E21</v>
      </c>
    </row>
    <row r="144">
      <c r="A144" s="6"/>
      <c r="B144" s="6"/>
      <c r="C144" s="4"/>
      <c r="D144" s="4">
        <v>327.22651636833797</v>
      </c>
      <c r="E144" s="4" t="s">
        <v>8580</v>
      </c>
      <c r="F144" s="4"/>
      <c r="G144" s="4"/>
      <c r="H144" s="4"/>
      <c r="I144" s="4" t="str">
        <f>IFERROR(__xludf.DUMMYFUNCTION("""COMPUTED_VALUE"""),"0x23447abbe6027c3848448a8ff28d1ecb8c0dc9d5")</f>
        <v>0x23447abbe6027c3848448a8ff28d1ecb8c0dc9d5</v>
      </c>
      <c r="J144" s="18">
        <v>667.2491674447297</v>
      </c>
      <c r="K144" s="4">
        <v>11120.81945741216</v>
      </c>
      <c r="L144" s="19">
        <v>1.112081945741216E22</v>
      </c>
      <c r="M144" s="20">
        <v>1.112081945741216E21</v>
      </c>
    </row>
    <row r="145">
      <c r="A145" s="6"/>
      <c r="B145" s="6"/>
      <c r="C145" s="4"/>
      <c r="D145" s="4">
        <v>327.22651636833797</v>
      </c>
      <c r="E145" s="4" t="s">
        <v>558</v>
      </c>
      <c r="F145" s="4"/>
      <c r="G145" s="4"/>
      <c r="H145" s="4"/>
      <c r="I145" s="4" t="str">
        <f>IFERROR(__xludf.DUMMYFUNCTION("""COMPUTED_VALUE"""),"0x2e771628e765c04a06252801177332d078a19a21")</f>
        <v>0x2e771628e765c04a06252801177332d078a19a21</v>
      </c>
      <c r="J145" s="18">
        <v>1187.6620962214429</v>
      </c>
      <c r="K145" s="4">
        <v>19794.368270357383</v>
      </c>
      <c r="L145" s="19">
        <v>1.9794368270357385E22</v>
      </c>
      <c r="M145" s="20">
        <v>1.9794368270357386E21</v>
      </c>
    </row>
    <row r="146">
      <c r="A146" s="6"/>
      <c r="B146" s="6"/>
      <c r="C146" s="4"/>
      <c r="D146" s="4">
        <v>327.22651636833797</v>
      </c>
      <c r="E146" s="4" t="s">
        <v>1739</v>
      </c>
      <c r="F146" s="4"/>
      <c r="G146" s="4"/>
      <c r="H146" s="4"/>
      <c r="I146" s="4" t="str">
        <f>IFERROR(__xludf.DUMMYFUNCTION("""COMPUTED_VALUE"""),"0x9e83a125daa1638f2c618208c797cc1728580f99")</f>
        <v>0x9e83a125daa1638f2c618208c797cc1728580f99</v>
      </c>
      <c r="J146" s="18">
        <v>1298.7746059249812</v>
      </c>
      <c r="K146" s="4">
        <v>21646.24343208302</v>
      </c>
      <c r="L146" s="19">
        <v>2.1646243432083023E22</v>
      </c>
      <c r="M146" s="20">
        <v>2.1646243432083025E21</v>
      </c>
    </row>
    <row r="147">
      <c r="A147" s="6"/>
      <c r="B147" s="6"/>
      <c r="C147" s="4"/>
      <c r="D147" s="4">
        <v>327.22651636833797</v>
      </c>
      <c r="E147" s="4" t="s">
        <v>8581</v>
      </c>
      <c r="F147" s="4"/>
      <c r="G147" s="4"/>
      <c r="H147" s="4"/>
      <c r="I147" s="4" t="str">
        <f>IFERROR(__xludf.DUMMYFUNCTION("""COMPUTED_VALUE"""),"0xcc52f72c0813e1ada3e4acacd57d7ffeca3620ec")</f>
        <v>0xcc52f72c0813e1ada3e4acacd57d7ffeca3620ec</v>
      </c>
      <c r="J147" s="18">
        <v>626.551497690858</v>
      </c>
      <c r="K147" s="4">
        <v>10442.5249615143</v>
      </c>
      <c r="L147" s="19">
        <v>1.04425249615143E22</v>
      </c>
      <c r="M147" s="20">
        <v>1.04425249615143E21</v>
      </c>
    </row>
    <row r="148">
      <c r="A148" s="6"/>
      <c r="B148" s="6"/>
      <c r="C148" s="4"/>
      <c r="D148" s="4">
        <v>46.0140199295522</v>
      </c>
      <c r="E148" s="4" t="s">
        <v>8582</v>
      </c>
      <c r="F148" s="4"/>
      <c r="G148" s="4"/>
      <c r="H148" s="4"/>
      <c r="I148" s="4" t="str">
        <f>IFERROR(__xludf.DUMMYFUNCTION("""COMPUTED_VALUE"""),"0xf96c010b262f77e5cc04b05e9d66e66c9487a4c8")</f>
        <v>0xf96c010b262f77e5cc04b05e9d66e66c9487a4c8</v>
      </c>
      <c r="J148" s="18">
        <v>345.3390012520722</v>
      </c>
      <c r="K148" s="4">
        <v>5755.65002086787</v>
      </c>
      <c r="L148" s="19">
        <v>5.75565002086787E21</v>
      </c>
      <c r="M148" s="20">
        <v>5.75565002086787E20</v>
      </c>
    </row>
    <row r="149">
      <c r="A149" s="6"/>
      <c r="B149" s="6"/>
      <c r="C149" s="4"/>
      <c r="D149" s="4">
        <v>327.22651636833797</v>
      </c>
      <c r="E149" s="4" t="s">
        <v>5323</v>
      </c>
      <c r="F149" s="4"/>
      <c r="G149" s="4"/>
      <c r="H149" s="4"/>
      <c r="I149" s="4" t="str">
        <f>IFERROR(__xludf.DUMMYFUNCTION("""COMPUTED_VALUE"""),"0xf1cf9db0e3ab16d00acf32b38bcbc664b9503758")</f>
        <v>0xf1cf9db0e3ab16d00acf32b38bcbc664b9503758</v>
      </c>
      <c r="J149" s="18">
        <v>491.32537944311696</v>
      </c>
      <c r="K149" s="4">
        <v>8188.756324051949</v>
      </c>
      <c r="L149" s="19">
        <v>8.188756324051949E21</v>
      </c>
      <c r="M149" s="20">
        <v>8.18875632405195E20</v>
      </c>
    </row>
    <row r="150">
      <c r="A150" s="6"/>
      <c r="B150" s="6"/>
      <c r="C150" s="4"/>
      <c r="D150" s="4">
        <v>327.22651636833797</v>
      </c>
      <c r="E150" s="4" t="s">
        <v>8584</v>
      </c>
      <c r="F150" s="4"/>
      <c r="G150" s="4"/>
      <c r="H150" s="4"/>
      <c r="I150" s="4" t="str">
        <f>IFERROR(__xludf.DUMMYFUNCTION("""COMPUTED_VALUE"""),"0x5ef899410dc39282d19ab82dbc203db1c0037613")</f>
        <v>0x5ef899410dc39282d19ab82dbc203db1c0037613</v>
      </c>
      <c r="J150" s="18">
        <v>626.551497690858</v>
      </c>
      <c r="K150" s="4">
        <v>10442.5249615143</v>
      </c>
      <c r="L150" s="19">
        <v>1.04425249615143E22</v>
      </c>
      <c r="M150" s="20">
        <v>1.04425249615143E21</v>
      </c>
    </row>
    <row r="151">
      <c r="A151" s="6"/>
      <c r="B151" s="6"/>
      <c r="C151" s="4"/>
      <c r="D151" s="4">
        <v>327.22651636833797</v>
      </c>
      <c r="E151" s="4" t="s">
        <v>664</v>
      </c>
      <c r="F151" s="4"/>
      <c r="G151" s="4"/>
      <c r="H151" s="4"/>
      <c r="I151" s="4" t="str">
        <f>IFERROR(__xludf.DUMMYFUNCTION("""COMPUTED_VALUE"""),"0x8e0fd6ab040360dd674dff0f0c24308b3b056499")</f>
        <v>0x8e0fd6ab040360dd674dff0f0c24308b3b056499</v>
      </c>
      <c r="J151" s="18">
        <v>946.241865440835</v>
      </c>
      <c r="K151" s="4">
        <v>15770.69775734725</v>
      </c>
      <c r="L151" s="19">
        <v>1.5770697757347251E22</v>
      </c>
      <c r="M151" s="20">
        <v>1.5770697757347251E21</v>
      </c>
    </row>
    <row r="152">
      <c r="A152" s="6"/>
      <c r="B152" s="6"/>
      <c r="C152" s="4"/>
      <c r="D152" s="4">
        <v>327.22651636833797</v>
      </c>
      <c r="E152" s="4" t="s">
        <v>2633</v>
      </c>
      <c r="F152" s="4"/>
      <c r="G152" s="4"/>
      <c r="H152" s="4"/>
      <c r="I152" s="4" t="str">
        <f>IFERROR(__xludf.DUMMYFUNCTION("""COMPUTED_VALUE"""),"0x6cc28d3e74b8b0913a561cddb41364ec8594b0fb")</f>
        <v>0x6cc28d3e74b8b0913a561cddb41364ec8594b0fb</v>
      </c>
      <c r="J152" s="18">
        <v>626.551497690858</v>
      </c>
      <c r="K152" s="4">
        <v>10442.5249615143</v>
      </c>
      <c r="L152" s="19">
        <v>1.04425249615143E22</v>
      </c>
      <c r="M152" s="20">
        <v>1.04425249615143E21</v>
      </c>
    </row>
    <row r="153">
      <c r="A153" s="6"/>
      <c r="B153" s="6"/>
      <c r="C153" s="4"/>
      <c r="D153" s="4">
        <v>327.22651636833797</v>
      </c>
      <c r="E153" s="4" t="s">
        <v>8585</v>
      </c>
      <c r="F153" s="4"/>
      <c r="G153" s="4"/>
      <c r="H153" s="4"/>
      <c r="I153" s="4" t="str">
        <f>IFERROR(__xludf.DUMMYFUNCTION("""COMPUTED_VALUE"""),"0x977bc167f889dcd7a6ece301c92a059de7b1772c")</f>
        <v>0x977bc167f889dcd7a6ece301c92a059de7b1772c</v>
      </c>
      <c r="J153" s="18">
        <v>655.6686157825369</v>
      </c>
      <c r="K153" s="4">
        <v>10927.810263042282</v>
      </c>
      <c r="L153" s="19">
        <v>1.0927810263042283E22</v>
      </c>
      <c r="M153" s="20">
        <v>1.0927810263042283E21</v>
      </c>
    </row>
    <row r="154">
      <c r="A154" s="6"/>
      <c r="B154" s="6"/>
      <c r="C154" s="4"/>
      <c r="D154" s="4">
        <v>327.22651636833797</v>
      </c>
      <c r="E154" s="4" t="s">
        <v>2385</v>
      </c>
      <c r="F154" s="4"/>
      <c r="G154" s="4"/>
      <c r="H154" s="4"/>
      <c r="I154" s="4" t="str">
        <f>IFERROR(__xludf.DUMMYFUNCTION("""COMPUTED_VALUE"""),"0xc9fc80756f9e468de14306d96eaaeabb41478e5a")</f>
        <v>0xc9fc80756f9e468de14306d96eaaeabb41478e5a</v>
      </c>
      <c r="J154" s="18">
        <v>327.22651636833797</v>
      </c>
      <c r="K154" s="4">
        <v>5453.775272805633</v>
      </c>
      <c r="L154" s="19">
        <v>5.453775272805633E21</v>
      </c>
      <c r="M154" s="20">
        <v>5.453775272805634E20</v>
      </c>
    </row>
    <row r="155">
      <c r="A155" s="6"/>
      <c r="B155" s="6"/>
      <c r="C155" s="4"/>
      <c r="D155" s="4">
        <v>327.22651636833797</v>
      </c>
      <c r="E155" s="4" t="s">
        <v>8586</v>
      </c>
      <c r="F155" s="4"/>
      <c r="G155" s="4"/>
      <c r="H155" s="4"/>
      <c r="I155" s="4" t="str">
        <f>IFERROR(__xludf.DUMMYFUNCTION("""COMPUTED_VALUE"""),"0xa5205eccba8cbb04db80d81be66be1a0785fdb82")</f>
        <v>0xa5205eccba8cbb04db80d81be66be1a0785fdb82</v>
      </c>
      <c r="J155" s="18">
        <v>837.525238046351</v>
      </c>
      <c r="K155" s="4">
        <v>13958.753967439183</v>
      </c>
      <c r="L155" s="19">
        <v>1.3958753967439182E22</v>
      </c>
      <c r="M155" s="20">
        <v>1.3958753967439183E21</v>
      </c>
    </row>
    <row r="156">
      <c r="A156" s="6"/>
      <c r="B156" s="6"/>
      <c r="C156" s="4"/>
      <c r="D156" s="4">
        <v>327.22651636833797</v>
      </c>
      <c r="E156" s="4" t="s">
        <v>8587</v>
      </c>
      <c r="F156" s="4"/>
      <c r="G156" s="4"/>
      <c r="H156" s="4"/>
      <c r="I156" s="4" t="str">
        <f>IFERROR(__xludf.DUMMYFUNCTION("""COMPUTED_VALUE"""),"0x0b83821bb8b9d19582af26122556be7408313140")</f>
        <v>0x0b83821bb8b9d19582af26122556be7408313140</v>
      </c>
      <c r="J156" s="18">
        <v>327.22651636833797</v>
      </c>
      <c r="K156" s="4">
        <v>5453.775272805633</v>
      </c>
      <c r="L156" s="19">
        <v>5.453775272805633E21</v>
      </c>
      <c r="M156" s="20">
        <v>5.453775272805634E20</v>
      </c>
    </row>
    <row r="157">
      <c r="A157" s="6"/>
      <c r="B157" s="6"/>
      <c r="C157" s="4"/>
      <c r="D157" s="4">
        <v>327.22651636833797</v>
      </c>
      <c r="E157" s="4" t="s">
        <v>6626</v>
      </c>
      <c r="F157" s="4"/>
      <c r="G157" s="4"/>
      <c r="H157" s="4"/>
      <c r="I157" s="4" t="str">
        <f>IFERROR(__xludf.DUMMYFUNCTION("""COMPUTED_VALUE"""),"0x8d1774d8e34834b017e8cfe280b3638445dfbb84")</f>
        <v>0x8d1774d8e34834b017e8cfe280b3638445dfbb84</v>
      </c>
      <c r="J157" s="18">
        <v>670.145638747673</v>
      </c>
      <c r="K157" s="4">
        <v>11169.093979127885</v>
      </c>
      <c r="L157" s="19">
        <v>1.1169093979127885E22</v>
      </c>
      <c r="M157" s="20">
        <v>1.1169093979127885E21</v>
      </c>
    </row>
    <row r="158">
      <c r="A158" s="6"/>
      <c r="B158" s="6"/>
      <c r="C158" s="4"/>
      <c r="D158" s="4">
        <v>327.22651636833797</v>
      </c>
      <c r="E158" s="4" t="s">
        <v>8588</v>
      </c>
      <c r="F158" s="4"/>
      <c r="G158" s="4"/>
      <c r="H158" s="4"/>
      <c r="I158" s="4" t="str">
        <f>IFERROR(__xludf.DUMMYFUNCTION("""COMPUTED_VALUE"""),"0x45beacbb0e144718e17deac4dd810a7501244c89")</f>
        <v>0x45beacbb0e144718e17deac4dd810a7501244c89</v>
      </c>
      <c r="J158" s="18">
        <v>327.22651636833797</v>
      </c>
      <c r="K158" s="4">
        <v>5453.775272805633</v>
      </c>
      <c r="L158" s="19">
        <v>5.453775272805633E21</v>
      </c>
      <c r="M158" s="20">
        <v>5.453775272805634E20</v>
      </c>
    </row>
    <row r="159">
      <c r="A159" s="6"/>
      <c r="B159" s="6"/>
      <c r="C159" s="4"/>
      <c r="D159" s="4">
        <v>327.22651636833797</v>
      </c>
      <c r="E159" s="4" t="s">
        <v>8589</v>
      </c>
      <c r="F159" s="4"/>
      <c r="G159" s="4"/>
      <c r="H159" s="4"/>
      <c r="I159" s="4" t="str">
        <f>IFERROR(__xludf.DUMMYFUNCTION("""COMPUTED_VALUE"""),"0xfc92f989d0882acdb4c9f263d6283064be2fcf50")</f>
        <v>0xfc92f989d0882acdb4c9f263d6283064be2fcf50</v>
      </c>
      <c r="J159" s="18">
        <v>2079.689532918018</v>
      </c>
      <c r="K159" s="4">
        <v>34661.4922153003</v>
      </c>
      <c r="L159" s="19">
        <v>3.46614922153003E22</v>
      </c>
      <c r="M159" s="20">
        <v>3.46614922153003E21</v>
      </c>
    </row>
    <row r="160">
      <c r="A160" s="6"/>
      <c r="B160" s="6"/>
      <c r="C160" s="4"/>
      <c r="D160" s="4">
        <v>196.335909821002</v>
      </c>
      <c r="E160" s="4" t="s">
        <v>3315</v>
      </c>
      <c r="F160" s="4"/>
      <c r="G160" s="4"/>
      <c r="H160" s="4"/>
      <c r="I160" s="4" t="str">
        <f>IFERROR(__xludf.DUMMYFUNCTION("""COMPUTED_VALUE"""),"0x04218d7d31e90afc4ef9cd6e895c3c2617ab9c66")</f>
        <v>0x04218d7d31e90afc4ef9cd6e895c3c2617ab9c66</v>
      </c>
      <c r="J160" s="18">
        <v>495.660891143522</v>
      </c>
      <c r="K160" s="4">
        <v>8261.014852392034</v>
      </c>
      <c r="L160" s="19">
        <v>8.261014852392035E21</v>
      </c>
      <c r="M160" s="20">
        <v>8.261014852392035E20</v>
      </c>
    </row>
    <row r="161">
      <c r="A161" s="6"/>
      <c r="B161" s="6"/>
      <c r="C161" s="4"/>
      <c r="D161" s="4">
        <v>327.22651636833797</v>
      </c>
      <c r="E161" s="4" t="s">
        <v>8590</v>
      </c>
      <c r="F161" s="4"/>
      <c r="G161" s="4"/>
      <c r="H161" s="4"/>
      <c r="I161" s="4" t="str">
        <f>IFERROR(__xludf.DUMMYFUNCTION("""COMPUTED_VALUE"""),"0xbcb2a27048dbcb983ab00829679a1c4b004505a5")</f>
        <v>0xbcb2a27048dbcb983ab00829679a1c4b004505a5</v>
      </c>
      <c r="J161" s="18">
        <v>626.551497690858</v>
      </c>
      <c r="K161" s="4">
        <v>10442.5249615143</v>
      </c>
      <c r="L161" s="19">
        <v>1.04425249615143E22</v>
      </c>
      <c r="M161" s="20">
        <v>1.04425249615143E21</v>
      </c>
    </row>
    <row r="162">
      <c r="A162" s="6"/>
      <c r="B162" s="6"/>
      <c r="C162" s="4"/>
      <c r="D162" s="4">
        <v>327.22651636833797</v>
      </c>
      <c r="E162" s="4" t="s">
        <v>7659</v>
      </c>
      <c r="F162" s="4"/>
      <c r="G162" s="4"/>
      <c r="H162" s="4"/>
      <c r="I162" s="4" t="str">
        <f>IFERROR(__xludf.DUMMYFUNCTION("""COMPUTED_VALUE"""),"0x1f2b4d47e970623b2bc975608098e119ea3a7520")</f>
        <v>0x1f2b4d47e970623b2bc975608098e119ea3a7520</v>
      </c>
      <c r="J162" s="18">
        <v>626.551497690858</v>
      </c>
      <c r="K162" s="4">
        <v>10442.5249615143</v>
      </c>
      <c r="L162" s="19">
        <v>1.04425249615143E22</v>
      </c>
      <c r="M162" s="20">
        <v>1.04425249615143E21</v>
      </c>
    </row>
    <row r="163">
      <c r="A163" s="6"/>
      <c r="B163" s="6"/>
      <c r="C163" s="4"/>
      <c r="D163" s="4">
        <v>327.22651636833797</v>
      </c>
      <c r="E163" s="4" t="s">
        <v>1514</v>
      </c>
      <c r="F163" s="4"/>
      <c r="G163" s="4"/>
      <c r="H163" s="4"/>
      <c r="I163" s="4" t="str">
        <f>IFERROR(__xludf.DUMMYFUNCTION("""COMPUTED_VALUE"""),"0x31c919723c29f5efe10cee0c28789f85946ac6b9")</f>
        <v>0x31c919723c29f5efe10cee0c28789f85946ac6b9</v>
      </c>
      <c r="J163" s="18">
        <v>501.60308059559793</v>
      </c>
      <c r="K163" s="4">
        <v>8360.051343259966</v>
      </c>
      <c r="L163" s="19">
        <v>8.360051343259966E21</v>
      </c>
      <c r="M163" s="20">
        <v>8.360051343259966E20</v>
      </c>
    </row>
    <row r="164">
      <c r="A164" s="6"/>
      <c r="B164" s="6"/>
      <c r="C164" s="4"/>
      <c r="D164" s="4">
        <v>270.508643032845</v>
      </c>
      <c r="E164" s="4" t="s">
        <v>8591</v>
      </c>
      <c r="F164" s="4"/>
      <c r="G164" s="4"/>
      <c r="H164" s="4"/>
      <c r="I164" s="4" t="str">
        <f>IFERROR(__xludf.DUMMYFUNCTION("""COMPUTED_VALUE"""),"0xd4165d98b0900c5c00f6be7506e18bf423de2ec8")</f>
        <v>0xd4165d98b0900c5c00f6be7506e18bf423de2ec8</v>
      </c>
      <c r="J164" s="18">
        <v>517.943196071868</v>
      </c>
      <c r="K164" s="4">
        <v>8632.3866011978</v>
      </c>
      <c r="L164" s="19">
        <v>8.6323866011978E21</v>
      </c>
      <c r="M164" s="20">
        <v>8.632386601197801E20</v>
      </c>
    </row>
    <row r="165">
      <c r="A165" s="6"/>
      <c r="B165" s="6"/>
      <c r="C165" s="4"/>
      <c r="D165" s="4">
        <v>327.22651636833797</v>
      </c>
      <c r="E165" s="4" t="s">
        <v>923</v>
      </c>
      <c r="F165" s="4"/>
      <c r="G165" s="4"/>
      <c r="H165" s="4"/>
      <c r="I165" s="4" t="str">
        <f>IFERROR(__xludf.DUMMYFUNCTION("""COMPUTED_VALUE"""),"0xa656316cd0613c47a5b1c49125af331189a8e551")</f>
        <v>0xa656316cd0613c47a5b1c49125af331189a8e551</v>
      </c>
      <c r="J165" s="18">
        <v>1309.557042711184</v>
      </c>
      <c r="K165" s="4">
        <v>21825.950711853067</v>
      </c>
      <c r="L165" s="19">
        <v>2.1825950711853068E22</v>
      </c>
      <c r="M165" s="20">
        <v>2.1825950711853068E21</v>
      </c>
    </row>
    <row r="166">
      <c r="A166" s="6"/>
      <c r="B166" s="6"/>
      <c r="C166" s="4"/>
      <c r="D166" s="4">
        <v>327.22651636833797</v>
      </c>
      <c r="E166" s="4" t="s">
        <v>834</v>
      </c>
      <c r="F166" s="4"/>
      <c r="G166" s="4"/>
      <c r="H166" s="4"/>
      <c r="I166" s="4" t="str">
        <f>IFERROR(__xludf.DUMMYFUNCTION("""COMPUTED_VALUE"""),"0xa12d205d2b2aef73089ec2b8bd700789489742c4")</f>
        <v>0xa12d205d2b2aef73089ec2b8bd700789489742c4</v>
      </c>
      <c r="J166" s="18">
        <v>1091.555668963552</v>
      </c>
      <c r="K166" s="4">
        <v>18192.594482725868</v>
      </c>
      <c r="L166" s="19">
        <v>1.8192594482725869E22</v>
      </c>
      <c r="M166" s="20">
        <v>1.819259448272587E21</v>
      </c>
    </row>
    <row r="167">
      <c r="A167" s="6"/>
      <c r="B167" s="6"/>
      <c r="C167" s="4"/>
      <c r="D167" s="4">
        <v>327.22651636833797</v>
      </c>
      <c r="E167" s="4" t="s">
        <v>778</v>
      </c>
      <c r="F167" s="4"/>
      <c r="G167" s="4"/>
      <c r="H167" s="4"/>
      <c r="I167" s="4" t="str">
        <f>IFERROR(__xludf.DUMMYFUNCTION("""COMPUTED_VALUE"""),"0x9d5531a034c125ac14f0780e6e99310739ad0b14")</f>
        <v>0x9d5531a034c125ac14f0780e6e99310739ad0b14</v>
      </c>
      <c r="J167" s="18">
        <v>1456.565506411951</v>
      </c>
      <c r="K167" s="4">
        <v>24276.091773532517</v>
      </c>
      <c r="L167" s="19">
        <v>2.4276091773532517E22</v>
      </c>
      <c r="M167" s="20">
        <v>2.427609177353252E21</v>
      </c>
    </row>
    <row r="168">
      <c r="A168" s="6"/>
      <c r="B168" s="6"/>
      <c r="C168" s="4"/>
      <c r="D168" s="4">
        <v>130.890606547335</v>
      </c>
      <c r="E168" s="4" t="s">
        <v>8593</v>
      </c>
      <c r="F168" s="4"/>
      <c r="G168" s="4"/>
      <c r="H168" s="4"/>
      <c r="I168" s="4" t="str">
        <f>IFERROR(__xludf.DUMMYFUNCTION("""COMPUTED_VALUE"""),"0x0a8f4e308b17f836eab6493f42e48ac07d30946d")</f>
        <v>0x0a8f4e308b17f836eab6493f42e48ac07d30946d</v>
      </c>
      <c r="J168" s="18">
        <v>430.21558786985497</v>
      </c>
      <c r="K168" s="4">
        <v>7170.259797830917</v>
      </c>
      <c r="L168" s="19">
        <v>7.170259797830917E21</v>
      </c>
      <c r="M168" s="20">
        <v>7.170259797830917E20</v>
      </c>
    </row>
    <row r="169">
      <c r="A169" s="6"/>
      <c r="B169" s="6"/>
      <c r="C169" s="4"/>
      <c r="D169" s="4">
        <v>327.22651636833797</v>
      </c>
      <c r="E169" s="4" t="s">
        <v>8594</v>
      </c>
      <c r="F169" s="4"/>
      <c r="G169" s="4"/>
      <c r="H169" s="4"/>
      <c r="I169" s="4" t="str">
        <f>IFERROR(__xludf.DUMMYFUNCTION("""COMPUTED_VALUE"""),"0xd2ede42d4a5177b2a94b44b9fd48fc556bc6296d")</f>
        <v>0xd2ede42d4a5177b2a94b44b9fd48fc556bc6296d</v>
      </c>
      <c r="J169" s="18">
        <v>626.551497690858</v>
      </c>
      <c r="K169" s="4">
        <v>10442.5249615143</v>
      </c>
      <c r="L169" s="19">
        <v>1.04425249615143E22</v>
      </c>
      <c r="M169" s="20">
        <v>1.04425249615143E21</v>
      </c>
    </row>
    <row r="170">
      <c r="A170" s="6"/>
      <c r="B170" s="6"/>
      <c r="C170" s="4"/>
      <c r="D170" s="4">
        <v>123.01513216974601</v>
      </c>
      <c r="E170" s="4" t="s">
        <v>7628</v>
      </c>
      <c r="F170" s="4"/>
      <c r="G170" s="4"/>
      <c r="H170" s="4"/>
      <c r="I170" s="4" t="str">
        <f>IFERROR(__xludf.DUMMYFUNCTION("""COMPUTED_VALUE"""),"0x82ddeedc3fed36b418a4a49e1f1f7cb87429269b")</f>
        <v>0x82ddeedc3fed36b418a4a49e1f1f7cb87429269b</v>
      </c>
      <c r="J170" s="18">
        <v>123.01513216974601</v>
      </c>
      <c r="K170" s="4">
        <v>2050.2522028291</v>
      </c>
      <c r="L170" s="19">
        <v>2.0502522028291E21</v>
      </c>
      <c r="M170" s="20">
        <v>2.0502522028291E20</v>
      </c>
    </row>
    <row r="171">
      <c r="A171" s="6"/>
      <c r="B171" s="6"/>
      <c r="C171" s="4"/>
      <c r="D171" s="4">
        <v>327.22651636833797</v>
      </c>
      <c r="E171" s="4" t="s">
        <v>1524</v>
      </c>
      <c r="F171" s="4"/>
      <c r="G171" s="4"/>
      <c r="H171" s="4"/>
      <c r="I171" s="4" t="str">
        <f>IFERROR(__xludf.DUMMYFUNCTION("""COMPUTED_VALUE"""),"0x6458f999e595d3bda5692db9df011ccd4ab13a96")</f>
        <v>0x6458f999e595d3bda5692db9df011ccd4ab13a96</v>
      </c>
      <c r="J171" s="18">
        <v>626.551497690858</v>
      </c>
      <c r="K171" s="4">
        <v>10442.5249615143</v>
      </c>
      <c r="L171" s="19">
        <v>1.04425249615143E22</v>
      </c>
      <c r="M171" s="20">
        <v>1.04425249615143E21</v>
      </c>
    </row>
    <row r="172">
      <c r="A172" s="6"/>
      <c r="B172" s="6"/>
      <c r="C172" s="4"/>
      <c r="D172" s="4">
        <v>327.22651636833797</v>
      </c>
      <c r="E172" s="4" t="s">
        <v>4731</v>
      </c>
      <c r="F172" s="4"/>
      <c r="G172" s="4"/>
      <c r="H172" s="4"/>
      <c r="I172" s="4" t="str">
        <f>IFERROR(__xludf.DUMMYFUNCTION("""COMPUTED_VALUE"""),"0xd6899008a6f6808be219812c16124359437894ce")</f>
        <v>0xd6899008a6f6808be219812c16124359437894ce</v>
      </c>
      <c r="J172" s="18">
        <v>670.145638747673</v>
      </c>
      <c r="K172" s="4">
        <v>11169.093979127885</v>
      </c>
      <c r="L172" s="19">
        <v>1.1169093979127885E22</v>
      </c>
      <c r="M172" s="20">
        <v>1.1169093979127885E21</v>
      </c>
    </row>
    <row r="173">
      <c r="A173" s="6"/>
      <c r="B173" s="6"/>
      <c r="C173" s="4"/>
      <c r="D173" s="4">
        <v>327.22651636833797</v>
      </c>
      <c r="E173" s="4" t="s">
        <v>5738</v>
      </c>
      <c r="F173" s="4"/>
      <c r="G173" s="4"/>
      <c r="H173" s="4"/>
      <c r="I173" s="4" t="str">
        <f>IFERROR(__xludf.DUMMYFUNCTION("""COMPUTED_VALUE"""),"0x5595c66580a6c7c3a4c52c444174679ff3384e9f")</f>
        <v>0x5595c66580a6c7c3a4c52c444174679ff3384e9f</v>
      </c>
      <c r="J173" s="18">
        <v>670.145638747673</v>
      </c>
      <c r="K173" s="4">
        <v>11169.093979127885</v>
      </c>
      <c r="L173" s="19">
        <v>1.1169093979127885E22</v>
      </c>
      <c r="M173" s="20">
        <v>1.1169093979127885E21</v>
      </c>
    </row>
    <row r="174">
      <c r="A174" s="6"/>
      <c r="B174" s="6"/>
      <c r="C174" s="4"/>
      <c r="D174" s="4">
        <v>155.938423464873</v>
      </c>
      <c r="E174" s="4" t="s">
        <v>8596</v>
      </c>
      <c r="F174" s="4"/>
      <c r="G174" s="4"/>
      <c r="H174" s="4"/>
      <c r="I174" s="4" t="str">
        <f>IFERROR(__xludf.DUMMYFUNCTION("""COMPUTED_VALUE"""),"0xa2d36f11e2225d1b89146f443350e825f15b8b68")</f>
        <v>0xa2d36f11e2225d1b89146f443350e825f15b8b68</v>
      </c>
      <c r="J174" s="18">
        <v>315.51309315279036</v>
      </c>
      <c r="K174" s="4">
        <v>5258.551552546506</v>
      </c>
      <c r="L174" s="19">
        <v>5.258551552546506E21</v>
      </c>
      <c r="M174" s="20">
        <v>5.2585515525465067E20</v>
      </c>
    </row>
    <row r="175">
      <c r="A175" s="6"/>
      <c r="B175" s="6"/>
      <c r="C175" s="4"/>
      <c r="D175" s="4">
        <v>83.7911827654097</v>
      </c>
      <c r="E175" s="4" t="s">
        <v>8598</v>
      </c>
      <c r="F175" s="4"/>
      <c r="G175" s="4"/>
      <c r="H175" s="4"/>
      <c r="I175" s="4" t="str">
        <f>IFERROR(__xludf.DUMMYFUNCTION("""COMPUTED_VALUE"""),"0xf865a4373115293e5b8283f681aade871dcd5a47")</f>
        <v>0xf865a4373115293e5b8283f681aade871dcd5a47</v>
      </c>
      <c r="J175" s="18">
        <v>159.8660559803311</v>
      </c>
      <c r="K175" s="4">
        <v>2664.434266338852</v>
      </c>
      <c r="L175" s="19">
        <v>2.664434266338852E21</v>
      </c>
      <c r="M175" s="20">
        <v>2.6644342663388522E20</v>
      </c>
    </row>
    <row r="176">
      <c r="A176" s="6"/>
      <c r="B176" s="6"/>
      <c r="C176" s="4"/>
      <c r="D176" s="4">
        <v>327.22651636833797</v>
      </c>
      <c r="E176" s="4" t="s">
        <v>8600</v>
      </c>
      <c r="F176" s="4"/>
      <c r="G176" s="4"/>
      <c r="H176" s="4"/>
      <c r="I176" s="4" t="str">
        <f>IFERROR(__xludf.DUMMYFUNCTION("""COMPUTED_VALUE"""),"0x15cc8e62b1df370d9dccc885866d741c22b0baaf")</f>
        <v>0x15cc8e62b1df370d9dccc885866d741c22b0baaf</v>
      </c>
      <c r="J176" s="18">
        <v>626.551497690858</v>
      </c>
      <c r="K176" s="4">
        <v>10442.5249615143</v>
      </c>
      <c r="L176" s="19">
        <v>1.04425249615143E22</v>
      </c>
      <c r="M176" s="20">
        <v>1.04425249615143E21</v>
      </c>
    </row>
    <row r="177">
      <c r="A177" s="6"/>
      <c r="B177" s="6"/>
      <c r="C177" s="4"/>
      <c r="D177" s="4">
        <v>327.22651636833797</v>
      </c>
      <c r="E177" s="4" t="s">
        <v>8601</v>
      </c>
      <c r="F177" s="4"/>
      <c r="G177" s="4"/>
      <c r="H177" s="4"/>
      <c r="I177" s="4" t="str">
        <f>IFERROR(__xludf.DUMMYFUNCTION("""COMPUTED_VALUE"""),"0x1cc6c272b28e91e5cd6f9d2629b20bbd3279a84d")</f>
        <v>0x1cc6c272b28e91e5cd6f9d2629b20bbd3279a84d</v>
      </c>
      <c r="J177" s="18">
        <v>3953.118002847878</v>
      </c>
      <c r="K177" s="4">
        <v>65885.30004746464</v>
      </c>
      <c r="L177" s="19">
        <v>6.588530004746464E22</v>
      </c>
      <c r="M177" s="20">
        <v>6.588530004746465E21</v>
      </c>
    </row>
    <row r="178">
      <c r="A178" s="6"/>
      <c r="B178" s="6"/>
      <c r="C178" s="4"/>
      <c r="D178" s="4">
        <v>327.22651636833797</v>
      </c>
      <c r="E178" s="4" t="s">
        <v>6325</v>
      </c>
      <c r="F178" s="4"/>
      <c r="G178" s="4"/>
      <c r="H178" s="4"/>
      <c r="I178" s="4" t="str">
        <f>IFERROR(__xludf.DUMMYFUNCTION("""COMPUTED_VALUE"""),"0x0df2763078b4b5c714e0edf86fa33bc71127180f")</f>
        <v>0x0df2763078b4b5c714e0edf86fa33bc71127180f</v>
      </c>
      <c r="J178" s="18">
        <v>626.551497690858</v>
      </c>
      <c r="K178" s="4">
        <v>10442.5249615143</v>
      </c>
      <c r="L178" s="19">
        <v>1.04425249615143E22</v>
      </c>
      <c r="M178" s="20">
        <v>1.04425249615143E21</v>
      </c>
    </row>
    <row r="179">
      <c r="A179" s="6"/>
      <c r="B179" s="6"/>
      <c r="C179" s="4"/>
      <c r="D179" s="4">
        <v>327.22651636833797</v>
      </c>
      <c r="E179" s="4" t="s">
        <v>2807</v>
      </c>
      <c r="F179" s="4"/>
      <c r="G179" s="4"/>
      <c r="H179" s="4"/>
      <c r="I179" s="4" t="str">
        <f>IFERROR(__xludf.DUMMYFUNCTION("""COMPUTED_VALUE"""),"0x923c0bc1a01f64a8917164560815d0b48ba0f1d7")</f>
        <v>0x923c0bc1a01f64a8917164560815d0b48ba0f1d7</v>
      </c>
      <c r="J179" s="18">
        <v>670.145638747673</v>
      </c>
      <c r="K179" s="4">
        <v>11169.093979127885</v>
      </c>
      <c r="L179" s="19">
        <v>1.1169093979127885E22</v>
      </c>
      <c r="M179" s="20">
        <v>1.1169093979127885E21</v>
      </c>
    </row>
    <row r="180">
      <c r="A180" s="6"/>
      <c r="B180" s="6"/>
      <c r="C180" s="4"/>
      <c r="D180" s="4">
        <v>316.020031435746</v>
      </c>
      <c r="E180" s="4" t="s">
        <v>4424</v>
      </c>
      <c r="F180" s="4"/>
      <c r="G180" s="4"/>
      <c r="H180" s="4"/>
      <c r="I180" s="4" t="str">
        <f>IFERROR(__xludf.DUMMYFUNCTION("""COMPUTED_VALUE"""),"0x6dee014f4164718f529fea368c0cc1d3798ceae8")</f>
        <v>0x6dee014f4164718f529fea368c0cc1d3798ceae8</v>
      </c>
      <c r="J180" s="18">
        <v>615.345012758266</v>
      </c>
      <c r="K180" s="4">
        <v>10255.750212637766</v>
      </c>
      <c r="L180" s="19">
        <v>1.0255750212637765E22</v>
      </c>
      <c r="M180" s="20">
        <v>1.0255750212637766E21</v>
      </c>
    </row>
    <row r="181">
      <c r="A181" s="6"/>
      <c r="B181" s="6"/>
      <c r="C181" s="4"/>
      <c r="D181" s="4">
        <v>327.22651636833797</v>
      </c>
      <c r="E181" s="4" t="s">
        <v>7099</v>
      </c>
      <c r="F181" s="4"/>
      <c r="G181" s="4"/>
      <c r="H181" s="4"/>
      <c r="I181" s="4" t="str">
        <f>IFERROR(__xludf.DUMMYFUNCTION("""COMPUTED_VALUE"""),"0x0788b0bb180b8308b0485d7c7876bfdaf0cfbb24")</f>
        <v>0x0788b0bb180b8308b0485d7c7876bfdaf0cfbb24</v>
      </c>
      <c r="J181" s="18">
        <v>670.145638747673</v>
      </c>
      <c r="K181" s="4">
        <v>11169.093979127885</v>
      </c>
      <c r="L181" s="19">
        <v>1.1169093979127885E22</v>
      </c>
      <c r="M181" s="20">
        <v>1.1169093979127885E21</v>
      </c>
    </row>
    <row r="182">
      <c r="A182" s="6"/>
      <c r="B182" s="6"/>
      <c r="C182" s="4"/>
      <c r="D182" s="4">
        <v>327.22651636833797</v>
      </c>
      <c r="E182" s="4" t="s">
        <v>1440</v>
      </c>
      <c r="F182" s="4"/>
      <c r="G182" s="4"/>
      <c r="H182" s="4"/>
      <c r="I182" s="4" t="str">
        <f>IFERROR(__xludf.DUMMYFUNCTION("""COMPUTED_VALUE"""),"0xdb527a9f967d22b9a2801f21dcdaf819fcd9509e")</f>
        <v>0xdb527a9f967d22b9a2801f21dcdaf819fcd9509e</v>
      </c>
      <c r="J182" s="18">
        <v>833.818582188735</v>
      </c>
      <c r="K182" s="4">
        <v>13896.976369812252</v>
      </c>
      <c r="L182" s="19">
        <v>1.389697636981225E22</v>
      </c>
      <c r="M182" s="20">
        <v>1.389697636981225E21</v>
      </c>
    </row>
    <row r="183">
      <c r="A183" s="6"/>
      <c r="B183" s="6"/>
      <c r="C183" s="4"/>
      <c r="D183" s="4">
        <v>327.22651636833797</v>
      </c>
      <c r="E183" s="4" t="s">
        <v>8603</v>
      </c>
      <c r="F183" s="4"/>
      <c r="G183" s="4"/>
      <c r="H183" s="4"/>
      <c r="I183" s="4" t="str">
        <f>IFERROR(__xludf.DUMMYFUNCTION("""COMPUTED_VALUE"""),"0x2e7bfe7b1689070b282bf96f79ae7fd2db7f790f")</f>
        <v>0x2e7bfe7b1689070b282bf96f79ae7fd2db7f790f</v>
      </c>
      <c r="J183" s="18">
        <v>626.551497690858</v>
      </c>
      <c r="K183" s="4">
        <v>10442.5249615143</v>
      </c>
      <c r="L183" s="19">
        <v>1.04425249615143E22</v>
      </c>
      <c r="M183" s="20">
        <v>1.04425249615143E21</v>
      </c>
    </row>
    <row r="184">
      <c r="A184" s="6"/>
      <c r="B184" s="6"/>
      <c r="C184" s="4"/>
      <c r="D184" s="4">
        <v>327.22651636833797</v>
      </c>
      <c r="E184" s="4" t="s">
        <v>8604</v>
      </c>
      <c r="F184" s="4"/>
      <c r="G184" s="4"/>
      <c r="H184" s="4"/>
      <c r="I184" s="4" t="str">
        <f>IFERROR(__xludf.DUMMYFUNCTION("""COMPUTED_VALUE"""),"0x9988737a9eb5b430a76c369327009e3cbfd14276")</f>
        <v>0x9988737a9eb5b430a76c369327009e3cbfd14276</v>
      </c>
      <c r="J184" s="18">
        <v>626.551497690858</v>
      </c>
      <c r="K184" s="4">
        <v>10442.5249615143</v>
      </c>
      <c r="L184" s="19">
        <v>1.04425249615143E22</v>
      </c>
      <c r="M184" s="20">
        <v>1.04425249615143E21</v>
      </c>
    </row>
    <row r="185">
      <c r="A185" s="6"/>
      <c r="B185" s="6"/>
      <c r="C185" s="4"/>
      <c r="D185" s="4">
        <v>327.22651636833797</v>
      </c>
      <c r="E185" s="4" t="s">
        <v>2789</v>
      </c>
      <c r="F185" s="4"/>
      <c r="G185" s="4"/>
      <c r="H185" s="4"/>
      <c r="I185" s="4" t="str">
        <f>IFERROR(__xludf.DUMMYFUNCTION("""COMPUTED_VALUE"""),"0xf6cc674930985edefcd56a30da522c327039d037")</f>
        <v>0xf6cc674930985edefcd56a30da522c327039d037</v>
      </c>
      <c r="J185" s="18">
        <v>655.6142583954013</v>
      </c>
      <c r="K185" s="4">
        <v>10926.904306590022</v>
      </c>
      <c r="L185" s="19">
        <v>1.0926904306590022E22</v>
      </c>
      <c r="M185" s="20">
        <v>1.0926904306590022E21</v>
      </c>
    </row>
    <row r="186">
      <c r="A186" s="6"/>
      <c r="B186" s="6"/>
      <c r="C186" s="4"/>
      <c r="D186" s="4">
        <v>327.22651636833797</v>
      </c>
      <c r="E186" s="4" t="s">
        <v>8605</v>
      </c>
      <c r="F186" s="4"/>
      <c r="G186" s="4"/>
      <c r="H186" s="4"/>
      <c r="I186" s="4" t="str">
        <f>IFERROR(__xludf.DUMMYFUNCTION("""COMPUTED_VALUE"""),"0x607ce91180ec37cd68f0e0aae428478926aa9b11")</f>
        <v>0x607ce91180ec37cd68f0e0aae428478926aa9b11</v>
      </c>
      <c r="J186" s="18">
        <v>327.22651636833797</v>
      </c>
      <c r="K186" s="4">
        <v>5453.775272805633</v>
      </c>
      <c r="L186" s="19">
        <v>5.453775272805633E21</v>
      </c>
      <c r="M186" s="20">
        <v>5.453775272805634E20</v>
      </c>
    </row>
    <row r="187">
      <c r="A187" s="6"/>
      <c r="B187" s="6"/>
      <c r="C187" s="4"/>
      <c r="D187" s="4">
        <v>327.22651636833797</v>
      </c>
      <c r="E187" s="4" t="s">
        <v>8606</v>
      </c>
      <c r="F187" s="4"/>
      <c r="G187" s="4"/>
      <c r="H187" s="4"/>
      <c r="I187" s="4" t="str">
        <f>IFERROR(__xludf.DUMMYFUNCTION("""COMPUTED_VALUE"""),"0x9ddea6c0bfa53bdf244ade7ba5ed7e227f6e58b4")</f>
        <v>0x9ddea6c0bfa53bdf244ade7ba5ed7e227f6e58b4</v>
      </c>
      <c r="J187" s="18">
        <v>27769.738311633337</v>
      </c>
      <c r="K187" s="4">
        <v>462828.97186055564</v>
      </c>
      <c r="L187" s="19">
        <v>4.628289718605557E23</v>
      </c>
      <c r="M187" s="20">
        <v>4.628289718605557E22</v>
      </c>
    </row>
    <row r="188">
      <c r="A188" s="6"/>
      <c r="B188" s="6"/>
      <c r="C188" s="4"/>
      <c r="D188" s="4">
        <v>327.22651636833797</v>
      </c>
      <c r="E188" s="4" t="s">
        <v>8607</v>
      </c>
      <c r="F188" s="4"/>
      <c r="G188" s="4"/>
      <c r="H188" s="4"/>
      <c r="I188" s="4" t="str">
        <f>IFERROR(__xludf.DUMMYFUNCTION("""COMPUTED_VALUE"""),"0xf976475469e7e882ec03d0832b4354cb4bda57fc")</f>
        <v>0xf976475469e7e882ec03d0832b4354cb4bda57fc</v>
      </c>
      <c r="J188" s="18">
        <v>626.551497690858</v>
      </c>
      <c r="K188" s="4">
        <v>10442.5249615143</v>
      </c>
      <c r="L188" s="19">
        <v>1.04425249615143E22</v>
      </c>
      <c r="M188" s="20">
        <v>1.04425249615143E21</v>
      </c>
    </row>
    <row r="189">
      <c r="A189" s="6"/>
      <c r="B189" s="6"/>
      <c r="C189" s="4"/>
      <c r="D189" s="4">
        <v>327.22651636833797</v>
      </c>
      <c r="E189" s="4" t="s">
        <v>8608</v>
      </c>
      <c r="F189" s="4"/>
      <c r="G189" s="4"/>
      <c r="H189" s="4"/>
      <c r="I189" s="4" t="str">
        <f>IFERROR(__xludf.DUMMYFUNCTION("""COMPUTED_VALUE"""),"0xaa638a5426ad0904cc52e161b4a4832168eb9d40")</f>
        <v>0xaa638a5426ad0904cc52e161b4a4832168eb9d40</v>
      </c>
      <c r="J189" s="18">
        <v>626.551497690858</v>
      </c>
      <c r="K189" s="4">
        <v>10442.5249615143</v>
      </c>
      <c r="L189" s="19">
        <v>1.04425249615143E22</v>
      </c>
      <c r="M189" s="20">
        <v>1.04425249615143E21</v>
      </c>
    </row>
    <row r="190">
      <c r="A190" s="6"/>
      <c r="B190" s="6"/>
      <c r="C190" s="4"/>
      <c r="D190" s="4">
        <v>117.255473030485</v>
      </c>
      <c r="E190" s="4" t="s">
        <v>7446</v>
      </c>
      <c r="F190" s="4"/>
      <c r="G190" s="4"/>
      <c r="H190" s="4"/>
      <c r="I190" s="4" t="str">
        <f>IFERROR(__xludf.DUMMYFUNCTION("""COMPUTED_VALUE"""),"0x9e5a44f6984d9b90a04deab5d24630b9b502cc56")</f>
        <v>0x9e5a44f6984d9b90a04deab5d24630b9b502cc56</v>
      </c>
      <c r="J190" s="18">
        <v>322.2216462585247</v>
      </c>
      <c r="K190" s="4">
        <v>5370.3607709754115</v>
      </c>
      <c r="L190" s="19">
        <v>5.370360770975411E21</v>
      </c>
      <c r="M190" s="20">
        <v>5.370360770975412E20</v>
      </c>
    </row>
    <row r="191">
      <c r="A191" s="6"/>
      <c r="B191" s="6"/>
      <c r="C191" s="4"/>
      <c r="D191" s="4">
        <v>130.890606547335</v>
      </c>
      <c r="E191" s="4" t="s">
        <v>8610</v>
      </c>
      <c r="F191" s="4"/>
      <c r="G191" s="4"/>
      <c r="H191" s="4"/>
      <c r="I191" s="4" t="str">
        <f>IFERROR(__xludf.DUMMYFUNCTION("""COMPUTED_VALUE"""),"0x0ae3d5949202165584a270cbac7a733b0307a766")</f>
        <v>0x0ae3d5949202165584a270cbac7a733b0307a766</v>
      </c>
      <c r="J191" s="18">
        <v>430.21558786985497</v>
      </c>
      <c r="K191" s="4">
        <v>7170.259797830917</v>
      </c>
      <c r="L191" s="19">
        <v>7.170259797830917E21</v>
      </c>
      <c r="M191" s="20">
        <v>7.170259797830917E20</v>
      </c>
    </row>
    <row r="192">
      <c r="A192" s="6"/>
      <c r="B192" s="6"/>
      <c r="C192" s="4"/>
      <c r="D192" s="4">
        <v>327.22651636833797</v>
      </c>
      <c r="E192" s="4" t="s">
        <v>8611</v>
      </c>
      <c r="F192" s="4"/>
      <c r="G192" s="4"/>
      <c r="H192" s="4"/>
      <c r="I192" s="4" t="str">
        <f>IFERROR(__xludf.DUMMYFUNCTION("""COMPUTED_VALUE"""),"0x313a0b647c5e05347e25d92c17866a8bb486332f")</f>
        <v>0x313a0b647c5e05347e25d92c17866a8bb486332f</v>
      </c>
      <c r="J192" s="18">
        <v>626.551497690858</v>
      </c>
      <c r="K192" s="4">
        <v>10442.5249615143</v>
      </c>
      <c r="L192" s="19">
        <v>1.04425249615143E22</v>
      </c>
      <c r="M192" s="20">
        <v>1.04425249615143E21</v>
      </c>
    </row>
    <row r="193">
      <c r="A193" s="6"/>
      <c r="B193" s="6"/>
      <c r="C193" s="4"/>
      <c r="D193" s="4">
        <v>327.22651636833797</v>
      </c>
      <c r="E193" s="4" t="s">
        <v>8612</v>
      </c>
      <c r="F193" s="4"/>
      <c r="G193" s="4"/>
      <c r="H193" s="4"/>
      <c r="I193" s="4" t="str">
        <f>IFERROR(__xludf.DUMMYFUNCTION("""COMPUTED_VALUE"""),"0xffea6161101f86abc5361c0f5f56d35015f5d6e2")</f>
        <v>0xffea6161101f86abc5361c0f5f56d35015f5d6e2</v>
      </c>
      <c r="J193" s="18">
        <v>626.551497690858</v>
      </c>
      <c r="K193" s="4">
        <v>10442.5249615143</v>
      </c>
      <c r="L193" s="19">
        <v>1.04425249615143E22</v>
      </c>
      <c r="M193" s="20">
        <v>1.04425249615143E21</v>
      </c>
    </row>
    <row r="194">
      <c r="A194" s="6"/>
      <c r="B194" s="6"/>
      <c r="C194" s="4"/>
      <c r="D194" s="4">
        <v>327.22651636833797</v>
      </c>
      <c r="E194" s="4" t="s">
        <v>8613</v>
      </c>
      <c r="F194" s="4"/>
      <c r="G194" s="4"/>
      <c r="H194" s="4"/>
      <c r="I194" s="4" t="str">
        <f>IFERROR(__xludf.DUMMYFUNCTION("""COMPUTED_VALUE"""),"0x0ef7d34e72e7f227b1ea78d445b864bde5784a0a")</f>
        <v>0x0ef7d34e72e7f227b1ea78d445b864bde5784a0a</v>
      </c>
      <c r="J194" s="18">
        <v>327.22651636833797</v>
      </c>
      <c r="K194" s="4">
        <v>5453.775272805633</v>
      </c>
      <c r="L194" s="19">
        <v>5.453775272805633E21</v>
      </c>
      <c r="M194" s="20">
        <v>5.453775272805634E20</v>
      </c>
    </row>
    <row r="195">
      <c r="A195" s="6"/>
      <c r="B195" s="6"/>
      <c r="C195" s="4"/>
      <c r="D195" s="4">
        <v>327.22651636833797</v>
      </c>
      <c r="E195" s="4" t="s">
        <v>8614</v>
      </c>
      <c r="F195" s="4"/>
      <c r="G195" s="4"/>
      <c r="H195" s="4"/>
      <c r="I195" s="4" t="str">
        <f>IFERROR(__xludf.DUMMYFUNCTION("""COMPUTED_VALUE"""),"0xeee9d4923ad30f3ee2a14eed45f39d5e27c67187")</f>
        <v>0xeee9d4923ad30f3ee2a14eed45f39d5e27c67187</v>
      </c>
      <c r="J195" s="18">
        <v>699.2083994522164</v>
      </c>
      <c r="K195" s="4">
        <v>11653.473324203607</v>
      </c>
      <c r="L195" s="19">
        <v>1.1653473324203606E22</v>
      </c>
      <c r="M195" s="20">
        <v>1.1653473324203607E21</v>
      </c>
    </row>
    <row r="196">
      <c r="A196" s="6"/>
      <c r="B196" s="6"/>
      <c r="C196" s="4"/>
      <c r="D196" s="4">
        <v>327.22651636833797</v>
      </c>
      <c r="E196" s="4" t="s">
        <v>2225</v>
      </c>
      <c r="F196" s="4"/>
      <c r="G196" s="4"/>
      <c r="H196" s="4"/>
      <c r="I196" s="4" t="str">
        <f>IFERROR(__xludf.DUMMYFUNCTION("""COMPUTED_VALUE"""),"0xfa62840318b63b751fc2ffaf5055c6aa94c7a96d")</f>
        <v>0xfa62840318b63b751fc2ffaf5055c6aa94c7a96d</v>
      </c>
      <c r="J196" s="18">
        <v>696.5699079857966</v>
      </c>
      <c r="K196" s="4">
        <v>11609.498466429943</v>
      </c>
      <c r="L196" s="19">
        <v>1.1609498466429943E22</v>
      </c>
      <c r="M196" s="20">
        <v>1.1609498466429944E21</v>
      </c>
    </row>
    <row r="197">
      <c r="A197" s="6"/>
      <c r="B197" s="6"/>
      <c r="C197" s="4"/>
      <c r="D197" s="4">
        <v>327.22651636833797</v>
      </c>
      <c r="E197" s="4" t="s">
        <v>8615</v>
      </c>
      <c r="F197" s="4"/>
      <c r="G197" s="4"/>
      <c r="H197" s="4"/>
      <c r="I197" s="4" t="str">
        <f>IFERROR(__xludf.DUMMYFUNCTION("""COMPUTED_VALUE"""),"0x7a5bc6b106c8f7f92a2c28a7e3b6bf0c9b7ed57e")</f>
        <v>0x7a5bc6b106c8f7f92a2c28a7e3b6bf0c9b7ed57e</v>
      </c>
      <c r="J197" s="18">
        <v>626.551497690858</v>
      </c>
      <c r="K197" s="4">
        <v>10442.5249615143</v>
      </c>
      <c r="L197" s="19">
        <v>1.04425249615143E22</v>
      </c>
      <c r="M197" s="20">
        <v>1.04425249615143E21</v>
      </c>
    </row>
    <row r="198">
      <c r="A198" s="6"/>
      <c r="B198" s="6"/>
      <c r="C198" s="4"/>
      <c r="D198" s="4">
        <v>327.22651636833797</v>
      </c>
      <c r="E198" s="4" t="s">
        <v>4952</v>
      </c>
      <c r="F198" s="4"/>
      <c r="G198" s="4"/>
      <c r="H198" s="4"/>
      <c r="I198" s="4" t="str">
        <f>IFERROR(__xludf.DUMMYFUNCTION("""COMPUTED_VALUE"""),"0xf62a8e42dbb2696544f92c338840ad6f94fdb4e3")</f>
        <v>0xf62a8e42dbb2696544f92c338840ad6f94fdb4e3</v>
      </c>
      <c r="J198" s="18">
        <v>626.551497690858</v>
      </c>
      <c r="K198" s="4">
        <v>10442.5249615143</v>
      </c>
      <c r="L198" s="19">
        <v>1.04425249615143E22</v>
      </c>
      <c r="M198" s="20">
        <v>1.04425249615143E21</v>
      </c>
    </row>
    <row r="199">
      <c r="A199" s="6"/>
      <c r="B199" s="6"/>
      <c r="C199" s="4"/>
      <c r="D199" s="4">
        <v>327.22651636833797</v>
      </c>
      <c r="E199" s="4" t="s">
        <v>8616</v>
      </c>
      <c r="F199" s="4"/>
      <c r="G199" s="4"/>
      <c r="H199" s="4"/>
      <c r="I199" s="4" t="str">
        <f>IFERROR(__xludf.DUMMYFUNCTION("""COMPUTED_VALUE"""),"0x5862a5cbab3c17a5e1d8171a5a72638b5cd75cd4")</f>
        <v>0x5862a5cbab3c17a5e1d8171a5a72638b5cd75cd4</v>
      </c>
      <c r="J199" s="18">
        <v>1016.591962044762</v>
      </c>
      <c r="K199" s="4">
        <v>16943.1993674127</v>
      </c>
      <c r="L199" s="19">
        <v>1.69431993674127E22</v>
      </c>
      <c r="M199" s="20">
        <v>1.69431993674127E21</v>
      </c>
    </row>
    <row r="200">
      <c r="A200" s="6"/>
      <c r="B200" s="6"/>
      <c r="C200" s="4"/>
      <c r="D200" s="4">
        <v>327.22651636833797</v>
      </c>
      <c r="E200" s="4" t="s">
        <v>8617</v>
      </c>
      <c r="F200" s="4"/>
      <c r="G200" s="4"/>
      <c r="H200" s="4"/>
      <c r="I200" s="4" t="str">
        <f>IFERROR(__xludf.DUMMYFUNCTION("""COMPUTED_VALUE"""),"0x0622d7104c729b8e7e7ca52afe6a9ac9321aeb8c")</f>
        <v>0x0622d7104c729b8e7e7ca52afe6a9ac9321aeb8c</v>
      </c>
      <c r="J200" s="18">
        <v>626.551497690858</v>
      </c>
      <c r="K200" s="4">
        <v>10442.5249615143</v>
      </c>
      <c r="L200" s="19">
        <v>1.04425249615143E22</v>
      </c>
      <c r="M200" s="20">
        <v>1.04425249615143E21</v>
      </c>
    </row>
    <row r="201">
      <c r="A201" s="6"/>
      <c r="B201" s="6"/>
      <c r="C201" s="4"/>
      <c r="D201" s="4">
        <v>225.614535101384</v>
      </c>
      <c r="E201" s="4" t="s">
        <v>8618</v>
      </c>
      <c r="F201" s="4"/>
      <c r="G201" s="4"/>
      <c r="H201" s="4"/>
      <c r="I201" s="4" t="str">
        <f>IFERROR(__xludf.DUMMYFUNCTION("""COMPUTED_VALUE"""),"0xeb7821a22602b0518caf8d973a0738dfd06bc2c3")</f>
        <v>0xeb7821a22602b0518caf8d973a0738dfd06bc2c3</v>
      </c>
      <c r="J201" s="18">
        <v>483.69022814305504</v>
      </c>
      <c r="K201" s="4">
        <v>8061.503802384251</v>
      </c>
      <c r="L201" s="19">
        <v>8.06150380238425E21</v>
      </c>
      <c r="M201" s="20">
        <v>8.06150380238425E20</v>
      </c>
    </row>
    <row r="202">
      <c r="A202" s="6"/>
      <c r="B202" s="6"/>
      <c r="C202" s="4"/>
      <c r="D202" s="4">
        <v>327.22651636833797</v>
      </c>
      <c r="E202" s="4" t="s">
        <v>8620</v>
      </c>
      <c r="F202" s="4"/>
      <c r="G202" s="4"/>
      <c r="H202" s="4"/>
      <c r="I202" s="4" t="str">
        <f>IFERROR(__xludf.DUMMYFUNCTION("""COMPUTED_VALUE"""),"0x442bee95d7fea5217431a02a0df4d10bb1e85e68")</f>
        <v>0x442bee95d7fea5217431a02a0df4d10bb1e85e68</v>
      </c>
      <c r="J202" s="18">
        <v>626.551497690858</v>
      </c>
      <c r="K202" s="4">
        <v>10442.5249615143</v>
      </c>
      <c r="L202" s="19">
        <v>1.04425249615143E22</v>
      </c>
      <c r="M202" s="20">
        <v>1.04425249615143E21</v>
      </c>
    </row>
    <row r="203">
      <c r="A203" s="6"/>
      <c r="B203" s="6"/>
      <c r="C203" s="4"/>
      <c r="D203" s="4">
        <v>327.22651636833797</v>
      </c>
      <c r="E203" s="4" t="s">
        <v>8621</v>
      </c>
      <c r="F203" s="4"/>
      <c r="G203" s="4"/>
      <c r="H203" s="4"/>
      <c r="I203" s="4" t="str">
        <f>IFERROR(__xludf.DUMMYFUNCTION("""COMPUTED_VALUE"""),"0xc88684b926de001e109c26fae3ad89a35038dfa0")</f>
        <v>0xc88684b926de001e109c26fae3ad89a35038dfa0</v>
      </c>
      <c r="J203" s="18">
        <v>327.22651636833797</v>
      </c>
      <c r="K203" s="4">
        <v>5453.775272805633</v>
      </c>
      <c r="L203" s="19">
        <v>5.453775272805633E21</v>
      </c>
      <c r="M203" s="20">
        <v>5.453775272805634E20</v>
      </c>
    </row>
    <row r="204">
      <c r="A204" s="6"/>
      <c r="B204" s="6"/>
      <c r="C204" s="4"/>
      <c r="D204" s="4">
        <v>327.22651636833797</v>
      </c>
      <c r="E204" s="4" t="s">
        <v>8622</v>
      </c>
      <c r="F204" s="4"/>
      <c r="G204" s="4"/>
      <c r="H204" s="4"/>
      <c r="I204" s="4" t="str">
        <f>IFERROR(__xludf.DUMMYFUNCTION("""COMPUTED_VALUE"""),"0x13a677a1320929eb5b6de09abbfe8fa07a7574ba")</f>
        <v>0x13a677a1320929eb5b6de09abbfe8fa07a7574ba</v>
      </c>
      <c r="J204" s="18">
        <v>626.551497690858</v>
      </c>
      <c r="K204" s="4">
        <v>10442.5249615143</v>
      </c>
      <c r="L204" s="19">
        <v>1.04425249615143E22</v>
      </c>
      <c r="M204" s="20">
        <v>1.04425249615143E21</v>
      </c>
    </row>
    <row r="205">
      <c r="A205" s="6"/>
      <c r="B205" s="6"/>
      <c r="C205" s="4"/>
      <c r="D205" s="4">
        <v>327.22651636833797</v>
      </c>
      <c r="E205" s="4" t="s">
        <v>751</v>
      </c>
      <c r="F205" s="4"/>
      <c r="G205" s="4"/>
      <c r="H205" s="4"/>
      <c r="I205" s="4" t="str">
        <f>IFERROR(__xludf.DUMMYFUNCTION("""COMPUTED_VALUE"""),"0xe89546063d995dfc96d719e4ff533e82a02dbb88")</f>
        <v>0xe89546063d995dfc96d719e4ff533e82a02dbb88</v>
      </c>
      <c r="J205" s="18">
        <v>626.551497690858</v>
      </c>
      <c r="K205" s="4">
        <v>10442.5249615143</v>
      </c>
      <c r="L205" s="19">
        <v>1.04425249615143E22</v>
      </c>
      <c r="M205" s="20">
        <v>1.04425249615143E21</v>
      </c>
    </row>
    <row r="206">
      <c r="A206" s="6"/>
      <c r="B206" s="6"/>
      <c r="C206" s="4"/>
      <c r="D206" s="4">
        <v>327.22651636833797</v>
      </c>
      <c r="E206" s="4" t="s">
        <v>8623</v>
      </c>
      <c r="F206" s="4"/>
      <c r="G206" s="4"/>
      <c r="H206" s="4"/>
      <c r="I206" s="4" t="str">
        <f>IFERROR(__xludf.DUMMYFUNCTION("""COMPUTED_VALUE"""),"0xf53b62171b9b057c41e52770dcc33b347d048c15")</f>
        <v>0xf53b62171b9b057c41e52770dcc33b347d048c15</v>
      </c>
      <c r="J206" s="18">
        <v>793.724856677497</v>
      </c>
      <c r="K206" s="4">
        <v>13228.747611291617</v>
      </c>
      <c r="L206" s="19">
        <v>1.3228747611291618E22</v>
      </c>
      <c r="M206" s="20">
        <v>1.322874761129162E21</v>
      </c>
    </row>
    <row r="207">
      <c r="A207" s="6"/>
      <c r="B207" s="6"/>
      <c r="C207" s="4"/>
      <c r="D207" s="4">
        <v>327.22651636833797</v>
      </c>
      <c r="E207" s="4" t="s">
        <v>8624</v>
      </c>
      <c r="F207" s="4"/>
      <c r="G207" s="4"/>
      <c r="H207" s="4"/>
      <c r="I207" s="4" t="str">
        <f>IFERROR(__xludf.DUMMYFUNCTION("""COMPUTED_VALUE"""),"0x2cb6162980c2c2249f850bd240e3c87fc33c5ce1")</f>
        <v>0x2cb6162980c2c2249f850bd240e3c87fc33c5ce1</v>
      </c>
      <c r="J207" s="18">
        <v>626.551497690858</v>
      </c>
      <c r="K207" s="4">
        <v>10442.5249615143</v>
      </c>
      <c r="L207" s="19">
        <v>1.04425249615143E22</v>
      </c>
      <c r="M207" s="20">
        <v>1.04425249615143E21</v>
      </c>
    </row>
    <row r="208">
      <c r="A208" s="6"/>
      <c r="B208" s="6"/>
      <c r="C208" s="4"/>
      <c r="D208" s="4">
        <v>210.91233724481802</v>
      </c>
      <c r="E208" s="4" t="s">
        <v>3112</v>
      </c>
      <c r="F208" s="4"/>
      <c r="G208" s="4"/>
      <c r="H208" s="4"/>
      <c r="I208" s="4" t="str">
        <f>IFERROR(__xludf.DUMMYFUNCTION("""COMPUTED_VALUE"""),"0x0097bc49e4c33eae61d5b3b661da92f1f9e2af21")</f>
        <v>0x0097bc49e4c33eae61d5b3b661da92f1f9e2af21</v>
      </c>
      <c r="J208" s="18">
        <v>403.99983201619705</v>
      </c>
      <c r="K208" s="4">
        <v>6733.3305336032845</v>
      </c>
      <c r="L208" s="19">
        <v>6.733330533603285E21</v>
      </c>
      <c r="M208" s="20">
        <v>6.733330533603285E20</v>
      </c>
    </row>
    <row r="209">
      <c r="A209" s="6"/>
      <c r="B209" s="6"/>
      <c r="C209" s="4"/>
      <c r="D209" s="4">
        <v>327.22651636833797</v>
      </c>
      <c r="E209" s="4" t="s">
        <v>8626</v>
      </c>
      <c r="F209" s="4"/>
      <c r="G209" s="4"/>
      <c r="H209" s="4"/>
      <c r="I209" s="4" t="str">
        <f>IFERROR(__xludf.DUMMYFUNCTION("""COMPUTED_VALUE"""),"0x4e72f7e288f7c1c58a439f8d101ded16587045d1")</f>
        <v>0x4e72f7e288f7c1c58a439f8d101ded16587045d1</v>
      </c>
      <c r="J209" s="18">
        <v>626.551497690858</v>
      </c>
      <c r="K209" s="4">
        <v>10442.5249615143</v>
      </c>
      <c r="L209" s="19">
        <v>1.04425249615143E22</v>
      </c>
      <c r="M209" s="20">
        <v>1.04425249615143E21</v>
      </c>
    </row>
    <row r="210">
      <c r="A210" s="6"/>
      <c r="B210" s="6"/>
      <c r="C210" s="4"/>
      <c r="D210" s="4">
        <v>327.22651636833797</v>
      </c>
      <c r="E210" s="4" t="s">
        <v>8627</v>
      </c>
      <c r="F210" s="4"/>
      <c r="G210" s="4"/>
      <c r="H210" s="4"/>
      <c r="I210" s="4" t="str">
        <f>IFERROR(__xludf.DUMMYFUNCTION("""COMPUTED_VALUE"""),"0x7465a22ba37d72ed2995be8d5e94ab1a39338f30")</f>
        <v>0x7465a22ba37d72ed2995be8d5e94ab1a39338f30</v>
      </c>
      <c r="J210" s="18">
        <v>626.551497690858</v>
      </c>
      <c r="K210" s="4">
        <v>10442.5249615143</v>
      </c>
      <c r="L210" s="19">
        <v>1.04425249615143E22</v>
      </c>
      <c r="M210" s="20">
        <v>1.04425249615143E21</v>
      </c>
    </row>
    <row r="211">
      <c r="A211" s="6"/>
      <c r="B211" s="6"/>
      <c r="C211" s="4"/>
      <c r="D211" s="4">
        <v>61.4256201347965</v>
      </c>
      <c r="E211" s="4" t="s">
        <v>8628</v>
      </c>
      <c r="F211" s="4"/>
      <c r="G211" s="4"/>
      <c r="H211" s="4"/>
      <c r="I211" s="4" t="str">
        <f>IFERROR(__xludf.DUMMYFUNCTION("""COMPUTED_VALUE"""),"0xe05e0f2740534df2d269ed8eba15bb29bfccb158")</f>
        <v>0xe05e0f2740534df2d269ed8eba15bb29bfccb158</v>
      </c>
      <c r="J211" s="18">
        <v>61.4256201347965</v>
      </c>
      <c r="K211" s="4">
        <v>1023.7603355799417</v>
      </c>
      <c r="L211" s="19">
        <v>1.0237603355799417E21</v>
      </c>
      <c r="M211" s="20">
        <v>1.0237603355799418E20</v>
      </c>
    </row>
    <row r="212">
      <c r="A212" s="6"/>
      <c r="B212" s="6"/>
      <c r="C212" s="4"/>
      <c r="D212" s="4">
        <v>130.890606547335</v>
      </c>
      <c r="E212" s="4" t="s">
        <v>8630</v>
      </c>
      <c r="F212" s="4"/>
      <c r="G212" s="4"/>
      <c r="H212" s="4"/>
      <c r="I212" s="4" t="str">
        <f>IFERROR(__xludf.DUMMYFUNCTION("""COMPUTED_VALUE"""),"0x7565deddcb83a14b185eb9520914bb918cdfe983")</f>
        <v>0x7565deddcb83a14b185eb9520914bb918cdfe983</v>
      </c>
      <c r="J212" s="18">
        <v>430.21558786985497</v>
      </c>
      <c r="K212" s="4">
        <v>7170.259797830917</v>
      </c>
      <c r="L212" s="19">
        <v>7.170259797830917E21</v>
      </c>
      <c r="M212" s="20">
        <v>7.170259797830917E20</v>
      </c>
    </row>
    <row r="213">
      <c r="A213" s="6"/>
      <c r="B213" s="6"/>
      <c r="C213" s="4"/>
      <c r="D213" s="4">
        <v>327.22651636833797</v>
      </c>
      <c r="E213" s="4" t="s">
        <v>3431</v>
      </c>
      <c r="F213" s="4"/>
      <c r="G213" s="4"/>
      <c r="H213" s="4"/>
      <c r="I213" s="4" t="str">
        <f>IFERROR(__xludf.DUMMYFUNCTION("""COMPUTED_VALUE"""),"0x3731696c9b5098beacf8dd03ac00c30bba979806")</f>
        <v>0x3731696c9b5098beacf8dd03ac00c30bba979806</v>
      </c>
      <c r="J213" s="18">
        <v>327.22651636833797</v>
      </c>
      <c r="K213" s="4">
        <v>5453.775272805633</v>
      </c>
      <c r="L213" s="19">
        <v>5.453775272805633E21</v>
      </c>
      <c r="M213" s="20">
        <v>5.453775272805634E20</v>
      </c>
    </row>
    <row r="214">
      <c r="A214" s="6"/>
      <c r="B214" s="6"/>
      <c r="C214" s="4"/>
      <c r="D214" s="4">
        <v>327.22651636833797</v>
      </c>
      <c r="E214" s="4" t="s">
        <v>7742</v>
      </c>
      <c r="F214" s="4"/>
      <c r="G214" s="4"/>
      <c r="H214" s="4"/>
      <c r="I214" s="4" t="str">
        <f>IFERROR(__xludf.DUMMYFUNCTION("""COMPUTED_VALUE"""),"0xac457a98a2c722cead70efecae6810fc1a633c2d")</f>
        <v>0xac457a98a2c722cead70efecae6810fc1a633c2d</v>
      </c>
      <c r="J214" s="18">
        <v>670.2909525511958</v>
      </c>
      <c r="K214" s="4">
        <v>11171.515875853263</v>
      </c>
      <c r="L214" s="19">
        <v>1.1171515875853263E22</v>
      </c>
      <c r="M214" s="20">
        <v>1.1171515875853263E21</v>
      </c>
    </row>
    <row r="215">
      <c r="A215" s="6"/>
      <c r="B215" s="6"/>
      <c r="C215" s="4"/>
      <c r="D215" s="4">
        <v>327.22651636833797</v>
      </c>
      <c r="E215" s="4" t="s">
        <v>1052</v>
      </c>
      <c r="F215" s="4"/>
      <c r="G215" s="4"/>
      <c r="H215" s="4"/>
      <c r="I215" s="4" t="str">
        <f>IFERROR(__xludf.DUMMYFUNCTION("""COMPUTED_VALUE"""),"0xddfd2627fae4d379332f0e96f802fc6901a2b920")</f>
        <v>0xddfd2627fae4d379332f0e96f802fc6901a2b920</v>
      </c>
      <c r="J215" s="18">
        <v>501.60308059559793</v>
      </c>
      <c r="K215" s="4">
        <v>8360.051343259966</v>
      </c>
      <c r="L215" s="19">
        <v>8.360051343259966E21</v>
      </c>
      <c r="M215" s="20">
        <v>8.360051343259966E20</v>
      </c>
    </row>
    <row r="216">
      <c r="A216" s="6"/>
      <c r="B216" s="6"/>
      <c r="C216" s="4"/>
      <c r="D216" s="4">
        <v>327.22651636833797</v>
      </c>
      <c r="E216" s="4" t="s">
        <v>2368</v>
      </c>
      <c r="F216" s="4"/>
      <c r="G216" s="4"/>
      <c r="H216" s="4"/>
      <c r="I216" s="4" t="str">
        <f>IFERROR(__xludf.DUMMYFUNCTION("""COMPUTED_VALUE"""),"0xbefbbb230a7de4eff48749971ae62ec9d4ce9782")</f>
        <v>0xbefbbb230a7de4eff48749971ae62ec9d4ce9782</v>
      </c>
      <c r="J216" s="18">
        <v>670.145638747673</v>
      </c>
      <c r="K216" s="4">
        <v>11169.093979127885</v>
      </c>
      <c r="L216" s="19">
        <v>1.1169093979127885E22</v>
      </c>
      <c r="M216" s="20">
        <v>1.1169093979127885E21</v>
      </c>
    </row>
    <row r="217">
      <c r="A217" s="6"/>
      <c r="B217" s="6"/>
      <c r="C217" s="4"/>
      <c r="D217" s="4">
        <v>327.22651636833797</v>
      </c>
      <c r="E217" s="4" t="s">
        <v>2806</v>
      </c>
      <c r="F217" s="4"/>
      <c r="G217" s="4"/>
      <c r="H217" s="4"/>
      <c r="I217" s="4" t="str">
        <f>IFERROR(__xludf.DUMMYFUNCTION("""COMPUTED_VALUE"""),"0xddd99beca9f7daa4bda89117259c9d3584f31e0a")</f>
        <v>0xddd99beca9f7daa4bda89117259c9d3584f31e0a</v>
      </c>
      <c r="J217" s="18">
        <v>1009.9664195101379</v>
      </c>
      <c r="K217" s="4">
        <v>16832.7736585023</v>
      </c>
      <c r="L217" s="19">
        <v>1.6832773658502301E22</v>
      </c>
      <c r="M217" s="20">
        <v>1.6832773658502302E21</v>
      </c>
    </row>
    <row r="218">
      <c r="A218" s="6"/>
      <c r="B218" s="6"/>
      <c r="C218" s="4"/>
      <c r="D218" s="4">
        <v>327.22651636833797</v>
      </c>
      <c r="E218" s="4" t="s">
        <v>8631</v>
      </c>
      <c r="F218" s="4"/>
      <c r="G218" s="4"/>
      <c r="H218" s="4"/>
      <c r="I218" s="4" t="str">
        <f>IFERROR(__xludf.DUMMYFUNCTION("""COMPUTED_VALUE"""),"0x6eeb59abdb4250e5085517259d9adb9a3b396f9b")</f>
        <v>0x6eeb59abdb4250e5085517259d9adb9a3b396f9b</v>
      </c>
      <c r="J218" s="18">
        <v>626.551497690858</v>
      </c>
      <c r="K218" s="4">
        <v>10442.5249615143</v>
      </c>
      <c r="L218" s="19">
        <v>1.04425249615143E22</v>
      </c>
      <c r="M218" s="20">
        <v>1.04425249615143E21</v>
      </c>
    </row>
    <row r="219">
      <c r="A219" s="6"/>
      <c r="B219" s="6"/>
      <c r="C219" s="4"/>
      <c r="D219" s="4">
        <v>327.22651636833797</v>
      </c>
      <c r="E219" s="4" t="s">
        <v>6764</v>
      </c>
      <c r="F219" s="4"/>
      <c r="G219" s="4"/>
      <c r="H219" s="4"/>
      <c r="I219" s="4" t="str">
        <f>IFERROR(__xludf.DUMMYFUNCTION("""COMPUTED_VALUE"""),"0x3a1711bce829e721c83a20dd05dee70b8a4bb644")</f>
        <v>0x3a1711bce829e721c83a20dd05dee70b8a4bb644</v>
      </c>
      <c r="J219" s="18">
        <v>626.551497690858</v>
      </c>
      <c r="K219" s="4">
        <v>10442.5249615143</v>
      </c>
      <c r="L219" s="19">
        <v>1.04425249615143E22</v>
      </c>
      <c r="M219" s="20">
        <v>1.04425249615143E21</v>
      </c>
    </row>
    <row r="220">
      <c r="A220" s="6"/>
      <c r="B220" s="6"/>
      <c r="C220" s="4"/>
      <c r="D220" s="4">
        <v>327.22651636833797</v>
      </c>
      <c r="E220" s="4" t="s">
        <v>8450</v>
      </c>
      <c r="F220" s="4"/>
      <c r="G220" s="4"/>
      <c r="H220" s="4"/>
      <c r="I220" s="4" t="str">
        <f>IFERROR(__xludf.DUMMYFUNCTION("""COMPUTED_VALUE"""),"0x9572db37b9f42021f77d7b874ecb8e46d4f4d1b4")</f>
        <v>0x9572db37b9f42021f77d7b874ecb8e46d4f4d1b4</v>
      </c>
      <c r="J220" s="18">
        <v>626.551497690858</v>
      </c>
      <c r="K220" s="4">
        <v>10442.5249615143</v>
      </c>
      <c r="L220" s="19">
        <v>1.04425249615143E22</v>
      </c>
      <c r="M220" s="20">
        <v>1.04425249615143E21</v>
      </c>
    </row>
    <row r="221">
      <c r="A221" s="6"/>
      <c r="B221" s="6"/>
      <c r="C221" s="4"/>
      <c r="D221" s="4">
        <v>327.22651636833797</v>
      </c>
      <c r="E221" s="4" t="s">
        <v>8134</v>
      </c>
      <c r="F221" s="4"/>
      <c r="G221" s="4"/>
      <c r="H221" s="4"/>
      <c r="I221" s="4" t="str">
        <f>IFERROR(__xludf.DUMMYFUNCTION("""COMPUTED_VALUE"""),"0x0dbdc315a01b844aaeda14a266737e93cec545ed")</f>
        <v>0x0dbdc315a01b844aaeda14a266737e93cec545ed</v>
      </c>
      <c r="J221" s="18">
        <v>655.0020562273546</v>
      </c>
      <c r="K221" s="4">
        <v>10916.700937122578</v>
      </c>
      <c r="L221" s="19">
        <v>1.0916700937122579E22</v>
      </c>
      <c r="M221" s="20">
        <v>1.091670093712258E21</v>
      </c>
    </row>
    <row r="222">
      <c r="A222" s="6"/>
      <c r="B222" s="6"/>
      <c r="C222" s="4"/>
      <c r="D222" s="4">
        <v>327.22651636833797</v>
      </c>
      <c r="E222" s="4" t="s">
        <v>817</v>
      </c>
      <c r="F222" s="4"/>
      <c r="G222" s="4"/>
      <c r="H222" s="4"/>
      <c r="I222" s="4" t="str">
        <f>IFERROR(__xludf.DUMMYFUNCTION("""COMPUTED_VALUE"""),"0xf0ea58b65c82c48ce69f0abd68d178e7764c4ba2")</f>
        <v>0xf0ea58b65c82c48ce69f0abd68d178e7764c4ba2</v>
      </c>
      <c r="J222" s="18">
        <v>946.3324125868521</v>
      </c>
      <c r="K222" s="4">
        <v>15772.206876447535</v>
      </c>
      <c r="L222" s="19">
        <v>1.5772206876447534E22</v>
      </c>
      <c r="M222" s="20">
        <v>1.5772206876447537E21</v>
      </c>
    </row>
    <row r="223">
      <c r="A223" s="6"/>
      <c r="B223" s="6"/>
      <c r="C223" s="4"/>
      <c r="D223" s="4">
        <v>67.5787384101501</v>
      </c>
      <c r="E223" s="4" t="s">
        <v>8632</v>
      </c>
      <c r="F223" s="4"/>
      <c r="G223" s="4"/>
      <c r="H223" s="4"/>
      <c r="I223" s="4" t="str">
        <f>IFERROR(__xludf.DUMMYFUNCTION("""COMPUTED_VALUE"""),"0x161a40c5c7274d75c5c65ffadb9087660bcb045f")</f>
        <v>0x161a40c5c7274d75c5c65ffadb9087660bcb045f</v>
      </c>
      <c r="J223" s="18">
        <v>129.1994562069672</v>
      </c>
      <c r="K223" s="4">
        <v>2153.3242701161203</v>
      </c>
      <c r="L223" s="19">
        <v>2.1533242701161203E21</v>
      </c>
      <c r="M223" s="20">
        <v>2.1533242701161205E20</v>
      </c>
    </row>
    <row r="224">
      <c r="A224" s="6"/>
      <c r="B224" s="6"/>
      <c r="C224" s="4"/>
      <c r="D224" s="4">
        <v>327.22651636833797</v>
      </c>
      <c r="E224" s="4" t="s">
        <v>8634</v>
      </c>
      <c r="F224" s="4"/>
      <c r="G224" s="4"/>
      <c r="H224" s="4"/>
      <c r="I224" s="4" t="str">
        <f>IFERROR(__xludf.DUMMYFUNCTION("""COMPUTED_VALUE"""),"0xc449d09d85bacd06b9d11ad795e4537132863446")</f>
        <v>0xc449d09d85bacd06b9d11ad795e4537132863446</v>
      </c>
      <c r="J224" s="18">
        <v>626.551497690858</v>
      </c>
      <c r="K224" s="4">
        <v>10442.5249615143</v>
      </c>
      <c r="L224" s="19">
        <v>1.04425249615143E22</v>
      </c>
      <c r="M224" s="20">
        <v>1.04425249615143E21</v>
      </c>
    </row>
    <row r="225">
      <c r="A225" s="6"/>
      <c r="B225" s="6"/>
      <c r="C225" s="4"/>
      <c r="D225" s="4">
        <v>327.22651636833797</v>
      </c>
      <c r="E225" s="4" t="s">
        <v>4277</v>
      </c>
      <c r="F225" s="4"/>
      <c r="G225" s="4"/>
      <c r="H225" s="4"/>
      <c r="I225" s="4" t="str">
        <f>IFERROR(__xludf.DUMMYFUNCTION("""COMPUTED_VALUE"""),"0xd7e51bfe897160b62556874296ea925801a0e909")</f>
        <v>0xd7e51bfe897160b62556874296ea925801a0e909</v>
      </c>
      <c r="J225" s="18">
        <v>626.551497690858</v>
      </c>
      <c r="K225" s="4">
        <v>10442.5249615143</v>
      </c>
      <c r="L225" s="19">
        <v>1.04425249615143E22</v>
      </c>
      <c r="M225" s="20">
        <v>1.04425249615143E21</v>
      </c>
    </row>
    <row r="226">
      <c r="A226" s="6"/>
      <c r="B226" s="6"/>
      <c r="C226" s="4"/>
      <c r="D226" s="4">
        <v>36.3734464824891</v>
      </c>
      <c r="E226" s="4" t="s">
        <v>8635</v>
      </c>
      <c r="F226" s="4"/>
      <c r="G226" s="4"/>
      <c r="H226" s="4"/>
      <c r="I226" s="4" t="str">
        <f>IFERROR(__xludf.DUMMYFUNCTION("""COMPUTED_VALUE"""),"0x06a5bb2aef141aff88eb754050f4e36256cb942e")</f>
        <v>0x06a5bb2aef141aff88eb754050f4e36256cb942e</v>
      </c>
      <c r="J226" s="18">
        <v>92.4306175629215</v>
      </c>
      <c r="K226" s="4">
        <v>1540.5102927153584</v>
      </c>
      <c r="L226" s="19">
        <v>1.5405102927153584E21</v>
      </c>
      <c r="M226" s="20">
        <v>1.5405102927153585E20</v>
      </c>
    </row>
    <row r="227">
      <c r="A227" s="6"/>
      <c r="B227" s="6"/>
      <c r="C227" s="4"/>
      <c r="D227" s="4">
        <v>327.22651636833797</v>
      </c>
      <c r="E227" s="4" t="s">
        <v>8637</v>
      </c>
      <c r="F227" s="4"/>
      <c r="G227" s="4"/>
      <c r="H227" s="4"/>
      <c r="I227" s="4" t="str">
        <f>IFERROR(__xludf.DUMMYFUNCTION("""COMPUTED_VALUE"""),"0xc04bc9edb22b0b7506b19bea14ea70713b686ddb")</f>
        <v>0xc04bc9edb22b0b7506b19bea14ea70713b686ddb</v>
      </c>
      <c r="J227" s="18">
        <v>626.551497690858</v>
      </c>
      <c r="K227" s="4">
        <v>10442.5249615143</v>
      </c>
      <c r="L227" s="19">
        <v>1.04425249615143E22</v>
      </c>
      <c r="M227" s="20">
        <v>1.04425249615143E21</v>
      </c>
    </row>
    <row r="228">
      <c r="A228" s="6"/>
      <c r="B228" s="6"/>
      <c r="C228" s="4"/>
      <c r="D228" s="4">
        <v>104.71248523786801</v>
      </c>
      <c r="E228" s="4" t="s">
        <v>8638</v>
      </c>
      <c r="F228" s="4"/>
      <c r="G228" s="4"/>
      <c r="H228" s="4"/>
      <c r="I228" s="4" t="str">
        <f>IFERROR(__xludf.DUMMYFUNCTION("""COMPUTED_VALUE"""),"0x684ecf4be1d20cc84c8eacd7b354246cee49c0d1")</f>
        <v>0x684ecf4be1d20cc84c8eacd7b354246cee49c0d1</v>
      </c>
      <c r="J228" s="18">
        <v>404.037466560388</v>
      </c>
      <c r="K228" s="4">
        <v>6733.957776006467</v>
      </c>
      <c r="L228" s="19">
        <v>6.733957776006467E21</v>
      </c>
      <c r="M228" s="20">
        <v>6.733957776006467E20</v>
      </c>
    </row>
    <row r="229">
      <c r="A229" s="6"/>
      <c r="B229" s="6"/>
      <c r="C229" s="4"/>
      <c r="D229" s="4">
        <v>327.22651636833797</v>
      </c>
      <c r="E229" s="4" t="s">
        <v>8640</v>
      </c>
      <c r="F229" s="4"/>
      <c r="G229" s="4"/>
      <c r="H229" s="4"/>
      <c r="I229" s="4" t="str">
        <f>IFERROR(__xludf.DUMMYFUNCTION("""COMPUTED_VALUE"""),"0xebc93e5bd55487cf76343e1efb9a1f846a10f8c2")</f>
        <v>0xebc93e5bd55487cf76343e1efb9a1f846a10f8c2</v>
      </c>
      <c r="J229" s="18">
        <v>728.362672142111</v>
      </c>
      <c r="K229" s="4">
        <v>12139.377869035185</v>
      </c>
      <c r="L229" s="19">
        <v>1.2139377869035185E22</v>
      </c>
      <c r="M229" s="20">
        <v>1.2139377869035185E21</v>
      </c>
    </row>
    <row r="230">
      <c r="A230" s="6"/>
      <c r="B230" s="6"/>
      <c r="C230" s="4"/>
      <c r="D230" s="4">
        <v>327.22651636833797</v>
      </c>
      <c r="E230" s="4" t="s">
        <v>8641</v>
      </c>
      <c r="F230" s="4"/>
      <c r="G230" s="4"/>
      <c r="H230" s="4"/>
      <c r="I230" s="4" t="str">
        <f>IFERROR(__xludf.DUMMYFUNCTION("""COMPUTED_VALUE"""),"0xe98c8628edf90a0d1889185e8933091bfcd5b8e4")</f>
        <v>0xe98c8628edf90a0d1889185e8933091bfcd5b8e4</v>
      </c>
      <c r="J230" s="18">
        <v>626.551497690858</v>
      </c>
      <c r="K230" s="4">
        <v>10442.5249615143</v>
      </c>
      <c r="L230" s="19">
        <v>1.04425249615143E22</v>
      </c>
      <c r="M230" s="20">
        <v>1.04425249615143E21</v>
      </c>
    </row>
    <row r="231">
      <c r="A231" s="6"/>
      <c r="B231" s="6"/>
      <c r="C231" s="4"/>
      <c r="D231" s="4">
        <v>327.22651636833797</v>
      </c>
      <c r="E231" s="4" t="s">
        <v>8642</v>
      </c>
      <c r="F231" s="4"/>
      <c r="G231" s="4"/>
      <c r="H231" s="4"/>
      <c r="I231" s="4" t="str">
        <f>IFERROR(__xludf.DUMMYFUNCTION("""COMPUTED_VALUE"""),"0x17186b7f453b46e14ac121496007cc533feae4c0")</f>
        <v>0x17186b7f453b46e14ac121496007cc533feae4c0</v>
      </c>
      <c r="J231" s="18">
        <v>626.551497690858</v>
      </c>
      <c r="K231" s="4">
        <v>10442.5249615143</v>
      </c>
      <c r="L231" s="19">
        <v>1.04425249615143E22</v>
      </c>
      <c r="M231" s="20">
        <v>1.04425249615143E21</v>
      </c>
    </row>
    <row r="232">
      <c r="A232" s="6"/>
      <c r="B232" s="6"/>
      <c r="C232" s="4"/>
      <c r="D232" s="4">
        <v>327.22651636833797</v>
      </c>
      <c r="E232" s="4" t="s">
        <v>7431</v>
      </c>
      <c r="F232" s="4"/>
      <c r="G232" s="4"/>
      <c r="H232" s="4"/>
      <c r="I232" s="4" t="str">
        <f>IFERROR(__xludf.DUMMYFUNCTION("""COMPUTED_VALUE"""),"0x9c9c36775a5fcbfd9572601d28d162cde0e5a36e")</f>
        <v>0x9c9c36775a5fcbfd9572601d28d162cde0e5a36e</v>
      </c>
      <c r="J232" s="18">
        <v>626.551497690858</v>
      </c>
      <c r="K232" s="4">
        <v>10442.5249615143</v>
      </c>
      <c r="L232" s="19">
        <v>1.04425249615143E22</v>
      </c>
      <c r="M232" s="20">
        <v>1.04425249615143E21</v>
      </c>
    </row>
    <row r="233">
      <c r="A233" s="6"/>
      <c r="B233" s="6"/>
      <c r="C233" s="4"/>
      <c r="D233" s="4">
        <v>327.22651636833797</v>
      </c>
      <c r="E233" s="4" t="s">
        <v>8643</v>
      </c>
      <c r="F233" s="4"/>
      <c r="G233" s="4"/>
      <c r="H233" s="4"/>
      <c r="I233" s="4" t="str">
        <f>IFERROR(__xludf.DUMMYFUNCTION("""COMPUTED_VALUE"""),"0x912989437d9c15ffccb94c0290e286499c06d351")</f>
        <v>0x912989437d9c15ffccb94c0290e286499c06d351</v>
      </c>
      <c r="J233" s="18">
        <v>868.354491846179</v>
      </c>
      <c r="K233" s="4">
        <v>14472.574864102984</v>
      </c>
      <c r="L233" s="19">
        <v>1.4472574864102984E22</v>
      </c>
      <c r="M233" s="20">
        <v>1.4472574864102984E21</v>
      </c>
    </row>
    <row r="234">
      <c r="A234" s="6"/>
      <c r="B234" s="6"/>
      <c r="C234" s="4"/>
      <c r="D234" s="4">
        <v>327.22651636833797</v>
      </c>
      <c r="E234" s="4" t="s">
        <v>4361</v>
      </c>
      <c r="F234" s="4"/>
      <c r="G234" s="4"/>
      <c r="H234" s="4"/>
      <c r="I234" s="4" t="str">
        <f>IFERROR(__xludf.DUMMYFUNCTION("""COMPUTED_VALUE"""),"0xcf43e9a2f9ed4810de89ae08d88445d8ccf63ab1")</f>
        <v>0xcf43e9a2f9ed4810de89ae08d88445d8ccf63ab1</v>
      </c>
      <c r="J234" s="18">
        <v>626.551497690858</v>
      </c>
      <c r="K234" s="4">
        <v>10442.5249615143</v>
      </c>
      <c r="L234" s="19">
        <v>1.04425249615143E22</v>
      </c>
      <c r="M234" s="20">
        <v>1.04425249615143E21</v>
      </c>
    </row>
    <row r="235">
      <c r="A235" s="6"/>
      <c r="B235" s="6"/>
      <c r="C235" s="4"/>
      <c r="D235" s="4">
        <v>319.223869132545</v>
      </c>
      <c r="E235" s="4" t="s">
        <v>501</v>
      </c>
      <c r="F235" s="4"/>
      <c r="G235" s="4"/>
      <c r="H235" s="4"/>
      <c r="I235" s="4" t="str">
        <f>IFERROR(__xludf.DUMMYFUNCTION("""COMPUTED_VALUE"""),"0x2f866300cdbe379df062cf499b3d6ba6644d7d25")</f>
        <v>0x2f866300cdbe379df062cf499b3d6ba6644d7d25</v>
      </c>
      <c r="J235" s="18">
        <v>851.9414338926771</v>
      </c>
      <c r="K235" s="4">
        <v>14199.023898211286</v>
      </c>
      <c r="L235" s="19">
        <v>1.4199023898211287E22</v>
      </c>
      <c r="M235" s="20">
        <v>1.4199023898211288E21</v>
      </c>
    </row>
    <row r="236">
      <c r="A236" s="6"/>
      <c r="B236" s="6"/>
      <c r="C236" s="4"/>
      <c r="D236" s="4">
        <v>327.22651636833797</v>
      </c>
      <c r="E236" s="4" t="s">
        <v>8645</v>
      </c>
      <c r="F236" s="4"/>
      <c r="G236" s="4"/>
      <c r="H236" s="4"/>
      <c r="I236" s="4" t="str">
        <f>IFERROR(__xludf.DUMMYFUNCTION("""COMPUTED_VALUE"""),"0xca80a9374ce92a33b3251ef074cc03e1075dd017")</f>
        <v>0xca80a9374ce92a33b3251ef074cc03e1075dd017</v>
      </c>
      <c r="J236" s="18">
        <v>327.22651636833797</v>
      </c>
      <c r="K236" s="4">
        <v>5453.775272805633</v>
      </c>
      <c r="L236" s="19">
        <v>5.453775272805633E21</v>
      </c>
      <c r="M236" s="20">
        <v>5.453775272805634E20</v>
      </c>
    </row>
    <row r="237">
      <c r="A237" s="6"/>
      <c r="B237" s="6"/>
      <c r="C237" s="4"/>
      <c r="D237" s="4">
        <v>327.22651636833797</v>
      </c>
      <c r="E237" s="4" t="s">
        <v>8646</v>
      </c>
      <c r="F237" s="4"/>
      <c r="G237" s="4"/>
      <c r="H237" s="4"/>
      <c r="I237" s="4" t="str">
        <f>IFERROR(__xludf.DUMMYFUNCTION("""COMPUTED_VALUE"""),"0x773106a0630dda384ea1b57b37a7ab69308804c4")</f>
        <v>0x773106a0630dda384ea1b57b37a7ab69308804c4</v>
      </c>
      <c r="J237" s="18">
        <v>626.551497690858</v>
      </c>
      <c r="K237" s="4">
        <v>10442.5249615143</v>
      </c>
      <c r="L237" s="19">
        <v>1.04425249615143E22</v>
      </c>
      <c r="M237" s="20">
        <v>1.04425249615143E21</v>
      </c>
    </row>
    <row r="238">
      <c r="A238" s="6"/>
      <c r="B238" s="6"/>
      <c r="C238" s="4"/>
      <c r="D238" s="4">
        <v>327.22651636833797</v>
      </c>
      <c r="E238" s="4" t="s">
        <v>8647</v>
      </c>
      <c r="F238" s="4"/>
      <c r="G238" s="4"/>
      <c r="H238" s="4"/>
      <c r="I238" s="4" t="str">
        <f>IFERROR(__xludf.DUMMYFUNCTION("""COMPUTED_VALUE"""),"0x501453641c67af889d1ffa9d76bcd79c70d48f65")</f>
        <v>0x501453641c67af889d1ffa9d76bcd79c70d48f65</v>
      </c>
      <c r="J238" s="18">
        <v>626.551497690858</v>
      </c>
      <c r="K238" s="4">
        <v>10442.5249615143</v>
      </c>
      <c r="L238" s="19">
        <v>1.04425249615143E22</v>
      </c>
      <c r="M238" s="20">
        <v>1.04425249615143E21</v>
      </c>
    </row>
    <row r="239">
      <c r="A239" s="6"/>
      <c r="B239" s="6"/>
      <c r="C239" s="4"/>
      <c r="D239" s="4">
        <v>327.22651636833797</v>
      </c>
      <c r="E239" s="4" t="s">
        <v>8648</v>
      </c>
      <c r="F239" s="4"/>
      <c r="G239" s="4"/>
      <c r="H239" s="4"/>
      <c r="I239" s="4" t="str">
        <f>IFERROR(__xludf.DUMMYFUNCTION("""COMPUTED_VALUE"""),"0xf103d92d4a20589b24540861d51ee25108102038")</f>
        <v>0xf103d92d4a20589b24540861d51ee25108102038</v>
      </c>
      <c r="J239" s="18">
        <v>327.22651636833797</v>
      </c>
      <c r="K239" s="4">
        <v>5453.775272805633</v>
      </c>
      <c r="L239" s="19">
        <v>5.453775272805633E21</v>
      </c>
      <c r="M239" s="20">
        <v>5.453775272805634E20</v>
      </c>
    </row>
    <row r="240">
      <c r="A240" s="6"/>
      <c r="B240" s="6"/>
      <c r="C240" s="4"/>
      <c r="D240" s="4">
        <v>327.22651636833797</v>
      </c>
      <c r="E240" s="4" t="s">
        <v>1507</v>
      </c>
      <c r="F240" s="4"/>
      <c r="G240" s="4"/>
      <c r="H240" s="4"/>
      <c r="I240" s="4" t="str">
        <f>IFERROR(__xludf.DUMMYFUNCTION("""COMPUTED_VALUE"""),"0xc825c4ed0ce2607939a201f12b591f015d634090")</f>
        <v>0xc825c4ed0ce2607939a201f12b591f015d634090</v>
      </c>
      <c r="J240" s="18">
        <v>873.584963679476</v>
      </c>
      <c r="K240" s="4">
        <v>14559.749394657934</v>
      </c>
      <c r="L240" s="19">
        <v>1.4559749394657935E22</v>
      </c>
      <c r="M240" s="20">
        <v>1.4559749394657937E21</v>
      </c>
    </row>
    <row r="241">
      <c r="A241" s="6"/>
      <c r="B241" s="6"/>
      <c r="C241" s="4"/>
      <c r="D241" s="4">
        <v>327.22651636833797</v>
      </c>
      <c r="E241" s="4" t="s">
        <v>107</v>
      </c>
      <c r="F241" s="4"/>
      <c r="G241" s="4"/>
      <c r="H241" s="4"/>
      <c r="I241" s="4" t="str">
        <f>IFERROR(__xludf.DUMMYFUNCTION("""COMPUTED_VALUE"""),"0x092cda2230d41979999fdd210af1b73a7da46ce4")</f>
        <v>0x092cda2230d41979999fdd210af1b73a7da46ce4</v>
      </c>
      <c r="J241" s="18">
        <v>1425.777417065801</v>
      </c>
      <c r="K241" s="4">
        <v>23762.956951096687</v>
      </c>
      <c r="L241" s="19">
        <v>2.3762956951096687E22</v>
      </c>
      <c r="M241" s="20">
        <v>2.3762956951096687E21</v>
      </c>
    </row>
    <row r="242">
      <c r="A242" s="6"/>
      <c r="B242" s="6"/>
      <c r="C242" s="4"/>
      <c r="D242" s="4">
        <v>327.22651636833797</v>
      </c>
      <c r="E242" s="4" t="s">
        <v>813</v>
      </c>
      <c r="F242" s="4"/>
      <c r="G242" s="4"/>
      <c r="H242" s="4"/>
      <c r="I242" s="4" t="str">
        <f>IFERROR(__xludf.DUMMYFUNCTION("""COMPUTED_VALUE"""),"0xa95878ae16923a232445bf7d3290b4a075b8e6a8")</f>
        <v>0xa95878ae16923a232445bf7d3290b4a075b8e6a8</v>
      </c>
      <c r="J242" s="18">
        <v>1293.776869617842</v>
      </c>
      <c r="K242" s="4">
        <v>21562.947826964035</v>
      </c>
      <c r="L242" s="19">
        <v>2.1562947826964035E22</v>
      </c>
      <c r="M242" s="20">
        <v>2.1562947826964035E21</v>
      </c>
    </row>
    <row r="243">
      <c r="A243" s="6"/>
      <c r="B243" s="6"/>
      <c r="C243" s="4"/>
      <c r="D243" s="4">
        <v>327.22651636833797</v>
      </c>
      <c r="E243" s="4" t="s">
        <v>8453</v>
      </c>
      <c r="F243" s="4"/>
      <c r="G243" s="4"/>
      <c r="H243" s="4"/>
      <c r="I243" s="4" t="str">
        <f>IFERROR(__xludf.DUMMYFUNCTION("""COMPUTED_VALUE"""),"0xc7811fac3b4519132769ceebb15a7ffe40e097ec")</f>
        <v>0xc7811fac3b4519132769ceebb15a7ffe40e097ec</v>
      </c>
      <c r="J243" s="18">
        <v>961.063873400152</v>
      </c>
      <c r="K243" s="4">
        <v>16017.731223335868</v>
      </c>
      <c r="L243" s="19">
        <v>1.6017731223335868E22</v>
      </c>
      <c r="M243" s="20">
        <v>1.6017731223335868E21</v>
      </c>
    </row>
    <row r="244">
      <c r="A244" s="6"/>
      <c r="B244" s="6"/>
      <c r="C244" s="4"/>
      <c r="D244" s="4">
        <v>327.22651636833797</v>
      </c>
      <c r="E244" s="4" t="s">
        <v>8649</v>
      </c>
      <c r="F244" s="4"/>
      <c r="G244" s="4"/>
      <c r="H244" s="4"/>
      <c r="I244" s="4" t="str">
        <f>IFERROR(__xludf.DUMMYFUNCTION("""COMPUTED_VALUE"""),"0x1609bc551b38eefe1738bce85ecd46797082709a")</f>
        <v>0x1609bc551b38eefe1738bce85ecd46797082709a</v>
      </c>
      <c r="J244" s="18">
        <v>952.058270525657</v>
      </c>
      <c r="K244" s="4">
        <v>15867.637842094284</v>
      </c>
      <c r="L244" s="19">
        <v>1.5867637842094284E22</v>
      </c>
      <c r="M244" s="20">
        <v>1.5867637842094284E21</v>
      </c>
    </row>
    <row r="245">
      <c r="A245" s="6"/>
      <c r="B245" s="6"/>
      <c r="C245" s="4"/>
      <c r="D245" s="4">
        <v>327.22651636833797</v>
      </c>
      <c r="E245" s="4" t="s">
        <v>1642</v>
      </c>
      <c r="F245" s="4"/>
      <c r="G245" s="4"/>
      <c r="H245" s="4"/>
      <c r="I245" s="4" t="str">
        <f>IFERROR(__xludf.DUMMYFUNCTION("""COMPUTED_VALUE"""),"0x0c15523eb36aa15cb97f689b1e03fa77f66951f9")</f>
        <v>0x0c15523eb36aa15cb97f689b1e03fa77f66951f9</v>
      </c>
      <c r="J245" s="18">
        <v>626.551497690858</v>
      </c>
      <c r="K245" s="4">
        <v>10442.5249615143</v>
      </c>
      <c r="L245" s="19">
        <v>1.04425249615143E22</v>
      </c>
      <c r="M245" s="20">
        <v>1.04425249615143E21</v>
      </c>
    </row>
    <row r="246">
      <c r="A246" s="6"/>
      <c r="B246" s="6"/>
      <c r="C246" s="4"/>
      <c r="D246" s="4">
        <v>327.22651636833797</v>
      </c>
      <c r="E246" s="4" t="s">
        <v>2292</v>
      </c>
      <c r="F246" s="4"/>
      <c r="G246" s="4"/>
      <c r="H246" s="4"/>
      <c r="I246" s="4" t="str">
        <f>IFERROR(__xludf.DUMMYFUNCTION("""COMPUTED_VALUE"""),"0x99329a9d73f7136ee28e344bd85132eeafae3fdc")</f>
        <v>0x99329a9d73f7136ee28e344bd85132eeafae3fdc</v>
      </c>
      <c r="J246" s="18">
        <v>626.551497690858</v>
      </c>
      <c r="K246" s="4">
        <v>10442.5249615143</v>
      </c>
      <c r="L246" s="19">
        <v>1.04425249615143E22</v>
      </c>
      <c r="M246" s="20">
        <v>1.04425249615143E21</v>
      </c>
    </row>
    <row r="247">
      <c r="A247" s="6"/>
      <c r="B247" s="6"/>
      <c r="C247" s="4"/>
      <c r="D247" s="4">
        <v>327.22651636833797</v>
      </c>
      <c r="E247" s="4" t="s">
        <v>1240</v>
      </c>
      <c r="F247" s="4"/>
      <c r="G247" s="4"/>
      <c r="H247" s="4"/>
      <c r="I247" s="4" t="str">
        <f>IFERROR(__xludf.DUMMYFUNCTION("""COMPUTED_VALUE"""),"0x814ab4c6e7d8afee9873855141995d00a4588e2a")</f>
        <v>0x814ab4c6e7d8afee9873855141995d00a4588e2a</v>
      </c>
      <c r="J247" s="18">
        <v>327.22651636833797</v>
      </c>
      <c r="K247" s="4">
        <v>5453.775272805633</v>
      </c>
      <c r="L247" s="19">
        <v>5.453775272805633E21</v>
      </c>
      <c r="M247" s="20">
        <v>5.453775272805634E20</v>
      </c>
    </row>
    <row r="248">
      <c r="A248" s="6"/>
      <c r="B248" s="6"/>
      <c r="C248" s="4"/>
      <c r="D248" s="4">
        <v>327.22651636833797</v>
      </c>
      <c r="E248" s="4" t="s">
        <v>6149</v>
      </c>
      <c r="F248" s="4"/>
      <c r="G248" s="4"/>
      <c r="H248" s="4"/>
      <c r="I248" s="4" t="str">
        <f>IFERROR(__xludf.DUMMYFUNCTION("""COMPUTED_VALUE"""),"0x0de7f3001a2e3874ab450910c1829a125a2be4f1")</f>
        <v>0x0de7f3001a2e3874ab450910c1829a125a2be4f1</v>
      </c>
      <c r="J248" s="18">
        <v>699.218470179208</v>
      </c>
      <c r="K248" s="4">
        <v>11653.641169653467</v>
      </c>
      <c r="L248" s="19">
        <v>1.1653641169653467E22</v>
      </c>
      <c r="M248" s="20">
        <v>1.1653641169653468E21</v>
      </c>
    </row>
    <row r="249">
      <c r="A249" s="6"/>
      <c r="B249" s="6"/>
      <c r="C249" s="4"/>
      <c r="D249" s="4">
        <v>327.22651636833797</v>
      </c>
      <c r="E249" s="4" t="s">
        <v>8650</v>
      </c>
      <c r="F249" s="4"/>
      <c r="G249" s="4"/>
      <c r="H249" s="4"/>
      <c r="I249" s="4" t="str">
        <f>IFERROR(__xludf.DUMMYFUNCTION("""COMPUTED_VALUE"""),"0x876b5e4366fee13affbe8df614e5d7e28989d9f0")</f>
        <v>0x876b5e4366fee13affbe8df614e5d7e28989d9f0</v>
      </c>
      <c r="J249" s="18">
        <v>803.1949572530721</v>
      </c>
      <c r="K249" s="4">
        <v>13386.582620884536</v>
      </c>
      <c r="L249" s="19">
        <v>1.3386582620884536E22</v>
      </c>
      <c r="M249" s="20">
        <v>1.3386582620884537E21</v>
      </c>
    </row>
    <row r="250">
      <c r="A250" s="6"/>
      <c r="B250" s="6"/>
      <c r="C250" s="4"/>
      <c r="D250" s="4">
        <v>327.22651636833797</v>
      </c>
      <c r="E250" s="4" t="s">
        <v>2764</v>
      </c>
      <c r="F250" s="4"/>
      <c r="G250" s="4"/>
      <c r="H250" s="4"/>
      <c r="I250" s="4" t="str">
        <f>IFERROR(__xludf.DUMMYFUNCTION("""COMPUTED_VALUE"""),"0x3136bf1ebc4f6225d2b7aa2965a7498948596bb5")</f>
        <v>0x3136bf1ebc4f6225d2b7aa2965a7498948596bb5</v>
      </c>
      <c r="J250" s="18">
        <v>626.551497690858</v>
      </c>
      <c r="K250" s="4">
        <v>10442.5249615143</v>
      </c>
      <c r="L250" s="19">
        <v>1.04425249615143E22</v>
      </c>
      <c r="M250" s="20">
        <v>1.04425249615143E21</v>
      </c>
    </row>
    <row r="251">
      <c r="A251" s="6"/>
      <c r="B251" s="6"/>
      <c r="C251" s="4"/>
      <c r="D251" s="4">
        <v>327.22651636833797</v>
      </c>
      <c r="E251" s="4" t="s">
        <v>6761</v>
      </c>
      <c r="F251" s="4"/>
      <c r="G251" s="4"/>
      <c r="H251" s="4"/>
      <c r="I251" s="4" t="str">
        <f>IFERROR(__xludf.DUMMYFUNCTION("""COMPUTED_VALUE"""),"0xcb6a43585b6719bdf518011e5e44a1b0b5ebbd5c")</f>
        <v>0xcb6a43585b6719bdf518011e5e44a1b0b5ebbd5c</v>
      </c>
      <c r="J251" s="18">
        <v>626.551497690858</v>
      </c>
      <c r="K251" s="4">
        <v>10442.5249615143</v>
      </c>
      <c r="L251" s="19">
        <v>1.04425249615143E22</v>
      </c>
      <c r="M251" s="20">
        <v>1.04425249615143E21</v>
      </c>
    </row>
    <row r="252">
      <c r="A252" s="6"/>
      <c r="B252" s="6"/>
      <c r="C252" s="4"/>
      <c r="D252" s="4">
        <v>327.22651636833797</v>
      </c>
      <c r="E252" s="4" t="s">
        <v>2471</v>
      </c>
      <c r="F252" s="4"/>
      <c r="G252" s="4"/>
      <c r="H252" s="4"/>
      <c r="I252" s="4" t="str">
        <f>IFERROR(__xludf.DUMMYFUNCTION("""COMPUTED_VALUE"""),"0x19775e1817bc7a1e41060f80e0d00eabae2959a7")</f>
        <v>0x19775e1817bc7a1e41060f80e0d00eabae2959a7</v>
      </c>
      <c r="J252" s="18">
        <v>655.7661831081531</v>
      </c>
      <c r="K252" s="4">
        <v>10929.436385135885</v>
      </c>
      <c r="L252" s="19">
        <v>1.0929436385135886E22</v>
      </c>
      <c r="M252" s="20">
        <v>1.0929436385135886E21</v>
      </c>
    </row>
    <row r="253">
      <c r="A253" s="6"/>
      <c r="B253" s="6"/>
      <c r="C253" s="4"/>
      <c r="D253" s="4">
        <v>229.316184532104</v>
      </c>
      <c r="E253" s="4" t="s">
        <v>8651</v>
      </c>
      <c r="F253" s="4"/>
      <c r="G253" s="4"/>
      <c r="H253" s="4"/>
      <c r="I253" s="4" t="str">
        <f>IFERROR(__xludf.DUMMYFUNCTION("""COMPUTED_VALUE"""),"0x95910efbf5fac0b7715121656c5b62a819540c3a")</f>
        <v>0x95910efbf5fac0b7715121656c5b62a819540c3a</v>
      </c>
      <c r="J253" s="18">
        <v>439.38516674957896</v>
      </c>
      <c r="K253" s="4">
        <v>7323.0861124929825</v>
      </c>
      <c r="L253" s="19">
        <v>7.323086112492983E21</v>
      </c>
      <c r="M253" s="20">
        <v>7.323086112492983E20</v>
      </c>
    </row>
    <row r="254">
      <c r="A254" s="6"/>
      <c r="B254" s="6"/>
      <c r="C254" s="4"/>
      <c r="D254" s="4">
        <v>327.22651636833797</v>
      </c>
      <c r="E254" s="4" t="s">
        <v>8653</v>
      </c>
      <c r="F254" s="4"/>
      <c r="G254" s="4"/>
      <c r="H254" s="4"/>
      <c r="I254" s="4" t="str">
        <f>IFERROR(__xludf.DUMMYFUNCTION("""COMPUTED_VALUE"""),"0x9a29967db9bb57bc4d16271b4b4884c2becefced")</f>
        <v>0x9a29967db9bb57bc4d16271b4b4884c2becefced</v>
      </c>
      <c r="J254" s="18">
        <v>1057.922040821828</v>
      </c>
      <c r="K254" s="4">
        <v>17632.034013697135</v>
      </c>
      <c r="L254" s="19">
        <v>1.7632034013697135E22</v>
      </c>
      <c r="M254" s="20">
        <v>1.7632034013697136E21</v>
      </c>
    </row>
    <row r="255">
      <c r="A255" s="6"/>
      <c r="B255" s="6"/>
      <c r="C255" s="4"/>
      <c r="D255" s="4">
        <v>327.22651636833797</v>
      </c>
      <c r="E255" s="4" t="s">
        <v>8281</v>
      </c>
      <c r="F255" s="4"/>
      <c r="G255" s="4"/>
      <c r="H255" s="4"/>
      <c r="I255" s="4" t="str">
        <f>IFERROR(__xludf.DUMMYFUNCTION("""COMPUTED_VALUE"""),"0x0a5d300f2aaebb0dd0527696aa67cf8d648a7d7f")</f>
        <v>0x0a5d300f2aaebb0dd0527696aa67cf8d648a7d7f</v>
      </c>
      <c r="J255" s="18">
        <v>626.551497690858</v>
      </c>
      <c r="K255" s="4">
        <v>10442.5249615143</v>
      </c>
      <c r="L255" s="19">
        <v>1.04425249615143E22</v>
      </c>
      <c r="M255" s="20">
        <v>1.04425249615143E21</v>
      </c>
    </row>
    <row r="256">
      <c r="A256" s="6"/>
      <c r="B256" s="6"/>
      <c r="C256" s="4"/>
      <c r="D256" s="4">
        <v>327.22651636833797</v>
      </c>
      <c r="E256" s="4" t="s">
        <v>8073</v>
      </c>
      <c r="F256" s="4"/>
      <c r="G256" s="4"/>
      <c r="H256" s="4"/>
      <c r="I256" s="4" t="str">
        <f>IFERROR(__xludf.DUMMYFUNCTION("""COMPUTED_VALUE"""),"0x3ab2ef1c5ed8d5479d38a32b36e7609a3bc48893")</f>
        <v>0x3ab2ef1c5ed8d5479d38a32b36e7609a3bc48893</v>
      </c>
      <c r="J256" s="18">
        <v>670.145638747673</v>
      </c>
      <c r="K256" s="4">
        <v>11169.093979127885</v>
      </c>
      <c r="L256" s="19">
        <v>1.1169093979127885E22</v>
      </c>
      <c r="M256" s="20">
        <v>1.1169093979127885E21</v>
      </c>
    </row>
    <row r="257">
      <c r="A257" s="6"/>
      <c r="B257" s="6"/>
      <c r="C257" s="4"/>
      <c r="D257" s="4">
        <v>327.22651636833797</v>
      </c>
      <c r="E257" s="4" t="s">
        <v>8654</v>
      </c>
      <c r="F257" s="4"/>
      <c r="G257" s="4"/>
      <c r="H257" s="4"/>
      <c r="I257" s="4" t="str">
        <f>IFERROR(__xludf.DUMMYFUNCTION("""COMPUTED_VALUE"""),"0x4b490466ecf8ca747a4fd673d404cfb8c68bbe20")</f>
        <v>0x4b490466ecf8ca747a4fd673d404cfb8c68bbe20</v>
      </c>
      <c r="J257" s="18">
        <v>626.551497690858</v>
      </c>
      <c r="K257" s="4">
        <v>10442.5249615143</v>
      </c>
      <c r="L257" s="19">
        <v>1.04425249615143E22</v>
      </c>
      <c r="M257" s="20">
        <v>1.04425249615143E21</v>
      </c>
    </row>
    <row r="258">
      <c r="A258" s="6"/>
      <c r="B258" s="6"/>
      <c r="C258" s="4"/>
      <c r="D258" s="4">
        <v>327.22651636833797</v>
      </c>
      <c r="E258" s="4" t="s">
        <v>4634</v>
      </c>
      <c r="F258" s="4"/>
      <c r="G258" s="4"/>
      <c r="H258" s="4"/>
      <c r="I258" s="4" t="str">
        <f>IFERROR(__xludf.DUMMYFUNCTION("""COMPUTED_VALUE"""),"0xa340286f3ebbc6ea195e28890dc2fc9ce417d20a")</f>
        <v>0xa340286f3ebbc6ea195e28890dc2fc9ce417d20a</v>
      </c>
      <c r="J258" s="18">
        <v>670.145638747673</v>
      </c>
      <c r="K258" s="4">
        <v>11169.093979127885</v>
      </c>
      <c r="L258" s="19">
        <v>1.1169093979127885E22</v>
      </c>
      <c r="M258" s="20">
        <v>1.1169093979127885E21</v>
      </c>
    </row>
    <row r="259">
      <c r="A259" s="6"/>
      <c r="B259" s="6"/>
      <c r="C259" s="4"/>
      <c r="D259" s="4">
        <v>327.22651636833797</v>
      </c>
      <c r="E259" s="4" t="s">
        <v>3668</v>
      </c>
      <c r="F259" s="4"/>
      <c r="G259" s="4"/>
      <c r="H259" s="4"/>
      <c r="I259" s="4" t="str">
        <f>IFERROR(__xludf.DUMMYFUNCTION("""COMPUTED_VALUE"""),"0xaadf465695b80d5f8a1079b6646ba0bdbbaa4307")</f>
        <v>0xaadf465695b80d5f8a1079b6646ba0bdbbaa4307</v>
      </c>
      <c r="J259" s="18">
        <v>682.1411357236296</v>
      </c>
      <c r="K259" s="4">
        <v>11369.01892872716</v>
      </c>
      <c r="L259" s="19">
        <v>1.136901892872716E22</v>
      </c>
      <c r="M259" s="20">
        <v>1.1369018928727162E21</v>
      </c>
    </row>
    <row r="260">
      <c r="A260" s="6"/>
      <c r="B260" s="6"/>
      <c r="C260" s="4"/>
      <c r="D260" s="4">
        <v>327.22651636833797</v>
      </c>
      <c r="E260" s="4" t="s">
        <v>1050</v>
      </c>
      <c r="F260" s="4"/>
      <c r="G260" s="4"/>
      <c r="H260" s="4"/>
      <c r="I260" s="4" t="str">
        <f>IFERROR(__xludf.DUMMYFUNCTION("""COMPUTED_VALUE"""),"0x0d27c91c0abeb875eefe0401fa7f6afe6aeb43e5")</f>
        <v>0x0d27c91c0abeb875eefe0401fa7f6afe6aeb43e5</v>
      </c>
      <c r="J260" s="18">
        <v>2254.792666162898</v>
      </c>
      <c r="K260" s="4">
        <v>37579.87776938164</v>
      </c>
      <c r="L260" s="19">
        <v>3.7579877769381637E22</v>
      </c>
      <c r="M260" s="20">
        <v>3.757987776938164E21</v>
      </c>
    </row>
    <row r="261">
      <c r="A261" s="6"/>
      <c r="B261" s="6"/>
      <c r="C261" s="4"/>
      <c r="D261" s="4">
        <v>327.22651636833797</v>
      </c>
      <c r="E261" s="4" t="s">
        <v>1041</v>
      </c>
      <c r="F261" s="4"/>
      <c r="G261" s="4"/>
      <c r="H261" s="4"/>
      <c r="I261" s="4" t="str">
        <f>IFERROR(__xludf.DUMMYFUNCTION("""COMPUTED_VALUE"""),"0x852df9d3caa6f14477b30971d84a079606d36285")</f>
        <v>0x852df9d3caa6f14477b30971d84a079606d36285</v>
      </c>
      <c r="J261" s="18">
        <v>728.285691537112</v>
      </c>
      <c r="K261" s="4">
        <v>12138.094858951868</v>
      </c>
      <c r="L261" s="19">
        <v>1.2138094858951868E22</v>
      </c>
      <c r="M261" s="20">
        <v>1.2138094858951868E21</v>
      </c>
    </row>
    <row r="262">
      <c r="A262" s="6"/>
      <c r="B262" s="6"/>
      <c r="C262" s="4"/>
      <c r="D262" s="4">
        <v>327.22651636833797</v>
      </c>
      <c r="E262" s="4" t="s">
        <v>788</v>
      </c>
      <c r="F262" s="4"/>
      <c r="G262" s="4"/>
      <c r="H262" s="4"/>
      <c r="I262" s="4" t="str">
        <f>IFERROR(__xludf.DUMMYFUNCTION("""COMPUTED_VALUE"""),"0xd52ed4e2a4f158fbc5fbc3804979be12ed3ad784")</f>
        <v>0xd52ed4e2a4f158fbc5fbc3804979be12ed3ad784</v>
      </c>
      <c r="J262" s="18">
        <v>626.551497690858</v>
      </c>
      <c r="K262" s="4">
        <v>10442.5249615143</v>
      </c>
      <c r="L262" s="19">
        <v>1.04425249615143E22</v>
      </c>
      <c r="M262" s="20">
        <v>1.04425249615143E21</v>
      </c>
    </row>
    <row r="263">
      <c r="A263" s="6"/>
      <c r="B263" s="6"/>
      <c r="C263" s="4"/>
      <c r="D263" s="4">
        <v>327.22651636833797</v>
      </c>
      <c r="E263" s="4" t="s">
        <v>8655</v>
      </c>
      <c r="F263" s="4"/>
      <c r="G263" s="4"/>
      <c r="H263" s="4"/>
      <c r="I263" s="4" t="str">
        <f>IFERROR(__xludf.DUMMYFUNCTION("""COMPUTED_VALUE"""),"0xa327f1edd6a384f573837e7bbbecf2c2dad14fc5")</f>
        <v>0xa327f1edd6a384f573837e7bbbecf2c2dad14fc5</v>
      </c>
      <c r="J263" s="18">
        <v>626.551497690858</v>
      </c>
      <c r="K263" s="4">
        <v>10442.5249615143</v>
      </c>
      <c r="L263" s="19">
        <v>1.04425249615143E22</v>
      </c>
      <c r="M263" s="20">
        <v>1.04425249615143E21</v>
      </c>
    </row>
    <row r="264">
      <c r="A264" s="6"/>
      <c r="B264" s="6"/>
      <c r="C264" s="4"/>
      <c r="D264" s="4">
        <v>327.22651636833797</v>
      </c>
      <c r="E264" s="4" t="s">
        <v>2342</v>
      </c>
      <c r="F264" s="4"/>
      <c r="G264" s="4"/>
      <c r="H264" s="4"/>
      <c r="I264" s="4" t="str">
        <f>IFERROR(__xludf.DUMMYFUNCTION("""COMPUTED_VALUE"""),"0xb6a2e160f47a0909a0f0464093de3da183cf2310")</f>
        <v>0xb6a2e160f47a0909a0f0464093de3da183cf2310</v>
      </c>
      <c r="J264" s="18">
        <v>626.551497690858</v>
      </c>
      <c r="K264" s="4">
        <v>10442.5249615143</v>
      </c>
      <c r="L264" s="19">
        <v>1.04425249615143E22</v>
      </c>
      <c r="M264" s="20">
        <v>1.04425249615143E21</v>
      </c>
    </row>
    <row r="265">
      <c r="A265" s="6"/>
      <c r="B265" s="6"/>
      <c r="C265" s="4"/>
      <c r="D265" s="4">
        <v>327.22651636833797</v>
      </c>
      <c r="E265" s="4" t="s">
        <v>3669</v>
      </c>
      <c r="F265" s="4"/>
      <c r="G265" s="4"/>
      <c r="H265" s="4"/>
      <c r="I265" s="4" t="str">
        <f>IFERROR(__xludf.DUMMYFUNCTION("""COMPUTED_VALUE"""),"0x32f15512417160a2bcf2b188bc52759e710bb701")</f>
        <v>0x32f15512417160a2bcf2b188bc52759e710bb701</v>
      </c>
      <c r="J265" s="18">
        <v>655.6142583954013</v>
      </c>
      <c r="K265" s="4">
        <v>10926.904306590022</v>
      </c>
      <c r="L265" s="19">
        <v>1.0926904306590022E22</v>
      </c>
      <c r="M265" s="20">
        <v>1.0926904306590022E21</v>
      </c>
    </row>
    <row r="266">
      <c r="A266" s="6"/>
      <c r="B266" s="6"/>
      <c r="C266" s="4"/>
      <c r="D266" s="4">
        <v>327.22651636833797</v>
      </c>
      <c r="E266" s="4" t="s">
        <v>3789</v>
      </c>
      <c r="F266" s="4"/>
      <c r="G266" s="4"/>
      <c r="H266" s="4"/>
      <c r="I266" s="4" t="str">
        <f>IFERROR(__xludf.DUMMYFUNCTION("""COMPUTED_VALUE"""),"0xae1ff4f54d1c97f432ce20c87a1d5d7ede320c9b")</f>
        <v>0xae1ff4f54d1c97f432ce20c87a1d5d7ede320c9b</v>
      </c>
      <c r="J266" s="18">
        <v>744.880369083044</v>
      </c>
      <c r="K266" s="4">
        <v>12414.672818050734</v>
      </c>
      <c r="L266" s="19">
        <v>1.2414672818050735E22</v>
      </c>
      <c r="M266" s="20">
        <v>1.2414672818050734E21</v>
      </c>
    </row>
    <row r="267">
      <c r="A267" s="6"/>
      <c r="B267" s="6"/>
      <c r="C267" s="4"/>
      <c r="D267" s="4">
        <v>327.22651636833797</v>
      </c>
      <c r="E267" s="4" t="s">
        <v>645</v>
      </c>
      <c r="F267" s="4"/>
      <c r="G267" s="4"/>
      <c r="H267" s="4"/>
      <c r="I267" s="4" t="str">
        <f>IFERROR(__xludf.DUMMYFUNCTION("""COMPUTED_VALUE"""),"0xbf6ad28484f234a9e358aefc4cd610f6ad92f523")</f>
        <v>0xbf6ad28484f234a9e358aefc4cd610f6ad92f523</v>
      </c>
      <c r="J267" s="18">
        <v>626.551497690858</v>
      </c>
      <c r="K267" s="4">
        <v>10442.5249615143</v>
      </c>
      <c r="L267" s="19">
        <v>1.04425249615143E22</v>
      </c>
      <c r="M267" s="20">
        <v>1.04425249615143E21</v>
      </c>
    </row>
    <row r="268">
      <c r="A268" s="6"/>
      <c r="B268" s="6"/>
      <c r="C268" s="4"/>
      <c r="D268" s="4">
        <v>327.22651636833797</v>
      </c>
      <c r="E268" s="4" t="s">
        <v>1848</v>
      </c>
      <c r="F268" s="4"/>
      <c r="G268" s="4"/>
      <c r="H268" s="4"/>
      <c r="I268" s="4" t="str">
        <f>IFERROR(__xludf.DUMMYFUNCTION("""COMPUTED_VALUE"""),"0x9dda346797c5b946c2c384553373539e7d370178")</f>
        <v>0x9dda346797c5b946c2c384553373539e7d370178</v>
      </c>
      <c r="J268" s="18">
        <v>670.145638747673</v>
      </c>
      <c r="K268" s="4">
        <v>11169.093979127885</v>
      </c>
      <c r="L268" s="19">
        <v>1.1169093979127885E22</v>
      </c>
      <c r="M268" s="20">
        <v>1.1169093979127885E21</v>
      </c>
    </row>
    <row r="269">
      <c r="A269" s="6"/>
      <c r="B269" s="6"/>
      <c r="C269" s="4"/>
      <c r="D269" s="4">
        <v>327.22651636833797</v>
      </c>
      <c r="E269" s="4" t="s">
        <v>8656</v>
      </c>
      <c r="F269" s="4"/>
      <c r="G269" s="4"/>
      <c r="H269" s="4"/>
      <c r="I269" s="4" t="str">
        <f>IFERROR(__xludf.DUMMYFUNCTION("""COMPUTED_VALUE"""),"0x897853510d7fb160045122934110a3197e0df2df")</f>
        <v>0x897853510d7fb160045122934110a3197e0df2df</v>
      </c>
      <c r="J269" s="18">
        <v>626.551497690858</v>
      </c>
      <c r="K269" s="4">
        <v>10442.5249615143</v>
      </c>
      <c r="L269" s="19">
        <v>1.04425249615143E22</v>
      </c>
      <c r="M269" s="20">
        <v>1.04425249615143E21</v>
      </c>
    </row>
    <row r="270">
      <c r="A270" s="6"/>
      <c r="B270" s="6"/>
      <c r="C270" s="4"/>
      <c r="D270" s="4">
        <v>327.22651636833797</v>
      </c>
      <c r="E270" s="4" t="s">
        <v>3501</v>
      </c>
      <c r="F270" s="4"/>
      <c r="G270" s="4"/>
      <c r="H270" s="4"/>
      <c r="I270" s="4" t="str">
        <f>IFERROR(__xludf.DUMMYFUNCTION("""COMPUTED_VALUE"""),"0xaccc07936c70c86ea6338652013a9cb9f41423da")</f>
        <v>0xaccc07936c70c86ea6338652013a9cb9f41423da</v>
      </c>
      <c r="J270" s="18">
        <v>670.145638747673</v>
      </c>
      <c r="K270" s="4">
        <v>11169.093979127885</v>
      </c>
      <c r="L270" s="19">
        <v>1.1169093979127885E22</v>
      </c>
      <c r="M270" s="20">
        <v>1.1169093979127885E21</v>
      </c>
    </row>
    <row r="271">
      <c r="A271" s="6"/>
      <c r="B271" s="6"/>
      <c r="C271" s="4"/>
      <c r="D271" s="4">
        <v>327.22651636833797</v>
      </c>
      <c r="E271" s="4" t="s">
        <v>8657</v>
      </c>
      <c r="F271" s="4"/>
      <c r="G271" s="4"/>
      <c r="H271" s="4"/>
      <c r="I271" s="4" t="str">
        <f>IFERROR(__xludf.DUMMYFUNCTION("""COMPUTED_VALUE"""),"0x38c1649b72fd245e434b9db29f6148a90aa7ca12")</f>
        <v>0x38c1649b72fd245e434b9db29f6148a90aa7ca12</v>
      </c>
      <c r="J271" s="18">
        <v>366.22025451332775</v>
      </c>
      <c r="K271" s="4">
        <v>6103.670908555463</v>
      </c>
      <c r="L271" s="19">
        <v>6.103670908555463E21</v>
      </c>
      <c r="M271" s="20">
        <v>6.103670908555463E20</v>
      </c>
    </row>
    <row r="272">
      <c r="A272" s="6"/>
      <c r="B272" s="6"/>
      <c r="C272" s="4"/>
      <c r="D272" s="4">
        <v>327.22651636833797</v>
      </c>
      <c r="E272" s="4" t="s">
        <v>8217</v>
      </c>
      <c r="F272" s="4"/>
      <c r="G272" s="4"/>
      <c r="H272" s="4"/>
      <c r="I272" s="4" t="str">
        <f>IFERROR(__xludf.DUMMYFUNCTION("""COMPUTED_VALUE"""),"0x1beb6c6c0e032c2e93eff2fa2008f3578b0f65ff")</f>
        <v>0x1beb6c6c0e032c2e93eff2fa2008f3578b0f65ff</v>
      </c>
      <c r="J272" s="18">
        <v>327.22651636833797</v>
      </c>
      <c r="K272" s="4">
        <v>5453.775272805633</v>
      </c>
      <c r="L272" s="19">
        <v>5.453775272805633E21</v>
      </c>
      <c r="M272" s="20">
        <v>5.453775272805634E20</v>
      </c>
    </row>
    <row r="273">
      <c r="A273" s="6"/>
      <c r="B273" s="6"/>
      <c r="C273" s="4"/>
      <c r="D273" s="4">
        <v>327.22651636833797</v>
      </c>
      <c r="E273" s="4" t="s">
        <v>8658</v>
      </c>
      <c r="F273" s="4"/>
      <c r="G273" s="4"/>
      <c r="H273" s="4"/>
      <c r="I273" s="4" t="str">
        <f>IFERROR(__xludf.DUMMYFUNCTION("""COMPUTED_VALUE"""),"0xb7468f396e69ff0f8e082737ba0e53cd2a39d055")</f>
        <v>0xb7468f396e69ff0f8e082737ba0e53cd2a39d055</v>
      </c>
      <c r="J273" s="18">
        <v>626.551497690858</v>
      </c>
      <c r="K273" s="4">
        <v>10442.5249615143</v>
      </c>
      <c r="L273" s="19">
        <v>1.04425249615143E22</v>
      </c>
      <c r="M273" s="20">
        <v>1.04425249615143E21</v>
      </c>
    </row>
    <row r="274">
      <c r="A274" s="6"/>
      <c r="B274" s="6"/>
      <c r="C274" s="4"/>
      <c r="D274" s="4">
        <v>327.22651636833797</v>
      </c>
      <c r="E274" s="4" t="s">
        <v>8659</v>
      </c>
      <c r="F274" s="4"/>
      <c r="G274" s="4"/>
      <c r="H274" s="4"/>
      <c r="I274" s="4" t="str">
        <f>IFERROR(__xludf.DUMMYFUNCTION("""COMPUTED_VALUE"""),"0xdefd1b60c0291af750dc00222aaabed4118e510b")</f>
        <v>0xdefd1b60c0291af750dc00222aaabed4118e510b</v>
      </c>
      <c r="J274" s="18">
        <v>626.551497690858</v>
      </c>
      <c r="K274" s="4">
        <v>10442.5249615143</v>
      </c>
      <c r="L274" s="19">
        <v>1.04425249615143E22</v>
      </c>
      <c r="M274" s="20">
        <v>1.04425249615143E21</v>
      </c>
    </row>
    <row r="275">
      <c r="A275" s="6"/>
      <c r="B275" s="6"/>
      <c r="C275" s="4"/>
      <c r="D275" s="4">
        <v>327.22651636833797</v>
      </c>
      <c r="E275" s="4" t="s">
        <v>1517</v>
      </c>
      <c r="F275" s="4"/>
      <c r="G275" s="4"/>
      <c r="H275" s="4"/>
      <c r="I275" s="4" t="str">
        <f>IFERROR(__xludf.DUMMYFUNCTION("""COMPUTED_VALUE"""),"0x4e1cf0b8e675d8aa54f3fcc24b750111cc01069e")</f>
        <v>0x4e1cf0b8e675d8aa54f3fcc24b750111cc01069e</v>
      </c>
      <c r="J275" s="18">
        <v>908.062706192406</v>
      </c>
      <c r="K275" s="4">
        <v>15134.3784365401</v>
      </c>
      <c r="L275" s="19">
        <v>1.5134378436540102E22</v>
      </c>
      <c r="M275" s="20">
        <v>1.5134378436540102E21</v>
      </c>
    </row>
    <row r="276">
      <c r="A276" s="6"/>
      <c r="B276" s="6"/>
      <c r="C276" s="4"/>
      <c r="D276" s="4">
        <v>327.22651636833797</v>
      </c>
      <c r="E276" s="4" t="s">
        <v>6962</v>
      </c>
      <c r="F276" s="4"/>
      <c r="G276" s="4"/>
      <c r="H276" s="4"/>
      <c r="I276" s="4" t="str">
        <f>IFERROR(__xludf.DUMMYFUNCTION("""COMPUTED_VALUE"""),"0xd8579b444763f4a52b4a9509dacfc4e8ef5f93d2")</f>
        <v>0xd8579b444763f4a52b4a9509dacfc4e8ef5f93d2</v>
      </c>
      <c r="J276" s="18">
        <v>626.551497690858</v>
      </c>
      <c r="K276" s="4">
        <v>10442.5249615143</v>
      </c>
      <c r="L276" s="19">
        <v>1.04425249615143E22</v>
      </c>
      <c r="M276" s="20">
        <v>1.04425249615143E21</v>
      </c>
    </row>
    <row r="277">
      <c r="A277" s="6"/>
      <c r="B277" s="6"/>
      <c r="C277" s="4"/>
      <c r="D277" s="4">
        <v>327.22651636833797</v>
      </c>
      <c r="E277" s="4" t="s">
        <v>8660</v>
      </c>
      <c r="F277" s="4"/>
      <c r="G277" s="4"/>
      <c r="H277" s="4"/>
      <c r="I277" s="4" t="str">
        <f>IFERROR(__xludf.DUMMYFUNCTION("""COMPUTED_VALUE"""),"0x9748c887809da7e89c7afa0fb62f8fd955486f50")</f>
        <v>0x9748c887809da7e89c7afa0fb62f8fd955486f50</v>
      </c>
      <c r="J277" s="18">
        <v>656.0502012640483</v>
      </c>
      <c r="K277" s="4">
        <v>10934.170021067472</v>
      </c>
      <c r="L277" s="19">
        <v>1.0934170021067473E22</v>
      </c>
      <c r="M277" s="20">
        <v>1.0934170021067474E21</v>
      </c>
    </row>
    <row r="278">
      <c r="A278" s="6"/>
      <c r="B278" s="6"/>
      <c r="C278" s="4"/>
      <c r="D278" s="4">
        <v>327.22651636833797</v>
      </c>
      <c r="E278" s="4" t="s">
        <v>2914</v>
      </c>
      <c r="F278" s="4"/>
      <c r="G278" s="4"/>
      <c r="H278" s="4"/>
      <c r="I278" s="4" t="str">
        <f>IFERROR(__xludf.DUMMYFUNCTION("""COMPUTED_VALUE"""),"0x3049cfdadc637212740b7061b2169e6e0311422e")</f>
        <v>0x3049cfdadc637212740b7061b2169e6e0311422e</v>
      </c>
      <c r="J278" s="18">
        <v>626.551497690858</v>
      </c>
      <c r="K278" s="4">
        <v>10442.5249615143</v>
      </c>
      <c r="L278" s="19">
        <v>1.04425249615143E22</v>
      </c>
      <c r="M278" s="20">
        <v>1.04425249615143E21</v>
      </c>
    </row>
    <row r="279">
      <c r="A279" s="6"/>
      <c r="B279" s="6"/>
      <c r="C279" s="4"/>
      <c r="D279" s="4">
        <v>327.22651636833797</v>
      </c>
      <c r="E279" s="4" t="s">
        <v>6981</v>
      </c>
      <c r="F279" s="4"/>
      <c r="G279" s="4"/>
      <c r="H279" s="4"/>
      <c r="I279" s="4" t="str">
        <f>IFERROR(__xludf.DUMMYFUNCTION("""COMPUTED_VALUE"""),"0xd409769a2430cf7801499a732cef76bd28cdff4e")</f>
        <v>0xd409769a2430cf7801499a732cef76bd28cdff4e</v>
      </c>
      <c r="J279" s="18">
        <v>327.22651636833797</v>
      </c>
      <c r="K279" s="4">
        <v>5453.775272805633</v>
      </c>
      <c r="L279" s="19">
        <v>5.453775272805633E21</v>
      </c>
      <c r="M279" s="20">
        <v>5.453775272805634E20</v>
      </c>
    </row>
    <row r="280">
      <c r="A280" s="6"/>
      <c r="B280" s="6"/>
      <c r="C280" s="4"/>
      <c r="D280" s="4">
        <v>327.22651636833797</v>
      </c>
      <c r="E280" s="4" t="s">
        <v>4154</v>
      </c>
      <c r="F280" s="4"/>
      <c r="G280" s="4"/>
      <c r="H280" s="4"/>
      <c r="I280" s="4" t="str">
        <f>IFERROR(__xludf.DUMMYFUNCTION("""COMPUTED_VALUE"""),"0x717a9221e3ab144a21c5338907ee76058e508f2b")</f>
        <v>0x717a9221e3ab144a21c5338907ee76058e508f2b</v>
      </c>
      <c r="J280" s="18">
        <v>655.7595721989242</v>
      </c>
      <c r="K280" s="4">
        <v>10929.326203315402</v>
      </c>
      <c r="L280" s="19">
        <v>1.0929326203315402E22</v>
      </c>
      <c r="M280" s="20">
        <v>1.0929326203315403E21</v>
      </c>
    </row>
    <row r="281">
      <c r="A281" s="6"/>
      <c r="B281" s="6"/>
      <c r="C281" s="4"/>
      <c r="D281" s="4">
        <v>130.890606547335</v>
      </c>
      <c r="E281" s="4" t="s">
        <v>8661</v>
      </c>
      <c r="F281" s="4"/>
      <c r="G281" s="4"/>
      <c r="H281" s="4"/>
      <c r="I281" s="4" t="str">
        <f>IFERROR(__xludf.DUMMYFUNCTION("""COMPUTED_VALUE"""),"0xed51f66ba4e958235aa0992dd8cf1d2abcd783bd")</f>
        <v>0xed51f66ba4e958235aa0992dd8cf1d2abcd783bd</v>
      </c>
      <c r="J281" s="18">
        <v>430.21558786985497</v>
      </c>
      <c r="K281" s="4">
        <v>7170.259797830917</v>
      </c>
      <c r="L281" s="19">
        <v>7.170259797830917E21</v>
      </c>
      <c r="M281" s="20">
        <v>7.170259797830917E20</v>
      </c>
    </row>
    <row r="282">
      <c r="A282" s="6"/>
      <c r="B282" s="6"/>
      <c r="C282" s="4"/>
      <c r="D282" s="4">
        <v>299.19288570525504</v>
      </c>
      <c r="E282" s="4" t="s">
        <v>6350</v>
      </c>
      <c r="F282" s="4"/>
      <c r="G282" s="4"/>
      <c r="H282" s="4"/>
      <c r="I282" s="4" t="str">
        <f>IFERROR(__xludf.DUMMYFUNCTION("""COMPUTED_VALUE"""),"0x550d19253fb509fdbd67e1eb8b114107058131ef")</f>
        <v>0x550d19253fb509fdbd67e1eb8b114107058131ef</v>
      </c>
      <c r="J282" s="18">
        <v>598.5178670277751</v>
      </c>
      <c r="K282" s="4">
        <v>9975.297783796252</v>
      </c>
      <c r="L282" s="19">
        <v>9.97529778379625E21</v>
      </c>
      <c r="M282" s="20">
        <v>9.975297783796251E20</v>
      </c>
    </row>
    <row r="283">
      <c r="A283" s="6"/>
      <c r="B283" s="6"/>
      <c r="C283" s="4"/>
      <c r="D283" s="4">
        <v>327.22651636833797</v>
      </c>
      <c r="E283" s="4" t="s">
        <v>7589</v>
      </c>
      <c r="F283" s="4"/>
      <c r="G283" s="4"/>
      <c r="H283" s="4"/>
      <c r="I283" s="4" t="str">
        <f>IFERROR(__xludf.DUMMYFUNCTION("""COMPUTED_VALUE"""),"0xc74009f15699078ccca90fd90e12eae5b23e7958")</f>
        <v>0xc74009f15699078ccca90fd90e12eae5b23e7958</v>
      </c>
      <c r="J283" s="18">
        <v>626.551497690858</v>
      </c>
      <c r="K283" s="4">
        <v>10442.5249615143</v>
      </c>
      <c r="L283" s="19">
        <v>1.04425249615143E22</v>
      </c>
      <c r="M283" s="20">
        <v>1.04425249615143E21</v>
      </c>
    </row>
    <row r="284">
      <c r="A284" s="6"/>
      <c r="B284" s="6"/>
      <c r="C284" s="4"/>
      <c r="D284" s="4">
        <v>327.22651636833797</v>
      </c>
      <c r="E284" s="4" t="s">
        <v>6175</v>
      </c>
      <c r="F284" s="4"/>
      <c r="G284" s="4"/>
      <c r="H284" s="4"/>
      <c r="I284" s="4" t="str">
        <f>IFERROR(__xludf.DUMMYFUNCTION("""COMPUTED_VALUE"""),"0x8fc87c199203332c1cc43430b9fad2b1868e44d0")</f>
        <v>0x8fc87c199203332c1cc43430b9fad2b1868e44d0</v>
      </c>
      <c r="J284" s="18">
        <v>327.22651636833797</v>
      </c>
      <c r="K284" s="4">
        <v>5453.775272805633</v>
      </c>
      <c r="L284" s="19">
        <v>5.453775272805633E21</v>
      </c>
      <c r="M284" s="20">
        <v>5.453775272805634E20</v>
      </c>
    </row>
    <row r="285">
      <c r="A285" s="6"/>
      <c r="B285" s="6"/>
      <c r="C285" s="4"/>
      <c r="D285" s="4">
        <v>327.22651636833797</v>
      </c>
      <c r="E285" s="4" t="s">
        <v>8663</v>
      </c>
      <c r="F285" s="4"/>
      <c r="G285" s="4"/>
      <c r="H285" s="4"/>
      <c r="I285" s="4" t="str">
        <f>IFERROR(__xludf.DUMMYFUNCTION("""COMPUTED_VALUE"""),"0x614aedd12cb182099656f0d2ff82e4553a290028")</f>
        <v>0x614aedd12cb182099656f0d2ff82e4553a290028</v>
      </c>
      <c r="J285" s="18">
        <v>655.6142583954013</v>
      </c>
      <c r="K285" s="4">
        <v>10926.904306590022</v>
      </c>
      <c r="L285" s="19">
        <v>1.0926904306590022E22</v>
      </c>
      <c r="M285" s="20">
        <v>1.0926904306590022E21</v>
      </c>
    </row>
    <row r="286">
      <c r="A286" s="6"/>
      <c r="B286" s="6"/>
      <c r="C286" s="4"/>
      <c r="D286" s="4">
        <v>327.22651636833797</v>
      </c>
      <c r="E286" s="4" t="s">
        <v>8664</v>
      </c>
      <c r="F286" s="4"/>
      <c r="G286" s="4"/>
      <c r="H286" s="4"/>
      <c r="I286" s="4" t="str">
        <f>IFERROR(__xludf.DUMMYFUNCTION("""COMPUTED_VALUE"""),"0xa2830d8e9fba0aa426032ae415e3adbc86f8fd60")</f>
        <v>0xa2830d8e9fba0aa426032ae415e3adbc86f8fd60</v>
      </c>
      <c r="J286" s="18">
        <v>873.5936371774831</v>
      </c>
      <c r="K286" s="4">
        <v>14559.893952958051</v>
      </c>
      <c r="L286" s="19">
        <v>1.455989395295805E22</v>
      </c>
      <c r="M286" s="20">
        <v>1.455989395295805E21</v>
      </c>
    </row>
    <row r="287">
      <c r="A287" s="6"/>
      <c r="B287" s="6"/>
      <c r="C287" s="4"/>
      <c r="D287" s="4">
        <v>296.347728876486</v>
      </c>
      <c r="E287" s="4" t="s">
        <v>2478</v>
      </c>
      <c r="F287" s="4"/>
      <c r="G287" s="4"/>
      <c r="H287" s="4"/>
      <c r="I287" s="4" t="str">
        <f>IFERROR(__xludf.DUMMYFUNCTION("""COMPUTED_VALUE"""),"0x185df3839a57dbdd02f66dd10b54dbdd66c4ce84")</f>
        <v>0x185df3839a57dbdd02f66dd10b54dbdd66c4ce84</v>
      </c>
      <c r="J287" s="18">
        <v>689.8685947084039</v>
      </c>
      <c r="K287" s="4">
        <v>11497.809911806731</v>
      </c>
      <c r="L287" s="19">
        <v>1.1497809911806731E22</v>
      </c>
      <c r="M287" s="20">
        <v>1.1497809911806731E21</v>
      </c>
    </row>
    <row r="288">
      <c r="A288" s="6"/>
      <c r="B288" s="6"/>
      <c r="C288" s="4"/>
      <c r="D288" s="4">
        <v>327.22651636833797</v>
      </c>
      <c r="E288" s="4" t="s">
        <v>8666</v>
      </c>
      <c r="F288" s="4"/>
      <c r="G288" s="4"/>
      <c r="H288" s="4"/>
      <c r="I288" s="4" t="str">
        <f>IFERROR(__xludf.DUMMYFUNCTION("""COMPUTED_VALUE"""),"0x400d85e08ab9fe960d781080a73223a7f271f58c")</f>
        <v>0x400d85e08ab9fe960d781080a73223a7f271f58c</v>
      </c>
      <c r="J288" s="18">
        <v>327.22651636833797</v>
      </c>
      <c r="K288" s="4">
        <v>5453.775272805633</v>
      </c>
      <c r="L288" s="19">
        <v>5.453775272805633E21</v>
      </c>
      <c r="M288" s="20">
        <v>5.453775272805634E20</v>
      </c>
    </row>
    <row r="289">
      <c r="A289" s="6"/>
      <c r="B289" s="6"/>
      <c r="C289" s="4"/>
      <c r="D289" s="4">
        <v>327.22651636833797</v>
      </c>
      <c r="E289" s="4" t="s">
        <v>683</v>
      </c>
      <c r="F289" s="4"/>
      <c r="G289" s="4"/>
      <c r="H289" s="4"/>
      <c r="I289" s="4" t="str">
        <f>IFERROR(__xludf.DUMMYFUNCTION("""COMPUTED_VALUE"""),"0x14d316262d575e7074491a5e95e69c1fee3e65c2")</f>
        <v>0x14d316262d575e7074491a5e95e69c1fee3e65c2</v>
      </c>
      <c r="J289" s="18">
        <v>2079.689532918018</v>
      </c>
      <c r="K289" s="4">
        <v>34661.4922153003</v>
      </c>
      <c r="L289" s="19">
        <v>3.46614922153003E22</v>
      </c>
      <c r="M289" s="20">
        <v>3.46614922153003E21</v>
      </c>
    </row>
    <row r="290">
      <c r="A290" s="6"/>
      <c r="B290" s="6"/>
      <c r="C290" s="4"/>
      <c r="D290" s="4">
        <v>327.22651636833797</v>
      </c>
      <c r="E290" s="4" t="s">
        <v>8667</v>
      </c>
      <c r="F290" s="4"/>
      <c r="G290" s="4"/>
      <c r="H290" s="4"/>
      <c r="I290" s="4" t="str">
        <f>IFERROR(__xludf.DUMMYFUNCTION("""COMPUTED_VALUE"""),"0xcb938bbed7789ee8aabd259a8cb789aa3500bbf3")</f>
        <v>0xcb938bbed7789ee8aabd259a8cb789aa3500bbf3</v>
      </c>
      <c r="J290" s="18">
        <v>655.6143062295087</v>
      </c>
      <c r="K290" s="4">
        <v>10926.905103825145</v>
      </c>
      <c r="L290" s="19">
        <v>1.0926905103825146E22</v>
      </c>
      <c r="M290" s="20">
        <v>1.0926905103825146E21</v>
      </c>
    </row>
    <row r="291">
      <c r="A291" s="6"/>
      <c r="B291" s="6"/>
      <c r="C291" s="4"/>
      <c r="D291" s="4">
        <v>327.22651636833797</v>
      </c>
      <c r="E291" s="4" t="s">
        <v>2669</v>
      </c>
      <c r="F291" s="4"/>
      <c r="G291" s="4"/>
      <c r="H291" s="4"/>
      <c r="I291" s="4" t="str">
        <f>IFERROR(__xludf.DUMMYFUNCTION("""COMPUTED_VALUE"""),"0xac34457d13cd6bd41be54ef3644e5be9ffe683e4")</f>
        <v>0xac34457d13cd6bd41be54ef3644e5be9ffe683e4</v>
      </c>
      <c r="J291" s="18">
        <v>641.0828780431297</v>
      </c>
      <c r="K291" s="4">
        <v>10684.714634052161</v>
      </c>
      <c r="L291" s="19">
        <v>1.068471463405216E22</v>
      </c>
      <c r="M291" s="20">
        <v>1.0684714634052161E21</v>
      </c>
    </row>
    <row r="292">
      <c r="A292" s="6"/>
      <c r="B292" s="6"/>
      <c r="C292" s="4"/>
      <c r="D292" s="4">
        <v>327.22651636833797</v>
      </c>
      <c r="E292" s="4" t="s">
        <v>8668</v>
      </c>
      <c r="F292" s="4"/>
      <c r="G292" s="4"/>
      <c r="H292" s="4"/>
      <c r="I292" s="4" t="str">
        <f>IFERROR(__xludf.DUMMYFUNCTION("""COMPUTED_VALUE"""),"0xe752f7e6bb6543f1125a36f0a43ee3896a7cbd0a")</f>
        <v>0xe752f7e6bb6543f1125a36f0a43ee3896a7cbd0a</v>
      </c>
      <c r="J292" s="18">
        <v>626.551497690858</v>
      </c>
      <c r="K292" s="4">
        <v>10442.5249615143</v>
      </c>
      <c r="L292" s="19">
        <v>1.04425249615143E22</v>
      </c>
      <c r="M292" s="20">
        <v>1.04425249615143E21</v>
      </c>
    </row>
    <row r="293">
      <c r="A293" s="6"/>
      <c r="B293" s="6"/>
      <c r="C293" s="4"/>
      <c r="D293" s="4">
        <v>327.22651636833797</v>
      </c>
      <c r="E293" s="4" t="s">
        <v>7073</v>
      </c>
      <c r="F293" s="4"/>
      <c r="G293" s="4"/>
      <c r="H293" s="4"/>
      <c r="I293" s="4" t="str">
        <f>IFERROR(__xludf.DUMMYFUNCTION("""COMPUTED_VALUE"""),"0x2fdae8f8c93c00a010d2ef401ab9a17889c293af")</f>
        <v>0x2fdae8f8c93c00a010d2ef401ab9a17889c293af</v>
      </c>
      <c r="J293" s="18">
        <v>626.551497690858</v>
      </c>
      <c r="K293" s="4">
        <v>10442.5249615143</v>
      </c>
      <c r="L293" s="19">
        <v>1.04425249615143E22</v>
      </c>
      <c r="M293" s="20">
        <v>1.04425249615143E21</v>
      </c>
    </row>
    <row r="294">
      <c r="A294" s="6"/>
      <c r="B294" s="6"/>
      <c r="C294" s="4"/>
      <c r="D294" s="4">
        <v>327.22651636833797</v>
      </c>
      <c r="E294" s="4" t="s">
        <v>8669</v>
      </c>
      <c r="F294" s="4"/>
      <c r="G294" s="4"/>
      <c r="H294" s="4"/>
      <c r="I294" s="4" t="str">
        <f>IFERROR(__xludf.DUMMYFUNCTION("""COMPUTED_VALUE"""),"0xa94b40c53432f0576e64873ce1cead1aae62fc90")</f>
        <v>0xa94b40c53432f0576e64873ce1cead1aae62fc90</v>
      </c>
      <c r="J294" s="18">
        <v>626.551497690858</v>
      </c>
      <c r="K294" s="4">
        <v>10442.5249615143</v>
      </c>
      <c r="L294" s="19">
        <v>1.04425249615143E22</v>
      </c>
      <c r="M294" s="20">
        <v>1.04425249615143E21</v>
      </c>
    </row>
    <row r="295">
      <c r="A295" s="6"/>
      <c r="B295" s="6"/>
      <c r="C295" s="4"/>
      <c r="D295" s="4">
        <v>327.22651636833797</v>
      </c>
      <c r="E295" s="4" t="s">
        <v>1241</v>
      </c>
      <c r="F295" s="4"/>
      <c r="G295" s="4"/>
      <c r="H295" s="4"/>
      <c r="I295" s="4" t="str">
        <f>IFERROR(__xludf.DUMMYFUNCTION("""COMPUTED_VALUE"""),"0x5be798bf258ac5319e74428a66e635df491de2b2")</f>
        <v>0x5be798bf258ac5319e74428a66e635df491de2b2</v>
      </c>
      <c r="J295" s="18">
        <v>1353.173390648157</v>
      </c>
      <c r="K295" s="4">
        <v>22552.889844135952</v>
      </c>
      <c r="L295" s="19">
        <v>2.255288984413595E22</v>
      </c>
      <c r="M295" s="20">
        <v>2.2552889844135952E21</v>
      </c>
    </row>
    <row r="296">
      <c r="A296" s="6"/>
      <c r="B296" s="6"/>
      <c r="C296" s="4"/>
      <c r="D296" s="4">
        <v>327.22651636833797</v>
      </c>
      <c r="E296" s="4" t="s">
        <v>3626</v>
      </c>
      <c r="F296" s="4"/>
      <c r="G296" s="4"/>
      <c r="H296" s="4"/>
      <c r="I296" s="4" t="str">
        <f>IFERROR(__xludf.DUMMYFUNCTION("""COMPUTED_VALUE"""),"0x71e5d30de03720dd8fbe09cc0464792a8ae8aa2b")</f>
        <v>0x71e5d30de03720dd8fbe09cc0464792a8ae8aa2b</v>
      </c>
      <c r="J296" s="18">
        <v>733.487055862353</v>
      </c>
      <c r="K296" s="4">
        <v>12224.78426437255</v>
      </c>
      <c r="L296" s="19">
        <v>1.222478426437255E22</v>
      </c>
      <c r="M296" s="20">
        <v>1.2224784264372552E21</v>
      </c>
    </row>
    <row r="297">
      <c r="A297" s="6"/>
      <c r="B297" s="6"/>
      <c r="C297" s="4"/>
      <c r="D297" s="4">
        <v>327.22651636833797</v>
      </c>
      <c r="E297" s="4" t="s">
        <v>1066</v>
      </c>
      <c r="F297" s="4"/>
      <c r="G297" s="4"/>
      <c r="H297" s="4"/>
      <c r="I297" s="4" t="str">
        <f>IFERROR(__xludf.DUMMYFUNCTION("""COMPUTED_VALUE"""),"0xebb8be69ac9e0fc0c9e3c6841d0dc0d1a5927c18")</f>
        <v>0xebb8be69ac9e0fc0c9e3c6841d0dc0d1a5927c18</v>
      </c>
      <c r="J297" s="18">
        <v>1309.6716880511499</v>
      </c>
      <c r="K297" s="4">
        <v>21827.861467519164</v>
      </c>
      <c r="L297" s="19">
        <v>2.1827861467519164E22</v>
      </c>
      <c r="M297" s="20">
        <v>2.1827861467519165E21</v>
      </c>
    </row>
    <row r="298">
      <c r="A298" s="6"/>
      <c r="B298" s="6"/>
      <c r="C298" s="4"/>
      <c r="D298" s="4">
        <v>327.22651636833797</v>
      </c>
      <c r="E298" s="4" t="s">
        <v>2658</v>
      </c>
      <c r="F298" s="4"/>
      <c r="G298" s="4"/>
      <c r="H298" s="4"/>
      <c r="I298" s="4" t="str">
        <f>IFERROR(__xludf.DUMMYFUNCTION("""COMPUTED_VALUE"""),"0x41e2ec54bd1df5bc50645d85e7564e56a3e74d35")</f>
        <v>0x41e2ec54bd1df5bc50645d85e7564e56a3e74d35</v>
      </c>
      <c r="J298" s="18">
        <v>327.22651636833797</v>
      </c>
      <c r="K298" s="4">
        <v>5453.775272805633</v>
      </c>
      <c r="L298" s="19">
        <v>5.453775272805633E21</v>
      </c>
      <c r="M298" s="20">
        <v>5.453775272805634E20</v>
      </c>
    </row>
    <row r="299">
      <c r="A299" s="6"/>
      <c r="B299" s="6"/>
      <c r="C299" s="4"/>
      <c r="D299" s="4">
        <v>327.22651636833797</v>
      </c>
      <c r="E299" s="4" t="s">
        <v>5565</v>
      </c>
      <c r="F299" s="4"/>
      <c r="G299" s="4"/>
      <c r="H299" s="4"/>
      <c r="I299" s="4" t="str">
        <f>IFERROR(__xludf.DUMMYFUNCTION("""COMPUTED_VALUE"""),"0x4e7b1f5d52889144eb73ed4aff7b2dbaa511c6f3")</f>
        <v>0x4e7b1f5d52889144eb73ed4aff7b2dbaa511c6f3</v>
      </c>
      <c r="J299" s="18">
        <v>626.551497690858</v>
      </c>
      <c r="K299" s="4">
        <v>10442.5249615143</v>
      </c>
      <c r="L299" s="19">
        <v>1.04425249615143E22</v>
      </c>
      <c r="M299" s="20">
        <v>1.04425249615143E21</v>
      </c>
    </row>
    <row r="300">
      <c r="A300" s="6"/>
      <c r="B300" s="6"/>
      <c r="C300" s="4"/>
      <c r="D300" s="4">
        <v>327.22651636833797</v>
      </c>
      <c r="E300" s="4" t="s">
        <v>8670</v>
      </c>
      <c r="F300" s="4"/>
      <c r="G300" s="4"/>
      <c r="H300" s="4"/>
      <c r="I300" s="4" t="str">
        <f>IFERROR(__xludf.DUMMYFUNCTION("""COMPUTED_VALUE"""),"0x64875ad06c639d18d33a30b0fef2119fdd615bf9")</f>
        <v>0x64875ad06c639d18d33a30b0fef2119fdd615bf9</v>
      </c>
      <c r="J300" s="18">
        <v>802.4050883125631</v>
      </c>
      <c r="K300" s="4">
        <v>13373.418138542718</v>
      </c>
      <c r="L300" s="19">
        <v>1.337341813854272E22</v>
      </c>
      <c r="M300" s="20">
        <v>1.337341813854272E21</v>
      </c>
    </row>
    <row r="301">
      <c r="A301" s="6"/>
      <c r="B301" s="6"/>
      <c r="C301" s="4"/>
      <c r="D301" s="4">
        <v>327.22651636833797</v>
      </c>
      <c r="E301" s="4" t="s">
        <v>8671</v>
      </c>
      <c r="F301" s="4"/>
      <c r="G301" s="4"/>
      <c r="H301" s="4"/>
      <c r="I301" s="4" t="str">
        <f>IFERROR(__xludf.DUMMYFUNCTION("""COMPUTED_VALUE"""),"0xcf683be9499c48d316444a8696742b53cdb5dbf5")</f>
        <v>0xcf683be9499c48d316444a8696742b53cdb5dbf5</v>
      </c>
      <c r="J301" s="18">
        <v>647.4312021776266</v>
      </c>
      <c r="K301" s="4">
        <v>10790.520036293776</v>
      </c>
      <c r="L301" s="19">
        <v>1.0790520036293775E22</v>
      </c>
      <c r="M301" s="20">
        <v>1.0790520036293775E21</v>
      </c>
    </row>
    <row r="302">
      <c r="A302" s="6"/>
      <c r="B302" s="6"/>
      <c r="C302" s="4"/>
      <c r="D302" s="4">
        <v>196.897099198389</v>
      </c>
      <c r="E302" s="4" t="s">
        <v>6796</v>
      </c>
      <c r="F302" s="4"/>
      <c r="G302" s="4"/>
      <c r="H302" s="4"/>
      <c r="I302" s="4" t="str">
        <f>IFERROR(__xludf.DUMMYFUNCTION("""COMPUTED_VALUE"""),"0xa872d7457974b5fbd3772e4ddcfbdac82c9dd200")</f>
        <v>0xa872d7457974b5fbd3772e4ddcfbdac82c9dd200</v>
      </c>
      <c r="J302" s="18">
        <v>196.897099198389</v>
      </c>
      <c r="K302" s="4">
        <v>3281.61831997315</v>
      </c>
      <c r="L302" s="19">
        <v>3.28161831997315E21</v>
      </c>
      <c r="M302" s="20">
        <v>3.28161831997315E20</v>
      </c>
    </row>
    <row r="303">
      <c r="A303" s="6"/>
      <c r="B303" s="6"/>
      <c r="C303" s="4"/>
      <c r="D303" s="4">
        <v>327.22651636833797</v>
      </c>
      <c r="E303" s="4" t="s">
        <v>1019</v>
      </c>
      <c r="F303" s="4"/>
      <c r="G303" s="4"/>
      <c r="H303" s="4"/>
      <c r="I303" s="4" t="str">
        <f>IFERROR(__xludf.DUMMYFUNCTION("""COMPUTED_VALUE"""),"0x66d45a4ea62d3f1335632c0c254004d05e9701f6")</f>
        <v>0x66d45a4ea62d3f1335632c0c254004d05e9701f6</v>
      </c>
      <c r="J303" s="18">
        <v>873.6692456855201</v>
      </c>
      <c r="K303" s="4">
        <v>14561.154094758669</v>
      </c>
      <c r="L303" s="19">
        <v>1.456115409475867E22</v>
      </c>
      <c r="M303" s="20">
        <v>1.456115409475867E21</v>
      </c>
    </row>
    <row r="304">
      <c r="A304" s="6"/>
      <c r="B304" s="6"/>
      <c r="C304" s="4"/>
      <c r="D304" s="4">
        <v>327.22651636833797</v>
      </c>
      <c r="E304" s="4" t="s">
        <v>3335</v>
      </c>
      <c r="F304" s="4"/>
      <c r="G304" s="4"/>
      <c r="H304" s="4"/>
      <c r="I304" s="4" t="str">
        <f>IFERROR(__xludf.DUMMYFUNCTION("""COMPUTED_VALUE"""),"0x7680598270be41895cc6fdb1e7572d73de86c509")</f>
        <v>0x7680598270be41895cc6fdb1e7572d73de86c509</v>
      </c>
      <c r="J304" s="18">
        <v>670.145638747673</v>
      </c>
      <c r="K304" s="4">
        <v>11169.093979127885</v>
      </c>
      <c r="L304" s="19">
        <v>1.1169093979127885E22</v>
      </c>
      <c r="M304" s="20">
        <v>1.1169093979127885E21</v>
      </c>
    </row>
    <row r="305">
      <c r="A305" s="6"/>
      <c r="B305" s="6"/>
      <c r="C305" s="4"/>
      <c r="D305" s="4">
        <v>327.22651636833797</v>
      </c>
      <c r="E305" s="4" t="s">
        <v>3277</v>
      </c>
      <c r="F305" s="4"/>
      <c r="G305" s="4"/>
      <c r="H305" s="4"/>
      <c r="I305" s="4" t="str">
        <f>IFERROR(__xludf.DUMMYFUNCTION("""COMPUTED_VALUE"""),"0x2f5b3356123d3f620013c1dbf4cebd1b5f65f36f")</f>
        <v>0x2f5b3356123d3f620013c1dbf4cebd1b5f65f36f</v>
      </c>
      <c r="J305" s="18">
        <v>670.145638747673</v>
      </c>
      <c r="K305" s="4">
        <v>11169.093979127885</v>
      </c>
      <c r="L305" s="19">
        <v>1.1169093979127885E22</v>
      </c>
      <c r="M305" s="20">
        <v>1.1169093979127885E21</v>
      </c>
    </row>
    <row r="306">
      <c r="A306" s="6"/>
      <c r="B306" s="6"/>
      <c r="C306" s="4"/>
      <c r="D306" s="4">
        <v>327.22651636833797</v>
      </c>
      <c r="E306" s="4" t="s">
        <v>8673</v>
      </c>
      <c r="F306" s="4"/>
      <c r="G306" s="4"/>
      <c r="H306" s="4"/>
      <c r="I306" s="4" t="str">
        <f>IFERROR(__xludf.DUMMYFUNCTION("""COMPUTED_VALUE"""),"0xff3e90207c76c835d0f69cadf684a2989ab81071")</f>
        <v>0xff3e90207c76c835d0f69cadf684a2989ab81071</v>
      </c>
      <c r="J306" s="18">
        <v>772.091311423493</v>
      </c>
      <c r="K306" s="4">
        <v>12868.188523724884</v>
      </c>
      <c r="L306" s="19">
        <v>1.2868188523724884E22</v>
      </c>
      <c r="M306" s="20">
        <v>1.2868188523724884E21</v>
      </c>
    </row>
    <row r="307">
      <c r="A307" s="6"/>
      <c r="B307" s="6"/>
      <c r="C307" s="4"/>
      <c r="D307" s="4">
        <v>327.22651636833797</v>
      </c>
      <c r="E307" s="4" t="s">
        <v>6782</v>
      </c>
      <c r="F307" s="4"/>
      <c r="G307" s="4"/>
      <c r="H307" s="4"/>
      <c r="I307" s="4" t="str">
        <f>IFERROR(__xludf.DUMMYFUNCTION("""COMPUTED_VALUE"""),"0xde62454e1f6f7ef04a70a79edd44936aaa5259ae")</f>
        <v>0xde62454e1f6f7ef04a70a79edd44936aaa5259ae</v>
      </c>
      <c r="J307" s="18">
        <v>327.22651636833797</v>
      </c>
      <c r="K307" s="4">
        <v>5453.775272805633</v>
      </c>
      <c r="L307" s="19">
        <v>5.453775272805633E21</v>
      </c>
      <c r="M307" s="20">
        <v>5.453775272805634E20</v>
      </c>
    </row>
    <row r="308">
      <c r="A308" s="6"/>
      <c r="B308" s="6"/>
      <c r="C308" s="4"/>
      <c r="D308" s="4">
        <v>327.22651636833797</v>
      </c>
      <c r="E308" s="4" t="s">
        <v>977</v>
      </c>
      <c r="F308" s="4"/>
      <c r="G308" s="4"/>
      <c r="H308" s="4"/>
      <c r="I308" s="4" t="str">
        <f>IFERROR(__xludf.DUMMYFUNCTION("""COMPUTED_VALUE"""),"0xe47a14edd56510a77f8fc753cdf1353302d75211")</f>
        <v>0xe47a14edd56510a77f8fc753cdf1353302d75211</v>
      </c>
      <c r="J308" s="18">
        <v>1316.8164938709892</v>
      </c>
      <c r="K308" s="4">
        <v>21946.941564516488</v>
      </c>
      <c r="L308" s="19">
        <v>2.1946941564516487E22</v>
      </c>
      <c r="M308" s="20">
        <v>2.194694156451649E21</v>
      </c>
    </row>
    <row r="309">
      <c r="A309" s="6"/>
      <c r="B309" s="6"/>
      <c r="C309" s="4"/>
      <c r="D309" s="4">
        <v>196.335909821002</v>
      </c>
      <c r="E309" s="4" t="s">
        <v>7220</v>
      </c>
      <c r="F309" s="4"/>
      <c r="G309" s="4"/>
      <c r="H309" s="4"/>
      <c r="I309" s="4" t="str">
        <f>IFERROR(__xludf.DUMMYFUNCTION("""COMPUTED_VALUE"""),"0x055affa6bdc01d0cfa8a738b068ece76e56dad51")</f>
        <v>0x055affa6bdc01d0cfa8a738b068ece76e56dad51</v>
      </c>
      <c r="J309" s="18">
        <v>495.660891143522</v>
      </c>
      <c r="K309" s="4">
        <v>8261.014852392034</v>
      </c>
      <c r="L309" s="19">
        <v>8.261014852392035E21</v>
      </c>
      <c r="M309" s="20">
        <v>8.261014852392035E20</v>
      </c>
    </row>
    <row r="310">
      <c r="A310" s="6"/>
      <c r="B310" s="6"/>
      <c r="C310" s="4"/>
      <c r="D310" s="4">
        <v>327.22651636833797</v>
      </c>
      <c r="E310" s="4" t="s">
        <v>3912</v>
      </c>
      <c r="F310" s="4"/>
      <c r="G310" s="4"/>
      <c r="H310" s="4"/>
      <c r="I310" s="4" t="str">
        <f>IFERROR(__xludf.DUMMYFUNCTION("""COMPUTED_VALUE"""),"0xb521ba53dd76e6a503425d973464f6329213d2c6")</f>
        <v>0xb521ba53dd76e6a503425d973464f6329213d2c6</v>
      </c>
      <c r="J310" s="18">
        <v>713.7397798044881</v>
      </c>
      <c r="K310" s="4">
        <v>11895.662996741468</v>
      </c>
      <c r="L310" s="19">
        <v>1.189566299674147E22</v>
      </c>
      <c r="M310" s="20">
        <v>1.189566299674147E21</v>
      </c>
    </row>
    <row r="311">
      <c r="A311" s="6"/>
      <c r="B311" s="6"/>
      <c r="C311" s="4"/>
      <c r="D311" s="4">
        <v>327.22651636833797</v>
      </c>
      <c r="E311" s="4" t="s">
        <v>6100</v>
      </c>
      <c r="F311" s="4"/>
      <c r="G311" s="4"/>
      <c r="H311" s="4"/>
      <c r="I311" s="4" t="str">
        <f>IFERROR(__xludf.DUMMYFUNCTION("""COMPUTED_VALUE"""),"0x8b5499bd896e0fe70ceca8fe05a1906b54995d6f")</f>
        <v>0x8b5499bd896e0fe70ceca8fe05a1906b54995d6f</v>
      </c>
      <c r="J311" s="18">
        <v>327.22651636833797</v>
      </c>
      <c r="K311" s="4">
        <v>5453.775272805633</v>
      </c>
      <c r="L311" s="19">
        <v>5.453775272805633E21</v>
      </c>
      <c r="M311" s="20">
        <v>5.453775272805634E20</v>
      </c>
    </row>
    <row r="312">
      <c r="A312" s="6"/>
      <c r="B312" s="6"/>
      <c r="C312" s="4"/>
      <c r="D312" s="4">
        <v>327.22651636833797</v>
      </c>
      <c r="E312" s="4" t="s">
        <v>1154</v>
      </c>
      <c r="F312" s="4"/>
      <c r="G312" s="4"/>
      <c r="H312" s="4"/>
      <c r="I312" s="4" t="str">
        <f>IFERROR(__xludf.DUMMYFUNCTION("""COMPUTED_VALUE"""),"0x389b8bd4fac72ff9aa5fd888a4b3283ac4c14b28")</f>
        <v>0x389b8bd4fac72ff9aa5fd888a4b3283ac4c14b28</v>
      </c>
      <c r="J312" s="18">
        <v>915.1671297269299</v>
      </c>
      <c r="K312" s="4">
        <v>15252.785495448832</v>
      </c>
      <c r="L312" s="19">
        <v>1.5252785495448832E22</v>
      </c>
      <c r="M312" s="20">
        <v>1.5252785495448832E21</v>
      </c>
    </row>
    <row r="313">
      <c r="A313" s="6"/>
      <c r="B313" s="6"/>
      <c r="C313" s="4"/>
      <c r="D313" s="4">
        <v>327.22651636833797</v>
      </c>
      <c r="E313" s="4" t="s">
        <v>3474</v>
      </c>
      <c r="F313" s="4"/>
      <c r="G313" s="4"/>
      <c r="H313" s="4"/>
      <c r="I313" s="4" t="str">
        <f>IFERROR(__xludf.DUMMYFUNCTION("""COMPUTED_VALUE"""),"0x4ebbb58e28d20eba8745af89328e41b4b022209b")</f>
        <v>0x4ebbb58e28d20eba8745af89328e41b4b022209b</v>
      </c>
      <c r="J313" s="18">
        <v>327.22651636833797</v>
      </c>
      <c r="K313" s="4">
        <v>5453.775272805633</v>
      </c>
      <c r="L313" s="19">
        <v>5.453775272805633E21</v>
      </c>
      <c r="M313" s="20">
        <v>5.453775272805634E20</v>
      </c>
    </row>
    <row r="314">
      <c r="A314" s="6"/>
      <c r="B314" s="6"/>
      <c r="C314" s="4"/>
      <c r="D314" s="4">
        <v>327.22651636833797</v>
      </c>
      <c r="E314" s="4" t="s">
        <v>7952</v>
      </c>
      <c r="F314" s="4"/>
      <c r="G314" s="4"/>
      <c r="H314" s="4"/>
      <c r="I314" s="4" t="str">
        <f>IFERROR(__xludf.DUMMYFUNCTION("""COMPUTED_VALUE"""),"0xc9c8cf798d922d9392e48e306ad76ab3d60b2c6a")</f>
        <v>0xc9c8cf798d922d9392e48e306ad76ab3d60b2c6a</v>
      </c>
      <c r="J314" s="18">
        <v>626.551497690858</v>
      </c>
      <c r="K314" s="4">
        <v>10442.5249615143</v>
      </c>
      <c r="L314" s="19">
        <v>1.04425249615143E22</v>
      </c>
      <c r="M314" s="20">
        <v>1.04425249615143E21</v>
      </c>
    </row>
    <row r="315">
      <c r="A315" s="6"/>
      <c r="B315" s="6"/>
      <c r="C315" s="4"/>
      <c r="D315" s="4">
        <v>327.22651636833797</v>
      </c>
      <c r="E315" s="4" t="s">
        <v>8674</v>
      </c>
      <c r="F315" s="4"/>
      <c r="G315" s="4"/>
      <c r="H315" s="4"/>
      <c r="I315" s="4" t="str">
        <f>IFERROR(__xludf.DUMMYFUNCTION("""COMPUTED_VALUE"""),"0x2697ed814eac3dfb51ec7529154d601b3cc8c2d7")</f>
        <v>0x2697ed814eac3dfb51ec7529154d601b3cc8c2d7</v>
      </c>
      <c r="J315" s="18">
        <v>626.551497690858</v>
      </c>
      <c r="K315" s="4">
        <v>10442.5249615143</v>
      </c>
      <c r="L315" s="19">
        <v>1.04425249615143E22</v>
      </c>
      <c r="M315" s="20">
        <v>1.04425249615143E21</v>
      </c>
    </row>
    <row r="316">
      <c r="A316" s="6"/>
      <c r="B316" s="6"/>
      <c r="C316" s="4"/>
      <c r="D316" s="4">
        <v>327.22651636833797</v>
      </c>
      <c r="E316" s="4" t="s">
        <v>3239</v>
      </c>
      <c r="F316" s="4"/>
      <c r="G316" s="4"/>
      <c r="H316" s="4"/>
      <c r="I316" s="4" t="str">
        <f>IFERROR(__xludf.DUMMYFUNCTION("""COMPUTED_VALUE"""),"0xe540c45c504b348ad4d6eb9344e6cfa07c959be6")</f>
        <v>0xe540c45c504b348ad4d6eb9344e6cfa07c959be6</v>
      </c>
      <c r="J316" s="18">
        <v>626.551497690858</v>
      </c>
      <c r="K316" s="4">
        <v>10442.5249615143</v>
      </c>
      <c r="L316" s="19">
        <v>1.04425249615143E22</v>
      </c>
      <c r="M316" s="20">
        <v>1.04425249615143E21</v>
      </c>
    </row>
    <row r="317">
      <c r="A317" s="6"/>
      <c r="B317" s="6"/>
      <c r="C317" s="4"/>
      <c r="D317" s="4">
        <v>327.22651636833797</v>
      </c>
      <c r="E317" s="4" t="s">
        <v>6666</v>
      </c>
      <c r="F317" s="4"/>
      <c r="G317" s="4"/>
      <c r="H317" s="4"/>
      <c r="I317" s="4" t="str">
        <f>IFERROR(__xludf.DUMMYFUNCTION("""COMPUTED_VALUE"""),"0xdec0de42b846851c45fc971c1101932423a0c82f")</f>
        <v>0xdec0de42b846851c45fc971c1101932423a0c82f</v>
      </c>
      <c r="J317" s="18">
        <v>626.551497690858</v>
      </c>
      <c r="K317" s="4">
        <v>10442.5249615143</v>
      </c>
      <c r="L317" s="19">
        <v>1.04425249615143E22</v>
      </c>
      <c r="M317" s="20">
        <v>1.04425249615143E21</v>
      </c>
    </row>
    <row r="318">
      <c r="A318" s="6"/>
      <c r="B318" s="6"/>
      <c r="C318" s="4"/>
      <c r="D318" s="4">
        <v>327.22651636833797</v>
      </c>
      <c r="E318" s="4" t="s">
        <v>3801</v>
      </c>
      <c r="F318" s="4"/>
      <c r="G318" s="4"/>
      <c r="H318" s="4"/>
      <c r="I318" s="4" t="str">
        <f>IFERROR(__xludf.DUMMYFUNCTION("""COMPUTED_VALUE"""),"0x4afc7288331f37b1c8e7d6ba88e8a1daa284d631")</f>
        <v>0x4afc7288331f37b1c8e7d6ba88e8a1daa284d631</v>
      </c>
      <c r="J318" s="18">
        <v>626.551497690858</v>
      </c>
      <c r="K318" s="4">
        <v>10442.5249615143</v>
      </c>
      <c r="L318" s="19">
        <v>1.04425249615143E22</v>
      </c>
      <c r="M318" s="20">
        <v>1.04425249615143E21</v>
      </c>
    </row>
    <row r="319">
      <c r="A319" s="6"/>
      <c r="B319" s="6"/>
      <c r="C319" s="4"/>
      <c r="D319" s="4">
        <v>327.22651636833797</v>
      </c>
      <c r="E319" s="4" t="s">
        <v>3887</v>
      </c>
      <c r="F319" s="4"/>
      <c r="G319" s="4"/>
      <c r="H319" s="4"/>
      <c r="I319" s="4" t="str">
        <f>IFERROR(__xludf.DUMMYFUNCTION("""COMPUTED_VALUE"""),"0xc6d1849af21de257fdfa67271d64529d5cd01881")</f>
        <v>0xc6d1849af21de257fdfa67271d64529d5cd01881</v>
      </c>
      <c r="J319" s="18">
        <v>626.551497690858</v>
      </c>
      <c r="K319" s="4">
        <v>10442.5249615143</v>
      </c>
      <c r="L319" s="19">
        <v>1.04425249615143E22</v>
      </c>
      <c r="M319" s="20">
        <v>1.04425249615143E21</v>
      </c>
    </row>
    <row r="320">
      <c r="A320" s="6"/>
      <c r="B320" s="6"/>
      <c r="C320" s="4"/>
      <c r="D320" s="4">
        <v>327.22651636833797</v>
      </c>
      <c r="E320" s="4" t="s">
        <v>8675</v>
      </c>
      <c r="F320" s="4"/>
      <c r="G320" s="4"/>
      <c r="H320" s="4"/>
      <c r="I320" s="4" t="str">
        <f>IFERROR(__xludf.DUMMYFUNCTION("""COMPUTED_VALUE"""),"0x42feec5c7e7d3c725864a2716ca357fa9993ccc0")</f>
        <v>0x42feec5c7e7d3c725864a2716ca357fa9993ccc0</v>
      </c>
      <c r="J320" s="18">
        <v>2031.661757307468</v>
      </c>
      <c r="K320" s="4">
        <v>33861.0292884578</v>
      </c>
      <c r="L320" s="19">
        <v>3.38610292884578E22</v>
      </c>
      <c r="M320" s="20">
        <v>3.3861029288457803E21</v>
      </c>
    </row>
    <row r="321">
      <c r="A321" s="6"/>
      <c r="B321" s="6"/>
      <c r="C321" s="4"/>
      <c r="D321" s="4">
        <v>327.22651636833797</v>
      </c>
      <c r="E321" s="4" t="s">
        <v>8676</v>
      </c>
      <c r="F321" s="4"/>
      <c r="G321" s="4"/>
      <c r="H321" s="4"/>
      <c r="I321" s="4" t="str">
        <f>IFERROR(__xludf.DUMMYFUNCTION("""COMPUTED_VALUE"""),"0x0c7b2ba42797804779ae564646e34d02dbd23978")</f>
        <v>0x0c7b2ba42797804779ae564646e34d02dbd23978</v>
      </c>
      <c r="J321" s="18">
        <v>327.22651636833797</v>
      </c>
      <c r="K321" s="4">
        <v>5453.775272805633</v>
      </c>
      <c r="L321" s="19">
        <v>5.453775272805633E21</v>
      </c>
      <c r="M321" s="20">
        <v>5.453775272805634E20</v>
      </c>
    </row>
    <row r="322">
      <c r="A322" s="6"/>
      <c r="B322" s="6"/>
      <c r="C322" s="4"/>
      <c r="D322" s="4">
        <v>165.346918655927</v>
      </c>
      <c r="E322" s="4" t="s">
        <v>6345</v>
      </c>
      <c r="F322" s="4"/>
      <c r="G322" s="4"/>
      <c r="H322" s="4"/>
      <c r="I322" s="4" t="str">
        <f>IFERROR(__xludf.DUMMYFUNCTION("""COMPUTED_VALUE"""),"0xf0769f107af6034901df8dfd5d37cdffdfd86d52")</f>
        <v>0xf0769f107af6034901df8dfd5d37cdffdfd86d52</v>
      </c>
      <c r="J322" s="18">
        <v>315.94299899243697</v>
      </c>
      <c r="K322" s="4">
        <v>5265.71664987395</v>
      </c>
      <c r="L322" s="19">
        <v>5.26571664987395E21</v>
      </c>
      <c r="M322" s="20">
        <v>5.26571664987395E20</v>
      </c>
    </row>
    <row r="323">
      <c r="A323" s="6"/>
      <c r="B323" s="6"/>
      <c r="C323" s="4"/>
      <c r="D323" s="4">
        <v>327.22651636833797</v>
      </c>
      <c r="E323" s="4" t="s">
        <v>8678</v>
      </c>
      <c r="F323" s="4"/>
      <c r="G323" s="4"/>
      <c r="H323" s="4"/>
      <c r="I323" s="4" t="str">
        <f>IFERROR(__xludf.DUMMYFUNCTION("""COMPUTED_VALUE"""),"0x80099a284ec437108ec7e37b0e2cce53093d70ae")</f>
        <v>0x80099a284ec437108ec7e37b0e2cce53093d70ae</v>
      </c>
      <c r="J323" s="18">
        <v>626.551497690858</v>
      </c>
      <c r="K323" s="4">
        <v>10442.5249615143</v>
      </c>
      <c r="L323" s="19">
        <v>1.04425249615143E22</v>
      </c>
      <c r="M323" s="20">
        <v>1.04425249615143E21</v>
      </c>
    </row>
    <row r="324">
      <c r="A324" s="6"/>
      <c r="B324" s="6"/>
      <c r="C324" s="4"/>
      <c r="D324" s="4">
        <v>327.22651636833797</v>
      </c>
      <c r="E324" s="4" t="s">
        <v>3187</v>
      </c>
      <c r="F324" s="4"/>
      <c r="G324" s="4"/>
      <c r="H324" s="4"/>
      <c r="I324" s="4" t="str">
        <f>IFERROR(__xludf.DUMMYFUNCTION("""COMPUTED_VALUE"""),"0x0433bd38991e1dd3a07641532e9c66bc19babe2d")</f>
        <v>0x0433bd38991e1dd3a07641532e9c66bc19babe2d</v>
      </c>
      <c r="J324" s="18">
        <v>327.22651636833797</v>
      </c>
      <c r="K324" s="4">
        <v>5453.775272805633</v>
      </c>
      <c r="L324" s="19">
        <v>5.453775272805633E21</v>
      </c>
      <c r="M324" s="20">
        <v>5.453775272805634E20</v>
      </c>
    </row>
    <row r="325">
      <c r="A325" s="6"/>
      <c r="B325" s="6"/>
      <c r="C325" s="4"/>
      <c r="D325" s="4">
        <v>327.22651636833797</v>
      </c>
      <c r="E325" s="4" t="s">
        <v>8679</v>
      </c>
      <c r="F325" s="4"/>
      <c r="G325" s="4"/>
      <c r="H325" s="4"/>
      <c r="I325" s="4" t="str">
        <f>IFERROR(__xludf.DUMMYFUNCTION("""COMPUTED_VALUE"""),"0x677d4a619af2869b1ad63ae06232b1c22868913c")</f>
        <v>0x677d4a619af2869b1ad63ae06232b1c22868913c</v>
      </c>
      <c r="J325" s="18">
        <v>626.551497690858</v>
      </c>
      <c r="K325" s="4">
        <v>10442.5249615143</v>
      </c>
      <c r="L325" s="19">
        <v>1.04425249615143E22</v>
      </c>
      <c r="M325" s="20">
        <v>1.04425249615143E21</v>
      </c>
    </row>
    <row r="326">
      <c r="A326" s="6"/>
      <c r="B326" s="6"/>
      <c r="C326" s="4"/>
      <c r="D326" s="4">
        <v>327.22651636833797</v>
      </c>
      <c r="E326" s="4" t="s">
        <v>2981</v>
      </c>
      <c r="F326" s="4"/>
      <c r="G326" s="4"/>
      <c r="H326" s="4"/>
      <c r="I326" s="4" t="str">
        <f>IFERROR(__xludf.DUMMYFUNCTION("""COMPUTED_VALUE"""),"0x5bef45489a03462d199612c5cd992f114f398ea8")</f>
        <v>0x5bef45489a03462d199612c5cd992f114f398ea8</v>
      </c>
      <c r="J326" s="18">
        <v>327.22651636833797</v>
      </c>
      <c r="K326" s="4">
        <v>5453.775272805633</v>
      </c>
      <c r="L326" s="19">
        <v>5.453775272805633E21</v>
      </c>
      <c r="M326" s="20">
        <v>5.453775272805634E20</v>
      </c>
    </row>
    <row r="327">
      <c r="A327" s="6"/>
      <c r="B327" s="6"/>
      <c r="C327" s="4"/>
      <c r="D327" s="4">
        <v>327.22651636833797</v>
      </c>
      <c r="E327" s="4" t="s">
        <v>4859</v>
      </c>
      <c r="F327" s="4"/>
      <c r="G327" s="4"/>
      <c r="H327" s="4"/>
      <c r="I327" s="4" t="str">
        <f>IFERROR(__xludf.DUMMYFUNCTION("""COMPUTED_VALUE"""),"0x89b3ca95b293331249140e6697145d5806b3976d")</f>
        <v>0x89b3ca95b293331249140e6697145d5806b3976d</v>
      </c>
      <c r="J327" s="18">
        <v>327.22651636833797</v>
      </c>
      <c r="K327" s="4">
        <v>5453.775272805633</v>
      </c>
      <c r="L327" s="19">
        <v>5.453775272805633E21</v>
      </c>
      <c r="M327" s="20">
        <v>5.453775272805634E20</v>
      </c>
    </row>
    <row r="328">
      <c r="A328" s="6"/>
      <c r="B328" s="6"/>
      <c r="C328" s="4"/>
      <c r="D328" s="4">
        <v>327.22651636833797</v>
      </c>
      <c r="E328" s="4" t="s">
        <v>291</v>
      </c>
      <c r="F328" s="4"/>
      <c r="G328" s="4"/>
      <c r="H328" s="4"/>
      <c r="I328" s="4" t="str">
        <f>IFERROR(__xludf.DUMMYFUNCTION("""COMPUTED_VALUE"""),"0x0a4d01d364136395254ac6a55890c2723f866a8b")</f>
        <v>0x0a4d01d364136395254ac6a55890c2723f866a8b</v>
      </c>
      <c r="J328" s="18">
        <v>728.343817058521</v>
      </c>
      <c r="K328" s="4">
        <v>12139.063617642018</v>
      </c>
      <c r="L328" s="19">
        <v>1.2139063617642018E22</v>
      </c>
      <c r="M328" s="20">
        <v>1.213906361764202E21</v>
      </c>
    </row>
    <row r="329">
      <c r="A329" s="6"/>
      <c r="B329" s="6"/>
      <c r="C329" s="4"/>
      <c r="D329" s="4">
        <v>327.22651636833797</v>
      </c>
      <c r="E329" s="4" t="s">
        <v>398</v>
      </c>
      <c r="F329" s="4"/>
      <c r="G329" s="4"/>
      <c r="H329" s="4"/>
      <c r="I329" s="4" t="str">
        <f>IFERROR(__xludf.DUMMYFUNCTION("""COMPUTED_VALUE"""),"0xb105608d0fb6fec617afdd7d5147aa7ab7a86612")</f>
        <v>0xb105608d0fb6fec617afdd7d5147aa7ab7a86612</v>
      </c>
      <c r="J329" s="18">
        <v>728.3583484387281</v>
      </c>
      <c r="K329" s="4">
        <v>12139.305807312136</v>
      </c>
      <c r="L329" s="19">
        <v>1.2139305807312136E22</v>
      </c>
      <c r="M329" s="20">
        <v>1.2139305807312136E21</v>
      </c>
    </row>
    <row r="330">
      <c r="A330" s="6"/>
      <c r="B330" s="6"/>
      <c r="C330" s="4"/>
      <c r="D330" s="4">
        <v>327.22651636833797</v>
      </c>
      <c r="E330" s="4" t="s">
        <v>699</v>
      </c>
      <c r="F330" s="4"/>
      <c r="G330" s="4"/>
      <c r="H330" s="4"/>
      <c r="I330" s="4" t="str">
        <f>IFERROR(__xludf.DUMMYFUNCTION("""COMPUTED_VALUE"""),"0x95fcdfb381d13e1663ec0efa5b64cca851d34550")</f>
        <v>0x95fcdfb381d13e1663ec0efa5b64cca851d34550</v>
      </c>
      <c r="J330" s="18">
        <v>943.971539908302</v>
      </c>
      <c r="K330" s="4">
        <v>15732.8589984717</v>
      </c>
      <c r="L330" s="19">
        <v>1.57328589984717E22</v>
      </c>
      <c r="M330" s="20">
        <v>1.5732858998471703E21</v>
      </c>
    </row>
    <row r="331">
      <c r="A331" s="6"/>
      <c r="B331" s="6"/>
      <c r="C331" s="4"/>
      <c r="D331" s="4">
        <v>327.22651636833797</v>
      </c>
      <c r="E331" s="4" t="s">
        <v>2960</v>
      </c>
      <c r="F331" s="4"/>
      <c r="G331" s="4"/>
      <c r="H331" s="4"/>
      <c r="I331" s="4" t="str">
        <f>IFERROR(__xludf.DUMMYFUNCTION("""COMPUTED_VALUE"""),"0x3abfb638d0e33e053034e32701c7f8576f53119f")</f>
        <v>0x3abfb638d0e33e053034e32701c7f8576f53119f</v>
      </c>
      <c r="J331" s="18">
        <v>770.1914801510391</v>
      </c>
      <c r="K331" s="4">
        <v>12836.524669183986</v>
      </c>
      <c r="L331" s="19">
        <v>1.2836524669183986E22</v>
      </c>
      <c r="M331" s="20">
        <v>1.2836524669183986E21</v>
      </c>
    </row>
    <row r="332">
      <c r="A332" s="6"/>
      <c r="B332" s="6"/>
      <c r="C332" s="4"/>
      <c r="D332" s="4">
        <v>327.22651636833797</v>
      </c>
      <c r="E332" s="4" t="s">
        <v>4639</v>
      </c>
      <c r="F332" s="4"/>
      <c r="G332" s="4"/>
      <c r="H332" s="4"/>
      <c r="I332" s="4" t="str">
        <f>IFERROR(__xludf.DUMMYFUNCTION("""COMPUTED_VALUE"""),"0xdce079cee4bc75d2b7e9ec21f55e9f3a4f19e8fe")</f>
        <v>0xdce079cee4bc75d2b7e9ec21f55e9f3a4f19e8fe</v>
      </c>
      <c r="J332" s="18">
        <v>626.551497690858</v>
      </c>
      <c r="K332" s="4">
        <v>10442.5249615143</v>
      </c>
      <c r="L332" s="19">
        <v>1.04425249615143E22</v>
      </c>
      <c r="M332" s="20">
        <v>1.04425249615143E21</v>
      </c>
    </row>
    <row r="333">
      <c r="A333" s="6"/>
      <c r="B333" s="6"/>
      <c r="C333" s="4"/>
      <c r="D333" s="4">
        <v>327.22651636833797</v>
      </c>
      <c r="E333" s="4" t="s">
        <v>280</v>
      </c>
      <c r="F333" s="4"/>
      <c r="G333" s="4"/>
      <c r="H333" s="4"/>
      <c r="I333" s="4" t="str">
        <f>IFERROR(__xludf.DUMMYFUNCTION("""COMPUTED_VALUE"""),"0xb0e218c5be3ae27507f2c9e35460bfbbb1f5db35")</f>
        <v>0xb0e218c5be3ae27507f2c9e35460bfbbb1f5db35</v>
      </c>
      <c r="J333" s="18">
        <v>1311.5661921152869</v>
      </c>
      <c r="K333" s="4">
        <v>21859.436535254783</v>
      </c>
      <c r="L333" s="19">
        <v>2.1859436535254784E22</v>
      </c>
      <c r="M333" s="20">
        <v>2.1859436535254784E21</v>
      </c>
    </row>
    <row r="334">
      <c r="A334" s="6"/>
      <c r="B334" s="6"/>
      <c r="C334" s="4"/>
      <c r="D334" s="4">
        <v>327.22651636833797</v>
      </c>
      <c r="E334" s="4" t="s">
        <v>1817</v>
      </c>
      <c r="F334" s="4"/>
      <c r="G334" s="4"/>
      <c r="H334" s="4"/>
      <c r="I334" s="4" t="str">
        <f>IFERROR(__xludf.DUMMYFUNCTION("""COMPUTED_VALUE"""),"0x29e433a7da5ed6cdb2678bb0b4bda234ea2703fa")</f>
        <v>0x29e433a7da5ed6cdb2678bb0b4bda234ea2703fa</v>
      </c>
      <c r="J334" s="18">
        <v>626.551497690858</v>
      </c>
      <c r="K334" s="4">
        <v>10442.5249615143</v>
      </c>
      <c r="L334" s="19">
        <v>1.04425249615143E22</v>
      </c>
      <c r="M334" s="20">
        <v>1.04425249615143E21</v>
      </c>
    </row>
    <row r="335">
      <c r="A335" s="6"/>
      <c r="B335" s="6"/>
      <c r="C335" s="4"/>
      <c r="D335" s="4">
        <v>112.2658125442</v>
      </c>
      <c r="E335" s="4" t="s">
        <v>8680</v>
      </c>
      <c r="F335" s="4"/>
      <c r="G335" s="4"/>
      <c r="H335" s="4"/>
      <c r="I335" s="4" t="str">
        <f>IFERROR(__xludf.DUMMYFUNCTION("""COMPUTED_VALUE"""),"0xe1066fea9370c2b51591b3e3a153a044425c56ec")</f>
        <v>0xe1066fea9370c2b51591b3e3a153a044425c56ec</v>
      </c>
      <c r="J335" s="18">
        <v>230.16606612048602</v>
      </c>
      <c r="K335" s="4">
        <v>3836.1011020081005</v>
      </c>
      <c r="L335" s="19">
        <v>3.8361011020081005E21</v>
      </c>
      <c r="M335" s="20">
        <v>3.8361011020081005E20</v>
      </c>
    </row>
    <row r="336">
      <c r="A336" s="6"/>
      <c r="B336" s="6"/>
      <c r="C336" s="4"/>
      <c r="D336" s="4">
        <v>156.86060851201998</v>
      </c>
      <c r="E336" s="4" t="s">
        <v>1884</v>
      </c>
      <c r="F336" s="4"/>
      <c r="G336" s="4"/>
      <c r="H336" s="4"/>
      <c r="I336" s="4" t="str">
        <f>IFERROR(__xludf.DUMMYFUNCTION("""COMPUTED_VALUE"""),"0x193fe7b03fe9d9b6ce2d77fa11f0c63e9af7daa5")</f>
        <v>0x193fe7b03fe9d9b6ce2d77fa11f0c63e9af7daa5</v>
      </c>
      <c r="J336" s="18">
        <v>300.230491339291</v>
      </c>
      <c r="K336" s="4">
        <v>5003.841522321517</v>
      </c>
      <c r="L336" s="19">
        <v>5.003841522321517E21</v>
      </c>
      <c r="M336" s="20">
        <v>5.0038415223215174E20</v>
      </c>
    </row>
    <row r="337">
      <c r="A337" s="6"/>
      <c r="B337" s="6"/>
      <c r="C337" s="4"/>
      <c r="D337" s="4">
        <v>327.22651636833797</v>
      </c>
      <c r="E337" s="4" t="s">
        <v>8683</v>
      </c>
      <c r="F337" s="4"/>
      <c r="G337" s="4"/>
      <c r="H337" s="4"/>
      <c r="I337" s="4" t="str">
        <f>IFERROR(__xludf.DUMMYFUNCTION("""COMPUTED_VALUE"""),"0x9499723c9c4a6b06a2b34c7312f13ac48295a4b5")</f>
        <v>0x9499723c9c4a6b06a2b34c7312f13ac48295a4b5</v>
      </c>
      <c r="J337" s="18">
        <v>327.22651636833797</v>
      </c>
      <c r="K337" s="4">
        <v>5453.775272805633</v>
      </c>
      <c r="L337" s="19">
        <v>5.453775272805633E21</v>
      </c>
      <c r="M337" s="20">
        <v>5.453775272805634E20</v>
      </c>
    </row>
    <row r="338">
      <c r="A338" s="6"/>
      <c r="B338" s="6"/>
      <c r="C338" s="4"/>
      <c r="D338" s="4">
        <v>327.22651636833797</v>
      </c>
      <c r="E338" s="4" t="s">
        <v>8684</v>
      </c>
      <c r="F338" s="4"/>
      <c r="G338" s="4"/>
      <c r="H338" s="4"/>
      <c r="I338" s="4" t="str">
        <f>IFERROR(__xludf.DUMMYFUNCTION("""COMPUTED_VALUE"""),"0x4d3711c1effbc584127f03b3c3054f18f0cb3870")</f>
        <v>0x4d3711c1effbc584127f03b3c3054f18f0cb3870</v>
      </c>
      <c r="J338" s="18">
        <v>639.6297400079026</v>
      </c>
      <c r="K338" s="4">
        <v>10660.495666798377</v>
      </c>
      <c r="L338" s="19">
        <v>1.0660495666798377E22</v>
      </c>
      <c r="M338" s="20">
        <v>1.0660495666798377E21</v>
      </c>
    </row>
    <row r="339">
      <c r="A339" s="6"/>
      <c r="B339" s="6"/>
      <c r="C339" s="4"/>
      <c r="D339" s="4">
        <v>327.22651636833797</v>
      </c>
      <c r="E339" s="4" t="s">
        <v>8685</v>
      </c>
      <c r="F339" s="4"/>
      <c r="G339" s="4"/>
      <c r="H339" s="4"/>
      <c r="I339" s="4" t="str">
        <f>IFERROR(__xludf.DUMMYFUNCTION("""COMPUTED_VALUE"""),"0xf00bd78198847a758a32dd88a1bb938b4aa6ae7b")</f>
        <v>0xf00bd78198847a758a32dd88a1bb938b4aa6ae7b</v>
      </c>
      <c r="J339" s="18">
        <v>699.6132053336349</v>
      </c>
      <c r="K339" s="4">
        <v>11660.220088893917</v>
      </c>
      <c r="L339" s="19">
        <v>1.1660220088893917E22</v>
      </c>
      <c r="M339" s="20">
        <v>1.1660220088893917E21</v>
      </c>
    </row>
    <row r="340">
      <c r="A340" s="6"/>
      <c r="B340" s="6"/>
      <c r="C340" s="4"/>
      <c r="D340" s="4">
        <v>327.22651636833797</v>
      </c>
      <c r="E340" s="4" t="s">
        <v>6946</v>
      </c>
      <c r="F340" s="4"/>
      <c r="G340" s="4"/>
      <c r="H340" s="4"/>
      <c r="I340" s="4" t="str">
        <f>IFERROR(__xludf.DUMMYFUNCTION("""COMPUTED_VALUE"""),"0x8dd465ba1cd2ad7f6e6dfd929be748be361429ca")</f>
        <v>0x8dd465ba1cd2ad7f6e6dfd929be748be361429ca</v>
      </c>
      <c r="J340" s="18">
        <v>670.145638747673</v>
      </c>
      <c r="K340" s="4">
        <v>11169.093979127885</v>
      </c>
      <c r="L340" s="19">
        <v>1.1169093979127885E22</v>
      </c>
      <c r="M340" s="20">
        <v>1.1169093979127885E21</v>
      </c>
    </row>
    <row r="341">
      <c r="A341" s="6"/>
      <c r="B341" s="6"/>
      <c r="C341" s="4"/>
      <c r="D341" s="4">
        <v>327.22651636833797</v>
      </c>
      <c r="E341" s="4" t="s">
        <v>338</v>
      </c>
      <c r="F341" s="4"/>
      <c r="G341" s="4"/>
      <c r="H341" s="4"/>
      <c r="I341" s="4" t="str">
        <f>IFERROR(__xludf.DUMMYFUNCTION("""COMPUTED_VALUE"""),"0xbad19e37e23ebb8e91ad0b7bfdbc193f4010ba2e")</f>
        <v>0xbad19e37e23ebb8e91ad0b7bfdbc193f4010ba2e</v>
      </c>
      <c r="J341" s="18">
        <v>700.1158917853554</v>
      </c>
      <c r="K341" s="4">
        <v>11668.59819642259</v>
      </c>
      <c r="L341" s="19">
        <v>1.166859819642259E22</v>
      </c>
      <c r="M341" s="20">
        <v>1.1668598196422591E21</v>
      </c>
    </row>
    <row r="342">
      <c r="A342" s="6"/>
      <c r="B342" s="6"/>
      <c r="C342" s="4"/>
      <c r="D342" s="4">
        <v>327.22651636833797</v>
      </c>
      <c r="E342" s="4" t="s">
        <v>8686</v>
      </c>
      <c r="F342" s="4"/>
      <c r="G342" s="4"/>
      <c r="H342" s="4"/>
      <c r="I342" s="4" t="str">
        <f>IFERROR(__xludf.DUMMYFUNCTION("""COMPUTED_VALUE"""),"0x91c2893da0e58e8f80f41eb5f5be9e69a744cc78")</f>
        <v>0x91c2893da0e58e8f80f41eb5f5be9e69a744cc78</v>
      </c>
      <c r="J342" s="18">
        <v>626.551497690858</v>
      </c>
      <c r="K342" s="4">
        <v>10442.5249615143</v>
      </c>
      <c r="L342" s="19">
        <v>1.04425249615143E22</v>
      </c>
      <c r="M342" s="20">
        <v>1.04425249615143E21</v>
      </c>
    </row>
    <row r="343">
      <c r="A343" s="6"/>
      <c r="B343" s="6"/>
      <c r="C343" s="4"/>
      <c r="D343" s="4">
        <v>327.22651636833797</v>
      </c>
      <c r="E343" s="4" t="s">
        <v>8687</v>
      </c>
      <c r="F343" s="4"/>
      <c r="G343" s="4"/>
      <c r="H343" s="4"/>
      <c r="I343" s="4" t="str">
        <f>IFERROR(__xludf.DUMMYFUNCTION("""COMPUTED_VALUE"""),"0xa64b619b001042fcd07624ccb3a2dba3241d8e53")</f>
        <v>0xa64b619b001042fcd07624ccb3a2dba3241d8e53</v>
      </c>
      <c r="J343" s="18">
        <v>502.41577685331197</v>
      </c>
      <c r="K343" s="4">
        <v>8373.596280888532</v>
      </c>
      <c r="L343" s="19">
        <v>8.373596280888533E21</v>
      </c>
      <c r="M343" s="20">
        <v>8.373596280888534E20</v>
      </c>
    </row>
    <row r="344">
      <c r="A344" s="6"/>
      <c r="B344" s="6"/>
      <c r="C344" s="4"/>
      <c r="D344" s="4">
        <v>327.22651636833797</v>
      </c>
      <c r="E344" s="4" t="s">
        <v>7568</v>
      </c>
      <c r="F344" s="4"/>
      <c r="G344" s="4"/>
      <c r="H344" s="4"/>
      <c r="I344" s="4" t="str">
        <f>IFERROR(__xludf.DUMMYFUNCTION("""COMPUTED_VALUE"""),"0x7e9d5da81c3826465d6958a3ff804d1f48dbece1")</f>
        <v>0x7e9d5da81c3826465d6958a3ff804d1f48dbece1</v>
      </c>
      <c r="J344" s="18">
        <v>865.936620946241</v>
      </c>
      <c r="K344" s="4">
        <v>14432.277015770684</v>
      </c>
      <c r="L344" s="19">
        <v>1.4432277015770683E22</v>
      </c>
      <c r="M344" s="20">
        <v>1.4432277015770683E21</v>
      </c>
    </row>
    <row r="345">
      <c r="A345" s="6"/>
      <c r="B345" s="6"/>
      <c r="C345" s="4"/>
      <c r="D345" s="4">
        <v>327.22651636833797</v>
      </c>
      <c r="E345" s="4" t="s">
        <v>8149</v>
      </c>
      <c r="F345" s="4"/>
      <c r="G345" s="4"/>
      <c r="H345" s="4"/>
      <c r="I345" s="4" t="str">
        <f>IFERROR(__xludf.DUMMYFUNCTION("""COMPUTED_VALUE"""),"0x15d61b5e4c87c86860b724a52d9b58150e5687c0")</f>
        <v>0x15d61b5e4c87c86860b724a52d9b58150e5687c0</v>
      </c>
      <c r="J345" s="18">
        <v>626.551497690858</v>
      </c>
      <c r="K345" s="4">
        <v>10442.5249615143</v>
      </c>
      <c r="L345" s="19">
        <v>1.04425249615143E22</v>
      </c>
      <c r="M345" s="20">
        <v>1.04425249615143E21</v>
      </c>
    </row>
    <row r="346">
      <c r="A346" s="6"/>
      <c r="B346" s="6"/>
      <c r="C346" s="4"/>
      <c r="D346" s="4">
        <v>327.22651636833797</v>
      </c>
      <c r="E346" s="4" t="s">
        <v>8688</v>
      </c>
      <c r="F346" s="4"/>
      <c r="G346" s="4"/>
      <c r="H346" s="4"/>
      <c r="I346" s="4" t="str">
        <f>IFERROR(__xludf.DUMMYFUNCTION("""COMPUTED_VALUE"""),"0xc10bc189a2dbeffcdb0e03cf82e6380254aa051c")</f>
        <v>0xc10bc189a2dbeffcdb0e03cf82e6380254aa051c</v>
      </c>
      <c r="J346" s="18">
        <v>327.22651636833797</v>
      </c>
      <c r="K346" s="4">
        <v>5453.775272805633</v>
      </c>
      <c r="L346" s="19">
        <v>5.453775272805633E21</v>
      </c>
      <c r="M346" s="20">
        <v>5.453775272805634E20</v>
      </c>
    </row>
    <row r="347">
      <c r="A347" s="6"/>
      <c r="B347" s="6"/>
      <c r="C347" s="4"/>
      <c r="D347" s="4">
        <v>327.22651636833797</v>
      </c>
      <c r="E347" s="4" t="s">
        <v>861</v>
      </c>
      <c r="F347" s="4"/>
      <c r="G347" s="4"/>
      <c r="H347" s="4"/>
      <c r="I347" s="4" t="str">
        <f>IFERROR(__xludf.DUMMYFUNCTION("""COMPUTED_VALUE"""),"0xed420f5f00186fa868aff815f9f5725be1cadc6d")</f>
        <v>0xed420f5f00186fa868aff815f9f5725be1cadc6d</v>
      </c>
      <c r="J347" s="18">
        <v>626.551497690858</v>
      </c>
      <c r="K347" s="4">
        <v>10442.5249615143</v>
      </c>
      <c r="L347" s="19">
        <v>1.04425249615143E22</v>
      </c>
      <c r="M347" s="20">
        <v>1.04425249615143E21</v>
      </c>
    </row>
    <row r="348">
      <c r="A348" s="6"/>
      <c r="B348" s="6"/>
      <c r="C348" s="4"/>
      <c r="D348" s="4">
        <v>327.22651636833797</v>
      </c>
      <c r="E348" s="4" t="s">
        <v>1667</v>
      </c>
      <c r="F348" s="4"/>
      <c r="G348" s="4"/>
      <c r="H348" s="4"/>
      <c r="I348" s="4" t="str">
        <f>IFERROR(__xludf.DUMMYFUNCTION("""COMPUTED_VALUE"""),"0x461e76a4fe9f27605d4097a646837c32f1ccc31c")</f>
        <v>0x461e76a4fe9f27605d4097a646837c32f1ccc31c</v>
      </c>
      <c r="J348" s="18">
        <v>5915.4217534643685</v>
      </c>
      <c r="K348" s="4">
        <v>98590.36255773949</v>
      </c>
      <c r="L348" s="19">
        <v>9.859036255773948E22</v>
      </c>
      <c r="M348" s="20">
        <v>9.859036255773948E21</v>
      </c>
    </row>
    <row r="349">
      <c r="A349" s="6"/>
      <c r="B349" s="6"/>
      <c r="C349" s="4"/>
      <c r="D349" s="4">
        <v>327.22651636833797</v>
      </c>
      <c r="E349" s="4" t="s">
        <v>7453</v>
      </c>
      <c r="F349" s="4"/>
      <c r="G349" s="4"/>
      <c r="H349" s="4"/>
      <c r="I349" s="4" t="str">
        <f>IFERROR(__xludf.DUMMYFUNCTION("""COMPUTED_VALUE"""),"0x56c94d63a2001a9ae5e6f55ed4b2055247d8102f")</f>
        <v>0x56c94d63a2001a9ae5e6f55ed4b2055247d8102f</v>
      </c>
      <c r="J349" s="18">
        <v>626.551497690858</v>
      </c>
      <c r="K349" s="4">
        <v>10442.5249615143</v>
      </c>
      <c r="L349" s="19">
        <v>1.04425249615143E22</v>
      </c>
      <c r="M349" s="20">
        <v>1.04425249615143E21</v>
      </c>
    </row>
    <row r="350">
      <c r="A350" s="6"/>
      <c r="B350" s="6"/>
      <c r="C350" s="4"/>
      <c r="D350" s="4">
        <v>327.22651636833797</v>
      </c>
      <c r="E350" s="4" t="s">
        <v>1254</v>
      </c>
      <c r="F350" s="4"/>
      <c r="G350" s="4"/>
      <c r="H350" s="4"/>
      <c r="I350" s="4" t="str">
        <f>IFERROR(__xludf.DUMMYFUNCTION("""COMPUTED_VALUE"""),"0x3024ed33d6be2cc4f5173e3f8384e17de279336f")</f>
        <v>0x3024ed33d6be2cc4f5173e3f8384e17de279336f</v>
      </c>
      <c r="J350" s="18">
        <v>1420.40080633546</v>
      </c>
      <c r="K350" s="4">
        <v>23673.346772257668</v>
      </c>
      <c r="L350" s="19">
        <v>2.3673346772257668E22</v>
      </c>
      <c r="M350" s="20">
        <v>2.3673346772257666E21</v>
      </c>
    </row>
    <row r="351">
      <c r="A351" s="6"/>
      <c r="B351" s="6"/>
      <c r="C351" s="4"/>
      <c r="D351" s="4">
        <v>261.782069422903</v>
      </c>
      <c r="E351" s="4" t="s">
        <v>8689</v>
      </c>
      <c r="F351" s="4"/>
      <c r="G351" s="4"/>
      <c r="H351" s="4"/>
      <c r="I351" s="4" t="str">
        <f>IFERROR(__xludf.DUMMYFUNCTION("""COMPUTED_VALUE"""),"0xe459ae0dc31194fa0fd626020a25d9a1cef0047d")</f>
        <v>0xe459ae0dc31194fa0fd626020a25d9a1cef0047d</v>
      </c>
      <c r="J351" s="18">
        <v>261.782069422903</v>
      </c>
      <c r="K351" s="4">
        <v>4363.034490381717</v>
      </c>
      <c r="L351" s="19">
        <v>4.3630344903817167E21</v>
      </c>
      <c r="M351" s="20">
        <v>4.363034490381717E20</v>
      </c>
    </row>
    <row r="352">
      <c r="A352" s="6"/>
      <c r="B352" s="6"/>
      <c r="C352" s="4"/>
      <c r="D352" s="4">
        <v>327.22651636833797</v>
      </c>
      <c r="E352" s="4" t="s">
        <v>6408</v>
      </c>
      <c r="F352" s="4"/>
      <c r="G352" s="4"/>
      <c r="H352" s="4"/>
      <c r="I352" s="4" t="str">
        <f>IFERROR(__xludf.DUMMYFUNCTION("""COMPUTED_VALUE"""),"0x8b69fd2530be0e8e4dbfe7de47a09ce41ea880d1")</f>
        <v>0x8b69fd2530be0e8e4dbfe7de47a09ce41ea880d1</v>
      </c>
      <c r="J352" s="18">
        <v>626.551497690858</v>
      </c>
      <c r="K352" s="4">
        <v>10442.5249615143</v>
      </c>
      <c r="L352" s="19">
        <v>1.04425249615143E22</v>
      </c>
      <c r="M352" s="20">
        <v>1.04425249615143E21</v>
      </c>
    </row>
    <row r="353">
      <c r="A353" s="6"/>
      <c r="B353" s="6"/>
      <c r="C353" s="4"/>
      <c r="D353" s="4">
        <v>327.22651636833797</v>
      </c>
      <c r="E353" s="4" t="s">
        <v>4407</v>
      </c>
      <c r="F353" s="4"/>
      <c r="G353" s="4"/>
      <c r="H353" s="4"/>
      <c r="I353" s="4" t="str">
        <f>IFERROR(__xludf.DUMMYFUNCTION("""COMPUTED_VALUE"""),"0x2ecc2f4bb86cae1634d88288c6cf17fd091b27ec")</f>
        <v>0x2ecc2f4bb86cae1634d88288c6cf17fd091b27ec</v>
      </c>
      <c r="J353" s="18">
        <v>626.551497690858</v>
      </c>
      <c r="K353" s="4">
        <v>10442.5249615143</v>
      </c>
      <c r="L353" s="19">
        <v>1.04425249615143E22</v>
      </c>
      <c r="M353" s="20">
        <v>1.04425249615143E21</v>
      </c>
    </row>
    <row r="354">
      <c r="A354" s="6"/>
      <c r="B354" s="6"/>
      <c r="C354" s="4"/>
      <c r="D354" s="4">
        <v>327.22651636833797</v>
      </c>
      <c r="E354" s="4" t="s">
        <v>2028</v>
      </c>
      <c r="F354" s="4"/>
      <c r="G354" s="4"/>
      <c r="H354" s="4"/>
      <c r="I354" s="4" t="str">
        <f>IFERROR(__xludf.DUMMYFUNCTION("""COMPUTED_VALUE"""),"0x5799dd2b9f02c52c28c0cb78929a7a624f2bdd0e")</f>
        <v>0x5799dd2b9f02c52c28c0cb78929a7a624f2bdd0e</v>
      </c>
      <c r="J354" s="18">
        <v>670.145638747673</v>
      </c>
      <c r="K354" s="4">
        <v>11169.093979127885</v>
      </c>
      <c r="L354" s="19">
        <v>1.1169093979127885E22</v>
      </c>
      <c r="M354" s="20">
        <v>1.1169093979127885E21</v>
      </c>
    </row>
    <row r="355">
      <c r="A355" s="6"/>
      <c r="B355" s="6"/>
      <c r="C355" s="4"/>
      <c r="D355" s="4">
        <v>327.22651636833797</v>
      </c>
      <c r="E355" s="4" t="s">
        <v>3086</v>
      </c>
      <c r="F355" s="4"/>
      <c r="G355" s="4"/>
      <c r="H355" s="4"/>
      <c r="I355" s="4" t="str">
        <f>IFERROR(__xludf.DUMMYFUNCTION("""COMPUTED_VALUE"""),"0x035df91bfb4db748b50e29c86ceefb97e2b8fd63")</f>
        <v>0x035df91bfb4db748b50e29c86ceefb97e2b8fd63</v>
      </c>
      <c r="J355" s="18">
        <v>626.551497690858</v>
      </c>
      <c r="K355" s="4">
        <v>10442.5249615143</v>
      </c>
      <c r="L355" s="19">
        <v>1.04425249615143E22</v>
      </c>
      <c r="M355" s="20">
        <v>1.04425249615143E21</v>
      </c>
    </row>
    <row r="356">
      <c r="A356" s="6"/>
      <c r="B356" s="6"/>
      <c r="C356" s="4"/>
      <c r="D356" s="4">
        <v>327.22651636833797</v>
      </c>
      <c r="E356" s="4" t="s">
        <v>8691</v>
      </c>
      <c r="F356" s="4"/>
      <c r="G356" s="4"/>
      <c r="H356" s="4"/>
      <c r="I356" s="4" t="str">
        <f>IFERROR(__xludf.DUMMYFUNCTION("""COMPUTED_VALUE"""),"0xc245c8b69a9850d891b9dd5ae3ab2a777f881d74")</f>
        <v>0xc245c8b69a9850d891b9dd5ae3ab2a777f881d74</v>
      </c>
      <c r="J356" s="18">
        <v>626.551497690858</v>
      </c>
      <c r="K356" s="4">
        <v>10442.5249615143</v>
      </c>
      <c r="L356" s="19">
        <v>1.04425249615143E22</v>
      </c>
      <c r="M356" s="20">
        <v>1.04425249615143E21</v>
      </c>
    </row>
    <row r="357">
      <c r="A357" s="6"/>
      <c r="B357" s="6"/>
      <c r="C357" s="4"/>
      <c r="D357" s="4">
        <v>327.22651636833797</v>
      </c>
      <c r="E357" s="4" t="s">
        <v>4008</v>
      </c>
      <c r="F357" s="4"/>
      <c r="G357" s="4"/>
      <c r="H357" s="4"/>
      <c r="I357" s="4" t="str">
        <f>IFERROR(__xludf.DUMMYFUNCTION("""COMPUTED_VALUE"""),"0x6937dea4fd5896865ad1d1d07c391597542de9d7")</f>
        <v>0x6937dea4fd5896865ad1d1d07c391597542de9d7</v>
      </c>
      <c r="J357" s="18">
        <v>670.145638747673</v>
      </c>
      <c r="K357" s="4">
        <v>11169.093979127885</v>
      </c>
      <c r="L357" s="19">
        <v>1.1169093979127885E22</v>
      </c>
      <c r="M357" s="20">
        <v>1.1169093979127885E21</v>
      </c>
    </row>
    <row r="358">
      <c r="A358" s="6"/>
      <c r="B358" s="6"/>
      <c r="C358" s="4"/>
      <c r="D358" s="4">
        <v>327.22651636833797</v>
      </c>
      <c r="E358" s="4" t="s">
        <v>4381</v>
      </c>
      <c r="F358" s="4"/>
      <c r="G358" s="4"/>
      <c r="H358" s="4"/>
      <c r="I358" s="4" t="str">
        <f>IFERROR(__xludf.DUMMYFUNCTION("""COMPUTED_VALUE"""),"0x4bf5ea109f600fffbff71923d18787bbd7895402")</f>
        <v>0x4bf5ea109f600fffbff71923d18787bbd7895402</v>
      </c>
      <c r="J358" s="18">
        <v>626.551497690858</v>
      </c>
      <c r="K358" s="4">
        <v>10442.5249615143</v>
      </c>
      <c r="L358" s="19">
        <v>1.04425249615143E22</v>
      </c>
      <c r="M358" s="20">
        <v>1.04425249615143E21</v>
      </c>
    </row>
    <row r="359">
      <c r="A359" s="6"/>
      <c r="B359" s="6"/>
      <c r="C359" s="4"/>
      <c r="D359" s="4">
        <v>0.213121180737083</v>
      </c>
      <c r="E359" s="4" t="s">
        <v>5836</v>
      </c>
      <c r="F359" s="4"/>
      <c r="G359" s="4"/>
      <c r="H359" s="4"/>
      <c r="I359" s="4" t="str">
        <f>IFERROR(__xludf.DUMMYFUNCTION("""COMPUTED_VALUE"""),"0x9dbcc76199de962d35e3db9b133563f28178227f")</f>
        <v>0x9dbcc76199de962d35e3db9b133563f28178227f</v>
      </c>
      <c r="J359" s="18">
        <v>0.2307438550330786</v>
      </c>
      <c r="K359" s="4">
        <v>3.8457309172179768</v>
      </c>
      <c r="L359" s="19">
        <v>3.845730917217977E18</v>
      </c>
      <c r="M359" s="20">
        <v>3.845730917217977E17</v>
      </c>
    </row>
    <row r="360">
      <c r="A360" s="6"/>
      <c r="B360" s="6"/>
      <c r="C360" s="4"/>
      <c r="D360" s="4">
        <v>327.22651636833797</v>
      </c>
      <c r="E360" s="4" t="s">
        <v>8693</v>
      </c>
      <c r="F360" s="4"/>
      <c r="G360" s="4"/>
      <c r="H360" s="4"/>
      <c r="I360" s="4" t="str">
        <f>IFERROR(__xludf.DUMMYFUNCTION("""COMPUTED_VALUE"""),"0xccbb9623116e74bbea81432a714e3b5d6d14d861")</f>
        <v>0xccbb9623116e74bbea81432a714e3b5d6d14d861</v>
      </c>
      <c r="J360" s="18">
        <v>626.551497690858</v>
      </c>
      <c r="K360" s="4">
        <v>10442.5249615143</v>
      </c>
      <c r="L360" s="19">
        <v>1.04425249615143E22</v>
      </c>
      <c r="M360" s="20">
        <v>1.04425249615143E21</v>
      </c>
    </row>
    <row r="361">
      <c r="A361" s="6"/>
      <c r="B361" s="6"/>
      <c r="C361" s="4"/>
      <c r="D361" s="4">
        <v>327.22651636833797</v>
      </c>
      <c r="E361" s="4" t="s">
        <v>8694</v>
      </c>
      <c r="F361" s="4"/>
      <c r="G361" s="4"/>
      <c r="H361" s="4"/>
      <c r="I361" s="4" t="str">
        <f>IFERROR(__xludf.DUMMYFUNCTION("""COMPUTED_VALUE"""),"0x62f9ba44e55ba6c2390f49ff296b61d4722dc6b4")</f>
        <v>0x62f9ba44e55ba6c2390f49ff296b61d4722dc6b4</v>
      </c>
      <c r="J361" s="18">
        <v>655.6142583954013</v>
      </c>
      <c r="K361" s="4">
        <v>10926.904306590022</v>
      </c>
      <c r="L361" s="19">
        <v>1.0926904306590022E22</v>
      </c>
      <c r="M361" s="20">
        <v>1.0926904306590022E21</v>
      </c>
    </row>
    <row r="362">
      <c r="A362" s="6"/>
      <c r="B362" s="6"/>
      <c r="C362" s="4"/>
      <c r="D362" s="4">
        <v>327.22651636833797</v>
      </c>
      <c r="E362" s="4" t="s">
        <v>2020</v>
      </c>
      <c r="F362" s="4"/>
      <c r="G362" s="4"/>
      <c r="H362" s="4"/>
      <c r="I362" s="4" t="str">
        <f>IFERROR(__xludf.DUMMYFUNCTION("""COMPUTED_VALUE"""),"0x80026fd66d0cd4ae23fdaab33926e5e94ecbc240")</f>
        <v>0x80026fd66d0cd4ae23fdaab33926e5e94ecbc240</v>
      </c>
      <c r="J362" s="18">
        <v>334.4922065444738</v>
      </c>
      <c r="K362" s="4">
        <v>5574.8701090745635</v>
      </c>
      <c r="L362" s="19">
        <v>5.574870109074564E21</v>
      </c>
      <c r="M362" s="20">
        <v>5.574870109074564E20</v>
      </c>
    </row>
    <row r="363">
      <c r="A363" s="6"/>
      <c r="B363" s="6"/>
      <c r="C363" s="4"/>
      <c r="D363" s="4">
        <v>241.280499940907</v>
      </c>
      <c r="E363" s="4" t="s">
        <v>2693</v>
      </c>
      <c r="F363" s="4"/>
      <c r="G363" s="4"/>
      <c r="H363" s="4"/>
      <c r="I363" s="4" t="str">
        <f>IFERROR(__xludf.DUMMYFUNCTION("""COMPUTED_VALUE"""),"0xc25032f12a8774347d84ec5d40270f73aef4e0b0")</f>
        <v>0xc25032f12a8774347d84ec5d40270f73aef4e0b0</v>
      </c>
      <c r="J363" s="18">
        <v>241.280499940907</v>
      </c>
      <c r="K363" s="4">
        <v>4021.3416656817835</v>
      </c>
      <c r="L363" s="19">
        <v>4.0213416656817834E21</v>
      </c>
      <c r="M363" s="20">
        <v>4.0213416656817835E20</v>
      </c>
    </row>
    <row r="364">
      <c r="A364" s="6"/>
      <c r="B364" s="6"/>
      <c r="C364" s="4"/>
      <c r="D364" s="4">
        <v>327.22651636833797</v>
      </c>
      <c r="E364" s="4" t="s">
        <v>6280</v>
      </c>
      <c r="F364" s="4"/>
      <c r="G364" s="4"/>
      <c r="H364" s="4"/>
      <c r="I364" s="4" t="str">
        <f>IFERROR(__xludf.DUMMYFUNCTION("""COMPUTED_VALUE"""),"0xd2202a70dfe5c12a3d601ce54bd402f63c8c8e9e")</f>
        <v>0xd2202a70dfe5c12a3d601ce54bd402f63c8c8e9e</v>
      </c>
      <c r="J364" s="18">
        <v>670.145638747673</v>
      </c>
      <c r="K364" s="4">
        <v>11169.093979127885</v>
      </c>
      <c r="L364" s="19">
        <v>1.1169093979127885E22</v>
      </c>
      <c r="M364" s="20">
        <v>1.1169093979127885E21</v>
      </c>
    </row>
    <row r="365">
      <c r="A365" s="6"/>
      <c r="B365" s="6"/>
      <c r="C365" s="4"/>
      <c r="D365" s="4">
        <v>198.665307584831</v>
      </c>
      <c r="E365" s="4" t="s">
        <v>8696</v>
      </c>
      <c r="F365" s="4"/>
      <c r="G365" s="4"/>
      <c r="H365" s="4"/>
      <c r="I365" s="4" t="str">
        <f>IFERROR(__xludf.DUMMYFUNCTION("""COMPUTED_VALUE"""),"0x69c3541fd1eaa0da10cb8a40c5d45f2c9cb591f4")</f>
        <v>0x69c3541fd1eaa0da10cb8a40c5d45f2c9cb591f4</v>
      </c>
      <c r="J365" s="18">
        <v>198.665307584831</v>
      </c>
      <c r="K365" s="4">
        <v>3311.0884597471836</v>
      </c>
      <c r="L365" s="19">
        <v>3.3110884597471836E21</v>
      </c>
      <c r="M365" s="20">
        <v>3.311088459747184E20</v>
      </c>
    </row>
    <row r="366">
      <c r="A366" s="6"/>
      <c r="B366" s="6"/>
      <c r="C366" s="4"/>
      <c r="D366" s="4">
        <v>327.22651636833797</v>
      </c>
      <c r="E366" s="4" t="s">
        <v>4354</v>
      </c>
      <c r="F366" s="4"/>
      <c r="G366" s="4"/>
      <c r="H366" s="4"/>
      <c r="I366" s="4" t="str">
        <f>IFERROR(__xludf.DUMMYFUNCTION("""COMPUTED_VALUE"""),"0x2f35ebc7a51413677cb52194138c222eea6404f0")</f>
        <v>0x2f35ebc7a51413677cb52194138c222eea6404f0</v>
      </c>
      <c r="J366" s="18">
        <v>670.145638747673</v>
      </c>
      <c r="K366" s="4">
        <v>11169.093979127885</v>
      </c>
      <c r="L366" s="19">
        <v>1.1169093979127885E22</v>
      </c>
      <c r="M366" s="20">
        <v>1.1169093979127885E21</v>
      </c>
    </row>
    <row r="367">
      <c r="A367" s="6"/>
      <c r="B367" s="6"/>
      <c r="C367" s="4"/>
      <c r="D367" s="4">
        <v>327.22651636833797</v>
      </c>
      <c r="E367" s="4" t="s">
        <v>8698</v>
      </c>
      <c r="F367" s="4"/>
      <c r="G367" s="4"/>
      <c r="H367" s="4"/>
      <c r="I367" s="4" t="str">
        <f>IFERROR(__xludf.DUMMYFUNCTION("""COMPUTED_VALUE"""),"0x5220c12a5a1ad95753d0785588ea0e6ea4ab4fdb")</f>
        <v>0x5220c12a5a1ad95753d0785588ea0e6ea4ab4fdb</v>
      </c>
      <c r="J367" s="18">
        <v>874.46182335089</v>
      </c>
      <c r="K367" s="4">
        <v>14574.363722514834</v>
      </c>
      <c r="L367" s="19">
        <v>1.4574363722514835E22</v>
      </c>
      <c r="M367" s="20">
        <v>1.4574363722514836E21</v>
      </c>
    </row>
    <row r="368">
      <c r="A368" s="6"/>
      <c r="B368" s="6"/>
      <c r="C368" s="4"/>
      <c r="D368" s="4">
        <v>215.969500803103</v>
      </c>
      <c r="E368" s="4" t="s">
        <v>4643</v>
      </c>
      <c r="F368" s="4"/>
      <c r="G368" s="4"/>
      <c r="H368" s="4"/>
      <c r="I368" s="4" t="str">
        <f>IFERROR(__xludf.DUMMYFUNCTION("""COMPUTED_VALUE"""),"0x521745bfffd83d06169cc6124a0ce363b633e7fc")</f>
        <v>0x521745bfffd83d06169cc6124a0ce363b633e7fc</v>
      </c>
      <c r="J368" s="18">
        <v>515.294482125623</v>
      </c>
      <c r="K368" s="4">
        <v>8588.241368760382</v>
      </c>
      <c r="L368" s="19">
        <v>8.588241368760382E21</v>
      </c>
      <c r="M368" s="20">
        <v>8.588241368760383E20</v>
      </c>
    </row>
    <row r="369">
      <c r="A369" s="6"/>
      <c r="B369" s="6"/>
      <c r="C369" s="4"/>
      <c r="D369" s="4">
        <v>327.22651636833797</v>
      </c>
      <c r="E369" s="4" t="s">
        <v>8700</v>
      </c>
      <c r="F369" s="4"/>
      <c r="G369" s="4"/>
      <c r="H369" s="4"/>
      <c r="I369" s="4" t="str">
        <f>IFERROR(__xludf.DUMMYFUNCTION("""COMPUTED_VALUE"""),"0x1c07afc826de3fd733b2128988bbcf0a794a9f62")</f>
        <v>0x1c07afc826de3fd733b2128988bbcf0a794a9f62</v>
      </c>
      <c r="J369" s="18">
        <v>626.551497690858</v>
      </c>
      <c r="K369" s="4">
        <v>10442.5249615143</v>
      </c>
      <c r="L369" s="19">
        <v>1.04425249615143E22</v>
      </c>
      <c r="M369" s="20">
        <v>1.04425249615143E21</v>
      </c>
    </row>
    <row r="370">
      <c r="A370" s="6"/>
      <c r="B370" s="6"/>
      <c r="C370" s="4"/>
      <c r="D370" s="4">
        <v>327.22651636833797</v>
      </c>
      <c r="E370" s="4" t="s">
        <v>8701</v>
      </c>
      <c r="F370" s="4"/>
      <c r="G370" s="4"/>
      <c r="H370" s="4"/>
      <c r="I370" s="4" t="str">
        <f>IFERROR(__xludf.DUMMYFUNCTION("""COMPUTED_VALUE"""),"0xf6c15b384b640e5ac718c2da1fc6d4cc6be063a0")</f>
        <v>0xf6c15b384b640e5ac718c2da1fc6d4cc6be063a0</v>
      </c>
      <c r="J370" s="18">
        <v>626.551497690858</v>
      </c>
      <c r="K370" s="4">
        <v>10442.5249615143</v>
      </c>
      <c r="L370" s="19">
        <v>1.04425249615143E22</v>
      </c>
      <c r="M370" s="20">
        <v>1.04425249615143E21</v>
      </c>
    </row>
    <row r="371">
      <c r="A371" s="6"/>
      <c r="B371" s="6"/>
      <c r="C371" s="4"/>
      <c r="D371" s="4">
        <v>327.22651636833797</v>
      </c>
      <c r="E371" s="4" t="s">
        <v>7610</v>
      </c>
      <c r="F371" s="4"/>
      <c r="G371" s="4"/>
      <c r="H371" s="4"/>
      <c r="I371" s="4" t="str">
        <f>IFERROR(__xludf.DUMMYFUNCTION("""COMPUTED_VALUE"""),"0x7b200c3e7fb825b17c3d7da1e7d29379036cfbed")</f>
        <v>0x7b200c3e7fb825b17c3d7da1e7d29379036cfbed</v>
      </c>
      <c r="J371" s="18">
        <v>327.22651636833797</v>
      </c>
      <c r="K371" s="4">
        <v>5453.775272805633</v>
      </c>
      <c r="L371" s="19">
        <v>5.453775272805633E21</v>
      </c>
      <c r="M371" s="20">
        <v>5.453775272805634E20</v>
      </c>
    </row>
    <row r="372">
      <c r="A372" s="6"/>
      <c r="B372" s="6"/>
      <c r="C372" s="4"/>
      <c r="D372" s="4">
        <v>327.22651636833797</v>
      </c>
      <c r="E372" s="4" t="s">
        <v>5023</v>
      </c>
      <c r="F372" s="4"/>
      <c r="G372" s="4"/>
      <c r="H372" s="4"/>
      <c r="I372" s="4" t="str">
        <f>IFERROR(__xludf.DUMMYFUNCTION("""COMPUTED_VALUE"""),"0xf79a4ce9bd79f43257e24986dd35c3dfc5da5460")</f>
        <v>0xf79a4ce9bd79f43257e24986dd35c3dfc5da5460</v>
      </c>
      <c r="J372" s="18">
        <v>626.551497690858</v>
      </c>
      <c r="K372" s="4">
        <v>10442.5249615143</v>
      </c>
      <c r="L372" s="19">
        <v>1.04425249615143E22</v>
      </c>
      <c r="M372" s="20">
        <v>1.04425249615143E21</v>
      </c>
    </row>
    <row r="373">
      <c r="A373" s="6"/>
      <c r="B373" s="6"/>
      <c r="C373" s="4"/>
      <c r="D373" s="4">
        <v>327.22651636833797</v>
      </c>
      <c r="E373" s="4" t="s">
        <v>3190</v>
      </c>
      <c r="F373" s="4"/>
      <c r="G373" s="4"/>
      <c r="H373" s="4"/>
      <c r="I373" s="4" t="str">
        <f>IFERROR(__xludf.DUMMYFUNCTION("""COMPUTED_VALUE"""),"0x5b1053748e5ffb0930634a614657745cc445c41c")</f>
        <v>0x5b1053748e5ffb0930634a614657745cc445c41c</v>
      </c>
      <c r="J373" s="18">
        <v>327.22651636833797</v>
      </c>
      <c r="K373" s="4">
        <v>5453.775272805633</v>
      </c>
      <c r="L373" s="19">
        <v>5.453775272805633E21</v>
      </c>
      <c r="M373" s="20">
        <v>5.453775272805634E20</v>
      </c>
    </row>
    <row r="374">
      <c r="A374" s="6"/>
      <c r="B374" s="6"/>
      <c r="C374" s="4"/>
      <c r="D374" s="4">
        <v>327.22651636833797</v>
      </c>
      <c r="E374" s="4" t="s">
        <v>2473</v>
      </c>
      <c r="F374" s="4"/>
      <c r="G374" s="4"/>
      <c r="H374" s="4"/>
      <c r="I374" s="4" t="str">
        <f>IFERROR(__xludf.DUMMYFUNCTION("""COMPUTED_VALUE"""),"0x9316ae6261d4fa383fdb3b012debae5fc35f9042")</f>
        <v>0x9316ae6261d4fa383fdb3b012debae5fc35f9042</v>
      </c>
      <c r="J374" s="18">
        <v>626.551497690858</v>
      </c>
      <c r="K374" s="4">
        <v>10442.5249615143</v>
      </c>
      <c r="L374" s="19">
        <v>1.04425249615143E22</v>
      </c>
      <c r="M374" s="20">
        <v>1.04425249615143E21</v>
      </c>
    </row>
    <row r="375">
      <c r="A375" s="6"/>
      <c r="B375" s="6"/>
      <c r="C375" s="4"/>
      <c r="D375" s="4">
        <v>277.244071078866</v>
      </c>
      <c r="E375" s="4" t="s">
        <v>6480</v>
      </c>
      <c r="F375" s="4"/>
      <c r="G375" s="4"/>
      <c r="H375" s="4"/>
      <c r="I375" s="4" t="str">
        <f>IFERROR(__xludf.DUMMYFUNCTION("""COMPUTED_VALUE"""),"0xe7294495206c1f5223d7f0c59b004ce971760541")</f>
        <v>0xe7294495206c1f5223d7f0c59b004ce971760541</v>
      </c>
      <c r="J375" s="18">
        <v>576.569052401386</v>
      </c>
      <c r="K375" s="4">
        <v>9609.484206689767</v>
      </c>
      <c r="L375" s="19">
        <v>9.609484206689768E21</v>
      </c>
      <c r="M375" s="20">
        <v>9.609484206689768E20</v>
      </c>
    </row>
    <row r="376">
      <c r="A376" s="6"/>
      <c r="B376" s="6"/>
      <c r="C376" s="4"/>
      <c r="D376" s="4">
        <v>327.22651636833797</v>
      </c>
      <c r="E376" s="4" t="s">
        <v>8703</v>
      </c>
      <c r="F376" s="4"/>
      <c r="G376" s="4"/>
      <c r="H376" s="4"/>
      <c r="I376" s="4" t="str">
        <f>IFERROR(__xludf.DUMMYFUNCTION("""COMPUTED_VALUE"""),"0x2e4d4a45640a9c76540555e441e70066e72cd55d")</f>
        <v>0x2e4d4a45640a9c76540555e441e70066e72cd55d</v>
      </c>
      <c r="J376" s="18">
        <v>626.551497690858</v>
      </c>
      <c r="K376" s="4">
        <v>10442.5249615143</v>
      </c>
      <c r="L376" s="19">
        <v>1.04425249615143E22</v>
      </c>
      <c r="M376" s="20">
        <v>1.04425249615143E21</v>
      </c>
    </row>
    <row r="377">
      <c r="A377" s="6"/>
      <c r="B377" s="6"/>
      <c r="C377" s="4"/>
      <c r="D377" s="4">
        <v>327.22651636833797</v>
      </c>
      <c r="E377" s="4" t="s">
        <v>8704</v>
      </c>
      <c r="F377" s="4"/>
      <c r="G377" s="4"/>
      <c r="H377" s="4"/>
      <c r="I377" s="4" t="str">
        <f>IFERROR(__xludf.DUMMYFUNCTION("""COMPUTED_VALUE"""),"0x737afa38651e46a0f2d598156780ccdad7a65fbf")</f>
        <v>0x737afa38651e46a0f2d598156780ccdad7a65fbf</v>
      </c>
      <c r="J377" s="18">
        <v>1309.526374247627</v>
      </c>
      <c r="K377" s="4">
        <v>21825.439570793784</v>
      </c>
      <c r="L377" s="19">
        <v>2.1825439570793784E22</v>
      </c>
      <c r="M377" s="20">
        <v>2.1825439570793784E21</v>
      </c>
    </row>
    <row r="378">
      <c r="A378" s="6"/>
      <c r="B378" s="6"/>
      <c r="C378" s="4"/>
      <c r="D378" s="4">
        <v>327.22651636833797</v>
      </c>
      <c r="E378" s="4" t="s">
        <v>5141</v>
      </c>
      <c r="F378" s="4"/>
      <c r="G378" s="4"/>
      <c r="H378" s="4"/>
      <c r="I378" s="4" t="str">
        <f>IFERROR(__xludf.DUMMYFUNCTION("""COMPUTED_VALUE"""),"0x83540929300f6e3b3ecd8914ddcea93f482609b1")</f>
        <v>0x83540929300f6e3b3ecd8914ddcea93f482609b1</v>
      </c>
      <c r="J378" s="18">
        <v>626.551497690858</v>
      </c>
      <c r="K378" s="4">
        <v>10442.5249615143</v>
      </c>
      <c r="L378" s="19">
        <v>1.04425249615143E22</v>
      </c>
      <c r="M378" s="20">
        <v>1.04425249615143E21</v>
      </c>
    </row>
    <row r="379">
      <c r="A379" s="6"/>
      <c r="B379" s="6"/>
      <c r="C379" s="4"/>
      <c r="D379" s="4">
        <v>327.22651636833797</v>
      </c>
      <c r="E379" s="4" t="s">
        <v>8705</v>
      </c>
      <c r="F379" s="4"/>
      <c r="G379" s="4"/>
      <c r="H379" s="4"/>
      <c r="I379" s="4" t="str">
        <f>IFERROR(__xludf.DUMMYFUNCTION("""COMPUTED_VALUE"""),"0xf901425363f1252d74d696d1f74c001d31943b46")</f>
        <v>0xf901425363f1252d74d696d1f74c001d31943b46</v>
      </c>
      <c r="J379" s="18">
        <v>327.22651636833797</v>
      </c>
      <c r="K379" s="4">
        <v>5453.775272805633</v>
      </c>
      <c r="L379" s="19">
        <v>5.453775272805633E21</v>
      </c>
      <c r="M379" s="20">
        <v>5.453775272805634E20</v>
      </c>
    </row>
    <row r="380">
      <c r="A380" s="6"/>
      <c r="B380" s="6"/>
      <c r="C380" s="4"/>
      <c r="D380" s="4">
        <v>327.22651636833797</v>
      </c>
      <c r="E380" s="4" t="s">
        <v>8706</v>
      </c>
      <c r="F380" s="4"/>
      <c r="G380" s="4"/>
      <c r="H380" s="4"/>
      <c r="I380" s="4" t="str">
        <f>IFERROR(__xludf.DUMMYFUNCTION("""COMPUTED_VALUE"""),"0x05e5d6c658d40bbe0857f5826081a5799b08de32")</f>
        <v>0x05e5d6c658d40bbe0857f5826081a5799b08de32</v>
      </c>
      <c r="J380" s="18">
        <v>970.0831116017589</v>
      </c>
      <c r="K380" s="4">
        <v>16168.051860029316</v>
      </c>
      <c r="L380" s="19">
        <v>1.6168051860029315E22</v>
      </c>
      <c r="M380" s="20">
        <v>1.6168051860029317E21</v>
      </c>
    </row>
    <row r="381">
      <c r="A381" s="6"/>
      <c r="B381" s="6"/>
      <c r="C381" s="4"/>
      <c r="D381" s="4">
        <v>327.22651636833797</v>
      </c>
      <c r="E381" s="4" t="s">
        <v>8707</v>
      </c>
      <c r="F381" s="4"/>
      <c r="G381" s="4"/>
      <c r="H381" s="4"/>
      <c r="I381" s="4" t="str">
        <f>IFERROR(__xludf.DUMMYFUNCTION("""COMPUTED_VALUE"""),"0x00d290ed1fa904ec2e5e5ad3443961ed1a52ce23")</f>
        <v>0x00d290ed1fa904ec2e5e5ad3443961ed1a52ce23</v>
      </c>
      <c r="J381" s="18">
        <v>626.551497690858</v>
      </c>
      <c r="K381" s="4">
        <v>10442.5249615143</v>
      </c>
      <c r="L381" s="19">
        <v>1.04425249615143E22</v>
      </c>
      <c r="M381" s="20">
        <v>1.04425249615143E21</v>
      </c>
    </row>
    <row r="382">
      <c r="A382" s="6"/>
      <c r="B382" s="6"/>
      <c r="C382" s="4"/>
      <c r="D382" s="4">
        <v>327.22651636833797</v>
      </c>
      <c r="E382" s="4" t="s">
        <v>8708</v>
      </c>
      <c r="F382" s="4"/>
      <c r="G382" s="4"/>
      <c r="H382" s="4"/>
      <c r="I382" s="4" t="str">
        <f>IFERROR(__xludf.DUMMYFUNCTION("""COMPUTED_VALUE"""),"0x322e128453efd91a4c131761d9d535ff6e0ccd90")</f>
        <v>0x322e128453efd91a4c131761d9d535ff6e0ccd90</v>
      </c>
      <c r="J382" s="18">
        <v>626.551497690858</v>
      </c>
      <c r="K382" s="4">
        <v>10442.5249615143</v>
      </c>
      <c r="L382" s="19">
        <v>1.04425249615143E22</v>
      </c>
      <c r="M382" s="20">
        <v>1.04425249615143E21</v>
      </c>
    </row>
    <row r="383">
      <c r="A383" s="6"/>
      <c r="B383" s="6"/>
      <c r="C383" s="4"/>
      <c r="D383" s="4">
        <v>236.627498666999</v>
      </c>
      <c r="E383" s="4" t="s">
        <v>8709</v>
      </c>
      <c r="F383" s="4"/>
      <c r="G383" s="4"/>
      <c r="H383" s="4"/>
      <c r="I383" s="4" t="str">
        <f>IFERROR(__xludf.DUMMYFUNCTION("""COMPUTED_VALUE"""),"0xe293d3cbccdfdb55632415dd21a87da305a1f7f0")</f>
        <v>0xe293d3cbccdfdb55632415dd21a87da305a1f7f0</v>
      </c>
      <c r="J383" s="18">
        <v>241.88170633644694</v>
      </c>
      <c r="K383" s="4">
        <v>4031.361772274116</v>
      </c>
      <c r="L383" s="19">
        <v>4.031361772274116E21</v>
      </c>
      <c r="M383" s="20">
        <v>4.031361772274116E20</v>
      </c>
    </row>
    <row r="384">
      <c r="A384" s="6"/>
      <c r="B384" s="6"/>
      <c r="C384" s="4"/>
      <c r="D384" s="4">
        <v>327.22651636833797</v>
      </c>
      <c r="E384" s="4" t="s">
        <v>8711</v>
      </c>
      <c r="F384" s="4"/>
      <c r="G384" s="4"/>
      <c r="H384" s="4"/>
      <c r="I384" s="4" t="str">
        <f>IFERROR(__xludf.DUMMYFUNCTION("""COMPUTED_VALUE"""),"0xcb9dfe714a41d651b1b1b845e5658563944edcd4")</f>
        <v>0xcb9dfe714a41d651b1b1b845e5658563944edcd4</v>
      </c>
      <c r="J384" s="18">
        <v>327.22651636833797</v>
      </c>
      <c r="K384" s="4">
        <v>5453.775272805633</v>
      </c>
      <c r="L384" s="19">
        <v>5.453775272805633E21</v>
      </c>
      <c r="M384" s="20">
        <v>5.453775272805634E20</v>
      </c>
    </row>
    <row r="385">
      <c r="A385" s="6"/>
      <c r="B385" s="6"/>
      <c r="C385" s="4"/>
      <c r="D385" s="4">
        <v>327.22651636833797</v>
      </c>
      <c r="E385" s="4" t="s">
        <v>8712</v>
      </c>
      <c r="F385" s="4"/>
      <c r="G385" s="4"/>
      <c r="H385" s="4"/>
      <c r="I385" s="4" t="str">
        <f>IFERROR(__xludf.DUMMYFUNCTION("""COMPUTED_VALUE"""),"0x4bc7610cc68c1647a3898273fd5c6fada35231ec")</f>
        <v>0x4bc7610cc68c1647a3898273fd5c6fada35231ec</v>
      </c>
      <c r="J385" s="18">
        <v>626.551497690858</v>
      </c>
      <c r="K385" s="4">
        <v>10442.5249615143</v>
      </c>
      <c r="L385" s="19">
        <v>1.04425249615143E22</v>
      </c>
      <c r="M385" s="20">
        <v>1.04425249615143E21</v>
      </c>
    </row>
    <row r="386">
      <c r="A386" s="6"/>
      <c r="B386" s="6"/>
      <c r="C386" s="4"/>
      <c r="D386" s="4">
        <v>327.22651636833797</v>
      </c>
      <c r="E386" s="4" t="s">
        <v>8713</v>
      </c>
      <c r="F386" s="4"/>
      <c r="G386" s="4"/>
      <c r="H386" s="4"/>
      <c r="I386" s="4" t="str">
        <f>IFERROR(__xludf.DUMMYFUNCTION("""COMPUTED_VALUE"""),"0xa91de71e3411f7a5bdf77717d753edd9a082adcf")</f>
        <v>0xa91de71e3411f7a5bdf77717d753edd9a082adcf</v>
      </c>
      <c r="J386" s="18">
        <v>626.551497690858</v>
      </c>
      <c r="K386" s="4">
        <v>10442.5249615143</v>
      </c>
      <c r="L386" s="19">
        <v>1.04425249615143E22</v>
      </c>
      <c r="M386" s="20">
        <v>1.04425249615143E21</v>
      </c>
    </row>
    <row r="387">
      <c r="A387" s="6"/>
      <c r="B387" s="6"/>
      <c r="C387" s="4"/>
      <c r="D387" s="4">
        <v>327.22651636833797</v>
      </c>
      <c r="E387" s="4" t="s">
        <v>6185</v>
      </c>
      <c r="F387" s="4"/>
      <c r="G387" s="4"/>
      <c r="H387" s="4"/>
      <c r="I387" s="4" t="str">
        <f>IFERROR(__xludf.DUMMYFUNCTION("""COMPUTED_VALUE"""),"0x9458c54a975e7d61c9fb7103553692a590c28e08")</f>
        <v>0x9458c54a975e7d61c9fb7103553692a590c28e08</v>
      </c>
      <c r="J387" s="18">
        <v>626.551497690858</v>
      </c>
      <c r="K387" s="4">
        <v>10442.5249615143</v>
      </c>
      <c r="L387" s="19">
        <v>1.04425249615143E22</v>
      </c>
      <c r="M387" s="20">
        <v>1.04425249615143E21</v>
      </c>
    </row>
    <row r="388">
      <c r="A388" s="6"/>
      <c r="B388" s="6"/>
      <c r="C388" s="4"/>
      <c r="D388" s="4">
        <v>327.22651636833797</v>
      </c>
      <c r="E388" s="4" t="s">
        <v>7463</v>
      </c>
      <c r="F388" s="4"/>
      <c r="G388" s="4"/>
      <c r="H388" s="4"/>
      <c r="I388" s="4" t="str">
        <f>IFERROR(__xludf.DUMMYFUNCTION("""COMPUTED_VALUE"""),"0xdd149cabf867dea8b58f75c26e6affc3531f784f")</f>
        <v>0xdd149cabf867dea8b58f75c26e6affc3531f784f</v>
      </c>
      <c r="J388" s="18">
        <v>626.551497690858</v>
      </c>
      <c r="K388" s="4">
        <v>10442.5249615143</v>
      </c>
      <c r="L388" s="19">
        <v>1.04425249615143E22</v>
      </c>
      <c r="M388" s="20">
        <v>1.04425249615143E21</v>
      </c>
    </row>
    <row r="389">
      <c r="A389" s="6"/>
      <c r="B389" s="6"/>
      <c r="C389" s="4"/>
      <c r="D389" s="4">
        <v>314.31032553335297</v>
      </c>
      <c r="E389" s="4" t="s">
        <v>373</v>
      </c>
      <c r="F389" s="4"/>
      <c r="G389" s="4"/>
      <c r="H389" s="4"/>
      <c r="I389" s="4" t="str">
        <f>IFERROR(__xludf.DUMMYFUNCTION("""COMPUTED_VALUE"""),"0x18d8032f7c11663068d36ca79954b9e28d653ca3")</f>
        <v>0x18d8032f7c11663068d36ca79954b9e28d653ca3</v>
      </c>
      <c r="J389" s="18">
        <v>838.324762796226</v>
      </c>
      <c r="K389" s="4">
        <v>13972.0793799371</v>
      </c>
      <c r="L389" s="19">
        <v>1.39720793799371E22</v>
      </c>
      <c r="M389" s="20">
        <v>1.3972079379937102E21</v>
      </c>
    </row>
    <row r="390">
      <c r="A390" s="6"/>
      <c r="B390" s="6"/>
      <c r="C390" s="4"/>
      <c r="D390" s="4">
        <v>327.22651636833797</v>
      </c>
      <c r="E390" s="4" t="s">
        <v>8715</v>
      </c>
      <c r="F390" s="4"/>
      <c r="G390" s="4"/>
      <c r="H390" s="4"/>
      <c r="I390" s="4" t="str">
        <f>IFERROR(__xludf.DUMMYFUNCTION("""COMPUTED_VALUE"""),"0x49b3db0fd5b98924d42dfad18a11c08f7d7a3e5f")</f>
        <v>0x49b3db0fd5b98924d42dfad18a11c08f7d7a3e5f</v>
      </c>
      <c r="J390" s="18">
        <v>1156.778706028396</v>
      </c>
      <c r="K390" s="4">
        <v>19279.64510047327</v>
      </c>
      <c r="L390" s="19">
        <v>1.927964510047327E22</v>
      </c>
      <c r="M390" s="20">
        <v>1.927964510047327E21</v>
      </c>
    </row>
    <row r="391">
      <c r="A391" s="6"/>
      <c r="B391" s="6"/>
      <c r="C391" s="4"/>
      <c r="D391" s="4">
        <v>327.22651636833797</v>
      </c>
      <c r="E391" s="4" t="s">
        <v>8716</v>
      </c>
      <c r="F391" s="4"/>
      <c r="G391" s="4"/>
      <c r="H391" s="4"/>
      <c r="I391" s="4" t="str">
        <f>IFERROR(__xludf.DUMMYFUNCTION("""COMPUTED_VALUE"""),"0xa634d8b6fbe9a175a5be1b0e5d6798e47d45998a")</f>
        <v>0xa634d8b6fbe9a175a5be1b0e5d6798e47d45998a</v>
      </c>
      <c r="J391" s="18">
        <v>4194.0074085668075</v>
      </c>
      <c r="K391" s="4">
        <v>69900.12347611345</v>
      </c>
      <c r="L391" s="19">
        <v>6.990012347611346E22</v>
      </c>
      <c r="M391" s="20">
        <v>6.990012347611346E21</v>
      </c>
    </row>
    <row r="392">
      <c r="A392" s="6"/>
      <c r="B392" s="6"/>
      <c r="C392" s="4"/>
      <c r="D392" s="4">
        <v>327.22651636833797</v>
      </c>
      <c r="E392" s="4" t="s">
        <v>8717</v>
      </c>
      <c r="F392" s="4"/>
      <c r="G392" s="4"/>
      <c r="H392" s="4"/>
      <c r="I392" s="4" t="str">
        <f>IFERROR(__xludf.DUMMYFUNCTION("""COMPUTED_VALUE"""),"0x9c4d342437f354c603c7f36a270e9303accdbb15")</f>
        <v>0x9c4d342437f354c603c7f36a270e9303accdbb15</v>
      </c>
      <c r="J392" s="18">
        <v>626.551497690858</v>
      </c>
      <c r="K392" s="4">
        <v>10442.5249615143</v>
      </c>
      <c r="L392" s="19">
        <v>1.04425249615143E22</v>
      </c>
      <c r="M392" s="20">
        <v>1.04425249615143E21</v>
      </c>
    </row>
    <row r="393">
      <c r="A393" s="6"/>
      <c r="B393" s="6"/>
      <c r="C393" s="4"/>
      <c r="D393" s="4">
        <v>299.32498132252</v>
      </c>
      <c r="E393" s="4" t="s">
        <v>664</v>
      </c>
      <c r="F393" s="4"/>
      <c r="G393" s="4"/>
      <c r="H393" s="4"/>
      <c r="I393" s="4" t="str">
        <f>IFERROR(__xludf.DUMMYFUNCTION("""COMPUTED_VALUE"""),"0x2094e9d573c7de072f1c33186b4ef018a12ac6e7")</f>
        <v>0x2094e9d573c7de072f1c33186b4ef018a12ac6e7</v>
      </c>
      <c r="J393" s="18">
        <v>299.32498132252</v>
      </c>
      <c r="K393" s="4">
        <v>4988.749688708666</v>
      </c>
      <c r="L393" s="19">
        <v>4.988749688708666E21</v>
      </c>
      <c r="M393" s="20">
        <v>4.9887496887086665E20</v>
      </c>
    </row>
    <row r="394">
      <c r="A394" s="6"/>
      <c r="B394" s="6"/>
      <c r="C394" s="4"/>
      <c r="D394" s="4">
        <v>290.076649730104</v>
      </c>
      <c r="E394" s="4" t="s">
        <v>1283</v>
      </c>
      <c r="F394" s="4"/>
      <c r="G394" s="4"/>
      <c r="H394" s="4"/>
      <c r="I394" s="4" t="str">
        <f>IFERROR(__xludf.DUMMYFUNCTION("""COMPUTED_VALUE"""),"0xfd104ddbfc4575173588fe9dbad417f8088488d8")</f>
        <v>0xfd104ddbfc4575173588fe9dbad417f8088488d8</v>
      </c>
      <c r="J394" s="18">
        <v>122.844793160661</v>
      </c>
      <c r="K394" s="4">
        <v>2047.41321934435</v>
      </c>
      <c r="L394" s="19">
        <v>2.04741321934435E21</v>
      </c>
      <c r="M394" s="20">
        <v>2.04741321934435E20</v>
      </c>
    </row>
    <row r="395">
      <c r="A395" s="6"/>
      <c r="B395" s="6"/>
      <c r="C395" s="4"/>
      <c r="D395" s="4">
        <v>299.32498132252</v>
      </c>
      <c r="E395" s="4" t="s">
        <v>6172</v>
      </c>
      <c r="F395" s="4"/>
      <c r="G395" s="4"/>
      <c r="H395" s="4"/>
      <c r="I395" s="4" t="str">
        <f>IFERROR(__xludf.DUMMYFUNCTION("""COMPUTED_VALUE"""),"0x1a2a6d75bc47eb09b77d49ad71d96aedfd5f2d52")</f>
        <v>0x1a2a6d75bc47eb09b77d49ad71d96aedfd5f2d52</v>
      </c>
      <c r="J395" s="18">
        <v>63.455495970892606</v>
      </c>
      <c r="K395" s="4">
        <v>1057.5915995148769</v>
      </c>
      <c r="L395" s="19">
        <v>1.0575915995148769E21</v>
      </c>
      <c r="M395" s="20">
        <v>1.057591599514877E20</v>
      </c>
    </row>
    <row r="396">
      <c r="A396" s="6"/>
      <c r="B396" s="6"/>
      <c r="C396" s="4"/>
      <c r="D396" s="4">
        <v>299.32498132252</v>
      </c>
      <c r="E396" s="4" t="s">
        <v>8523</v>
      </c>
      <c r="F396" s="4"/>
      <c r="G396" s="4"/>
      <c r="H396" s="4"/>
      <c r="I396" s="4" t="str">
        <f>IFERROR(__xludf.DUMMYFUNCTION("""COMPUTED_VALUE"""),"0x76f3d6f298a515ecb765bdcc7abbaa6ef9da0ec8")</f>
        <v>0x76f3d6f298a515ecb765bdcc7abbaa6ef9da0ec8</v>
      </c>
      <c r="J396" s="18">
        <v>299.32498132252</v>
      </c>
      <c r="K396" s="4">
        <v>4988.749688708666</v>
      </c>
      <c r="L396" s="19">
        <v>4.988749688708666E21</v>
      </c>
      <c r="M396" s="20">
        <v>4.9887496887086665E20</v>
      </c>
    </row>
    <row r="397">
      <c r="A397" s="6"/>
      <c r="B397" s="6"/>
      <c r="C397" s="4"/>
      <c r="D397" s="4">
        <v>299.32498132252</v>
      </c>
      <c r="E397" s="4" t="s">
        <v>3583</v>
      </c>
      <c r="F397" s="4"/>
      <c r="G397" s="4"/>
      <c r="H397" s="4"/>
      <c r="I397" s="4" t="str">
        <f>IFERROR(__xludf.DUMMYFUNCTION("""COMPUTED_VALUE"""),"0xa6e96dbb6b7d2c12062e70d3dec87c4fe23f961f")</f>
        <v>0xa6e96dbb6b7d2c12062e70d3dec87c4fe23f961f</v>
      </c>
      <c r="J397" s="18">
        <v>299.32498132252</v>
      </c>
      <c r="K397" s="4">
        <v>4988.749688708666</v>
      </c>
      <c r="L397" s="19">
        <v>4.988749688708666E21</v>
      </c>
      <c r="M397" s="20">
        <v>4.9887496887086665E20</v>
      </c>
    </row>
    <row r="398">
      <c r="A398" s="6"/>
      <c r="B398" s="6"/>
      <c r="C398" s="4"/>
      <c r="D398" s="4">
        <v>299.32498132252</v>
      </c>
      <c r="E398" s="4" t="s">
        <v>8607</v>
      </c>
      <c r="F398" s="4"/>
      <c r="G398" s="4"/>
      <c r="H398" s="4"/>
      <c r="I398" s="4" t="str">
        <f>IFERROR(__xludf.DUMMYFUNCTION("""COMPUTED_VALUE"""),"0xe3d099bfdf784802292be0dc560d7ffd962f3a55")</f>
        <v>0xe3d099bfdf784802292be0dc560d7ffd962f3a55</v>
      </c>
      <c r="J398" s="18">
        <v>189.137904751414</v>
      </c>
      <c r="K398" s="4">
        <v>3152.2984125235666</v>
      </c>
      <c r="L398" s="19">
        <v>3.1522984125235667E21</v>
      </c>
      <c r="M398" s="20">
        <v>3.1522984125235665E20</v>
      </c>
    </row>
    <row r="399">
      <c r="A399" s="6"/>
      <c r="B399" s="6"/>
      <c r="C399" s="4"/>
      <c r="D399" s="4">
        <v>299.32498132252</v>
      </c>
      <c r="E399" s="4" t="s">
        <v>8704</v>
      </c>
      <c r="F399" s="4"/>
      <c r="G399" s="4"/>
      <c r="H399" s="4"/>
      <c r="I399" s="4" t="str">
        <f>IFERROR(__xludf.DUMMYFUNCTION("""COMPUTED_VALUE"""),"0xa782862589e5e353bd450df556354adee13b3388")</f>
        <v>0xa782862589e5e353bd450df556354adee13b3388</v>
      </c>
      <c r="J399" s="18">
        <v>196.956442747776</v>
      </c>
      <c r="K399" s="4">
        <v>3282.6073791296003</v>
      </c>
      <c r="L399" s="19">
        <v>3.2826073791296003E21</v>
      </c>
      <c r="M399" s="20">
        <v>3.2826073791296006E20</v>
      </c>
    </row>
    <row r="400">
      <c r="A400" s="6"/>
      <c r="B400" s="6"/>
      <c r="C400" s="4"/>
      <c r="D400" s="4">
        <v>299.32498132252</v>
      </c>
      <c r="E400" s="4" t="s">
        <v>4361</v>
      </c>
      <c r="F400" s="4"/>
      <c r="G400" s="4"/>
      <c r="H400" s="4"/>
      <c r="I400" s="4" t="str">
        <f>IFERROR(__xludf.DUMMYFUNCTION("""COMPUTED_VALUE"""),"0x190af7691ce2ce6ba08280b80f43967014259ed9")</f>
        <v>0x190af7691ce2ce6ba08280b80f43967014259ed9</v>
      </c>
      <c r="J400" s="18">
        <v>299.32498132252</v>
      </c>
      <c r="K400" s="4">
        <v>4988.749688708666</v>
      </c>
      <c r="L400" s="19">
        <v>4.988749688708666E21</v>
      </c>
      <c r="M400" s="20">
        <v>4.9887496887086665E20</v>
      </c>
    </row>
    <row r="401">
      <c r="A401" s="6"/>
      <c r="B401" s="6"/>
      <c r="C401" s="4"/>
      <c r="D401" s="4">
        <v>299.32498132252</v>
      </c>
      <c r="E401" s="4" t="s">
        <v>8593</v>
      </c>
      <c r="F401" s="4"/>
      <c r="G401" s="4"/>
      <c r="H401" s="4"/>
      <c r="I401" s="4" t="str">
        <f>IFERROR(__xludf.DUMMYFUNCTION("""COMPUTED_VALUE"""),"0x018a973136feee8d41cb5a5de46fa491baecf2dd")</f>
        <v>0x018a973136feee8d41cb5a5de46fa491baecf2dd</v>
      </c>
      <c r="J401" s="18">
        <v>299.32498132252</v>
      </c>
      <c r="K401" s="4">
        <v>4988.749688708666</v>
      </c>
      <c r="L401" s="19">
        <v>4.988749688708666E21</v>
      </c>
      <c r="M401" s="20">
        <v>4.9887496887086665E20</v>
      </c>
    </row>
    <row r="402">
      <c r="A402" s="6"/>
      <c r="B402" s="6"/>
      <c r="C402" s="4"/>
      <c r="D402" s="4">
        <v>122.844793160661</v>
      </c>
      <c r="E402" s="4" t="s">
        <v>6645</v>
      </c>
      <c r="F402" s="4"/>
      <c r="G402" s="4"/>
      <c r="H402" s="4"/>
      <c r="I402" s="4" t="str">
        <f>IFERROR(__xludf.DUMMYFUNCTION("""COMPUTED_VALUE"""),"0x9882f7e7e00410000397a9c08326f220558ff0aa")</f>
        <v>0x9882f7e7e00410000397a9c08326f220558ff0aa</v>
      </c>
      <c r="J402" s="18">
        <v>299.32498132252</v>
      </c>
      <c r="K402" s="4">
        <v>4988.749688708666</v>
      </c>
      <c r="L402" s="19">
        <v>4.988749688708666E21</v>
      </c>
      <c r="M402" s="20">
        <v>4.9887496887086665E20</v>
      </c>
    </row>
    <row r="403">
      <c r="A403" s="6"/>
      <c r="B403" s="6"/>
      <c r="C403" s="4"/>
      <c r="D403" s="4">
        <v>299.32498132252</v>
      </c>
      <c r="E403" s="4" t="s">
        <v>6350</v>
      </c>
      <c r="F403" s="4"/>
      <c r="G403" s="4"/>
      <c r="H403" s="4"/>
      <c r="I403" s="4" t="str">
        <f>IFERROR(__xludf.DUMMYFUNCTION("""COMPUTED_VALUE"""),"0x722c5b504ca4eb565baf02e2de068a002c185edd")</f>
        <v>0x722c5b504ca4eb565baf02e2de068a002c185edd</v>
      </c>
      <c r="J403" s="18">
        <v>299.32498132252</v>
      </c>
      <c r="K403" s="4">
        <v>4988.749688708666</v>
      </c>
      <c r="L403" s="19">
        <v>4.988749688708666E21</v>
      </c>
      <c r="M403" s="20">
        <v>4.9887496887086665E20</v>
      </c>
    </row>
    <row r="404">
      <c r="A404" s="6"/>
      <c r="B404" s="6"/>
      <c r="C404" s="4"/>
      <c r="D404" s="4">
        <v>63.455495970892606</v>
      </c>
      <c r="E404" s="4" t="s">
        <v>8722</v>
      </c>
      <c r="F404" s="4"/>
      <c r="G404" s="4"/>
      <c r="H404" s="4"/>
      <c r="I404" s="4" t="str">
        <f>IFERROR(__xludf.DUMMYFUNCTION("""COMPUTED_VALUE"""),"0x153e3ae57d91435c5ed499f751d68f16304ed992")</f>
        <v>0x153e3ae57d91435c5ed499f751d68f16304ed992</v>
      </c>
      <c r="J404" s="18">
        <v>299.32498132252</v>
      </c>
      <c r="K404" s="4">
        <v>4988.749688708666</v>
      </c>
      <c r="L404" s="19">
        <v>4.988749688708666E21</v>
      </c>
      <c r="M404" s="20">
        <v>4.9887496887086665E20</v>
      </c>
    </row>
    <row r="405">
      <c r="A405" s="6"/>
      <c r="B405" s="6"/>
      <c r="C405" s="4"/>
      <c r="D405" s="4">
        <v>299.32498132252</v>
      </c>
      <c r="E405" s="4" t="s">
        <v>8700</v>
      </c>
      <c r="F405" s="4"/>
      <c r="G405" s="4"/>
      <c r="H405" s="4"/>
      <c r="I405" s="4" t="str">
        <f>IFERROR(__xludf.DUMMYFUNCTION("""COMPUTED_VALUE"""),"0x1ce4e4ea21cf83d9606bd13eee5febc3aa910cb3")</f>
        <v>0x1ce4e4ea21cf83d9606bd13eee5febc3aa910cb3</v>
      </c>
      <c r="J405" s="18">
        <v>90.06509570020431</v>
      </c>
      <c r="K405" s="4">
        <v>1501.0849283367386</v>
      </c>
      <c r="L405" s="19">
        <v>1.5010849283367386E21</v>
      </c>
      <c r="M405" s="20">
        <v>1.5010849283367387E20</v>
      </c>
    </row>
    <row r="406">
      <c r="A406" s="6"/>
      <c r="B406" s="6"/>
      <c r="C406" s="4"/>
      <c r="D406" s="4">
        <v>292.217532551081</v>
      </c>
      <c r="E406" s="4" t="s">
        <v>501</v>
      </c>
      <c r="F406" s="4"/>
      <c r="G406" s="4"/>
      <c r="H406" s="4"/>
      <c r="I406" s="4" t="str">
        <f>IFERROR(__xludf.DUMMYFUNCTION("""COMPUTED_VALUE"""),"0x41829bf198e70326c6685249400dd411b2c8e08d")</f>
        <v>0x41829bf198e70326c6685249400dd411b2c8e08d</v>
      </c>
      <c r="J406" s="18">
        <v>299.32498132252</v>
      </c>
      <c r="K406" s="4">
        <v>4988.749688708666</v>
      </c>
      <c r="L406" s="19">
        <v>4.988749688708666E21</v>
      </c>
      <c r="M406" s="20">
        <v>4.9887496887086665E20</v>
      </c>
    </row>
    <row r="407">
      <c r="A407" s="6"/>
      <c r="B407" s="6"/>
      <c r="C407" s="4"/>
      <c r="D407" s="4">
        <v>299.32498132252</v>
      </c>
      <c r="E407" s="4" t="s">
        <v>8611</v>
      </c>
      <c r="F407" s="4"/>
      <c r="G407" s="4"/>
      <c r="H407" s="4"/>
      <c r="I407" s="4" t="str">
        <f>IFERROR(__xludf.DUMMYFUNCTION("""COMPUTED_VALUE"""),"0x11a8a0335bdd466efc827301abf20f9869f55253")</f>
        <v>0x11a8a0335bdd466efc827301abf20f9869f55253</v>
      </c>
      <c r="J407" s="18">
        <v>129.126777587035</v>
      </c>
      <c r="K407" s="4">
        <v>2152.1129597839167</v>
      </c>
      <c r="L407" s="19">
        <v>2.1521129597839168E21</v>
      </c>
      <c r="M407" s="20">
        <v>2.152112959783917E20</v>
      </c>
    </row>
    <row r="408">
      <c r="A408" s="6"/>
      <c r="B408" s="6"/>
      <c r="C408" s="4"/>
      <c r="D408" s="4">
        <v>299.32498132252</v>
      </c>
      <c r="E408" s="4" t="s">
        <v>8654</v>
      </c>
      <c r="F408" s="4"/>
      <c r="G408" s="4"/>
      <c r="H408" s="4"/>
      <c r="I408" s="4" t="str">
        <f>IFERROR(__xludf.DUMMYFUNCTION("""COMPUTED_VALUE"""),"0x9a06ded5a7fdbb1cf08f8414b18f73d078038fe2")</f>
        <v>0x9a06ded5a7fdbb1cf08f8414b18f73d078038fe2</v>
      </c>
      <c r="J408" s="18">
        <v>299.32498132252</v>
      </c>
      <c r="K408" s="4">
        <v>4988.749688708666</v>
      </c>
      <c r="L408" s="19">
        <v>4.988749688708666E21</v>
      </c>
      <c r="M408" s="20">
        <v>4.9887496887086665E20</v>
      </c>
    </row>
    <row r="409">
      <c r="A409" s="6"/>
      <c r="B409" s="6"/>
      <c r="C409" s="4"/>
      <c r="D409" s="4">
        <v>299.32498132252</v>
      </c>
      <c r="E409" s="4" t="s">
        <v>923</v>
      </c>
      <c r="F409" s="4"/>
      <c r="G409" s="4"/>
      <c r="H409" s="4"/>
      <c r="I409" s="4" t="str">
        <f>IFERROR(__xludf.DUMMYFUNCTION("""COMPUTED_VALUE"""),"0x922175bc910a4d2a1a9a55938ec33bafccb00d40")</f>
        <v>0x922175bc910a4d2a1a9a55938ec33bafccb00d40</v>
      </c>
      <c r="J409" s="18">
        <v>299.32498132252</v>
      </c>
      <c r="K409" s="4">
        <v>4988.749688708666</v>
      </c>
      <c r="L409" s="19">
        <v>4.988749688708666E21</v>
      </c>
      <c r="M409" s="20">
        <v>4.9887496887086665E20</v>
      </c>
    </row>
    <row r="410">
      <c r="A410" s="6"/>
      <c r="B410" s="6"/>
      <c r="C410" s="4"/>
      <c r="D410" s="4">
        <v>299.32498132252</v>
      </c>
      <c r="E410" s="4" t="s">
        <v>8586</v>
      </c>
      <c r="F410" s="4"/>
      <c r="G410" s="4"/>
      <c r="H410" s="4"/>
      <c r="I410" s="4" t="str">
        <f>IFERROR(__xludf.DUMMYFUNCTION("""COMPUTED_VALUE"""),"0xc3dbade79477dda19f0f31fa2a7385aa9f9e41b6")</f>
        <v>0xc3dbade79477dda19f0f31fa2a7385aa9f9e41b6</v>
      </c>
      <c r="J410" s="18">
        <v>241.477641976188</v>
      </c>
      <c r="K410" s="4">
        <v>4024.6273662698004</v>
      </c>
      <c r="L410" s="19">
        <v>4.0246273662698E21</v>
      </c>
      <c r="M410" s="20">
        <v>4.0246273662698E20</v>
      </c>
    </row>
    <row r="411">
      <c r="A411" s="6"/>
      <c r="B411" s="6"/>
      <c r="C411" s="4"/>
      <c r="D411" s="4">
        <v>299.32498132252</v>
      </c>
      <c r="E411" s="4" t="s">
        <v>8725</v>
      </c>
      <c r="F411" s="4"/>
      <c r="G411" s="4"/>
      <c r="H411" s="4"/>
      <c r="I411" s="4" t="str">
        <f>IFERROR(__xludf.DUMMYFUNCTION("""COMPUTED_VALUE"""),"0x8fb30b3c0bf0355056238d071b74c20d399526d6")</f>
        <v>0x8fb30b3c0bf0355056238d071b74c20d399526d6</v>
      </c>
      <c r="J411" s="18">
        <v>299.32498132252</v>
      </c>
      <c r="K411" s="4">
        <v>4988.749688708666</v>
      </c>
      <c r="L411" s="19">
        <v>4.988749688708666E21</v>
      </c>
      <c r="M411" s="20">
        <v>4.9887496887086665E20</v>
      </c>
    </row>
    <row r="412">
      <c r="A412" s="6"/>
      <c r="B412" s="6"/>
      <c r="C412" s="4"/>
      <c r="D412" s="4">
        <v>299.32498132252</v>
      </c>
      <c r="E412" s="4" t="s">
        <v>699</v>
      </c>
      <c r="F412" s="4"/>
      <c r="G412" s="4"/>
      <c r="H412" s="4"/>
      <c r="I412" s="4" t="str">
        <f>IFERROR(__xludf.DUMMYFUNCTION("""COMPUTED_VALUE"""),"0x1cb2016960c07906b83b38a4ed9848deea43f7a0")</f>
        <v>0x1cb2016960c07906b83b38a4ed9848deea43f7a0</v>
      </c>
      <c r="J412" s="18">
        <v>299.32498132252</v>
      </c>
      <c r="K412" s="4">
        <v>4988.749688708666</v>
      </c>
      <c r="L412" s="19">
        <v>4.988749688708666E21</v>
      </c>
      <c r="M412" s="20">
        <v>4.9887496887086665E20</v>
      </c>
    </row>
    <row r="413">
      <c r="A413" s="6"/>
      <c r="B413" s="6"/>
      <c r="C413" s="4"/>
      <c r="D413" s="4">
        <v>299.32498132252</v>
      </c>
      <c r="E413" s="4" t="s">
        <v>8726</v>
      </c>
      <c r="F413" s="4"/>
      <c r="G413" s="4"/>
      <c r="H413" s="4"/>
      <c r="I413" s="4" t="str">
        <f>IFERROR(__xludf.DUMMYFUNCTION("""COMPUTED_VALUE"""),"0x7afab1ab061627186568eddc5e963e61edebb87d")</f>
        <v>0x7afab1ab061627186568eddc5e963e61edebb87d</v>
      </c>
      <c r="J413" s="18">
        <v>299.32498132252</v>
      </c>
      <c r="K413" s="4">
        <v>4988.749688708666</v>
      </c>
      <c r="L413" s="19">
        <v>4.988749688708666E21</v>
      </c>
      <c r="M413" s="20">
        <v>4.9887496887086665E20</v>
      </c>
    </row>
    <row r="414">
      <c r="A414" s="6"/>
      <c r="B414" s="6"/>
      <c r="C414" s="4"/>
      <c r="D414" s="4">
        <v>299.32498132252</v>
      </c>
      <c r="E414" s="4" t="s">
        <v>8630</v>
      </c>
      <c r="F414" s="4"/>
      <c r="G414" s="4"/>
      <c r="H414" s="4"/>
      <c r="I414" s="4" t="str">
        <f>IFERROR(__xludf.DUMMYFUNCTION("""COMPUTED_VALUE"""),"0xb91ac8933f8941b35186e2516e9faa95caf5f325")</f>
        <v>0xb91ac8933f8941b35186e2516e9faa95caf5f325</v>
      </c>
      <c r="J414" s="18">
        <v>306.5906714986558</v>
      </c>
      <c r="K414" s="4">
        <v>5109.844524977597</v>
      </c>
      <c r="L414" s="19">
        <v>5.109844524977597E21</v>
      </c>
      <c r="M414" s="20">
        <v>5.109844524977597E20</v>
      </c>
    </row>
    <row r="415">
      <c r="A415" s="6"/>
      <c r="B415" s="6"/>
      <c r="C415" s="4"/>
      <c r="D415" s="4">
        <v>299.32498132252</v>
      </c>
      <c r="E415" s="4" t="s">
        <v>8582</v>
      </c>
      <c r="F415" s="4"/>
      <c r="G415" s="4"/>
      <c r="H415" s="4"/>
      <c r="I415" s="4" t="str">
        <f>IFERROR(__xludf.DUMMYFUNCTION("""COMPUTED_VALUE"""),"0xe9baf2accf6f74b9b575584dc31617726d1c2134")</f>
        <v>0xe9baf2accf6f74b9b575584dc31617726d1c2134</v>
      </c>
      <c r="J415" s="18">
        <v>299.32498132252</v>
      </c>
      <c r="K415" s="4">
        <v>4988.749688708666</v>
      </c>
      <c r="L415" s="19">
        <v>4.988749688708666E21</v>
      </c>
      <c r="M415" s="20">
        <v>4.9887496887086665E20</v>
      </c>
    </row>
    <row r="416">
      <c r="A416" s="6"/>
      <c r="B416" s="6"/>
      <c r="C416" s="4"/>
      <c r="D416" s="4">
        <v>299.32498132252</v>
      </c>
      <c r="E416" s="4" t="s">
        <v>3261</v>
      </c>
      <c r="F416" s="4"/>
      <c r="G416" s="4"/>
      <c r="H416" s="4"/>
      <c r="I416" s="4" t="str">
        <f>IFERROR(__xludf.DUMMYFUNCTION("""COMPUTED_VALUE"""),"0xa5b61af6bc5a24991cf54e835bdd2c0c4f41d816")</f>
        <v>0xa5b61af6bc5a24991cf54e835bdd2c0c4f41d816</v>
      </c>
      <c r="J416" s="18">
        <v>299.32498132252</v>
      </c>
      <c r="K416" s="4">
        <v>4988.749688708666</v>
      </c>
      <c r="L416" s="19">
        <v>4.988749688708666E21</v>
      </c>
      <c r="M416" s="20">
        <v>4.9887496887086665E20</v>
      </c>
    </row>
    <row r="417">
      <c r="A417" s="6"/>
      <c r="B417" s="6"/>
      <c r="C417" s="4"/>
      <c r="D417" s="4">
        <v>299.32498132252</v>
      </c>
      <c r="E417" s="4" t="s">
        <v>788</v>
      </c>
      <c r="F417" s="4"/>
      <c r="G417" s="4"/>
      <c r="H417" s="4"/>
      <c r="I417" s="4" t="str">
        <f>IFERROR(__xludf.DUMMYFUNCTION("""COMPUTED_VALUE"""),"0x7d1484181e6c382bc56e97a234987d78b9226d66")</f>
        <v>0x7d1484181e6c382bc56e97a234987d78b9226d66</v>
      </c>
      <c r="J417" s="18">
        <v>299.32498132252</v>
      </c>
      <c r="K417" s="4">
        <v>4988.749688708666</v>
      </c>
      <c r="L417" s="19">
        <v>4.988749688708666E21</v>
      </c>
      <c r="M417" s="20">
        <v>4.9887496887086665E20</v>
      </c>
    </row>
    <row r="418">
      <c r="A418" s="6"/>
      <c r="B418" s="6"/>
      <c r="C418" s="4"/>
      <c r="D418" s="4">
        <v>299.32498132252</v>
      </c>
      <c r="E418" s="4" t="s">
        <v>4639</v>
      </c>
      <c r="F418" s="4"/>
      <c r="G418" s="4"/>
      <c r="H418" s="4"/>
      <c r="I418" s="4" t="str">
        <f>IFERROR(__xludf.DUMMYFUNCTION("""COMPUTED_VALUE"""),"0x6ecc30b98c86259b4eaeb64c82784a7972fb40b8")</f>
        <v>0x6ecc30b98c86259b4eaeb64c82784a7972fb40b8</v>
      </c>
      <c r="J418" s="18">
        <v>299.32498132252</v>
      </c>
      <c r="K418" s="4">
        <v>4988.749688708666</v>
      </c>
      <c r="L418" s="19">
        <v>4.988749688708666E21</v>
      </c>
      <c r="M418" s="20">
        <v>4.9887496887086665E20</v>
      </c>
    </row>
    <row r="419">
      <c r="A419" s="6"/>
      <c r="B419" s="6"/>
      <c r="C419" s="4"/>
      <c r="D419" s="4">
        <v>299.32498132252</v>
      </c>
      <c r="E419" s="4" t="s">
        <v>3801</v>
      </c>
      <c r="F419" s="4"/>
      <c r="G419" s="4"/>
      <c r="H419" s="4"/>
      <c r="I419" s="4" t="str">
        <f>IFERROR(__xludf.DUMMYFUNCTION("""COMPUTED_VALUE"""),"0xb3a00c3ca08a1bd29341519a4f1eaedbba82ca39")</f>
        <v>0xb3a00c3ca08a1bd29341519a4f1eaedbba82ca39</v>
      </c>
      <c r="J419" s="18">
        <v>299.32498132252</v>
      </c>
      <c r="K419" s="4">
        <v>4988.749688708666</v>
      </c>
      <c r="L419" s="19">
        <v>4.988749688708666E21</v>
      </c>
      <c r="M419" s="20">
        <v>4.9887496887086665E20</v>
      </c>
    </row>
    <row r="420">
      <c r="A420" s="6"/>
      <c r="B420" s="6"/>
      <c r="C420" s="4"/>
      <c r="D420" s="4">
        <v>299.32498132252</v>
      </c>
      <c r="E420" s="4" t="s">
        <v>8528</v>
      </c>
      <c r="F420" s="4"/>
      <c r="G420" s="4"/>
      <c r="H420" s="4"/>
      <c r="I420" s="4" t="str">
        <f>IFERROR(__xludf.DUMMYFUNCTION("""COMPUTED_VALUE"""),"0x716aa2ead00881360f7ea6876b91ee629fff5ba8")</f>
        <v>0x716aa2ead00881360f7ea6876b91ee629fff5ba8</v>
      </c>
      <c r="J420" s="18">
        <v>299.32498132252</v>
      </c>
      <c r="K420" s="4">
        <v>4988.749688708666</v>
      </c>
      <c r="L420" s="19">
        <v>4.988749688708666E21</v>
      </c>
      <c r="M420" s="20">
        <v>4.9887496887086665E20</v>
      </c>
    </row>
    <row r="421">
      <c r="A421" s="6"/>
      <c r="B421" s="6"/>
      <c r="C421" s="4"/>
      <c r="D421" s="4">
        <v>299.32498132252</v>
      </c>
      <c r="E421" s="4" t="s">
        <v>5738</v>
      </c>
      <c r="F421" s="4"/>
      <c r="G421" s="4"/>
      <c r="H421" s="4"/>
      <c r="I421" s="4" t="str">
        <f>IFERROR(__xludf.DUMMYFUNCTION("""COMPUTED_VALUE"""),"0xbfd139dd89b84f45d9ed02bbf743f584da44f4fe")</f>
        <v>0xbfd139dd89b84f45d9ed02bbf743f584da44f4fe</v>
      </c>
      <c r="J421" s="18">
        <v>234.603763560152</v>
      </c>
      <c r="K421" s="4">
        <v>3910.0627260025335</v>
      </c>
      <c r="L421" s="19">
        <v>3.9100627260025335E21</v>
      </c>
      <c r="M421" s="20">
        <v>3.910062726002534E20</v>
      </c>
    </row>
    <row r="422">
      <c r="A422" s="6"/>
      <c r="B422" s="6"/>
      <c r="C422" s="4"/>
      <c r="D422" s="4">
        <v>299.32498132252</v>
      </c>
      <c r="E422" s="4" t="s">
        <v>822</v>
      </c>
      <c r="F422" s="4"/>
      <c r="G422" s="4"/>
      <c r="H422" s="4"/>
      <c r="I422" s="4" t="str">
        <f>IFERROR(__xludf.DUMMYFUNCTION("""COMPUTED_VALUE"""),"0xfd5fcff469331ffac7f34dd2c5453f85abfac962")</f>
        <v>0xfd5fcff469331ffac7f34dd2c5453f85abfac962</v>
      </c>
      <c r="J422" s="18">
        <v>299.32498132252</v>
      </c>
      <c r="K422" s="4">
        <v>4988.749688708666</v>
      </c>
      <c r="L422" s="19">
        <v>4.988749688708666E21</v>
      </c>
      <c r="M422" s="20">
        <v>4.9887496887086665E20</v>
      </c>
    </row>
    <row r="423">
      <c r="A423" s="6"/>
      <c r="B423" s="6"/>
      <c r="C423" s="4"/>
      <c r="D423" s="4">
        <v>299.32498132252</v>
      </c>
      <c r="E423" s="4" t="s">
        <v>390</v>
      </c>
      <c r="F423" s="4"/>
      <c r="G423" s="4"/>
      <c r="H423" s="4"/>
      <c r="I423" s="4" t="str">
        <f>IFERROR(__xludf.DUMMYFUNCTION("""COMPUTED_VALUE"""),"0x39983c280c4bc6c3801d3317f817bb4cbb562927")</f>
        <v>0x39983c280c4bc6c3801d3317f817bb4cbb562927</v>
      </c>
      <c r="J423" s="18">
        <v>299.32498132252</v>
      </c>
      <c r="K423" s="4">
        <v>4988.749688708666</v>
      </c>
      <c r="L423" s="19">
        <v>4.988749688708666E21</v>
      </c>
      <c r="M423" s="20">
        <v>4.9887496887086665E20</v>
      </c>
    </row>
    <row r="424">
      <c r="A424" s="6"/>
      <c r="B424" s="6"/>
      <c r="C424" s="4"/>
      <c r="D424" s="4">
        <v>299.32498132252</v>
      </c>
      <c r="E424" s="4" t="s">
        <v>8661</v>
      </c>
      <c r="F424" s="4"/>
      <c r="G424" s="4"/>
      <c r="H424" s="4"/>
      <c r="I424" s="4" t="str">
        <f>IFERROR(__xludf.DUMMYFUNCTION("""COMPUTED_VALUE"""),"0x8a1d03f13f7de4ae4ae9986c804c959b9ed29bfb")</f>
        <v>0x8a1d03f13f7de4ae4ae9986c804c959b9ed29bfb</v>
      </c>
      <c r="J424" s="18">
        <v>101.23072730215901</v>
      </c>
      <c r="K424" s="4">
        <v>1687.1787883693169</v>
      </c>
      <c r="L424" s="19">
        <v>1.687178788369317E21</v>
      </c>
      <c r="M424" s="20">
        <v>1.687178788369317E20</v>
      </c>
    </row>
    <row r="425">
      <c r="A425" s="6"/>
      <c r="B425" s="6"/>
      <c r="C425" s="4"/>
      <c r="D425" s="4">
        <v>299.32498132252</v>
      </c>
      <c r="E425" s="4" t="s">
        <v>8608</v>
      </c>
      <c r="F425" s="4"/>
      <c r="G425" s="4"/>
      <c r="H425" s="4"/>
      <c r="I425" s="4" t="str">
        <f>IFERROR(__xludf.DUMMYFUNCTION("""COMPUTED_VALUE"""),"0x2ee8332e3fb1f300ce46d8d92b874a48d00e99bf")</f>
        <v>0x2ee8332e3fb1f300ce46d8d92b874a48d00e99bf</v>
      </c>
      <c r="J425" s="18">
        <v>299.32498132252</v>
      </c>
      <c r="K425" s="4">
        <v>4988.749688708666</v>
      </c>
      <c r="L425" s="19">
        <v>4.988749688708666E21</v>
      </c>
      <c r="M425" s="20">
        <v>4.9887496887086665E20</v>
      </c>
    </row>
    <row r="426">
      <c r="A426" s="6"/>
      <c r="B426" s="6"/>
      <c r="C426" s="4"/>
      <c r="D426" s="4">
        <v>299.32498132252</v>
      </c>
      <c r="E426" s="4" t="s">
        <v>1524</v>
      </c>
      <c r="F426" s="4"/>
      <c r="G426" s="4"/>
      <c r="H426" s="4"/>
      <c r="I426" s="4" t="str">
        <f>IFERROR(__xludf.DUMMYFUNCTION("""COMPUTED_VALUE"""),"0x046a020ab8e7e0b33fba87f38bd3b91a5e0f43bc")</f>
        <v>0x046a020ab8e7e0b33fba87f38bd3b91a5e0f43bc</v>
      </c>
      <c r="J426" s="18">
        <v>188.484246096768</v>
      </c>
      <c r="K426" s="4">
        <v>3141.4041016128003</v>
      </c>
      <c r="L426" s="19">
        <v>3.1414041016128006E21</v>
      </c>
      <c r="M426" s="20">
        <v>3.1414041016128006E20</v>
      </c>
    </row>
    <row r="427">
      <c r="A427" s="6"/>
      <c r="B427" s="6"/>
      <c r="C427" s="4"/>
      <c r="D427" s="4">
        <v>189.137904751414</v>
      </c>
      <c r="E427" s="4" t="s">
        <v>2784</v>
      </c>
      <c r="F427" s="4"/>
      <c r="G427" s="4"/>
      <c r="H427" s="4"/>
      <c r="I427" s="4" t="str">
        <f>IFERROR(__xludf.DUMMYFUNCTION("""COMPUTED_VALUE"""),"0xde4f4015507cb53147edd0e2dfd3dcf991ae7f0c")</f>
        <v>0xde4f4015507cb53147edd0e2dfd3dcf991ae7f0c</v>
      </c>
      <c r="J427" s="18">
        <v>299.32498132252</v>
      </c>
      <c r="K427" s="4">
        <v>4988.749688708666</v>
      </c>
      <c r="L427" s="19">
        <v>4.988749688708666E21</v>
      </c>
      <c r="M427" s="20">
        <v>4.9887496887086665E20</v>
      </c>
    </row>
    <row r="428">
      <c r="A428" s="6"/>
      <c r="B428" s="6"/>
      <c r="C428" s="4"/>
      <c r="D428" s="4">
        <v>299.32498132252</v>
      </c>
      <c r="E428" s="4" t="s">
        <v>8637</v>
      </c>
      <c r="F428" s="4"/>
      <c r="G428" s="4"/>
      <c r="H428" s="4"/>
      <c r="I428" s="4" t="str">
        <f>IFERROR(__xludf.DUMMYFUNCTION("""COMPUTED_VALUE"""),"0xcdc19c32f5077fca21155e7246a915c456848085")</f>
        <v>0xcdc19c32f5077fca21155e7246a915c456848085</v>
      </c>
      <c r="J428" s="18">
        <v>299.32498132252</v>
      </c>
      <c r="K428" s="4">
        <v>4988.749688708666</v>
      </c>
      <c r="L428" s="19">
        <v>4.988749688708666E21</v>
      </c>
      <c r="M428" s="20">
        <v>4.9887496887086665E20</v>
      </c>
    </row>
    <row r="429">
      <c r="A429" s="6"/>
      <c r="B429" s="6"/>
      <c r="C429" s="4"/>
      <c r="D429" s="4">
        <v>299.32498132252</v>
      </c>
      <c r="E429" s="4" t="s">
        <v>4154</v>
      </c>
      <c r="F429" s="4"/>
      <c r="G429" s="4"/>
      <c r="H429" s="4"/>
      <c r="I429" s="4" t="str">
        <f>IFERROR(__xludf.DUMMYFUNCTION("""COMPUTED_VALUE"""),"0xa10fd1626bd9b37dffaa82b3543de85b8df2f494")</f>
        <v>0xa10fd1626bd9b37dffaa82b3543de85b8df2f494</v>
      </c>
      <c r="J429" s="18">
        <v>299.32498132252</v>
      </c>
      <c r="K429" s="4">
        <v>4988.749688708666</v>
      </c>
      <c r="L429" s="19">
        <v>4.988749688708666E21</v>
      </c>
      <c r="M429" s="20">
        <v>4.9887496887086665E20</v>
      </c>
    </row>
    <row r="430">
      <c r="A430" s="6"/>
      <c r="B430" s="6"/>
      <c r="C430" s="4"/>
      <c r="D430" s="4">
        <v>299.32498132252</v>
      </c>
      <c r="E430" s="4" t="s">
        <v>1817</v>
      </c>
      <c r="F430" s="4"/>
      <c r="G430" s="4"/>
      <c r="H430" s="4"/>
      <c r="I430" s="4" t="str">
        <f>IFERROR(__xludf.DUMMYFUNCTION("""COMPUTED_VALUE"""),"0x53d67f8ce929e538f1fe6d103365625894fbdca3")</f>
        <v>0x53d67f8ce929e538f1fe6d103365625894fbdca3</v>
      </c>
      <c r="J430" s="18">
        <v>299.32498132252</v>
      </c>
      <c r="K430" s="4">
        <v>4988.749688708666</v>
      </c>
      <c r="L430" s="19">
        <v>4.988749688708666E21</v>
      </c>
      <c r="M430" s="20">
        <v>4.9887496887086665E20</v>
      </c>
    </row>
    <row r="431">
      <c r="A431" s="6"/>
      <c r="B431" s="6"/>
      <c r="C431" s="4"/>
      <c r="D431" s="4">
        <v>299.32498132252</v>
      </c>
      <c r="E431" s="4" t="s">
        <v>1125</v>
      </c>
      <c r="F431" s="4"/>
      <c r="G431" s="4"/>
      <c r="H431" s="4"/>
      <c r="I431" s="4" t="str">
        <f>IFERROR(__xludf.DUMMYFUNCTION("""COMPUTED_VALUE"""),"0x7898807ee44e0112f93cd39b0a6a10b4dd2f26ec")</f>
        <v>0x7898807ee44e0112f93cd39b0a6a10b4dd2f26ec</v>
      </c>
      <c r="J431" s="18">
        <v>299.32498132252</v>
      </c>
      <c r="K431" s="4">
        <v>4988.749688708666</v>
      </c>
      <c r="L431" s="19">
        <v>4.988749688708666E21</v>
      </c>
      <c r="M431" s="20">
        <v>4.9887496887086665E20</v>
      </c>
    </row>
    <row r="432">
      <c r="A432" s="6"/>
      <c r="B432" s="6"/>
      <c r="C432" s="4"/>
      <c r="D432" s="4">
        <v>299.32498132252</v>
      </c>
      <c r="E432" s="4" t="s">
        <v>8575</v>
      </c>
      <c r="F432" s="4"/>
      <c r="G432" s="4"/>
      <c r="H432" s="4"/>
      <c r="I432" s="4" t="str">
        <f>IFERROR(__xludf.DUMMYFUNCTION("""COMPUTED_VALUE"""),"0x02476613ab50e6407b9d2c5aa73e99a601cfabdf")</f>
        <v>0x02476613ab50e6407b9d2c5aa73e99a601cfabdf</v>
      </c>
      <c r="J432" s="18">
        <v>299.32498132252</v>
      </c>
      <c r="K432" s="4">
        <v>4988.749688708666</v>
      </c>
      <c r="L432" s="19">
        <v>4.988749688708666E21</v>
      </c>
      <c r="M432" s="20">
        <v>4.9887496887086665E20</v>
      </c>
    </row>
    <row r="433">
      <c r="A433" s="6"/>
      <c r="B433" s="6"/>
      <c r="C433" s="4"/>
      <c r="D433" s="4">
        <v>277.714477532033</v>
      </c>
      <c r="E433" s="4" t="s">
        <v>8550</v>
      </c>
      <c r="F433" s="4"/>
      <c r="G433" s="4"/>
      <c r="H433" s="4"/>
      <c r="I433" s="4" t="str">
        <f>IFERROR(__xludf.DUMMYFUNCTION("""COMPUTED_VALUE"""),"0x8a830f105a42e705cfe3a0295dfcfd7259ed4570")</f>
        <v>0x8a830f105a42e705cfe3a0295dfcfd7259ed4570</v>
      </c>
      <c r="J433" s="18">
        <v>299.32498132252</v>
      </c>
      <c r="K433" s="4">
        <v>4988.749688708666</v>
      </c>
      <c r="L433" s="19">
        <v>4.988749688708666E21</v>
      </c>
      <c r="M433" s="20">
        <v>4.9887496887086665E20</v>
      </c>
    </row>
    <row r="434">
      <c r="A434" s="6"/>
      <c r="B434" s="6"/>
      <c r="C434" s="4"/>
      <c r="D434" s="4">
        <v>299.32498132252</v>
      </c>
      <c r="E434" s="4" t="s">
        <v>8649</v>
      </c>
      <c r="F434" s="4"/>
      <c r="G434" s="4"/>
      <c r="H434" s="4"/>
      <c r="I434" s="4" t="str">
        <f>IFERROR(__xludf.DUMMYFUNCTION("""COMPUTED_VALUE"""),"0x17de2aa8b32607c21a9ba274054021149c3d7028")</f>
        <v>0x17de2aa8b32607c21a9ba274054021149c3d7028</v>
      </c>
      <c r="J434" s="18">
        <v>179.594988793512</v>
      </c>
      <c r="K434" s="4">
        <v>2993.2498132252</v>
      </c>
      <c r="L434" s="19">
        <v>2.9932498132252E21</v>
      </c>
      <c r="M434" s="20">
        <v>2.9932498132252E20</v>
      </c>
    </row>
    <row r="435">
      <c r="A435" s="6"/>
      <c r="B435" s="6"/>
      <c r="C435" s="4"/>
      <c r="D435" s="4">
        <v>299.32498132252</v>
      </c>
      <c r="E435" s="4" t="s">
        <v>6408</v>
      </c>
      <c r="F435" s="4"/>
      <c r="G435" s="4"/>
      <c r="H435" s="4"/>
      <c r="I435" s="4" t="str">
        <f>IFERROR(__xludf.DUMMYFUNCTION("""COMPUTED_VALUE"""),"0xdf2378c611eec0e2ae04bc5940a37acc39131e41")</f>
        <v>0xdf2378c611eec0e2ae04bc5940a37acc39131e41</v>
      </c>
      <c r="J435" s="18">
        <v>93.00262721240999</v>
      </c>
      <c r="K435" s="4">
        <v>1550.0437868734998</v>
      </c>
      <c r="L435" s="19">
        <v>1.5500437868734998E21</v>
      </c>
      <c r="M435" s="20">
        <v>1.5500437868734998E20</v>
      </c>
    </row>
    <row r="436">
      <c r="A436" s="6"/>
      <c r="B436" s="6"/>
      <c r="C436" s="4"/>
      <c r="D436" s="4">
        <v>299.32498132252</v>
      </c>
      <c r="E436" s="4" t="s">
        <v>8579</v>
      </c>
      <c r="F436" s="4"/>
      <c r="G436" s="4"/>
      <c r="H436" s="4"/>
      <c r="I436" s="4" t="str">
        <f>IFERROR(__xludf.DUMMYFUNCTION("""COMPUTED_VALUE"""),"0x0413676976de330b4971d1f2a979bb7456545d53")</f>
        <v>0x0413676976de330b4971d1f2a979bb7456545d53</v>
      </c>
      <c r="J436" s="18">
        <v>299.32498132252</v>
      </c>
      <c r="K436" s="4">
        <v>4988.749688708666</v>
      </c>
      <c r="L436" s="19">
        <v>4.988749688708666E21</v>
      </c>
      <c r="M436" s="20">
        <v>4.9887496887086665E20</v>
      </c>
    </row>
    <row r="437">
      <c r="A437" s="6"/>
      <c r="B437" s="6"/>
      <c r="C437" s="4"/>
      <c r="D437" s="4">
        <v>196.956442747776</v>
      </c>
      <c r="E437" s="4" t="s">
        <v>8729</v>
      </c>
      <c r="F437" s="4"/>
      <c r="G437" s="4"/>
      <c r="H437" s="4"/>
      <c r="I437" s="4" t="str">
        <f>IFERROR(__xludf.DUMMYFUNCTION("""COMPUTED_VALUE"""),"0xbff357034c09fd3f864b73bb7889df4e2c11d768")</f>
        <v>0xbff357034c09fd3f864b73bb7889df4e2c11d768</v>
      </c>
      <c r="J437" s="18">
        <v>299.32498132252</v>
      </c>
      <c r="K437" s="4">
        <v>4988.749688708666</v>
      </c>
      <c r="L437" s="19">
        <v>4.988749688708666E21</v>
      </c>
      <c r="M437" s="20">
        <v>4.9887496887086665E20</v>
      </c>
    </row>
    <row r="438">
      <c r="A438" s="6"/>
      <c r="B438" s="6"/>
      <c r="C438" s="4"/>
      <c r="D438" s="4">
        <v>299.32498132252</v>
      </c>
      <c r="E438" s="4" t="s">
        <v>8638</v>
      </c>
      <c r="F438" s="4"/>
      <c r="G438" s="4"/>
      <c r="H438" s="4"/>
      <c r="I438" s="4" t="str">
        <f>IFERROR(__xludf.DUMMYFUNCTION("""COMPUTED_VALUE"""),"0x0267940d1897b150ac9601ef00d0e38a5fda3011")</f>
        <v>0x0267940d1897b150ac9601ef00d0e38a5fda3011</v>
      </c>
      <c r="J438" s="18">
        <v>2179.70705284075</v>
      </c>
      <c r="K438" s="4">
        <v>36328.450880679164</v>
      </c>
      <c r="L438" s="19">
        <v>3.6328450880679163E22</v>
      </c>
      <c r="M438" s="20">
        <v>3.6328450880679167E21</v>
      </c>
    </row>
    <row r="439">
      <c r="A439" s="6"/>
      <c r="B439" s="6"/>
      <c r="C439" s="4"/>
      <c r="D439" s="4">
        <v>299.32498132252</v>
      </c>
      <c r="E439" s="4" t="s">
        <v>8674</v>
      </c>
      <c r="F439" s="4"/>
      <c r="G439" s="4"/>
      <c r="H439" s="4"/>
      <c r="I439" s="4" t="str">
        <f>IFERROR(__xludf.DUMMYFUNCTION("""COMPUTED_VALUE"""),"0x14921407dab91a7c38b4903c3561c55973db4f6b")</f>
        <v>0x14921407dab91a7c38b4903c3561c55973db4f6b</v>
      </c>
      <c r="J439" s="18">
        <v>43.594141056815</v>
      </c>
      <c r="K439" s="4">
        <v>726.5690176135834</v>
      </c>
      <c r="L439" s="19">
        <v>7.265690176135834E20</v>
      </c>
      <c r="M439" s="20">
        <v>7.265690176135834E19</v>
      </c>
    </row>
    <row r="440">
      <c r="A440" s="6"/>
      <c r="B440" s="6"/>
      <c r="C440" s="4"/>
      <c r="D440" s="4">
        <v>299.32498132252</v>
      </c>
      <c r="E440" s="4" t="s">
        <v>2506</v>
      </c>
      <c r="F440" s="4"/>
      <c r="G440" s="4"/>
      <c r="H440" s="4"/>
      <c r="I440" s="4" t="str">
        <f>IFERROR(__xludf.DUMMYFUNCTION("""COMPUTED_VALUE"""),"0x285e389ff25fed85bd4c428a42370bb7d1e0a121")</f>
        <v>0x285e389ff25fed85bd4c428a42370bb7d1e0a121</v>
      </c>
      <c r="J440" s="18">
        <v>70.3093175344774</v>
      </c>
      <c r="K440" s="4">
        <v>1171.8219589079567</v>
      </c>
      <c r="L440" s="19">
        <v>1.1718219589079567E21</v>
      </c>
      <c r="M440" s="20">
        <v>1.1718219589079568E20</v>
      </c>
    </row>
    <row r="441">
      <c r="A441" s="6"/>
      <c r="B441" s="6"/>
      <c r="C441" s="4"/>
      <c r="D441" s="4">
        <v>299.32498132252</v>
      </c>
      <c r="E441" s="4" t="s">
        <v>4381</v>
      </c>
      <c r="F441" s="4"/>
      <c r="G441" s="4"/>
      <c r="H441" s="4"/>
      <c r="I441" s="4" t="str">
        <f>IFERROR(__xludf.DUMMYFUNCTION("""COMPUTED_VALUE"""),"0xba050b96b369d66a7c506e4e13831b861c15208d")</f>
        <v>0xba050b96b369d66a7c506e4e13831b861c15208d</v>
      </c>
      <c r="J441" s="18">
        <v>410.297333866012</v>
      </c>
      <c r="K441" s="4">
        <v>6838.288897766867</v>
      </c>
      <c r="L441" s="19">
        <v>6.838288897766867E21</v>
      </c>
      <c r="M441" s="20">
        <v>6.838288897766868E20</v>
      </c>
    </row>
    <row r="442">
      <c r="A442" s="6"/>
      <c r="B442" s="6"/>
      <c r="C442" s="4"/>
      <c r="D442" s="4">
        <v>299.32498132252</v>
      </c>
      <c r="E442" s="4" t="s">
        <v>8670</v>
      </c>
      <c r="F442" s="4"/>
      <c r="G442" s="4"/>
      <c r="H442" s="4"/>
      <c r="I442" s="4" t="str">
        <f>IFERROR(__xludf.DUMMYFUNCTION("""COMPUTED_VALUE"""),"0x57fbf190abfb204046140370aa3ed87e8934cbbb")</f>
        <v>0x57fbf190abfb204046140370aa3ed87e8934cbbb</v>
      </c>
      <c r="J442" s="18">
        <v>43.7249234799855</v>
      </c>
      <c r="K442" s="4">
        <v>728.748724666425</v>
      </c>
      <c r="L442" s="19">
        <v>7.28748724666425E20</v>
      </c>
      <c r="M442" s="20">
        <v>7.28748724666425E19</v>
      </c>
    </row>
    <row r="443">
      <c r="A443" s="6"/>
      <c r="B443" s="6"/>
      <c r="C443" s="4"/>
      <c r="D443" s="4">
        <v>299.32498132252</v>
      </c>
      <c r="E443" s="4" t="s">
        <v>4490</v>
      </c>
      <c r="F443" s="4"/>
      <c r="G443" s="4"/>
      <c r="H443" s="4"/>
      <c r="I443" s="4" t="str">
        <f>IFERROR(__xludf.DUMMYFUNCTION("""COMPUTED_VALUE"""),"0x4046c52ba210e4901a1859f951bca9da709e5d69")</f>
        <v>0x4046c52ba210e4901a1859f951bca9da709e5d69</v>
      </c>
      <c r="J443" s="18">
        <v>43.884768663860505</v>
      </c>
      <c r="K443" s="4">
        <v>731.4128110643418</v>
      </c>
      <c r="L443" s="19">
        <v>7.314128110643418E20</v>
      </c>
      <c r="M443" s="20">
        <v>7.314128110643419E19</v>
      </c>
    </row>
    <row r="444">
      <c r="A444" s="6"/>
      <c r="B444" s="6"/>
      <c r="C444" s="4"/>
      <c r="D444" s="4">
        <v>299.32498132252</v>
      </c>
      <c r="E444" s="4" t="s">
        <v>8534</v>
      </c>
      <c r="F444" s="4"/>
      <c r="G444" s="4"/>
      <c r="H444" s="4"/>
      <c r="I444" s="4" t="str">
        <f>IFERROR(__xludf.DUMMYFUNCTION("""COMPUTED_VALUE"""),"0xca19509388d5a40e42398f2fbe28c35a3147ca07")</f>
        <v>0xca19509388d5a40e42398f2fbe28c35a3147ca07</v>
      </c>
      <c r="J444" s="18">
        <v>250.966631768339</v>
      </c>
      <c r="K444" s="4">
        <v>4182.7771961389835</v>
      </c>
      <c r="L444" s="19">
        <v>4.1827771961389833E21</v>
      </c>
      <c r="M444" s="20">
        <v>4.1827771961389836E20</v>
      </c>
    </row>
    <row r="445">
      <c r="A445" s="6"/>
      <c r="B445" s="6"/>
      <c r="C445" s="4"/>
      <c r="D445" s="4">
        <v>299.32498132252</v>
      </c>
      <c r="E445" s="4" t="s">
        <v>2028</v>
      </c>
      <c r="F445" s="4"/>
      <c r="G445" s="4"/>
      <c r="H445" s="4"/>
      <c r="I445" s="4" t="str">
        <f>IFERROR(__xludf.DUMMYFUNCTION("""COMPUTED_VALUE"""),"0xfc4755e96e7a935d72f7181adb0ae8b683d5d467")</f>
        <v>0xfc4755e96e7a935d72f7181adb0ae8b683d5d467</v>
      </c>
      <c r="J445" s="18">
        <v>145.411804006257</v>
      </c>
      <c r="K445" s="4">
        <v>2423.5300667709503</v>
      </c>
      <c r="L445" s="19">
        <v>2.4235300667709504E21</v>
      </c>
      <c r="M445" s="20">
        <v>2.4235300667709506E20</v>
      </c>
    </row>
    <row r="446">
      <c r="A446" s="6"/>
      <c r="B446" s="6"/>
      <c r="C446" s="4"/>
      <c r="D446" s="4">
        <v>299.32498132252</v>
      </c>
      <c r="E446" s="4" t="s">
        <v>8134</v>
      </c>
      <c r="F446" s="4"/>
      <c r="G446" s="4"/>
      <c r="H446" s="4"/>
      <c r="I446" s="4" t="str">
        <f>IFERROR(__xludf.DUMMYFUNCTION("""COMPUTED_VALUE"""),"0xd8f35ef085d202fa7cad0e0c61da737b60e1f855")</f>
        <v>0xd8f35ef085d202fa7cad0e0c61da737b60e1f855</v>
      </c>
      <c r="J446" s="18">
        <v>66.2570150907703</v>
      </c>
      <c r="K446" s="4">
        <v>1104.2835848461716</v>
      </c>
      <c r="L446" s="19">
        <v>1.1042835848461716E21</v>
      </c>
      <c r="M446" s="20">
        <v>1.1042835848461717E20</v>
      </c>
    </row>
    <row r="447">
      <c r="A447" s="6"/>
      <c r="B447" s="6"/>
      <c r="C447" s="4"/>
      <c r="D447" s="4">
        <v>299.32498132252</v>
      </c>
      <c r="E447" s="4" t="s">
        <v>4952</v>
      </c>
      <c r="F447" s="4"/>
      <c r="G447" s="4"/>
      <c r="H447" s="4"/>
      <c r="I447" s="4" t="str">
        <f>IFERROR(__xludf.DUMMYFUNCTION("""COMPUTED_VALUE"""),"0x48457be3957f084b5dc8e504356dd0c1760411d9")</f>
        <v>0x48457be3957f084b5dc8e504356dd0c1760411d9</v>
      </c>
      <c r="J447" s="18">
        <v>179.748815543495</v>
      </c>
      <c r="K447" s="4">
        <v>2995.8135923915834</v>
      </c>
      <c r="L447" s="19">
        <v>2.9958135923915835E21</v>
      </c>
      <c r="M447" s="20">
        <v>2.9958135923915837E20</v>
      </c>
    </row>
    <row r="448">
      <c r="A448" s="6"/>
      <c r="B448" s="6"/>
      <c r="C448" s="4"/>
      <c r="D448" s="4">
        <v>299.32498132252</v>
      </c>
      <c r="E448" s="4" t="s">
        <v>5870</v>
      </c>
      <c r="F448" s="4"/>
      <c r="G448" s="4"/>
      <c r="H448" s="4"/>
      <c r="I448" s="4" t="str">
        <f>IFERROR(__xludf.DUMMYFUNCTION("""COMPUTED_VALUE"""),"0x8fc44fec6d78a474bda0d74ab3c31b4498761c8c")</f>
        <v>0x8fc44fec6d78a474bda0d74ab3c31b4498761c8c</v>
      </c>
      <c r="J448" s="18">
        <v>57.6009758614802</v>
      </c>
      <c r="K448" s="4">
        <v>960.0162643580034</v>
      </c>
      <c r="L448" s="19">
        <v>9.600162643580033E20</v>
      </c>
      <c r="M448" s="20">
        <v>9.600162643580033E19</v>
      </c>
    </row>
    <row r="449">
      <c r="A449" s="6"/>
      <c r="B449" s="6"/>
      <c r="C449" s="4"/>
      <c r="D449" s="4">
        <v>298.403905061547</v>
      </c>
      <c r="E449" s="4" t="s">
        <v>966</v>
      </c>
      <c r="F449" s="4"/>
      <c r="G449" s="4"/>
      <c r="H449" s="4"/>
      <c r="I449" s="4" t="str">
        <f>IFERROR(__xludf.DUMMYFUNCTION("""COMPUTED_VALUE"""),"0x022a625e05621b3acf63f298681cce74e6ee3243")</f>
        <v>0x022a625e05621b3acf63f298681cce74e6ee3243</v>
      </c>
      <c r="J449" s="18">
        <v>244.9990727393</v>
      </c>
      <c r="K449" s="4">
        <v>4083.3178789883336</v>
      </c>
      <c r="L449" s="19">
        <v>4.0833178789883334E21</v>
      </c>
      <c r="M449" s="20">
        <v>4.0833178789883334E20</v>
      </c>
    </row>
    <row r="450">
      <c r="A450" s="6"/>
      <c r="B450" s="6"/>
      <c r="C450" s="4"/>
      <c r="D450" s="4">
        <v>299.32498132252</v>
      </c>
      <c r="E450" s="4" t="s">
        <v>3912</v>
      </c>
      <c r="F450" s="4"/>
      <c r="G450" s="4"/>
      <c r="H450" s="4"/>
      <c r="I450" s="4" t="str">
        <f>IFERROR(__xludf.DUMMYFUNCTION("""COMPUTED_VALUE"""),"0xce268018522599fe07257c0e94cd17e9a24991cc")</f>
        <v>0xce268018522599fe07257c0e94cd17e9a24991cc</v>
      </c>
      <c r="J450" s="18">
        <v>4.20375358910225</v>
      </c>
      <c r="K450" s="4">
        <v>70.06255981837084</v>
      </c>
      <c r="L450" s="19">
        <v>7.006255981837084E19</v>
      </c>
      <c r="M450" s="20">
        <v>7.006255981837085E18</v>
      </c>
    </row>
    <row r="451">
      <c r="A451" s="6"/>
      <c r="B451" s="6"/>
      <c r="C451" s="4"/>
      <c r="D451" s="4">
        <v>299.32498132252</v>
      </c>
      <c r="E451" s="4" t="s">
        <v>7230</v>
      </c>
      <c r="F451" s="4"/>
      <c r="G451" s="4"/>
      <c r="H451" s="4"/>
      <c r="I451" s="4" t="str">
        <f>IFERROR(__xludf.DUMMYFUNCTION("""COMPUTED_VALUE"""),"0x7d43106d1bab0ded316be5111c8db8d66898996d")</f>
        <v>0x7d43106d1bab0ded316be5111c8db8d66898996d</v>
      </c>
      <c r="J451" s="18">
        <v>43.594141056815</v>
      </c>
      <c r="K451" s="4">
        <v>726.5690176135834</v>
      </c>
      <c r="L451" s="19">
        <v>7.265690176135834E20</v>
      </c>
      <c r="M451" s="20">
        <v>7.265690176135834E19</v>
      </c>
    </row>
    <row r="452">
      <c r="A452" s="6"/>
      <c r="B452" s="6"/>
      <c r="C452" s="4"/>
      <c r="D452" s="4">
        <v>299.32498132252</v>
      </c>
      <c r="E452" s="4" t="s">
        <v>8732</v>
      </c>
      <c r="F452" s="4"/>
      <c r="G452" s="4"/>
      <c r="H452" s="4"/>
      <c r="I452" s="4" t="str">
        <f>IFERROR(__xludf.DUMMYFUNCTION("""COMPUTED_VALUE"""),"0x4aa2fad040577102be6e879066da2460c4b8e148")</f>
        <v>0x4aa2fad040577102be6e879066da2460c4b8e148</v>
      </c>
      <c r="J452" s="18">
        <v>5.79749624889873</v>
      </c>
      <c r="K452" s="4">
        <v>96.6249374816455</v>
      </c>
      <c r="L452" s="19">
        <v>9.66249374816455E19</v>
      </c>
      <c r="M452" s="20">
        <v>9.66249374816455E18</v>
      </c>
    </row>
    <row r="453">
      <c r="A453" s="6"/>
      <c r="B453" s="6"/>
      <c r="C453" s="4"/>
      <c r="D453" s="4">
        <v>299.32498132252</v>
      </c>
      <c r="E453" s="4" t="s">
        <v>1517</v>
      </c>
      <c r="F453" s="4"/>
      <c r="G453" s="4"/>
      <c r="H453" s="4"/>
      <c r="I453" s="4" t="str">
        <f>IFERROR(__xludf.DUMMYFUNCTION("""COMPUTED_VALUE"""),"0x9896b07c4c8ac407884ae81b8f2c6095f2b02043")</f>
        <v>0x9896b07c4c8ac407884ae81b8f2c6095f2b02043</v>
      </c>
      <c r="J453" s="18">
        <v>101.864976269424</v>
      </c>
      <c r="K453" s="4">
        <v>1697.7496044904</v>
      </c>
      <c r="L453" s="19">
        <v>1.6977496044904E21</v>
      </c>
      <c r="M453" s="20">
        <v>1.6977496044904E20</v>
      </c>
    </row>
    <row r="454">
      <c r="A454" s="6"/>
      <c r="B454" s="6"/>
      <c r="C454" s="4"/>
      <c r="D454" s="4">
        <v>299.32498132252</v>
      </c>
      <c r="E454" s="4" t="s">
        <v>1066</v>
      </c>
      <c r="F454" s="4"/>
      <c r="G454" s="4"/>
      <c r="H454" s="4"/>
      <c r="I454" s="4" t="str">
        <f>IFERROR(__xludf.DUMMYFUNCTION("""COMPUTED_VALUE"""),"0x7d0d0e6c6b57a116429ab14d08303e8f71b452f4")</f>
        <v>0x7d0d0e6c6b57a116429ab14d08303e8f71b452f4</v>
      </c>
      <c r="J454" s="18">
        <v>3658.52866905187</v>
      </c>
      <c r="K454" s="4">
        <v>60975.47781753117</v>
      </c>
      <c r="L454" s="19">
        <v>6.0975477817531175E22</v>
      </c>
      <c r="M454" s="20">
        <v>6.097547781753118E21</v>
      </c>
    </row>
    <row r="455">
      <c r="A455" s="6"/>
      <c r="B455" s="6"/>
      <c r="C455" s="4"/>
      <c r="D455" s="4">
        <v>299.32498132252</v>
      </c>
      <c r="E455" s="4" t="s">
        <v>8671</v>
      </c>
      <c r="F455" s="4"/>
      <c r="G455" s="4"/>
      <c r="H455" s="4"/>
      <c r="I455" s="4" t="str">
        <f>IFERROR(__xludf.DUMMYFUNCTION("""COMPUTED_VALUE"""),"0x9657de59414f57951e17f12498abf6caced58a62")</f>
        <v>0x9657de59414f57951e17f12498abf6caced58a62</v>
      </c>
      <c r="J455" s="18">
        <v>36.4572919445661</v>
      </c>
      <c r="K455" s="4">
        <v>607.6215324094351</v>
      </c>
      <c r="L455" s="19">
        <v>6.076215324094351E20</v>
      </c>
      <c r="M455" s="20">
        <v>6.076215324094352E19</v>
      </c>
    </row>
    <row r="456">
      <c r="A456" s="6"/>
      <c r="B456" s="6"/>
      <c r="C456" s="4"/>
      <c r="D456" s="4">
        <v>258.075693041671</v>
      </c>
      <c r="E456" s="4" t="s">
        <v>8618</v>
      </c>
      <c r="F456" s="4"/>
      <c r="G456" s="4"/>
      <c r="H456" s="4"/>
      <c r="I456" s="4" t="str">
        <f>IFERROR(__xludf.DUMMYFUNCTION("""COMPUTED_VALUE"""),"0x81389bf2b1fcda287b090119ea3cc706a16b6c36")</f>
        <v>0x81389bf2b1fcda287b090119ea3cc706a16b6c36</v>
      </c>
      <c r="J456" s="18">
        <v>81.8889284116175</v>
      </c>
      <c r="K456" s="4">
        <v>1364.8154735269584</v>
      </c>
      <c r="L456" s="19">
        <v>1.3648154735269585E21</v>
      </c>
      <c r="M456" s="20">
        <v>1.3648154735269585E20</v>
      </c>
    </row>
    <row r="457">
      <c r="A457" s="6"/>
      <c r="B457" s="6"/>
      <c r="C457" s="4"/>
      <c r="D457" s="4">
        <v>299.32498132252</v>
      </c>
      <c r="E457" s="4" t="s">
        <v>3086</v>
      </c>
      <c r="F457" s="4"/>
      <c r="G457" s="4"/>
      <c r="H457" s="4"/>
      <c r="I457" s="4" t="str">
        <f>IFERROR(__xludf.DUMMYFUNCTION("""COMPUTED_VALUE"""),"0x35b642fedc884856a39154a91cc2674aa279b39a")</f>
        <v>0x35b642fedc884856a39154a91cc2674aa279b39a</v>
      </c>
      <c r="J457" s="18">
        <v>1041.5108208920399</v>
      </c>
      <c r="K457" s="4">
        <v>17358.513681533997</v>
      </c>
      <c r="L457" s="19">
        <v>1.7358513681533998E22</v>
      </c>
      <c r="M457" s="20">
        <v>1.7358513681534E21</v>
      </c>
    </row>
    <row r="458">
      <c r="A458" s="6"/>
      <c r="B458" s="6"/>
      <c r="C458" s="4"/>
      <c r="D458" s="4">
        <v>299.32498132252</v>
      </c>
      <c r="E458" s="4" t="s">
        <v>872</v>
      </c>
      <c r="F458" s="4"/>
      <c r="G458" s="4"/>
      <c r="H458" s="4"/>
      <c r="I458" s="4" t="str">
        <f>IFERROR(__xludf.DUMMYFUNCTION("""COMPUTED_VALUE"""),"0x1a669bfc13fdaa895c1d917969bcf541081c9e4a")</f>
        <v>0x1a669bfc13fdaa895c1d917969bcf541081c9e4a</v>
      </c>
      <c r="J458" s="18">
        <v>13.6210752806881</v>
      </c>
      <c r="K458" s="4">
        <v>227.01792134480166</v>
      </c>
      <c r="L458" s="19">
        <v>2.2701792134480167E20</v>
      </c>
      <c r="M458" s="20">
        <v>2.2701792134480167E19</v>
      </c>
    </row>
    <row r="459">
      <c r="A459" s="6"/>
      <c r="B459" s="6"/>
      <c r="C459" s="4"/>
      <c r="D459" s="4">
        <v>299.32498132252</v>
      </c>
      <c r="E459" s="4" t="s">
        <v>8533</v>
      </c>
      <c r="F459" s="4"/>
      <c r="G459" s="4"/>
      <c r="H459" s="4"/>
      <c r="I459" s="4" t="str">
        <f>IFERROR(__xludf.DUMMYFUNCTION("""COMPUTED_VALUE"""),"0xdaa99f35210323634e090170905a1bdb4011a9df")</f>
        <v>0xdaa99f35210323634e090170905a1bdb4011a9df</v>
      </c>
      <c r="J459" s="18">
        <v>72.6569017613584</v>
      </c>
      <c r="K459" s="4">
        <v>1210.9483626893066</v>
      </c>
      <c r="L459" s="19">
        <v>1.2109483626893067E21</v>
      </c>
      <c r="M459" s="20">
        <v>1.2109483626893068E20</v>
      </c>
    </row>
    <row r="460">
      <c r="A460" s="6"/>
      <c r="B460" s="6"/>
      <c r="C460" s="4"/>
      <c r="D460" s="4">
        <v>299.32498132252</v>
      </c>
      <c r="E460" s="4" t="s">
        <v>8655</v>
      </c>
      <c r="F460" s="4"/>
      <c r="G460" s="4"/>
      <c r="H460" s="4"/>
      <c r="I460" s="4" t="str">
        <f>IFERROR(__xludf.DUMMYFUNCTION("""COMPUTED_VALUE"""),"0x0eb8745407a211a718d6921691ceb99fb5ac9f48")</f>
        <v>0x0eb8745407a211a718d6921691ceb99fb5ac9f48</v>
      </c>
      <c r="J460" s="18">
        <v>1307.82423170445</v>
      </c>
      <c r="K460" s="4">
        <v>21797.0705284075</v>
      </c>
      <c r="L460" s="19">
        <v>2.1797070528407503E22</v>
      </c>
      <c r="M460" s="20">
        <v>2.1797070528407504E21</v>
      </c>
    </row>
    <row r="461">
      <c r="A461" s="6"/>
      <c r="B461" s="6"/>
      <c r="C461" s="4"/>
      <c r="D461" s="4">
        <v>299.32498132252</v>
      </c>
      <c r="E461" s="4" t="s">
        <v>6325</v>
      </c>
      <c r="F461" s="4"/>
      <c r="G461" s="4"/>
      <c r="H461" s="4"/>
      <c r="I461" s="4"/>
      <c r="J461" s="18">
        <v>0.0</v>
      </c>
      <c r="K461" s="4" t="s">
        <v>8494</v>
      </c>
      <c r="L461" s="19" t="s">
        <v>8494</v>
      </c>
      <c r="M461" s="20" t="s">
        <v>8494</v>
      </c>
    </row>
    <row r="462">
      <c r="A462" s="6"/>
      <c r="B462" s="6"/>
      <c r="C462" s="4"/>
      <c r="D462" s="4">
        <v>299.32498132252</v>
      </c>
      <c r="E462" s="4" t="s">
        <v>2293</v>
      </c>
      <c r="F462" s="4"/>
      <c r="G462" s="4"/>
      <c r="H462" s="4"/>
      <c r="I462" s="4"/>
      <c r="J462" s="18">
        <v>0.0</v>
      </c>
      <c r="K462" s="4" t="s">
        <v>8494</v>
      </c>
      <c r="L462" s="19" t="s">
        <v>8494</v>
      </c>
      <c r="M462" s="20" t="s">
        <v>8494</v>
      </c>
    </row>
    <row r="463">
      <c r="A463" s="6"/>
      <c r="B463" s="6"/>
      <c r="C463" s="4"/>
      <c r="D463" s="4">
        <v>299.32498132252</v>
      </c>
      <c r="E463" s="4" t="s">
        <v>8568</v>
      </c>
      <c r="F463" s="4"/>
      <c r="G463" s="4"/>
      <c r="H463" s="4"/>
      <c r="I463" s="4"/>
      <c r="J463" s="18">
        <v>0.0</v>
      </c>
      <c r="K463" s="4" t="s">
        <v>8494</v>
      </c>
      <c r="L463" s="19" t="s">
        <v>8494</v>
      </c>
      <c r="M463" s="20" t="s">
        <v>8494</v>
      </c>
    </row>
    <row r="464">
      <c r="A464" s="6"/>
      <c r="B464" s="6"/>
      <c r="C464" s="4"/>
      <c r="D464" s="4">
        <v>299.32498132252</v>
      </c>
      <c r="E464" s="4" t="s">
        <v>7431</v>
      </c>
      <c r="F464" s="4"/>
      <c r="G464" s="4"/>
      <c r="H464" s="4"/>
      <c r="I464" s="4"/>
      <c r="J464" s="18">
        <v>0.0</v>
      </c>
      <c r="K464" s="4" t="s">
        <v>8494</v>
      </c>
      <c r="L464" s="19" t="s">
        <v>8494</v>
      </c>
      <c r="M464" s="20" t="s">
        <v>8494</v>
      </c>
    </row>
    <row r="465">
      <c r="A465" s="6"/>
      <c r="B465" s="6"/>
      <c r="C465" s="4"/>
      <c r="D465" s="4">
        <v>299.32498132252</v>
      </c>
      <c r="E465" s="4" t="s">
        <v>2478</v>
      </c>
      <c r="F465" s="4"/>
      <c r="G465" s="4"/>
      <c r="H465" s="4"/>
      <c r="I465" s="4"/>
      <c r="J465" s="18">
        <v>0.0</v>
      </c>
      <c r="K465" s="4" t="s">
        <v>8494</v>
      </c>
      <c r="L465" s="19" t="s">
        <v>8494</v>
      </c>
      <c r="M465" s="20" t="s">
        <v>8494</v>
      </c>
    </row>
    <row r="466">
      <c r="A466" s="6"/>
      <c r="B466" s="6"/>
      <c r="C466" s="4"/>
      <c r="D466" s="4">
        <v>299.32498132252</v>
      </c>
      <c r="E466" s="4" t="s">
        <v>8694</v>
      </c>
      <c r="F466" s="4"/>
      <c r="G466" s="4"/>
      <c r="H466" s="4"/>
      <c r="I466" s="4"/>
      <c r="J466" s="18">
        <v>0.0</v>
      </c>
      <c r="K466" s="4" t="s">
        <v>8494</v>
      </c>
      <c r="L466" s="19" t="s">
        <v>8494</v>
      </c>
      <c r="M466" s="20" t="s">
        <v>8494</v>
      </c>
    </row>
    <row r="467">
      <c r="A467" s="6"/>
      <c r="B467" s="6"/>
      <c r="C467" s="4"/>
      <c r="D467" s="4">
        <v>299.32498132252</v>
      </c>
      <c r="E467" s="4" t="s">
        <v>8658</v>
      </c>
      <c r="F467" s="4"/>
      <c r="G467" s="4"/>
      <c r="H467" s="4"/>
      <c r="I467" s="4"/>
      <c r="J467" s="18">
        <v>0.0</v>
      </c>
      <c r="K467" s="4" t="s">
        <v>8494</v>
      </c>
      <c r="L467" s="19" t="s">
        <v>8494</v>
      </c>
      <c r="M467" s="20" t="s">
        <v>8494</v>
      </c>
    </row>
    <row r="468">
      <c r="A468" s="6"/>
      <c r="B468" s="6"/>
      <c r="C468" s="4"/>
      <c r="D468" s="4">
        <v>299.32498132252</v>
      </c>
      <c r="E468" s="4" t="s">
        <v>8584</v>
      </c>
      <c r="F468" s="4"/>
      <c r="G468" s="4"/>
      <c r="H468" s="4"/>
      <c r="I468" s="4"/>
      <c r="J468" s="18">
        <v>0.0</v>
      </c>
      <c r="K468" s="4" t="s">
        <v>8494</v>
      </c>
      <c r="L468" s="19" t="s">
        <v>8494</v>
      </c>
      <c r="M468" s="20" t="s">
        <v>8494</v>
      </c>
    </row>
    <row r="469">
      <c r="A469" s="6"/>
      <c r="B469" s="6"/>
      <c r="C469" s="4"/>
      <c r="D469" s="4">
        <v>193.087494771379</v>
      </c>
      <c r="E469" s="4" t="s">
        <v>3112</v>
      </c>
      <c r="F469" s="4"/>
      <c r="G469" s="4"/>
      <c r="H469" s="4"/>
      <c r="I469" s="4"/>
      <c r="J469" s="18">
        <v>0.0</v>
      </c>
      <c r="K469" s="4" t="s">
        <v>8494</v>
      </c>
      <c r="L469" s="19" t="s">
        <v>8494</v>
      </c>
      <c r="M469" s="20" t="s">
        <v>8494</v>
      </c>
    </row>
    <row r="470">
      <c r="A470" s="6"/>
      <c r="B470" s="6"/>
      <c r="C470" s="4"/>
      <c r="D470" s="4">
        <v>299.32498132252</v>
      </c>
      <c r="E470" s="4" t="s">
        <v>4424</v>
      </c>
      <c r="F470" s="4"/>
      <c r="G470" s="4"/>
      <c r="H470" s="4"/>
      <c r="I470" s="4"/>
      <c r="J470" s="18">
        <v>0.0</v>
      </c>
      <c r="K470" s="4" t="s">
        <v>8494</v>
      </c>
      <c r="L470" s="19" t="s">
        <v>8494</v>
      </c>
      <c r="M470" s="20" t="s">
        <v>8494</v>
      </c>
    </row>
    <row r="471">
      <c r="A471" s="6"/>
      <c r="B471" s="6"/>
      <c r="C471" s="4"/>
      <c r="D471" s="4">
        <v>299.32498132252</v>
      </c>
      <c r="E471" s="4" t="s">
        <v>8585</v>
      </c>
      <c r="F471" s="4"/>
      <c r="G471" s="4"/>
      <c r="H471" s="4"/>
      <c r="I471" s="4"/>
      <c r="J471" s="18">
        <v>0.0</v>
      </c>
      <c r="K471" s="4" t="s">
        <v>8494</v>
      </c>
      <c r="L471" s="19" t="s">
        <v>8494</v>
      </c>
      <c r="M471" s="20" t="s">
        <v>8494</v>
      </c>
    </row>
    <row r="472">
      <c r="A472" s="6"/>
      <c r="B472" s="6"/>
      <c r="C472" s="4"/>
      <c r="D472" s="4">
        <v>164.09886307477902</v>
      </c>
      <c r="E472" s="4" t="s">
        <v>5323</v>
      </c>
      <c r="F472" s="4"/>
      <c r="G472" s="4"/>
      <c r="H472" s="4"/>
      <c r="I472" s="4"/>
      <c r="J472" s="18">
        <v>0.0</v>
      </c>
      <c r="K472" s="4" t="s">
        <v>8494</v>
      </c>
      <c r="L472" s="19" t="s">
        <v>8494</v>
      </c>
      <c r="M472" s="20" t="s">
        <v>8494</v>
      </c>
    </row>
    <row r="473">
      <c r="A473" s="6"/>
      <c r="B473" s="6"/>
      <c r="C473" s="4"/>
      <c r="D473" s="4">
        <v>299.32498132252</v>
      </c>
      <c r="E473" s="4" t="s">
        <v>7073</v>
      </c>
      <c r="F473" s="4"/>
      <c r="G473" s="4"/>
      <c r="H473" s="4"/>
      <c r="I473" s="4"/>
      <c r="J473" s="18">
        <v>0.0</v>
      </c>
      <c r="K473" s="4" t="s">
        <v>8494</v>
      </c>
      <c r="L473" s="19" t="s">
        <v>8494</v>
      </c>
      <c r="M473" s="20" t="s">
        <v>8494</v>
      </c>
    </row>
    <row r="474">
      <c r="A474" s="6"/>
      <c r="B474" s="6"/>
      <c r="C474" s="4"/>
      <c r="D474" s="4">
        <v>299.32498132252</v>
      </c>
      <c r="E474" s="4" t="s">
        <v>8736</v>
      </c>
      <c r="F474" s="4"/>
      <c r="G474" s="4"/>
      <c r="H474" s="4"/>
      <c r="I474" s="4"/>
      <c r="J474" s="18">
        <v>0.0</v>
      </c>
      <c r="K474" s="4" t="s">
        <v>8494</v>
      </c>
      <c r="L474" s="19" t="s">
        <v>8494</v>
      </c>
      <c r="M474" s="20" t="s">
        <v>8494</v>
      </c>
    </row>
    <row r="475">
      <c r="A475" s="6"/>
      <c r="B475" s="6"/>
      <c r="C475" s="4"/>
      <c r="D475" s="4">
        <v>299.32498132252</v>
      </c>
      <c r="E475" s="4" t="s">
        <v>8616</v>
      </c>
      <c r="F475" s="4"/>
      <c r="G475" s="4"/>
      <c r="H475" s="4"/>
      <c r="I475" s="4"/>
      <c r="J475" s="18">
        <v>0.0</v>
      </c>
      <c r="K475" s="4" t="s">
        <v>8494</v>
      </c>
      <c r="L475" s="19" t="s">
        <v>8494</v>
      </c>
      <c r="M475" s="20" t="s">
        <v>8494</v>
      </c>
    </row>
    <row r="476">
      <c r="A476" s="6"/>
      <c r="B476" s="6"/>
      <c r="C476" s="4"/>
      <c r="D476" s="4">
        <v>299.32498132252</v>
      </c>
      <c r="E476" s="4" t="s">
        <v>8646</v>
      </c>
      <c r="F476" s="4"/>
      <c r="G476" s="4"/>
      <c r="H476" s="4"/>
      <c r="I476" s="4"/>
      <c r="J476" s="18">
        <v>0.0</v>
      </c>
      <c r="K476" s="4" t="s">
        <v>8494</v>
      </c>
      <c r="L476" s="19" t="s">
        <v>8494</v>
      </c>
      <c r="M476" s="20" t="s">
        <v>8494</v>
      </c>
    </row>
    <row r="477">
      <c r="A477" s="6"/>
      <c r="B477" s="6"/>
      <c r="C477" s="4"/>
      <c r="D477" s="4">
        <v>299.32498132252</v>
      </c>
      <c r="E477" s="4" t="s">
        <v>5815</v>
      </c>
      <c r="F477" s="4"/>
      <c r="G477" s="4"/>
      <c r="H477" s="4"/>
      <c r="I477" s="4"/>
      <c r="J477" s="18">
        <v>0.0</v>
      </c>
      <c r="K477" s="4" t="s">
        <v>8494</v>
      </c>
      <c r="L477" s="19" t="s">
        <v>8494</v>
      </c>
      <c r="M477" s="20" t="s">
        <v>8494</v>
      </c>
    </row>
    <row r="478">
      <c r="A478" s="6"/>
      <c r="B478" s="6"/>
      <c r="C478" s="4"/>
      <c r="D478" s="4">
        <v>299.32498132252</v>
      </c>
      <c r="E478" s="4" t="s">
        <v>2633</v>
      </c>
      <c r="F478" s="4"/>
      <c r="G478" s="4"/>
      <c r="H478" s="4"/>
      <c r="I478" s="4"/>
      <c r="J478" s="18">
        <v>0.0</v>
      </c>
      <c r="K478" s="4" t="s">
        <v>8494</v>
      </c>
      <c r="L478" s="19" t="s">
        <v>8494</v>
      </c>
      <c r="M478" s="20" t="s">
        <v>8494</v>
      </c>
    </row>
    <row r="479">
      <c r="A479" s="6"/>
      <c r="B479" s="6"/>
      <c r="C479" s="4"/>
      <c r="D479" s="4">
        <v>299.32498132252</v>
      </c>
      <c r="E479" s="4" t="s">
        <v>3772</v>
      </c>
      <c r="F479" s="4"/>
      <c r="G479" s="4"/>
      <c r="H479" s="4"/>
      <c r="I479" s="4"/>
      <c r="J479" s="18">
        <v>0.0</v>
      </c>
      <c r="K479" s="4" t="s">
        <v>8494</v>
      </c>
      <c r="L479" s="19" t="s">
        <v>8494</v>
      </c>
      <c r="M479" s="20" t="s">
        <v>8494</v>
      </c>
    </row>
    <row r="480">
      <c r="A480" s="6"/>
      <c r="B480" s="6"/>
      <c r="C480" s="4"/>
      <c r="D480" s="4">
        <v>299.32498132252</v>
      </c>
      <c r="E480" s="4" t="s">
        <v>8664</v>
      </c>
      <c r="F480" s="4"/>
      <c r="G480" s="4"/>
      <c r="H480" s="4"/>
      <c r="I480" s="4"/>
      <c r="J480" s="18">
        <v>0.0</v>
      </c>
      <c r="K480" s="4" t="s">
        <v>8494</v>
      </c>
      <c r="L480" s="19" t="s">
        <v>8494</v>
      </c>
      <c r="M480" s="20" t="s">
        <v>8494</v>
      </c>
    </row>
    <row r="481">
      <c r="A481" s="6"/>
      <c r="B481" s="6"/>
      <c r="C481" s="4"/>
      <c r="D481" s="4">
        <v>299.32498132252</v>
      </c>
      <c r="E481" s="4" t="s">
        <v>8453</v>
      </c>
      <c r="F481" s="4"/>
      <c r="G481" s="4"/>
      <c r="H481" s="4"/>
      <c r="I481" s="4"/>
      <c r="J481" s="18">
        <v>0.0</v>
      </c>
      <c r="K481" s="4" t="s">
        <v>8494</v>
      </c>
      <c r="L481" s="19" t="s">
        <v>8494</v>
      </c>
      <c r="M481" s="20" t="s">
        <v>8494</v>
      </c>
    </row>
    <row r="482">
      <c r="A482" s="6"/>
      <c r="B482" s="6"/>
      <c r="C482" s="4"/>
      <c r="D482" s="4">
        <v>299.32498132252</v>
      </c>
      <c r="E482" s="4" t="s">
        <v>5105</v>
      </c>
      <c r="F482" s="4"/>
      <c r="G482" s="4"/>
      <c r="H482" s="4"/>
      <c r="I482" s="4"/>
      <c r="J482" s="18">
        <v>0.0</v>
      </c>
      <c r="K482" s="4" t="s">
        <v>8494</v>
      </c>
      <c r="L482" s="19" t="s">
        <v>8494</v>
      </c>
      <c r="M482" s="20" t="s">
        <v>8494</v>
      </c>
    </row>
    <row r="483">
      <c r="A483" s="6"/>
      <c r="B483" s="6"/>
      <c r="C483" s="4"/>
      <c r="D483" s="4">
        <v>299.32498132252</v>
      </c>
      <c r="E483" s="4" t="s">
        <v>2733</v>
      </c>
      <c r="F483" s="4"/>
      <c r="G483" s="4"/>
      <c r="H483" s="4"/>
      <c r="I483" s="4"/>
      <c r="J483" s="18">
        <v>0.0</v>
      </c>
      <c r="K483" s="4" t="s">
        <v>8494</v>
      </c>
      <c r="L483" s="19" t="s">
        <v>8494</v>
      </c>
      <c r="M483" s="20" t="s">
        <v>8494</v>
      </c>
    </row>
    <row r="484">
      <c r="A484" s="6"/>
      <c r="B484" s="6"/>
      <c r="C484" s="4"/>
      <c r="D484" s="4">
        <v>299.32498132252</v>
      </c>
      <c r="E484" s="4" t="s">
        <v>8610</v>
      </c>
      <c r="F484" s="4"/>
      <c r="G484" s="4"/>
      <c r="H484" s="4"/>
      <c r="I484" s="4"/>
      <c r="J484" s="18">
        <v>0.0</v>
      </c>
      <c r="K484" s="4" t="s">
        <v>8494</v>
      </c>
      <c r="L484" s="19" t="s">
        <v>8494</v>
      </c>
      <c r="M484" s="20" t="s">
        <v>8494</v>
      </c>
    </row>
    <row r="485">
      <c r="A485" s="6"/>
      <c r="B485" s="6"/>
      <c r="C485" s="4"/>
      <c r="D485" s="4">
        <v>299.32498132252</v>
      </c>
      <c r="E485" s="4" t="s">
        <v>8552</v>
      </c>
      <c r="F485" s="4"/>
      <c r="G485" s="4"/>
      <c r="H485" s="4"/>
      <c r="I485" s="4"/>
      <c r="J485" s="18">
        <v>0.0</v>
      </c>
      <c r="K485" s="4" t="s">
        <v>8494</v>
      </c>
      <c r="L485" s="19" t="s">
        <v>8494</v>
      </c>
      <c r="M485" s="20" t="s">
        <v>8494</v>
      </c>
    </row>
    <row r="486">
      <c r="A486" s="6"/>
      <c r="B486" s="6"/>
      <c r="C486" s="4"/>
      <c r="D486" s="4">
        <v>0.0176226742959956</v>
      </c>
      <c r="E486" s="4" t="s">
        <v>5836</v>
      </c>
      <c r="F486" s="4"/>
      <c r="G486" s="4"/>
      <c r="H486" s="4"/>
      <c r="I486" s="4"/>
      <c r="J486" s="18">
        <v>0.0</v>
      </c>
      <c r="K486" s="4" t="s">
        <v>8494</v>
      </c>
      <c r="L486" s="19" t="s">
        <v>8494</v>
      </c>
      <c r="M486" s="20" t="s">
        <v>8494</v>
      </c>
    </row>
    <row r="487">
      <c r="A487" s="6"/>
      <c r="B487" s="6"/>
      <c r="C487" s="4"/>
      <c r="D487" s="4">
        <v>299.32498132252</v>
      </c>
      <c r="E487" s="4" t="s">
        <v>4008</v>
      </c>
      <c r="F487" s="4"/>
      <c r="G487" s="4"/>
      <c r="H487" s="4"/>
      <c r="I487" s="4"/>
      <c r="J487" s="18">
        <v>0.0</v>
      </c>
      <c r="K487" s="4" t="s">
        <v>8494</v>
      </c>
      <c r="L487" s="19" t="s">
        <v>8494</v>
      </c>
      <c r="M487" s="20" t="s">
        <v>8494</v>
      </c>
    </row>
    <row r="488">
      <c r="A488" s="6"/>
      <c r="B488" s="6"/>
      <c r="C488" s="4"/>
      <c r="D488" s="4">
        <v>299.32498132252</v>
      </c>
      <c r="E488" s="4" t="s">
        <v>7463</v>
      </c>
      <c r="F488" s="4"/>
      <c r="G488" s="4"/>
      <c r="H488" s="4"/>
      <c r="I488" s="4"/>
      <c r="J488" s="18">
        <v>0.0</v>
      </c>
      <c r="K488" s="4" t="s">
        <v>8494</v>
      </c>
      <c r="L488" s="19" t="s">
        <v>8494</v>
      </c>
      <c r="M488" s="20" t="s">
        <v>8494</v>
      </c>
    </row>
    <row r="489">
      <c r="A489" s="6"/>
      <c r="B489" s="6"/>
      <c r="C489" s="4"/>
      <c r="D489" s="4">
        <v>299.32498132252</v>
      </c>
      <c r="E489" s="4" t="s">
        <v>5565</v>
      </c>
      <c r="F489" s="4"/>
      <c r="G489" s="4"/>
      <c r="H489" s="4"/>
      <c r="I489" s="4"/>
      <c r="J489" s="18">
        <v>0.0</v>
      </c>
      <c r="K489" s="4" t="s">
        <v>8494</v>
      </c>
      <c r="L489" s="19" t="s">
        <v>8494</v>
      </c>
      <c r="M489" s="20" t="s">
        <v>8494</v>
      </c>
    </row>
    <row r="490">
      <c r="A490" s="6"/>
      <c r="B490" s="6"/>
      <c r="C490" s="4"/>
      <c r="D490" s="4">
        <v>299.32498132252</v>
      </c>
      <c r="E490" s="4" t="s">
        <v>8738</v>
      </c>
      <c r="F490" s="4"/>
      <c r="G490" s="4"/>
      <c r="H490" s="4"/>
      <c r="I490" s="4"/>
      <c r="J490" s="18">
        <v>0.0</v>
      </c>
      <c r="K490" s="4" t="s">
        <v>8494</v>
      </c>
      <c r="L490" s="19" t="s">
        <v>8494</v>
      </c>
      <c r="M490" s="20" t="s">
        <v>8494</v>
      </c>
    </row>
    <row r="491">
      <c r="A491" s="6"/>
      <c r="B491" s="6"/>
      <c r="C491" s="4"/>
      <c r="D491" s="4">
        <v>299.32498132252</v>
      </c>
      <c r="E491" s="4" t="s">
        <v>31</v>
      </c>
      <c r="F491" s="4"/>
      <c r="G491" s="4"/>
      <c r="H491" s="4"/>
      <c r="I491" s="4"/>
      <c r="J491" s="18">
        <v>0.0</v>
      </c>
      <c r="K491" s="4" t="s">
        <v>8494</v>
      </c>
      <c r="L491" s="19" t="s">
        <v>8494</v>
      </c>
      <c r="M491" s="20" t="s">
        <v>8494</v>
      </c>
    </row>
    <row r="492">
      <c r="A492" s="6"/>
      <c r="B492" s="6"/>
      <c r="C492" s="4"/>
      <c r="D492" s="4">
        <v>299.32498132252</v>
      </c>
      <c r="E492" s="4" t="s">
        <v>8504</v>
      </c>
      <c r="F492" s="4"/>
      <c r="G492" s="4"/>
      <c r="H492" s="4"/>
      <c r="I492" s="4"/>
      <c r="J492" s="18">
        <v>0.0</v>
      </c>
      <c r="K492" s="4" t="s">
        <v>8494</v>
      </c>
      <c r="L492" s="19" t="s">
        <v>8494</v>
      </c>
      <c r="M492" s="20" t="s">
        <v>8494</v>
      </c>
    </row>
    <row r="493">
      <c r="A493" s="6"/>
      <c r="B493" s="6"/>
      <c r="C493" s="4"/>
      <c r="D493" s="4">
        <v>299.32498132252</v>
      </c>
      <c r="E493" s="4" t="s">
        <v>4407</v>
      </c>
      <c r="F493" s="4"/>
      <c r="G493" s="4"/>
      <c r="H493" s="4"/>
      <c r="I493" s="4"/>
      <c r="J493" s="18">
        <v>0.0</v>
      </c>
      <c r="K493" s="4" t="s">
        <v>8494</v>
      </c>
      <c r="L493" s="19" t="s">
        <v>8494</v>
      </c>
      <c r="M493" s="20" t="s">
        <v>8494</v>
      </c>
    </row>
    <row r="494">
      <c r="A494" s="6"/>
      <c r="B494" s="6"/>
      <c r="C494" s="4"/>
      <c r="D494" s="4">
        <v>299.32498132252</v>
      </c>
      <c r="E494" s="4" t="s">
        <v>8600</v>
      </c>
      <c r="F494" s="4"/>
      <c r="G494" s="4"/>
      <c r="H494" s="4"/>
      <c r="I494" s="4"/>
      <c r="J494" s="18">
        <v>0.0</v>
      </c>
      <c r="K494" s="4" t="s">
        <v>8494</v>
      </c>
      <c r="L494" s="19" t="s">
        <v>8494</v>
      </c>
      <c r="M494" s="20" t="s">
        <v>8494</v>
      </c>
    </row>
    <row r="495">
      <c r="A495" s="6"/>
      <c r="B495" s="6"/>
      <c r="C495" s="4"/>
      <c r="D495" s="4">
        <v>299.32498132252</v>
      </c>
      <c r="E495" s="4" t="s">
        <v>8556</v>
      </c>
      <c r="F495" s="4"/>
      <c r="G495" s="4"/>
      <c r="H495" s="4"/>
      <c r="I495" s="4"/>
      <c r="J495" s="18">
        <v>0.0</v>
      </c>
      <c r="K495" s="4" t="s">
        <v>8494</v>
      </c>
      <c r="L495" s="19" t="s">
        <v>8494</v>
      </c>
      <c r="M495" s="20" t="s">
        <v>8494</v>
      </c>
    </row>
    <row r="496">
      <c r="A496" s="6"/>
      <c r="B496" s="6"/>
      <c r="C496" s="4"/>
      <c r="D496" s="4">
        <v>299.32498132252</v>
      </c>
      <c r="E496" s="4" t="s">
        <v>8712</v>
      </c>
      <c r="F496" s="4"/>
      <c r="G496" s="4"/>
      <c r="H496" s="4"/>
      <c r="I496" s="4"/>
      <c r="J496" s="18">
        <v>0.0</v>
      </c>
      <c r="K496" s="4" t="s">
        <v>8494</v>
      </c>
      <c r="L496" s="19" t="s">
        <v>8494</v>
      </c>
      <c r="M496" s="20" t="s">
        <v>8494</v>
      </c>
    </row>
    <row r="497">
      <c r="A497" s="6"/>
      <c r="B497" s="6"/>
      <c r="C497" s="4"/>
      <c r="D497" s="4">
        <v>299.32498132252</v>
      </c>
      <c r="E497" s="4" t="s">
        <v>8643</v>
      </c>
      <c r="F497" s="4"/>
      <c r="G497" s="4"/>
      <c r="H497" s="4"/>
      <c r="I497" s="4"/>
      <c r="J497" s="18">
        <v>0.0</v>
      </c>
      <c r="K497" s="4" t="s">
        <v>8494</v>
      </c>
      <c r="L497" s="19" t="s">
        <v>8494</v>
      </c>
      <c r="M497" s="20" t="s">
        <v>8494</v>
      </c>
    </row>
    <row r="498">
      <c r="A498" s="6"/>
      <c r="B498" s="6"/>
      <c r="C498" s="4"/>
      <c r="D498" s="4">
        <v>299.32498132252</v>
      </c>
      <c r="E498" s="4" t="s">
        <v>2764</v>
      </c>
      <c r="F498" s="4"/>
      <c r="G498" s="4"/>
      <c r="H498" s="4"/>
      <c r="I498" s="4"/>
      <c r="J498" s="18">
        <v>0.0</v>
      </c>
      <c r="K498" s="4" t="s">
        <v>8494</v>
      </c>
      <c r="L498" s="19" t="s">
        <v>8494</v>
      </c>
      <c r="M498" s="20" t="s">
        <v>8494</v>
      </c>
    </row>
    <row r="499">
      <c r="A499" s="6"/>
      <c r="B499" s="6"/>
      <c r="C499" s="4"/>
      <c r="D499" s="4">
        <v>299.32498132252</v>
      </c>
      <c r="E499" s="4" t="s">
        <v>8739</v>
      </c>
      <c r="F499" s="4"/>
      <c r="G499" s="4"/>
      <c r="H499" s="4"/>
      <c r="I499" s="4"/>
      <c r="J499" s="18">
        <v>0.0</v>
      </c>
      <c r="K499" s="4" t="s">
        <v>8494</v>
      </c>
      <c r="L499" s="19" t="s">
        <v>8494</v>
      </c>
      <c r="M499" s="20" t="s">
        <v>8494</v>
      </c>
    </row>
    <row r="500">
      <c r="A500" s="6"/>
      <c r="B500" s="6"/>
      <c r="C500" s="4"/>
      <c r="D500" s="4">
        <v>299.32498132252</v>
      </c>
      <c r="E500" s="4" t="s">
        <v>3636</v>
      </c>
      <c r="F500" s="4"/>
      <c r="G500" s="4"/>
      <c r="H500" s="4"/>
      <c r="I500" s="4"/>
      <c r="J500" s="18">
        <v>0.0</v>
      </c>
      <c r="K500" s="4" t="s">
        <v>8494</v>
      </c>
      <c r="L500" s="19" t="s">
        <v>8494</v>
      </c>
      <c r="M500" s="20" t="s">
        <v>8494</v>
      </c>
    </row>
    <row r="501">
      <c r="A501" s="6"/>
      <c r="B501" s="6"/>
      <c r="C501" s="4"/>
      <c r="D501" s="4">
        <v>299.32498132252</v>
      </c>
      <c r="E501" s="4" t="s">
        <v>8561</v>
      </c>
      <c r="F501" s="4"/>
      <c r="G501" s="4"/>
      <c r="H501" s="4"/>
      <c r="I501" s="4"/>
      <c r="J501" s="18">
        <v>0.0</v>
      </c>
      <c r="K501" s="4" t="s">
        <v>8494</v>
      </c>
      <c r="L501" s="19" t="s">
        <v>8494</v>
      </c>
      <c r="M501" s="20" t="s">
        <v>8494</v>
      </c>
    </row>
    <row r="502">
      <c r="A502" s="6"/>
      <c r="B502" s="6"/>
      <c r="C502" s="4"/>
      <c r="D502" s="4">
        <v>299.32498132252</v>
      </c>
      <c r="E502" s="4" t="s">
        <v>6058</v>
      </c>
      <c r="F502" s="4"/>
      <c r="G502" s="4"/>
      <c r="H502" s="4"/>
      <c r="I502" s="4"/>
      <c r="J502" s="18">
        <v>0.0</v>
      </c>
      <c r="K502" s="4" t="s">
        <v>8494</v>
      </c>
      <c r="L502" s="19" t="s">
        <v>8494</v>
      </c>
      <c r="M502" s="20" t="s">
        <v>8494</v>
      </c>
    </row>
    <row r="503">
      <c r="A503" s="6"/>
      <c r="B503" s="6"/>
      <c r="C503" s="4"/>
      <c r="D503" s="4">
        <v>299.32498132252</v>
      </c>
      <c r="E503" s="4" t="s">
        <v>8614</v>
      </c>
      <c r="F503" s="4"/>
      <c r="G503" s="4"/>
      <c r="H503" s="4"/>
      <c r="I503" s="4"/>
      <c r="J503" s="18">
        <v>0.0</v>
      </c>
      <c r="K503" s="4" t="s">
        <v>8494</v>
      </c>
      <c r="L503" s="19" t="s">
        <v>8494</v>
      </c>
      <c r="M503" s="20" t="s">
        <v>8494</v>
      </c>
    </row>
    <row r="504">
      <c r="A504" s="6"/>
      <c r="B504" s="6"/>
      <c r="C504" s="4"/>
      <c r="D504" s="4">
        <v>299.32498132252</v>
      </c>
      <c r="E504" s="4" t="s">
        <v>6149</v>
      </c>
      <c r="F504" s="4"/>
      <c r="G504" s="4"/>
      <c r="H504" s="4"/>
      <c r="I504" s="4"/>
      <c r="J504" s="18">
        <v>0.0</v>
      </c>
      <c r="K504" s="4" t="s">
        <v>8494</v>
      </c>
      <c r="L504" s="19" t="s">
        <v>8494</v>
      </c>
      <c r="M504" s="20" t="s">
        <v>8494</v>
      </c>
    </row>
    <row r="505">
      <c r="A505" s="6"/>
      <c r="B505" s="6"/>
      <c r="C505" s="4"/>
      <c r="D505" s="4">
        <v>299.32498132252</v>
      </c>
      <c r="E505" s="4" t="s">
        <v>3163</v>
      </c>
      <c r="F505" s="4"/>
      <c r="G505" s="4"/>
      <c r="H505" s="4"/>
      <c r="I505" s="4"/>
      <c r="J505" s="18">
        <v>0.0</v>
      </c>
      <c r="K505" s="4" t="s">
        <v>8494</v>
      </c>
      <c r="L505" s="19" t="s">
        <v>8494</v>
      </c>
      <c r="M505" s="20" t="s">
        <v>8494</v>
      </c>
    </row>
    <row r="506">
      <c r="A506" s="6"/>
      <c r="B506" s="6"/>
      <c r="C506" s="4"/>
      <c r="D506" s="4">
        <v>298.16420744442</v>
      </c>
      <c r="E506" s="4" t="s">
        <v>4862</v>
      </c>
      <c r="F506" s="4"/>
      <c r="G506" s="4"/>
      <c r="H506" s="4"/>
      <c r="I506" s="4"/>
      <c r="J506" s="18">
        <v>0.0</v>
      </c>
      <c r="K506" s="4" t="s">
        <v>8494</v>
      </c>
      <c r="L506" s="19" t="s">
        <v>8494</v>
      </c>
      <c r="M506" s="20" t="s">
        <v>8494</v>
      </c>
    </row>
    <row r="507">
      <c r="A507" s="6"/>
      <c r="B507" s="6"/>
      <c r="C507" s="4"/>
      <c r="D507" s="4">
        <v>90.06509570020431</v>
      </c>
      <c r="E507" s="4" t="s">
        <v>5983</v>
      </c>
      <c r="F507" s="4"/>
      <c r="G507" s="4"/>
      <c r="H507" s="4"/>
      <c r="I507" s="4"/>
      <c r="J507" s="18">
        <v>0.0</v>
      </c>
      <c r="K507" s="4" t="s">
        <v>8494</v>
      </c>
      <c r="L507" s="19" t="s">
        <v>8494</v>
      </c>
      <c r="M507" s="20" t="s">
        <v>8494</v>
      </c>
    </row>
    <row r="508">
      <c r="A508" s="6"/>
      <c r="B508" s="6"/>
      <c r="C508" s="4"/>
      <c r="D508" s="4">
        <v>299.32498132252</v>
      </c>
      <c r="E508" s="4" t="s">
        <v>8742</v>
      </c>
      <c r="F508" s="4"/>
      <c r="G508" s="4"/>
      <c r="H508" s="4"/>
      <c r="I508" s="4"/>
      <c r="J508" s="18">
        <v>0.0</v>
      </c>
      <c r="K508" s="4" t="s">
        <v>8494</v>
      </c>
      <c r="L508" s="19" t="s">
        <v>8494</v>
      </c>
      <c r="M508" s="20" t="s">
        <v>8494</v>
      </c>
    </row>
    <row r="509">
      <c r="A509" s="6"/>
      <c r="B509" s="6"/>
      <c r="C509" s="4"/>
      <c r="D509" s="4">
        <v>299.32498132252</v>
      </c>
      <c r="E509" s="4" t="s">
        <v>8518</v>
      </c>
      <c r="F509" s="4"/>
      <c r="G509" s="4"/>
      <c r="H509" s="4"/>
      <c r="I509" s="4"/>
      <c r="J509" s="18">
        <v>0.0</v>
      </c>
      <c r="K509" s="4" t="s">
        <v>8494</v>
      </c>
      <c r="L509" s="19" t="s">
        <v>8494</v>
      </c>
      <c r="M509" s="20" t="s">
        <v>8494</v>
      </c>
    </row>
    <row r="510">
      <c r="A510" s="6"/>
      <c r="B510" s="6"/>
      <c r="C510" s="4"/>
      <c r="D510" s="4">
        <v>299.32498132252</v>
      </c>
      <c r="E510" s="4" t="s">
        <v>8679</v>
      </c>
      <c r="F510" s="4"/>
      <c r="G510" s="4"/>
      <c r="H510" s="4"/>
      <c r="I510" s="4"/>
      <c r="J510" s="18">
        <v>0.0</v>
      </c>
      <c r="K510" s="4" t="s">
        <v>8494</v>
      </c>
      <c r="L510" s="19" t="s">
        <v>8494</v>
      </c>
      <c r="M510" s="20" t="s">
        <v>8494</v>
      </c>
    </row>
    <row r="511">
      <c r="A511" s="6"/>
      <c r="B511" s="6"/>
      <c r="C511" s="4"/>
      <c r="D511" s="4">
        <v>299.32498132252</v>
      </c>
      <c r="E511" s="4" t="s">
        <v>306</v>
      </c>
      <c r="F511" s="4"/>
      <c r="G511" s="4"/>
      <c r="H511" s="4"/>
      <c r="I511" s="4"/>
      <c r="J511" s="18">
        <v>0.0</v>
      </c>
      <c r="K511" s="4" t="s">
        <v>8494</v>
      </c>
      <c r="L511" s="19" t="s">
        <v>8494</v>
      </c>
      <c r="M511" s="20" t="s">
        <v>8494</v>
      </c>
    </row>
    <row r="512">
      <c r="A512" s="6"/>
      <c r="B512" s="6"/>
      <c r="C512" s="4"/>
      <c r="D512" s="4">
        <v>129.126777587035</v>
      </c>
      <c r="E512" s="4" t="s">
        <v>2539</v>
      </c>
      <c r="F512" s="4"/>
      <c r="G512" s="4"/>
      <c r="H512" s="4"/>
      <c r="I512" s="4"/>
      <c r="J512" s="18">
        <v>0.0</v>
      </c>
      <c r="K512" s="4" t="s">
        <v>8494</v>
      </c>
      <c r="L512" s="19" t="s">
        <v>8494</v>
      </c>
      <c r="M512" s="20" t="s">
        <v>8494</v>
      </c>
    </row>
    <row r="513">
      <c r="A513" s="6"/>
      <c r="B513" s="6"/>
      <c r="C513" s="4"/>
      <c r="D513" s="4">
        <v>299.32498132252</v>
      </c>
      <c r="E513" s="4" t="s">
        <v>925</v>
      </c>
      <c r="F513" s="4"/>
      <c r="G513" s="4"/>
      <c r="H513" s="4"/>
      <c r="I513" s="4"/>
      <c r="J513" s="18">
        <v>0.0</v>
      </c>
      <c r="K513" s="4" t="s">
        <v>8494</v>
      </c>
      <c r="L513" s="19" t="s">
        <v>8494</v>
      </c>
      <c r="M513" s="20" t="s">
        <v>8494</v>
      </c>
    </row>
    <row r="514">
      <c r="A514" s="6"/>
      <c r="B514" s="6"/>
      <c r="C514" s="4"/>
      <c r="D514" s="4">
        <v>299.32498132252</v>
      </c>
      <c r="E514" s="4" t="s">
        <v>338</v>
      </c>
      <c r="F514" s="4"/>
      <c r="G514" s="4"/>
      <c r="H514" s="4"/>
      <c r="I514" s="4"/>
      <c r="J514" s="18">
        <v>0.0</v>
      </c>
      <c r="K514" s="4" t="s">
        <v>8494</v>
      </c>
      <c r="L514" s="19" t="s">
        <v>8494</v>
      </c>
      <c r="M514" s="20" t="s">
        <v>8494</v>
      </c>
    </row>
    <row r="515">
      <c r="A515" s="6"/>
      <c r="B515" s="6"/>
      <c r="C515" s="4"/>
      <c r="D515" s="4">
        <v>299.32498132252</v>
      </c>
      <c r="E515" s="4" t="s">
        <v>7099</v>
      </c>
      <c r="F515" s="4"/>
      <c r="G515" s="4"/>
      <c r="H515" s="4"/>
      <c r="I515" s="4"/>
      <c r="J515" s="18">
        <v>0.0</v>
      </c>
      <c r="K515" s="4" t="s">
        <v>8494</v>
      </c>
      <c r="L515" s="19" t="s">
        <v>8494</v>
      </c>
      <c r="M515" s="20" t="s">
        <v>8494</v>
      </c>
    </row>
    <row r="516">
      <c r="A516" s="6"/>
      <c r="B516" s="6"/>
      <c r="C516" s="4"/>
      <c r="D516" s="4">
        <v>299.32498132252</v>
      </c>
      <c r="E516" s="4" t="s">
        <v>2342</v>
      </c>
      <c r="F516" s="4"/>
      <c r="G516" s="4"/>
      <c r="H516" s="4"/>
      <c r="I516" s="4"/>
      <c r="J516" s="18">
        <v>0.0</v>
      </c>
      <c r="K516" s="4" t="s">
        <v>8494</v>
      </c>
      <c r="L516" s="19" t="s">
        <v>8494</v>
      </c>
      <c r="M516" s="20" t="s">
        <v>8494</v>
      </c>
    </row>
    <row r="517">
      <c r="A517" s="6"/>
      <c r="B517" s="6"/>
      <c r="C517" s="4"/>
      <c r="D517" s="4">
        <v>299.32498132252</v>
      </c>
      <c r="E517" s="4" t="s">
        <v>3785</v>
      </c>
      <c r="F517" s="4"/>
      <c r="G517" s="4"/>
      <c r="H517" s="4"/>
      <c r="I517" s="4"/>
      <c r="J517" s="18">
        <v>0.0</v>
      </c>
      <c r="K517" s="4" t="s">
        <v>8494</v>
      </c>
      <c r="L517" s="19" t="s">
        <v>8494</v>
      </c>
      <c r="M517" s="20" t="s">
        <v>8494</v>
      </c>
    </row>
    <row r="518">
      <c r="A518" s="6"/>
      <c r="B518" s="6"/>
      <c r="C518" s="4"/>
      <c r="D518" s="4">
        <v>299.32498132252</v>
      </c>
      <c r="E518" s="4" t="s">
        <v>1739</v>
      </c>
      <c r="F518" s="4"/>
      <c r="G518" s="4"/>
      <c r="H518" s="4"/>
      <c r="I518" s="4"/>
      <c r="J518" s="18">
        <v>0.0</v>
      </c>
      <c r="K518" s="4" t="s">
        <v>8494</v>
      </c>
      <c r="L518" s="19" t="s">
        <v>8494</v>
      </c>
      <c r="M518" s="20" t="s">
        <v>8494</v>
      </c>
    </row>
    <row r="519">
      <c r="A519" s="6"/>
      <c r="B519" s="6"/>
      <c r="C519" s="4"/>
      <c r="D519" s="4">
        <v>299.32498132252</v>
      </c>
      <c r="E519" s="4" t="s">
        <v>6569</v>
      </c>
      <c r="F519" s="4"/>
      <c r="G519" s="4"/>
      <c r="H519" s="4"/>
      <c r="I519" s="4"/>
      <c r="J519" s="18">
        <v>0.0</v>
      </c>
      <c r="K519" s="4" t="s">
        <v>8494</v>
      </c>
      <c r="L519" s="19" t="s">
        <v>8494</v>
      </c>
      <c r="M519" s="20" t="s">
        <v>8494</v>
      </c>
    </row>
    <row r="520">
      <c r="A520" s="6"/>
      <c r="B520" s="6"/>
      <c r="C520" s="4"/>
      <c r="D520" s="4">
        <v>299.32498132252</v>
      </c>
      <c r="E520" s="4" t="s">
        <v>5318</v>
      </c>
      <c r="F520" s="4"/>
      <c r="G520" s="4"/>
      <c r="H520" s="4"/>
      <c r="I520" s="4"/>
      <c r="J520" s="18">
        <v>0.0</v>
      </c>
      <c r="K520" s="4" t="s">
        <v>8494</v>
      </c>
      <c r="L520" s="19" t="s">
        <v>8494</v>
      </c>
      <c r="M520" s="20" t="s">
        <v>8494</v>
      </c>
    </row>
    <row r="521">
      <c r="A521" s="6"/>
      <c r="B521" s="6"/>
      <c r="C521" s="4"/>
      <c r="D521" s="4">
        <v>241.477641976188</v>
      </c>
      <c r="E521" s="4" t="s">
        <v>8412</v>
      </c>
      <c r="F521" s="4"/>
      <c r="G521" s="4"/>
      <c r="H521" s="4"/>
      <c r="I521" s="4"/>
      <c r="J521" s="18">
        <v>0.0</v>
      </c>
      <c r="K521" s="4" t="s">
        <v>8494</v>
      </c>
      <c r="L521" s="19" t="s">
        <v>8494</v>
      </c>
      <c r="M521" s="20" t="s">
        <v>8494</v>
      </c>
    </row>
    <row r="522">
      <c r="A522" s="6"/>
      <c r="B522" s="6"/>
      <c r="C522" s="4"/>
      <c r="D522" s="4">
        <v>299.32498132252</v>
      </c>
      <c r="E522" s="4" t="s">
        <v>7465</v>
      </c>
      <c r="F522" s="4"/>
      <c r="G522" s="4"/>
      <c r="H522" s="4"/>
      <c r="I522" s="4"/>
      <c r="J522" s="18">
        <v>0.0</v>
      </c>
      <c r="K522" s="4" t="s">
        <v>8494</v>
      </c>
      <c r="L522" s="19" t="s">
        <v>8494</v>
      </c>
      <c r="M522" s="20" t="s">
        <v>8494</v>
      </c>
    </row>
    <row r="523">
      <c r="A523" s="6"/>
      <c r="B523" s="6"/>
      <c r="C523" s="4"/>
      <c r="D523" s="4">
        <v>299.32498132252</v>
      </c>
      <c r="E523" s="4" t="s">
        <v>568</v>
      </c>
      <c r="F523" s="4"/>
      <c r="G523" s="4"/>
      <c r="H523" s="4"/>
      <c r="I523" s="4"/>
      <c r="J523" s="18">
        <v>0.0</v>
      </c>
      <c r="K523" s="4" t="s">
        <v>8494</v>
      </c>
      <c r="L523" s="19" t="s">
        <v>8494</v>
      </c>
      <c r="M523" s="20" t="s">
        <v>8494</v>
      </c>
    </row>
    <row r="524">
      <c r="A524" s="6"/>
      <c r="B524" s="6"/>
      <c r="C524" s="4"/>
      <c r="D524" s="4">
        <v>299.32498132252</v>
      </c>
      <c r="E524" s="4" t="s">
        <v>3365</v>
      </c>
      <c r="F524" s="4"/>
      <c r="G524" s="4"/>
      <c r="H524" s="4"/>
      <c r="I524" s="4"/>
      <c r="J524" s="18">
        <v>0.0</v>
      </c>
      <c r="K524" s="4" t="s">
        <v>8494</v>
      </c>
      <c r="L524" s="19" t="s">
        <v>8494</v>
      </c>
      <c r="M524" s="20" t="s">
        <v>8494</v>
      </c>
    </row>
    <row r="525">
      <c r="A525" s="6"/>
      <c r="B525" s="6"/>
      <c r="C525" s="4"/>
      <c r="D525" s="4">
        <v>299.32498132252</v>
      </c>
      <c r="E525" s="4" t="s">
        <v>8745</v>
      </c>
      <c r="F525" s="4"/>
      <c r="G525" s="4"/>
      <c r="H525" s="4"/>
      <c r="I525" s="4"/>
      <c r="J525" s="18">
        <v>0.0</v>
      </c>
      <c r="K525" s="4" t="s">
        <v>8494</v>
      </c>
      <c r="L525" s="19" t="s">
        <v>8494</v>
      </c>
      <c r="M525" s="20" t="s">
        <v>8494</v>
      </c>
    </row>
    <row r="526">
      <c r="A526" s="6"/>
      <c r="B526" s="6"/>
      <c r="C526" s="4"/>
      <c r="D526" s="4">
        <v>299.32498132252</v>
      </c>
      <c r="E526" s="4" t="s">
        <v>8686</v>
      </c>
      <c r="F526" s="4"/>
      <c r="G526" s="4"/>
      <c r="H526" s="4"/>
      <c r="I526" s="4"/>
      <c r="J526" s="18">
        <v>0.0</v>
      </c>
      <c r="K526" s="4" t="s">
        <v>8494</v>
      </c>
      <c r="L526" s="19" t="s">
        <v>8494</v>
      </c>
      <c r="M526" s="20" t="s">
        <v>8494</v>
      </c>
    </row>
    <row r="527">
      <c r="A527" s="6"/>
      <c r="B527" s="6"/>
      <c r="C527" s="4"/>
      <c r="D527" s="4">
        <v>299.32498132252</v>
      </c>
      <c r="E527" s="4" t="s">
        <v>1254</v>
      </c>
      <c r="F527" s="4"/>
      <c r="G527" s="4"/>
      <c r="H527" s="4"/>
      <c r="I527" s="4"/>
      <c r="J527" s="18">
        <v>0.0</v>
      </c>
      <c r="K527" s="4" t="s">
        <v>8494</v>
      </c>
      <c r="L527" s="19" t="s">
        <v>8494</v>
      </c>
      <c r="M527" s="20" t="s">
        <v>8494</v>
      </c>
    </row>
    <row r="528">
      <c r="A528" s="6"/>
      <c r="B528" s="6"/>
      <c r="C528" s="4"/>
      <c r="D528" s="4">
        <v>299.32498132252</v>
      </c>
      <c r="E528" s="4" t="s">
        <v>8377</v>
      </c>
      <c r="F528" s="4"/>
      <c r="G528" s="4"/>
      <c r="H528" s="4"/>
      <c r="I528" s="4"/>
      <c r="J528" s="18">
        <v>0.0</v>
      </c>
      <c r="K528" s="4" t="s">
        <v>8494</v>
      </c>
      <c r="L528" s="19" t="s">
        <v>8494</v>
      </c>
      <c r="M528" s="20" t="s">
        <v>8494</v>
      </c>
    </row>
    <row r="529">
      <c r="A529" s="6"/>
      <c r="B529" s="6"/>
      <c r="C529" s="4"/>
      <c r="D529" s="4">
        <v>299.32498132252</v>
      </c>
      <c r="E529" s="4" t="s">
        <v>8603</v>
      </c>
      <c r="F529" s="4"/>
      <c r="G529" s="4"/>
      <c r="H529" s="4"/>
      <c r="I529" s="4"/>
      <c r="J529" s="18">
        <v>0.0</v>
      </c>
      <c r="K529" s="4" t="s">
        <v>8494</v>
      </c>
      <c r="L529" s="19" t="s">
        <v>8494</v>
      </c>
      <c r="M529" s="20" t="s">
        <v>8494</v>
      </c>
    </row>
    <row r="530">
      <c r="A530" s="6"/>
      <c r="B530" s="6"/>
      <c r="C530" s="4"/>
      <c r="D530" s="4">
        <v>299.32498132252</v>
      </c>
      <c r="E530" s="4" t="s">
        <v>8549</v>
      </c>
      <c r="F530" s="4"/>
      <c r="G530" s="4"/>
      <c r="H530" s="4"/>
      <c r="I530" s="4"/>
      <c r="J530" s="18">
        <v>0.0</v>
      </c>
      <c r="K530" s="4" t="s">
        <v>8494</v>
      </c>
      <c r="L530" s="19" t="s">
        <v>8494</v>
      </c>
      <c r="M530" s="20" t="s">
        <v>8494</v>
      </c>
    </row>
    <row r="531">
      <c r="A531" s="6"/>
      <c r="B531" s="6"/>
      <c r="C531" s="4"/>
      <c r="D531" s="4">
        <v>299.32498132252</v>
      </c>
      <c r="E531" s="4" t="s">
        <v>4634</v>
      </c>
      <c r="F531" s="4"/>
      <c r="G531" s="4"/>
      <c r="H531" s="4"/>
      <c r="I531" s="4"/>
      <c r="J531" s="18">
        <v>0.0</v>
      </c>
      <c r="K531" s="4" t="s">
        <v>8494</v>
      </c>
      <c r="L531" s="19" t="s">
        <v>8494</v>
      </c>
      <c r="M531" s="20" t="s">
        <v>8494</v>
      </c>
    </row>
    <row r="532">
      <c r="A532" s="6"/>
      <c r="B532" s="6"/>
      <c r="C532" s="4"/>
      <c r="D532" s="4">
        <v>299.32498132252</v>
      </c>
      <c r="E532" s="4" t="s">
        <v>3105</v>
      </c>
      <c r="F532" s="4"/>
      <c r="G532" s="4"/>
      <c r="H532" s="4"/>
      <c r="I532" s="4"/>
      <c r="J532" s="18">
        <v>0.0</v>
      </c>
      <c r="K532" s="4" t="s">
        <v>8494</v>
      </c>
      <c r="L532" s="19" t="s">
        <v>8494</v>
      </c>
      <c r="M532" s="20" t="s">
        <v>8494</v>
      </c>
    </row>
    <row r="533">
      <c r="A533" s="6"/>
      <c r="B533" s="6"/>
      <c r="C533" s="4"/>
      <c r="D533" s="4">
        <v>299.32498132252</v>
      </c>
      <c r="E533" s="4" t="s">
        <v>8499</v>
      </c>
      <c r="F533" s="4"/>
      <c r="G533" s="4"/>
      <c r="H533" s="4"/>
      <c r="I533" s="4"/>
      <c r="J533" s="18">
        <v>0.0</v>
      </c>
      <c r="K533" s="4" t="s">
        <v>8494</v>
      </c>
      <c r="L533" s="19" t="s">
        <v>8494</v>
      </c>
      <c r="M533" s="20" t="s">
        <v>8494</v>
      </c>
    </row>
    <row r="534">
      <c r="A534" s="6"/>
      <c r="B534" s="6"/>
      <c r="C534" s="4"/>
      <c r="D534" s="4">
        <v>299.32498132252</v>
      </c>
      <c r="E534" s="4" t="s">
        <v>398</v>
      </c>
      <c r="F534" s="4"/>
      <c r="G534" s="4"/>
      <c r="H534" s="4"/>
      <c r="I534" s="4"/>
      <c r="J534" s="18">
        <v>0.0</v>
      </c>
      <c r="K534" s="4" t="s">
        <v>8494</v>
      </c>
      <c r="L534" s="19" t="s">
        <v>8494</v>
      </c>
      <c r="M534" s="20" t="s">
        <v>8494</v>
      </c>
    </row>
    <row r="535">
      <c r="A535" s="6"/>
      <c r="B535" s="6"/>
      <c r="C535" s="4"/>
      <c r="D535" s="4">
        <v>299.32498132252</v>
      </c>
      <c r="E535" s="4" t="s">
        <v>1667</v>
      </c>
      <c r="F535" s="4"/>
      <c r="G535" s="4"/>
      <c r="H535" s="4"/>
      <c r="I535" s="4"/>
      <c r="J535" s="18">
        <v>0.0</v>
      </c>
      <c r="K535" s="4" t="s">
        <v>8494</v>
      </c>
      <c r="L535" s="19" t="s">
        <v>8494</v>
      </c>
      <c r="M535" s="20" t="s">
        <v>8494</v>
      </c>
    </row>
    <row r="536">
      <c r="A536" s="6"/>
      <c r="B536" s="6"/>
      <c r="C536" s="4"/>
      <c r="D536" s="4">
        <v>299.32498132252</v>
      </c>
      <c r="E536" s="4" t="s">
        <v>2225</v>
      </c>
      <c r="F536" s="4"/>
      <c r="G536" s="4"/>
      <c r="H536" s="4"/>
      <c r="I536" s="4"/>
      <c r="J536" s="18">
        <v>0.0</v>
      </c>
      <c r="K536" s="4" t="s">
        <v>8494</v>
      </c>
      <c r="L536" s="19" t="s">
        <v>8494</v>
      </c>
      <c r="M536" s="20" t="s">
        <v>8494</v>
      </c>
    </row>
    <row r="537">
      <c r="A537" s="6"/>
      <c r="B537" s="6"/>
      <c r="C537" s="4"/>
      <c r="D537" s="4">
        <v>299.32498132252</v>
      </c>
      <c r="E537" s="4" t="s">
        <v>645</v>
      </c>
      <c r="F537" s="4"/>
      <c r="G537" s="4"/>
      <c r="H537" s="4"/>
      <c r="I537" s="4"/>
      <c r="J537" s="18">
        <v>0.0</v>
      </c>
      <c r="K537" s="4" t="s">
        <v>8494</v>
      </c>
      <c r="L537" s="19" t="s">
        <v>8494</v>
      </c>
      <c r="M537" s="20" t="s">
        <v>8494</v>
      </c>
    </row>
    <row r="538">
      <c r="A538" s="6"/>
      <c r="B538" s="6"/>
      <c r="C538" s="4"/>
      <c r="D538" s="4">
        <v>299.32498132252</v>
      </c>
      <c r="E538" s="4" t="s">
        <v>8044</v>
      </c>
      <c r="F538" s="4"/>
      <c r="G538" s="4"/>
      <c r="H538" s="4"/>
      <c r="I538" s="4"/>
      <c r="J538" s="18">
        <v>0.0</v>
      </c>
      <c r="K538" s="4" t="s">
        <v>8494</v>
      </c>
      <c r="L538" s="19" t="s">
        <v>8494</v>
      </c>
      <c r="M538" s="20" t="s">
        <v>8494</v>
      </c>
    </row>
    <row r="539">
      <c r="A539" s="6"/>
      <c r="B539" s="6"/>
      <c r="C539" s="4"/>
      <c r="D539" s="4">
        <v>299.32498132252</v>
      </c>
      <c r="E539" s="4" t="s">
        <v>8678</v>
      </c>
      <c r="F539" s="4"/>
      <c r="G539" s="4"/>
      <c r="H539" s="4"/>
      <c r="I539" s="4"/>
      <c r="J539" s="18">
        <v>0.0</v>
      </c>
      <c r="K539" s="4" t="s">
        <v>8494</v>
      </c>
      <c r="L539" s="19" t="s">
        <v>8494</v>
      </c>
      <c r="M539" s="20" t="s">
        <v>8494</v>
      </c>
    </row>
    <row r="540">
      <c r="A540" s="6"/>
      <c r="B540" s="6"/>
      <c r="C540" s="4"/>
      <c r="D540" s="4">
        <v>299.32498132252</v>
      </c>
      <c r="E540" s="4" t="s">
        <v>7910</v>
      </c>
      <c r="F540" s="4"/>
      <c r="G540" s="4"/>
      <c r="H540" s="4"/>
      <c r="I540" s="4"/>
      <c r="J540" s="18">
        <v>0.0</v>
      </c>
      <c r="K540" s="4" t="s">
        <v>8494</v>
      </c>
      <c r="L540" s="19" t="s">
        <v>8494</v>
      </c>
      <c r="M540" s="20" t="s">
        <v>8494</v>
      </c>
    </row>
    <row r="541">
      <c r="A541" s="6"/>
      <c r="B541" s="6"/>
      <c r="C541" s="4"/>
      <c r="D541" s="4">
        <v>299.32498132252</v>
      </c>
      <c r="E541" s="4" t="s">
        <v>8634</v>
      </c>
      <c r="F541" s="4"/>
      <c r="G541" s="4"/>
      <c r="H541" s="4"/>
      <c r="I541" s="4"/>
      <c r="J541" s="18">
        <v>0.0</v>
      </c>
      <c r="K541" s="4" t="s">
        <v>8494</v>
      </c>
      <c r="L541" s="19" t="s">
        <v>8494</v>
      </c>
      <c r="M541" s="20" t="s">
        <v>8494</v>
      </c>
    </row>
    <row r="542">
      <c r="A542" s="6"/>
      <c r="B542" s="6"/>
      <c r="C542" s="4"/>
      <c r="D542" s="4">
        <v>15.6824756519314</v>
      </c>
      <c r="E542" s="4" t="s">
        <v>8547</v>
      </c>
      <c r="F542" s="4"/>
      <c r="G542" s="4"/>
      <c r="H542" s="4"/>
      <c r="I542" s="4"/>
      <c r="J542" s="18">
        <v>0.0</v>
      </c>
      <c r="K542" s="4" t="s">
        <v>8494</v>
      </c>
      <c r="L542" s="19" t="s">
        <v>8494</v>
      </c>
      <c r="M542" s="20" t="s">
        <v>8494</v>
      </c>
    </row>
    <row r="543">
      <c r="A543" s="6"/>
      <c r="B543" s="6"/>
      <c r="C543" s="4"/>
      <c r="D543" s="4">
        <v>299.32498132252</v>
      </c>
      <c r="E543" s="4" t="s">
        <v>861</v>
      </c>
      <c r="F543" s="4"/>
      <c r="G543" s="4"/>
      <c r="H543" s="4"/>
      <c r="I543" s="4"/>
      <c r="J543" s="18">
        <v>0.0</v>
      </c>
      <c r="K543" s="4" t="s">
        <v>8494</v>
      </c>
      <c r="L543" s="19" t="s">
        <v>8494</v>
      </c>
      <c r="M543" s="20" t="s">
        <v>8494</v>
      </c>
    </row>
    <row r="544">
      <c r="A544" s="6"/>
      <c r="B544" s="6"/>
      <c r="C544" s="4"/>
      <c r="D544" s="4">
        <v>299.32498132252</v>
      </c>
      <c r="E544" s="4" t="s">
        <v>8624</v>
      </c>
      <c r="F544" s="4"/>
      <c r="G544" s="4"/>
      <c r="H544" s="4"/>
      <c r="I544" s="4"/>
      <c r="J544" s="18">
        <v>0.0</v>
      </c>
      <c r="K544" s="4" t="s">
        <v>8494</v>
      </c>
      <c r="L544" s="19" t="s">
        <v>8494</v>
      </c>
      <c r="M544" s="20" t="s">
        <v>8494</v>
      </c>
    </row>
    <row r="545">
      <c r="A545" s="6"/>
      <c r="B545" s="6"/>
      <c r="C545" s="4"/>
      <c r="D545" s="4">
        <v>299.32498132252</v>
      </c>
      <c r="E545" s="4" t="s">
        <v>5032</v>
      </c>
      <c r="F545" s="4"/>
      <c r="G545" s="4"/>
      <c r="H545" s="4"/>
      <c r="I545" s="4"/>
      <c r="J545" s="18">
        <v>0.0</v>
      </c>
      <c r="K545" s="4" t="s">
        <v>8494</v>
      </c>
      <c r="L545" s="19" t="s">
        <v>8494</v>
      </c>
      <c r="M545" s="20" t="s">
        <v>8494</v>
      </c>
    </row>
    <row r="546">
      <c r="A546" s="6"/>
      <c r="B546" s="6"/>
      <c r="C546" s="4"/>
      <c r="D546" s="4">
        <v>299.32498132252</v>
      </c>
      <c r="E546" s="4" t="s">
        <v>291</v>
      </c>
      <c r="F546" s="4"/>
      <c r="G546" s="4"/>
      <c r="H546" s="4"/>
      <c r="I546" s="4"/>
      <c r="J546" s="18">
        <v>0.0</v>
      </c>
      <c r="K546" s="4" t="s">
        <v>8494</v>
      </c>
      <c r="L546" s="19" t="s">
        <v>8494</v>
      </c>
      <c r="M546" s="20" t="s">
        <v>8494</v>
      </c>
    </row>
    <row r="547">
      <c r="A547" s="6"/>
      <c r="B547" s="6"/>
      <c r="C547" s="4"/>
      <c r="D547" s="4">
        <v>299.32498132252</v>
      </c>
      <c r="E547" s="4" t="s">
        <v>7180</v>
      </c>
      <c r="F547" s="4"/>
      <c r="G547" s="4"/>
      <c r="H547" s="4"/>
      <c r="I547" s="4"/>
      <c r="J547" s="18">
        <v>0.0</v>
      </c>
      <c r="K547" s="4" t="s">
        <v>8494</v>
      </c>
      <c r="L547" s="19" t="s">
        <v>8494</v>
      </c>
      <c r="M547" s="20" t="s">
        <v>8494</v>
      </c>
    </row>
    <row r="548">
      <c r="A548" s="6"/>
      <c r="B548" s="6"/>
      <c r="C548" s="4"/>
      <c r="D548" s="4">
        <v>299.32498132252</v>
      </c>
      <c r="E548" s="4" t="s">
        <v>5717</v>
      </c>
      <c r="F548" s="4"/>
      <c r="G548" s="4"/>
      <c r="H548" s="4"/>
      <c r="I548" s="4"/>
      <c r="J548" s="18">
        <v>0.0</v>
      </c>
      <c r="K548" s="4" t="s">
        <v>8494</v>
      </c>
      <c r="L548" s="19" t="s">
        <v>8494</v>
      </c>
      <c r="M548" s="20" t="s">
        <v>8494</v>
      </c>
    </row>
    <row r="549">
      <c r="A549" s="6"/>
      <c r="B549" s="6"/>
      <c r="C549" s="4"/>
      <c r="D549" s="4">
        <v>299.32498132252</v>
      </c>
      <c r="E549" s="4" t="s">
        <v>8531</v>
      </c>
      <c r="F549" s="4"/>
      <c r="G549" s="4"/>
      <c r="H549" s="4"/>
      <c r="I549" s="4"/>
      <c r="J549" s="18">
        <v>0.0</v>
      </c>
      <c r="K549" s="4" t="s">
        <v>8494</v>
      </c>
      <c r="L549" s="19" t="s">
        <v>8494</v>
      </c>
      <c r="M549" s="20" t="s">
        <v>8494</v>
      </c>
    </row>
    <row r="550">
      <c r="A550" s="6"/>
      <c r="B550" s="6"/>
      <c r="C550" s="4"/>
      <c r="D550" s="4">
        <v>143.369882827271</v>
      </c>
      <c r="E550" s="4" t="s">
        <v>1884</v>
      </c>
      <c r="F550" s="4"/>
      <c r="G550" s="4"/>
      <c r="H550" s="4"/>
      <c r="I550" s="4"/>
      <c r="J550" s="18">
        <v>0.0</v>
      </c>
      <c r="K550" s="4" t="s">
        <v>8494</v>
      </c>
      <c r="L550" s="19" t="s">
        <v>8494</v>
      </c>
      <c r="M550" s="20" t="s">
        <v>8494</v>
      </c>
    </row>
    <row r="551">
      <c r="A551" s="6"/>
      <c r="B551" s="6"/>
      <c r="C551" s="4"/>
      <c r="D551" s="4">
        <v>299.32498132252</v>
      </c>
      <c r="E551" s="4" t="s">
        <v>8623</v>
      </c>
      <c r="F551" s="4"/>
      <c r="G551" s="4"/>
      <c r="H551" s="4"/>
      <c r="I551" s="4"/>
      <c r="J551" s="18">
        <v>0.0</v>
      </c>
      <c r="K551" s="4" t="s">
        <v>8494</v>
      </c>
      <c r="L551" s="19" t="s">
        <v>8494</v>
      </c>
      <c r="M551" s="20" t="s">
        <v>8494</v>
      </c>
    </row>
    <row r="552">
      <c r="A552" s="6"/>
      <c r="B552" s="6"/>
      <c r="C552" s="4"/>
      <c r="D552" s="4">
        <v>299.32498132252</v>
      </c>
      <c r="E552" s="4" t="s">
        <v>8703</v>
      </c>
      <c r="F552" s="4"/>
      <c r="G552" s="4"/>
      <c r="H552" s="4"/>
      <c r="I552" s="4"/>
      <c r="J552" s="18">
        <v>0.0</v>
      </c>
      <c r="K552" s="4" t="s">
        <v>8494</v>
      </c>
      <c r="L552" s="19" t="s">
        <v>8494</v>
      </c>
      <c r="M552" s="20" t="s">
        <v>8494</v>
      </c>
    </row>
    <row r="553">
      <c r="A553" s="6"/>
      <c r="B553" s="6"/>
      <c r="C553" s="4"/>
      <c r="D553" s="4">
        <v>299.32498132252</v>
      </c>
      <c r="E553" s="4" t="s">
        <v>6764</v>
      </c>
      <c r="F553" s="4"/>
      <c r="G553" s="4"/>
      <c r="H553" s="4"/>
      <c r="I553" s="4"/>
      <c r="J553" s="18">
        <v>0.0</v>
      </c>
      <c r="K553" s="4" t="s">
        <v>8494</v>
      </c>
      <c r="L553" s="19" t="s">
        <v>8494</v>
      </c>
      <c r="M553" s="20" t="s">
        <v>8494</v>
      </c>
    </row>
    <row r="554">
      <c r="A554" s="6"/>
      <c r="B554" s="6"/>
      <c r="C554" s="4"/>
      <c r="D554" s="4">
        <v>299.32498132252</v>
      </c>
      <c r="E554" s="4" t="s">
        <v>8501</v>
      </c>
      <c r="F554" s="4"/>
      <c r="G554" s="4"/>
      <c r="H554" s="4"/>
      <c r="I554" s="4"/>
      <c r="J554" s="18">
        <v>0.0</v>
      </c>
      <c r="K554" s="4" t="s">
        <v>8494</v>
      </c>
      <c r="L554" s="19" t="s">
        <v>8494</v>
      </c>
      <c r="M554" s="20" t="s">
        <v>8494</v>
      </c>
    </row>
    <row r="555">
      <c r="A555" s="6"/>
      <c r="B555" s="6"/>
      <c r="C555" s="4"/>
      <c r="D555" s="4">
        <v>299.32498132252</v>
      </c>
      <c r="E555" s="4" t="s">
        <v>5900</v>
      </c>
      <c r="F555" s="4"/>
      <c r="G555" s="4"/>
      <c r="H555" s="4"/>
      <c r="I555" s="4"/>
      <c r="J555" s="18">
        <v>0.0</v>
      </c>
      <c r="K555" s="4" t="s">
        <v>8494</v>
      </c>
      <c r="L555" s="19" t="s">
        <v>8494</v>
      </c>
      <c r="M555" s="20" t="s">
        <v>8494</v>
      </c>
    </row>
    <row r="556">
      <c r="A556" s="6"/>
      <c r="B556" s="6"/>
      <c r="C556" s="4"/>
      <c r="D556" s="4">
        <v>299.32498132252</v>
      </c>
      <c r="E556" s="4" t="s">
        <v>2669</v>
      </c>
      <c r="F556" s="4"/>
      <c r="G556" s="4"/>
      <c r="H556" s="4"/>
      <c r="I556" s="4"/>
      <c r="J556" s="18">
        <v>0.0</v>
      </c>
      <c r="K556" s="4" t="s">
        <v>8494</v>
      </c>
      <c r="L556" s="19" t="s">
        <v>8494</v>
      </c>
      <c r="M556" s="20" t="s">
        <v>8494</v>
      </c>
    </row>
    <row r="557">
      <c r="A557" s="6"/>
      <c r="B557" s="6"/>
      <c r="C557" s="4"/>
      <c r="D557" s="4">
        <v>299.32498132252</v>
      </c>
      <c r="E557" s="4" t="s">
        <v>856</v>
      </c>
      <c r="F557" s="4"/>
      <c r="G557" s="4"/>
      <c r="H557" s="4"/>
      <c r="I557" s="4"/>
      <c r="J557" s="18">
        <v>0.0</v>
      </c>
      <c r="K557" s="4" t="s">
        <v>8494</v>
      </c>
      <c r="L557" s="19" t="s">
        <v>8494</v>
      </c>
      <c r="M557" s="20" t="s">
        <v>8494</v>
      </c>
    </row>
    <row r="558">
      <c r="A558" s="6"/>
      <c r="B558" s="6"/>
      <c r="C558" s="4"/>
      <c r="D558" s="4">
        <v>299.32498132252</v>
      </c>
      <c r="E558" s="4" t="s">
        <v>8716</v>
      </c>
      <c r="F558" s="4"/>
      <c r="G558" s="4"/>
      <c r="H558" s="4"/>
      <c r="I558" s="4"/>
      <c r="J558" s="18">
        <v>0.0</v>
      </c>
      <c r="K558" s="4" t="s">
        <v>8494</v>
      </c>
      <c r="L558" s="19" t="s">
        <v>8494</v>
      </c>
      <c r="M558" s="20" t="s">
        <v>8494</v>
      </c>
    </row>
    <row r="559">
      <c r="A559" s="6"/>
      <c r="B559" s="6"/>
      <c r="C559" s="4"/>
      <c r="D559" s="4">
        <v>299.32498132252</v>
      </c>
      <c r="E559" s="4" t="s">
        <v>8615</v>
      </c>
      <c r="F559" s="4"/>
      <c r="G559" s="4"/>
      <c r="H559" s="4"/>
      <c r="I559" s="4"/>
      <c r="J559" s="18">
        <v>0.0</v>
      </c>
      <c r="K559" s="4" t="s">
        <v>8494</v>
      </c>
      <c r="L559" s="19" t="s">
        <v>8494</v>
      </c>
      <c r="M559" s="20" t="s">
        <v>8494</v>
      </c>
    </row>
    <row r="560">
      <c r="A560" s="6"/>
      <c r="B560" s="6"/>
      <c r="C560" s="4"/>
      <c r="D560" s="4">
        <v>299.32498132252</v>
      </c>
      <c r="E560" s="4" t="s">
        <v>3315</v>
      </c>
      <c r="F560" s="4"/>
      <c r="G560" s="4"/>
      <c r="H560" s="4"/>
      <c r="I560" s="4"/>
      <c r="J560" s="18">
        <v>0.0</v>
      </c>
      <c r="K560" s="4" t="s">
        <v>8494</v>
      </c>
      <c r="L560" s="19" t="s">
        <v>8494</v>
      </c>
      <c r="M560" s="20" t="s">
        <v>8494</v>
      </c>
    </row>
    <row r="561">
      <c r="A561" s="6"/>
      <c r="B561" s="6"/>
      <c r="C561" s="4"/>
      <c r="D561" s="4">
        <v>299.32498132252</v>
      </c>
      <c r="E561" s="4" t="s">
        <v>1507</v>
      </c>
      <c r="F561" s="4"/>
      <c r="G561" s="4"/>
      <c r="H561" s="4"/>
      <c r="I561" s="4"/>
      <c r="J561" s="18">
        <v>0.0</v>
      </c>
      <c r="K561" s="4" t="s">
        <v>8494</v>
      </c>
      <c r="L561" s="19" t="s">
        <v>8494</v>
      </c>
      <c r="M561" s="20" t="s">
        <v>8494</v>
      </c>
    </row>
    <row r="562">
      <c r="A562" s="6"/>
      <c r="B562" s="6"/>
      <c r="C562" s="4"/>
      <c r="D562" s="4">
        <v>299.32498132252</v>
      </c>
      <c r="E562" s="4" t="s">
        <v>131</v>
      </c>
      <c r="F562" s="4"/>
      <c r="G562" s="4"/>
      <c r="H562" s="4"/>
      <c r="I562" s="4"/>
      <c r="J562" s="18">
        <v>0.0</v>
      </c>
      <c r="K562" s="4" t="s">
        <v>8494</v>
      </c>
      <c r="L562" s="19" t="s">
        <v>8494</v>
      </c>
      <c r="M562" s="20" t="s">
        <v>8494</v>
      </c>
    </row>
    <row r="563">
      <c r="A563" s="6"/>
      <c r="B563" s="6"/>
      <c r="C563" s="4"/>
      <c r="D563" s="4">
        <v>299.32498132252</v>
      </c>
      <c r="E563" s="4" t="s">
        <v>817</v>
      </c>
      <c r="F563" s="4"/>
      <c r="G563" s="4"/>
      <c r="H563" s="4"/>
      <c r="I563" s="4"/>
      <c r="J563" s="18">
        <v>0.0</v>
      </c>
      <c r="K563" s="4" t="s">
        <v>8494</v>
      </c>
      <c r="L563" s="19" t="s">
        <v>8494</v>
      </c>
      <c r="M563" s="20" t="s">
        <v>8494</v>
      </c>
    </row>
    <row r="564">
      <c r="A564" s="6"/>
      <c r="B564" s="6"/>
      <c r="C564" s="4"/>
      <c r="D564" s="4">
        <v>299.32498132252</v>
      </c>
      <c r="E564" s="4" t="s">
        <v>1848</v>
      </c>
      <c r="F564" s="4"/>
      <c r="G564" s="4"/>
      <c r="H564" s="4"/>
      <c r="I564" s="4"/>
      <c r="J564" s="18">
        <v>0.0</v>
      </c>
      <c r="K564" s="4" t="s">
        <v>8494</v>
      </c>
      <c r="L564" s="19" t="s">
        <v>8494</v>
      </c>
      <c r="M564" s="20" t="s">
        <v>8494</v>
      </c>
    </row>
    <row r="565">
      <c r="A565" s="6"/>
      <c r="B565" s="6"/>
      <c r="C565" s="4"/>
      <c r="D565" s="4">
        <v>299.32498132252</v>
      </c>
      <c r="E565" s="4" t="s">
        <v>6946</v>
      </c>
      <c r="F565" s="4"/>
      <c r="G565" s="4"/>
      <c r="H565" s="4"/>
      <c r="I565" s="4"/>
      <c r="J565" s="18">
        <v>0.0</v>
      </c>
      <c r="K565" s="4" t="s">
        <v>8494</v>
      </c>
      <c r="L565" s="19" t="s">
        <v>8494</v>
      </c>
      <c r="M565" s="20" t="s">
        <v>8494</v>
      </c>
    </row>
    <row r="566">
      <c r="A566" s="6"/>
      <c r="B566" s="6"/>
      <c r="C566" s="4"/>
      <c r="D566" s="4">
        <v>299.32498132252</v>
      </c>
      <c r="E566" s="4" t="s">
        <v>3213</v>
      </c>
      <c r="F566" s="4"/>
      <c r="G566" s="4"/>
      <c r="H566" s="4"/>
      <c r="I566" s="4"/>
      <c r="J566" s="18">
        <v>0.0</v>
      </c>
      <c r="K566" s="4" t="s">
        <v>8494</v>
      </c>
      <c r="L566" s="19" t="s">
        <v>8494</v>
      </c>
      <c r="M566" s="20" t="s">
        <v>8494</v>
      </c>
    </row>
    <row r="567">
      <c r="A567" s="6"/>
      <c r="B567" s="6"/>
      <c r="C567" s="4"/>
      <c r="D567" s="4">
        <v>299.32498132252</v>
      </c>
      <c r="E567" s="4" t="s">
        <v>4277</v>
      </c>
      <c r="F567" s="4"/>
      <c r="G567" s="4"/>
      <c r="H567" s="4"/>
      <c r="I567" s="4"/>
      <c r="J567" s="18">
        <v>0.0</v>
      </c>
      <c r="K567" s="4" t="s">
        <v>8494</v>
      </c>
      <c r="L567" s="19" t="s">
        <v>8494</v>
      </c>
      <c r="M567" s="20" t="s">
        <v>8494</v>
      </c>
    </row>
    <row r="568">
      <c r="A568" s="6"/>
      <c r="B568" s="6"/>
      <c r="C568" s="4"/>
      <c r="D568" s="4">
        <v>299.32498132252</v>
      </c>
      <c r="E568" s="4" t="s">
        <v>1482</v>
      </c>
      <c r="F568" s="4"/>
      <c r="G568" s="4"/>
      <c r="H568" s="4"/>
      <c r="I568" s="4"/>
      <c r="J568" s="18">
        <v>0.0</v>
      </c>
      <c r="K568" s="4" t="s">
        <v>8494</v>
      </c>
      <c r="L568" s="19" t="s">
        <v>8494</v>
      </c>
      <c r="M568" s="20" t="s">
        <v>8494</v>
      </c>
    </row>
    <row r="569">
      <c r="A569" s="6"/>
      <c r="B569" s="6"/>
      <c r="C569" s="4"/>
      <c r="D569" s="4">
        <v>247.684136587502</v>
      </c>
      <c r="E569" s="4" t="s">
        <v>8558</v>
      </c>
      <c r="F569" s="4"/>
      <c r="G569" s="4"/>
      <c r="H569" s="4"/>
      <c r="I569" s="4"/>
      <c r="J569" s="18">
        <v>0.0</v>
      </c>
      <c r="K569" s="4" t="s">
        <v>8494</v>
      </c>
      <c r="L569" s="19" t="s">
        <v>8494</v>
      </c>
      <c r="M569" s="20" t="s">
        <v>8494</v>
      </c>
    </row>
    <row r="570">
      <c r="A570" s="6"/>
      <c r="B570" s="6"/>
      <c r="C570" s="4"/>
      <c r="D570" s="4">
        <v>299.32498132252</v>
      </c>
      <c r="E570" s="4" t="s">
        <v>1440</v>
      </c>
      <c r="F570" s="4"/>
      <c r="G570" s="4"/>
      <c r="H570" s="4"/>
      <c r="I570" s="4"/>
      <c r="J570" s="18">
        <v>0.0</v>
      </c>
      <c r="K570" s="4" t="s">
        <v>8494</v>
      </c>
      <c r="L570" s="19" t="s">
        <v>8494</v>
      </c>
      <c r="M570" s="20" t="s">
        <v>8494</v>
      </c>
    </row>
    <row r="571">
      <c r="A571" s="6"/>
      <c r="B571" s="6"/>
      <c r="C571" s="4"/>
      <c r="D571" s="4">
        <v>299.32498132252</v>
      </c>
      <c r="E571" s="4" t="s">
        <v>2368</v>
      </c>
      <c r="F571" s="4"/>
      <c r="G571" s="4"/>
      <c r="H571" s="4"/>
      <c r="I571" s="4"/>
      <c r="J571" s="18">
        <v>0.0</v>
      </c>
      <c r="K571" s="4" t="s">
        <v>8494</v>
      </c>
      <c r="L571" s="19" t="s">
        <v>8494</v>
      </c>
      <c r="M571" s="20" t="s">
        <v>8494</v>
      </c>
    </row>
    <row r="572">
      <c r="A572" s="6"/>
      <c r="B572" s="6"/>
      <c r="C572" s="4"/>
      <c r="D572" s="4">
        <v>61.620717796817104</v>
      </c>
      <c r="E572" s="4" t="s">
        <v>8632</v>
      </c>
      <c r="F572" s="4"/>
      <c r="G572" s="4"/>
      <c r="H572" s="4"/>
      <c r="I572" s="4"/>
      <c r="J572" s="18">
        <v>0.0</v>
      </c>
      <c r="K572" s="4" t="s">
        <v>8494</v>
      </c>
      <c r="L572" s="19" t="s">
        <v>8494</v>
      </c>
      <c r="M572" s="20" t="s">
        <v>8494</v>
      </c>
    </row>
    <row r="573">
      <c r="A573" s="6"/>
      <c r="B573" s="6"/>
      <c r="C573" s="4"/>
      <c r="D573" s="4">
        <v>299.32498132252</v>
      </c>
      <c r="E573" s="4" t="s">
        <v>3335</v>
      </c>
      <c r="F573" s="4"/>
      <c r="G573" s="4"/>
      <c r="H573" s="4"/>
      <c r="I573" s="4"/>
      <c r="J573" s="18">
        <v>0.0</v>
      </c>
      <c r="K573" s="4" t="s">
        <v>8494</v>
      </c>
      <c r="L573" s="19" t="s">
        <v>8494</v>
      </c>
      <c r="M573" s="20" t="s">
        <v>8494</v>
      </c>
    </row>
    <row r="574">
      <c r="A574" s="6"/>
      <c r="B574" s="6"/>
      <c r="C574" s="4"/>
      <c r="D574" s="4">
        <v>299.32498132252</v>
      </c>
      <c r="E574" s="4" t="s">
        <v>8537</v>
      </c>
      <c r="F574" s="4"/>
      <c r="G574" s="4"/>
      <c r="H574" s="4"/>
      <c r="I574" s="4"/>
      <c r="J574" s="18">
        <v>0.0</v>
      </c>
      <c r="K574" s="4" t="s">
        <v>8494</v>
      </c>
      <c r="L574" s="19" t="s">
        <v>8494</v>
      </c>
      <c r="M574" s="20" t="s">
        <v>8494</v>
      </c>
    </row>
    <row r="575">
      <c r="A575" s="6"/>
      <c r="B575" s="6"/>
      <c r="C575" s="4"/>
      <c r="D575" s="4">
        <v>299.32498132252</v>
      </c>
      <c r="E575" s="4" t="s">
        <v>8708</v>
      </c>
      <c r="F575" s="4"/>
      <c r="G575" s="4"/>
      <c r="H575" s="4"/>
      <c r="I575" s="4"/>
      <c r="J575" s="18">
        <v>0.0</v>
      </c>
      <c r="K575" s="4" t="s">
        <v>8494</v>
      </c>
      <c r="L575" s="19" t="s">
        <v>8494</v>
      </c>
      <c r="M575" s="20" t="s">
        <v>8494</v>
      </c>
    </row>
    <row r="576">
      <c r="A576" s="6"/>
      <c r="B576" s="6"/>
      <c r="C576" s="4"/>
      <c r="D576" s="4">
        <v>299.32498132252</v>
      </c>
      <c r="E576" s="4" t="s">
        <v>8522</v>
      </c>
      <c r="F576" s="4"/>
      <c r="G576" s="4"/>
      <c r="H576" s="4"/>
      <c r="I576" s="4"/>
      <c r="J576" s="18">
        <v>0.0</v>
      </c>
      <c r="K576" s="4" t="s">
        <v>8494</v>
      </c>
      <c r="L576" s="19" t="s">
        <v>8494</v>
      </c>
      <c r="M576" s="20" t="s">
        <v>8494</v>
      </c>
    </row>
    <row r="577">
      <c r="A577" s="6"/>
      <c r="B577" s="6"/>
      <c r="C577" s="4"/>
      <c r="D577" s="4">
        <v>299.32498132252</v>
      </c>
      <c r="E577" s="4" t="s">
        <v>3489</v>
      </c>
      <c r="F577" s="4"/>
      <c r="G577" s="4"/>
      <c r="H577" s="4"/>
      <c r="I577" s="4"/>
      <c r="J577" s="18">
        <v>0.0</v>
      </c>
      <c r="K577" s="4" t="s">
        <v>8494</v>
      </c>
      <c r="L577" s="19" t="s">
        <v>8494</v>
      </c>
      <c r="M577" s="20" t="s">
        <v>8494</v>
      </c>
    </row>
    <row r="578">
      <c r="A578" s="6"/>
      <c r="B578" s="6"/>
      <c r="C578" s="4"/>
      <c r="D578" s="4">
        <v>299.32498132252</v>
      </c>
      <c r="E578" s="4" t="s">
        <v>8715</v>
      </c>
      <c r="F578" s="4"/>
      <c r="G578" s="4"/>
      <c r="H578" s="4"/>
      <c r="I578" s="4"/>
      <c r="J578" s="18">
        <v>0.0</v>
      </c>
      <c r="K578" s="4" t="s">
        <v>8494</v>
      </c>
      <c r="L578" s="19" t="s">
        <v>8494</v>
      </c>
      <c r="M578" s="20" t="s">
        <v>8494</v>
      </c>
    </row>
    <row r="579">
      <c r="A579" s="6"/>
      <c r="B579" s="6"/>
      <c r="C579" s="4"/>
      <c r="D579" s="4">
        <v>299.32498132252</v>
      </c>
      <c r="E579" s="4" t="s">
        <v>8750</v>
      </c>
      <c r="F579" s="4"/>
      <c r="G579" s="4"/>
      <c r="H579" s="4"/>
      <c r="I579" s="4"/>
      <c r="J579" s="18">
        <v>0.0</v>
      </c>
      <c r="K579" s="4" t="s">
        <v>8494</v>
      </c>
      <c r="L579" s="19" t="s">
        <v>8494</v>
      </c>
      <c r="M579" s="20" t="s">
        <v>8494</v>
      </c>
    </row>
    <row r="580">
      <c r="A580" s="6"/>
      <c r="B580" s="6"/>
      <c r="C580" s="4"/>
      <c r="D580" s="4">
        <v>299.32498132252</v>
      </c>
      <c r="E580" s="4" t="s">
        <v>1050</v>
      </c>
      <c r="F580" s="4"/>
      <c r="G580" s="4"/>
      <c r="H580" s="4"/>
      <c r="I580" s="4"/>
      <c r="J580" s="18">
        <v>0.0</v>
      </c>
      <c r="K580" s="4" t="s">
        <v>8494</v>
      </c>
      <c r="L580" s="19" t="s">
        <v>8494</v>
      </c>
      <c r="M580" s="20" t="s">
        <v>8494</v>
      </c>
    </row>
    <row r="581">
      <c r="A581" s="6"/>
      <c r="B581" s="6"/>
      <c r="C581" s="4"/>
      <c r="D581" s="4">
        <v>299.32498132252</v>
      </c>
      <c r="E581" s="4" t="s">
        <v>6617</v>
      </c>
      <c r="F581" s="4"/>
      <c r="G581" s="4"/>
      <c r="H581" s="4"/>
      <c r="I581" s="4"/>
      <c r="J581" s="18">
        <v>0.0</v>
      </c>
      <c r="K581" s="4" t="s">
        <v>8494</v>
      </c>
      <c r="L581" s="19" t="s">
        <v>8494</v>
      </c>
      <c r="M581" s="20" t="s">
        <v>8494</v>
      </c>
    </row>
    <row r="582">
      <c r="A582" s="6"/>
      <c r="B582" s="6"/>
      <c r="C582" s="4"/>
      <c r="D582" s="4">
        <v>299.32498132252</v>
      </c>
      <c r="E582" s="4" t="s">
        <v>4364</v>
      </c>
      <c r="F582" s="4"/>
      <c r="G582" s="4"/>
      <c r="H582" s="4"/>
      <c r="I582" s="4"/>
      <c r="J582" s="18">
        <v>0.0</v>
      </c>
      <c r="K582" s="4" t="s">
        <v>8494</v>
      </c>
      <c r="L582" s="19" t="s">
        <v>8494</v>
      </c>
      <c r="M582" s="20" t="s">
        <v>8494</v>
      </c>
    </row>
    <row r="583">
      <c r="A583" s="6"/>
      <c r="B583" s="6"/>
      <c r="C583" s="4"/>
      <c r="D583" s="4">
        <v>299.32498132252</v>
      </c>
      <c r="E583" s="4" t="s">
        <v>8675</v>
      </c>
      <c r="F583" s="4"/>
      <c r="G583" s="4"/>
      <c r="H583" s="4"/>
      <c r="I583" s="4"/>
      <c r="J583" s="18">
        <v>0.0</v>
      </c>
      <c r="K583" s="4" t="s">
        <v>8494</v>
      </c>
      <c r="L583" s="19" t="s">
        <v>8494</v>
      </c>
      <c r="M583" s="20" t="s">
        <v>8494</v>
      </c>
    </row>
    <row r="584">
      <c r="A584" s="6"/>
      <c r="B584" s="6"/>
      <c r="C584" s="4"/>
      <c r="D584" s="4">
        <v>299.32498132252</v>
      </c>
      <c r="E584" s="4" t="s">
        <v>8578</v>
      </c>
      <c r="F584" s="4"/>
      <c r="G584" s="4"/>
      <c r="H584" s="4"/>
      <c r="I584" s="4"/>
      <c r="J584" s="18">
        <v>0.0</v>
      </c>
      <c r="K584" s="4" t="s">
        <v>8494</v>
      </c>
      <c r="L584" s="19" t="s">
        <v>8494</v>
      </c>
      <c r="M584" s="20" t="s">
        <v>8494</v>
      </c>
    </row>
    <row r="585">
      <c r="A585" s="6"/>
      <c r="B585" s="6"/>
      <c r="C585" s="4"/>
      <c r="D585" s="4">
        <v>299.32498132252</v>
      </c>
      <c r="E585" s="4" t="s">
        <v>8539</v>
      </c>
      <c r="F585" s="4"/>
      <c r="G585" s="4"/>
      <c r="H585" s="4"/>
      <c r="I585" s="4"/>
      <c r="J585" s="18">
        <v>0.0</v>
      </c>
      <c r="K585" s="4" t="s">
        <v>8494</v>
      </c>
      <c r="L585" s="19" t="s">
        <v>8494</v>
      </c>
      <c r="M585" s="20" t="s">
        <v>8494</v>
      </c>
    </row>
    <row r="586">
      <c r="A586" s="6"/>
      <c r="B586" s="6"/>
      <c r="C586" s="4"/>
      <c r="D586" s="4">
        <v>299.32498132252</v>
      </c>
      <c r="E586" s="4" t="s">
        <v>7589</v>
      </c>
      <c r="F586" s="4"/>
      <c r="G586" s="4"/>
      <c r="H586" s="4"/>
      <c r="I586" s="4"/>
      <c r="J586" s="18">
        <v>0.0</v>
      </c>
      <c r="K586" s="4" t="s">
        <v>8494</v>
      </c>
      <c r="L586" s="19" t="s">
        <v>8494</v>
      </c>
      <c r="M586" s="20" t="s">
        <v>8494</v>
      </c>
    </row>
    <row r="587">
      <c r="A587" s="6"/>
      <c r="B587" s="6"/>
      <c r="C587" s="4"/>
      <c r="D587" s="4">
        <v>299.32498132252</v>
      </c>
      <c r="E587" s="4" t="s">
        <v>8500</v>
      </c>
      <c r="F587" s="4"/>
      <c r="G587" s="4"/>
      <c r="H587" s="4"/>
      <c r="I587" s="4"/>
      <c r="J587" s="18">
        <v>0.0</v>
      </c>
      <c r="K587" s="4" t="s">
        <v>8494</v>
      </c>
      <c r="L587" s="19" t="s">
        <v>8494</v>
      </c>
      <c r="M587" s="20" t="s">
        <v>8494</v>
      </c>
    </row>
    <row r="588">
      <c r="A588" s="6"/>
      <c r="B588" s="6"/>
      <c r="C588" s="4"/>
      <c r="D588" s="4">
        <v>299.32498132252</v>
      </c>
      <c r="E588" s="4" t="s">
        <v>8751</v>
      </c>
      <c r="F588" s="4"/>
      <c r="G588" s="4"/>
      <c r="H588" s="4"/>
      <c r="I588" s="4"/>
      <c r="J588" s="18">
        <v>0.0</v>
      </c>
      <c r="K588" s="4" t="s">
        <v>8494</v>
      </c>
      <c r="L588" s="19" t="s">
        <v>8494</v>
      </c>
      <c r="M588" s="20" t="s">
        <v>8494</v>
      </c>
    </row>
    <row r="589">
      <c r="A589" s="6"/>
      <c r="B589" s="6"/>
      <c r="C589" s="4"/>
      <c r="D589" s="4">
        <v>299.32498132252</v>
      </c>
      <c r="E589" s="4" t="s">
        <v>1121</v>
      </c>
      <c r="F589" s="4"/>
      <c r="G589" s="4"/>
      <c r="H589" s="4"/>
      <c r="I589" s="4"/>
      <c r="J589" s="18">
        <v>0.0</v>
      </c>
      <c r="K589" s="4" t="s">
        <v>8494</v>
      </c>
      <c r="L589" s="19" t="s">
        <v>8494</v>
      </c>
      <c r="M589" s="20" t="s">
        <v>8494</v>
      </c>
    </row>
    <row r="590">
      <c r="A590" s="6"/>
      <c r="B590" s="6"/>
      <c r="C590" s="4"/>
      <c r="D590" s="4">
        <v>299.32498132252</v>
      </c>
      <c r="E590" s="4" t="s">
        <v>813</v>
      </c>
      <c r="F590" s="4"/>
      <c r="G590" s="4"/>
      <c r="H590" s="4"/>
      <c r="I590" s="4"/>
      <c r="J590" s="18">
        <v>0.0</v>
      </c>
      <c r="K590" s="4" t="s">
        <v>8494</v>
      </c>
      <c r="L590" s="19" t="s">
        <v>8494</v>
      </c>
      <c r="M590" s="20" t="s">
        <v>8494</v>
      </c>
    </row>
    <row r="591">
      <c r="A591" s="6"/>
      <c r="B591" s="6"/>
      <c r="C591" s="4"/>
      <c r="D591" s="4">
        <v>299.32498132252</v>
      </c>
      <c r="E591" s="4" t="s">
        <v>8230</v>
      </c>
      <c r="F591" s="4"/>
      <c r="G591" s="4"/>
      <c r="H591" s="4"/>
      <c r="I591" s="4"/>
      <c r="J591" s="18">
        <v>0.0</v>
      </c>
      <c r="K591" s="4" t="s">
        <v>8494</v>
      </c>
      <c r="L591" s="19" t="s">
        <v>8494</v>
      </c>
      <c r="M591" s="20" t="s">
        <v>8494</v>
      </c>
    </row>
    <row r="592">
      <c r="A592" s="6"/>
      <c r="B592" s="6"/>
      <c r="C592" s="4"/>
      <c r="D592" s="4">
        <v>299.32498132252</v>
      </c>
      <c r="E592" s="4" t="s">
        <v>2292</v>
      </c>
      <c r="F592" s="4"/>
      <c r="G592" s="4"/>
      <c r="H592" s="4"/>
      <c r="I592" s="4"/>
      <c r="J592" s="18">
        <v>0.0</v>
      </c>
      <c r="K592" s="4" t="s">
        <v>8494</v>
      </c>
      <c r="L592" s="19" t="s">
        <v>8494</v>
      </c>
      <c r="M592" s="20" t="s">
        <v>8494</v>
      </c>
    </row>
    <row r="593">
      <c r="A593" s="6"/>
      <c r="B593" s="6"/>
      <c r="C593" s="4"/>
      <c r="D593" s="4">
        <v>299.32498132252</v>
      </c>
      <c r="E593" s="4" t="s">
        <v>8684</v>
      </c>
      <c r="F593" s="4"/>
      <c r="G593" s="4"/>
      <c r="H593" s="4"/>
      <c r="I593" s="4"/>
      <c r="J593" s="18">
        <v>0.0</v>
      </c>
      <c r="K593" s="4" t="s">
        <v>8494</v>
      </c>
      <c r="L593" s="19" t="s">
        <v>8494</v>
      </c>
      <c r="M593" s="20" t="s">
        <v>8494</v>
      </c>
    </row>
    <row r="594">
      <c r="A594" s="6"/>
      <c r="B594" s="6"/>
      <c r="C594" s="4"/>
      <c r="D594" s="4">
        <v>71.1063654987411</v>
      </c>
      <c r="E594" s="4" t="s">
        <v>1661</v>
      </c>
      <c r="F594" s="4"/>
      <c r="G594" s="4"/>
      <c r="H594" s="4"/>
      <c r="I594" s="4"/>
      <c r="J594" s="18">
        <v>0.0</v>
      </c>
      <c r="K594" s="4" t="s">
        <v>8494</v>
      </c>
      <c r="L594" s="19" t="s">
        <v>8494</v>
      </c>
      <c r="M594" s="20" t="s">
        <v>8494</v>
      </c>
    </row>
    <row r="595">
      <c r="A595" s="6"/>
      <c r="B595" s="6"/>
      <c r="C595" s="4"/>
      <c r="D595" s="4">
        <v>299.32498132252</v>
      </c>
      <c r="E595" s="4" t="s">
        <v>8650</v>
      </c>
      <c r="F595" s="4"/>
      <c r="G595" s="4"/>
      <c r="H595" s="4"/>
      <c r="I595" s="4"/>
      <c r="J595" s="18">
        <v>0.0</v>
      </c>
      <c r="K595" s="4" t="s">
        <v>8494</v>
      </c>
      <c r="L595" s="19" t="s">
        <v>8494</v>
      </c>
      <c r="M595" s="20" t="s">
        <v>8494</v>
      </c>
    </row>
    <row r="596">
      <c r="A596" s="6"/>
      <c r="B596" s="6"/>
      <c r="C596" s="4"/>
      <c r="D596" s="4">
        <v>299.32498132252</v>
      </c>
      <c r="E596" s="4" t="s">
        <v>8450</v>
      </c>
      <c r="F596" s="4"/>
      <c r="G596" s="4"/>
      <c r="H596" s="4"/>
      <c r="I596" s="4"/>
      <c r="J596" s="18">
        <v>0.0</v>
      </c>
      <c r="K596" s="4" t="s">
        <v>8494</v>
      </c>
      <c r="L596" s="19" t="s">
        <v>8494</v>
      </c>
      <c r="M596" s="20" t="s">
        <v>8494</v>
      </c>
    </row>
    <row r="597">
      <c r="A597" s="6"/>
      <c r="B597" s="6"/>
      <c r="C597" s="4"/>
      <c r="D597" s="4">
        <v>299.32498132252</v>
      </c>
      <c r="E597" s="4" t="s">
        <v>558</v>
      </c>
      <c r="F597" s="4"/>
      <c r="G597" s="4"/>
      <c r="H597" s="4"/>
      <c r="I597" s="4"/>
      <c r="J597" s="18">
        <v>0.0</v>
      </c>
      <c r="K597" s="4" t="s">
        <v>8494</v>
      </c>
      <c r="L597" s="19" t="s">
        <v>8494</v>
      </c>
      <c r="M597" s="20" t="s">
        <v>8494</v>
      </c>
    </row>
    <row r="598">
      <c r="A598" s="6"/>
      <c r="B598" s="6"/>
      <c r="C598" s="4"/>
      <c r="D598" s="4">
        <v>299.32498132252</v>
      </c>
      <c r="E598" s="4" t="s">
        <v>8673</v>
      </c>
      <c r="F598" s="4"/>
      <c r="G598" s="4"/>
      <c r="H598" s="4"/>
      <c r="I598" s="4"/>
      <c r="J598" s="18">
        <v>0.0</v>
      </c>
      <c r="K598" s="4" t="s">
        <v>8494</v>
      </c>
      <c r="L598" s="19" t="s">
        <v>8494</v>
      </c>
      <c r="M598" s="20" t="s">
        <v>8494</v>
      </c>
    </row>
    <row r="599">
      <c r="A599" s="6"/>
      <c r="B599" s="6"/>
      <c r="C599" s="4"/>
      <c r="D599" s="4">
        <v>299.32498132252</v>
      </c>
      <c r="E599" s="4" t="s">
        <v>8514</v>
      </c>
      <c r="F599" s="4"/>
      <c r="G599" s="4"/>
      <c r="H599" s="4"/>
      <c r="I599" s="4"/>
      <c r="J599" s="18">
        <v>0.0</v>
      </c>
      <c r="K599" s="4" t="s">
        <v>8494</v>
      </c>
      <c r="L599" s="19" t="s">
        <v>8494</v>
      </c>
      <c r="M599" s="20" t="s">
        <v>8494</v>
      </c>
    </row>
    <row r="600">
      <c r="A600" s="6"/>
      <c r="B600" s="6"/>
      <c r="C600" s="4"/>
      <c r="D600" s="4">
        <v>299.32498132252</v>
      </c>
      <c r="E600" s="4" t="s">
        <v>8753</v>
      </c>
      <c r="F600" s="4"/>
      <c r="G600" s="4"/>
      <c r="H600" s="4"/>
      <c r="I600" s="4"/>
      <c r="J600" s="18">
        <v>0.0</v>
      </c>
      <c r="K600" s="4" t="s">
        <v>8494</v>
      </c>
      <c r="L600" s="19" t="s">
        <v>8494</v>
      </c>
      <c r="M600" s="20" t="s">
        <v>8494</v>
      </c>
    </row>
    <row r="601">
      <c r="A601" s="6"/>
      <c r="B601" s="6"/>
      <c r="C601" s="4"/>
      <c r="D601" s="4">
        <v>299.32498132252</v>
      </c>
      <c r="E601" s="4" t="s">
        <v>7111</v>
      </c>
      <c r="F601" s="4"/>
      <c r="G601" s="4"/>
      <c r="H601" s="4"/>
      <c r="I601" s="4"/>
      <c r="J601" s="18">
        <v>0.0</v>
      </c>
      <c r="K601" s="4" t="s">
        <v>8494</v>
      </c>
      <c r="L601" s="19" t="s">
        <v>8494</v>
      </c>
      <c r="M601" s="20" t="s">
        <v>8494</v>
      </c>
    </row>
    <row r="602">
      <c r="A602" s="6"/>
      <c r="B602" s="6"/>
      <c r="C602" s="4"/>
      <c r="D602" s="4">
        <v>299.32498132252</v>
      </c>
      <c r="E602" s="4" t="s">
        <v>8125</v>
      </c>
      <c r="F602" s="4"/>
      <c r="G602" s="4"/>
      <c r="H602" s="4"/>
      <c r="I602" s="4"/>
      <c r="J602" s="18">
        <v>0.0</v>
      </c>
      <c r="K602" s="4" t="s">
        <v>8494</v>
      </c>
      <c r="L602" s="19" t="s">
        <v>8494</v>
      </c>
      <c r="M602" s="20" t="s">
        <v>8494</v>
      </c>
    </row>
    <row r="603">
      <c r="A603" s="6"/>
      <c r="B603" s="6"/>
      <c r="C603" s="4"/>
      <c r="D603" s="4">
        <v>299.32498132252</v>
      </c>
      <c r="E603" s="4" t="s">
        <v>4182</v>
      </c>
      <c r="F603" s="4"/>
      <c r="G603" s="4"/>
      <c r="H603" s="4"/>
      <c r="I603" s="4"/>
      <c r="J603" s="18">
        <v>0.0</v>
      </c>
      <c r="K603" s="4" t="s">
        <v>8494</v>
      </c>
      <c r="L603" s="19" t="s">
        <v>8494</v>
      </c>
      <c r="M603" s="20" t="s">
        <v>8494</v>
      </c>
    </row>
    <row r="604">
      <c r="A604" s="6"/>
      <c r="B604" s="6"/>
      <c r="C604" s="4"/>
      <c r="D604" s="4">
        <v>299.32498132252</v>
      </c>
      <c r="E604" s="4" t="s">
        <v>4202</v>
      </c>
      <c r="F604" s="4"/>
      <c r="G604" s="4"/>
      <c r="H604" s="4"/>
      <c r="I604" s="4"/>
      <c r="J604" s="18">
        <v>0.0</v>
      </c>
      <c r="K604" s="4" t="s">
        <v>8494</v>
      </c>
      <c r="L604" s="19" t="s">
        <v>8494</v>
      </c>
      <c r="M604" s="20" t="s">
        <v>8494</v>
      </c>
    </row>
    <row r="605">
      <c r="A605" s="6"/>
      <c r="B605" s="6"/>
      <c r="C605" s="4"/>
      <c r="D605" s="4">
        <v>299.32498132252</v>
      </c>
      <c r="E605" s="4" t="s">
        <v>1734</v>
      </c>
      <c r="F605" s="4"/>
      <c r="G605" s="4"/>
      <c r="H605" s="4"/>
      <c r="I605" s="4"/>
      <c r="J605" s="18">
        <v>0.0</v>
      </c>
      <c r="K605" s="4" t="s">
        <v>8494</v>
      </c>
      <c r="L605" s="19" t="s">
        <v>8494</v>
      </c>
      <c r="M605" s="20" t="s">
        <v>8494</v>
      </c>
    </row>
    <row r="606">
      <c r="A606" s="6"/>
      <c r="B606" s="6"/>
      <c r="C606" s="4"/>
      <c r="D606" s="4">
        <v>299.32498132252</v>
      </c>
      <c r="E606" s="4" t="s">
        <v>1642</v>
      </c>
      <c r="F606" s="4"/>
      <c r="G606" s="4"/>
      <c r="H606" s="4"/>
      <c r="I606" s="4"/>
      <c r="J606" s="18">
        <v>0.0</v>
      </c>
      <c r="K606" s="4" t="s">
        <v>8494</v>
      </c>
      <c r="L606" s="19" t="s">
        <v>8494</v>
      </c>
      <c r="M606" s="20" t="s">
        <v>8494</v>
      </c>
    </row>
    <row r="607">
      <c r="A607" s="6"/>
      <c r="B607" s="6"/>
      <c r="C607" s="4"/>
      <c r="D607" s="4">
        <v>299.32498132252</v>
      </c>
      <c r="E607" s="4" t="s">
        <v>8685</v>
      </c>
      <c r="F607" s="4"/>
      <c r="G607" s="4"/>
      <c r="H607" s="4"/>
      <c r="I607" s="4"/>
      <c r="J607" s="18">
        <v>0.0</v>
      </c>
      <c r="K607" s="4" t="s">
        <v>8494</v>
      </c>
      <c r="L607" s="19" t="s">
        <v>8494</v>
      </c>
      <c r="M607" s="20" t="s">
        <v>8494</v>
      </c>
    </row>
    <row r="608">
      <c r="A608" s="6"/>
      <c r="B608" s="6"/>
      <c r="C608" s="4"/>
      <c r="D608" s="4">
        <v>299.32498132252</v>
      </c>
      <c r="E608" s="4" t="s">
        <v>6962</v>
      </c>
      <c r="F608" s="4"/>
      <c r="G608" s="4"/>
      <c r="H608" s="4"/>
      <c r="I608" s="4"/>
      <c r="J608" s="18">
        <v>0.0</v>
      </c>
      <c r="K608" s="4" t="s">
        <v>8494</v>
      </c>
      <c r="L608" s="19" t="s">
        <v>8494</v>
      </c>
      <c r="M608" s="20" t="s">
        <v>8494</v>
      </c>
    </row>
    <row r="609">
      <c r="A609" s="6"/>
      <c r="B609" s="6"/>
      <c r="C609" s="4"/>
      <c r="D609" s="4">
        <v>299.32498132252</v>
      </c>
      <c r="E609" s="4" t="s">
        <v>7659</v>
      </c>
      <c r="F609" s="4"/>
      <c r="G609" s="4"/>
      <c r="H609" s="4"/>
      <c r="I609" s="4"/>
      <c r="J609" s="18">
        <v>0.0</v>
      </c>
      <c r="K609" s="4" t="s">
        <v>8494</v>
      </c>
      <c r="L609" s="19" t="s">
        <v>8494</v>
      </c>
      <c r="M609" s="20" t="s">
        <v>8494</v>
      </c>
    </row>
    <row r="610">
      <c r="A610" s="6"/>
      <c r="B610" s="6"/>
      <c r="C610" s="4"/>
      <c r="D610" s="4">
        <v>299.32498132252</v>
      </c>
      <c r="E610" s="4" t="s">
        <v>722</v>
      </c>
      <c r="F610" s="4"/>
      <c r="G610" s="4"/>
      <c r="H610" s="4"/>
      <c r="I610" s="4"/>
      <c r="J610" s="18">
        <v>0.0</v>
      </c>
      <c r="K610" s="4" t="s">
        <v>8494</v>
      </c>
      <c r="L610" s="19" t="s">
        <v>8494</v>
      </c>
      <c r="M610" s="20" t="s">
        <v>8494</v>
      </c>
    </row>
    <row r="611">
      <c r="A611" s="6"/>
      <c r="B611" s="6"/>
      <c r="C611" s="4"/>
      <c r="D611" s="4">
        <v>299.32498132252</v>
      </c>
      <c r="E611" s="4" t="s">
        <v>5141</v>
      </c>
      <c r="F611" s="4"/>
      <c r="G611" s="4"/>
      <c r="H611" s="4"/>
      <c r="I611" s="4"/>
      <c r="J611" s="18">
        <v>0.0</v>
      </c>
      <c r="K611" s="4" t="s">
        <v>8494</v>
      </c>
      <c r="L611" s="19" t="s">
        <v>8494</v>
      </c>
      <c r="M611" s="20" t="s">
        <v>8494</v>
      </c>
    </row>
    <row r="612">
      <c r="A612" s="6"/>
      <c r="B612" s="6"/>
      <c r="C612" s="4"/>
      <c r="D612" s="4">
        <v>299.32498132252</v>
      </c>
      <c r="E612" s="4" t="s">
        <v>8620</v>
      </c>
      <c r="F612" s="4"/>
      <c r="G612" s="4"/>
      <c r="H612" s="4"/>
      <c r="I612" s="4"/>
      <c r="J612" s="18">
        <v>0.0</v>
      </c>
      <c r="K612" s="4" t="s">
        <v>8494</v>
      </c>
      <c r="L612" s="19" t="s">
        <v>8494</v>
      </c>
      <c r="M612" s="20" t="s">
        <v>8494</v>
      </c>
    </row>
    <row r="613">
      <c r="A613" s="6"/>
      <c r="B613" s="6"/>
      <c r="C613" s="4"/>
      <c r="D613" s="4">
        <v>299.32498132252</v>
      </c>
      <c r="E613" s="4" t="s">
        <v>8660</v>
      </c>
      <c r="F613" s="4"/>
      <c r="G613" s="4"/>
      <c r="H613" s="4"/>
      <c r="I613" s="4"/>
      <c r="J613" s="18">
        <v>0.0</v>
      </c>
      <c r="K613" s="4" t="s">
        <v>8494</v>
      </c>
      <c r="L613" s="19" t="s">
        <v>8494</v>
      </c>
      <c r="M613" s="20" t="s">
        <v>8494</v>
      </c>
    </row>
    <row r="614">
      <c r="A614" s="6"/>
      <c r="B614" s="6"/>
      <c r="C614" s="4"/>
      <c r="D614" s="4">
        <v>299.32498132252</v>
      </c>
      <c r="E614" s="4" t="s">
        <v>751</v>
      </c>
      <c r="F614" s="4"/>
      <c r="G614" s="4"/>
      <c r="H614" s="4"/>
      <c r="I614" s="4"/>
      <c r="J614" s="18">
        <v>0.0</v>
      </c>
      <c r="K614" s="4" t="s">
        <v>8494</v>
      </c>
      <c r="L614" s="19" t="s">
        <v>8494</v>
      </c>
      <c r="M614" s="20" t="s">
        <v>8494</v>
      </c>
    </row>
    <row r="615">
      <c r="A615" s="6"/>
      <c r="B615" s="6"/>
      <c r="C615" s="4"/>
      <c r="D615" s="4">
        <v>299.32498132252</v>
      </c>
      <c r="E615" s="4" t="s">
        <v>3332</v>
      </c>
      <c r="F615" s="4"/>
      <c r="G615" s="4"/>
      <c r="H615" s="4"/>
      <c r="I615" s="4"/>
      <c r="J615" s="18">
        <v>0.0</v>
      </c>
      <c r="K615" s="4" t="s">
        <v>8494</v>
      </c>
      <c r="L615" s="19" t="s">
        <v>8494</v>
      </c>
      <c r="M615" s="20" t="s">
        <v>8494</v>
      </c>
    </row>
    <row r="616">
      <c r="A616" s="6"/>
      <c r="B616" s="6"/>
      <c r="C616" s="4"/>
      <c r="D616" s="4">
        <v>299.32498132252</v>
      </c>
      <c r="E616" s="4" t="s">
        <v>1154</v>
      </c>
      <c r="F616" s="4"/>
      <c r="G616" s="4"/>
      <c r="H616" s="4"/>
      <c r="I616" s="4"/>
      <c r="J616" s="18">
        <v>0.0</v>
      </c>
      <c r="K616" s="4" t="s">
        <v>8494</v>
      </c>
      <c r="L616" s="19" t="s">
        <v>8494</v>
      </c>
      <c r="M616" s="20" t="s">
        <v>8494</v>
      </c>
    </row>
    <row r="617">
      <c r="A617" s="6"/>
      <c r="B617" s="6"/>
      <c r="C617" s="4"/>
      <c r="D617" s="4">
        <v>299.32498132252</v>
      </c>
      <c r="E617" s="4" t="s">
        <v>8640</v>
      </c>
      <c r="F617" s="4"/>
      <c r="G617" s="4"/>
      <c r="H617" s="4"/>
      <c r="I617" s="4"/>
      <c r="J617" s="18">
        <v>0.0</v>
      </c>
      <c r="K617" s="4" t="s">
        <v>8494</v>
      </c>
      <c r="L617" s="19" t="s">
        <v>8494</v>
      </c>
      <c r="M617" s="20" t="s">
        <v>8494</v>
      </c>
    </row>
    <row r="618">
      <c r="A618" s="6"/>
      <c r="B618" s="6"/>
      <c r="C618" s="4"/>
      <c r="D618" s="4">
        <v>299.32498132252</v>
      </c>
      <c r="E618" s="4" t="s">
        <v>8512</v>
      </c>
      <c r="F618" s="4"/>
      <c r="G618" s="4"/>
      <c r="H618" s="4"/>
      <c r="I618" s="4"/>
      <c r="J618" s="18">
        <v>0.0</v>
      </c>
      <c r="K618" s="4" t="s">
        <v>8494</v>
      </c>
      <c r="L618" s="19" t="s">
        <v>8494</v>
      </c>
      <c r="M618" s="20" t="s">
        <v>8494</v>
      </c>
    </row>
    <row r="619">
      <c r="A619" s="6"/>
      <c r="B619" s="6"/>
      <c r="C619" s="4"/>
      <c r="D619" s="4">
        <v>299.32498132252</v>
      </c>
      <c r="E619" s="4" t="s">
        <v>8331</v>
      </c>
      <c r="F619" s="4"/>
      <c r="G619" s="4"/>
      <c r="H619" s="4"/>
      <c r="I619" s="4"/>
      <c r="J619" s="18">
        <v>0.0</v>
      </c>
      <c r="K619" s="4" t="s">
        <v>8494</v>
      </c>
      <c r="L619" s="19" t="s">
        <v>8494</v>
      </c>
      <c r="M619" s="20" t="s">
        <v>8494</v>
      </c>
    </row>
    <row r="620">
      <c r="A620" s="6"/>
      <c r="B620" s="6"/>
      <c r="C620" s="4"/>
      <c r="D620" s="4">
        <v>299.32498132252</v>
      </c>
      <c r="E620" s="4" t="s">
        <v>8653</v>
      </c>
      <c r="F620" s="4"/>
      <c r="G620" s="4"/>
      <c r="H620" s="4"/>
      <c r="I620" s="4"/>
      <c r="J620" s="18">
        <v>0.0</v>
      </c>
      <c r="K620" s="4" t="s">
        <v>8494</v>
      </c>
      <c r="L620" s="19" t="s">
        <v>8494</v>
      </c>
      <c r="M620" s="20" t="s">
        <v>8494</v>
      </c>
    </row>
    <row r="621">
      <c r="A621" s="6"/>
      <c r="B621" s="6"/>
      <c r="C621" s="4"/>
      <c r="D621" s="4">
        <v>299.32498132252</v>
      </c>
      <c r="E621" s="4" t="s">
        <v>8535</v>
      </c>
      <c r="F621" s="4"/>
      <c r="G621" s="4"/>
      <c r="H621" s="4"/>
      <c r="I621" s="4"/>
      <c r="J621" s="18">
        <v>0.0</v>
      </c>
      <c r="K621" s="4" t="s">
        <v>8494</v>
      </c>
      <c r="L621" s="19" t="s">
        <v>8494</v>
      </c>
      <c r="M621" s="20" t="s">
        <v>8494</v>
      </c>
    </row>
    <row r="622">
      <c r="A622" s="6"/>
      <c r="B622" s="6"/>
      <c r="C622" s="4"/>
      <c r="D622" s="4">
        <v>299.32498132252</v>
      </c>
      <c r="E622" s="4" t="s">
        <v>7813</v>
      </c>
      <c r="F622" s="4"/>
      <c r="G622" s="4"/>
      <c r="H622" s="4"/>
      <c r="I622" s="4"/>
      <c r="J622" s="18">
        <v>0.0</v>
      </c>
      <c r="K622" s="4" t="s">
        <v>8494</v>
      </c>
      <c r="L622" s="19" t="s">
        <v>8494</v>
      </c>
      <c r="M622" s="20" t="s">
        <v>8494</v>
      </c>
    </row>
    <row r="623">
      <c r="A623" s="6"/>
      <c r="B623" s="6"/>
      <c r="C623" s="4"/>
      <c r="D623" s="4">
        <v>299.32498132252</v>
      </c>
      <c r="E623" s="4" t="s">
        <v>8693</v>
      </c>
      <c r="F623" s="4"/>
      <c r="G623" s="4"/>
      <c r="H623" s="4"/>
      <c r="I623" s="4"/>
      <c r="J623" s="18">
        <v>0.0</v>
      </c>
      <c r="K623" s="4" t="s">
        <v>8494</v>
      </c>
      <c r="L623" s="19" t="s">
        <v>8494</v>
      </c>
      <c r="M623" s="20" t="s">
        <v>8494</v>
      </c>
    </row>
    <row r="624">
      <c r="A624" s="6"/>
      <c r="B624" s="6"/>
      <c r="C624" s="4"/>
      <c r="D624" s="4">
        <v>299.32498132252</v>
      </c>
      <c r="E624" s="4" t="s">
        <v>5124</v>
      </c>
      <c r="F624" s="4"/>
      <c r="G624" s="4"/>
      <c r="H624" s="4"/>
      <c r="I624" s="4"/>
      <c r="J624" s="18">
        <v>0.0</v>
      </c>
      <c r="K624" s="4" t="s">
        <v>8494</v>
      </c>
      <c r="L624" s="19" t="s">
        <v>8494</v>
      </c>
      <c r="M624" s="20" t="s">
        <v>8494</v>
      </c>
    </row>
    <row r="625">
      <c r="A625" s="6"/>
      <c r="B625" s="6"/>
      <c r="C625" s="4"/>
      <c r="D625" s="4">
        <v>299.32498132252</v>
      </c>
      <c r="E625" s="4" t="s">
        <v>7742</v>
      </c>
      <c r="F625" s="4"/>
      <c r="G625" s="4"/>
      <c r="H625" s="4"/>
      <c r="I625" s="4"/>
      <c r="J625" s="18">
        <v>0.0</v>
      </c>
      <c r="K625" s="4" t="s">
        <v>8494</v>
      </c>
      <c r="L625" s="19" t="s">
        <v>8494</v>
      </c>
      <c r="M625" s="20" t="s">
        <v>8494</v>
      </c>
    </row>
    <row r="626">
      <c r="A626" s="6"/>
      <c r="B626" s="6"/>
      <c r="C626" s="4"/>
      <c r="D626" s="4">
        <v>299.32498132252</v>
      </c>
      <c r="E626" s="4" t="s">
        <v>8656</v>
      </c>
      <c r="F626" s="4"/>
      <c r="G626" s="4"/>
      <c r="H626" s="4"/>
      <c r="I626" s="4"/>
      <c r="J626" s="18">
        <v>0.0</v>
      </c>
      <c r="K626" s="4" t="s">
        <v>8494</v>
      </c>
      <c r="L626" s="19" t="s">
        <v>8494</v>
      </c>
      <c r="M626" s="20" t="s">
        <v>8494</v>
      </c>
    </row>
    <row r="627">
      <c r="A627" s="6"/>
      <c r="B627" s="6"/>
      <c r="C627" s="4"/>
      <c r="D627" s="4">
        <v>299.32498132252</v>
      </c>
      <c r="E627" s="4" t="s">
        <v>5023</v>
      </c>
      <c r="F627" s="4"/>
      <c r="G627" s="4"/>
      <c r="H627" s="4"/>
      <c r="I627" s="4"/>
      <c r="J627" s="18">
        <v>0.0</v>
      </c>
      <c r="K627" s="4" t="s">
        <v>8494</v>
      </c>
      <c r="L627" s="19" t="s">
        <v>8494</v>
      </c>
      <c r="M627" s="20" t="s">
        <v>8494</v>
      </c>
    </row>
    <row r="628">
      <c r="A628" s="6"/>
      <c r="B628" s="6"/>
      <c r="C628" s="4"/>
      <c r="D628" s="4">
        <v>299.32498132252</v>
      </c>
      <c r="E628" s="4" t="s">
        <v>8622</v>
      </c>
      <c r="F628" s="4"/>
      <c r="G628" s="4"/>
      <c r="H628" s="4"/>
      <c r="I628" s="4"/>
      <c r="J628" s="18">
        <v>0.0</v>
      </c>
      <c r="K628" s="4" t="s">
        <v>8494</v>
      </c>
      <c r="L628" s="19" t="s">
        <v>8494</v>
      </c>
      <c r="M628" s="20" t="s">
        <v>8494</v>
      </c>
    </row>
    <row r="629">
      <c r="A629" s="6"/>
      <c r="B629" s="6"/>
      <c r="C629" s="4"/>
      <c r="D629" s="4">
        <v>299.32498132252</v>
      </c>
      <c r="E629" s="4" t="s">
        <v>8647</v>
      </c>
      <c r="F629" s="4"/>
      <c r="G629" s="4"/>
      <c r="H629" s="4"/>
      <c r="I629" s="4"/>
      <c r="J629" s="18">
        <v>0.0</v>
      </c>
      <c r="K629" s="4" t="s">
        <v>8494</v>
      </c>
      <c r="L629" s="19" t="s">
        <v>8494</v>
      </c>
      <c r="M629" s="20" t="s">
        <v>8494</v>
      </c>
    </row>
    <row r="630">
      <c r="A630" s="6"/>
      <c r="B630" s="6"/>
      <c r="C630" s="4"/>
      <c r="D630" s="4">
        <v>299.32498132252</v>
      </c>
      <c r="E630" s="4" t="s">
        <v>8536</v>
      </c>
      <c r="F630" s="4"/>
      <c r="G630" s="4"/>
      <c r="H630" s="4"/>
      <c r="I630" s="4"/>
      <c r="J630" s="18">
        <v>0.0</v>
      </c>
      <c r="K630" s="4" t="s">
        <v>8494</v>
      </c>
      <c r="L630" s="19" t="s">
        <v>8494</v>
      </c>
      <c r="M630" s="20" t="s">
        <v>8494</v>
      </c>
    </row>
    <row r="631">
      <c r="A631" s="6"/>
      <c r="B631" s="6"/>
      <c r="C631" s="4"/>
      <c r="D631" s="4">
        <v>299.32498132252</v>
      </c>
      <c r="E631" s="4" t="s">
        <v>5705</v>
      </c>
      <c r="F631" s="4"/>
      <c r="G631" s="4"/>
      <c r="H631" s="4"/>
      <c r="I631" s="4"/>
      <c r="J631" s="18">
        <v>0.0</v>
      </c>
      <c r="K631" s="4" t="s">
        <v>8494</v>
      </c>
      <c r="L631" s="19" t="s">
        <v>8494</v>
      </c>
      <c r="M631" s="20" t="s">
        <v>8494</v>
      </c>
    </row>
    <row r="632">
      <c r="A632" s="6"/>
      <c r="B632" s="6"/>
      <c r="C632" s="4"/>
      <c r="D632" s="4">
        <v>299.32498132252</v>
      </c>
      <c r="E632" s="4" t="s">
        <v>4605</v>
      </c>
      <c r="F632" s="4"/>
      <c r="G632" s="4"/>
      <c r="H632" s="4"/>
      <c r="I632" s="4"/>
      <c r="J632" s="18">
        <v>0.0</v>
      </c>
      <c r="K632" s="4" t="s">
        <v>8494</v>
      </c>
      <c r="L632" s="19" t="s">
        <v>8494</v>
      </c>
      <c r="M632" s="20" t="s">
        <v>8494</v>
      </c>
    </row>
    <row r="633">
      <c r="A633" s="6"/>
      <c r="B633" s="6"/>
      <c r="C633" s="4"/>
      <c r="D633" s="4">
        <v>299.32498132252</v>
      </c>
      <c r="E633" s="4" t="s">
        <v>675</v>
      </c>
      <c r="F633" s="4"/>
      <c r="G633" s="4"/>
      <c r="H633" s="4"/>
      <c r="I633" s="4"/>
      <c r="J633" s="18">
        <v>0.0</v>
      </c>
      <c r="K633" s="4" t="s">
        <v>8494</v>
      </c>
      <c r="L633" s="19" t="s">
        <v>8494</v>
      </c>
      <c r="M633" s="20" t="s">
        <v>8494</v>
      </c>
    </row>
    <row r="634">
      <c r="A634" s="6"/>
      <c r="B634" s="6"/>
      <c r="C634" s="4"/>
      <c r="D634" s="4">
        <v>299.32498132252</v>
      </c>
      <c r="E634" s="4" t="s">
        <v>8498</v>
      </c>
      <c r="F634" s="4"/>
      <c r="G634" s="4"/>
      <c r="H634" s="4"/>
      <c r="I634" s="4"/>
      <c r="J634" s="18">
        <v>0.0</v>
      </c>
      <c r="K634" s="4" t="s">
        <v>8494</v>
      </c>
      <c r="L634" s="19" t="s">
        <v>8494</v>
      </c>
      <c r="M634" s="20" t="s">
        <v>8494</v>
      </c>
    </row>
    <row r="635">
      <c r="A635" s="6"/>
      <c r="B635" s="6"/>
      <c r="C635" s="4"/>
      <c r="D635" s="4">
        <v>299.32498132252</v>
      </c>
      <c r="E635" s="4" t="s">
        <v>8511</v>
      </c>
      <c r="F635" s="4"/>
      <c r="G635" s="4"/>
      <c r="H635" s="4"/>
      <c r="I635" s="4"/>
      <c r="J635" s="18">
        <v>0.0</v>
      </c>
      <c r="K635" s="4" t="s">
        <v>8494</v>
      </c>
      <c r="L635" s="19" t="s">
        <v>8494</v>
      </c>
      <c r="M635" s="20" t="s">
        <v>8494</v>
      </c>
    </row>
    <row r="636">
      <c r="A636" s="6"/>
      <c r="B636" s="6"/>
      <c r="C636" s="4"/>
      <c r="D636" s="4">
        <v>299.32498132252</v>
      </c>
      <c r="E636" s="4" t="s">
        <v>3167</v>
      </c>
      <c r="F636" s="4"/>
      <c r="G636" s="4"/>
      <c r="H636" s="4"/>
      <c r="I636" s="4"/>
      <c r="J636" s="18">
        <v>0.0</v>
      </c>
      <c r="K636" s="4" t="s">
        <v>8494</v>
      </c>
      <c r="L636" s="19" t="s">
        <v>8494</v>
      </c>
      <c r="M636" s="20" t="s">
        <v>8494</v>
      </c>
    </row>
    <row r="637">
      <c r="A637" s="6"/>
      <c r="B637" s="6"/>
      <c r="C637" s="4"/>
      <c r="D637" s="4">
        <v>296.511034725914</v>
      </c>
      <c r="E637" s="4" t="s">
        <v>185</v>
      </c>
      <c r="F637" s="4"/>
      <c r="G637" s="4"/>
      <c r="H637" s="4"/>
      <c r="I637" s="4"/>
      <c r="J637" s="18">
        <v>0.0</v>
      </c>
      <c r="K637" s="4" t="s">
        <v>8494</v>
      </c>
      <c r="L637" s="19" t="s">
        <v>8494</v>
      </c>
      <c r="M637" s="20" t="s">
        <v>8494</v>
      </c>
    </row>
    <row r="638">
      <c r="A638" s="6"/>
      <c r="B638" s="6"/>
      <c r="C638" s="4"/>
      <c r="D638" s="4">
        <v>299.32498132252</v>
      </c>
      <c r="E638" s="4" t="s">
        <v>3626</v>
      </c>
      <c r="F638" s="4"/>
      <c r="G638" s="4"/>
      <c r="H638" s="4"/>
      <c r="I638" s="4"/>
      <c r="J638" s="18">
        <v>0.0</v>
      </c>
      <c r="K638" s="4" t="s">
        <v>8494</v>
      </c>
      <c r="L638" s="19" t="s">
        <v>8494</v>
      </c>
      <c r="M638" s="20" t="s">
        <v>8494</v>
      </c>
    </row>
    <row r="639">
      <c r="A639" s="6"/>
      <c r="B639" s="6"/>
      <c r="C639" s="4"/>
      <c r="D639" s="4">
        <v>299.32498132252</v>
      </c>
      <c r="E639" s="4" t="s">
        <v>8589</v>
      </c>
      <c r="F639" s="4"/>
      <c r="G639" s="4"/>
      <c r="H639" s="4"/>
      <c r="I639" s="4"/>
      <c r="J639" s="18">
        <v>0.0</v>
      </c>
      <c r="K639" s="4" t="s">
        <v>8494</v>
      </c>
      <c r="L639" s="19" t="s">
        <v>8494</v>
      </c>
      <c r="M639" s="20" t="s">
        <v>8494</v>
      </c>
    </row>
    <row r="640">
      <c r="A640" s="6"/>
      <c r="B640" s="6"/>
      <c r="C640" s="4"/>
      <c r="D640" s="4">
        <v>299.32498132252</v>
      </c>
      <c r="E640" s="4" t="s">
        <v>8691</v>
      </c>
      <c r="F640" s="4"/>
      <c r="G640" s="4"/>
      <c r="H640" s="4"/>
      <c r="I640" s="4"/>
      <c r="J640" s="18">
        <v>0.0</v>
      </c>
      <c r="K640" s="4" t="s">
        <v>8494</v>
      </c>
      <c r="L640" s="19" t="s">
        <v>8494</v>
      </c>
      <c r="M640" s="20" t="s">
        <v>8494</v>
      </c>
    </row>
    <row r="641">
      <c r="A641" s="6"/>
      <c r="B641" s="6"/>
      <c r="C641" s="4"/>
      <c r="D641" s="4">
        <v>299.32498132252</v>
      </c>
      <c r="E641" s="4" t="s">
        <v>8532</v>
      </c>
      <c r="F641" s="4"/>
      <c r="G641" s="4"/>
      <c r="H641" s="4"/>
      <c r="I641" s="4"/>
      <c r="J641" s="18">
        <v>0.0</v>
      </c>
      <c r="K641" s="4" t="s">
        <v>8494</v>
      </c>
      <c r="L641" s="19" t="s">
        <v>8494</v>
      </c>
      <c r="M641" s="20" t="s">
        <v>8494</v>
      </c>
    </row>
    <row r="642">
      <c r="A642" s="6"/>
      <c r="B642" s="6"/>
      <c r="C642" s="4"/>
      <c r="D642" s="4">
        <v>299.32498132252</v>
      </c>
      <c r="E642" s="4" t="s">
        <v>6185</v>
      </c>
      <c r="F642" s="4"/>
      <c r="G642" s="4"/>
      <c r="H642" s="4"/>
      <c r="I642" s="4"/>
      <c r="J642" s="18">
        <v>0.0</v>
      </c>
      <c r="K642" s="4" t="s">
        <v>8494</v>
      </c>
      <c r="L642" s="19" t="s">
        <v>8494</v>
      </c>
      <c r="M642" s="20" t="s">
        <v>8494</v>
      </c>
    </row>
    <row r="643">
      <c r="A643" s="6"/>
      <c r="B643" s="6"/>
      <c r="C643" s="4"/>
      <c r="D643" s="4">
        <v>299.32498132252</v>
      </c>
      <c r="E643" s="4" t="s">
        <v>1019</v>
      </c>
      <c r="F643" s="4"/>
      <c r="G643" s="4"/>
      <c r="H643" s="4"/>
      <c r="I643" s="4"/>
      <c r="J643" s="18">
        <v>0.0</v>
      </c>
      <c r="K643" s="4" t="s">
        <v>8494</v>
      </c>
      <c r="L643" s="19" t="s">
        <v>8494</v>
      </c>
      <c r="M643" s="20" t="s">
        <v>8494</v>
      </c>
    </row>
    <row r="644">
      <c r="A644" s="6"/>
      <c r="B644" s="6"/>
      <c r="C644" s="4"/>
      <c r="D644" s="4">
        <v>299.32498132252</v>
      </c>
      <c r="E644" s="4" t="s">
        <v>8529</v>
      </c>
      <c r="F644" s="4"/>
      <c r="G644" s="4"/>
      <c r="H644" s="4"/>
      <c r="I644" s="4"/>
      <c r="J644" s="18">
        <v>0.0</v>
      </c>
      <c r="K644" s="4" t="s">
        <v>8494</v>
      </c>
      <c r="L644" s="19" t="s">
        <v>8494</v>
      </c>
      <c r="M644" s="20" t="s">
        <v>8494</v>
      </c>
    </row>
    <row r="645">
      <c r="A645" s="6"/>
      <c r="B645" s="6"/>
      <c r="C645" s="4"/>
      <c r="D645" s="4">
        <v>299.32498132252</v>
      </c>
      <c r="E645" s="4" t="s">
        <v>1241</v>
      </c>
      <c r="F645" s="4"/>
      <c r="G645" s="4"/>
      <c r="H645" s="4"/>
      <c r="I645" s="4"/>
      <c r="J645" s="18">
        <v>0.0</v>
      </c>
      <c r="K645" s="4" t="s">
        <v>8494</v>
      </c>
      <c r="L645" s="19" t="s">
        <v>8494</v>
      </c>
      <c r="M645" s="20" t="s">
        <v>8494</v>
      </c>
    </row>
    <row r="646">
      <c r="A646" s="6"/>
      <c r="B646" s="6"/>
      <c r="C646" s="4"/>
      <c r="D646" s="4">
        <v>299.32498132252</v>
      </c>
      <c r="E646" s="4" t="s">
        <v>2335</v>
      </c>
      <c r="F646" s="4"/>
      <c r="G646" s="4"/>
      <c r="H646" s="4"/>
      <c r="I646" s="4"/>
      <c r="J646" s="18">
        <v>0.0</v>
      </c>
      <c r="K646" s="4" t="s">
        <v>8494</v>
      </c>
      <c r="L646" s="19" t="s">
        <v>8494</v>
      </c>
      <c r="M646" s="20" t="s">
        <v>8494</v>
      </c>
    </row>
    <row r="647">
      <c r="A647" s="6"/>
      <c r="B647" s="6"/>
      <c r="C647" s="4"/>
      <c r="D647" s="4">
        <v>166.79464335301</v>
      </c>
      <c r="E647" s="4" t="s">
        <v>8542</v>
      </c>
      <c r="F647" s="4"/>
      <c r="G647" s="4"/>
      <c r="H647" s="4"/>
      <c r="I647" s="4"/>
      <c r="J647" s="18">
        <v>0.0</v>
      </c>
      <c r="K647" s="4" t="s">
        <v>8494</v>
      </c>
      <c r="L647" s="19" t="s">
        <v>8494</v>
      </c>
      <c r="M647" s="20" t="s">
        <v>8494</v>
      </c>
    </row>
    <row r="648">
      <c r="A648" s="6"/>
      <c r="B648" s="6"/>
      <c r="C648" s="4"/>
      <c r="D648" s="4">
        <v>143.057355633074</v>
      </c>
      <c r="E648" s="4" t="s">
        <v>8596</v>
      </c>
      <c r="F648" s="4"/>
      <c r="G648" s="4"/>
      <c r="H648" s="4"/>
      <c r="I648" s="4"/>
      <c r="J648" s="18">
        <v>0.0</v>
      </c>
      <c r="K648" s="4" t="s">
        <v>8494</v>
      </c>
      <c r="L648" s="19" t="s">
        <v>8494</v>
      </c>
      <c r="M648" s="20" t="s">
        <v>8494</v>
      </c>
    </row>
    <row r="649">
      <c r="A649" s="6"/>
      <c r="B649" s="6"/>
      <c r="C649" s="4"/>
      <c r="D649" s="4">
        <v>299.32498132252</v>
      </c>
      <c r="E649" s="4" t="s">
        <v>8567</v>
      </c>
      <c r="F649" s="4"/>
      <c r="G649" s="4"/>
      <c r="H649" s="4"/>
      <c r="I649" s="4"/>
      <c r="J649" s="18">
        <v>0.0</v>
      </c>
      <c r="K649" s="4" t="s">
        <v>8494</v>
      </c>
      <c r="L649" s="19" t="s">
        <v>8494</v>
      </c>
      <c r="M649" s="20" t="s">
        <v>8494</v>
      </c>
    </row>
    <row r="650">
      <c r="A650" s="6"/>
      <c r="B650" s="6"/>
      <c r="C650" s="4"/>
      <c r="D650" s="4">
        <v>234.603763560152</v>
      </c>
      <c r="E650" s="4" t="s">
        <v>5143</v>
      </c>
      <c r="F650" s="4"/>
      <c r="G650" s="4"/>
      <c r="H650" s="4"/>
      <c r="I650" s="4"/>
      <c r="J650" s="18">
        <v>0.0</v>
      </c>
      <c r="K650" s="4" t="s">
        <v>8494</v>
      </c>
      <c r="L650" s="19" t="s">
        <v>8494</v>
      </c>
      <c r="M650" s="20" t="s">
        <v>8494</v>
      </c>
    </row>
    <row r="651">
      <c r="A651" s="6"/>
      <c r="B651" s="6"/>
      <c r="C651" s="4"/>
      <c r="D651" s="4">
        <v>299.32498132252</v>
      </c>
      <c r="E651" s="4" t="s">
        <v>8503</v>
      </c>
      <c r="F651" s="4"/>
      <c r="G651" s="4"/>
      <c r="H651" s="4"/>
      <c r="I651" s="4"/>
      <c r="J651" s="18">
        <v>0.0</v>
      </c>
      <c r="K651" s="4" t="s">
        <v>8494</v>
      </c>
      <c r="L651" s="19" t="s">
        <v>8494</v>
      </c>
      <c r="M651" s="20" t="s">
        <v>8494</v>
      </c>
    </row>
    <row r="652">
      <c r="A652" s="6"/>
      <c r="B652" s="6"/>
      <c r="C652" s="4"/>
      <c r="D652" s="4">
        <v>299.32498132252</v>
      </c>
      <c r="E652" s="4" t="s">
        <v>5440</v>
      </c>
      <c r="F652" s="4"/>
      <c r="G652" s="4"/>
      <c r="H652" s="4"/>
      <c r="I652" s="4"/>
      <c r="J652" s="18">
        <v>0.0</v>
      </c>
      <c r="K652" s="4" t="s">
        <v>8494</v>
      </c>
      <c r="L652" s="19" t="s">
        <v>8494</v>
      </c>
      <c r="M652" s="20" t="s">
        <v>8494</v>
      </c>
    </row>
    <row r="653">
      <c r="A653" s="6"/>
      <c r="B653" s="6"/>
      <c r="C653" s="4"/>
      <c r="D653" s="4">
        <v>299.32498132252</v>
      </c>
      <c r="E653" s="4" t="s">
        <v>3789</v>
      </c>
      <c r="F653" s="4"/>
      <c r="G653" s="4"/>
      <c r="H653" s="4"/>
      <c r="I653" s="4"/>
      <c r="J653" s="18">
        <v>0.0</v>
      </c>
      <c r="K653" s="4" t="s">
        <v>8494</v>
      </c>
      <c r="L653" s="19" t="s">
        <v>8494</v>
      </c>
      <c r="M653" s="20" t="s">
        <v>8494</v>
      </c>
    </row>
    <row r="654">
      <c r="A654" s="6"/>
      <c r="B654" s="6"/>
      <c r="C654" s="4"/>
      <c r="D654" s="4">
        <v>299.32498132252</v>
      </c>
      <c r="E654" s="4" t="s">
        <v>8604</v>
      </c>
      <c r="F654" s="4"/>
      <c r="G654" s="4"/>
      <c r="H654" s="4"/>
      <c r="I654" s="4"/>
      <c r="J654" s="18">
        <v>0.0</v>
      </c>
      <c r="K654" s="4" t="s">
        <v>8494</v>
      </c>
      <c r="L654" s="19" t="s">
        <v>8494</v>
      </c>
      <c r="M654" s="20" t="s">
        <v>8494</v>
      </c>
    </row>
    <row r="655">
      <c r="A655" s="6"/>
      <c r="B655" s="6"/>
      <c r="C655" s="4"/>
      <c r="D655" s="4">
        <v>56.057171080432404</v>
      </c>
      <c r="E655" s="4" t="s">
        <v>8635</v>
      </c>
      <c r="F655" s="4"/>
      <c r="G655" s="4"/>
      <c r="H655" s="4"/>
      <c r="I655" s="4"/>
      <c r="J655" s="18">
        <v>0.0</v>
      </c>
      <c r="K655" s="4" t="s">
        <v>8494</v>
      </c>
      <c r="L655" s="19" t="s">
        <v>8494</v>
      </c>
      <c r="M655" s="20" t="s">
        <v>8494</v>
      </c>
    </row>
    <row r="656">
      <c r="A656" s="6"/>
      <c r="B656" s="6"/>
      <c r="C656" s="4"/>
      <c r="D656" s="4">
        <v>299.32498132252</v>
      </c>
      <c r="E656" s="4" t="s">
        <v>6009</v>
      </c>
      <c r="F656" s="4"/>
      <c r="G656" s="4"/>
      <c r="H656" s="4"/>
      <c r="I656" s="4"/>
      <c r="J656" s="18">
        <v>0.0</v>
      </c>
      <c r="K656" s="4" t="s">
        <v>8494</v>
      </c>
      <c r="L656" s="19" t="s">
        <v>8494</v>
      </c>
      <c r="M656" s="20" t="s">
        <v>8494</v>
      </c>
    </row>
    <row r="657">
      <c r="A657" s="6"/>
      <c r="B657" s="6"/>
      <c r="C657" s="4"/>
      <c r="D657" s="4">
        <v>299.32498132252</v>
      </c>
      <c r="E657" s="4" t="s">
        <v>8663</v>
      </c>
      <c r="F657" s="4"/>
      <c r="G657" s="4"/>
      <c r="H657" s="4"/>
      <c r="I657" s="4"/>
      <c r="J657" s="18">
        <v>0.0</v>
      </c>
      <c r="K657" s="4" t="s">
        <v>8494</v>
      </c>
      <c r="L657" s="19" t="s">
        <v>8494</v>
      </c>
      <c r="M657" s="20" t="s">
        <v>8494</v>
      </c>
    </row>
    <row r="658">
      <c r="A658" s="6"/>
      <c r="B658" s="6"/>
      <c r="C658" s="4"/>
      <c r="D658" s="4">
        <v>299.32498132252</v>
      </c>
      <c r="E658" s="4" t="s">
        <v>8590</v>
      </c>
      <c r="F658" s="4"/>
      <c r="G658" s="4"/>
      <c r="H658" s="4"/>
      <c r="I658" s="4"/>
      <c r="J658" s="18">
        <v>0.0</v>
      </c>
      <c r="K658" s="4" t="s">
        <v>8494</v>
      </c>
      <c r="L658" s="19" t="s">
        <v>8494</v>
      </c>
      <c r="M658" s="20" t="s">
        <v>8494</v>
      </c>
    </row>
    <row r="659">
      <c r="A659" s="6"/>
      <c r="B659" s="6"/>
      <c r="C659" s="4"/>
      <c r="D659" s="4">
        <v>299.32498132252</v>
      </c>
      <c r="E659" s="4" t="s">
        <v>8580</v>
      </c>
      <c r="F659" s="4"/>
      <c r="G659" s="4"/>
      <c r="H659" s="4"/>
      <c r="I659" s="4"/>
      <c r="J659" s="18">
        <v>0.0</v>
      </c>
      <c r="K659" s="4" t="s">
        <v>8494</v>
      </c>
      <c r="L659" s="19" t="s">
        <v>8494</v>
      </c>
      <c r="M659" s="20" t="s">
        <v>8494</v>
      </c>
    </row>
    <row r="660">
      <c r="A660" s="6"/>
      <c r="B660" s="6"/>
      <c r="C660" s="4"/>
      <c r="D660" s="4">
        <v>299.32498132252</v>
      </c>
      <c r="E660" s="4" t="s">
        <v>4445</v>
      </c>
      <c r="F660" s="4"/>
      <c r="G660" s="4"/>
      <c r="H660" s="4"/>
      <c r="I660" s="4"/>
      <c r="J660" s="18">
        <v>0.0</v>
      </c>
      <c r="K660" s="4" t="s">
        <v>8494</v>
      </c>
      <c r="L660" s="19" t="s">
        <v>8494</v>
      </c>
      <c r="M660" s="20" t="s">
        <v>8494</v>
      </c>
    </row>
    <row r="661">
      <c r="A661" s="6"/>
      <c r="B661" s="6"/>
      <c r="C661" s="4"/>
      <c r="D661" s="4">
        <v>294.76595778287</v>
      </c>
      <c r="E661" s="4" t="s">
        <v>1621</v>
      </c>
      <c r="F661" s="4"/>
      <c r="G661" s="4"/>
      <c r="H661" s="4"/>
      <c r="I661" s="4"/>
      <c r="J661" s="18">
        <v>0.0</v>
      </c>
      <c r="K661" s="4" t="s">
        <v>8494</v>
      </c>
      <c r="L661" s="19" t="s">
        <v>8494</v>
      </c>
      <c r="M661" s="20" t="s">
        <v>8494</v>
      </c>
    </row>
    <row r="662">
      <c r="A662" s="6"/>
      <c r="B662" s="6"/>
      <c r="C662" s="4"/>
      <c r="D662" s="4">
        <v>299.32498132252</v>
      </c>
      <c r="E662" s="4" t="s">
        <v>8760</v>
      </c>
      <c r="F662" s="4"/>
      <c r="G662" s="4"/>
      <c r="H662" s="4"/>
      <c r="I662" s="4"/>
      <c r="J662" s="18">
        <v>0.0</v>
      </c>
      <c r="K662" s="4" t="s">
        <v>8494</v>
      </c>
      <c r="L662" s="19" t="s">
        <v>8494</v>
      </c>
      <c r="M662" s="20" t="s">
        <v>8494</v>
      </c>
    </row>
    <row r="663">
      <c r="A663" s="6"/>
      <c r="B663" s="6"/>
      <c r="C663" s="4"/>
      <c r="D663" s="4">
        <v>299.32498132252</v>
      </c>
      <c r="E663" s="4" t="s">
        <v>3887</v>
      </c>
      <c r="F663" s="4"/>
      <c r="G663" s="4"/>
      <c r="H663" s="4"/>
      <c r="I663" s="4"/>
      <c r="J663" s="18">
        <v>0.0</v>
      </c>
      <c r="K663" s="4" t="s">
        <v>8494</v>
      </c>
      <c r="L663" s="19" t="s">
        <v>8494</v>
      </c>
      <c r="M663" s="20" t="s">
        <v>8494</v>
      </c>
    </row>
    <row r="664">
      <c r="A664" s="6"/>
      <c r="B664" s="6"/>
      <c r="C664" s="4"/>
      <c r="D664" s="4">
        <v>299.32498132252</v>
      </c>
      <c r="E664" s="4" t="s">
        <v>7220</v>
      </c>
      <c r="F664" s="4"/>
      <c r="G664" s="4"/>
      <c r="H664" s="4"/>
      <c r="I664" s="4"/>
      <c r="J664" s="18">
        <v>0.0</v>
      </c>
      <c r="K664" s="4" t="s">
        <v>8494</v>
      </c>
      <c r="L664" s="19" t="s">
        <v>8494</v>
      </c>
      <c r="M664" s="20" t="s">
        <v>8494</v>
      </c>
    </row>
    <row r="665">
      <c r="A665" s="6"/>
      <c r="B665" s="6"/>
      <c r="C665" s="4"/>
      <c r="D665" s="4">
        <v>299.32498132252</v>
      </c>
      <c r="E665" s="4" t="s">
        <v>8713</v>
      </c>
      <c r="F665" s="4"/>
      <c r="G665" s="4"/>
      <c r="H665" s="4"/>
      <c r="I665" s="4"/>
      <c r="J665" s="18">
        <v>0.0</v>
      </c>
      <c r="K665" s="4" t="s">
        <v>8494</v>
      </c>
      <c r="L665" s="19" t="s">
        <v>8494</v>
      </c>
      <c r="M665" s="20" t="s">
        <v>8494</v>
      </c>
    </row>
    <row r="666">
      <c r="A666" s="6"/>
      <c r="B666" s="6"/>
      <c r="C666" s="4"/>
      <c r="D666" s="4">
        <v>299.32498132252</v>
      </c>
      <c r="E666" s="4" t="s">
        <v>8761</v>
      </c>
      <c r="F666" s="4"/>
      <c r="G666" s="4"/>
      <c r="H666" s="4"/>
      <c r="I666" s="4"/>
      <c r="J666" s="18">
        <v>0.0</v>
      </c>
      <c r="K666" s="4" t="s">
        <v>8494</v>
      </c>
      <c r="L666" s="19" t="s">
        <v>8494</v>
      </c>
      <c r="M666" s="20" t="s">
        <v>8494</v>
      </c>
    </row>
    <row r="667">
      <c r="A667" s="6"/>
      <c r="B667" s="6"/>
      <c r="C667" s="4"/>
      <c r="D667" s="4">
        <v>299.32498132252</v>
      </c>
      <c r="E667" s="4" t="s">
        <v>8667</v>
      </c>
      <c r="F667" s="4"/>
      <c r="G667" s="4"/>
      <c r="H667" s="4"/>
      <c r="I667" s="4"/>
      <c r="J667" s="18">
        <v>0.0</v>
      </c>
      <c r="K667" s="4" t="s">
        <v>8494</v>
      </c>
      <c r="L667" s="19" t="s">
        <v>8494</v>
      </c>
      <c r="M667" s="20" t="s">
        <v>8494</v>
      </c>
    </row>
    <row r="668">
      <c r="A668" s="6"/>
      <c r="B668" s="6"/>
      <c r="C668" s="4"/>
      <c r="D668" s="4">
        <v>299.32498132252</v>
      </c>
      <c r="E668" s="4" t="s">
        <v>2807</v>
      </c>
      <c r="F668" s="4"/>
      <c r="G668" s="4"/>
      <c r="H668" s="4"/>
      <c r="I668" s="4"/>
      <c r="J668" s="18">
        <v>0.0</v>
      </c>
      <c r="K668" s="4" t="s">
        <v>8494</v>
      </c>
      <c r="L668" s="19" t="s">
        <v>8494</v>
      </c>
      <c r="M668" s="20" t="s">
        <v>8494</v>
      </c>
    </row>
    <row r="669">
      <c r="A669" s="6"/>
      <c r="B669" s="6"/>
      <c r="C669" s="4"/>
      <c r="D669" s="4">
        <v>299.32498132252</v>
      </c>
      <c r="E669" s="4" t="s">
        <v>8581</v>
      </c>
      <c r="F669" s="4"/>
      <c r="G669" s="4"/>
      <c r="H669" s="4"/>
      <c r="I669" s="4"/>
      <c r="J669" s="18">
        <v>0.0</v>
      </c>
      <c r="K669" s="4" t="s">
        <v>8494</v>
      </c>
      <c r="L669" s="19" t="s">
        <v>8494</v>
      </c>
      <c r="M669" s="20" t="s">
        <v>8494</v>
      </c>
    </row>
    <row r="670">
      <c r="A670" s="6"/>
      <c r="B670" s="6"/>
      <c r="C670" s="4"/>
      <c r="D670" s="4">
        <v>101.23072730215901</v>
      </c>
      <c r="E670" s="4" t="s">
        <v>8762</v>
      </c>
      <c r="F670" s="4"/>
      <c r="G670" s="4"/>
      <c r="H670" s="4"/>
      <c r="I670" s="4"/>
      <c r="J670" s="18">
        <v>0.0</v>
      </c>
      <c r="K670" s="4" t="s">
        <v>8494</v>
      </c>
      <c r="L670" s="19" t="s">
        <v>8494</v>
      </c>
      <c r="M670" s="20" t="s">
        <v>8494</v>
      </c>
    </row>
    <row r="671">
      <c r="A671" s="6"/>
      <c r="B671" s="6"/>
      <c r="C671" s="4"/>
      <c r="D671" s="4">
        <v>299.32498132252</v>
      </c>
      <c r="E671" s="4" t="s">
        <v>7134</v>
      </c>
      <c r="F671" s="4"/>
      <c r="G671" s="4"/>
      <c r="H671" s="4"/>
      <c r="I671" s="4"/>
      <c r="J671" s="18">
        <v>0.0</v>
      </c>
      <c r="K671" s="4" t="s">
        <v>8494</v>
      </c>
      <c r="L671" s="19" t="s">
        <v>8494</v>
      </c>
      <c r="M671" s="20" t="s">
        <v>8494</v>
      </c>
    </row>
    <row r="672">
      <c r="A672" s="6"/>
      <c r="B672" s="6"/>
      <c r="C672" s="4"/>
      <c r="D672" s="4">
        <v>299.32498132252</v>
      </c>
      <c r="E672" s="4" t="s">
        <v>8149</v>
      </c>
      <c r="F672" s="4"/>
      <c r="G672" s="4"/>
      <c r="H672" s="4"/>
      <c r="I672" s="4"/>
      <c r="J672" s="18">
        <v>0.0</v>
      </c>
      <c r="K672" s="4" t="s">
        <v>8494</v>
      </c>
      <c r="L672" s="19" t="s">
        <v>8494</v>
      </c>
      <c r="M672" s="20" t="s">
        <v>8494</v>
      </c>
    </row>
    <row r="673">
      <c r="A673" s="6"/>
      <c r="B673" s="6"/>
      <c r="C673" s="4"/>
      <c r="D673" s="4">
        <v>299.32498132252</v>
      </c>
      <c r="E673" s="4" t="s">
        <v>8563</v>
      </c>
      <c r="F673" s="4"/>
      <c r="G673" s="4"/>
      <c r="H673" s="4"/>
      <c r="I673" s="4"/>
      <c r="J673" s="18">
        <v>0.0</v>
      </c>
      <c r="K673" s="4" t="s">
        <v>8494</v>
      </c>
      <c r="L673" s="19" t="s">
        <v>8494</v>
      </c>
      <c r="M673" s="20" t="s">
        <v>8494</v>
      </c>
    </row>
    <row r="674">
      <c r="A674" s="6"/>
      <c r="B674" s="6"/>
      <c r="C674" s="4"/>
      <c r="D674" s="4">
        <v>299.32498132252</v>
      </c>
      <c r="E674" s="4" t="s">
        <v>977</v>
      </c>
      <c r="F674" s="4"/>
      <c r="G674" s="4"/>
      <c r="H674" s="4"/>
      <c r="I674" s="4"/>
      <c r="J674" s="18">
        <v>0.0</v>
      </c>
      <c r="K674" s="4" t="s">
        <v>8494</v>
      </c>
      <c r="L674" s="19" t="s">
        <v>8494</v>
      </c>
      <c r="M674" s="20" t="s">
        <v>8494</v>
      </c>
    </row>
    <row r="675">
      <c r="A675" s="6"/>
      <c r="B675" s="6"/>
      <c r="C675" s="4"/>
      <c r="D675" s="4">
        <v>299.32498132252</v>
      </c>
      <c r="E675" s="4" t="s">
        <v>8764</v>
      </c>
      <c r="F675" s="4"/>
      <c r="G675" s="4"/>
      <c r="H675" s="4"/>
      <c r="I675" s="4"/>
      <c r="J675" s="18">
        <v>0.0</v>
      </c>
      <c r="K675" s="4" t="s">
        <v>8494</v>
      </c>
      <c r="L675" s="19" t="s">
        <v>8494</v>
      </c>
      <c r="M675" s="20" t="s">
        <v>8494</v>
      </c>
    </row>
    <row r="676">
      <c r="A676" s="6"/>
      <c r="B676" s="6"/>
      <c r="C676" s="4"/>
      <c r="D676" s="4">
        <v>299.32498132252</v>
      </c>
      <c r="E676" s="4" t="s">
        <v>8707</v>
      </c>
      <c r="F676" s="4"/>
      <c r="G676" s="4"/>
      <c r="H676" s="4"/>
      <c r="I676" s="4"/>
      <c r="J676" s="18">
        <v>0.0</v>
      </c>
      <c r="K676" s="4" t="s">
        <v>8494</v>
      </c>
      <c r="L676" s="19" t="s">
        <v>8494</v>
      </c>
      <c r="M676" s="20" t="s">
        <v>8494</v>
      </c>
    </row>
    <row r="677">
      <c r="A677" s="6"/>
      <c r="B677" s="6"/>
      <c r="C677" s="4"/>
      <c r="D677" s="4">
        <v>299.32498132252</v>
      </c>
      <c r="E677" s="4" t="s">
        <v>8553</v>
      </c>
      <c r="F677" s="4"/>
      <c r="G677" s="4"/>
      <c r="H677" s="4"/>
      <c r="I677" s="4"/>
      <c r="J677" s="18">
        <v>0.0</v>
      </c>
      <c r="K677" s="4" t="s">
        <v>8494</v>
      </c>
      <c r="L677" s="19" t="s">
        <v>8494</v>
      </c>
      <c r="M677" s="20" t="s">
        <v>8494</v>
      </c>
    </row>
    <row r="678">
      <c r="A678" s="6"/>
      <c r="B678" s="6"/>
      <c r="C678" s="4"/>
      <c r="D678" s="4">
        <v>299.32498132252</v>
      </c>
      <c r="E678" s="4" t="s">
        <v>5113</v>
      </c>
      <c r="F678" s="4"/>
      <c r="G678" s="4"/>
      <c r="H678" s="4"/>
      <c r="I678" s="4"/>
      <c r="J678" s="18">
        <v>0.0</v>
      </c>
      <c r="K678" s="4" t="s">
        <v>8494</v>
      </c>
      <c r="L678" s="19" t="s">
        <v>8494</v>
      </c>
      <c r="M678" s="20" t="s">
        <v>8494</v>
      </c>
    </row>
    <row r="679">
      <c r="A679" s="6"/>
      <c r="B679" s="6"/>
      <c r="C679" s="4"/>
      <c r="D679" s="4">
        <v>247.434553039023</v>
      </c>
      <c r="E679" s="4" t="s">
        <v>8591</v>
      </c>
      <c r="F679" s="4"/>
      <c r="G679" s="4"/>
      <c r="H679" s="4"/>
      <c r="I679" s="4"/>
      <c r="J679" s="18">
        <v>0.0</v>
      </c>
      <c r="K679" s="4" t="s">
        <v>8494</v>
      </c>
      <c r="L679" s="19" t="s">
        <v>8494</v>
      </c>
      <c r="M679" s="20" t="s">
        <v>8494</v>
      </c>
    </row>
    <row r="680">
      <c r="A680" s="6"/>
      <c r="B680" s="6"/>
      <c r="C680" s="4"/>
      <c r="D680" s="4">
        <v>299.32498132252</v>
      </c>
      <c r="E680" s="4" t="s">
        <v>3790</v>
      </c>
      <c r="F680" s="4"/>
      <c r="G680" s="4"/>
      <c r="H680" s="4"/>
      <c r="I680" s="4"/>
      <c r="J680" s="18">
        <v>0.0</v>
      </c>
      <c r="K680" s="4" t="s">
        <v>8494</v>
      </c>
      <c r="L680" s="19" t="s">
        <v>8494</v>
      </c>
      <c r="M680" s="20" t="s">
        <v>8494</v>
      </c>
    </row>
    <row r="681">
      <c r="A681" s="6"/>
      <c r="B681" s="6"/>
      <c r="C681" s="4"/>
      <c r="D681" s="4">
        <v>299.32498132252</v>
      </c>
      <c r="E681" s="4" t="s">
        <v>683</v>
      </c>
      <c r="F681" s="4"/>
      <c r="G681" s="4"/>
      <c r="H681" s="4"/>
      <c r="I681" s="4"/>
      <c r="J681" s="18">
        <v>0.0</v>
      </c>
      <c r="K681" s="4" t="s">
        <v>8494</v>
      </c>
      <c r="L681" s="19" t="s">
        <v>8494</v>
      </c>
      <c r="M681" s="20" t="s">
        <v>8494</v>
      </c>
    </row>
    <row r="682">
      <c r="A682" s="6"/>
      <c r="B682" s="6"/>
      <c r="C682" s="4"/>
      <c r="D682" s="4">
        <v>299.32498132252</v>
      </c>
      <c r="E682" s="4" t="s">
        <v>8572</v>
      </c>
      <c r="F682" s="4"/>
      <c r="G682" s="4"/>
      <c r="H682" s="4"/>
      <c r="I682" s="4"/>
      <c r="J682" s="18">
        <v>0.0</v>
      </c>
      <c r="K682" s="4" t="s">
        <v>8494</v>
      </c>
      <c r="L682" s="19" t="s">
        <v>8494</v>
      </c>
      <c r="M682" s="20" t="s">
        <v>8494</v>
      </c>
    </row>
    <row r="683">
      <c r="A683" s="6"/>
      <c r="B683" s="6"/>
      <c r="C683" s="4"/>
      <c r="D683" s="4">
        <v>299.32498132252</v>
      </c>
      <c r="E683" s="4" t="s">
        <v>107</v>
      </c>
      <c r="F683" s="4"/>
      <c r="G683" s="4"/>
      <c r="H683" s="4"/>
      <c r="I683" s="4"/>
      <c r="J683" s="18">
        <v>0.0</v>
      </c>
      <c r="K683" s="4" t="s">
        <v>8494</v>
      </c>
      <c r="L683" s="19" t="s">
        <v>8494</v>
      </c>
      <c r="M683" s="20" t="s">
        <v>8494</v>
      </c>
    </row>
    <row r="684">
      <c r="A684" s="6"/>
      <c r="B684" s="6"/>
      <c r="C684" s="4"/>
      <c r="D684" s="4">
        <v>299.32498132252</v>
      </c>
      <c r="E684" s="4" t="s">
        <v>778</v>
      </c>
      <c r="F684" s="4"/>
      <c r="G684" s="4"/>
      <c r="H684" s="4"/>
      <c r="I684" s="4"/>
      <c r="J684" s="18">
        <v>0.0</v>
      </c>
      <c r="K684" s="4" t="s">
        <v>8494</v>
      </c>
      <c r="L684" s="19" t="s">
        <v>8494</v>
      </c>
      <c r="M684" s="20" t="s">
        <v>8494</v>
      </c>
    </row>
    <row r="685">
      <c r="A685" s="6"/>
      <c r="B685" s="6"/>
      <c r="C685" s="4"/>
      <c r="D685" s="4">
        <v>299.32498132252</v>
      </c>
      <c r="E685" s="4" t="s">
        <v>8631</v>
      </c>
      <c r="F685" s="4"/>
      <c r="G685" s="4"/>
      <c r="H685" s="4"/>
      <c r="I685" s="4"/>
      <c r="J685" s="18">
        <v>0.0</v>
      </c>
      <c r="K685" s="4" t="s">
        <v>8494</v>
      </c>
      <c r="L685" s="19" t="s">
        <v>8494</v>
      </c>
      <c r="M685" s="20" t="s">
        <v>8494</v>
      </c>
    </row>
    <row r="686">
      <c r="A686" s="6"/>
      <c r="B686" s="6"/>
      <c r="C686" s="4"/>
      <c r="D686" s="4">
        <v>299.32498132252</v>
      </c>
      <c r="E686" s="4" t="s">
        <v>6480</v>
      </c>
      <c r="F686" s="4"/>
      <c r="G686" s="4"/>
      <c r="H686" s="4"/>
      <c r="I686" s="4"/>
      <c r="J686" s="18">
        <v>0.0</v>
      </c>
      <c r="K686" s="4" t="s">
        <v>8494</v>
      </c>
      <c r="L686" s="19" t="s">
        <v>8494</v>
      </c>
      <c r="M686" s="20" t="s">
        <v>8494</v>
      </c>
    </row>
    <row r="687">
      <c r="A687" s="6"/>
      <c r="B687" s="6"/>
      <c r="C687" s="4"/>
      <c r="D687" s="4">
        <v>141.8834048621</v>
      </c>
      <c r="E687" s="4" t="s">
        <v>2417</v>
      </c>
      <c r="F687" s="4"/>
      <c r="G687" s="4"/>
      <c r="H687" s="4"/>
      <c r="I687" s="4"/>
      <c r="J687" s="18">
        <v>0.0</v>
      </c>
      <c r="K687" s="4" t="s">
        <v>8494</v>
      </c>
      <c r="L687" s="19" t="s">
        <v>8494</v>
      </c>
      <c r="M687" s="20" t="s">
        <v>8494</v>
      </c>
    </row>
    <row r="688">
      <c r="A688" s="6"/>
      <c r="B688" s="6"/>
      <c r="C688" s="4"/>
      <c r="D688" s="4">
        <v>288.11721304394</v>
      </c>
      <c r="E688" s="4" t="s">
        <v>373</v>
      </c>
      <c r="F688" s="4"/>
      <c r="G688" s="4"/>
      <c r="H688" s="4"/>
      <c r="I688" s="4"/>
      <c r="J688" s="18">
        <v>0.0</v>
      </c>
      <c r="K688" s="4" t="s">
        <v>8494</v>
      </c>
      <c r="L688" s="19" t="s">
        <v>8494</v>
      </c>
      <c r="M688" s="20" t="s">
        <v>8494</v>
      </c>
    </row>
    <row r="689">
      <c r="A689" s="6"/>
      <c r="B689" s="6"/>
      <c r="C689" s="4"/>
      <c r="D689" s="4">
        <v>299.32498132252</v>
      </c>
      <c r="E689" s="4" t="s">
        <v>4731</v>
      </c>
      <c r="F689" s="4"/>
      <c r="G689" s="4"/>
      <c r="H689" s="4"/>
      <c r="I689" s="4"/>
      <c r="J689" s="18">
        <v>0.0</v>
      </c>
      <c r="K689" s="4" t="s">
        <v>8494</v>
      </c>
      <c r="L689" s="19" t="s">
        <v>8494</v>
      </c>
      <c r="M689" s="20" t="s">
        <v>8494</v>
      </c>
    </row>
    <row r="690">
      <c r="A690" s="6"/>
      <c r="B690" s="6"/>
      <c r="C690" s="4"/>
      <c r="D690" s="4">
        <v>37.504682510164905</v>
      </c>
      <c r="E690" s="4" t="s">
        <v>7679</v>
      </c>
      <c r="F690" s="4"/>
      <c r="G690" s="4"/>
      <c r="H690" s="4"/>
      <c r="I690" s="4"/>
      <c r="J690" s="18">
        <v>0.0</v>
      </c>
      <c r="K690" s="4" t="s">
        <v>8494</v>
      </c>
      <c r="L690" s="19" t="s">
        <v>8494</v>
      </c>
      <c r="M690" s="20" t="s">
        <v>8494</v>
      </c>
    </row>
    <row r="691">
      <c r="A691" s="6"/>
      <c r="B691" s="6"/>
      <c r="C691" s="4"/>
      <c r="D691" s="4">
        <v>299.32498132252</v>
      </c>
      <c r="E691" s="4" t="s">
        <v>8626</v>
      </c>
      <c r="F691" s="4"/>
      <c r="G691" s="4"/>
      <c r="H691" s="4"/>
      <c r="I691" s="4"/>
      <c r="J691" s="18">
        <v>0.0</v>
      </c>
      <c r="K691" s="4" t="s">
        <v>8494</v>
      </c>
      <c r="L691" s="19" t="s">
        <v>8494</v>
      </c>
      <c r="M691" s="20" t="s">
        <v>8494</v>
      </c>
    </row>
    <row r="692">
      <c r="A692" s="6"/>
      <c r="B692" s="6"/>
      <c r="C692" s="4"/>
      <c r="D692" s="4">
        <v>299.32498132252</v>
      </c>
      <c r="E692" s="4" t="s">
        <v>6761</v>
      </c>
      <c r="F692" s="4"/>
      <c r="G692" s="4"/>
      <c r="H692" s="4"/>
      <c r="I692" s="4"/>
      <c r="J692" s="18">
        <v>0.0</v>
      </c>
      <c r="K692" s="4" t="s">
        <v>8494</v>
      </c>
      <c r="L692" s="19" t="s">
        <v>8494</v>
      </c>
      <c r="M692" s="20" t="s">
        <v>8494</v>
      </c>
    </row>
    <row r="693">
      <c r="A693" s="6"/>
      <c r="B693" s="6"/>
      <c r="C693" s="4"/>
      <c r="D693" s="4">
        <v>299.32498132252</v>
      </c>
      <c r="E693" s="4" t="s">
        <v>8540</v>
      </c>
      <c r="F693" s="4"/>
      <c r="G693" s="4"/>
      <c r="H693" s="4"/>
      <c r="I693" s="4"/>
      <c r="J693" s="18">
        <v>0.0</v>
      </c>
      <c r="K693" s="4" t="s">
        <v>8494</v>
      </c>
      <c r="L693" s="19" t="s">
        <v>8494</v>
      </c>
      <c r="M693" s="20" t="s">
        <v>8494</v>
      </c>
    </row>
    <row r="694">
      <c r="A694" s="6"/>
      <c r="B694" s="6"/>
      <c r="C694" s="4"/>
      <c r="D694" s="4">
        <v>299.32498132252</v>
      </c>
      <c r="E694" s="4" t="s">
        <v>2914</v>
      </c>
      <c r="F694" s="4"/>
      <c r="G694" s="4"/>
      <c r="H694" s="4"/>
      <c r="I694" s="4"/>
      <c r="J694" s="18">
        <v>0.0</v>
      </c>
      <c r="K694" s="4" t="s">
        <v>8494</v>
      </c>
      <c r="L694" s="19" t="s">
        <v>8494</v>
      </c>
      <c r="M694" s="20" t="s">
        <v>8494</v>
      </c>
    </row>
    <row r="695">
      <c r="A695" s="6"/>
      <c r="B695" s="6"/>
      <c r="C695" s="4"/>
      <c r="D695" s="4">
        <v>299.32498132252</v>
      </c>
      <c r="E695" s="4" t="s">
        <v>3412</v>
      </c>
      <c r="F695" s="4"/>
      <c r="G695" s="4"/>
      <c r="H695" s="4"/>
      <c r="I695" s="4"/>
      <c r="J695" s="18">
        <v>0.0</v>
      </c>
      <c r="K695" s="4" t="s">
        <v>8494</v>
      </c>
      <c r="L695" s="19" t="s">
        <v>8494</v>
      </c>
      <c r="M695" s="20" t="s">
        <v>8494</v>
      </c>
    </row>
    <row r="696">
      <c r="A696" s="6"/>
      <c r="B696" s="6"/>
      <c r="C696" s="4"/>
      <c r="D696" s="4">
        <v>188.484246096768</v>
      </c>
      <c r="E696" s="4" t="s">
        <v>3639</v>
      </c>
      <c r="F696" s="4"/>
      <c r="G696" s="4"/>
      <c r="H696" s="4"/>
      <c r="I696" s="4"/>
      <c r="J696" s="18">
        <v>0.0</v>
      </c>
      <c r="K696" s="4" t="s">
        <v>8494</v>
      </c>
      <c r="L696" s="19" t="s">
        <v>8494</v>
      </c>
      <c r="M696" s="20" t="s">
        <v>8494</v>
      </c>
    </row>
    <row r="697">
      <c r="A697" s="6"/>
      <c r="B697" s="6"/>
      <c r="C697" s="4"/>
      <c r="D697" s="4">
        <v>150.59608033651</v>
      </c>
      <c r="E697" s="4" t="s">
        <v>6345</v>
      </c>
      <c r="F697" s="4"/>
      <c r="G697" s="4"/>
      <c r="H697" s="4"/>
      <c r="I697" s="4"/>
      <c r="J697" s="18">
        <v>0.0</v>
      </c>
      <c r="K697" s="4" t="s">
        <v>8494</v>
      </c>
      <c r="L697" s="19" t="s">
        <v>8494</v>
      </c>
      <c r="M697" s="20" t="s">
        <v>8494</v>
      </c>
    </row>
    <row r="698">
      <c r="A698" s="6"/>
      <c r="B698" s="6"/>
      <c r="C698" s="4"/>
      <c r="D698" s="4">
        <v>299.32498132252</v>
      </c>
      <c r="E698" s="4" t="s">
        <v>5057</v>
      </c>
      <c r="F698" s="4"/>
      <c r="G698" s="4"/>
      <c r="H698" s="4"/>
      <c r="I698" s="4"/>
      <c r="J698" s="18">
        <v>0.0</v>
      </c>
      <c r="K698" s="4" t="s">
        <v>8494</v>
      </c>
      <c r="L698" s="19" t="s">
        <v>8494</v>
      </c>
      <c r="M698" s="20" t="s">
        <v>8494</v>
      </c>
    </row>
    <row r="699">
      <c r="A699" s="6"/>
      <c r="B699" s="6"/>
      <c r="C699" s="4"/>
      <c r="D699" s="4">
        <v>96.5606862002292</v>
      </c>
      <c r="E699" s="4" t="s">
        <v>8680</v>
      </c>
      <c r="F699" s="4"/>
      <c r="G699" s="4"/>
      <c r="H699" s="4"/>
      <c r="I699" s="4"/>
      <c r="J699" s="18">
        <v>0.0</v>
      </c>
      <c r="K699" s="4" t="s">
        <v>8494</v>
      </c>
      <c r="L699" s="19" t="s">
        <v>8494</v>
      </c>
      <c r="M699" s="20" t="s">
        <v>8494</v>
      </c>
    </row>
    <row r="700">
      <c r="A700" s="6"/>
      <c r="B700" s="6"/>
      <c r="C700" s="4"/>
      <c r="D700" s="4">
        <v>299.32498132252</v>
      </c>
      <c r="E700" s="4" t="s">
        <v>8772</v>
      </c>
      <c r="F700" s="4"/>
      <c r="G700" s="4"/>
      <c r="H700" s="4"/>
      <c r="I700" s="4"/>
      <c r="J700" s="18">
        <v>0.0</v>
      </c>
      <c r="K700" s="4" t="s">
        <v>8494</v>
      </c>
      <c r="L700" s="19" t="s">
        <v>8494</v>
      </c>
      <c r="M700" s="20" t="s">
        <v>8494</v>
      </c>
    </row>
    <row r="701">
      <c r="A701" s="6"/>
      <c r="B701" s="6"/>
      <c r="C701" s="4"/>
      <c r="D701" s="4">
        <v>299.32498132252</v>
      </c>
      <c r="E701" s="4" t="s">
        <v>8717</v>
      </c>
      <c r="F701" s="4"/>
      <c r="G701" s="4"/>
      <c r="H701" s="4"/>
      <c r="I701" s="4"/>
      <c r="J701" s="18">
        <v>0.0</v>
      </c>
      <c r="K701" s="4" t="s">
        <v>8494</v>
      </c>
      <c r="L701" s="19" t="s">
        <v>8494</v>
      </c>
      <c r="M701" s="20" t="s">
        <v>8494</v>
      </c>
    </row>
    <row r="702">
      <c r="A702" s="6"/>
      <c r="B702" s="6"/>
      <c r="C702" s="4"/>
      <c r="D702" s="4">
        <v>299.32498132252</v>
      </c>
      <c r="E702" s="4" t="s">
        <v>7853</v>
      </c>
      <c r="F702" s="4"/>
      <c r="G702" s="4"/>
      <c r="H702" s="4"/>
      <c r="I702" s="4"/>
      <c r="J702" s="18">
        <v>0.0</v>
      </c>
      <c r="K702" s="4" t="s">
        <v>8494</v>
      </c>
      <c r="L702" s="19" t="s">
        <v>8494</v>
      </c>
      <c r="M702" s="20" t="s">
        <v>8494</v>
      </c>
    </row>
    <row r="703">
      <c r="A703" s="6"/>
      <c r="B703" s="6"/>
      <c r="C703" s="4"/>
      <c r="D703" s="4">
        <v>299.32498132252</v>
      </c>
      <c r="E703" s="4" t="s">
        <v>1041</v>
      </c>
      <c r="F703" s="4"/>
      <c r="G703" s="4"/>
      <c r="H703" s="4"/>
      <c r="I703" s="4"/>
      <c r="J703" s="18">
        <v>0.0</v>
      </c>
      <c r="K703" s="4" t="s">
        <v>8494</v>
      </c>
      <c r="L703" s="19" t="s">
        <v>8494</v>
      </c>
      <c r="M703" s="20" t="s">
        <v>8494</v>
      </c>
    </row>
    <row r="704">
      <c r="A704" s="6"/>
      <c r="B704" s="6"/>
      <c r="C704" s="4"/>
      <c r="D704" s="4">
        <v>299.32498132252</v>
      </c>
      <c r="E704" s="4" t="s">
        <v>2316</v>
      </c>
      <c r="F704" s="4"/>
      <c r="G704" s="4"/>
      <c r="H704" s="4"/>
      <c r="I704" s="4"/>
      <c r="J704" s="18">
        <v>0.0</v>
      </c>
      <c r="K704" s="4" t="s">
        <v>8494</v>
      </c>
      <c r="L704" s="19" t="s">
        <v>8494</v>
      </c>
      <c r="M704" s="20" t="s">
        <v>8494</v>
      </c>
    </row>
    <row r="705">
      <c r="A705" s="6"/>
      <c r="B705" s="6"/>
      <c r="C705" s="4"/>
      <c r="D705" s="4">
        <v>299.32498132252</v>
      </c>
      <c r="E705" s="4" t="s">
        <v>8519</v>
      </c>
      <c r="F705" s="4"/>
      <c r="G705" s="4"/>
      <c r="H705" s="4"/>
      <c r="I705" s="4"/>
      <c r="J705" s="18">
        <v>0.0</v>
      </c>
      <c r="K705" s="4" t="s">
        <v>8494</v>
      </c>
      <c r="L705" s="19" t="s">
        <v>8494</v>
      </c>
      <c r="M705" s="20" t="s">
        <v>8494</v>
      </c>
    </row>
    <row r="706">
      <c r="A706" s="6"/>
      <c r="B706" s="6"/>
      <c r="C706" s="4"/>
      <c r="D706" s="4">
        <v>299.32498132252</v>
      </c>
      <c r="E706" s="4" t="s">
        <v>4643</v>
      </c>
      <c r="F706" s="4"/>
      <c r="G706" s="4"/>
      <c r="H706" s="4"/>
      <c r="I706" s="4"/>
      <c r="J706" s="18">
        <v>0.0</v>
      </c>
      <c r="K706" s="4" t="s">
        <v>8494</v>
      </c>
      <c r="L706" s="19" t="s">
        <v>8494</v>
      </c>
      <c r="M706" s="20" t="s">
        <v>8494</v>
      </c>
    </row>
    <row r="707">
      <c r="A707" s="6"/>
      <c r="B707" s="6"/>
      <c r="C707" s="4"/>
      <c r="D707" s="4">
        <v>299.32498132252</v>
      </c>
      <c r="E707" s="4" t="s">
        <v>1576</v>
      </c>
      <c r="F707" s="4"/>
      <c r="G707" s="4"/>
      <c r="H707" s="4"/>
      <c r="I707" s="4"/>
      <c r="J707" s="18">
        <v>0.0</v>
      </c>
      <c r="K707" s="4" t="s">
        <v>8494</v>
      </c>
      <c r="L707" s="19" t="s">
        <v>8494</v>
      </c>
      <c r="M707" s="20" t="s">
        <v>8494</v>
      </c>
    </row>
    <row r="708">
      <c r="A708" s="6"/>
      <c r="B708" s="6"/>
      <c r="C708" s="4"/>
      <c r="D708" s="4">
        <v>299.32498132252</v>
      </c>
      <c r="E708" s="4" t="s">
        <v>8506</v>
      </c>
      <c r="F708" s="4"/>
      <c r="G708" s="4"/>
      <c r="H708" s="4"/>
      <c r="I708" s="4"/>
      <c r="J708" s="18">
        <v>0.0</v>
      </c>
      <c r="K708" s="4" t="s">
        <v>8494</v>
      </c>
      <c r="L708" s="19" t="s">
        <v>8494</v>
      </c>
      <c r="M708" s="20" t="s">
        <v>8494</v>
      </c>
    </row>
    <row r="709">
      <c r="A709" s="6"/>
      <c r="B709" s="6"/>
      <c r="C709" s="4"/>
      <c r="D709" s="4">
        <v>299.32498132252</v>
      </c>
      <c r="E709" s="4" t="s">
        <v>8281</v>
      </c>
      <c r="F709" s="4"/>
      <c r="G709" s="4"/>
      <c r="H709" s="4"/>
      <c r="I709" s="4"/>
      <c r="J709" s="18">
        <v>0.0</v>
      </c>
      <c r="K709" s="4" t="s">
        <v>8494</v>
      </c>
      <c r="L709" s="19" t="s">
        <v>8494</v>
      </c>
      <c r="M709" s="20" t="s">
        <v>8494</v>
      </c>
    </row>
    <row r="710">
      <c r="A710" s="6"/>
      <c r="B710" s="6"/>
      <c r="C710" s="4"/>
      <c r="D710" s="4">
        <v>299.32498132252</v>
      </c>
      <c r="E710" s="4" t="s">
        <v>3024</v>
      </c>
      <c r="F710" s="4"/>
      <c r="G710" s="4"/>
      <c r="H710" s="4"/>
      <c r="I710" s="4"/>
      <c r="J710" s="18">
        <v>0.0</v>
      </c>
      <c r="K710" s="4" t="s">
        <v>8494</v>
      </c>
      <c r="L710" s="19" t="s">
        <v>8494</v>
      </c>
      <c r="M710" s="20" t="s">
        <v>8494</v>
      </c>
    </row>
    <row r="711">
      <c r="A711" s="6"/>
      <c r="B711" s="6"/>
      <c r="C711" s="4"/>
      <c r="D711" s="4">
        <v>299.32498132252</v>
      </c>
      <c r="E711" s="4" t="s">
        <v>8612</v>
      </c>
      <c r="F711" s="4"/>
      <c r="G711" s="4"/>
      <c r="H711" s="4"/>
      <c r="I711" s="4"/>
      <c r="J711" s="18">
        <v>0.0</v>
      </c>
      <c r="K711" s="4" t="s">
        <v>8494</v>
      </c>
      <c r="L711" s="19" t="s">
        <v>8494</v>
      </c>
      <c r="M711" s="20" t="s">
        <v>8494</v>
      </c>
    </row>
    <row r="712">
      <c r="A712" s="6"/>
      <c r="B712" s="6"/>
      <c r="C712" s="4"/>
      <c r="D712" s="4">
        <v>299.32498132252</v>
      </c>
      <c r="E712" s="4" t="s">
        <v>6666</v>
      </c>
      <c r="F712" s="4"/>
      <c r="G712" s="4"/>
      <c r="H712" s="4"/>
      <c r="I712" s="4"/>
      <c r="J712" s="18">
        <v>0.0</v>
      </c>
      <c r="K712" s="4" t="s">
        <v>8494</v>
      </c>
      <c r="L712" s="19" t="s">
        <v>8494</v>
      </c>
      <c r="M712" s="20" t="s">
        <v>8494</v>
      </c>
    </row>
    <row r="713">
      <c r="A713" s="6"/>
      <c r="B713" s="6"/>
      <c r="C713" s="4"/>
      <c r="D713" s="4">
        <v>210.068982217475</v>
      </c>
      <c r="E713" s="4" t="s">
        <v>8651</v>
      </c>
      <c r="F713" s="4"/>
      <c r="G713" s="4"/>
      <c r="H713" s="4"/>
      <c r="I713" s="4"/>
      <c r="J713" s="18">
        <v>0.0</v>
      </c>
      <c r="K713" s="4" t="s">
        <v>8494</v>
      </c>
      <c r="L713" s="19" t="s">
        <v>8494</v>
      </c>
      <c r="M713" s="20" t="s">
        <v>8494</v>
      </c>
    </row>
    <row r="714">
      <c r="A714" s="6"/>
      <c r="B714" s="6"/>
      <c r="C714" s="4"/>
      <c r="D714" s="4">
        <v>299.32498132252</v>
      </c>
      <c r="E714" s="4" t="s">
        <v>6280</v>
      </c>
      <c r="F714" s="4"/>
      <c r="G714" s="4"/>
      <c r="H714" s="4"/>
      <c r="I714" s="4"/>
      <c r="J714" s="18">
        <v>0.0</v>
      </c>
      <c r="K714" s="4" t="s">
        <v>8494</v>
      </c>
      <c r="L714" s="19" t="s">
        <v>8494</v>
      </c>
      <c r="M714" s="20" t="s">
        <v>8494</v>
      </c>
    </row>
    <row r="715">
      <c r="A715" s="6"/>
      <c r="B715" s="6"/>
      <c r="C715" s="4"/>
      <c r="D715" s="4">
        <v>299.32498132252</v>
      </c>
      <c r="E715" s="4" t="s">
        <v>8698</v>
      </c>
      <c r="F715" s="4"/>
      <c r="G715" s="4"/>
      <c r="H715" s="4"/>
      <c r="I715" s="4"/>
      <c r="J715" s="18">
        <v>0.0</v>
      </c>
      <c r="K715" s="4" t="s">
        <v>8494</v>
      </c>
      <c r="L715" s="19" t="s">
        <v>8494</v>
      </c>
      <c r="M715" s="20" t="s">
        <v>8494</v>
      </c>
    </row>
    <row r="716">
      <c r="A716" s="6"/>
      <c r="B716" s="6"/>
      <c r="C716" s="4"/>
      <c r="D716" s="4">
        <v>299.32498132252</v>
      </c>
      <c r="E716" s="4" t="s">
        <v>8774</v>
      </c>
      <c r="F716" s="4"/>
      <c r="G716" s="4"/>
      <c r="H716" s="4"/>
      <c r="I716" s="4"/>
      <c r="J716" s="18">
        <v>0.0</v>
      </c>
      <c r="K716" s="4" t="s">
        <v>8494</v>
      </c>
      <c r="L716" s="19" t="s">
        <v>8494</v>
      </c>
      <c r="M716" s="20" t="s">
        <v>8494</v>
      </c>
    </row>
    <row r="717">
      <c r="A717" s="6"/>
      <c r="B717" s="6"/>
      <c r="C717" s="4"/>
      <c r="D717" s="4">
        <v>299.32498132252</v>
      </c>
      <c r="E717" s="4" t="s">
        <v>8775</v>
      </c>
      <c r="F717" s="4"/>
      <c r="G717" s="4"/>
      <c r="H717" s="4"/>
      <c r="I717" s="4"/>
      <c r="J717" s="18">
        <v>0.0</v>
      </c>
      <c r="K717" s="4" t="s">
        <v>8494</v>
      </c>
      <c r="L717" s="19" t="s">
        <v>8494</v>
      </c>
      <c r="M717" s="20" t="s">
        <v>8494</v>
      </c>
    </row>
    <row r="718">
      <c r="A718" s="6"/>
      <c r="B718" s="6"/>
      <c r="C718" s="4"/>
      <c r="D718" s="4">
        <v>299.32498132252</v>
      </c>
      <c r="E718" s="4" t="s">
        <v>7332</v>
      </c>
      <c r="F718" s="4"/>
      <c r="G718" s="4"/>
      <c r="H718" s="4"/>
      <c r="I718" s="4"/>
      <c r="J718" s="18">
        <v>0.0</v>
      </c>
      <c r="K718" s="4" t="s">
        <v>8494</v>
      </c>
      <c r="L718" s="19" t="s">
        <v>8494</v>
      </c>
      <c r="M718" s="20" t="s">
        <v>8494</v>
      </c>
    </row>
    <row r="719">
      <c r="A719" s="6"/>
      <c r="B719" s="6"/>
      <c r="C719" s="4"/>
      <c r="D719" s="4">
        <v>299.32498132252</v>
      </c>
      <c r="E719" s="4" t="s">
        <v>6626</v>
      </c>
      <c r="F719" s="4"/>
      <c r="G719" s="4"/>
      <c r="H719" s="4"/>
      <c r="I719" s="4"/>
      <c r="J719" s="18">
        <v>0.0</v>
      </c>
      <c r="K719" s="4" t="s">
        <v>8494</v>
      </c>
      <c r="L719" s="19" t="s">
        <v>8494</v>
      </c>
      <c r="M719" s="20" t="s">
        <v>8494</v>
      </c>
    </row>
    <row r="720">
      <c r="A720" s="6"/>
      <c r="B720" s="6"/>
      <c r="C720" s="4"/>
      <c r="D720" s="4">
        <v>299.32498132252</v>
      </c>
      <c r="E720" s="4" t="s">
        <v>7568</v>
      </c>
      <c r="F720" s="4"/>
      <c r="G720" s="4"/>
      <c r="H720" s="4"/>
      <c r="I720" s="4"/>
      <c r="J720" s="18">
        <v>0.0</v>
      </c>
      <c r="K720" s="4" t="s">
        <v>8494</v>
      </c>
      <c r="L720" s="19" t="s">
        <v>8494</v>
      </c>
      <c r="M720" s="20" t="s">
        <v>8494</v>
      </c>
    </row>
    <row r="721">
      <c r="A721" s="6"/>
      <c r="B721" s="6"/>
      <c r="C721" s="4"/>
      <c r="D721" s="4">
        <v>299.32498132252</v>
      </c>
      <c r="E721" s="4" t="s">
        <v>8517</v>
      </c>
      <c r="F721" s="4"/>
      <c r="G721" s="4"/>
      <c r="H721" s="4"/>
      <c r="I721" s="4"/>
      <c r="J721" s="18">
        <v>0.0</v>
      </c>
      <c r="K721" s="4" t="s">
        <v>8494</v>
      </c>
      <c r="L721" s="19" t="s">
        <v>8494</v>
      </c>
      <c r="M721" s="20" t="s">
        <v>8494</v>
      </c>
    </row>
    <row r="722">
      <c r="A722" s="6"/>
      <c r="B722" s="6"/>
      <c r="C722" s="4"/>
      <c r="D722" s="4">
        <v>299.32498132252</v>
      </c>
      <c r="E722" s="4" t="s">
        <v>3501</v>
      </c>
      <c r="F722" s="4"/>
      <c r="G722" s="4"/>
      <c r="H722" s="4"/>
      <c r="I722" s="4"/>
      <c r="J722" s="18">
        <v>0.0</v>
      </c>
      <c r="K722" s="4" t="s">
        <v>8494</v>
      </c>
      <c r="L722" s="19" t="s">
        <v>8494</v>
      </c>
      <c r="M722" s="20" t="s">
        <v>8494</v>
      </c>
    </row>
    <row r="723">
      <c r="A723" s="6"/>
      <c r="B723" s="6"/>
      <c r="C723" s="4"/>
      <c r="D723" s="4">
        <v>299.32498132252</v>
      </c>
      <c r="E723" s="4" t="s">
        <v>8564</v>
      </c>
      <c r="F723" s="4"/>
      <c r="G723" s="4"/>
      <c r="H723" s="4"/>
      <c r="I723" s="4"/>
      <c r="J723" s="18">
        <v>0.0</v>
      </c>
      <c r="K723" s="4" t="s">
        <v>8494</v>
      </c>
      <c r="L723" s="19" t="s">
        <v>8494</v>
      </c>
      <c r="M723" s="20" t="s">
        <v>8494</v>
      </c>
    </row>
    <row r="724">
      <c r="A724" s="6"/>
      <c r="B724" s="6"/>
      <c r="C724" s="4"/>
      <c r="D724" s="4">
        <v>299.32498132252</v>
      </c>
      <c r="E724" s="4" t="s">
        <v>2048</v>
      </c>
      <c r="F724" s="4"/>
      <c r="G724" s="4"/>
      <c r="H724" s="4"/>
      <c r="I724" s="4"/>
      <c r="J724" s="18">
        <v>0.0</v>
      </c>
      <c r="K724" s="4" t="s">
        <v>8494</v>
      </c>
      <c r="L724" s="19" t="s">
        <v>8494</v>
      </c>
      <c r="M724" s="20" t="s">
        <v>8494</v>
      </c>
    </row>
    <row r="725">
      <c r="A725" s="6"/>
      <c r="B725" s="6"/>
      <c r="C725" s="4"/>
      <c r="D725" s="4">
        <v>299.32498132252</v>
      </c>
      <c r="E725" s="4" t="s">
        <v>507</v>
      </c>
      <c r="F725" s="4"/>
      <c r="G725" s="4"/>
      <c r="H725" s="4"/>
      <c r="I725" s="4"/>
      <c r="J725" s="18">
        <v>0.0</v>
      </c>
      <c r="K725" s="4" t="s">
        <v>8494</v>
      </c>
      <c r="L725" s="19" t="s">
        <v>8494</v>
      </c>
      <c r="M725" s="20" t="s">
        <v>8494</v>
      </c>
    </row>
    <row r="726">
      <c r="A726" s="6"/>
      <c r="B726" s="6"/>
      <c r="C726" s="4"/>
      <c r="D726" s="4">
        <v>299.32498132252</v>
      </c>
      <c r="E726" s="4" t="s">
        <v>8776</v>
      </c>
      <c r="F726" s="4"/>
      <c r="G726" s="4"/>
      <c r="H726" s="4"/>
      <c r="I726" s="4"/>
      <c r="J726" s="18">
        <v>0.0</v>
      </c>
      <c r="K726" s="4" t="s">
        <v>8494</v>
      </c>
      <c r="L726" s="19" t="s">
        <v>8494</v>
      </c>
      <c r="M726" s="20" t="s">
        <v>8494</v>
      </c>
    </row>
    <row r="727">
      <c r="A727" s="6"/>
      <c r="B727" s="6"/>
      <c r="C727" s="4"/>
      <c r="D727" s="4">
        <v>299.32498132252</v>
      </c>
      <c r="E727" s="4" t="s">
        <v>2789</v>
      </c>
      <c r="F727" s="4"/>
      <c r="G727" s="4"/>
      <c r="H727" s="4"/>
      <c r="I727" s="4"/>
      <c r="J727" s="18">
        <v>0.0</v>
      </c>
      <c r="K727" s="4" t="s">
        <v>8494</v>
      </c>
      <c r="L727" s="19" t="s">
        <v>8494</v>
      </c>
      <c r="M727" s="20" t="s">
        <v>8494</v>
      </c>
    </row>
    <row r="728">
      <c r="A728" s="6"/>
      <c r="B728" s="6"/>
      <c r="C728" s="4"/>
      <c r="D728" s="4">
        <v>299.32498132252</v>
      </c>
      <c r="E728" s="4" t="s">
        <v>8777</v>
      </c>
      <c r="F728" s="4"/>
      <c r="G728" s="4"/>
      <c r="H728" s="4"/>
      <c r="I728" s="4"/>
      <c r="J728" s="18">
        <v>0.0</v>
      </c>
      <c r="K728" s="4" t="s">
        <v>8494</v>
      </c>
      <c r="L728" s="19" t="s">
        <v>8494</v>
      </c>
      <c r="M728" s="20" t="s">
        <v>8494</v>
      </c>
    </row>
    <row r="729">
      <c r="A729" s="6"/>
      <c r="B729" s="6"/>
      <c r="C729" s="4"/>
      <c r="D729" s="4">
        <v>299.32498132252</v>
      </c>
      <c r="E729" s="4" t="s">
        <v>2999</v>
      </c>
      <c r="F729" s="4"/>
      <c r="G729" s="4"/>
      <c r="H729" s="4"/>
      <c r="I729" s="4"/>
      <c r="J729" s="18">
        <v>0.0</v>
      </c>
      <c r="K729" s="4" t="s">
        <v>8494</v>
      </c>
      <c r="L729" s="19" t="s">
        <v>8494</v>
      </c>
      <c r="M729" s="20" t="s">
        <v>8494</v>
      </c>
    </row>
    <row r="730">
      <c r="A730" s="6"/>
      <c r="B730" s="6"/>
      <c r="C730" s="4"/>
      <c r="D730" s="4">
        <v>299.32498132252</v>
      </c>
      <c r="E730" s="4" t="s">
        <v>8538</v>
      </c>
      <c r="F730" s="4"/>
      <c r="G730" s="4"/>
      <c r="H730" s="4"/>
      <c r="I730" s="4"/>
      <c r="J730" s="18">
        <v>0.0</v>
      </c>
      <c r="K730" s="4" t="s">
        <v>8494</v>
      </c>
      <c r="L730" s="19" t="s">
        <v>8494</v>
      </c>
      <c r="M730" s="20" t="s">
        <v>8494</v>
      </c>
    </row>
    <row r="731">
      <c r="A731" s="6"/>
      <c r="B731" s="6"/>
      <c r="C731" s="4"/>
      <c r="D731" s="4">
        <v>299.32498132252</v>
      </c>
      <c r="E731" s="4" t="s">
        <v>8627</v>
      </c>
      <c r="F731" s="4"/>
      <c r="G731" s="4"/>
      <c r="H731" s="4"/>
      <c r="I731" s="4"/>
      <c r="J731" s="18">
        <v>0.0</v>
      </c>
      <c r="K731" s="4" t="s">
        <v>8494</v>
      </c>
      <c r="L731" s="19" t="s">
        <v>8494</v>
      </c>
      <c r="M731" s="20" t="s">
        <v>8494</v>
      </c>
    </row>
    <row r="732">
      <c r="A732" s="6"/>
      <c r="B732" s="6"/>
      <c r="C732" s="4"/>
      <c r="D732" s="4">
        <v>299.32498132252</v>
      </c>
      <c r="E732" s="4" t="s">
        <v>7952</v>
      </c>
      <c r="F732" s="4"/>
      <c r="G732" s="4"/>
      <c r="H732" s="4"/>
      <c r="I732" s="4"/>
      <c r="J732" s="18">
        <v>0.0</v>
      </c>
      <c r="K732" s="4" t="s">
        <v>8494</v>
      </c>
      <c r="L732" s="19" t="s">
        <v>8494</v>
      </c>
      <c r="M732" s="20" t="s">
        <v>8494</v>
      </c>
    </row>
    <row r="733">
      <c r="A733" s="6"/>
      <c r="B733" s="6"/>
      <c r="C733" s="4"/>
      <c r="D733" s="4">
        <v>299.32498132252</v>
      </c>
      <c r="E733" s="4" t="s">
        <v>8521</v>
      </c>
      <c r="F733" s="4"/>
      <c r="G733" s="4"/>
      <c r="H733" s="4"/>
      <c r="I733" s="4"/>
      <c r="J733" s="18">
        <v>0.0</v>
      </c>
      <c r="K733" s="4" t="s">
        <v>8494</v>
      </c>
      <c r="L733" s="19" t="s">
        <v>8494</v>
      </c>
      <c r="M733" s="20" t="s">
        <v>8494</v>
      </c>
    </row>
    <row r="734">
      <c r="A734" s="6"/>
      <c r="B734" s="6"/>
      <c r="C734" s="4"/>
      <c r="D734" s="4">
        <v>299.32498132252</v>
      </c>
      <c r="E734" s="4" t="s">
        <v>8701</v>
      </c>
      <c r="F734" s="4"/>
      <c r="G734" s="4"/>
      <c r="H734" s="4"/>
      <c r="I734" s="4"/>
      <c r="J734" s="18">
        <v>0.0</v>
      </c>
      <c r="K734" s="4" t="s">
        <v>8494</v>
      </c>
      <c r="L734" s="19" t="s">
        <v>8494</v>
      </c>
      <c r="M734" s="20" t="s">
        <v>8494</v>
      </c>
    </row>
    <row r="735">
      <c r="A735" s="6"/>
      <c r="B735" s="6"/>
      <c r="C735" s="4"/>
      <c r="D735" s="4">
        <v>299.32498132252</v>
      </c>
      <c r="E735" s="4" t="s">
        <v>3547</v>
      </c>
      <c r="F735" s="4"/>
      <c r="G735" s="4"/>
      <c r="H735" s="4"/>
      <c r="I735" s="4"/>
      <c r="J735" s="18">
        <v>0.0</v>
      </c>
      <c r="K735" s="4" t="s">
        <v>8494</v>
      </c>
      <c r="L735" s="19" t="s">
        <v>8494</v>
      </c>
      <c r="M735" s="20" t="s">
        <v>8494</v>
      </c>
    </row>
    <row r="736">
      <c r="A736" s="6"/>
      <c r="B736" s="6"/>
      <c r="C736" s="4"/>
      <c r="D736" s="4">
        <v>299.32498132252</v>
      </c>
      <c r="E736" s="4" t="s">
        <v>8659</v>
      </c>
      <c r="F736" s="4"/>
      <c r="G736" s="4"/>
      <c r="H736" s="4"/>
      <c r="I736" s="4"/>
      <c r="J736" s="18">
        <v>0.0</v>
      </c>
      <c r="K736" s="4" t="s">
        <v>8494</v>
      </c>
      <c r="L736" s="19" t="s">
        <v>8494</v>
      </c>
      <c r="M736" s="20" t="s">
        <v>8494</v>
      </c>
    </row>
    <row r="737">
      <c r="A737" s="6"/>
      <c r="B737" s="6"/>
      <c r="C737" s="4"/>
      <c r="D737" s="4">
        <v>299.32498132252</v>
      </c>
      <c r="E737" s="4" t="s">
        <v>8641</v>
      </c>
      <c r="F737" s="4"/>
      <c r="G737" s="4"/>
      <c r="H737" s="4"/>
      <c r="I737" s="4"/>
      <c r="J737" s="18">
        <v>0.0</v>
      </c>
      <c r="K737" s="4" t="s">
        <v>8494</v>
      </c>
      <c r="L737" s="19" t="s">
        <v>8494</v>
      </c>
      <c r="M737" s="20" t="s">
        <v>8494</v>
      </c>
    </row>
    <row r="738">
      <c r="A738" s="6"/>
      <c r="B738" s="6"/>
      <c r="C738" s="4"/>
      <c r="D738" s="4">
        <v>299.32498132252</v>
      </c>
      <c r="E738" s="4" t="s">
        <v>591</v>
      </c>
      <c r="F738" s="4"/>
      <c r="G738" s="4"/>
      <c r="H738" s="4"/>
      <c r="I738" s="4"/>
      <c r="J738" s="18">
        <v>0.0</v>
      </c>
      <c r="K738" s="4" t="s">
        <v>8494</v>
      </c>
      <c r="L738" s="19" t="s">
        <v>8494</v>
      </c>
      <c r="M738" s="20" t="s">
        <v>8494</v>
      </c>
    </row>
    <row r="739">
      <c r="A739" s="6"/>
      <c r="B739" s="6"/>
      <c r="C739" s="4"/>
      <c r="D739" s="4">
        <v>299.32498132252</v>
      </c>
      <c r="E739" s="4" t="s">
        <v>8525</v>
      </c>
      <c r="F739" s="4"/>
      <c r="G739" s="4"/>
      <c r="H739" s="4"/>
      <c r="I739" s="4"/>
      <c r="J739" s="18">
        <v>0.0</v>
      </c>
      <c r="K739" s="4" t="s">
        <v>8494</v>
      </c>
      <c r="L739" s="19" t="s">
        <v>8494</v>
      </c>
      <c r="M739" s="20" t="s">
        <v>8494</v>
      </c>
    </row>
    <row r="740">
      <c r="A740" s="6"/>
      <c r="B740" s="6"/>
      <c r="C740" s="4"/>
      <c r="D740" s="4">
        <v>299.32498132252</v>
      </c>
      <c r="E740" s="4" t="s">
        <v>3668</v>
      </c>
      <c r="F740" s="4"/>
      <c r="G740" s="4"/>
      <c r="H740" s="4"/>
      <c r="I740" s="4"/>
      <c r="J740" s="18">
        <v>0.0</v>
      </c>
      <c r="K740" s="4" t="s">
        <v>8494</v>
      </c>
      <c r="L740" s="19" t="s">
        <v>8494</v>
      </c>
      <c r="M740" s="20" t="s">
        <v>8494</v>
      </c>
    </row>
    <row r="741">
      <c r="A741" s="6"/>
      <c r="B741" s="6"/>
      <c r="C741" s="4"/>
      <c r="D741" s="4">
        <v>299.32498132252</v>
      </c>
      <c r="E741" s="4" t="s">
        <v>8073</v>
      </c>
      <c r="F741" s="4"/>
      <c r="G741" s="4"/>
      <c r="H741" s="4"/>
      <c r="I741" s="4"/>
      <c r="J741" s="18">
        <v>0.0</v>
      </c>
      <c r="K741" s="4" t="s">
        <v>8494</v>
      </c>
      <c r="L741" s="19" t="s">
        <v>8494</v>
      </c>
      <c r="M741" s="20" t="s">
        <v>8494</v>
      </c>
    </row>
    <row r="742">
      <c r="A742" s="6"/>
      <c r="B742" s="6"/>
      <c r="C742" s="4"/>
      <c r="D742" s="4">
        <v>299.32498132252</v>
      </c>
      <c r="E742" s="4" t="s">
        <v>6088</v>
      </c>
      <c r="F742" s="4"/>
      <c r="G742" s="4"/>
      <c r="H742" s="4"/>
      <c r="I742" s="4"/>
      <c r="J742" s="18">
        <v>0.0</v>
      </c>
      <c r="K742" s="4" t="s">
        <v>8494</v>
      </c>
      <c r="L742" s="19" t="s">
        <v>8494</v>
      </c>
      <c r="M742" s="20" t="s">
        <v>8494</v>
      </c>
    </row>
    <row r="743">
      <c r="A743" s="6"/>
      <c r="B743" s="6"/>
      <c r="C743" s="4"/>
      <c r="D743" s="4">
        <v>299.32498132252</v>
      </c>
      <c r="E743" s="4" t="s">
        <v>2960</v>
      </c>
      <c r="F743" s="4"/>
      <c r="G743" s="4"/>
      <c r="H743" s="4"/>
      <c r="I743" s="4"/>
      <c r="J743" s="18">
        <v>0.0</v>
      </c>
      <c r="K743" s="4" t="s">
        <v>8494</v>
      </c>
      <c r="L743" s="19" t="s">
        <v>8494</v>
      </c>
      <c r="M743" s="20" t="s">
        <v>8494</v>
      </c>
    </row>
    <row r="744">
      <c r="A744" s="6"/>
      <c r="B744" s="6"/>
      <c r="C744" s="4"/>
      <c r="D744" s="4">
        <v>299.32498132252</v>
      </c>
      <c r="E744" s="4" t="s">
        <v>2471</v>
      </c>
      <c r="F744" s="4"/>
      <c r="G744" s="4"/>
      <c r="H744" s="4"/>
      <c r="I744" s="4"/>
      <c r="J744" s="18">
        <v>0.0</v>
      </c>
      <c r="K744" s="4" t="s">
        <v>8494</v>
      </c>
      <c r="L744" s="19" t="s">
        <v>8494</v>
      </c>
      <c r="M744" s="20" t="s">
        <v>8494</v>
      </c>
    </row>
    <row r="745">
      <c r="A745" s="6"/>
      <c r="B745" s="6"/>
      <c r="C745" s="4"/>
      <c r="D745" s="4">
        <v>179.594988793512</v>
      </c>
      <c r="E745" s="4" t="s">
        <v>1836</v>
      </c>
      <c r="F745" s="4"/>
      <c r="G745" s="4"/>
      <c r="H745" s="4"/>
      <c r="I745" s="4"/>
      <c r="J745" s="18">
        <v>0.0</v>
      </c>
      <c r="K745" s="4" t="s">
        <v>8494</v>
      </c>
      <c r="L745" s="19" t="s">
        <v>8494</v>
      </c>
      <c r="M745" s="20" t="s">
        <v>8494</v>
      </c>
    </row>
    <row r="746">
      <c r="A746" s="6"/>
      <c r="B746" s="6"/>
      <c r="C746" s="4"/>
      <c r="D746" s="4">
        <v>299.32498132252</v>
      </c>
      <c r="E746" s="4" t="s">
        <v>4354</v>
      </c>
      <c r="F746" s="4"/>
      <c r="G746" s="4"/>
      <c r="H746" s="4"/>
      <c r="I746" s="4"/>
      <c r="J746" s="18">
        <v>0.0</v>
      </c>
      <c r="K746" s="4" t="s">
        <v>8494</v>
      </c>
      <c r="L746" s="19" t="s">
        <v>8494</v>
      </c>
      <c r="M746" s="20" t="s">
        <v>8494</v>
      </c>
    </row>
    <row r="747">
      <c r="A747" s="6"/>
      <c r="B747" s="6"/>
      <c r="C747" s="4"/>
      <c r="D747" s="4">
        <v>93.00262721240999</v>
      </c>
      <c r="E747" s="4" t="s">
        <v>8779</v>
      </c>
      <c r="F747" s="4"/>
      <c r="G747" s="4"/>
      <c r="H747" s="4"/>
      <c r="I747" s="4"/>
      <c r="J747" s="18">
        <v>0.0</v>
      </c>
      <c r="K747" s="4" t="s">
        <v>8494</v>
      </c>
      <c r="L747" s="19" t="s">
        <v>8494</v>
      </c>
      <c r="M747" s="20" t="s">
        <v>8494</v>
      </c>
    </row>
    <row r="748">
      <c r="A748" s="6"/>
      <c r="B748" s="6"/>
      <c r="C748" s="4"/>
      <c r="D748" s="4">
        <v>299.32498132252</v>
      </c>
      <c r="E748" s="4" t="s">
        <v>3669</v>
      </c>
      <c r="F748" s="4"/>
      <c r="G748" s="4"/>
      <c r="H748" s="4"/>
      <c r="I748" s="4"/>
      <c r="J748" s="18">
        <v>0.0</v>
      </c>
      <c r="K748" s="4" t="s">
        <v>8494</v>
      </c>
      <c r="L748" s="19" t="s">
        <v>8494</v>
      </c>
      <c r="M748" s="20" t="s">
        <v>8494</v>
      </c>
    </row>
    <row r="749">
      <c r="A749" s="6"/>
      <c r="B749" s="6"/>
      <c r="C749" s="4"/>
      <c r="D749" s="4">
        <v>210.485524501693</v>
      </c>
      <c r="E749" s="4" t="s">
        <v>8545</v>
      </c>
      <c r="F749" s="4"/>
      <c r="G749" s="4"/>
      <c r="H749" s="4"/>
      <c r="I749" s="4"/>
      <c r="J749" s="18">
        <v>0.0</v>
      </c>
      <c r="K749" s="4" t="s">
        <v>8494</v>
      </c>
      <c r="L749" s="19" t="s">
        <v>8494</v>
      </c>
      <c r="M749" s="20" t="s">
        <v>8494</v>
      </c>
    </row>
    <row r="750">
      <c r="A750" s="6"/>
      <c r="B750" s="6"/>
      <c r="C750" s="4"/>
      <c r="D750" s="4">
        <v>299.32498132252</v>
      </c>
      <c r="E750" s="4" t="s">
        <v>3277</v>
      </c>
      <c r="F750" s="4"/>
      <c r="G750" s="4"/>
      <c r="H750" s="4"/>
      <c r="I750" s="4"/>
      <c r="J750" s="18">
        <v>0.0</v>
      </c>
      <c r="K750" s="4" t="s">
        <v>8494</v>
      </c>
      <c r="L750" s="19" t="s">
        <v>8494</v>
      </c>
      <c r="M750" s="20" t="s">
        <v>8494</v>
      </c>
    </row>
    <row r="751">
      <c r="A751" s="6"/>
      <c r="B751" s="6"/>
      <c r="C751" s="4"/>
      <c r="D751" s="4">
        <v>299.32498132252</v>
      </c>
      <c r="E751" s="4" t="s">
        <v>1493</v>
      </c>
      <c r="F751" s="4"/>
      <c r="G751" s="4"/>
      <c r="H751" s="4"/>
      <c r="I751" s="4"/>
      <c r="J751" s="18">
        <v>0.0</v>
      </c>
      <c r="K751" s="4" t="s">
        <v>8494</v>
      </c>
      <c r="L751" s="19" t="s">
        <v>8494</v>
      </c>
      <c r="M751" s="20" t="s">
        <v>8494</v>
      </c>
    </row>
    <row r="752">
      <c r="A752" s="6"/>
      <c r="B752" s="6"/>
      <c r="C752" s="4"/>
      <c r="D752" s="4">
        <v>299.32498132252</v>
      </c>
      <c r="E752" s="4" t="s">
        <v>280</v>
      </c>
      <c r="F752" s="4"/>
      <c r="G752" s="4"/>
      <c r="H752" s="4"/>
      <c r="I752" s="4"/>
      <c r="J752" s="18">
        <v>0.0</v>
      </c>
      <c r="K752" s="4" t="s">
        <v>8494</v>
      </c>
      <c r="L752" s="19" t="s">
        <v>8494</v>
      </c>
      <c r="M752" s="20" t="s">
        <v>8494</v>
      </c>
    </row>
    <row r="753">
      <c r="A753" s="6"/>
      <c r="B753" s="6"/>
      <c r="C753" s="4"/>
      <c r="D753" s="4">
        <v>299.32498132252</v>
      </c>
      <c r="E753" s="4" t="s">
        <v>8668</v>
      </c>
      <c r="F753" s="4"/>
      <c r="G753" s="4"/>
      <c r="H753" s="4"/>
      <c r="I753" s="4"/>
      <c r="J753" s="18">
        <v>0.0</v>
      </c>
      <c r="K753" s="4" t="s">
        <v>8494</v>
      </c>
      <c r="L753" s="19" t="s">
        <v>8494</v>
      </c>
      <c r="M753" s="20" t="s">
        <v>8494</v>
      </c>
    </row>
    <row r="754">
      <c r="A754" s="6"/>
      <c r="B754" s="6"/>
      <c r="C754" s="4"/>
      <c r="D754" s="4">
        <v>299.32498132252</v>
      </c>
      <c r="E754" s="4" t="s">
        <v>8617</v>
      </c>
      <c r="F754" s="4"/>
      <c r="G754" s="4"/>
      <c r="H754" s="4"/>
      <c r="I754" s="4"/>
      <c r="J754" s="18">
        <v>0.0</v>
      </c>
      <c r="K754" s="4" t="s">
        <v>8494</v>
      </c>
      <c r="L754" s="19" t="s">
        <v>8494</v>
      </c>
      <c r="M754" s="20" t="s">
        <v>8494</v>
      </c>
    </row>
    <row r="755">
      <c r="A755" s="6"/>
      <c r="B755" s="6"/>
      <c r="C755" s="4"/>
      <c r="D755" s="4">
        <v>299.32498132252</v>
      </c>
      <c r="E755" s="4" t="s">
        <v>8782</v>
      </c>
      <c r="F755" s="4"/>
      <c r="G755" s="4"/>
      <c r="H755" s="4"/>
      <c r="I755" s="4"/>
      <c r="J755" s="18">
        <v>0.0</v>
      </c>
      <c r="K755" s="4" t="s">
        <v>8494</v>
      </c>
      <c r="L755" s="19" t="s">
        <v>8494</v>
      </c>
      <c r="M755" s="20" t="s">
        <v>8494</v>
      </c>
    </row>
    <row r="756">
      <c r="A756" s="6"/>
      <c r="B756" s="6"/>
      <c r="C756" s="4"/>
      <c r="D756" s="4">
        <v>299.32498132252</v>
      </c>
      <c r="E756" s="4" t="s">
        <v>7453</v>
      </c>
      <c r="F756" s="4"/>
      <c r="G756" s="4"/>
      <c r="H756" s="4"/>
      <c r="I756" s="4"/>
      <c r="J756" s="18">
        <v>0.0</v>
      </c>
      <c r="K756" s="4" t="s">
        <v>8494</v>
      </c>
      <c r="L756" s="19" t="s">
        <v>8494</v>
      </c>
      <c r="M756" s="20" t="s">
        <v>8494</v>
      </c>
    </row>
    <row r="757">
      <c r="A757" s="6"/>
      <c r="B757" s="6"/>
      <c r="C757" s="4"/>
      <c r="D757" s="4">
        <v>299.32498132252</v>
      </c>
      <c r="E757" s="4" t="s">
        <v>8509</v>
      </c>
      <c r="F757" s="4"/>
      <c r="G757" s="4"/>
      <c r="H757" s="4"/>
      <c r="I757" s="4"/>
      <c r="J757" s="18">
        <v>0.0</v>
      </c>
      <c r="K757" s="4" t="s">
        <v>8494</v>
      </c>
      <c r="L757" s="19" t="s">
        <v>8494</v>
      </c>
      <c r="M757" s="20" t="s">
        <v>8494</v>
      </c>
    </row>
    <row r="758">
      <c r="A758" s="6"/>
      <c r="B758" s="6"/>
      <c r="C758" s="4"/>
      <c r="D758" s="4">
        <v>299.32498132252</v>
      </c>
      <c r="E758" s="4" t="s">
        <v>8669</v>
      </c>
      <c r="F758" s="4"/>
      <c r="G758" s="4"/>
      <c r="H758" s="4"/>
      <c r="I758" s="4"/>
      <c r="J758" s="18">
        <v>0.0</v>
      </c>
      <c r="K758" s="4" t="s">
        <v>8494</v>
      </c>
      <c r="L758" s="19" t="s">
        <v>8494</v>
      </c>
      <c r="M758" s="20" t="s">
        <v>8494</v>
      </c>
    </row>
    <row r="759">
      <c r="A759" s="6"/>
      <c r="B759" s="6"/>
      <c r="C759" s="4"/>
      <c r="D759" s="4">
        <v>299.32498132252</v>
      </c>
      <c r="E759" s="4" t="s">
        <v>8783</v>
      </c>
      <c r="F759" s="4"/>
      <c r="G759" s="4"/>
      <c r="H759" s="4"/>
      <c r="I759" s="4"/>
      <c r="J759" s="18">
        <v>0.0</v>
      </c>
      <c r="K759" s="4" t="s">
        <v>8494</v>
      </c>
      <c r="L759" s="19" t="s">
        <v>8494</v>
      </c>
      <c r="M759" s="20" t="s">
        <v>8494</v>
      </c>
    </row>
    <row r="760">
      <c r="A760" s="6"/>
      <c r="B760" s="6"/>
      <c r="C760" s="4"/>
      <c r="D760" s="4">
        <v>76.0748732149214</v>
      </c>
      <c r="E760" s="4" t="s">
        <v>8598</v>
      </c>
      <c r="F760" s="4"/>
      <c r="G760" s="4"/>
      <c r="H760" s="4"/>
      <c r="I760" s="4"/>
      <c r="J760" s="18">
        <v>0.0</v>
      </c>
      <c r="K760" s="4" t="s">
        <v>8494</v>
      </c>
      <c r="L760" s="19" t="s">
        <v>8494</v>
      </c>
      <c r="M760" s="20" t="s">
        <v>8494</v>
      </c>
    </row>
    <row r="761">
      <c r="A761" s="6"/>
      <c r="B761" s="6"/>
      <c r="C761" s="4"/>
      <c r="D761" s="4">
        <v>299.32498132252</v>
      </c>
      <c r="E761" s="4" t="s">
        <v>8594</v>
      </c>
      <c r="F761" s="4"/>
      <c r="G761" s="4"/>
      <c r="H761" s="4"/>
      <c r="I761" s="4"/>
      <c r="J761" s="18">
        <v>0.0</v>
      </c>
      <c r="K761" s="4" t="s">
        <v>8494</v>
      </c>
      <c r="L761" s="19" t="s">
        <v>8494</v>
      </c>
      <c r="M761" s="20" t="s">
        <v>8494</v>
      </c>
    </row>
    <row r="762">
      <c r="A762" s="6"/>
      <c r="B762" s="6"/>
      <c r="C762" s="4"/>
      <c r="D762" s="4">
        <v>299.32498132252</v>
      </c>
      <c r="E762" s="4" t="s">
        <v>834</v>
      </c>
      <c r="F762" s="4"/>
      <c r="G762" s="4"/>
      <c r="H762" s="4"/>
      <c r="I762" s="4"/>
      <c r="J762" s="18">
        <v>0.0</v>
      </c>
      <c r="K762" s="4" t="s">
        <v>8494</v>
      </c>
      <c r="L762" s="19" t="s">
        <v>8494</v>
      </c>
      <c r="M762" s="20" t="s">
        <v>8494</v>
      </c>
    </row>
    <row r="763">
      <c r="A763" s="6"/>
      <c r="B763" s="6"/>
      <c r="C763" s="4"/>
      <c r="D763" s="4">
        <v>299.32498132252</v>
      </c>
      <c r="E763" s="4" t="s">
        <v>2036</v>
      </c>
      <c r="F763" s="4"/>
      <c r="G763" s="4"/>
      <c r="H763" s="4"/>
      <c r="I763" s="4"/>
      <c r="J763" s="18">
        <v>0.0</v>
      </c>
      <c r="K763" s="4" t="s">
        <v>8494</v>
      </c>
      <c r="L763" s="19" t="s">
        <v>8494</v>
      </c>
      <c r="M763" s="20" t="s">
        <v>8494</v>
      </c>
    </row>
    <row r="764">
      <c r="A764" s="6"/>
      <c r="B764" s="6"/>
      <c r="C764" s="4"/>
      <c r="D764" s="4">
        <v>299.32498132252</v>
      </c>
      <c r="E764" s="4" t="s">
        <v>8601</v>
      </c>
      <c r="F764" s="4"/>
      <c r="G764" s="4"/>
      <c r="H764" s="4"/>
      <c r="I764" s="4"/>
      <c r="J764" s="18">
        <v>0.0</v>
      </c>
      <c r="K764" s="4" t="s">
        <v>8494</v>
      </c>
      <c r="L764" s="19" t="s">
        <v>8494</v>
      </c>
      <c r="M764" s="20" t="s">
        <v>8494</v>
      </c>
    </row>
    <row r="765">
      <c r="A765" s="6"/>
      <c r="B765" s="6"/>
      <c r="C765" s="4"/>
      <c r="D765" s="4">
        <v>107.13815853211</v>
      </c>
      <c r="E765" s="4" t="s">
        <v>7446</v>
      </c>
      <c r="F765" s="4"/>
      <c r="G765" s="4"/>
      <c r="H765" s="4"/>
      <c r="I765" s="4"/>
      <c r="J765" s="18">
        <v>0.0</v>
      </c>
      <c r="K765" s="4" t="s">
        <v>8494</v>
      </c>
      <c r="L765" s="19" t="s">
        <v>8494</v>
      </c>
      <c r="M765" s="20" t="s">
        <v>8494</v>
      </c>
    </row>
    <row r="766">
      <c r="A766" s="6"/>
      <c r="B766" s="6"/>
      <c r="C766" s="4"/>
      <c r="D766" s="4">
        <v>299.32498132252</v>
      </c>
      <c r="E766" s="4" t="s">
        <v>8516</v>
      </c>
      <c r="F766" s="4"/>
      <c r="G766" s="4"/>
      <c r="H766" s="4"/>
      <c r="I766" s="4"/>
      <c r="J766" s="18">
        <v>0.0</v>
      </c>
      <c r="K766" s="4" t="s">
        <v>8494</v>
      </c>
      <c r="L766" s="19" t="s">
        <v>8494</v>
      </c>
      <c r="M766" s="20" t="s">
        <v>8494</v>
      </c>
    </row>
    <row r="767">
      <c r="A767" s="6"/>
      <c r="B767" s="6"/>
      <c r="C767" s="4"/>
      <c r="D767" s="4">
        <v>299.32498132252</v>
      </c>
      <c r="E767" s="4" t="s">
        <v>8642</v>
      </c>
      <c r="F767" s="4"/>
      <c r="G767" s="4"/>
      <c r="H767" s="4"/>
      <c r="I767" s="4"/>
      <c r="J767" s="18">
        <v>0.0</v>
      </c>
      <c r="K767" s="4" t="s">
        <v>8494</v>
      </c>
      <c r="L767" s="19" t="s">
        <v>8494</v>
      </c>
      <c r="M767" s="20" t="s">
        <v>8494</v>
      </c>
    </row>
    <row r="768">
      <c r="A768" s="6"/>
      <c r="B768" s="6"/>
      <c r="C768" s="4"/>
      <c r="D768" s="4">
        <v>299.32498132252</v>
      </c>
      <c r="E768" s="4" t="s">
        <v>2473</v>
      </c>
      <c r="F768" s="4"/>
      <c r="G768" s="4"/>
      <c r="H768" s="4"/>
      <c r="I768" s="4"/>
      <c r="J768" s="18">
        <v>0.0</v>
      </c>
      <c r="K768" s="4" t="s">
        <v>8494</v>
      </c>
      <c r="L768" s="19" t="s">
        <v>8494</v>
      </c>
      <c r="M768" s="20" t="s">
        <v>8494</v>
      </c>
    </row>
    <row r="769">
      <c r="A769" s="6"/>
      <c r="B769" s="6"/>
      <c r="C769" s="4"/>
      <c r="D769" s="4">
        <v>299.32498132252</v>
      </c>
      <c r="E769" s="4" t="s">
        <v>3239</v>
      </c>
      <c r="F769" s="4"/>
      <c r="G769" s="4"/>
      <c r="H769" s="4"/>
      <c r="I769" s="4"/>
      <c r="J769" s="18">
        <v>0.0</v>
      </c>
      <c r="K769" s="4" t="s">
        <v>8494</v>
      </c>
      <c r="L769" s="19" t="s">
        <v>8494</v>
      </c>
      <c r="M769" s="20" t="s">
        <v>8494</v>
      </c>
    </row>
    <row r="770">
      <c r="A770" s="6"/>
      <c r="B770" s="6"/>
      <c r="C770" s="4"/>
      <c r="D770" s="4">
        <v>6013.01447957185</v>
      </c>
      <c r="E770" s="4" t="s">
        <v>8517</v>
      </c>
      <c r="F770" s="4"/>
      <c r="G770" s="4"/>
      <c r="H770" s="4"/>
      <c r="I770" s="4"/>
      <c r="J770" s="18">
        <v>0.0</v>
      </c>
      <c r="K770" s="4" t="s">
        <v>8494</v>
      </c>
      <c r="L770" s="19" t="s">
        <v>8494</v>
      </c>
      <c r="M770" s="20" t="s">
        <v>8494</v>
      </c>
    </row>
    <row r="771">
      <c r="A771" s="6"/>
      <c r="B771" s="6"/>
      <c r="C771" s="4"/>
      <c r="D771" s="4">
        <v>690.2649961801311</v>
      </c>
      <c r="E771" s="4" t="s">
        <v>977</v>
      </c>
      <c r="F771" s="4"/>
      <c r="G771" s="4"/>
      <c r="H771" s="4"/>
      <c r="I771" s="4"/>
      <c r="J771" s="18">
        <v>0.0</v>
      </c>
      <c r="K771" s="4" t="s">
        <v>8494</v>
      </c>
      <c r="L771" s="19" t="s">
        <v>8494</v>
      </c>
      <c r="M771" s="20" t="s">
        <v>8494</v>
      </c>
    </row>
    <row r="772">
      <c r="A772" s="6"/>
      <c r="B772" s="6"/>
      <c r="C772" s="4"/>
      <c r="D772" s="4">
        <v>790.841290691458</v>
      </c>
      <c r="E772" s="4" t="s">
        <v>2999</v>
      </c>
      <c r="F772" s="4"/>
      <c r="G772" s="4"/>
      <c r="H772" s="4"/>
      <c r="I772" s="4"/>
      <c r="J772" s="18">
        <v>0.0</v>
      </c>
      <c r="K772" s="4" t="s">
        <v>8494</v>
      </c>
      <c r="L772" s="19" t="s">
        <v>8494</v>
      </c>
      <c r="M772" s="20" t="s">
        <v>8494</v>
      </c>
    </row>
    <row r="773">
      <c r="A773" s="6"/>
      <c r="B773" s="6"/>
      <c r="C773" s="4"/>
      <c r="D773" s="4">
        <v>730.014407895108</v>
      </c>
      <c r="E773" s="4" t="s">
        <v>1121</v>
      </c>
      <c r="F773" s="4"/>
      <c r="G773" s="4"/>
      <c r="H773" s="4"/>
      <c r="I773" s="4"/>
      <c r="J773" s="18">
        <v>0.0</v>
      </c>
      <c r="K773" s="4" t="s">
        <v>8494</v>
      </c>
      <c r="L773" s="19" t="s">
        <v>8494</v>
      </c>
      <c r="M773" s="20" t="s">
        <v>8494</v>
      </c>
    </row>
    <row r="774">
      <c r="A774" s="6"/>
      <c r="B774" s="6"/>
      <c r="C774" s="4"/>
      <c r="D774" s="4">
        <v>830.014008721093</v>
      </c>
      <c r="E774" s="4" t="s">
        <v>778</v>
      </c>
      <c r="F774" s="4"/>
      <c r="G774" s="4"/>
      <c r="H774" s="4"/>
      <c r="I774" s="4"/>
      <c r="J774" s="18">
        <v>0.0</v>
      </c>
      <c r="K774" s="4" t="s">
        <v>8494</v>
      </c>
      <c r="L774" s="19" t="s">
        <v>8494</v>
      </c>
      <c r="M774" s="20" t="s">
        <v>8494</v>
      </c>
    </row>
    <row r="775">
      <c r="A775" s="6"/>
      <c r="B775" s="6"/>
      <c r="C775" s="4"/>
      <c r="D775" s="4">
        <v>101.87950764977599</v>
      </c>
      <c r="E775" s="4" t="s">
        <v>822</v>
      </c>
      <c r="F775" s="4"/>
      <c r="G775" s="4"/>
      <c r="H775" s="4"/>
      <c r="I775" s="4"/>
      <c r="J775" s="18">
        <v>0.0</v>
      </c>
      <c r="K775" s="4" t="s">
        <v>8494</v>
      </c>
      <c r="L775" s="19" t="s">
        <v>8494</v>
      </c>
      <c r="M775" s="20" t="s">
        <v>8494</v>
      </c>
    </row>
    <row r="776">
      <c r="A776" s="6"/>
      <c r="B776" s="6"/>
      <c r="C776" s="4"/>
      <c r="D776" s="4">
        <v>573.129342107254</v>
      </c>
      <c r="E776" s="4" t="s">
        <v>966</v>
      </c>
      <c r="F776" s="4"/>
      <c r="G776" s="4"/>
      <c r="H776" s="4"/>
      <c r="I776" s="4"/>
      <c r="J776" s="18">
        <v>0.0</v>
      </c>
      <c r="K776" s="4" t="s">
        <v>8494</v>
      </c>
      <c r="L776" s="19" t="s">
        <v>8494</v>
      </c>
      <c r="M776" s="20" t="s">
        <v>8494</v>
      </c>
    </row>
    <row r="777">
      <c r="A777" s="6"/>
      <c r="B777" s="6"/>
      <c r="C777" s="4"/>
      <c r="D777" s="4">
        <v>42.9705367735861</v>
      </c>
      <c r="E777" s="4" t="s">
        <v>6617</v>
      </c>
      <c r="F777" s="4"/>
      <c r="G777" s="4"/>
      <c r="H777" s="4"/>
      <c r="I777" s="4"/>
      <c r="J777" s="18">
        <v>0.0</v>
      </c>
      <c r="K777" s="4" t="s">
        <v>8494</v>
      </c>
      <c r="L777" s="19" t="s">
        <v>8494</v>
      </c>
      <c r="M777" s="20" t="s">
        <v>8494</v>
      </c>
    </row>
    <row r="778">
      <c r="A778" s="6"/>
      <c r="B778" s="6"/>
      <c r="C778" s="4"/>
      <c r="D778" s="4">
        <v>2179.70705284075</v>
      </c>
      <c r="E778" s="4" t="s">
        <v>1656</v>
      </c>
      <c r="F778" s="4"/>
      <c r="G778" s="4"/>
      <c r="H778" s="4"/>
      <c r="I778" s="4"/>
      <c r="J778" s="18">
        <v>0.0</v>
      </c>
      <c r="K778" s="4" t="s">
        <v>8494</v>
      </c>
      <c r="L778" s="19" t="s">
        <v>8494</v>
      </c>
      <c r="M778" s="20" t="s">
        <v>8494</v>
      </c>
    </row>
    <row r="779">
      <c r="A779" s="6"/>
      <c r="B779" s="6"/>
      <c r="C779" s="4"/>
      <c r="D779" s="4">
        <v>247.117747994662</v>
      </c>
      <c r="E779" s="4" t="s">
        <v>1019</v>
      </c>
      <c r="F779" s="4"/>
      <c r="G779" s="4"/>
      <c r="H779" s="4"/>
      <c r="I779" s="4"/>
      <c r="J779" s="18">
        <v>0.0</v>
      </c>
      <c r="K779" s="4" t="s">
        <v>8494</v>
      </c>
      <c r="L779" s="19" t="s">
        <v>8494</v>
      </c>
      <c r="M779" s="20" t="s">
        <v>8494</v>
      </c>
    </row>
    <row r="780">
      <c r="A780" s="6"/>
      <c r="B780" s="6"/>
      <c r="C780" s="4"/>
      <c r="D780" s="4">
        <v>43.594141056815</v>
      </c>
      <c r="E780" s="4" t="s">
        <v>3790</v>
      </c>
      <c r="F780" s="4"/>
      <c r="G780" s="4"/>
      <c r="H780" s="4"/>
      <c r="I780" s="4"/>
      <c r="J780" s="18">
        <v>0.0</v>
      </c>
      <c r="K780" s="4" t="s">
        <v>8494</v>
      </c>
      <c r="L780" s="19" t="s">
        <v>8494</v>
      </c>
      <c r="M780" s="20" t="s">
        <v>8494</v>
      </c>
    </row>
    <row r="781">
      <c r="A781" s="6"/>
      <c r="B781" s="6"/>
      <c r="C781" s="4"/>
      <c r="D781" s="4">
        <v>43.594141056815</v>
      </c>
      <c r="E781" s="4" t="s">
        <v>4182</v>
      </c>
      <c r="F781" s="4"/>
      <c r="G781" s="4"/>
      <c r="H781" s="4"/>
      <c r="I781" s="4"/>
      <c r="J781" s="18">
        <v>0.0</v>
      </c>
      <c r="K781" s="4" t="s">
        <v>8494</v>
      </c>
      <c r="L781" s="19" t="s">
        <v>8494</v>
      </c>
      <c r="M781" s="20" t="s">
        <v>8494</v>
      </c>
    </row>
    <row r="782">
      <c r="A782" s="6"/>
      <c r="B782" s="6"/>
      <c r="C782" s="4"/>
      <c r="D782" s="4">
        <v>526.303255090718</v>
      </c>
      <c r="E782" s="4" t="s">
        <v>8547</v>
      </c>
      <c r="F782" s="4"/>
      <c r="G782" s="4"/>
      <c r="H782" s="4"/>
      <c r="I782" s="4"/>
      <c r="J782" s="18">
        <v>0.0</v>
      </c>
      <c r="K782" s="4" t="s">
        <v>8494</v>
      </c>
      <c r="L782" s="19" t="s">
        <v>8494</v>
      </c>
      <c r="M782" s="20" t="s">
        <v>8494</v>
      </c>
    </row>
    <row r="783">
      <c r="A783" s="6"/>
      <c r="B783" s="6"/>
      <c r="C783" s="4"/>
      <c r="D783" s="4">
        <v>13.0782423170445</v>
      </c>
      <c r="E783" s="4" t="s">
        <v>8684</v>
      </c>
      <c r="F783" s="4"/>
      <c r="G783" s="4"/>
      <c r="H783" s="4"/>
      <c r="I783" s="4"/>
      <c r="J783" s="18">
        <v>0.0</v>
      </c>
      <c r="K783" s="4" t="s">
        <v>8494</v>
      </c>
      <c r="L783" s="19" t="s">
        <v>8494</v>
      </c>
      <c r="M783" s="20" t="s">
        <v>8494</v>
      </c>
    </row>
    <row r="784">
      <c r="A784" s="6"/>
      <c r="B784" s="6"/>
      <c r="C784" s="4"/>
      <c r="D784" s="4">
        <v>672.2231082341231</v>
      </c>
      <c r="E784" s="4" t="s">
        <v>1739</v>
      </c>
      <c r="F784" s="4"/>
      <c r="G784" s="4"/>
      <c r="H784" s="4"/>
      <c r="I784" s="4"/>
      <c r="J784" s="18">
        <v>0.0</v>
      </c>
      <c r="K784" s="4" t="s">
        <v>8494</v>
      </c>
      <c r="L784" s="19" t="s">
        <v>8494</v>
      </c>
      <c r="M784" s="20" t="s">
        <v>8494</v>
      </c>
    </row>
    <row r="785">
      <c r="A785" s="6"/>
      <c r="B785" s="6"/>
      <c r="C785" s="4"/>
      <c r="D785" s="4">
        <v>642.856595233421</v>
      </c>
      <c r="E785" s="4" t="s">
        <v>8706</v>
      </c>
      <c r="F785" s="4"/>
      <c r="G785" s="4"/>
      <c r="H785" s="4"/>
      <c r="I785" s="4"/>
      <c r="J785" s="18">
        <v>0.0</v>
      </c>
      <c r="K785" s="4" t="s">
        <v>8494</v>
      </c>
      <c r="L785" s="19" t="s">
        <v>8494</v>
      </c>
      <c r="M785" s="20" t="s">
        <v>8494</v>
      </c>
    </row>
    <row r="786">
      <c r="A786" s="6"/>
      <c r="B786" s="6"/>
      <c r="C786" s="4"/>
      <c r="D786" s="4">
        <v>29.1171180916789</v>
      </c>
      <c r="E786" s="4" t="s">
        <v>8585</v>
      </c>
      <c r="F786" s="4"/>
      <c r="G786" s="4"/>
      <c r="H786" s="4"/>
      <c r="I786" s="4"/>
      <c r="J786" s="18">
        <v>0.0</v>
      </c>
      <c r="K786" s="4" t="s">
        <v>8494</v>
      </c>
      <c r="L786" s="19" t="s">
        <v>8494</v>
      </c>
      <c r="M786" s="20" t="s">
        <v>8494</v>
      </c>
    </row>
    <row r="787">
      <c r="A787" s="6"/>
      <c r="B787" s="6"/>
      <c r="C787" s="4"/>
      <c r="D787" s="4">
        <v>188.907944579532</v>
      </c>
      <c r="E787" s="4" t="s">
        <v>6009</v>
      </c>
      <c r="F787" s="4"/>
      <c r="G787" s="4"/>
      <c r="H787" s="4"/>
      <c r="I787" s="4"/>
      <c r="J787" s="18">
        <v>0.0</v>
      </c>
      <c r="K787" s="4" t="s">
        <v>8494</v>
      </c>
      <c r="L787" s="19" t="s">
        <v>8494</v>
      </c>
      <c r="M787" s="20" t="s">
        <v>8494</v>
      </c>
    </row>
    <row r="788">
      <c r="A788" s="6"/>
      <c r="B788" s="6"/>
      <c r="C788" s="4"/>
      <c r="D788" s="4">
        <v>27442.511795265</v>
      </c>
      <c r="E788" s="4" t="s">
        <v>8606</v>
      </c>
      <c r="F788" s="4"/>
      <c r="G788" s="4"/>
      <c r="H788" s="4"/>
      <c r="I788" s="4"/>
      <c r="J788" s="18">
        <v>0.0</v>
      </c>
      <c r="K788" s="4" t="s">
        <v>8494</v>
      </c>
      <c r="L788" s="19" t="s">
        <v>8494</v>
      </c>
      <c r="M788" s="20" t="s">
        <v>8494</v>
      </c>
    </row>
    <row r="789">
      <c r="A789" s="6"/>
      <c r="B789" s="6"/>
      <c r="C789" s="4"/>
      <c r="D789" s="4">
        <v>334.512375709294</v>
      </c>
      <c r="E789" s="4" t="s">
        <v>8453</v>
      </c>
      <c r="F789" s="4"/>
      <c r="G789" s="4"/>
      <c r="H789" s="4"/>
      <c r="I789" s="4"/>
      <c r="J789" s="18">
        <v>0.0</v>
      </c>
      <c r="K789" s="4" t="s">
        <v>8494</v>
      </c>
      <c r="L789" s="19" t="s">
        <v>8494</v>
      </c>
      <c r="M789" s="20" t="s">
        <v>8494</v>
      </c>
    </row>
    <row r="790">
      <c r="A790" s="6"/>
      <c r="B790" s="6"/>
      <c r="C790" s="4"/>
      <c r="D790" s="4">
        <v>390.040464353904</v>
      </c>
      <c r="E790" s="4" t="s">
        <v>8616</v>
      </c>
      <c r="F790" s="4"/>
      <c r="G790" s="4"/>
      <c r="H790" s="4"/>
      <c r="I790" s="4"/>
      <c r="J790" s="18">
        <v>0.0</v>
      </c>
      <c r="K790" s="4" t="s">
        <v>8494</v>
      </c>
      <c r="L790" s="19" t="s">
        <v>8494</v>
      </c>
      <c r="M790" s="20" t="s">
        <v>8494</v>
      </c>
    </row>
    <row r="791">
      <c r="A791" s="6"/>
      <c r="B791" s="6"/>
      <c r="C791" s="4"/>
      <c r="D791" s="4">
        <v>3567.45591087595</v>
      </c>
      <c r="E791" s="4" t="s">
        <v>8716</v>
      </c>
      <c r="F791" s="4"/>
      <c r="G791" s="4"/>
      <c r="H791" s="4"/>
      <c r="I791" s="4"/>
      <c r="J791" s="18">
        <v>0.0</v>
      </c>
      <c r="K791" s="4" t="s">
        <v>8494</v>
      </c>
      <c r="L791" s="19" t="s">
        <v>8494</v>
      </c>
      <c r="M791" s="20" t="s">
        <v>8494</v>
      </c>
    </row>
    <row r="792">
      <c r="A792" s="6"/>
      <c r="B792" s="6"/>
      <c r="C792" s="4"/>
      <c r="D792" s="4">
        <v>1164.03878064166</v>
      </c>
      <c r="E792" s="4" t="s">
        <v>8534</v>
      </c>
      <c r="F792" s="4"/>
      <c r="G792" s="4"/>
      <c r="H792" s="4"/>
      <c r="I792" s="4"/>
      <c r="J792" s="18">
        <v>0.0</v>
      </c>
      <c r="K792" s="4" t="s">
        <v>8494</v>
      </c>
      <c r="L792" s="19" t="s">
        <v>8494</v>
      </c>
      <c r="M792" s="20" t="s">
        <v>8494</v>
      </c>
    </row>
    <row r="793">
      <c r="A793" s="6"/>
      <c r="B793" s="6"/>
      <c r="C793" s="4"/>
      <c r="D793" s="4">
        <v>43.594141056815</v>
      </c>
      <c r="E793" s="4" t="s">
        <v>8436</v>
      </c>
      <c r="F793" s="4"/>
      <c r="G793" s="4"/>
      <c r="H793" s="4"/>
      <c r="I793" s="4"/>
      <c r="J793" s="18">
        <v>0.0</v>
      </c>
      <c r="K793" s="4" t="s">
        <v>8494</v>
      </c>
      <c r="L793" s="19" t="s">
        <v>8494</v>
      </c>
      <c r="M793" s="20" t="s">
        <v>8494</v>
      </c>
    </row>
    <row r="794">
      <c r="A794" s="6"/>
      <c r="B794" s="6"/>
      <c r="C794" s="4"/>
      <c r="D794" s="4">
        <v>7.2656901761358395</v>
      </c>
      <c r="E794" s="4" t="s">
        <v>7180</v>
      </c>
      <c r="F794" s="4"/>
      <c r="G794" s="4"/>
      <c r="H794" s="4"/>
      <c r="I794" s="4"/>
      <c r="J794" s="18">
        <v>0.0</v>
      </c>
      <c r="K794" s="4" t="s">
        <v>8494</v>
      </c>
      <c r="L794" s="19" t="s">
        <v>8494</v>
      </c>
      <c r="M794" s="20" t="s">
        <v>8494</v>
      </c>
    </row>
    <row r="795">
      <c r="A795" s="6"/>
      <c r="B795" s="6"/>
      <c r="C795" s="4"/>
      <c r="D795" s="4">
        <v>72.66697248835</v>
      </c>
      <c r="E795" s="4" t="s">
        <v>6149</v>
      </c>
      <c r="F795" s="4"/>
      <c r="G795" s="4"/>
      <c r="H795" s="4"/>
      <c r="I795" s="4"/>
      <c r="J795" s="18">
        <v>0.0</v>
      </c>
      <c r="K795" s="4" t="s">
        <v>8494</v>
      </c>
      <c r="L795" s="19" t="s">
        <v>8494</v>
      </c>
      <c r="M795" s="20" t="s">
        <v>8494</v>
      </c>
    </row>
    <row r="796">
      <c r="A796" s="6"/>
      <c r="B796" s="6"/>
      <c r="C796" s="4"/>
      <c r="D796" s="4">
        <v>43.594141056815</v>
      </c>
      <c r="E796" s="4" t="s">
        <v>5738</v>
      </c>
      <c r="F796" s="4"/>
      <c r="G796" s="4"/>
      <c r="H796" s="4"/>
      <c r="I796" s="4"/>
      <c r="J796" s="18">
        <v>0.0</v>
      </c>
      <c r="K796" s="4" t="s">
        <v>8494</v>
      </c>
      <c r="L796" s="19" t="s">
        <v>8494</v>
      </c>
      <c r="M796" s="20" t="s">
        <v>8494</v>
      </c>
    </row>
    <row r="797">
      <c r="A797" s="6"/>
      <c r="B797" s="6"/>
      <c r="C797" s="4"/>
      <c r="D797" s="4">
        <v>186.723643624786</v>
      </c>
      <c r="E797" s="4" t="s">
        <v>872</v>
      </c>
      <c r="F797" s="4"/>
      <c r="G797" s="4"/>
      <c r="H797" s="4"/>
      <c r="I797" s="4"/>
      <c r="J797" s="18">
        <v>0.0</v>
      </c>
      <c r="K797" s="4" t="s">
        <v>8494</v>
      </c>
      <c r="L797" s="19" t="s">
        <v>8494</v>
      </c>
      <c r="M797" s="20" t="s">
        <v>8494</v>
      </c>
    </row>
    <row r="798">
      <c r="A798" s="6"/>
      <c r="B798" s="6"/>
      <c r="C798" s="4"/>
      <c r="D798" s="4">
        <v>43.594141056815</v>
      </c>
      <c r="E798" s="4" t="s">
        <v>4445</v>
      </c>
      <c r="F798" s="4"/>
      <c r="G798" s="4"/>
      <c r="H798" s="4"/>
      <c r="I798" s="4"/>
      <c r="J798" s="18">
        <v>0.0</v>
      </c>
      <c r="K798" s="4" t="s">
        <v>8494</v>
      </c>
      <c r="L798" s="19" t="s">
        <v>8494</v>
      </c>
      <c r="M798" s="20" t="s">
        <v>8494</v>
      </c>
    </row>
    <row r="799">
      <c r="A799" s="6"/>
      <c r="B799" s="6"/>
      <c r="C799" s="4"/>
      <c r="D799" s="4">
        <v>21.3395673760568</v>
      </c>
      <c r="E799" s="4" t="s">
        <v>8680</v>
      </c>
      <c r="F799" s="4"/>
      <c r="G799" s="4"/>
      <c r="H799" s="4"/>
      <c r="I799" s="4"/>
      <c r="J799" s="18">
        <v>0.0</v>
      </c>
      <c r="K799" s="4" t="s">
        <v>8494</v>
      </c>
      <c r="L799" s="19" t="s">
        <v>8494</v>
      </c>
      <c r="M799" s="20" t="s">
        <v>8494</v>
      </c>
    </row>
    <row r="800">
      <c r="A800" s="6"/>
      <c r="B800" s="6"/>
      <c r="C800" s="4"/>
      <c r="D800" s="4">
        <v>7.2656901761358395</v>
      </c>
      <c r="E800" s="4" t="s">
        <v>2020</v>
      </c>
      <c r="F800" s="4"/>
      <c r="G800" s="4"/>
      <c r="H800" s="4"/>
      <c r="I800" s="4"/>
      <c r="J800" s="18">
        <v>0.0</v>
      </c>
      <c r="K800" s="4" t="s">
        <v>8494</v>
      </c>
      <c r="L800" s="19" t="s">
        <v>8494</v>
      </c>
      <c r="M800" s="20" t="s">
        <v>8494</v>
      </c>
    </row>
    <row r="801">
      <c r="A801" s="6"/>
      <c r="B801" s="6"/>
      <c r="C801" s="4"/>
      <c r="D801" s="4">
        <v>29.0627607045433</v>
      </c>
      <c r="E801" s="4" t="s">
        <v>8499</v>
      </c>
      <c r="F801" s="4"/>
      <c r="G801" s="4"/>
      <c r="H801" s="4"/>
      <c r="I801" s="4"/>
      <c r="J801" s="18">
        <v>0.0</v>
      </c>
      <c r="K801" s="4" t="s">
        <v>8494</v>
      </c>
      <c r="L801" s="19" t="s">
        <v>8494</v>
      </c>
      <c r="M801" s="20" t="s">
        <v>8494</v>
      </c>
    </row>
    <row r="802">
      <c r="A802" s="6"/>
      <c r="B802" s="6"/>
      <c r="C802" s="4"/>
      <c r="D802" s="4">
        <v>43.7394548603378</v>
      </c>
      <c r="E802" s="4" t="s">
        <v>7742</v>
      </c>
      <c r="F802" s="4"/>
      <c r="G802" s="4"/>
      <c r="H802" s="4"/>
      <c r="I802" s="4"/>
      <c r="J802" s="18">
        <v>0.0</v>
      </c>
      <c r="K802" s="4" t="s">
        <v>8494</v>
      </c>
      <c r="L802" s="19" t="s">
        <v>8494</v>
      </c>
      <c r="M802" s="20" t="s">
        <v>8494</v>
      </c>
    </row>
    <row r="803">
      <c r="A803" s="6"/>
      <c r="B803" s="6"/>
      <c r="C803" s="4"/>
      <c r="D803" s="4">
        <v>7.65788659742213</v>
      </c>
      <c r="E803" s="4" t="s">
        <v>2293</v>
      </c>
      <c r="F803" s="4"/>
      <c r="G803" s="4"/>
      <c r="H803" s="4"/>
      <c r="I803" s="4"/>
      <c r="J803" s="18">
        <v>0.0</v>
      </c>
      <c r="K803" s="4" t="s">
        <v>8494</v>
      </c>
      <c r="L803" s="19" t="s">
        <v>8494</v>
      </c>
      <c r="M803" s="20" t="s">
        <v>8494</v>
      </c>
    </row>
    <row r="804">
      <c r="A804" s="6"/>
      <c r="B804" s="6"/>
      <c r="C804" s="4"/>
      <c r="D804" s="4">
        <v>70.3093175344774</v>
      </c>
      <c r="E804" s="4" t="s">
        <v>8816</v>
      </c>
      <c r="F804" s="4"/>
      <c r="G804" s="4"/>
      <c r="H804" s="4"/>
      <c r="I804" s="4"/>
      <c r="J804" s="18">
        <v>0.0</v>
      </c>
      <c r="K804" s="4" t="s">
        <v>8494</v>
      </c>
      <c r="L804" s="19" t="s">
        <v>8494</v>
      </c>
      <c r="M804" s="20" t="s">
        <v>8494</v>
      </c>
    </row>
    <row r="805">
      <c r="A805" s="6"/>
      <c r="B805" s="6"/>
      <c r="C805" s="4"/>
      <c r="D805" s="4">
        <v>175.189260484974</v>
      </c>
      <c r="E805" s="4" t="s">
        <v>8687</v>
      </c>
      <c r="F805" s="4"/>
      <c r="G805" s="4"/>
      <c r="H805" s="4"/>
      <c r="I805" s="4"/>
      <c r="J805" s="18">
        <v>0.0</v>
      </c>
      <c r="K805" s="4" t="s">
        <v>8494</v>
      </c>
      <c r="L805" s="19" t="s">
        <v>8494</v>
      </c>
      <c r="M805" s="20" t="s">
        <v>8494</v>
      </c>
    </row>
    <row r="806">
      <c r="A806" s="6"/>
      <c r="B806" s="6"/>
      <c r="C806" s="4"/>
      <c r="D806" s="4">
        <v>29.0627607045433</v>
      </c>
      <c r="E806" s="4" t="s">
        <v>3669</v>
      </c>
      <c r="F806" s="4"/>
      <c r="G806" s="4"/>
      <c r="H806" s="4"/>
      <c r="I806" s="4"/>
      <c r="J806" s="18">
        <v>0.0</v>
      </c>
      <c r="K806" s="4" t="s">
        <v>8494</v>
      </c>
      <c r="L806" s="19" t="s">
        <v>8494</v>
      </c>
      <c r="M806" s="20" t="s">
        <v>8494</v>
      </c>
    </row>
    <row r="807">
      <c r="A807" s="6"/>
      <c r="B807" s="6"/>
      <c r="C807" s="4"/>
      <c r="D807" s="4">
        <v>174.37656422726</v>
      </c>
      <c r="E807" s="4" t="s">
        <v>4202</v>
      </c>
      <c r="F807" s="4"/>
      <c r="G807" s="4"/>
      <c r="H807" s="4"/>
      <c r="I807" s="4"/>
      <c r="J807" s="18">
        <v>0.0</v>
      </c>
      <c r="K807" s="4" t="s">
        <v>8494</v>
      </c>
      <c r="L807" s="19" t="s">
        <v>8494</v>
      </c>
      <c r="M807" s="20" t="s">
        <v>8494</v>
      </c>
    </row>
    <row r="808">
      <c r="A808" s="6"/>
      <c r="B808" s="6"/>
      <c r="C808" s="4"/>
      <c r="D808" s="4">
        <v>29.0627607045433</v>
      </c>
      <c r="E808" s="4" t="s">
        <v>2789</v>
      </c>
      <c r="F808" s="4"/>
      <c r="G808" s="4"/>
      <c r="H808" s="4"/>
      <c r="I808" s="4"/>
      <c r="J808" s="18">
        <v>0.0</v>
      </c>
      <c r="K808" s="4" t="s">
        <v>8494</v>
      </c>
      <c r="L808" s="19" t="s">
        <v>8494</v>
      </c>
      <c r="M808" s="20" t="s">
        <v>8494</v>
      </c>
    </row>
    <row r="809">
      <c r="A809" s="6"/>
      <c r="B809" s="6"/>
      <c r="C809" s="4"/>
      <c r="D809" s="4">
        <v>247.033465988618</v>
      </c>
      <c r="E809" s="4" t="s">
        <v>1507</v>
      </c>
      <c r="F809" s="4"/>
      <c r="G809" s="4"/>
      <c r="H809" s="4"/>
      <c r="I809" s="4"/>
      <c r="J809" s="18">
        <v>0.0</v>
      </c>
      <c r="K809" s="4" t="s">
        <v>8494</v>
      </c>
      <c r="L809" s="19" t="s">
        <v>8494</v>
      </c>
      <c r="M809" s="20" t="s">
        <v>8494</v>
      </c>
    </row>
    <row r="810">
      <c r="A810" s="6"/>
      <c r="B810" s="6"/>
      <c r="C810" s="4"/>
      <c r="D810" s="4">
        <v>43.594141056815</v>
      </c>
      <c r="E810" s="4" t="s">
        <v>5440</v>
      </c>
      <c r="F810" s="4"/>
      <c r="G810" s="4"/>
      <c r="H810" s="4"/>
      <c r="I810" s="4"/>
      <c r="J810" s="18">
        <v>0.0</v>
      </c>
      <c r="K810" s="4" t="s">
        <v>8494</v>
      </c>
      <c r="L810" s="19" t="s">
        <v>8494</v>
      </c>
      <c r="M810" s="20" t="s">
        <v>8494</v>
      </c>
    </row>
    <row r="811">
      <c r="A811" s="6"/>
      <c r="B811" s="6"/>
      <c r="C811" s="4"/>
      <c r="D811" s="4">
        <v>101.80685074787</v>
      </c>
      <c r="E811" s="4" t="s">
        <v>398</v>
      </c>
      <c r="F811" s="4"/>
      <c r="G811" s="4"/>
      <c r="H811" s="4"/>
      <c r="I811" s="4"/>
      <c r="J811" s="18">
        <v>0.0</v>
      </c>
      <c r="K811" s="4" t="s">
        <v>8494</v>
      </c>
      <c r="L811" s="19" t="s">
        <v>8494</v>
      </c>
      <c r="M811" s="20" t="s">
        <v>8494</v>
      </c>
    </row>
    <row r="812">
      <c r="A812" s="6"/>
      <c r="B812" s="6"/>
      <c r="C812" s="4"/>
      <c r="D812" s="4">
        <v>410.297333866012</v>
      </c>
      <c r="E812" s="4" t="s">
        <v>5278</v>
      </c>
      <c r="F812" s="4"/>
      <c r="G812" s="4"/>
      <c r="H812" s="4"/>
      <c r="I812" s="4"/>
      <c r="J812" s="18">
        <v>0.0</v>
      </c>
      <c r="K812" s="4" t="s">
        <v>8494</v>
      </c>
      <c r="L812" s="19" t="s">
        <v>8494</v>
      </c>
      <c r="M812" s="20" t="s">
        <v>8494</v>
      </c>
    </row>
    <row r="813">
      <c r="A813" s="6"/>
      <c r="B813" s="6"/>
      <c r="C813" s="4"/>
      <c r="D813" s="4">
        <v>43.594141056815</v>
      </c>
      <c r="E813" s="4" t="s">
        <v>4634</v>
      </c>
      <c r="F813" s="4"/>
      <c r="G813" s="4"/>
      <c r="H813" s="4"/>
      <c r="I813" s="4"/>
      <c r="J813" s="18">
        <v>0.0</v>
      </c>
      <c r="K813" s="4" t="s">
        <v>8494</v>
      </c>
      <c r="L813" s="19" t="s">
        <v>8494</v>
      </c>
      <c r="M813" s="20" t="s">
        <v>8494</v>
      </c>
    </row>
    <row r="814">
      <c r="A814" s="6"/>
      <c r="B814" s="6"/>
      <c r="C814" s="4"/>
      <c r="D814" s="4">
        <v>242.257882518467</v>
      </c>
      <c r="E814" s="4" t="s">
        <v>1621</v>
      </c>
      <c r="F814" s="4"/>
      <c r="G814" s="4"/>
      <c r="H814" s="4"/>
      <c r="I814" s="4"/>
      <c r="J814" s="18">
        <v>0.0</v>
      </c>
      <c r="K814" s="4" t="s">
        <v>8494</v>
      </c>
      <c r="L814" s="19" t="s">
        <v>8494</v>
      </c>
      <c r="M814" s="20" t="s">
        <v>8494</v>
      </c>
    </row>
    <row r="815">
      <c r="A815" s="6"/>
      <c r="B815" s="6"/>
      <c r="C815" s="4"/>
      <c r="D815" s="4">
        <v>101.792319367663</v>
      </c>
      <c r="E815" s="4" t="s">
        <v>291</v>
      </c>
      <c r="F815" s="4"/>
      <c r="G815" s="4"/>
      <c r="H815" s="4"/>
      <c r="I815" s="4"/>
      <c r="J815" s="18">
        <v>0.0</v>
      </c>
      <c r="K815" s="4" t="s">
        <v>8494</v>
      </c>
      <c r="L815" s="19" t="s">
        <v>8494</v>
      </c>
      <c r="M815" s="20" t="s">
        <v>8494</v>
      </c>
    </row>
    <row r="816">
      <c r="A816" s="6"/>
      <c r="B816" s="6"/>
      <c r="C816" s="4"/>
      <c r="D816" s="4">
        <v>5288.8702557735105</v>
      </c>
      <c r="E816" s="4" t="s">
        <v>1667</v>
      </c>
      <c r="F816" s="4"/>
      <c r="G816" s="4"/>
      <c r="H816" s="4"/>
      <c r="I816" s="4"/>
      <c r="J816" s="18">
        <v>0.0</v>
      </c>
      <c r="K816" s="4" t="s">
        <v>8494</v>
      </c>
      <c r="L816" s="19" t="s">
        <v>8494</v>
      </c>
      <c r="M816" s="20" t="s">
        <v>8494</v>
      </c>
    </row>
    <row r="817">
      <c r="A817" s="6"/>
      <c r="B817" s="6"/>
      <c r="C817" s="4"/>
      <c r="D817" s="4">
        <v>690.627623420509</v>
      </c>
      <c r="E817" s="4" t="s">
        <v>8525</v>
      </c>
      <c r="F817" s="4"/>
      <c r="G817" s="4"/>
      <c r="H817" s="4"/>
      <c r="I817" s="4"/>
      <c r="J817" s="18">
        <v>0.0</v>
      </c>
      <c r="K817" s="4" t="s">
        <v>8494</v>
      </c>
      <c r="L817" s="19" t="s">
        <v>8494</v>
      </c>
      <c r="M817" s="20" t="s">
        <v>8494</v>
      </c>
    </row>
    <row r="818">
      <c r="A818" s="6"/>
      <c r="B818" s="6"/>
      <c r="C818" s="4"/>
      <c r="D818" s="4">
        <v>1405.11025961661</v>
      </c>
      <c r="E818" s="4" t="s">
        <v>8675</v>
      </c>
      <c r="F818" s="4"/>
      <c r="G818" s="4"/>
      <c r="H818" s="4"/>
      <c r="I818" s="4"/>
      <c r="J818" s="18">
        <v>0.0</v>
      </c>
      <c r="K818" s="4" t="s">
        <v>8494</v>
      </c>
      <c r="L818" s="19" t="s">
        <v>8494</v>
      </c>
      <c r="M818" s="20" t="s">
        <v>8494</v>
      </c>
    </row>
    <row r="819">
      <c r="A819" s="6"/>
      <c r="B819" s="6"/>
      <c r="C819" s="4"/>
      <c r="D819" s="4">
        <v>29.2146854172951</v>
      </c>
      <c r="E819" s="4" t="s">
        <v>2471</v>
      </c>
      <c r="F819" s="4"/>
      <c r="G819" s="4"/>
      <c r="H819" s="4"/>
      <c r="I819" s="4"/>
      <c r="J819" s="18">
        <v>0.0</v>
      </c>
      <c r="K819" s="4" t="s">
        <v>8494</v>
      </c>
      <c r="L819" s="19" t="s">
        <v>8494</v>
      </c>
      <c r="M819" s="20" t="s">
        <v>8494</v>
      </c>
    </row>
    <row r="820">
      <c r="A820" s="6"/>
      <c r="B820" s="6"/>
      <c r="C820" s="4"/>
      <c r="D820" s="4">
        <v>40.6976697538716</v>
      </c>
      <c r="E820" s="4" t="s">
        <v>8580</v>
      </c>
      <c r="F820" s="4"/>
      <c r="G820" s="4"/>
      <c r="H820" s="4"/>
      <c r="I820" s="4"/>
      <c r="J820" s="18">
        <v>0.0</v>
      </c>
      <c r="K820" s="4" t="s">
        <v>8494</v>
      </c>
      <c r="L820" s="19" t="s">
        <v>8494</v>
      </c>
      <c r="M820" s="20" t="s">
        <v>8494</v>
      </c>
    </row>
    <row r="821">
      <c r="A821" s="6"/>
      <c r="B821" s="6"/>
      <c r="C821" s="4"/>
      <c r="D821" s="4">
        <v>584.865680853193</v>
      </c>
      <c r="E821" s="4" t="s">
        <v>8530</v>
      </c>
      <c r="F821" s="4"/>
      <c r="G821" s="4"/>
      <c r="H821" s="4"/>
      <c r="I821" s="4"/>
      <c r="J821" s="18">
        <v>0.0</v>
      </c>
      <c r="K821" s="4" t="s">
        <v>8494</v>
      </c>
      <c r="L821" s="19" t="s">
        <v>8494</v>
      </c>
      <c r="M821" s="20" t="s">
        <v>8494</v>
      </c>
    </row>
    <row r="822">
      <c r="A822" s="6"/>
      <c r="B822" s="6"/>
      <c r="C822" s="4"/>
      <c r="D822" s="4">
        <v>755.6319499219591</v>
      </c>
      <c r="E822" s="4" t="s">
        <v>8512</v>
      </c>
      <c r="F822" s="4"/>
      <c r="G822" s="4"/>
      <c r="H822" s="4"/>
      <c r="I822" s="4"/>
      <c r="J822" s="18">
        <v>0.0</v>
      </c>
      <c r="K822" s="4" t="s">
        <v>8494</v>
      </c>
      <c r="L822" s="19" t="s">
        <v>8494</v>
      </c>
      <c r="M822" s="20" t="s">
        <v>8494</v>
      </c>
    </row>
    <row r="823">
      <c r="A823" s="6"/>
      <c r="B823" s="6"/>
      <c r="C823" s="4"/>
      <c r="D823" s="4">
        <v>43.594141056815</v>
      </c>
      <c r="E823" s="4" t="s">
        <v>3501</v>
      </c>
      <c r="F823" s="4"/>
      <c r="G823" s="4"/>
      <c r="H823" s="4"/>
      <c r="I823" s="4"/>
      <c r="J823" s="18">
        <v>0.0</v>
      </c>
      <c r="K823" s="4" t="s">
        <v>8494</v>
      </c>
      <c r="L823" s="19" t="s">
        <v>8494</v>
      </c>
      <c r="M823" s="20" t="s">
        <v>8494</v>
      </c>
    </row>
    <row r="824">
      <c r="A824" s="6"/>
      <c r="B824" s="6"/>
      <c r="C824" s="4"/>
      <c r="D824" s="4">
        <v>43.594141056815</v>
      </c>
      <c r="E824" s="4" t="s">
        <v>3167</v>
      </c>
      <c r="F824" s="4"/>
      <c r="G824" s="4"/>
      <c r="H824" s="4"/>
      <c r="I824" s="4"/>
      <c r="J824" s="18">
        <v>0.0</v>
      </c>
      <c r="K824" s="4" t="s">
        <v>8494</v>
      </c>
      <c r="L824" s="19" t="s">
        <v>8494</v>
      </c>
      <c r="M824" s="20" t="s">
        <v>8494</v>
      </c>
    </row>
    <row r="825">
      <c r="A825" s="6"/>
      <c r="B825" s="6"/>
      <c r="C825" s="4"/>
      <c r="D825" s="4">
        <v>43.7249234799855</v>
      </c>
      <c r="E825" s="4" t="s">
        <v>5384</v>
      </c>
      <c r="F825" s="4"/>
      <c r="G825" s="4"/>
      <c r="H825" s="4"/>
      <c r="I825" s="4"/>
      <c r="J825" s="18">
        <v>0.0</v>
      </c>
      <c r="K825" s="4" t="s">
        <v>8494</v>
      </c>
      <c r="L825" s="19" t="s">
        <v>8494</v>
      </c>
      <c r="M825" s="20" t="s">
        <v>8494</v>
      </c>
    </row>
    <row r="826">
      <c r="A826" s="6"/>
      <c r="B826" s="6"/>
      <c r="C826" s="4"/>
      <c r="D826" s="4">
        <v>63.1894693830599</v>
      </c>
      <c r="E826" s="4" t="s">
        <v>8506</v>
      </c>
      <c r="F826" s="4"/>
      <c r="G826" s="4"/>
      <c r="H826" s="4"/>
      <c r="I826" s="4"/>
      <c r="J826" s="18">
        <v>0.0</v>
      </c>
      <c r="K826" s="4" t="s">
        <v>8494</v>
      </c>
      <c r="L826" s="19" t="s">
        <v>8494</v>
      </c>
      <c r="M826" s="20" t="s">
        <v>8494</v>
      </c>
    </row>
    <row r="827">
      <c r="A827" s="6"/>
      <c r="B827" s="6"/>
      <c r="C827" s="4"/>
      <c r="D827" s="4">
        <v>682.974876556769</v>
      </c>
      <c r="E827" s="4" t="s">
        <v>8704</v>
      </c>
      <c r="F827" s="4"/>
      <c r="G827" s="4"/>
      <c r="H827" s="4"/>
      <c r="I827" s="4"/>
      <c r="J827" s="18">
        <v>0.0</v>
      </c>
      <c r="K827" s="4" t="s">
        <v>8494</v>
      </c>
      <c r="L827" s="19" t="s">
        <v>8494</v>
      </c>
      <c r="M827" s="20" t="s">
        <v>8494</v>
      </c>
    </row>
    <row r="828">
      <c r="A828" s="6"/>
      <c r="B828" s="6"/>
      <c r="C828" s="4"/>
      <c r="D828" s="4">
        <v>538.678269658711</v>
      </c>
      <c r="E828" s="4" t="s">
        <v>8511</v>
      </c>
      <c r="F828" s="4"/>
      <c r="G828" s="4"/>
      <c r="H828" s="4"/>
      <c r="I828" s="4"/>
      <c r="J828" s="18">
        <v>0.0</v>
      </c>
      <c r="K828" s="4" t="s">
        <v>8494</v>
      </c>
      <c r="L828" s="19" t="s">
        <v>8494</v>
      </c>
      <c r="M828" s="20" t="s">
        <v>8494</v>
      </c>
    </row>
    <row r="829">
      <c r="A829" s="6"/>
      <c r="B829" s="6"/>
      <c r="C829" s="4"/>
      <c r="D829" s="4">
        <v>143.63998246018102</v>
      </c>
      <c r="E829" s="4" t="s">
        <v>2960</v>
      </c>
      <c r="F829" s="4"/>
      <c r="G829" s="4"/>
      <c r="H829" s="4"/>
      <c r="I829" s="4"/>
      <c r="J829" s="18">
        <v>0.0</v>
      </c>
      <c r="K829" s="4" t="s">
        <v>8494</v>
      </c>
      <c r="L829" s="19" t="s">
        <v>8494</v>
      </c>
      <c r="M829" s="20" t="s">
        <v>8494</v>
      </c>
    </row>
    <row r="830">
      <c r="A830" s="6"/>
      <c r="B830" s="6"/>
      <c r="C830" s="4"/>
      <c r="D830" s="4">
        <v>561.110598530585</v>
      </c>
      <c r="E830" s="4" t="s">
        <v>558</v>
      </c>
      <c r="F830" s="4"/>
      <c r="G830" s="4"/>
      <c r="H830" s="4"/>
      <c r="I830" s="4"/>
      <c r="J830" s="18">
        <v>0.0</v>
      </c>
      <c r="K830" s="4" t="s">
        <v>8494</v>
      </c>
      <c r="L830" s="19" t="s">
        <v>8494</v>
      </c>
      <c r="M830" s="20" t="s">
        <v>8494</v>
      </c>
    </row>
    <row r="831">
      <c r="A831" s="6"/>
      <c r="B831" s="6"/>
      <c r="C831" s="4"/>
      <c r="D831" s="4">
        <v>43.884768663860505</v>
      </c>
      <c r="E831" s="4" t="s">
        <v>8513</v>
      </c>
      <c r="F831" s="4"/>
      <c r="G831" s="4"/>
      <c r="H831" s="4"/>
      <c r="I831" s="4"/>
      <c r="J831" s="18">
        <v>0.0</v>
      </c>
      <c r="K831" s="4" t="s">
        <v>8494</v>
      </c>
      <c r="L831" s="19" t="s">
        <v>8494</v>
      </c>
      <c r="M831" s="20" t="s">
        <v>8494</v>
      </c>
    </row>
    <row r="832">
      <c r="A832" s="6"/>
      <c r="B832" s="6"/>
      <c r="C832" s="4"/>
      <c r="D832" s="4">
        <v>247.04213948662502</v>
      </c>
      <c r="E832" s="4" t="s">
        <v>8664</v>
      </c>
      <c r="F832" s="4"/>
      <c r="G832" s="4"/>
      <c r="H832" s="4"/>
      <c r="I832" s="4"/>
      <c r="J832" s="18">
        <v>0.0</v>
      </c>
      <c r="K832" s="4" t="s">
        <v>8494</v>
      </c>
      <c r="L832" s="19" t="s">
        <v>8494</v>
      </c>
      <c r="M832" s="20" t="s">
        <v>8494</v>
      </c>
    </row>
    <row r="833">
      <c r="A833" s="6"/>
      <c r="B833" s="6"/>
      <c r="C833" s="4"/>
      <c r="D833" s="4">
        <v>101.73419384625399</v>
      </c>
      <c r="E833" s="4" t="s">
        <v>1041</v>
      </c>
      <c r="F833" s="4"/>
      <c r="G833" s="4"/>
      <c r="H833" s="4"/>
      <c r="I833" s="4"/>
      <c r="J833" s="18">
        <v>0.0</v>
      </c>
      <c r="K833" s="4" t="s">
        <v>8494</v>
      </c>
      <c r="L833" s="19" t="s">
        <v>8494</v>
      </c>
      <c r="M833" s="20" t="s">
        <v>8494</v>
      </c>
    </row>
    <row r="834">
      <c r="A834" s="6"/>
      <c r="B834" s="6"/>
      <c r="C834" s="4"/>
      <c r="D834" s="4">
        <v>87.1882821136301</v>
      </c>
      <c r="E834" s="4" t="s">
        <v>3912</v>
      </c>
      <c r="F834" s="4"/>
      <c r="G834" s="4"/>
      <c r="H834" s="4"/>
      <c r="I834" s="4"/>
      <c r="J834" s="18">
        <v>0.0</v>
      </c>
      <c r="K834" s="4" t="s">
        <v>8494</v>
      </c>
      <c r="L834" s="19" t="s">
        <v>8494</v>
      </c>
      <c r="M834" s="20" t="s">
        <v>8494</v>
      </c>
    </row>
    <row r="835">
      <c r="A835" s="6"/>
      <c r="B835" s="6"/>
      <c r="C835" s="4"/>
      <c r="D835" s="4">
        <v>726.621892957299</v>
      </c>
      <c r="E835" s="4" t="s">
        <v>1241</v>
      </c>
      <c r="F835" s="4"/>
      <c r="G835" s="4"/>
      <c r="H835" s="4"/>
      <c r="I835" s="4"/>
      <c r="J835" s="18">
        <v>0.0</v>
      </c>
      <c r="K835" s="4" t="s">
        <v>8494</v>
      </c>
      <c r="L835" s="19" t="s">
        <v>8494</v>
      </c>
      <c r="M835" s="20" t="s">
        <v>8494</v>
      </c>
    </row>
    <row r="836">
      <c r="A836" s="6"/>
      <c r="B836" s="6"/>
      <c r="C836" s="4"/>
      <c r="D836" s="4">
        <v>65.7477297077494</v>
      </c>
      <c r="E836" s="4" t="s">
        <v>5318</v>
      </c>
      <c r="F836" s="4"/>
      <c r="G836" s="4"/>
      <c r="H836" s="4"/>
      <c r="I836" s="4"/>
      <c r="J836" s="18">
        <v>0.0</v>
      </c>
      <c r="K836" s="4" t="s">
        <v>8494</v>
      </c>
      <c r="L836" s="19" t="s">
        <v>8494</v>
      </c>
      <c r="M836" s="20" t="s">
        <v>8494</v>
      </c>
    </row>
    <row r="837">
      <c r="A837" s="6"/>
      <c r="B837" s="6"/>
      <c r="C837" s="4"/>
      <c r="D837" s="4">
        <v>43.594141056815</v>
      </c>
      <c r="E837" s="4" t="s">
        <v>7332</v>
      </c>
      <c r="F837" s="4"/>
      <c r="G837" s="4"/>
      <c r="H837" s="4"/>
      <c r="I837" s="4"/>
      <c r="J837" s="18">
        <v>0.0</v>
      </c>
      <c r="K837" s="4" t="s">
        <v>8494</v>
      </c>
      <c r="L837" s="19" t="s">
        <v>8494</v>
      </c>
      <c r="M837" s="20" t="s">
        <v>8494</v>
      </c>
    </row>
    <row r="838">
      <c r="A838" s="6"/>
      <c r="B838" s="6"/>
      <c r="C838" s="4"/>
      <c r="D838" s="4">
        <v>203.476738641243</v>
      </c>
      <c r="E838" s="4" t="s">
        <v>390</v>
      </c>
      <c r="F838" s="4"/>
      <c r="G838" s="4"/>
      <c r="H838" s="4"/>
      <c r="I838" s="4"/>
      <c r="J838" s="18">
        <v>0.0</v>
      </c>
      <c r="K838" s="4" t="s">
        <v>8494</v>
      </c>
      <c r="L838" s="19" t="s">
        <v>8494</v>
      </c>
      <c r="M838" s="20" t="s">
        <v>8494</v>
      </c>
    </row>
    <row r="839">
      <c r="A839" s="6"/>
      <c r="B839" s="6"/>
      <c r="C839" s="4"/>
      <c r="D839" s="4">
        <v>43.594141056815</v>
      </c>
      <c r="E839" s="4" t="s">
        <v>6626</v>
      </c>
      <c r="F839" s="4"/>
      <c r="G839" s="4"/>
      <c r="H839" s="4"/>
      <c r="I839" s="4"/>
      <c r="J839" s="18">
        <v>0.0</v>
      </c>
      <c r="K839" s="4" t="s">
        <v>8494</v>
      </c>
      <c r="L839" s="19" t="s">
        <v>8494</v>
      </c>
      <c r="M839" s="20" t="s">
        <v>8494</v>
      </c>
    </row>
    <row r="840">
      <c r="A840" s="6"/>
      <c r="B840" s="6"/>
      <c r="C840" s="4"/>
      <c r="D840" s="4">
        <v>70.0184102949386</v>
      </c>
      <c r="E840" s="4" t="s">
        <v>2225</v>
      </c>
      <c r="F840" s="4"/>
      <c r="G840" s="4"/>
      <c r="H840" s="4"/>
      <c r="I840" s="4"/>
      <c r="J840" s="18">
        <v>0.0</v>
      </c>
      <c r="K840" s="4" t="s">
        <v>8494</v>
      </c>
      <c r="L840" s="19" t="s">
        <v>8494</v>
      </c>
      <c r="M840" s="20" t="s">
        <v>8494</v>
      </c>
    </row>
    <row r="841">
      <c r="A841" s="6"/>
      <c r="B841" s="6"/>
      <c r="C841" s="4"/>
      <c r="D841" s="4">
        <v>43.884768663860505</v>
      </c>
      <c r="E841" s="4" t="s">
        <v>2137</v>
      </c>
      <c r="F841" s="4"/>
      <c r="G841" s="4"/>
      <c r="H841" s="4"/>
      <c r="I841" s="4"/>
      <c r="J841" s="18">
        <v>0.0</v>
      </c>
      <c r="K841" s="4" t="s">
        <v>8494</v>
      </c>
      <c r="L841" s="19" t="s">
        <v>8494</v>
      </c>
      <c r="M841" s="20" t="s">
        <v>8494</v>
      </c>
    </row>
    <row r="842">
      <c r="A842" s="6"/>
      <c r="B842" s="6"/>
      <c r="C842" s="4"/>
      <c r="D842" s="4">
        <v>317.420042217444</v>
      </c>
      <c r="E842" s="4" t="s">
        <v>699</v>
      </c>
      <c r="F842" s="4"/>
      <c r="G842" s="4"/>
      <c r="H842" s="4"/>
      <c r="I842" s="4"/>
      <c r="J842" s="18">
        <v>0.0</v>
      </c>
      <c r="K842" s="4" t="s">
        <v>8494</v>
      </c>
      <c r="L842" s="19" t="s">
        <v>8494</v>
      </c>
      <c r="M842" s="20" t="s">
        <v>8494</v>
      </c>
    </row>
    <row r="843">
      <c r="A843" s="6"/>
      <c r="B843" s="6"/>
      <c r="C843" s="4"/>
      <c r="D843" s="4">
        <v>3326.56650515702</v>
      </c>
      <c r="E843" s="4" t="s">
        <v>8601</v>
      </c>
      <c r="F843" s="4"/>
      <c r="G843" s="4"/>
      <c r="H843" s="4"/>
      <c r="I843" s="4"/>
      <c r="J843" s="18">
        <v>0.0</v>
      </c>
      <c r="K843" s="4" t="s">
        <v>8494</v>
      </c>
      <c r="L843" s="19" t="s">
        <v>8494</v>
      </c>
      <c r="M843" s="20" t="s">
        <v>8494</v>
      </c>
    </row>
    <row r="844">
      <c r="A844" s="6"/>
      <c r="B844" s="6"/>
      <c r="C844" s="4"/>
      <c r="D844" s="4">
        <v>38.9937381449898</v>
      </c>
      <c r="E844" s="4" t="s">
        <v>8657</v>
      </c>
      <c r="F844" s="4"/>
      <c r="G844" s="4"/>
      <c r="H844" s="4"/>
      <c r="I844" s="4"/>
      <c r="J844" s="18">
        <v>0.0</v>
      </c>
      <c r="K844" s="4" t="s">
        <v>8494</v>
      </c>
      <c r="L844" s="19" t="s">
        <v>8494</v>
      </c>
      <c r="M844" s="20" t="s">
        <v>8494</v>
      </c>
    </row>
    <row r="845">
      <c r="A845" s="6"/>
      <c r="B845" s="6"/>
      <c r="C845" s="4"/>
      <c r="D845" s="4">
        <v>106.935558171495</v>
      </c>
      <c r="E845" s="4" t="s">
        <v>3626</v>
      </c>
      <c r="F845" s="4"/>
      <c r="G845" s="4"/>
      <c r="H845" s="4"/>
      <c r="I845" s="4"/>
      <c r="J845" s="18">
        <v>0.0</v>
      </c>
      <c r="K845" s="4" t="s">
        <v>8494</v>
      </c>
      <c r="L845" s="19" t="s">
        <v>8494</v>
      </c>
      <c r="M845" s="20" t="s">
        <v>8494</v>
      </c>
    </row>
    <row r="846">
      <c r="A846" s="6"/>
      <c r="B846" s="6"/>
      <c r="C846" s="4"/>
      <c r="D846" s="4">
        <v>48.8403584060922</v>
      </c>
      <c r="E846" s="4" t="s">
        <v>5717</v>
      </c>
      <c r="F846" s="4"/>
      <c r="G846" s="4"/>
      <c r="H846" s="4"/>
      <c r="I846" s="4"/>
      <c r="J846" s="18">
        <v>0.0</v>
      </c>
      <c r="K846" s="4" t="s">
        <v>8494</v>
      </c>
      <c r="L846" s="19" t="s">
        <v>8494</v>
      </c>
      <c r="M846" s="20" t="s">
        <v>8494</v>
      </c>
    </row>
    <row r="847">
      <c r="A847" s="6"/>
      <c r="B847" s="6"/>
      <c r="C847" s="4"/>
      <c r="D847" s="4">
        <v>250.966631768339</v>
      </c>
      <c r="E847" s="4" t="s">
        <v>289</v>
      </c>
      <c r="F847" s="4"/>
      <c r="G847" s="4"/>
      <c r="H847" s="4"/>
      <c r="I847" s="4"/>
      <c r="J847" s="18">
        <v>0.0</v>
      </c>
      <c r="K847" s="4" t="s">
        <v>8494</v>
      </c>
      <c r="L847" s="19" t="s">
        <v>8494</v>
      </c>
      <c r="M847" s="20" t="s">
        <v>8494</v>
      </c>
    </row>
    <row r="848">
      <c r="A848" s="6"/>
      <c r="B848" s="6"/>
      <c r="C848" s="4"/>
      <c r="D848" s="4">
        <v>145.411804006257</v>
      </c>
      <c r="E848" s="4" t="s">
        <v>587</v>
      </c>
      <c r="F848" s="4"/>
      <c r="G848" s="4"/>
      <c r="H848" s="4"/>
      <c r="I848" s="4"/>
      <c r="J848" s="18">
        <v>0.0</v>
      </c>
      <c r="K848" s="4" t="s">
        <v>8494</v>
      </c>
      <c r="L848" s="19" t="s">
        <v>8494</v>
      </c>
      <c r="M848" s="20" t="s">
        <v>8494</v>
      </c>
    </row>
    <row r="849">
      <c r="A849" s="6"/>
      <c r="B849" s="6"/>
      <c r="C849" s="4"/>
      <c r="D849" s="4">
        <v>288.615632036072</v>
      </c>
      <c r="E849" s="4" t="s">
        <v>1154</v>
      </c>
      <c r="F849" s="4"/>
      <c r="G849" s="4"/>
      <c r="H849" s="4"/>
      <c r="I849" s="4"/>
      <c r="J849" s="18">
        <v>0.0</v>
      </c>
      <c r="K849" s="4" t="s">
        <v>8494</v>
      </c>
      <c r="L849" s="19" t="s">
        <v>8494</v>
      </c>
      <c r="M849" s="20" t="s">
        <v>8494</v>
      </c>
    </row>
    <row r="850">
      <c r="A850" s="6"/>
      <c r="B850" s="6"/>
      <c r="C850" s="4"/>
      <c r="D850" s="4">
        <v>667.225371926984</v>
      </c>
      <c r="E850" s="4" t="s">
        <v>813</v>
      </c>
      <c r="F850" s="4"/>
      <c r="G850" s="4"/>
      <c r="H850" s="4"/>
      <c r="I850" s="4"/>
      <c r="J850" s="18">
        <v>0.0</v>
      </c>
      <c r="K850" s="4" t="s">
        <v>8494</v>
      </c>
      <c r="L850" s="19" t="s">
        <v>8494</v>
      </c>
      <c r="M850" s="20" t="s">
        <v>8494</v>
      </c>
    </row>
    <row r="851">
      <c r="A851" s="6"/>
      <c r="B851" s="6"/>
      <c r="C851" s="4"/>
      <c r="D851" s="4">
        <v>72.6569017613584</v>
      </c>
      <c r="E851" s="4" t="s">
        <v>8567</v>
      </c>
      <c r="F851" s="4"/>
      <c r="G851" s="4"/>
      <c r="H851" s="4"/>
      <c r="I851" s="4"/>
      <c r="J851" s="18">
        <v>0.0</v>
      </c>
      <c r="K851" s="4" t="s">
        <v>8494</v>
      </c>
      <c r="L851" s="19" t="s">
        <v>8494</v>
      </c>
      <c r="M851" s="20" t="s">
        <v>8494</v>
      </c>
    </row>
    <row r="852">
      <c r="A852" s="6"/>
      <c r="B852" s="6"/>
      <c r="C852" s="4"/>
      <c r="D852" s="4">
        <v>94.1958845093979</v>
      </c>
      <c r="E852" s="4" t="s">
        <v>2478</v>
      </c>
      <c r="F852" s="4"/>
      <c r="G852" s="4"/>
      <c r="H852" s="4"/>
      <c r="I852" s="4"/>
      <c r="J852" s="18">
        <v>0.0</v>
      </c>
      <c r="K852" s="4" t="s">
        <v>8494</v>
      </c>
      <c r="L852" s="19" t="s">
        <v>8494</v>
      </c>
      <c r="M852" s="20" t="s">
        <v>8494</v>
      </c>
    </row>
    <row r="853">
      <c r="A853" s="6"/>
      <c r="B853" s="6"/>
      <c r="C853" s="4"/>
      <c r="D853" s="4">
        <v>176.643459562214</v>
      </c>
      <c r="E853" s="4" t="s">
        <v>8650</v>
      </c>
      <c r="F853" s="4"/>
      <c r="G853" s="4"/>
      <c r="H853" s="4"/>
      <c r="I853" s="4"/>
      <c r="J853" s="18">
        <v>0.0</v>
      </c>
      <c r="K853" s="4" t="s">
        <v>8494</v>
      </c>
      <c r="L853" s="19" t="s">
        <v>8494</v>
      </c>
      <c r="M853" s="20" t="s">
        <v>8494</v>
      </c>
    </row>
    <row r="854">
      <c r="A854" s="6"/>
      <c r="B854" s="6"/>
      <c r="C854" s="4"/>
      <c r="D854" s="4">
        <v>793.849308644602</v>
      </c>
      <c r="E854" s="4" t="s">
        <v>1254</v>
      </c>
      <c r="F854" s="4"/>
      <c r="G854" s="4"/>
      <c r="H854" s="4"/>
      <c r="I854" s="4"/>
      <c r="J854" s="18">
        <v>0.0</v>
      </c>
      <c r="K854" s="4" t="s">
        <v>8494</v>
      </c>
      <c r="L854" s="19" t="s">
        <v>8494</v>
      </c>
      <c r="M854" s="20" t="s">
        <v>8494</v>
      </c>
    </row>
    <row r="855">
      <c r="A855" s="6"/>
      <c r="B855" s="6"/>
      <c r="C855" s="4"/>
      <c r="D855" s="4">
        <v>16.3868479415162</v>
      </c>
      <c r="E855" s="4" t="s">
        <v>3024</v>
      </c>
      <c r="F855" s="4"/>
      <c r="G855" s="4"/>
      <c r="H855" s="4"/>
      <c r="I855" s="4"/>
      <c r="J855" s="18">
        <v>0.0</v>
      </c>
      <c r="K855" s="4" t="s">
        <v>8494</v>
      </c>
      <c r="L855" s="19" t="s">
        <v>8494</v>
      </c>
      <c r="M855" s="20" t="s">
        <v>8494</v>
      </c>
    </row>
    <row r="856">
      <c r="A856" s="6"/>
      <c r="B856" s="6"/>
      <c r="C856" s="4"/>
      <c r="D856" s="4">
        <v>685.014694424429</v>
      </c>
      <c r="E856" s="4" t="s">
        <v>280</v>
      </c>
      <c r="F856" s="4"/>
      <c r="G856" s="4"/>
      <c r="H856" s="4"/>
      <c r="I856" s="4"/>
      <c r="J856" s="18">
        <v>0.0</v>
      </c>
      <c r="K856" s="4" t="s">
        <v>8494</v>
      </c>
      <c r="L856" s="19" t="s">
        <v>8494</v>
      </c>
      <c r="M856" s="20" t="s">
        <v>8494</v>
      </c>
    </row>
    <row r="857">
      <c r="A857" s="6"/>
      <c r="B857" s="6"/>
      <c r="C857" s="4"/>
      <c r="D857" s="4">
        <v>43.594141056815</v>
      </c>
      <c r="E857" s="4" t="s">
        <v>3335</v>
      </c>
      <c r="F857" s="4"/>
      <c r="G857" s="4"/>
      <c r="H857" s="4"/>
      <c r="I857" s="4"/>
      <c r="J857" s="18">
        <v>0.0</v>
      </c>
      <c r="K857" s="4" t="s">
        <v>8494</v>
      </c>
      <c r="L857" s="19" t="s">
        <v>8494</v>
      </c>
      <c r="M857" s="20" t="s">
        <v>8494</v>
      </c>
    </row>
    <row r="858">
      <c r="A858" s="6"/>
      <c r="B858" s="6"/>
      <c r="C858" s="4"/>
      <c r="D858" s="4">
        <v>356.953606067377</v>
      </c>
      <c r="E858" s="4" t="s">
        <v>1125</v>
      </c>
      <c r="F858" s="4"/>
      <c r="G858" s="4"/>
      <c r="H858" s="4"/>
      <c r="I858" s="4"/>
      <c r="J858" s="18">
        <v>0.0</v>
      </c>
      <c r="K858" s="4" t="s">
        <v>8494</v>
      </c>
      <c r="L858" s="19" t="s">
        <v>8494</v>
      </c>
      <c r="M858" s="20" t="s">
        <v>8494</v>
      </c>
    </row>
    <row r="859">
      <c r="A859" s="6"/>
      <c r="B859" s="6"/>
      <c r="C859" s="4"/>
      <c r="D859" s="4">
        <v>43.594141056815</v>
      </c>
      <c r="E859" s="4" t="s">
        <v>4731</v>
      </c>
      <c r="F859" s="4"/>
      <c r="G859" s="4"/>
      <c r="H859" s="4"/>
      <c r="I859" s="4"/>
      <c r="J859" s="18">
        <v>0.0</v>
      </c>
      <c r="K859" s="4" t="s">
        <v>8494</v>
      </c>
      <c r="L859" s="19" t="s">
        <v>8494</v>
      </c>
      <c r="M859" s="20" t="s">
        <v>8494</v>
      </c>
    </row>
    <row r="860">
      <c r="A860" s="6"/>
      <c r="B860" s="6"/>
      <c r="C860" s="4"/>
      <c r="D860" s="4">
        <v>66.2570150907703</v>
      </c>
      <c r="E860" s="4" t="s">
        <v>5264</v>
      </c>
      <c r="F860" s="4"/>
      <c r="G860" s="4"/>
      <c r="H860" s="4"/>
      <c r="I860" s="4"/>
      <c r="J860" s="18">
        <v>0.0</v>
      </c>
      <c r="K860" s="4" t="s">
        <v>8494</v>
      </c>
      <c r="L860" s="19" t="s">
        <v>8494</v>
      </c>
      <c r="M860" s="20" t="s">
        <v>8494</v>
      </c>
    </row>
    <row r="861">
      <c r="A861" s="6"/>
      <c r="B861" s="6"/>
      <c r="C861" s="4"/>
      <c r="D861" s="4">
        <v>100.993093448288</v>
      </c>
      <c r="E861" s="4" t="s">
        <v>8556</v>
      </c>
      <c r="F861" s="4"/>
      <c r="G861" s="4"/>
      <c r="H861" s="4"/>
      <c r="I861" s="4"/>
      <c r="J861" s="18">
        <v>0.0</v>
      </c>
      <c r="K861" s="4" t="s">
        <v>8494</v>
      </c>
      <c r="L861" s="19" t="s">
        <v>8494</v>
      </c>
      <c r="M861" s="20" t="s">
        <v>8494</v>
      </c>
    </row>
    <row r="862">
      <c r="A862" s="6"/>
      <c r="B862" s="6"/>
      <c r="C862" s="4"/>
      <c r="D862" s="4">
        <v>643.013580588022</v>
      </c>
      <c r="E862" s="4" t="s">
        <v>568</v>
      </c>
      <c r="F862" s="4"/>
      <c r="G862" s="4"/>
      <c r="H862" s="4"/>
      <c r="I862" s="4"/>
      <c r="J862" s="18">
        <v>0.0</v>
      </c>
      <c r="K862" s="4" t="s">
        <v>8494</v>
      </c>
      <c r="L862" s="19" t="s">
        <v>8494</v>
      </c>
      <c r="M862" s="20" t="s">
        <v>8494</v>
      </c>
    </row>
    <row r="863">
      <c r="A863" s="6"/>
      <c r="B863" s="6"/>
      <c r="C863" s="4"/>
      <c r="D863" s="4">
        <v>43.7794503214708</v>
      </c>
      <c r="E863" s="4" t="s">
        <v>8531</v>
      </c>
      <c r="F863" s="4"/>
      <c r="G863" s="4"/>
      <c r="H863" s="4"/>
      <c r="I863" s="4"/>
      <c r="J863" s="18">
        <v>0.0</v>
      </c>
      <c r="K863" s="4" t="s">
        <v>8494</v>
      </c>
      <c r="L863" s="19" t="s">
        <v>8494</v>
      </c>
      <c r="M863" s="20" t="s">
        <v>8494</v>
      </c>
    </row>
    <row r="864">
      <c r="A864" s="6"/>
      <c r="B864" s="6"/>
      <c r="C864" s="4"/>
      <c r="D864" s="4">
        <v>290.627607045433</v>
      </c>
      <c r="E864" s="4" t="s">
        <v>6172</v>
      </c>
      <c r="F864" s="4"/>
      <c r="G864" s="4"/>
      <c r="H864" s="4"/>
      <c r="I864" s="4"/>
      <c r="J864" s="18">
        <v>0.0</v>
      </c>
      <c r="K864" s="4" t="s">
        <v>8494</v>
      </c>
      <c r="L864" s="19" t="s">
        <v>8494</v>
      </c>
      <c r="M864" s="20" t="s">
        <v>8494</v>
      </c>
    </row>
    <row r="865">
      <c r="A865" s="6"/>
      <c r="B865" s="6"/>
      <c r="C865" s="4"/>
      <c r="D865" s="4">
        <v>28.450558536496597</v>
      </c>
      <c r="E865" s="4" t="s">
        <v>8134</v>
      </c>
      <c r="F865" s="4"/>
      <c r="G865" s="4"/>
      <c r="H865" s="4"/>
      <c r="I865" s="4"/>
      <c r="J865" s="18">
        <v>0.0</v>
      </c>
      <c r="K865" s="4" t="s">
        <v>8494</v>
      </c>
      <c r="L865" s="19" t="s">
        <v>8494</v>
      </c>
      <c r="M865" s="20" t="s">
        <v>8494</v>
      </c>
    </row>
    <row r="866">
      <c r="A866" s="6"/>
      <c r="B866" s="6"/>
      <c r="C866" s="4"/>
      <c r="D866" s="4">
        <v>74.7238453026656</v>
      </c>
      <c r="E866" s="4" t="s">
        <v>1482</v>
      </c>
      <c r="F866" s="4"/>
      <c r="G866" s="4"/>
      <c r="H866" s="4"/>
      <c r="I866" s="4"/>
      <c r="J866" s="18">
        <v>0.0</v>
      </c>
      <c r="K866" s="4" t="s">
        <v>8494</v>
      </c>
      <c r="L866" s="19" t="s">
        <v>8494</v>
      </c>
      <c r="M866" s="20" t="s">
        <v>8494</v>
      </c>
    </row>
    <row r="867">
      <c r="A867" s="6"/>
      <c r="B867" s="6"/>
      <c r="C867" s="4"/>
      <c r="D867" s="4">
        <v>118.328871392186</v>
      </c>
      <c r="E867" s="4" t="s">
        <v>3789</v>
      </c>
      <c r="F867" s="4"/>
      <c r="G867" s="4"/>
      <c r="H867" s="4"/>
      <c r="I867" s="4"/>
      <c r="J867" s="18">
        <v>0.0</v>
      </c>
      <c r="K867" s="4" t="s">
        <v>8494</v>
      </c>
      <c r="L867" s="19" t="s">
        <v>8494</v>
      </c>
      <c r="M867" s="20" t="s">
        <v>8494</v>
      </c>
    </row>
    <row r="868">
      <c r="A868" s="6"/>
      <c r="B868" s="6"/>
      <c r="C868" s="4"/>
      <c r="D868" s="4">
        <v>43.594141056815</v>
      </c>
      <c r="E868" s="4" t="s">
        <v>2368</v>
      </c>
      <c r="F868" s="4"/>
      <c r="G868" s="4"/>
      <c r="H868" s="4"/>
      <c r="I868" s="4"/>
      <c r="J868" s="18">
        <v>0.0</v>
      </c>
      <c r="K868" s="4" t="s">
        <v>8494</v>
      </c>
      <c r="L868" s="19" t="s">
        <v>8494</v>
      </c>
      <c r="M868" s="20" t="s">
        <v>8494</v>
      </c>
    </row>
    <row r="869">
      <c r="A869" s="6"/>
      <c r="B869" s="6"/>
      <c r="C869" s="4"/>
      <c r="D869" s="4">
        <v>101.73419384625399</v>
      </c>
      <c r="E869" s="4" t="s">
        <v>591</v>
      </c>
      <c r="F869" s="4"/>
      <c r="G869" s="4"/>
      <c r="H869" s="4"/>
      <c r="I869" s="4"/>
      <c r="J869" s="18">
        <v>0.0</v>
      </c>
      <c r="K869" s="4" t="s">
        <v>8494</v>
      </c>
      <c r="L869" s="19" t="s">
        <v>8494</v>
      </c>
      <c r="M869" s="20" t="s">
        <v>8494</v>
      </c>
    </row>
    <row r="870">
      <c r="A870" s="6"/>
      <c r="B870" s="6"/>
      <c r="C870" s="4"/>
      <c r="D870" s="4">
        <v>43.594141056815</v>
      </c>
      <c r="E870" s="4" t="s">
        <v>5113</v>
      </c>
      <c r="F870" s="4"/>
      <c r="G870" s="4"/>
      <c r="H870" s="4"/>
      <c r="I870" s="4"/>
      <c r="J870" s="18">
        <v>0.0</v>
      </c>
      <c r="K870" s="4" t="s">
        <v>8494</v>
      </c>
      <c r="L870" s="19" t="s">
        <v>8494</v>
      </c>
      <c r="M870" s="20" t="s">
        <v>8494</v>
      </c>
    </row>
    <row r="871">
      <c r="A871" s="6"/>
      <c r="B871" s="6"/>
      <c r="C871" s="4"/>
      <c r="D871" s="4">
        <v>683.120190360292</v>
      </c>
      <c r="E871" s="4" t="s">
        <v>1066</v>
      </c>
      <c r="F871" s="4"/>
      <c r="G871" s="4"/>
      <c r="H871" s="4"/>
      <c r="I871" s="4"/>
      <c r="J871" s="18">
        <v>0.0</v>
      </c>
      <c r="K871" s="4" t="s">
        <v>8494</v>
      </c>
      <c r="L871" s="19" t="s">
        <v>8494</v>
      </c>
      <c r="M871" s="20" t="s">
        <v>8494</v>
      </c>
    </row>
    <row r="872">
      <c r="A872" s="6"/>
      <c r="B872" s="6"/>
      <c r="C872" s="4"/>
      <c r="D872" s="4">
        <v>248.235211143751</v>
      </c>
      <c r="E872" s="4" t="s">
        <v>31</v>
      </c>
      <c r="F872" s="4"/>
      <c r="G872" s="4"/>
      <c r="H872" s="4"/>
      <c r="I872" s="4"/>
      <c r="J872" s="18">
        <v>0.0</v>
      </c>
      <c r="K872" s="4" t="s">
        <v>8494</v>
      </c>
      <c r="L872" s="19" t="s">
        <v>8494</v>
      </c>
      <c r="M872" s="20" t="s">
        <v>8494</v>
      </c>
    </row>
    <row r="873">
      <c r="A873" s="6"/>
      <c r="B873" s="6"/>
      <c r="C873" s="4"/>
      <c r="D873" s="4">
        <v>16.5173140548434</v>
      </c>
      <c r="E873" s="4" t="s">
        <v>8596</v>
      </c>
      <c r="F873" s="4"/>
      <c r="G873" s="4"/>
      <c r="H873" s="4"/>
      <c r="I873" s="4"/>
      <c r="J873" s="18">
        <v>0.0</v>
      </c>
      <c r="K873" s="4" t="s">
        <v>8494</v>
      </c>
      <c r="L873" s="19" t="s">
        <v>8494</v>
      </c>
      <c r="M873" s="20" t="s">
        <v>8494</v>
      </c>
    </row>
    <row r="874">
      <c r="A874" s="6"/>
      <c r="B874" s="6"/>
      <c r="C874" s="4"/>
      <c r="D874" s="4">
        <v>179.748815543495</v>
      </c>
      <c r="E874" s="4" t="s">
        <v>5396</v>
      </c>
      <c r="F874" s="4"/>
      <c r="G874" s="4"/>
      <c r="H874" s="4"/>
      <c r="I874" s="4"/>
      <c r="J874" s="18">
        <v>0.0</v>
      </c>
      <c r="K874" s="4" t="s">
        <v>8494</v>
      </c>
      <c r="L874" s="19" t="s">
        <v>8494</v>
      </c>
      <c r="M874" s="20" t="s">
        <v>8494</v>
      </c>
    </row>
    <row r="875">
      <c r="A875" s="6"/>
      <c r="B875" s="6"/>
      <c r="C875" s="4"/>
      <c r="D875" s="4">
        <v>57.6009758614802</v>
      </c>
      <c r="E875" s="4" t="s">
        <v>8874</v>
      </c>
      <c r="F875" s="4"/>
      <c r="G875" s="4"/>
      <c r="H875" s="4"/>
      <c r="I875" s="4"/>
      <c r="J875" s="18">
        <v>0.0</v>
      </c>
      <c r="K875" s="4" t="s">
        <v>8494</v>
      </c>
      <c r="L875" s="19" t="s">
        <v>8494</v>
      </c>
      <c r="M875" s="20" t="s">
        <v>8494</v>
      </c>
    </row>
    <row r="876">
      <c r="A876" s="6"/>
      <c r="B876" s="6"/>
      <c r="C876" s="4"/>
      <c r="D876" s="4">
        <v>101.811174451253</v>
      </c>
      <c r="E876" s="4" t="s">
        <v>8640</v>
      </c>
      <c r="F876" s="4"/>
      <c r="G876" s="4"/>
      <c r="H876" s="4"/>
      <c r="I876" s="4"/>
      <c r="J876" s="18">
        <v>0.0</v>
      </c>
      <c r="K876" s="4" t="s">
        <v>8494</v>
      </c>
      <c r="L876" s="19" t="s">
        <v>8494</v>
      </c>
      <c r="M876" s="20" t="s">
        <v>8494</v>
      </c>
    </row>
    <row r="877">
      <c r="A877" s="6"/>
      <c r="B877" s="6"/>
      <c r="C877" s="4"/>
      <c r="D877" s="4">
        <v>101.792319367663</v>
      </c>
      <c r="E877" s="4" t="s">
        <v>1734</v>
      </c>
      <c r="F877" s="4"/>
      <c r="G877" s="4"/>
      <c r="H877" s="4"/>
      <c r="I877" s="4"/>
      <c r="J877" s="18">
        <v>0.0</v>
      </c>
      <c r="K877" s="4" t="s">
        <v>8494</v>
      </c>
      <c r="L877" s="19" t="s">
        <v>8494</v>
      </c>
      <c r="M877" s="20" t="s">
        <v>8494</v>
      </c>
    </row>
    <row r="878">
      <c r="A878" s="6"/>
      <c r="B878" s="6"/>
      <c r="C878" s="4"/>
      <c r="D878" s="4">
        <v>241.802994155321</v>
      </c>
      <c r="E878" s="4" t="s">
        <v>8643</v>
      </c>
      <c r="F878" s="4"/>
      <c r="G878" s="4"/>
      <c r="H878" s="4"/>
      <c r="I878" s="4"/>
      <c r="J878" s="18">
        <v>0.0</v>
      </c>
      <c r="K878" s="4" t="s">
        <v>8494</v>
      </c>
      <c r="L878" s="19" t="s">
        <v>8494</v>
      </c>
      <c r="M878" s="20" t="s">
        <v>8494</v>
      </c>
    </row>
    <row r="879">
      <c r="A879" s="6"/>
      <c r="B879" s="6"/>
      <c r="C879" s="4"/>
      <c r="D879" s="4">
        <v>1628.24116847204</v>
      </c>
      <c r="E879" s="4" t="s">
        <v>1050</v>
      </c>
      <c r="F879" s="4"/>
      <c r="G879" s="4"/>
      <c r="H879" s="4"/>
      <c r="I879" s="4"/>
      <c r="J879" s="18">
        <v>0.0</v>
      </c>
      <c r="K879" s="4" t="s">
        <v>8494</v>
      </c>
      <c r="L879" s="19" t="s">
        <v>8494</v>
      </c>
      <c r="M879" s="20" t="s">
        <v>8494</v>
      </c>
    </row>
    <row r="880">
      <c r="A880" s="6"/>
      <c r="B880" s="6"/>
      <c r="C880" s="4"/>
      <c r="D880" s="4">
        <v>235.897224218933</v>
      </c>
      <c r="E880" s="4" t="s">
        <v>373</v>
      </c>
      <c r="F880" s="4"/>
      <c r="G880" s="4"/>
      <c r="H880" s="4"/>
      <c r="I880" s="4"/>
      <c r="J880" s="18">
        <v>0.0</v>
      </c>
      <c r="K880" s="4" t="s">
        <v>8494</v>
      </c>
      <c r="L880" s="19" t="s">
        <v>8494</v>
      </c>
      <c r="M880" s="20" t="s">
        <v>8494</v>
      </c>
    </row>
    <row r="881">
      <c r="A881" s="6"/>
      <c r="B881" s="6"/>
      <c r="C881" s="4"/>
      <c r="D881" s="4">
        <v>7.2656901761358395</v>
      </c>
      <c r="E881" s="4" t="s">
        <v>3412</v>
      </c>
      <c r="F881" s="4"/>
      <c r="G881" s="4"/>
      <c r="H881" s="4"/>
      <c r="I881" s="4"/>
      <c r="J881" s="18">
        <v>0.0</v>
      </c>
      <c r="K881" s="4" t="s">
        <v>8494</v>
      </c>
      <c r="L881" s="19" t="s">
        <v>8494</v>
      </c>
      <c r="M881" s="20" t="s">
        <v>8494</v>
      </c>
    </row>
    <row r="882">
      <c r="A882" s="6"/>
      <c r="B882" s="6"/>
      <c r="C882" s="4"/>
      <c r="D882" s="4">
        <v>1453.13803522716</v>
      </c>
      <c r="E882" s="4" t="s">
        <v>8589</v>
      </c>
      <c r="F882" s="4"/>
      <c r="G882" s="4"/>
      <c r="H882" s="4"/>
      <c r="I882" s="4"/>
      <c r="J882" s="18">
        <v>0.0</v>
      </c>
      <c r="K882" s="4" t="s">
        <v>8494</v>
      </c>
      <c r="L882" s="19" t="s">
        <v>8494</v>
      </c>
      <c r="M882" s="20" t="s">
        <v>8494</v>
      </c>
    </row>
    <row r="883">
      <c r="A883" s="6"/>
      <c r="B883" s="6"/>
      <c r="C883" s="4"/>
      <c r="D883" s="4">
        <v>85.56039640021841</v>
      </c>
      <c r="E883" s="4" t="s">
        <v>3772</v>
      </c>
      <c r="F883" s="4"/>
      <c r="G883" s="4"/>
      <c r="H883" s="4"/>
      <c r="I883" s="4"/>
      <c r="J883" s="18">
        <v>0.0</v>
      </c>
      <c r="K883" s="4" t="s">
        <v>8494</v>
      </c>
      <c r="L883" s="19" t="s">
        <v>8494</v>
      </c>
      <c r="M883" s="20" t="s">
        <v>8494</v>
      </c>
    </row>
    <row r="884">
      <c r="A884" s="6"/>
      <c r="B884" s="6"/>
      <c r="C884" s="4"/>
      <c r="D884" s="4">
        <v>43.594141056815</v>
      </c>
      <c r="E884" s="4" t="s">
        <v>6058</v>
      </c>
      <c r="F884" s="4"/>
      <c r="G884" s="4"/>
      <c r="H884" s="4"/>
      <c r="I884" s="4"/>
      <c r="J884" s="18">
        <v>0.0</v>
      </c>
      <c r="K884" s="4" t="s">
        <v>8494</v>
      </c>
      <c r="L884" s="19" t="s">
        <v>8494</v>
      </c>
      <c r="M884" s="20" t="s">
        <v>8494</v>
      </c>
    </row>
    <row r="885">
      <c r="A885" s="6"/>
      <c r="B885" s="6"/>
      <c r="C885" s="4"/>
      <c r="D885" s="4">
        <v>244.9990727393</v>
      </c>
      <c r="E885" s="4" t="s">
        <v>632</v>
      </c>
      <c r="F885" s="4"/>
      <c r="G885" s="4"/>
      <c r="H885" s="4"/>
      <c r="I885" s="4"/>
      <c r="J885" s="18">
        <v>0.0</v>
      </c>
      <c r="K885" s="4" t="s">
        <v>8494</v>
      </c>
      <c r="L885" s="19" t="s">
        <v>8494</v>
      </c>
      <c r="M885" s="20" t="s">
        <v>8494</v>
      </c>
    </row>
    <row r="886">
      <c r="A886" s="6"/>
      <c r="B886" s="6"/>
      <c r="C886" s="4"/>
      <c r="D886" s="4">
        <v>207.26708449787702</v>
      </c>
      <c r="E886" s="4" t="s">
        <v>1440</v>
      </c>
      <c r="F886" s="4"/>
      <c r="G886" s="4"/>
      <c r="H886" s="4"/>
      <c r="I886" s="4"/>
      <c r="J886" s="18">
        <v>0.0</v>
      </c>
      <c r="K886" s="4" t="s">
        <v>8494</v>
      </c>
      <c r="L886" s="19" t="s">
        <v>8494</v>
      </c>
      <c r="M886" s="20" t="s">
        <v>8494</v>
      </c>
    </row>
    <row r="887">
      <c r="A887" s="6"/>
      <c r="B887" s="6"/>
      <c r="C887" s="4"/>
      <c r="D887" s="4">
        <v>43.594141056815</v>
      </c>
      <c r="E887" s="4" t="s">
        <v>8073</v>
      </c>
      <c r="F887" s="4"/>
      <c r="G887" s="4"/>
      <c r="H887" s="4"/>
      <c r="I887" s="4"/>
      <c r="J887" s="18">
        <v>0.0</v>
      </c>
      <c r="K887" s="4" t="s">
        <v>8494</v>
      </c>
      <c r="L887" s="19" t="s">
        <v>8494</v>
      </c>
      <c r="M887" s="20" t="s">
        <v>8494</v>
      </c>
    </row>
    <row r="888">
      <c r="A888" s="6"/>
      <c r="B888" s="6"/>
      <c r="C888" s="4"/>
      <c r="D888" s="4">
        <v>4.20375358910225</v>
      </c>
      <c r="E888" s="4" t="s">
        <v>2210</v>
      </c>
      <c r="F888" s="4"/>
      <c r="G888" s="4"/>
      <c r="H888" s="4"/>
      <c r="I888" s="4"/>
      <c r="J888" s="18">
        <v>0.0</v>
      </c>
      <c r="K888" s="4" t="s">
        <v>8494</v>
      </c>
      <c r="L888" s="19" t="s">
        <v>8494</v>
      </c>
      <c r="M888" s="20" t="s">
        <v>8494</v>
      </c>
    </row>
    <row r="889">
      <c r="A889" s="6"/>
      <c r="B889" s="6"/>
      <c r="C889" s="4"/>
      <c r="D889" s="4">
        <v>43.594141056815</v>
      </c>
      <c r="E889" s="4" t="s">
        <v>4008</v>
      </c>
      <c r="F889" s="4"/>
      <c r="G889" s="4"/>
      <c r="H889" s="4"/>
      <c r="I889" s="4"/>
      <c r="J889" s="18">
        <v>0.0</v>
      </c>
      <c r="K889" s="4" t="s">
        <v>8494</v>
      </c>
      <c r="L889" s="19" t="s">
        <v>8494</v>
      </c>
      <c r="M889" s="20" t="s">
        <v>8494</v>
      </c>
    </row>
    <row r="890">
      <c r="A890" s="6"/>
      <c r="B890" s="6"/>
      <c r="C890" s="4"/>
      <c r="D890" s="4">
        <v>1453.13803522716</v>
      </c>
      <c r="E890" s="4" t="s">
        <v>683</v>
      </c>
      <c r="F890" s="4"/>
      <c r="G890" s="4"/>
      <c r="H890" s="4"/>
      <c r="I890" s="4"/>
      <c r="J890" s="18">
        <v>0.0</v>
      </c>
      <c r="K890" s="4" t="s">
        <v>8494</v>
      </c>
      <c r="L890" s="19" t="s">
        <v>8494</v>
      </c>
      <c r="M890" s="20" t="s">
        <v>8494</v>
      </c>
    </row>
    <row r="891">
      <c r="A891" s="6"/>
      <c r="B891" s="6"/>
      <c r="C891" s="4"/>
      <c r="D891" s="4">
        <v>240.500032209051</v>
      </c>
      <c r="E891" s="4" t="s">
        <v>501</v>
      </c>
      <c r="F891" s="4"/>
      <c r="G891" s="4"/>
      <c r="H891" s="4"/>
      <c r="I891" s="4"/>
      <c r="J891" s="18">
        <v>0.0</v>
      </c>
      <c r="K891" s="4" t="s">
        <v>8494</v>
      </c>
      <c r="L891" s="19" t="s">
        <v>8494</v>
      </c>
      <c r="M891" s="20" t="s">
        <v>8494</v>
      </c>
    </row>
    <row r="892">
      <c r="A892" s="6"/>
      <c r="B892" s="6"/>
      <c r="C892" s="4"/>
      <c r="D892" s="4">
        <v>72.7501922587723</v>
      </c>
      <c r="E892" s="4" t="s">
        <v>8514</v>
      </c>
      <c r="F892" s="4"/>
      <c r="G892" s="4"/>
      <c r="H892" s="4"/>
      <c r="I892" s="4"/>
      <c r="J892" s="18">
        <v>0.0</v>
      </c>
      <c r="K892" s="4" t="s">
        <v>8494</v>
      </c>
      <c r="L892" s="19" t="s">
        <v>8494</v>
      </c>
      <c r="M892" s="20" t="s">
        <v>8494</v>
      </c>
    </row>
    <row r="893">
      <c r="A893" s="6"/>
      <c r="B893" s="6"/>
      <c r="C893" s="4"/>
      <c r="D893" s="4">
        <v>72.6569017613584</v>
      </c>
      <c r="E893" s="4" t="s">
        <v>8614</v>
      </c>
      <c r="F893" s="4"/>
      <c r="G893" s="4"/>
      <c r="H893" s="4"/>
      <c r="I893" s="4"/>
      <c r="J893" s="18">
        <v>0.0</v>
      </c>
      <c r="K893" s="4" t="s">
        <v>8494</v>
      </c>
      <c r="L893" s="19" t="s">
        <v>8494</v>
      </c>
      <c r="M893" s="20" t="s">
        <v>8494</v>
      </c>
    </row>
    <row r="894">
      <c r="A894" s="6"/>
      <c r="B894" s="6"/>
      <c r="C894" s="4"/>
      <c r="D894" s="4">
        <v>174.37656422726</v>
      </c>
      <c r="E894" s="4" t="s">
        <v>1514</v>
      </c>
      <c r="F894" s="4"/>
      <c r="G894" s="4"/>
      <c r="H894" s="4"/>
      <c r="I894" s="4"/>
      <c r="J894" s="18">
        <v>0.0</v>
      </c>
      <c r="K894" s="4" t="s">
        <v>8494</v>
      </c>
      <c r="L894" s="19" t="s">
        <v>8494</v>
      </c>
      <c r="M894" s="20" t="s">
        <v>8494</v>
      </c>
    </row>
    <row r="895">
      <c r="A895" s="6"/>
      <c r="B895" s="6"/>
      <c r="C895" s="4"/>
      <c r="D895" s="4">
        <v>43.594141056815</v>
      </c>
      <c r="E895" s="4" t="s">
        <v>2807</v>
      </c>
      <c r="F895" s="4"/>
      <c r="G895" s="4"/>
      <c r="H895" s="4"/>
      <c r="I895" s="4"/>
      <c r="J895" s="18">
        <v>0.0</v>
      </c>
      <c r="K895" s="4" t="s">
        <v>8494</v>
      </c>
      <c r="L895" s="19" t="s">
        <v>8494</v>
      </c>
      <c r="M895" s="20" t="s">
        <v>8494</v>
      </c>
    </row>
    <row r="896">
      <c r="A896" s="6"/>
      <c r="B896" s="6"/>
      <c r="C896" s="4"/>
      <c r="D896" s="4">
        <v>43.594141056815</v>
      </c>
      <c r="E896" s="4" t="s">
        <v>2028</v>
      </c>
      <c r="F896" s="4"/>
      <c r="G896" s="4"/>
      <c r="H896" s="4"/>
      <c r="I896" s="4"/>
      <c r="J896" s="18">
        <v>0.0</v>
      </c>
      <c r="K896" s="4" t="s">
        <v>8494</v>
      </c>
      <c r="L896" s="19" t="s">
        <v>8494</v>
      </c>
      <c r="M896" s="20" t="s">
        <v>8494</v>
      </c>
    </row>
    <row r="897">
      <c r="A897" s="6"/>
      <c r="B897" s="6"/>
      <c r="C897" s="4"/>
      <c r="D897" s="4">
        <v>239.385123255383</v>
      </c>
      <c r="E897" s="4" t="s">
        <v>7568</v>
      </c>
      <c r="F897" s="4"/>
      <c r="G897" s="4"/>
      <c r="H897" s="4"/>
      <c r="I897" s="4"/>
      <c r="J897" s="18">
        <v>0.0</v>
      </c>
      <c r="K897" s="4" t="s">
        <v>8494</v>
      </c>
      <c r="L897" s="19" t="s">
        <v>8494</v>
      </c>
      <c r="M897" s="20" t="s">
        <v>8494</v>
      </c>
    </row>
    <row r="898">
      <c r="A898" s="6"/>
      <c r="B898" s="6"/>
      <c r="C898" s="4"/>
      <c r="D898" s="4">
        <v>431.37054313097</v>
      </c>
      <c r="E898" s="4" t="s">
        <v>8653</v>
      </c>
      <c r="F898" s="4"/>
      <c r="G898" s="4"/>
      <c r="H898" s="4"/>
      <c r="I898" s="4"/>
      <c r="J898" s="18">
        <v>0.0</v>
      </c>
      <c r="K898" s="4" t="s">
        <v>8494</v>
      </c>
      <c r="L898" s="19" t="s">
        <v>8494</v>
      </c>
      <c r="M898" s="20" t="s">
        <v>8494</v>
      </c>
    </row>
    <row r="899">
      <c r="A899" s="6"/>
      <c r="B899" s="6"/>
      <c r="C899" s="4"/>
      <c r="D899" s="4">
        <v>29.498703573190202</v>
      </c>
      <c r="E899" s="4" t="s">
        <v>8660</v>
      </c>
      <c r="F899" s="4"/>
      <c r="G899" s="4"/>
      <c r="H899" s="4"/>
      <c r="I899" s="4"/>
      <c r="J899" s="18">
        <v>0.0</v>
      </c>
      <c r="K899" s="4" t="s">
        <v>8494</v>
      </c>
      <c r="L899" s="19" t="s">
        <v>8494</v>
      </c>
      <c r="M899" s="20" t="s">
        <v>8494</v>
      </c>
    </row>
    <row r="900">
      <c r="A900" s="6"/>
      <c r="B900" s="6"/>
      <c r="C900" s="4"/>
      <c r="D900" s="4">
        <v>399.612959687471</v>
      </c>
      <c r="E900" s="4" t="s">
        <v>1493</v>
      </c>
      <c r="F900" s="4"/>
      <c r="G900" s="4"/>
      <c r="H900" s="4"/>
      <c r="I900" s="4"/>
      <c r="J900" s="18">
        <v>0.0</v>
      </c>
      <c r="K900" s="4" t="s">
        <v>8494</v>
      </c>
      <c r="L900" s="19" t="s">
        <v>8494</v>
      </c>
      <c r="M900" s="20" t="s">
        <v>8494</v>
      </c>
    </row>
    <row r="901">
      <c r="A901" s="6"/>
      <c r="B901" s="6"/>
      <c r="C901" s="4"/>
      <c r="D901" s="4">
        <v>43.594141056815</v>
      </c>
      <c r="E901" s="4" t="s">
        <v>3136</v>
      </c>
      <c r="F901" s="4"/>
      <c r="G901" s="4"/>
      <c r="H901" s="4"/>
      <c r="I901" s="4"/>
      <c r="J901" s="18">
        <v>0.0</v>
      </c>
      <c r="K901" s="4" t="s">
        <v>8494</v>
      </c>
      <c r="L901" s="19" t="s">
        <v>8494</v>
      </c>
      <c r="M901" s="20" t="s">
        <v>8494</v>
      </c>
    </row>
    <row r="902">
      <c r="A902" s="6"/>
      <c r="B902" s="6"/>
      <c r="C902" s="4"/>
      <c r="D902" s="4">
        <v>29.208074508066098</v>
      </c>
      <c r="E902" s="4" t="s">
        <v>4154</v>
      </c>
      <c r="F902" s="4"/>
      <c r="G902" s="4"/>
      <c r="H902" s="4"/>
      <c r="I902" s="4"/>
      <c r="J902" s="18">
        <v>0.0</v>
      </c>
      <c r="K902" s="4" t="s">
        <v>8494</v>
      </c>
      <c r="L902" s="19" t="s">
        <v>8494</v>
      </c>
      <c r="M902" s="20" t="s">
        <v>8494</v>
      </c>
    </row>
    <row r="903">
      <c r="A903" s="6"/>
      <c r="B903" s="6"/>
      <c r="C903" s="4"/>
      <c r="D903" s="4">
        <v>238.77936275416502</v>
      </c>
      <c r="E903" s="4" t="s">
        <v>1283</v>
      </c>
      <c r="F903" s="4"/>
      <c r="G903" s="4"/>
      <c r="H903" s="4"/>
      <c r="I903" s="4"/>
      <c r="J903" s="18">
        <v>0.0</v>
      </c>
      <c r="K903" s="4" t="s">
        <v>8494</v>
      </c>
      <c r="L903" s="19" t="s">
        <v>8494</v>
      </c>
      <c r="M903" s="20" t="s">
        <v>8494</v>
      </c>
    </row>
    <row r="904">
      <c r="A904" s="6"/>
      <c r="B904" s="6"/>
      <c r="C904" s="4"/>
      <c r="D904" s="4">
        <v>43.594141056815</v>
      </c>
      <c r="E904" s="4" t="s">
        <v>1848</v>
      </c>
      <c r="F904" s="4"/>
      <c r="G904" s="4"/>
      <c r="H904" s="4"/>
      <c r="I904" s="4"/>
      <c r="J904" s="18">
        <v>0.0</v>
      </c>
      <c r="K904" s="4" t="s">
        <v>8494</v>
      </c>
      <c r="L904" s="19" t="s">
        <v>8494</v>
      </c>
      <c r="M904" s="20" t="s">
        <v>8494</v>
      </c>
    </row>
    <row r="905">
      <c r="A905" s="6"/>
      <c r="B905" s="6"/>
      <c r="C905" s="4"/>
      <c r="D905" s="4">
        <v>772.892085015664</v>
      </c>
      <c r="E905" s="4" t="s">
        <v>8521</v>
      </c>
      <c r="F905" s="4"/>
      <c r="G905" s="4"/>
      <c r="H905" s="4"/>
      <c r="I905" s="4"/>
      <c r="J905" s="18">
        <v>0.0</v>
      </c>
      <c r="K905" s="4" t="s">
        <v>8494</v>
      </c>
      <c r="L905" s="19" t="s">
        <v>8494</v>
      </c>
      <c r="M905" s="20" t="s">
        <v>8494</v>
      </c>
    </row>
    <row r="906">
      <c r="A906" s="6"/>
      <c r="B906" s="6"/>
      <c r="C906" s="4"/>
      <c r="D906" s="4">
        <v>43.594141056815</v>
      </c>
      <c r="E906" s="4" t="s">
        <v>8894</v>
      </c>
      <c r="F906" s="4"/>
      <c r="G906" s="4"/>
      <c r="H906" s="4"/>
      <c r="I906" s="4"/>
      <c r="J906" s="18">
        <v>0.0</v>
      </c>
      <c r="K906" s="4" t="s">
        <v>8494</v>
      </c>
      <c r="L906" s="19" t="s">
        <v>8494</v>
      </c>
      <c r="M906" s="20" t="s">
        <v>8494</v>
      </c>
    </row>
    <row r="907">
      <c r="A907" s="6"/>
      <c r="B907" s="6"/>
      <c r="C907" s="4"/>
      <c r="D907" s="4">
        <v>43.7171950429427</v>
      </c>
      <c r="E907" s="4" t="s">
        <v>8579</v>
      </c>
      <c r="F907" s="4"/>
      <c r="G907" s="4"/>
      <c r="H907" s="4"/>
      <c r="I907" s="4"/>
      <c r="J907" s="18">
        <v>0.0</v>
      </c>
      <c r="K907" s="4" t="s">
        <v>8494</v>
      </c>
      <c r="L907" s="19" t="s">
        <v>8494</v>
      </c>
      <c r="M907" s="20" t="s">
        <v>8494</v>
      </c>
    </row>
    <row r="908">
      <c r="A908" s="6"/>
      <c r="B908" s="6"/>
      <c r="C908" s="4"/>
      <c r="D908" s="4">
        <v>139.165807118122</v>
      </c>
      <c r="E908" s="4" t="s">
        <v>3489</v>
      </c>
      <c r="F908" s="4"/>
      <c r="G908" s="4"/>
      <c r="H908" s="4"/>
      <c r="I908" s="4"/>
      <c r="J908" s="18">
        <v>0.0</v>
      </c>
      <c r="K908" s="4" t="s">
        <v>8494</v>
      </c>
      <c r="L908" s="19" t="s">
        <v>8494</v>
      </c>
      <c r="M908" s="20" t="s">
        <v>8494</v>
      </c>
    </row>
    <row r="909">
      <c r="A909" s="6"/>
      <c r="B909" s="6"/>
      <c r="C909" s="4"/>
      <c r="D909" s="4">
        <v>97.8280146959297</v>
      </c>
      <c r="E909" s="4" t="s">
        <v>7446</v>
      </c>
      <c r="F909" s="4"/>
      <c r="G909" s="4"/>
      <c r="H909" s="4"/>
      <c r="I909" s="4"/>
      <c r="J909" s="18">
        <v>0.0</v>
      </c>
      <c r="K909" s="4" t="s">
        <v>8494</v>
      </c>
      <c r="L909" s="19" t="s">
        <v>8494</v>
      </c>
      <c r="M909" s="20" t="s">
        <v>8494</v>
      </c>
    </row>
    <row r="910">
      <c r="A910" s="6"/>
      <c r="B910" s="6"/>
      <c r="C910" s="4"/>
      <c r="D910" s="4">
        <v>682.975139574754</v>
      </c>
      <c r="E910" s="4" t="s">
        <v>8501</v>
      </c>
      <c r="F910" s="4"/>
      <c r="G910" s="4"/>
      <c r="H910" s="4"/>
      <c r="I910" s="4"/>
      <c r="J910" s="18">
        <v>0.0</v>
      </c>
      <c r="K910" s="4" t="s">
        <v>8494</v>
      </c>
      <c r="L910" s="19" t="s">
        <v>8494</v>
      </c>
      <c r="M910" s="20" t="s">
        <v>8494</v>
      </c>
    </row>
    <row r="911">
      <c r="A911" s="6"/>
      <c r="B911" s="6"/>
      <c r="C911" s="4"/>
      <c r="D911" s="4">
        <v>294.680980901035</v>
      </c>
      <c r="E911" s="4" t="s">
        <v>5105</v>
      </c>
      <c r="F911" s="4"/>
      <c r="G911" s="4"/>
      <c r="H911" s="4"/>
      <c r="I911" s="4"/>
      <c r="J911" s="18">
        <v>0.0</v>
      </c>
      <c r="K911" s="4" t="s">
        <v>8494</v>
      </c>
      <c r="L911" s="19" t="s">
        <v>8494</v>
      </c>
      <c r="M911" s="20" t="s">
        <v>8494</v>
      </c>
    </row>
    <row r="912">
      <c r="A912" s="6"/>
      <c r="B912" s="6"/>
      <c r="C912" s="4"/>
      <c r="D912" s="4">
        <v>5.79749624889873</v>
      </c>
      <c r="E912" s="4" t="s">
        <v>7491</v>
      </c>
      <c r="F912" s="4"/>
      <c r="G912" s="4"/>
      <c r="H912" s="4"/>
      <c r="I912" s="4"/>
      <c r="J912" s="18">
        <v>0.0</v>
      </c>
      <c r="K912" s="4" t="s">
        <v>8494</v>
      </c>
      <c r="L912" s="19" t="s">
        <v>8494</v>
      </c>
      <c r="M912" s="20" t="s">
        <v>8494</v>
      </c>
    </row>
    <row r="913">
      <c r="A913" s="6"/>
      <c r="B913" s="6"/>
      <c r="C913" s="4"/>
      <c r="D913" s="4">
        <v>2.00013518813077</v>
      </c>
      <c r="E913" s="4" t="s">
        <v>2417</v>
      </c>
      <c r="F913" s="4"/>
      <c r="G913" s="4"/>
      <c r="H913" s="4"/>
      <c r="I913" s="4"/>
      <c r="J913" s="18">
        <v>0.0</v>
      </c>
      <c r="K913" s="4" t="s">
        <v>8494</v>
      </c>
      <c r="L913" s="19" t="s">
        <v>8494</v>
      </c>
      <c r="M913" s="20" t="s">
        <v>8494</v>
      </c>
    </row>
    <row r="914">
      <c r="A914" s="6"/>
      <c r="B914" s="6"/>
      <c r="C914" s="4"/>
      <c r="D914" s="4">
        <v>43.594141056815</v>
      </c>
      <c r="E914" s="4" t="s">
        <v>3277</v>
      </c>
      <c r="F914" s="4"/>
      <c r="G914" s="4"/>
      <c r="H914" s="4"/>
      <c r="I914" s="4"/>
      <c r="J914" s="18">
        <v>0.0</v>
      </c>
      <c r="K914" s="4" t="s">
        <v>8494</v>
      </c>
      <c r="L914" s="19" t="s">
        <v>8494</v>
      </c>
      <c r="M914" s="20" t="s">
        <v>8494</v>
      </c>
    </row>
    <row r="915">
      <c r="A915" s="6"/>
      <c r="B915" s="6"/>
      <c r="C915" s="4"/>
      <c r="D915" s="4">
        <v>73.06170764277691</v>
      </c>
      <c r="E915" s="4" t="s">
        <v>8685</v>
      </c>
      <c r="F915" s="4"/>
      <c r="G915" s="4"/>
      <c r="H915" s="4"/>
      <c r="I915" s="4"/>
      <c r="J915" s="18">
        <v>0.0</v>
      </c>
      <c r="K915" s="4" t="s">
        <v>8494</v>
      </c>
      <c r="L915" s="19" t="s">
        <v>8494</v>
      </c>
      <c r="M915" s="20" t="s">
        <v>8494</v>
      </c>
    </row>
    <row r="916">
      <c r="A916" s="6"/>
      <c r="B916" s="6"/>
      <c r="C916" s="4"/>
      <c r="D916" s="4">
        <v>682.974876556769</v>
      </c>
      <c r="E916" s="4" t="s">
        <v>306</v>
      </c>
      <c r="F916" s="4"/>
      <c r="G916" s="4"/>
      <c r="H916" s="4"/>
      <c r="I916" s="4"/>
      <c r="J916" s="18">
        <v>0.0</v>
      </c>
      <c r="K916" s="4" t="s">
        <v>8494</v>
      </c>
      <c r="L916" s="19" t="s">
        <v>8494</v>
      </c>
      <c r="M916" s="20" t="s">
        <v>8494</v>
      </c>
    </row>
    <row r="917">
      <c r="A917" s="6"/>
      <c r="B917" s="6"/>
      <c r="C917" s="4"/>
      <c r="D917" s="4">
        <v>159.939809060506</v>
      </c>
      <c r="E917" s="4" t="s">
        <v>3261</v>
      </c>
      <c r="F917" s="4"/>
      <c r="G917" s="4"/>
      <c r="H917" s="4"/>
      <c r="I917" s="4"/>
      <c r="J917" s="18">
        <v>0.0</v>
      </c>
      <c r="K917" s="4" t="s">
        <v>8494</v>
      </c>
      <c r="L917" s="19" t="s">
        <v>8494</v>
      </c>
      <c r="M917" s="20" t="s">
        <v>8494</v>
      </c>
    </row>
    <row r="918">
      <c r="A918" s="6"/>
      <c r="B918" s="6"/>
      <c r="C918" s="4"/>
      <c r="D918" s="4">
        <v>530.2272083375381</v>
      </c>
      <c r="E918" s="4" t="s">
        <v>8715</v>
      </c>
      <c r="F918" s="4"/>
      <c r="G918" s="4"/>
      <c r="H918" s="4"/>
      <c r="I918" s="4"/>
      <c r="J918" s="18">
        <v>0.0</v>
      </c>
      <c r="K918" s="4" t="s">
        <v>8494</v>
      </c>
      <c r="L918" s="19" t="s">
        <v>8494</v>
      </c>
      <c r="M918" s="20" t="s">
        <v>8494</v>
      </c>
    </row>
    <row r="919">
      <c r="A919" s="6"/>
      <c r="B919" s="6"/>
      <c r="C919" s="4"/>
      <c r="D919" s="4">
        <v>101.864976269424</v>
      </c>
      <c r="E919" s="4" t="s">
        <v>8905</v>
      </c>
      <c r="F919" s="4"/>
      <c r="G919" s="4"/>
      <c r="H919" s="4"/>
      <c r="I919" s="4"/>
      <c r="J919" s="18">
        <v>0.0</v>
      </c>
      <c r="K919" s="4" t="s">
        <v>8494</v>
      </c>
      <c r="L919" s="19" t="s">
        <v>8494</v>
      </c>
      <c r="M919" s="20" t="s">
        <v>8494</v>
      </c>
    </row>
    <row r="920">
      <c r="A920" s="6"/>
      <c r="B920" s="6"/>
      <c r="C920" s="4"/>
      <c r="D920" s="4">
        <v>3658.52866905187</v>
      </c>
      <c r="E920" s="4" t="s">
        <v>8907</v>
      </c>
      <c r="F920" s="4"/>
      <c r="G920" s="4"/>
      <c r="H920" s="4"/>
      <c r="I920" s="4"/>
      <c r="J920" s="18">
        <v>0.0</v>
      </c>
      <c r="K920" s="4" t="s">
        <v>8494</v>
      </c>
      <c r="L920" s="19" t="s">
        <v>8494</v>
      </c>
      <c r="M920" s="20" t="s">
        <v>8494</v>
      </c>
    </row>
    <row r="921">
      <c r="A921" s="6"/>
      <c r="B921" s="6"/>
      <c r="C921" s="4"/>
      <c r="D921" s="4">
        <v>5.25420766944793</v>
      </c>
      <c r="E921" s="4" t="s">
        <v>8709</v>
      </c>
      <c r="F921" s="4"/>
      <c r="G921" s="4"/>
      <c r="H921" s="4"/>
      <c r="I921" s="4"/>
      <c r="J921" s="18">
        <v>0.0</v>
      </c>
      <c r="K921" s="4" t="s">
        <v>8494</v>
      </c>
      <c r="L921" s="19" t="s">
        <v>8494</v>
      </c>
      <c r="M921" s="20" t="s">
        <v>8494</v>
      </c>
    </row>
    <row r="922">
      <c r="A922" s="6"/>
      <c r="B922" s="6"/>
      <c r="C922" s="4"/>
      <c r="D922" s="4">
        <v>36.4572919445661</v>
      </c>
      <c r="E922" s="4" t="s">
        <v>8910</v>
      </c>
      <c r="F922" s="4"/>
      <c r="G922" s="4"/>
      <c r="H922" s="4"/>
      <c r="I922" s="4"/>
      <c r="J922" s="18">
        <v>0.0</v>
      </c>
      <c r="K922" s="4" t="s">
        <v>8494</v>
      </c>
      <c r="L922" s="19" t="s">
        <v>8494</v>
      </c>
      <c r="M922" s="20" t="s">
        <v>8494</v>
      </c>
    </row>
    <row r="923">
      <c r="A923" s="6"/>
      <c r="B923" s="6"/>
      <c r="C923" s="4"/>
      <c r="D923" s="4">
        <v>43.594141056815</v>
      </c>
      <c r="E923" s="4" t="s">
        <v>4605</v>
      </c>
      <c r="F923" s="4"/>
      <c r="G923" s="4"/>
      <c r="H923" s="4"/>
      <c r="I923" s="4"/>
      <c r="J923" s="18">
        <v>0.0</v>
      </c>
      <c r="K923" s="4" t="s">
        <v>8494</v>
      </c>
      <c r="L923" s="19" t="s">
        <v>8494</v>
      </c>
      <c r="M923" s="20" t="s">
        <v>8494</v>
      </c>
    </row>
    <row r="924">
      <c r="A924" s="6"/>
      <c r="B924" s="6"/>
      <c r="C924" s="4"/>
      <c r="D924" s="4">
        <v>29.0627607045433</v>
      </c>
      <c r="E924" s="4" t="s">
        <v>8663</v>
      </c>
      <c r="F924" s="4"/>
      <c r="G924" s="4"/>
      <c r="H924" s="4"/>
      <c r="I924" s="4"/>
      <c r="J924" s="18">
        <v>0.0</v>
      </c>
      <c r="K924" s="4" t="s">
        <v>8494</v>
      </c>
      <c r="L924" s="19" t="s">
        <v>8494</v>
      </c>
      <c r="M924" s="20" t="s">
        <v>8494</v>
      </c>
    </row>
    <row r="925">
      <c r="A925" s="6"/>
      <c r="B925" s="6"/>
      <c r="C925" s="4"/>
      <c r="D925" s="4">
        <v>81.8889284116175</v>
      </c>
      <c r="E925" s="4" t="s">
        <v>929</v>
      </c>
      <c r="F925" s="4"/>
      <c r="G925" s="4"/>
      <c r="H925" s="4"/>
      <c r="I925" s="4"/>
      <c r="J925" s="18">
        <v>0.0</v>
      </c>
      <c r="K925" s="4" t="s">
        <v>8494</v>
      </c>
      <c r="L925" s="19" t="s">
        <v>8494</v>
      </c>
      <c r="M925" s="20" t="s">
        <v>8494</v>
      </c>
    </row>
    <row r="926">
      <c r="A926" s="6"/>
      <c r="B926" s="6"/>
      <c r="C926" s="4"/>
      <c r="D926" s="4">
        <v>29.0627607045433</v>
      </c>
      <c r="E926" s="4" t="s">
        <v>675</v>
      </c>
      <c r="F926" s="4"/>
      <c r="G926" s="4"/>
      <c r="H926" s="4"/>
      <c r="I926" s="4"/>
      <c r="J926" s="18">
        <v>0.0</v>
      </c>
      <c r="K926" s="4" t="s">
        <v>8494</v>
      </c>
      <c r="L926" s="19" t="s">
        <v>8494</v>
      </c>
      <c r="M926" s="20" t="s">
        <v>8494</v>
      </c>
    </row>
    <row r="927">
      <c r="A927" s="6"/>
      <c r="B927" s="6"/>
      <c r="C927" s="4"/>
      <c r="D927" s="4">
        <v>633.941639833954</v>
      </c>
      <c r="E927" s="4" t="s">
        <v>8568</v>
      </c>
      <c r="F927" s="4"/>
      <c r="G927" s="4"/>
      <c r="H927" s="4"/>
      <c r="I927" s="4"/>
      <c r="J927" s="18">
        <v>0.0</v>
      </c>
      <c r="K927" s="4" t="s">
        <v>8494</v>
      </c>
      <c r="L927" s="19" t="s">
        <v>8494</v>
      </c>
      <c r="M927" s="20" t="s">
        <v>8494</v>
      </c>
    </row>
    <row r="928">
      <c r="A928" s="6"/>
      <c r="B928" s="6"/>
      <c r="C928" s="4"/>
      <c r="D928" s="4">
        <v>36.3284508806792</v>
      </c>
      <c r="E928" s="4" t="s">
        <v>8331</v>
      </c>
      <c r="F928" s="4"/>
      <c r="G928" s="4"/>
      <c r="H928" s="4"/>
      <c r="I928" s="4"/>
      <c r="J928" s="18">
        <v>0.0</v>
      </c>
      <c r="K928" s="4" t="s">
        <v>8494</v>
      </c>
      <c r="L928" s="19" t="s">
        <v>8494</v>
      </c>
      <c r="M928" s="20" t="s">
        <v>8494</v>
      </c>
    </row>
    <row r="929">
      <c r="A929" s="6"/>
      <c r="B929" s="6"/>
      <c r="C929" s="4"/>
      <c r="D929" s="4">
        <v>1041.5108208920399</v>
      </c>
      <c r="E929" s="4" t="s">
        <v>8915</v>
      </c>
      <c r="F929" s="4"/>
      <c r="G929" s="4"/>
      <c r="H929" s="4"/>
      <c r="I929" s="4"/>
      <c r="J929" s="18">
        <v>0.0</v>
      </c>
      <c r="K929" s="4" t="s">
        <v>8494</v>
      </c>
      <c r="L929" s="19" t="s">
        <v>8494</v>
      </c>
      <c r="M929" s="20" t="s">
        <v>8494</v>
      </c>
    </row>
    <row r="930">
      <c r="A930" s="6"/>
      <c r="B930" s="6"/>
      <c r="C930" s="4"/>
      <c r="D930" s="4">
        <v>167.17335898663902</v>
      </c>
      <c r="E930" s="4" t="s">
        <v>8623</v>
      </c>
      <c r="F930" s="4"/>
      <c r="G930" s="4"/>
      <c r="H930" s="4"/>
      <c r="I930" s="4"/>
      <c r="J930" s="18">
        <v>0.0</v>
      </c>
      <c r="K930" s="4" t="s">
        <v>8494</v>
      </c>
      <c r="L930" s="19" t="s">
        <v>8494</v>
      </c>
      <c r="M930" s="20" t="s">
        <v>8494</v>
      </c>
    </row>
    <row r="931">
      <c r="A931" s="6"/>
      <c r="B931" s="6"/>
      <c r="C931" s="4"/>
      <c r="D931" s="4">
        <v>319.78091489599404</v>
      </c>
      <c r="E931" s="4" t="s">
        <v>817</v>
      </c>
      <c r="F931" s="4"/>
      <c r="G931" s="4"/>
      <c r="H931" s="4"/>
      <c r="I931" s="4"/>
      <c r="J931" s="18">
        <v>0.0</v>
      </c>
      <c r="K931" s="4" t="s">
        <v>8494</v>
      </c>
      <c r="L931" s="19" t="s">
        <v>8494</v>
      </c>
      <c r="M931" s="20" t="s">
        <v>8494</v>
      </c>
    </row>
    <row r="932">
      <c r="A932" s="6"/>
      <c r="B932" s="6"/>
      <c r="C932" s="4"/>
      <c r="D932" s="4">
        <v>13.6210752806881</v>
      </c>
      <c r="E932" s="4" t="s">
        <v>8919</v>
      </c>
      <c r="F932" s="4"/>
      <c r="G932" s="4"/>
      <c r="H932" s="4"/>
      <c r="I932" s="4"/>
      <c r="J932" s="18">
        <v>0.0</v>
      </c>
      <c r="K932" s="4" t="s">
        <v>8494</v>
      </c>
      <c r="L932" s="19" t="s">
        <v>8494</v>
      </c>
      <c r="M932" s="20" t="s">
        <v>8494</v>
      </c>
    </row>
    <row r="933">
      <c r="A933" s="6"/>
      <c r="B933" s="6"/>
      <c r="C933" s="4"/>
      <c r="D933" s="4">
        <v>43.594141056815</v>
      </c>
      <c r="E933" s="4" t="s">
        <v>6280</v>
      </c>
      <c r="F933" s="4"/>
      <c r="G933" s="4"/>
      <c r="H933" s="4"/>
      <c r="I933" s="4"/>
      <c r="J933" s="18">
        <v>0.0</v>
      </c>
      <c r="K933" s="4" t="s">
        <v>8494</v>
      </c>
      <c r="L933" s="19" t="s">
        <v>8494</v>
      </c>
      <c r="M933" s="20" t="s">
        <v>8494</v>
      </c>
    </row>
    <row r="934">
      <c r="A934" s="6"/>
      <c r="B934" s="6"/>
      <c r="C934" s="4"/>
      <c r="D934" s="4">
        <v>465.004171272694</v>
      </c>
      <c r="E934" s="4" t="s">
        <v>834</v>
      </c>
      <c r="F934" s="4"/>
      <c r="G934" s="4"/>
      <c r="H934" s="4"/>
      <c r="I934" s="4"/>
      <c r="J934" s="18">
        <v>0.0</v>
      </c>
      <c r="K934" s="4" t="s">
        <v>8494</v>
      </c>
      <c r="L934" s="19" t="s">
        <v>8494</v>
      </c>
      <c r="M934" s="20" t="s">
        <v>8494</v>
      </c>
    </row>
    <row r="935">
      <c r="A935" s="6"/>
      <c r="B935" s="6"/>
      <c r="C935" s="4"/>
      <c r="D935" s="4">
        <v>59.5786594443139</v>
      </c>
      <c r="E935" s="4" t="s">
        <v>722</v>
      </c>
      <c r="F935" s="4"/>
      <c r="G935" s="4"/>
      <c r="H935" s="4"/>
      <c r="I935" s="4"/>
      <c r="J935" s="18">
        <v>0.0</v>
      </c>
      <c r="K935" s="4" t="s">
        <v>8494</v>
      </c>
      <c r="L935" s="19" t="s">
        <v>8494</v>
      </c>
      <c r="M935" s="20" t="s">
        <v>8494</v>
      </c>
    </row>
    <row r="936">
      <c r="A936" s="6"/>
      <c r="B936" s="6"/>
      <c r="C936" s="4"/>
      <c r="D936" s="4">
        <v>43.594141056815</v>
      </c>
      <c r="E936" s="4" t="s">
        <v>4354</v>
      </c>
      <c r="F936" s="4"/>
      <c r="G936" s="4"/>
      <c r="H936" s="4"/>
      <c r="I936" s="4"/>
      <c r="J936" s="18">
        <v>0.0</v>
      </c>
      <c r="K936" s="4" t="s">
        <v>8494</v>
      </c>
      <c r="L936" s="19" t="s">
        <v>8494</v>
      </c>
      <c r="M936" s="20" t="s">
        <v>8494</v>
      </c>
    </row>
    <row r="937">
      <c r="A937" s="6"/>
      <c r="B937" s="6"/>
      <c r="C937" s="4"/>
      <c r="D937" s="4">
        <v>281.51120850154797</v>
      </c>
      <c r="E937" s="4" t="s">
        <v>1517</v>
      </c>
      <c r="F937" s="4"/>
      <c r="G937" s="4"/>
      <c r="H937" s="4"/>
      <c r="I937" s="4"/>
      <c r="J937" s="18">
        <v>0.0</v>
      </c>
      <c r="K937" s="4" t="s">
        <v>8494</v>
      </c>
      <c r="L937" s="19" t="s">
        <v>8494</v>
      </c>
      <c r="M937" s="20" t="s">
        <v>8494</v>
      </c>
    </row>
    <row r="938">
      <c r="A938" s="6"/>
      <c r="B938" s="6"/>
      <c r="C938" s="4"/>
      <c r="D938" s="4">
        <v>247.91032566003202</v>
      </c>
      <c r="E938" s="4" t="s">
        <v>8698</v>
      </c>
      <c r="F938" s="4"/>
      <c r="G938" s="4"/>
      <c r="H938" s="4"/>
      <c r="I938" s="4"/>
      <c r="J938" s="18">
        <v>0.0</v>
      </c>
      <c r="K938" s="4" t="s">
        <v>8494</v>
      </c>
      <c r="L938" s="19" t="s">
        <v>8494</v>
      </c>
      <c r="M938" s="20" t="s">
        <v>8494</v>
      </c>
    </row>
    <row r="939">
      <c r="A939" s="6"/>
      <c r="B939" s="6"/>
      <c r="C939" s="4"/>
      <c r="D939" s="4">
        <v>39.1040109291056</v>
      </c>
      <c r="E939" s="4" t="s">
        <v>7134</v>
      </c>
      <c r="F939" s="4"/>
      <c r="G939" s="4"/>
      <c r="H939" s="4"/>
      <c r="I939" s="4"/>
      <c r="J939" s="18">
        <v>0.0</v>
      </c>
      <c r="K939" s="4" t="s">
        <v>8494</v>
      </c>
      <c r="L939" s="19" t="s">
        <v>8494</v>
      </c>
      <c r="M939" s="20" t="s">
        <v>8494</v>
      </c>
    </row>
    <row r="940">
      <c r="A940" s="6"/>
      <c r="B940" s="6"/>
      <c r="C940" s="4"/>
      <c r="D940" s="4">
        <v>683.005545020326</v>
      </c>
      <c r="E940" s="4" t="s">
        <v>923</v>
      </c>
      <c r="F940" s="4"/>
      <c r="G940" s="4"/>
      <c r="H940" s="4"/>
      <c r="I940" s="4"/>
      <c r="J940" s="18">
        <v>0.0</v>
      </c>
      <c r="K940" s="4" t="s">
        <v>8494</v>
      </c>
      <c r="L940" s="19" t="s">
        <v>8494</v>
      </c>
      <c r="M940" s="20" t="s">
        <v>8494</v>
      </c>
    </row>
    <row r="941">
      <c r="A941" s="6"/>
      <c r="B941" s="6"/>
      <c r="C941" s="4"/>
      <c r="D941" s="4">
        <v>43.594141056815</v>
      </c>
      <c r="E941" s="4" t="s">
        <v>6946</v>
      </c>
      <c r="F941" s="4"/>
      <c r="G941" s="4"/>
      <c r="H941" s="4"/>
      <c r="I941" s="4"/>
      <c r="J941" s="18">
        <v>0.0</v>
      </c>
      <c r="K941" s="4" t="s">
        <v>8494</v>
      </c>
      <c r="L941" s="19" t="s">
        <v>8494</v>
      </c>
      <c r="M941" s="20" t="s">
        <v>8494</v>
      </c>
    </row>
    <row r="942">
      <c r="A942" s="6"/>
      <c r="B942" s="6"/>
      <c r="C942" s="4"/>
      <c r="D942" s="4">
        <v>174.37656422726</v>
      </c>
      <c r="E942" s="4" t="s">
        <v>1052</v>
      </c>
      <c r="F942" s="4"/>
      <c r="G942" s="4"/>
      <c r="H942" s="4"/>
      <c r="I942" s="4"/>
      <c r="J942" s="18">
        <v>0.0</v>
      </c>
      <c r="K942" s="4" t="s">
        <v>8494</v>
      </c>
      <c r="L942" s="19" t="s">
        <v>8494</v>
      </c>
      <c r="M942" s="20" t="s">
        <v>8494</v>
      </c>
    </row>
    <row r="943">
      <c r="A943" s="6"/>
      <c r="B943" s="6"/>
      <c r="C943" s="4"/>
      <c r="D943" s="4">
        <v>30.628612796274098</v>
      </c>
      <c r="E943" s="4" t="s">
        <v>1495</v>
      </c>
      <c r="F943" s="4"/>
      <c r="G943" s="4"/>
      <c r="H943" s="4"/>
      <c r="I943" s="4"/>
      <c r="J943" s="18">
        <v>0.0</v>
      </c>
      <c r="K943" s="4" t="s">
        <v>8494</v>
      </c>
      <c r="L943" s="19" t="s">
        <v>8494</v>
      </c>
      <c r="M943" s="20" t="s">
        <v>8494</v>
      </c>
    </row>
    <row r="944">
      <c r="A944" s="6"/>
      <c r="B944" s="6"/>
      <c r="C944" s="4"/>
      <c r="D944" s="4">
        <v>29.2761150937047</v>
      </c>
      <c r="E944" s="4" t="s">
        <v>8536</v>
      </c>
      <c r="F944" s="4"/>
      <c r="G944" s="4"/>
      <c r="H944" s="4"/>
      <c r="I944" s="4"/>
      <c r="J944" s="18">
        <v>0.0</v>
      </c>
      <c r="K944" s="4" t="s">
        <v>8494</v>
      </c>
      <c r="L944" s="19" t="s">
        <v>8494</v>
      </c>
      <c r="M944" s="20" t="s">
        <v>8494</v>
      </c>
    </row>
    <row r="945">
      <c r="A945" s="6"/>
      <c r="B945" s="6"/>
      <c r="C945" s="4"/>
      <c r="D945" s="4">
        <v>210.973740355493</v>
      </c>
      <c r="E945" s="4" t="s">
        <v>8586</v>
      </c>
      <c r="F945" s="4"/>
      <c r="G945" s="4"/>
      <c r="H945" s="4"/>
      <c r="I945" s="4"/>
      <c r="J945" s="18">
        <v>0.0</v>
      </c>
      <c r="K945" s="4" t="s">
        <v>8494</v>
      </c>
      <c r="L945" s="19" t="s">
        <v>8494</v>
      </c>
      <c r="M945" s="20" t="s">
        <v>8494</v>
      </c>
    </row>
    <row r="946">
      <c r="A946" s="6"/>
      <c r="B946" s="6"/>
      <c r="C946" s="4"/>
      <c r="D946" s="4">
        <v>29.2970689471754</v>
      </c>
      <c r="E946" s="4" t="s">
        <v>8552</v>
      </c>
      <c r="F946" s="4"/>
      <c r="G946" s="4"/>
      <c r="H946" s="4"/>
      <c r="I946" s="4"/>
      <c r="J946" s="18">
        <v>0.0</v>
      </c>
      <c r="K946" s="4" t="s">
        <v>8494</v>
      </c>
      <c r="L946" s="19" t="s">
        <v>8494</v>
      </c>
      <c r="M946" s="20" t="s">
        <v>8494</v>
      </c>
    </row>
    <row r="947">
      <c r="A947" s="6"/>
      <c r="B947" s="6"/>
      <c r="C947" s="4"/>
      <c r="D947" s="4">
        <v>51.07171816151261</v>
      </c>
      <c r="E947" s="4" t="s">
        <v>8125</v>
      </c>
      <c r="F947" s="4"/>
      <c r="G947" s="4"/>
      <c r="H947" s="4"/>
      <c r="I947" s="4"/>
      <c r="J947" s="18">
        <v>0.0</v>
      </c>
      <c r="K947" s="4" t="s">
        <v>8494</v>
      </c>
      <c r="L947" s="19" t="s">
        <v>8494</v>
      </c>
      <c r="M947" s="20" t="s">
        <v>8494</v>
      </c>
    </row>
    <row r="948">
      <c r="A948" s="6"/>
      <c r="B948" s="6"/>
      <c r="C948" s="4"/>
      <c r="D948" s="4">
        <v>247.751838708148</v>
      </c>
      <c r="E948" s="4" t="s">
        <v>131</v>
      </c>
      <c r="F948" s="4"/>
      <c r="G948" s="4"/>
      <c r="H948" s="4"/>
      <c r="I948" s="4"/>
      <c r="J948" s="18">
        <v>0.0</v>
      </c>
      <c r="K948" s="4" t="s">
        <v>8494</v>
      </c>
      <c r="L948" s="19" t="s">
        <v>8494</v>
      </c>
      <c r="M948" s="20" t="s">
        <v>8494</v>
      </c>
    </row>
    <row r="949">
      <c r="A949" s="6"/>
      <c r="B949" s="6"/>
      <c r="C949" s="4"/>
      <c r="D949" s="4">
        <v>43.594141056815</v>
      </c>
      <c r="E949" s="4" t="s">
        <v>7099</v>
      </c>
      <c r="F949" s="4"/>
      <c r="G949" s="4"/>
      <c r="H949" s="4"/>
      <c r="I949" s="4"/>
      <c r="J949" s="18">
        <v>0.0</v>
      </c>
      <c r="K949" s="4" t="s">
        <v>8494</v>
      </c>
      <c r="L949" s="19" t="s">
        <v>8494</v>
      </c>
      <c r="M949" s="20" t="s">
        <v>8494</v>
      </c>
    </row>
    <row r="950">
      <c r="A950" s="6"/>
      <c r="B950" s="6"/>
      <c r="C950" s="4"/>
      <c r="D950" s="4">
        <v>235.94120387839698</v>
      </c>
      <c r="E950" s="4" t="s">
        <v>3163</v>
      </c>
      <c r="F950" s="4"/>
      <c r="G950" s="4"/>
      <c r="H950" s="4"/>
      <c r="I950" s="4"/>
      <c r="J950" s="18">
        <v>0.0</v>
      </c>
      <c r="K950" s="4" t="s">
        <v>8494</v>
      </c>
      <c r="L950" s="19" t="s">
        <v>8494</v>
      </c>
      <c r="M950" s="20" t="s">
        <v>8494</v>
      </c>
    </row>
    <row r="951">
      <c r="A951" s="6"/>
      <c r="B951" s="6"/>
      <c r="C951" s="4"/>
      <c r="D951" s="4">
        <v>683.120190360292</v>
      </c>
      <c r="E951" s="4" t="s">
        <v>856</v>
      </c>
      <c r="F951" s="4"/>
      <c r="G951" s="4"/>
      <c r="H951" s="4"/>
      <c r="I951" s="4"/>
      <c r="J951" s="18">
        <v>0.0</v>
      </c>
      <c r="K951" s="4" t="s">
        <v>8494</v>
      </c>
      <c r="L951" s="19" t="s">
        <v>8494</v>
      </c>
      <c r="M951" s="20" t="s">
        <v>8494</v>
      </c>
    </row>
    <row r="952">
      <c r="A952" s="6"/>
      <c r="B952" s="6"/>
      <c r="C952" s="4"/>
      <c r="D952" s="4">
        <v>73.5643940944974</v>
      </c>
      <c r="E952" s="4" t="s">
        <v>338</v>
      </c>
      <c r="F952" s="4"/>
      <c r="G952" s="4"/>
      <c r="H952" s="4"/>
      <c r="I952" s="4"/>
      <c r="J952" s="18">
        <v>0.0</v>
      </c>
      <c r="K952" s="4" t="s">
        <v>8494</v>
      </c>
      <c r="L952" s="19" t="s">
        <v>8494</v>
      </c>
      <c r="M952" s="20" t="s">
        <v>8494</v>
      </c>
    </row>
    <row r="953">
      <c r="A953" s="6"/>
      <c r="B953" s="6"/>
      <c r="C953" s="4"/>
      <c r="D953" s="4">
        <v>72.6569017613584</v>
      </c>
      <c r="E953" s="4" t="s">
        <v>5942</v>
      </c>
      <c r="F953" s="4"/>
      <c r="G953" s="4"/>
      <c r="H953" s="4"/>
      <c r="I953" s="4"/>
      <c r="J953" s="18">
        <v>0.0</v>
      </c>
      <c r="K953" s="4" t="s">
        <v>8494</v>
      </c>
      <c r="L953" s="19" t="s">
        <v>8494</v>
      </c>
      <c r="M953" s="20" t="s">
        <v>8494</v>
      </c>
    </row>
    <row r="954">
      <c r="A954" s="6"/>
      <c r="B954" s="6"/>
      <c r="C954" s="4"/>
      <c r="D954" s="4">
        <v>325.506772834799</v>
      </c>
      <c r="E954" s="4" t="s">
        <v>8649</v>
      </c>
      <c r="F954" s="4"/>
      <c r="G954" s="4"/>
      <c r="H954" s="4"/>
      <c r="I954" s="4"/>
      <c r="J954" s="18">
        <v>0.0</v>
      </c>
      <c r="K954" s="4" t="s">
        <v>8494</v>
      </c>
      <c r="L954" s="19" t="s">
        <v>8494</v>
      </c>
      <c r="M954" s="20" t="s">
        <v>8494</v>
      </c>
    </row>
    <row r="955">
      <c r="A955" s="6"/>
      <c r="B955" s="6"/>
      <c r="C955" s="4"/>
      <c r="D955" s="4">
        <v>175.85359062170502</v>
      </c>
      <c r="E955" s="4" t="s">
        <v>8670</v>
      </c>
      <c r="F955" s="4"/>
      <c r="G955" s="4"/>
      <c r="H955" s="4"/>
      <c r="I955" s="4"/>
      <c r="J955" s="18">
        <v>0.0</v>
      </c>
      <c r="K955" s="4" t="s">
        <v>8494</v>
      </c>
      <c r="L955" s="19" t="s">
        <v>8494</v>
      </c>
      <c r="M955" s="20" t="s">
        <v>8494</v>
      </c>
    </row>
    <row r="956">
      <c r="A956" s="6"/>
      <c r="B956" s="6"/>
      <c r="C956" s="4"/>
      <c r="D956" s="4">
        <v>29.0627607045433</v>
      </c>
      <c r="E956" s="4" t="s">
        <v>8694</v>
      </c>
      <c r="F956" s="4"/>
      <c r="G956" s="4"/>
      <c r="H956" s="4"/>
      <c r="I956" s="4"/>
      <c r="J956" s="18">
        <v>0.0</v>
      </c>
      <c r="K956" s="4" t="s">
        <v>8494</v>
      </c>
      <c r="L956" s="19" t="s">
        <v>8494</v>
      </c>
      <c r="M956" s="20" t="s">
        <v>8494</v>
      </c>
    </row>
    <row r="957">
      <c r="A957" s="6"/>
      <c r="B957" s="6"/>
      <c r="C957" s="4"/>
      <c r="D957" s="4">
        <v>15.210412697501399</v>
      </c>
      <c r="E957" s="4" t="s">
        <v>5124</v>
      </c>
      <c r="F957" s="4"/>
      <c r="G957" s="4"/>
      <c r="H957" s="4"/>
      <c r="I957" s="4"/>
      <c r="J957" s="18">
        <v>0.0</v>
      </c>
      <c r="K957" s="4" t="s">
        <v>8494</v>
      </c>
      <c r="L957" s="19" t="s">
        <v>8494</v>
      </c>
      <c r="M957" s="20" t="s">
        <v>8494</v>
      </c>
    </row>
    <row r="958">
      <c r="A958" s="6"/>
      <c r="B958" s="6"/>
      <c r="C958" s="4"/>
      <c r="D958" s="4">
        <v>43.9806778523252</v>
      </c>
      <c r="E958" s="4" t="s">
        <v>2506</v>
      </c>
      <c r="F958" s="4"/>
      <c r="G958" s="4"/>
      <c r="H958" s="4"/>
      <c r="I958" s="4"/>
      <c r="J958" s="18">
        <v>0.0</v>
      </c>
      <c r="K958" s="4" t="s">
        <v>8494</v>
      </c>
      <c r="L958" s="19" t="s">
        <v>8494</v>
      </c>
      <c r="M958" s="20" t="s">
        <v>8494</v>
      </c>
    </row>
    <row r="959">
      <c r="A959" s="6"/>
      <c r="B959" s="6"/>
      <c r="C959" s="4"/>
      <c r="D959" s="4">
        <v>14.531380352271599</v>
      </c>
      <c r="E959" s="4" t="s">
        <v>2669</v>
      </c>
      <c r="F959" s="4"/>
      <c r="G959" s="4"/>
      <c r="H959" s="4"/>
      <c r="I959" s="4"/>
      <c r="J959" s="18">
        <v>0.0</v>
      </c>
      <c r="K959" s="4" t="s">
        <v>8494</v>
      </c>
      <c r="L959" s="19" t="s">
        <v>8494</v>
      </c>
      <c r="M959" s="20" t="s">
        <v>8494</v>
      </c>
    </row>
    <row r="960">
      <c r="A960" s="6"/>
      <c r="B960" s="6"/>
      <c r="C960" s="4"/>
      <c r="D960" s="4">
        <v>319.69036774997704</v>
      </c>
      <c r="E960" s="4" t="s">
        <v>664</v>
      </c>
      <c r="F960" s="4"/>
      <c r="G960" s="4"/>
      <c r="H960" s="4"/>
      <c r="I960" s="4"/>
      <c r="J960" s="18">
        <v>0.0</v>
      </c>
      <c r="K960" s="4" t="s">
        <v>8494</v>
      </c>
      <c r="L960" s="19" t="s">
        <v>8494</v>
      </c>
      <c r="M960" s="20" t="s">
        <v>8494</v>
      </c>
    </row>
    <row r="961">
      <c r="A961" s="6"/>
      <c r="B961" s="6"/>
      <c r="C961" s="4"/>
      <c r="D961" s="4">
        <v>20.8797044867686</v>
      </c>
      <c r="E961" s="4" t="s">
        <v>8671</v>
      </c>
      <c r="F961" s="4"/>
      <c r="G961" s="4"/>
      <c r="H961" s="4"/>
      <c r="I961" s="4"/>
      <c r="J961" s="18">
        <v>0.0</v>
      </c>
      <c r="K961" s="4" t="s">
        <v>8494</v>
      </c>
      <c r="L961" s="19" t="s">
        <v>8494</v>
      </c>
      <c r="M961" s="20" t="s">
        <v>8494</v>
      </c>
    </row>
    <row r="962">
      <c r="A962" s="6"/>
      <c r="B962" s="6"/>
      <c r="C962" s="4"/>
      <c r="D962" s="4">
        <v>1307.82423170445</v>
      </c>
      <c r="E962" s="4" t="s">
        <v>613</v>
      </c>
      <c r="F962" s="4"/>
      <c r="G962" s="4"/>
      <c r="H962" s="4"/>
      <c r="I962" s="4"/>
      <c r="J962" s="18">
        <v>0.0</v>
      </c>
      <c r="K962" s="4" t="s">
        <v>8494</v>
      </c>
      <c r="L962" s="19" t="s">
        <v>8494</v>
      </c>
      <c r="M962" s="20" t="s">
        <v>8494</v>
      </c>
    </row>
    <row r="963">
      <c r="A963" s="6"/>
      <c r="B963" s="6"/>
      <c r="C963" s="4"/>
      <c r="D963" s="4">
        <v>31045.539829960402</v>
      </c>
      <c r="E963" s="4" t="s">
        <v>1576</v>
      </c>
      <c r="F963" s="4"/>
      <c r="G963" s="4"/>
      <c r="H963" s="4"/>
      <c r="I963" s="4"/>
      <c r="J963" s="18">
        <v>0.0</v>
      </c>
      <c r="K963" s="4" t="s">
        <v>8494</v>
      </c>
      <c r="L963" s="19" t="s">
        <v>8494</v>
      </c>
      <c r="M963" s="20" t="s">
        <v>8494</v>
      </c>
    </row>
    <row r="964">
      <c r="A964" s="6"/>
      <c r="B964" s="6"/>
      <c r="C964" s="4"/>
      <c r="D964" s="4">
        <v>799.225919374943</v>
      </c>
      <c r="E964" s="4" t="s">
        <v>107</v>
      </c>
      <c r="F964" s="4"/>
      <c r="G964" s="4"/>
      <c r="H964" s="4"/>
      <c r="I964" s="4"/>
      <c r="J964" s="18">
        <v>0.0</v>
      </c>
      <c r="K964" s="4" t="s">
        <v>8494</v>
      </c>
      <c r="L964" s="19" t="s">
        <v>8494</v>
      </c>
      <c r="M964" s="20" t="s">
        <v>8494</v>
      </c>
    </row>
    <row r="965">
      <c r="A965" s="6"/>
      <c r="B965" s="6"/>
      <c r="C965" s="4"/>
      <c r="D965" s="4">
        <v>145.539813732635</v>
      </c>
      <c r="E965" s="4" t="s">
        <v>8673</v>
      </c>
      <c r="F965" s="4"/>
      <c r="G965" s="4"/>
      <c r="H965" s="4"/>
      <c r="I965" s="4"/>
      <c r="J965" s="18">
        <v>0.0</v>
      </c>
      <c r="K965" s="4" t="s">
        <v>8494</v>
      </c>
      <c r="L965" s="19" t="s">
        <v>8494</v>
      </c>
      <c r="M965" s="20" t="s">
        <v>8494</v>
      </c>
    </row>
    <row r="966">
      <c r="A966" s="6"/>
      <c r="B966" s="6"/>
      <c r="C966" s="4"/>
      <c r="D966" s="4">
        <v>29.0628085386506</v>
      </c>
      <c r="E966" s="4" t="s">
        <v>8667</v>
      </c>
      <c r="F966" s="4"/>
      <c r="G966" s="4"/>
      <c r="H966" s="4"/>
      <c r="I966" s="4"/>
      <c r="J966" s="18">
        <v>0.0</v>
      </c>
      <c r="K966" s="4" t="s">
        <v>8494</v>
      </c>
      <c r="L966" s="19" t="s">
        <v>8494</v>
      </c>
      <c r="M966" s="20" t="s">
        <v>8494</v>
      </c>
    </row>
    <row r="967">
      <c r="A967" s="6"/>
      <c r="B967" s="6"/>
      <c r="C967" s="4"/>
      <c r="D967" s="4">
        <v>55.589638032771596</v>
      </c>
      <c r="E967" s="4" t="s">
        <v>3668</v>
      </c>
      <c r="F967" s="4"/>
      <c r="G967" s="4"/>
      <c r="H967" s="4"/>
      <c r="I967" s="4"/>
      <c r="J967" s="18">
        <v>0.0</v>
      </c>
      <c r="K967" s="4" t="s">
        <v>8494</v>
      </c>
      <c r="L967" s="19" t="s">
        <v>8494</v>
      </c>
      <c r="M967" s="20" t="s">
        <v>8494</v>
      </c>
    </row>
    <row r="968">
      <c r="A968" s="6"/>
      <c r="B968" s="6"/>
      <c r="C968" s="4"/>
      <c r="D968" s="4">
        <v>101.71966246590101</v>
      </c>
      <c r="E968" s="4" t="s">
        <v>8528</v>
      </c>
      <c r="F968" s="4"/>
      <c r="G968" s="4"/>
      <c r="H968" s="4"/>
      <c r="I968" s="4"/>
      <c r="J968" s="18">
        <v>0.0</v>
      </c>
      <c r="K968" s="4" t="s">
        <v>8494</v>
      </c>
      <c r="L968" s="19" t="s">
        <v>8494</v>
      </c>
      <c r="M968" s="20" t="s">
        <v>8494</v>
      </c>
    </row>
    <row r="969">
      <c r="A969" s="6"/>
      <c r="B969" s="6"/>
      <c r="C969" s="4"/>
      <c r="D969" s="4">
        <v>682.7399031418</v>
      </c>
      <c r="E969" s="4" t="s">
        <v>2806</v>
      </c>
      <c r="F969" s="4"/>
      <c r="G969" s="4"/>
      <c r="H969" s="4"/>
      <c r="I969" s="4"/>
      <c r="J969" s="18">
        <v>0.0</v>
      </c>
      <c r="K969" s="4" t="s">
        <v>8494</v>
      </c>
      <c r="L969" s="19" t="s">
        <v>8494</v>
      </c>
      <c r="M969" s="20" t="s">
        <v>8494</v>
      </c>
    </row>
    <row r="970">
      <c r="A970" s="6"/>
      <c r="B970" s="6"/>
      <c r="C970" s="4"/>
      <c r="D970" s="4">
        <v>675.247324377304</v>
      </c>
      <c r="E970" s="4" t="s">
        <v>185</v>
      </c>
      <c r="F970" s="4"/>
      <c r="G970" s="4"/>
      <c r="H970" s="4"/>
      <c r="I970" s="4"/>
      <c r="J970" s="18">
        <v>0.0</v>
      </c>
      <c r="K970" s="4" t="s">
        <v>8494</v>
      </c>
      <c r="L970" s="19" t="s">
        <v>8494</v>
      </c>
      <c r="M970" s="20" t="s">
        <v>8494</v>
      </c>
    </row>
    <row r="971">
      <c r="A971" s="6"/>
      <c r="B971" s="6"/>
      <c r="C971" s="4"/>
      <c r="D971" s="4">
        <v>334.512375709294</v>
      </c>
      <c r="E971" s="4" t="s">
        <v>7465</v>
      </c>
      <c r="F971" s="4"/>
      <c r="G971" s="4"/>
      <c r="H971" s="4"/>
      <c r="I971" s="4"/>
      <c r="J971" s="18">
        <v>0.0</v>
      </c>
      <c r="K971" s="4" t="s">
        <v>8494</v>
      </c>
      <c r="L971" s="19" t="s">
        <v>8494</v>
      </c>
      <c r="M971" s="20" t="s">
        <v>8494</v>
      </c>
    </row>
    <row r="972">
      <c r="A972" s="6"/>
      <c r="B972" s="6"/>
      <c r="C972" s="4"/>
      <c r="D972" s="4">
        <v>0.0</v>
      </c>
      <c r="E972" s="4"/>
      <c r="F972" s="4"/>
      <c r="G972" s="4"/>
      <c r="H972" s="4"/>
      <c r="I972" s="4"/>
      <c r="J972" s="18"/>
      <c r="K972" s="4"/>
      <c r="L972" s="19"/>
      <c r="M972" s="20"/>
    </row>
    <row r="973">
      <c r="A973" s="6"/>
      <c r="B973" s="6"/>
      <c r="C973" s="4"/>
      <c r="D973" s="4">
        <v>0.0</v>
      </c>
      <c r="E973" s="4"/>
      <c r="F973" s="4"/>
      <c r="G973" s="4"/>
      <c r="H973" s="4"/>
      <c r="I973" s="4"/>
      <c r="J973" s="18"/>
      <c r="K973" s="4"/>
      <c r="L973" s="19"/>
      <c r="M973" s="20"/>
    </row>
    <row r="974">
      <c r="A974" s="6"/>
      <c r="B974" s="6"/>
      <c r="C974" s="4"/>
      <c r="D974" s="4">
        <v>0.0</v>
      </c>
      <c r="E974" s="4"/>
      <c r="F974" s="4"/>
      <c r="G974" s="4"/>
      <c r="H974" s="4"/>
      <c r="I974" s="4"/>
      <c r="J974" s="18"/>
      <c r="K974" s="4"/>
      <c r="L974" s="19"/>
      <c r="M974" s="20"/>
    </row>
    <row r="975">
      <c r="A975" s="6"/>
      <c r="B975" s="6"/>
      <c r="C975" s="4"/>
      <c r="D975" s="4">
        <v>0.0</v>
      </c>
      <c r="E975" s="4"/>
      <c r="F975" s="4"/>
      <c r="G975" s="4"/>
      <c r="H975" s="4"/>
      <c r="I975" s="4"/>
      <c r="J975" s="18"/>
      <c r="K975" s="4"/>
      <c r="L975" s="19"/>
      <c r="M975" s="20"/>
    </row>
    <row r="976">
      <c r="A976" s="6"/>
      <c r="B976" s="6"/>
      <c r="C976" s="4"/>
      <c r="D976" s="4">
        <v>0.0</v>
      </c>
      <c r="E976" s="4"/>
      <c r="F976" s="4"/>
      <c r="G976" s="4"/>
      <c r="H976" s="4"/>
      <c r="I976" s="4"/>
      <c r="J976" s="18"/>
      <c r="K976" s="4"/>
      <c r="L976" s="19"/>
      <c r="M976" s="20"/>
    </row>
    <row r="977">
      <c r="A977" s="6"/>
      <c r="B977" s="6"/>
      <c r="C977" s="4"/>
      <c r="D977" s="4">
        <v>0.0</v>
      </c>
      <c r="E977" s="4"/>
      <c r="F977" s="4"/>
      <c r="G977" s="4"/>
      <c r="H977" s="4"/>
      <c r="I977" s="4"/>
      <c r="J977" s="18"/>
      <c r="K977" s="4"/>
      <c r="L977" s="19"/>
      <c r="M977" s="20"/>
    </row>
    <row r="978">
      <c r="A978" s="6"/>
      <c r="B978" s="6"/>
      <c r="C978" s="4"/>
      <c r="D978" s="4">
        <v>0.0</v>
      </c>
      <c r="E978" s="4"/>
      <c r="F978" s="4"/>
      <c r="G978" s="4"/>
      <c r="H978" s="4"/>
      <c r="I978" s="4"/>
      <c r="J978" s="18"/>
      <c r="K978" s="4"/>
      <c r="L978" s="19"/>
      <c r="M978" s="20"/>
    </row>
    <row r="979">
      <c r="A979" s="6"/>
      <c r="B979" s="6"/>
      <c r="C979" s="4"/>
      <c r="D979" s="4">
        <v>0.0</v>
      </c>
      <c r="E979" s="4"/>
      <c r="F979" s="4"/>
      <c r="G979" s="4"/>
      <c r="H979" s="4"/>
      <c r="I979" s="4"/>
      <c r="J979" s="18"/>
      <c r="K979" s="4"/>
      <c r="L979" s="19"/>
      <c r="M979" s="20"/>
    </row>
    <row r="980">
      <c r="A980" s="6"/>
      <c r="B980" s="6"/>
      <c r="C980" s="4"/>
      <c r="D980" s="4">
        <v>0.0</v>
      </c>
      <c r="E980" s="4"/>
      <c r="F980" s="4"/>
      <c r="G980" s="4"/>
      <c r="H980" s="4"/>
      <c r="I980" s="4"/>
      <c r="J980" s="18"/>
      <c r="K980" s="4"/>
      <c r="L980" s="19"/>
      <c r="M980" s="20"/>
    </row>
    <row r="981">
      <c r="A981" s="6"/>
      <c r="B981" s="6"/>
      <c r="C981" s="4"/>
      <c r="D981" s="4">
        <v>0.0</v>
      </c>
      <c r="E981" s="4"/>
      <c r="F981" s="4"/>
      <c r="G981" s="4"/>
      <c r="H981" s="4"/>
      <c r="I981" s="4"/>
      <c r="J981" s="18"/>
      <c r="K981" s="4"/>
      <c r="L981" s="19"/>
      <c r="M981" s="20"/>
    </row>
    <row r="982">
      <c r="A982" s="6"/>
      <c r="B982" s="6"/>
      <c r="C982" s="4"/>
      <c r="D982" s="4">
        <v>0.0</v>
      </c>
      <c r="E982" s="4"/>
      <c r="F982" s="4"/>
      <c r="G982" s="4"/>
      <c r="H982" s="4"/>
      <c r="I982" s="4"/>
      <c r="J982" s="18"/>
      <c r="K982" s="4"/>
      <c r="L982" s="19"/>
      <c r="M982" s="20"/>
    </row>
    <row r="983">
      <c r="A983" s="6"/>
      <c r="B983" s="6"/>
      <c r="C983" s="4"/>
      <c r="D983" s="4">
        <v>0.0</v>
      </c>
      <c r="E983" s="4"/>
      <c r="F983" s="4"/>
      <c r="G983" s="4"/>
      <c r="H983" s="4"/>
      <c r="I983" s="4"/>
      <c r="J983" s="18"/>
      <c r="K983" s="4"/>
      <c r="L983" s="19"/>
      <c r="M983" s="20"/>
    </row>
    <row r="984">
      <c r="A984" s="6"/>
      <c r="B984" s="6"/>
      <c r="C984" s="4"/>
      <c r="D984" s="4">
        <v>0.0</v>
      </c>
      <c r="E984" s="4"/>
      <c r="F984" s="4"/>
      <c r="G984" s="4"/>
      <c r="H984" s="4"/>
      <c r="I984" s="4"/>
      <c r="J984" s="18"/>
      <c r="K984" s="4"/>
      <c r="L984" s="19"/>
      <c r="M984" s="20"/>
    </row>
    <row r="985">
      <c r="A985" s="6"/>
      <c r="B985" s="6"/>
      <c r="C985" s="4"/>
      <c r="D985" s="4">
        <v>0.0</v>
      </c>
      <c r="E985" s="4"/>
      <c r="F985" s="4"/>
      <c r="G985" s="4"/>
      <c r="H985" s="4"/>
      <c r="I985" s="4"/>
      <c r="J985" s="18"/>
      <c r="K985" s="4"/>
      <c r="L985" s="19"/>
      <c r="M985" s="20"/>
    </row>
    <row r="986">
      <c r="A986" s="6"/>
      <c r="B986" s="6"/>
      <c r="C986" s="4"/>
      <c r="D986" s="4">
        <v>0.0</v>
      </c>
      <c r="E986" s="4"/>
      <c r="F986" s="4"/>
      <c r="G986" s="4"/>
      <c r="H986" s="4"/>
      <c r="I986" s="4"/>
      <c r="J986" s="18"/>
      <c r="K986" s="4"/>
      <c r="L986" s="19"/>
      <c r="M986" s="20"/>
    </row>
    <row r="987">
      <c r="A987" s="6"/>
      <c r="B987" s="6"/>
      <c r="C987" s="4"/>
      <c r="D987" s="4">
        <v>0.0</v>
      </c>
      <c r="E987" s="4"/>
      <c r="F987" s="4"/>
      <c r="G987" s="4"/>
      <c r="H987" s="4"/>
      <c r="I987" s="4"/>
      <c r="J987" s="18"/>
      <c r="K987" s="4"/>
      <c r="L987" s="19"/>
      <c r="M987" s="20"/>
    </row>
    <row r="988">
      <c r="A988" s="6"/>
      <c r="B988" s="6"/>
      <c r="C988" s="4"/>
      <c r="D988" s="4">
        <v>0.0</v>
      </c>
      <c r="E988" s="4"/>
      <c r="F988" s="4"/>
      <c r="G988" s="4"/>
      <c r="H988" s="4"/>
      <c r="I988" s="4"/>
      <c r="J988" s="18"/>
      <c r="K988" s="4"/>
      <c r="L988" s="19"/>
      <c r="M988" s="20"/>
    </row>
    <row r="989">
      <c r="A989" s="6"/>
      <c r="B989" s="6"/>
      <c r="C989" s="4"/>
      <c r="D989" s="4">
        <v>0.0</v>
      </c>
      <c r="E989" s="4"/>
      <c r="F989" s="4"/>
      <c r="G989" s="4"/>
      <c r="H989" s="4"/>
      <c r="I989" s="4"/>
      <c r="J989" s="18"/>
      <c r="K989" s="4"/>
      <c r="L989" s="19"/>
      <c r="M989" s="20"/>
    </row>
    <row r="990">
      <c r="A990" s="6"/>
      <c r="B990" s="6"/>
      <c r="C990" s="4"/>
      <c r="D990" s="4">
        <v>0.0</v>
      </c>
      <c r="E990" s="4"/>
      <c r="F990" s="4"/>
      <c r="G990" s="4"/>
      <c r="H990" s="4"/>
      <c r="I990" s="4"/>
      <c r="J990" s="18"/>
      <c r="K990" s="4"/>
      <c r="L990" s="19"/>
      <c r="M990" s="20"/>
    </row>
    <row r="991">
      <c r="A991" s="6"/>
      <c r="B991" s="6"/>
      <c r="C991" s="4"/>
      <c r="D991" s="4">
        <v>0.0</v>
      </c>
      <c r="E991" s="4"/>
      <c r="F991" s="4"/>
      <c r="G991" s="4"/>
      <c r="H991" s="4"/>
      <c r="I991" s="4"/>
      <c r="J991" s="18"/>
      <c r="K991" s="4"/>
      <c r="L991" s="19"/>
      <c r="M991" s="20"/>
    </row>
    <row r="992">
      <c r="A992" s="6"/>
      <c r="B992" s="6"/>
      <c r="C992" s="4"/>
      <c r="D992" s="4">
        <v>0.0</v>
      </c>
      <c r="E992" s="4"/>
      <c r="F992" s="4"/>
      <c r="G992" s="4"/>
      <c r="H992" s="4"/>
      <c r="I992" s="4"/>
      <c r="J992" s="18"/>
      <c r="K992" s="4"/>
      <c r="L992" s="19"/>
      <c r="M992" s="20"/>
    </row>
    <row r="993">
      <c r="A993" s="6"/>
      <c r="B993" s="6"/>
      <c r="C993" s="4"/>
      <c r="D993" s="4">
        <v>0.0</v>
      </c>
      <c r="E993" s="4"/>
      <c r="F993" s="4"/>
      <c r="G993" s="4"/>
      <c r="H993" s="4"/>
      <c r="I993" s="4"/>
      <c r="J993" s="18"/>
      <c r="K993" s="4"/>
      <c r="L993" s="19"/>
      <c r="M993" s="20"/>
    </row>
    <row r="994">
      <c r="A994" s="6"/>
      <c r="B994" s="6"/>
      <c r="C994" s="4"/>
      <c r="D994" s="4">
        <v>0.0</v>
      </c>
      <c r="E994" s="4"/>
      <c r="F994" s="4"/>
      <c r="G994" s="4"/>
      <c r="H994" s="4"/>
      <c r="I994" s="4"/>
      <c r="J994" s="18"/>
      <c r="K994" s="4"/>
      <c r="L994" s="19"/>
      <c r="M994" s="20"/>
    </row>
    <row r="995">
      <c r="A995" s="6"/>
      <c r="B995" s="6"/>
      <c r="C995" s="4"/>
      <c r="D995" s="4">
        <v>0.0</v>
      </c>
      <c r="E995" s="4"/>
      <c r="F995" s="4"/>
      <c r="G995" s="4"/>
      <c r="H995" s="4"/>
      <c r="I995" s="4"/>
      <c r="J995" s="18"/>
      <c r="K995" s="4"/>
      <c r="L995" s="19"/>
      <c r="M995" s="20"/>
    </row>
    <row r="996">
      <c r="A996" s="6"/>
      <c r="B996" s="6"/>
      <c r="C996" s="4"/>
      <c r="D996" s="4">
        <v>0.0</v>
      </c>
      <c r="E996" s="4"/>
      <c r="F996" s="4"/>
      <c r="G996" s="4"/>
      <c r="H996" s="4"/>
      <c r="I996" s="4"/>
      <c r="J996" s="18"/>
      <c r="K996" s="4"/>
      <c r="L996" s="19"/>
      <c r="M996" s="20"/>
    </row>
    <row r="997">
      <c r="A997" s="6"/>
      <c r="B997" s="6"/>
      <c r="C997" s="4"/>
      <c r="D997" s="4">
        <v>0.0</v>
      </c>
      <c r="E997" s="4"/>
      <c r="F997" s="4"/>
      <c r="G997" s="4"/>
      <c r="H997" s="4"/>
      <c r="I997" s="4"/>
      <c r="J997" s="18"/>
      <c r="K997" s="4"/>
      <c r="L997" s="19"/>
      <c r="M997" s="20"/>
    </row>
    <row r="998">
      <c r="A998" s="6"/>
      <c r="B998" s="6"/>
      <c r="C998" s="4"/>
      <c r="D998" s="4">
        <v>0.0</v>
      </c>
      <c r="E998" s="4"/>
      <c r="F998" s="4"/>
      <c r="G998" s="4"/>
      <c r="H998" s="4"/>
      <c r="I998" s="4"/>
      <c r="J998" s="18"/>
      <c r="K998" s="4"/>
      <c r="L998" s="19"/>
      <c r="M998" s="20"/>
    </row>
    <row r="999">
      <c r="A999" s="6"/>
      <c r="B999" s="6"/>
      <c r="C999" s="4"/>
      <c r="D999" s="4">
        <v>0.0</v>
      </c>
      <c r="E999" s="4"/>
      <c r="F999" s="4"/>
      <c r="G999" s="4"/>
      <c r="H999" s="4"/>
      <c r="I999" s="4"/>
      <c r="J999" s="18"/>
      <c r="K999" s="4"/>
      <c r="L999" s="19"/>
      <c r="M999" s="20"/>
    </row>
    <row r="1000">
      <c r="A1000" s="6"/>
      <c r="B1000" s="6"/>
      <c r="C1000" s="4"/>
      <c r="D1000" s="4">
        <v>0.0</v>
      </c>
      <c r="E1000" s="4"/>
      <c r="F1000" s="4"/>
      <c r="G1000" s="4"/>
      <c r="H1000" s="4"/>
      <c r="I1000" s="4"/>
      <c r="J1000" s="18"/>
      <c r="K1000" s="4"/>
      <c r="L1000" s="19"/>
      <c r="M1000" s="20"/>
    </row>
    <row r="1001">
      <c r="A1001" s="6"/>
      <c r="B1001" s="6"/>
      <c r="C1001" s="2"/>
      <c r="D1001" s="4"/>
      <c r="E1001" s="4"/>
      <c r="F1001" s="4"/>
      <c r="G1001" s="4"/>
      <c r="H1001" s="4"/>
      <c r="I1001" s="4"/>
      <c r="J1001" s="18"/>
      <c r="K1001" s="4"/>
      <c r="L1001" s="19"/>
      <c r="M1001" s="20"/>
    </row>
    <row r="1002">
      <c r="A1002" s="6"/>
      <c r="B1002" s="6"/>
      <c r="C1002" s="4"/>
      <c r="D1002" s="4"/>
      <c r="E1002" s="4"/>
      <c r="F1002" s="4"/>
      <c r="G1002" s="4"/>
      <c r="H1002" s="4"/>
      <c r="I1002" s="4"/>
      <c r="J1002" s="18"/>
      <c r="K1002" s="4"/>
      <c r="L1002" s="19"/>
      <c r="M1002" s="20"/>
    </row>
    <row r="1003">
      <c r="A1003" s="6"/>
      <c r="B1003" s="6"/>
      <c r="C1003" s="4"/>
      <c r="D1003" s="4"/>
      <c r="E1003" s="4"/>
      <c r="F1003" s="4"/>
      <c r="G1003" s="4"/>
      <c r="H1003" s="4"/>
      <c r="I1003" s="4"/>
      <c r="J1003" s="18"/>
      <c r="K1003" s="4"/>
      <c r="L1003" s="19"/>
      <c r="M1003" s="20"/>
    </row>
    <row r="1004">
      <c r="A1004" s="6"/>
      <c r="B1004" s="6"/>
      <c r="C1004" s="4"/>
      <c r="D1004" s="4"/>
      <c r="E1004" s="4"/>
      <c r="F1004" s="4"/>
      <c r="G1004" s="4"/>
      <c r="H1004" s="4"/>
      <c r="I1004" s="4"/>
      <c r="J1004" s="18"/>
      <c r="K1004" s="4"/>
      <c r="L1004" s="19"/>
      <c r="M1004" s="20"/>
    </row>
    <row r="1005">
      <c r="A1005" s="6"/>
      <c r="B1005" s="6"/>
      <c r="C1005" s="4"/>
      <c r="D1005" s="4"/>
      <c r="E1005" s="4"/>
      <c r="F1005" s="4"/>
      <c r="G1005" s="4"/>
      <c r="H1005" s="4"/>
      <c r="I1005" s="4"/>
      <c r="J1005" s="18"/>
      <c r="K1005" s="4"/>
      <c r="L1005" s="19"/>
      <c r="M1005" s="20"/>
    </row>
    <row r="1006">
      <c r="A1006" s="6"/>
      <c r="B1006" s="6"/>
      <c r="C1006" s="4"/>
      <c r="D1006" s="4"/>
      <c r="E1006" s="4"/>
      <c r="F1006" s="4"/>
      <c r="G1006" s="4"/>
      <c r="H1006" s="4"/>
      <c r="I1006" s="4"/>
      <c r="J1006" s="18"/>
      <c r="K1006" s="4"/>
      <c r="L1006" s="19"/>
      <c r="M1006" s="20"/>
    </row>
    <row r="1007">
      <c r="A1007" s="6"/>
      <c r="B1007" s="6"/>
      <c r="C1007" s="4"/>
      <c r="D1007" s="4"/>
      <c r="E1007" s="4"/>
      <c r="F1007" s="4"/>
      <c r="G1007" s="4"/>
      <c r="H1007" s="4"/>
      <c r="I1007" s="4"/>
      <c r="J1007" s="18"/>
      <c r="K1007" s="4"/>
      <c r="L1007" s="19"/>
      <c r="M1007" s="20"/>
    </row>
    <row r="1008">
      <c r="A1008" s="6"/>
      <c r="B1008" s="6"/>
      <c r="C1008" s="4"/>
      <c r="D1008" s="4"/>
      <c r="E1008" s="4"/>
      <c r="F1008" s="4"/>
      <c r="G1008" s="4"/>
      <c r="H1008" s="4"/>
      <c r="I1008" s="4"/>
      <c r="J1008" s="18"/>
      <c r="K1008" s="4"/>
      <c r="L1008" s="19"/>
      <c r="M1008" s="20"/>
    </row>
    <row r="1009">
      <c r="A1009" s="6"/>
      <c r="B1009" s="6"/>
      <c r="C1009" s="4"/>
      <c r="D1009" s="4"/>
      <c r="E1009" s="4"/>
      <c r="F1009" s="4"/>
      <c r="G1009" s="4"/>
      <c r="H1009" s="4"/>
      <c r="I1009" s="4"/>
      <c r="J1009" s="18"/>
      <c r="K1009" s="4"/>
      <c r="L1009" s="19"/>
      <c r="M1009" s="20"/>
    </row>
    <row r="1010">
      <c r="A1010" s="6"/>
      <c r="B1010" s="6"/>
      <c r="C1010" s="4"/>
      <c r="D1010" s="4"/>
      <c r="E1010" s="4"/>
      <c r="F1010" s="4"/>
      <c r="G1010" s="4"/>
      <c r="H1010" s="4"/>
      <c r="I1010" s="4"/>
      <c r="J1010" s="18"/>
      <c r="K1010" s="4"/>
      <c r="L1010" s="19"/>
      <c r="M1010" s="20"/>
    </row>
    <row r="1011">
      <c r="A1011" s="6"/>
      <c r="B1011" s="6"/>
      <c r="C1011" s="4"/>
      <c r="D1011" s="4"/>
      <c r="E1011" s="4"/>
      <c r="F1011" s="4"/>
      <c r="G1011" s="4"/>
      <c r="H1011" s="4"/>
      <c r="I1011" s="4"/>
      <c r="J1011" s="18"/>
      <c r="K1011" s="4"/>
      <c r="L1011" s="19"/>
      <c r="M1011" s="20"/>
    </row>
    <row r="1012">
      <c r="A1012" s="6"/>
      <c r="B1012" s="6"/>
      <c r="C1012" s="4"/>
      <c r="D1012" s="4"/>
      <c r="E1012" s="4"/>
      <c r="F1012" s="4"/>
      <c r="G1012" s="4"/>
      <c r="H1012" s="4"/>
      <c r="I1012" s="4"/>
      <c r="J1012" s="18"/>
      <c r="K1012" s="4"/>
      <c r="L1012" s="19"/>
      <c r="M1012" s="20"/>
    </row>
    <row r="1013">
      <c r="A1013" s="6"/>
      <c r="B1013" s="6"/>
      <c r="C1013" s="4"/>
      <c r="D1013" s="4"/>
      <c r="E1013" s="4"/>
      <c r="F1013" s="4"/>
      <c r="G1013" s="4"/>
      <c r="H1013" s="4"/>
      <c r="I1013" s="4"/>
      <c r="J1013" s="18"/>
      <c r="K1013" s="4"/>
      <c r="L1013" s="19"/>
      <c r="M1013" s="20"/>
    </row>
    <row r="1014">
      <c r="A1014" s="6"/>
      <c r="B1014" s="6"/>
      <c r="C1014" s="4"/>
      <c r="D1014" s="4"/>
      <c r="E1014" s="4"/>
      <c r="F1014" s="4"/>
      <c r="G1014" s="4"/>
      <c r="H1014" s="4"/>
      <c r="I1014" s="4"/>
      <c r="J1014" s="18"/>
      <c r="K1014" s="4"/>
      <c r="L1014" s="19"/>
      <c r="M1014" s="20"/>
    </row>
    <row r="1015">
      <c r="A1015" s="6"/>
      <c r="B1015" s="6"/>
      <c r="C1015" s="4"/>
      <c r="D1015" s="4"/>
      <c r="E1015" s="4"/>
      <c r="F1015" s="4"/>
      <c r="G1015" s="4"/>
      <c r="H1015" s="4"/>
      <c r="I1015" s="4"/>
      <c r="J1015" s="18"/>
      <c r="K1015" s="4"/>
      <c r="L1015" s="19"/>
      <c r="M1015" s="20"/>
    </row>
    <row r="1016">
      <c r="A1016" s="6"/>
      <c r="B1016" s="6"/>
      <c r="C1016" s="4"/>
      <c r="D1016" s="4"/>
      <c r="E1016" s="4"/>
      <c r="F1016" s="4"/>
      <c r="G1016" s="4"/>
      <c r="H1016" s="4"/>
      <c r="I1016" s="4"/>
      <c r="J1016" s="18"/>
      <c r="K1016" s="4"/>
      <c r="L1016" s="19"/>
      <c r="M1016" s="20"/>
    </row>
    <row r="1017">
      <c r="A1017" s="6"/>
      <c r="B1017" s="6"/>
      <c r="C1017" s="4"/>
      <c r="D1017" s="4"/>
      <c r="E1017" s="4"/>
      <c r="F1017" s="4"/>
      <c r="G1017" s="4"/>
      <c r="H1017" s="4"/>
      <c r="I1017" s="4"/>
      <c r="J1017" s="18"/>
      <c r="K1017" s="4"/>
      <c r="L1017" s="19"/>
      <c r="M1017" s="20"/>
    </row>
    <row r="1018">
      <c r="A1018" s="6"/>
      <c r="B1018" s="6"/>
      <c r="C1018" s="4"/>
      <c r="D1018" s="4"/>
      <c r="E1018" s="4"/>
      <c r="F1018" s="4"/>
      <c r="G1018" s="4"/>
      <c r="H1018" s="4"/>
      <c r="I1018" s="4"/>
      <c r="J1018" s="18"/>
      <c r="K1018" s="4"/>
      <c r="L1018" s="19"/>
      <c r="M1018" s="20"/>
    </row>
    <row r="1019">
      <c r="A1019" s="6"/>
      <c r="B1019" s="6"/>
      <c r="C1019" s="4"/>
      <c r="D1019" s="4"/>
      <c r="E1019" s="4"/>
      <c r="F1019" s="4"/>
      <c r="G1019" s="4"/>
      <c r="H1019" s="4"/>
      <c r="I1019" s="4"/>
      <c r="J1019" s="18"/>
      <c r="K1019" s="4"/>
      <c r="L1019" s="19"/>
      <c r="M1019" s="20"/>
    </row>
    <row r="1020">
      <c r="A1020" s="6"/>
      <c r="B1020" s="6"/>
      <c r="C1020" s="4"/>
      <c r="D1020" s="4"/>
      <c r="E1020" s="4"/>
      <c r="F1020" s="4"/>
      <c r="G1020" s="4"/>
      <c r="H1020" s="4"/>
      <c r="I1020" s="4"/>
      <c r="J1020" s="18"/>
      <c r="K1020" s="4"/>
      <c r="L1020" s="19"/>
      <c r="M1020" s="20"/>
    </row>
    <row r="1021">
      <c r="A1021" s="6"/>
      <c r="B1021" s="6"/>
      <c r="C1021" s="4"/>
      <c r="D1021" s="4"/>
      <c r="E1021" s="4"/>
      <c r="F1021" s="4"/>
      <c r="G1021" s="4"/>
      <c r="H1021" s="4"/>
      <c r="I1021" s="4"/>
      <c r="J1021" s="18"/>
      <c r="K1021" s="4"/>
      <c r="L1021" s="19"/>
      <c r="M1021" s="20"/>
    </row>
    <row r="1022">
      <c r="A1022" s="6"/>
      <c r="B1022" s="6"/>
      <c r="C1022" s="4"/>
      <c r="D1022" s="4"/>
      <c r="E1022" s="4"/>
      <c r="F1022" s="4"/>
      <c r="G1022" s="4"/>
      <c r="H1022" s="4"/>
      <c r="I1022" s="4"/>
      <c r="J1022" s="18"/>
      <c r="K1022" s="4"/>
      <c r="L1022" s="19"/>
      <c r="M1022" s="20"/>
    </row>
    <row r="1023">
      <c r="A1023" s="6"/>
      <c r="B1023" s="6"/>
      <c r="C1023" s="4"/>
      <c r="D1023" s="4"/>
      <c r="E1023" s="4"/>
      <c r="F1023" s="4"/>
      <c r="G1023" s="4"/>
      <c r="H1023" s="4"/>
      <c r="I1023" s="4"/>
      <c r="J1023" s="18"/>
      <c r="K1023" s="4"/>
      <c r="L1023" s="19"/>
      <c r="M1023" s="20"/>
    </row>
    <row r="1024">
      <c r="A1024" s="6"/>
      <c r="B1024" s="6"/>
      <c r="C1024" s="4"/>
      <c r="D1024" s="4"/>
      <c r="E1024" s="4"/>
      <c r="F1024" s="4"/>
      <c r="G1024" s="4"/>
      <c r="H1024" s="4"/>
      <c r="I1024" s="4"/>
      <c r="J1024" s="18"/>
      <c r="K1024" s="4"/>
      <c r="L1024" s="19"/>
      <c r="M1024" s="20"/>
    </row>
    <row r="1025">
      <c r="A1025" s="6"/>
      <c r="B1025" s="6"/>
      <c r="C1025" s="4"/>
      <c r="D1025" s="4"/>
      <c r="E1025" s="4"/>
      <c r="F1025" s="4"/>
      <c r="G1025" s="4"/>
      <c r="H1025" s="4"/>
      <c r="I1025" s="4"/>
      <c r="J1025" s="18"/>
      <c r="K1025" s="4"/>
      <c r="L1025" s="19"/>
      <c r="M1025" s="20"/>
    </row>
    <row r="1026">
      <c r="A1026" s="6"/>
      <c r="B1026" s="6"/>
      <c r="C1026" s="4"/>
      <c r="D1026" s="4"/>
      <c r="E1026" s="4"/>
      <c r="F1026" s="4"/>
      <c r="G1026" s="4"/>
      <c r="H1026" s="4"/>
      <c r="I1026" s="4"/>
      <c r="J1026" s="18"/>
      <c r="K1026" s="4"/>
      <c r="L1026" s="19"/>
      <c r="M1026" s="20"/>
    </row>
    <row r="1027">
      <c r="A1027" s="6"/>
      <c r="B1027" s="6"/>
      <c r="C1027" s="4"/>
      <c r="D1027" s="4"/>
      <c r="E1027" s="4"/>
      <c r="F1027" s="4"/>
      <c r="G1027" s="4"/>
      <c r="H1027" s="4"/>
      <c r="I1027" s="4"/>
      <c r="J1027" s="18"/>
      <c r="K1027" s="4"/>
      <c r="L1027" s="19"/>
      <c r="M1027" s="20"/>
    </row>
    <row r="1028">
      <c r="A1028" s="6"/>
      <c r="B1028" s="6"/>
      <c r="C1028" s="4"/>
      <c r="D1028" s="4"/>
      <c r="E1028" s="4"/>
      <c r="F1028" s="4"/>
      <c r="G1028" s="4"/>
      <c r="H1028" s="4"/>
      <c r="I1028" s="4"/>
      <c r="J1028" s="18"/>
      <c r="K1028" s="4"/>
      <c r="L1028" s="19"/>
      <c r="M1028" s="20"/>
    </row>
    <row r="1029">
      <c r="A1029" s="6"/>
      <c r="B1029" s="6"/>
      <c r="C1029" s="4"/>
      <c r="D1029" s="4"/>
      <c r="E1029" s="4"/>
      <c r="F1029" s="4"/>
      <c r="G1029" s="4"/>
      <c r="H1029" s="4"/>
      <c r="I1029" s="4"/>
      <c r="J1029" s="18"/>
      <c r="K1029" s="4"/>
      <c r="L1029" s="19"/>
      <c r="M1029" s="20"/>
    </row>
    <row r="1030">
      <c r="A1030" s="6"/>
      <c r="B1030" s="6"/>
      <c r="C1030" s="4"/>
      <c r="D1030" s="4"/>
      <c r="E1030" s="4"/>
      <c r="F1030" s="4"/>
      <c r="G1030" s="4"/>
      <c r="H1030" s="4"/>
      <c r="I1030" s="4"/>
      <c r="J1030" s="18"/>
      <c r="K1030" s="4"/>
      <c r="L1030" s="19"/>
      <c r="M1030" s="20"/>
    </row>
    <row r="1031">
      <c r="A1031" s="6"/>
      <c r="B1031" s="6"/>
      <c r="C1031" s="4"/>
      <c r="D1031" s="4"/>
      <c r="E1031" s="4"/>
      <c r="F1031" s="4"/>
      <c r="G1031" s="4"/>
      <c r="H1031" s="4"/>
      <c r="I1031" s="4"/>
      <c r="J1031" s="18"/>
      <c r="K1031" s="4"/>
      <c r="L1031" s="19"/>
      <c r="M1031" s="20"/>
    </row>
    <row r="1032">
      <c r="A1032" s="6"/>
      <c r="B1032" s="6"/>
      <c r="C1032" s="4"/>
      <c r="D1032" s="4"/>
      <c r="E1032" s="4"/>
      <c r="F1032" s="4"/>
      <c r="G1032" s="4"/>
      <c r="H1032" s="4"/>
      <c r="I1032" s="4"/>
      <c r="J1032" s="18"/>
      <c r="K1032" s="4"/>
      <c r="L1032" s="19"/>
      <c r="M1032" s="20"/>
    </row>
    <row r="1033">
      <c r="A1033" s="6"/>
      <c r="B1033" s="6"/>
      <c r="C1033" s="4"/>
      <c r="D1033" s="4"/>
      <c r="E1033" s="4"/>
      <c r="F1033" s="4"/>
      <c r="G1033" s="4"/>
      <c r="H1033" s="4"/>
      <c r="I1033" s="4"/>
      <c r="J1033" s="18"/>
      <c r="K1033" s="4"/>
      <c r="L1033" s="19"/>
      <c r="M1033" s="20"/>
    </row>
    <row r="1034">
      <c r="A1034" s="6"/>
      <c r="B1034" s="6"/>
      <c r="C1034" s="4"/>
      <c r="D1034" s="4"/>
      <c r="E1034" s="4"/>
      <c r="F1034" s="4"/>
      <c r="G1034" s="4"/>
      <c r="H1034" s="4"/>
      <c r="I1034" s="4"/>
      <c r="J1034" s="18"/>
      <c r="K1034" s="4"/>
      <c r="L1034" s="19"/>
      <c r="M1034" s="20"/>
    </row>
    <row r="1035">
      <c r="A1035" s="6"/>
      <c r="B1035" s="6"/>
      <c r="C1035" s="4"/>
      <c r="D1035" s="4"/>
      <c r="E1035" s="4"/>
      <c r="F1035" s="4"/>
      <c r="G1035" s="4"/>
      <c r="H1035" s="4"/>
      <c r="I1035" s="4"/>
      <c r="J1035" s="18"/>
      <c r="K1035" s="4"/>
      <c r="L1035" s="19"/>
      <c r="M1035" s="20"/>
    </row>
    <row r="1036">
      <c r="A1036" s="6"/>
      <c r="B1036" s="6"/>
      <c r="C1036" s="4"/>
      <c r="D1036" s="4"/>
      <c r="E1036" s="4"/>
      <c r="F1036" s="4"/>
      <c r="G1036" s="4"/>
      <c r="H1036" s="4"/>
      <c r="I1036" s="4"/>
      <c r="J1036" s="18"/>
      <c r="K1036" s="4"/>
      <c r="L1036" s="19"/>
      <c r="M1036" s="20"/>
    </row>
    <row r="1037">
      <c r="A1037" s="6"/>
      <c r="B1037" s="6"/>
      <c r="C1037" s="4"/>
      <c r="D1037" s="4"/>
      <c r="E1037" s="4"/>
      <c r="F1037" s="4"/>
      <c r="G1037" s="4"/>
      <c r="H1037" s="4"/>
      <c r="I1037" s="4"/>
      <c r="J1037" s="18"/>
      <c r="K1037" s="4"/>
      <c r="L1037" s="19"/>
      <c r="M1037" s="20"/>
    </row>
    <row r="1038">
      <c r="A1038" s="6"/>
      <c r="B1038" s="6"/>
      <c r="C1038" s="4"/>
      <c r="D1038" s="4"/>
      <c r="E1038" s="4"/>
      <c r="F1038" s="4"/>
      <c r="G1038" s="4"/>
      <c r="H1038" s="4"/>
      <c r="I1038" s="4"/>
      <c r="J1038" s="18"/>
      <c r="K1038" s="4"/>
      <c r="L1038" s="19"/>
      <c r="M1038" s="20"/>
    </row>
    <row r="1039">
      <c r="A1039" s="6"/>
      <c r="B1039" s="6"/>
      <c r="C1039" s="4"/>
      <c r="D1039" s="4"/>
      <c r="E1039" s="4"/>
      <c r="F1039" s="4"/>
      <c r="G1039" s="4"/>
      <c r="H1039" s="4"/>
      <c r="I1039" s="4"/>
      <c r="J1039" s="18"/>
      <c r="K1039" s="4"/>
      <c r="L1039" s="19"/>
      <c r="M1039" s="20"/>
    </row>
    <row r="1040">
      <c r="A1040" s="6"/>
      <c r="B1040" s="6"/>
      <c r="C1040" s="4"/>
      <c r="D1040" s="4"/>
      <c r="E1040" s="4"/>
      <c r="F1040" s="4"/>
      <c r="G1040" s="4"/>
      <c r="H1040" s="4"/>
      <c r="I1040" s="4"/>
      <c r="J1040" s="18"/>
      <c r="K1040" s="4"/>
      <c r="L1040" s="19"/>
      <c r="M1040" s="20"/>
    </row>
    <row r="1041">
      <c r="A1041" s="6"/>
      <c r="B1041" s="6"/>
      <c r="C1041" s="4"/>
      <c r="D1041" s="4"/>
      <c r="E1041" s="4"/>
      <c r="F1041" s="4"/>
      <c r="G1041" s="4"/>
      <c r="H1041" s="4"/>
      <c r="I1041" s="4"/>
      <c r="J1041" s="18"/>
      <c r="K1041" s="4"/>
      <c r="L1041" s="19"/>
      <c r="M1041" s="20"/>
    </row>
    <row r="1042">
      <c r="A1042" s="6"/>
      <c r="B1042" s="6"/>
      <c r="C1042" s="4"/>
      <c r="D1042" s="4"/>
      <c r="E1042" s="4"/>
      <c r="F1042" s="4"/>
      <c r="G1042" s="4"/>
      <c r="H1042" s="4"/>
      <c r="I1042" s="4"/>
      <c r="J1042" s="18"/>
      <c r="K1042" s="4"/>
      <c r="L1042" s="19"/>
      <c r="M1042" s="20"/>
    </row>
    <row r="1043">
      <c r="A1043" s="6"/>
      <c r="B1043" s="6"/>
      <c r="C1043" s="4"/>
      <c r="D1043" s="4"/>
      <c r="E1043" s="4"/>
      <c r="F1043" s="4"/>
      <c r="G1043" s="4"/>
      <c r="H1043" s="4"/>
      <c r="I1043" s="4"/>
      <c r="J1043" s="18"/>
      <c r="K1043" s="4"/>
      <c r="L1043" s="19"/>
      <c r="M1043" s="20"/>
    </row>
    <row r="1044">
      <c r="A1044" s="6"/>
      <c r="B1044" s="6"/>
      <c r="C1044" s="4"/>
      <c r="D1044" s="4"/>
      <c r="E1044" s="4"/>
      <c r="F1044" s="4"/>
      <c r="G1044" s="4"/>
      <c r="H1044" s="4"/>
      <c r="I1044" s="4"/>
      <c r="J1044" s="18"/>
      <c r="K1044" s="4"/>
      <c r="L1044" s="19"/>
      <c r="M1044" s="20"/>
    </row>
    <row r="1045">
      <c r="A1045" s="6"/>
      <c r="B1045" s="6"/>
      <c r="C1045" s="4"/>
      <c r="D1045" s="4"/>
      <c r="E1045" s="4"/>
      <c r="F1045" s="4"/>
      <c r="G1045" s="4"/>
      <c r="H1045" s="4"/>
      <c r="I1045" s="4"/>
      <c r="J1045" s="18"/>
      <c r="K1045" s="4"/>
      <c r="L1045" s="19"/>
      <c r="M1045" s="20"/>
    </row>
    <row r="1046">
      <c r="A1046" s="6"/>
      <c r="B1046" s="6"/>
      <c r="C1046" s="4"/>
      <c r="D1046" s="4"/>
      <c r="E1046" s="4"/>
      <c r="F1046" s="4"/>
      <c r="G1046" s="4"/>
      <c r="H1046" s="4"/>
      <c r="I1046" s="4"/>
      <c r="J1046" s="18"/>
      <c r="K1046" s="4"/>
      <c r="L1046" s="19"/>
      <c r="M1046" s="20"/>
    </row>
    <row r="1047">
      <c r="A1047" s="6"/>
      <c r="B1047" s="6"/>
      <c r="C1047" s="4"/>
      <c r="D1047" s="4"/>
      <c r="E1047" s="4"/>
      <c r="F1047" s="4"/>
      <c r="G1047" s="4"/>
      <c r="H1047" s="4"/>
      <c r="I1047" s="4"/>
      <c r="J1047" s="18"/>
      <c r="K1047" s="4"/>
      <c r="L1047" s="19"/>
      <c r="M1047" s="20"/>
    </row>
    <row r="1048">
      <c r="A1048" s="6"/>
      <c r="B1048" s="6"/>
      <c r="C1048" s="4"/>
      <c r="D1048" s="4"/>
      <c r="E1048" s="4"/>
      <c r="F1048" s="4"/>
      <c r="G1048" s="4"/>
      <c r="H1048" s="4"/>
      <c r="I1048" s="4"/>
      <c r="J1048" s="18"/>
      <c r="K1048" s="4"/>
      <c r="L1048" s="19"/>
      <c r="M1048" s="20"/>
    </row>
    <row r="1049">
      <c r="A1049" s="6"/>
      <c r="B1049" s="6"/>
      <c r="C1049" s="4"/>
      <c r="D1049" s="4"/>
      <c r="E1049" s="4"/>
      <c r="F1049" s="4"/>
      <c r="G1049" s="4"/>
      <c r="H1049" s="4"/>
      <c r="I1049" s="4"/>
      <c r="J1049" s="18"/>
      <c r="K1049" s="4"/>
      <c r="L1049" s="19"/>
      <c r="M1049" s="20"/>
    </row>
    <row r="1050">
      <c r="A1050" s="6"/>
      <c r="B1050" s="6"/>
      <c r="C1050" s="4"/>
      <c r="D1050" s="4"/>
      <c r="E1050" s="4"/>
      <c r="F1050" s="4"/>
      <c r="G1050" s="4"/>
      <c r="H1050" s="4"/>
      <c r="I1050" s="4"/>
      <c r="J1050" s="18"/>
      <c r="K1050" s="4"/>
      <c r="L1050" s="19"/>
      <c r="M1050" s="20"/>
    </row>
    <row r="1051">
      <c r="A1051" s="6"/>
      <c r="B1051" s="6"/>
      <c r="C1051" s="4"/>
      <c r="D1051" s="4"/>
      <c r="E1051" s="4"/>
      <c r="F1051" s="4"/>
      <c r="G1051" s="4"/>
      <c r="H1051" s="4"/>
      <c r="I1051" s="4"/>
      <c r="J1051" s="18"/>
      <c r="K1051" s="4"/>
      <c r="L1051" s="19"/>
      <c r="M1051" s="20"/>
    </row>
    <row r="1052">
      <c r="A1052" s="6"/>
      <c r="B1052" s="6"/>
      <c r="C1052" s="4"/>
      <c r="D1052" s="4"/>
      <c r="E1052" s="4"/>
      <c r="F1052" s="4"/>
      <c r="G1052" s="4"/>
      <c r="H1052" s="4"/>
      <c r="I1052" s="4"/>
      <c r="J1052" s="18"/>
      <c r="K1052" s="4"/>
      <c r="L1052" s="19"/>
      <c r="M1052" s="20"/>
    </row>
    <row r="1053">
      <c r="A1053" s="6"/>
      <c r="B1053" s="6"/>
      <c r="C1053" s="4"/>
      <c r="D1053" s="4"/>
      <c r="E1053" s="4"/>
      <c r="F1053" s="4"/>
      <c r="G1053" s="4"/>
      <c r="H1053" s="4"/>
      <c r="I1053" s="4"/>
      <c r="J1053" s="18"/>
      <c r="K1053" s="4"/>
      <c r="L1053" s="19"/>
      <c r="M1053" s="20"/>
    </row>
    <row r="1054">
      <c r="A1054" s="6"/>
      <c r="B1054" s="6"/>
      <c r="C1054" s="4"/>
      <c r="D1054" s="4"/>
      <c r="E1054" s="4"/>
      <c r="F1054" s="4"/>
      <c r="G1054" s="4"/>
      <c r="H1054" s="4"/>
      <c r="I1054" s="4"/>
      <c r="J1054" s="18"/>
      <c r="K1054" s="4"/>
      <c r="L1054" s="19"/>
      <c r="M1054" s="20"/>
    </row>
    <row r="1055">
      <c r="A1055" s="6"/>
      <c r="B1055" s="6"/>
      <c r="C1055" s="4"/>
      <c r="D1055" s="4"/>
      <c r="E1055" s="4"/>
      <c r="F1055" s="4"/>
      <c r="G1055" s="4"/>
      <c r="H1055" s="4"/>
      <c r="I1055" s="4"/>
      <c r="J1055" s="18"/>
      <c r="K1055" s="4"/>
      <c r="L1055" s="19"/>
      <c r="M1055" s="20"/>
    </row>
    <row r="1056">
      <c r="A1056" s="6"/>
      <c r="B1056" s="6"/>
      <c r="C1056" s="4"/>
      <c r="D1056" s="4"/>
      <c r="E1056" s="4"/>
      <c r="F1056" s="4"/>
      <c r="G1056" s="4"/>
      <c r="H1056" s="4"/>
      <c r="I1056" s="4"/>
      <c r="J1056" s="18"/>
      <c r="K1056" s="4"/>
      <c r="L1056" s="19"/>
      <c r="M1056" s="20"/>
    </row>
    <row r="1057">
      <c r="A1057" s="6"/>
      <c r="B1057" s="6"/>
      <c r="C1057" s="4"/>
      <c r="D1057" s="4"/>
      <c r="E1057" s="4"/>
      <c r="F1057" s="4"/>
      <c r="G1057" s="4"/>
      <c r="H1057" s="4"/>
      <c r="I1057" s="4"/>
      <c r="J1057" s="18"/>
      <c r="K1057" s="4"/>
      <c r="L1057" s="19"/>
      <c r="M1057" s="20"/>
    </row>
    <row r="1058">
      <c r="A1058" s="6"/>
      <c r="B1058" s="6"/>
      <c r="C1058" s="4"/>
      <c r="D1058" s="4"/>
      <c r="E1058" s="4"/>
      <c r="F1058" s="4"/>
      <c r="G1058" s="4"/>
      <c r="H1058" s="4"/>
      <c r="I1058" s="4"/>
      <c r="J1058" s="18"/>
      <c r="K1058" s="4"/>
      <c r="L1058" s="19"/>
      <c r="M1058" s="20"/>
    </row>
    <row r="1059">
      <c r="A1059" s="6"/>
      <c r="B1059" s="6"/>
      <c r="C1059" s="4"/>
      <c r="D1059" s="4"/>
      <c r="E1059" s="4"/>
      <c r="F1059" s="4"/>
      <c r="G1059" s="4"/>
      <c r="H1059" s="4"/>
      <c r="I1059" s="4"/>
      <c r="J1059" s="18"/>
      <c r="K1059" s="4"/>
      <c r="L1059" s="19"/>
      <c r="M1059" s="20"/>
    </row>
    <row r="1060">
      <c r="A1060" s="6"/>
      <c r="B1060" s="6"/>
      <c r="C1060" s="4"/>
      <c r="D1060" s="4"/>
      <c r="E1060" s="4"/>
      <c r="F1060" s="4"/>
      <c r="G1060" s="4"/>
      <c r="H1060" s="4"/>
      <c r="I1060" s="4"/>
      <c r="J1060" s="18"/>
      <c r="K1060" s="4"/>
      <c r="L1060" s="19"/>
      <c r="M1060" s="20"/>
    </row>
    <row r="1061">
      <c r="A1061" s="6"/>
      <c r="B1061" s="6"/>
      <c r="C1061" s="4"/>
      <c r="D1061" s="4"/>
      <c r="E1061" s="4"/>
      <c r="F1061" s="4"/>
      <c r="G1061" s="4"/>
      <c r="H1061" s="4"/>
      <c r="I1061" s="4"/>
      <c r="J1061" s="18"/>
      <c r="K1061" s="4"/>
      <c r="L1061" s="19"/>
      <c r="M1061" s="20"/>
    </row>
    <row r="1062">
      <c r="A1062" s="6"/>
      <c r="B1062" s="6"/>
      <c r="C1062" s="4"/>
      <c r="D1062" s="4"/>
      <c r="E1062" s="4"/>
      <c r="F1062" s="4"/>
      <c r="G1062" s="4"/>
      <c r="H1062" s="4"/>
      <c r="I1062" s="4"/>
      <c r="J1062" s="18"/>
      <c r="K1062" s="4"/>
      <c r="L1062" s="19"/>
      <c r="M1062" s="20"/>
    </row>
    <row r="1063">
      <c r="A1063" s="6"/>
      <c r="B1063" s="6"/>
      <c r="C1063" s="4"/>
      <c r="D1063" s="4"/>
      <c r="E1063" s="4"/>
      <c r="F1063" s="4"/>
      <c r="G1063" s="4"/>
      <c r="H1063" s="4"/>
      <c r="I1063" s="4"/>
      <c r="J1063" s="18"/>
      <c r="K1063" s="4"/>
      <c r="L1063" s="19"/>
      <c r="M1063" s="20"/>
    </row>
    <row r="1064">
      <c r="A1064" s="6"/>
      <c r="B1064" s="6"/>
      <c r="C1064" s="4"/>
      <c r="D1064" s="4"/>
      <c r="E1064" s="4"/>
      <c r="F1064" s="4"/>
      <c r="G1064" s="4"/>
      <c r="H1064" s="4"/>
      <c r="I1064" s="4"/>
      <c r="J1064" s="18"/>
      <c r="K1064" s="4"/>
      <c r="L1064" s="19"/>
      <c r="M1064" s="20"/>
    </row>
    <row r="1065">
      <c r="A1065" s="6"/>
      <c r="B1065" s="6"/>
      <c r="C1065" s="4"/>
      <c r="D1065" s="4"/>
      <c r="E1065" s="4"/>
      <c r="F1065" s="4"/>
      <c r="G1065" s="4"/>
      <c r="H1065" s="4"/>
      <c r="I1065" s="4"/>
      <c r="J1065" s="18"/>
      <c r="K1065" s="4"/>
      <c r="L1065" s="19"/>
      <c r="M1065" s="20"/>
    </row>
    <row r="1066">
      <c r="A1066" s="6"/>
      <c r="B1066" s="6"/>
      <c r="C1066" s="4"/>
      <c r="D1066" s="4"/>
      <c r="E1066" s="4"/>
      <c r="F1066" s="4"/>
      <c r="G1066" s="4"/>
      <c r="H1066" s="4"/>
      <c r="I1066" s="4"/>
      <c r="J1066" s="18"/>
      <c r="K1066" s="4"/>
      <c r="L1066" s="19"/>
      <c r="M1066" s="20"/>
    </row>
    <row r="1067">
      <c r="A1067" s="6"/>
      <c r="B1067" s="6"/>
      <c r="C1067" s="4"/>
      <c r="D1067" s="4"/>
      <c r="E1067" s="4"/>
      <c r="F1067" s="4"/>
      <c r="G1067" s="4"/>
      <c r="H1067" s="4"/>
      <c r="I1067" s="4"/>
      <c r="J1067" s="18"/>
      <c r="K1067" s="4"/>
      <c r="L1067" s="19"/>
      <c r="M1067" s="20"/>
    </row>
    <row r="1068">
      <c r="A1068" s="6"/>
      <c r="B1068" s="6"/>
      <c r="C1068" s="4"/>
      <c r="D1068" s="4"/>
      <c r="E1068" s="4"/>
      <c r="F1068" s="4"/>
      <c r="G1068" s="4"/>
      <c r="H1068" s="4"/>
      <c r="I1068" s="4"/>
      <c r="J1068" s="18"/>
      <c r="K1068" s="4"/>
      <c r="L1068" s="19"/>
      <c r="M1068" s="20"/>
    </row>
    <row r="1069">
      <c r="A1069" s="6"/>
      <c r="B1069" s="6"/>
      <c r="C1069" s="4"/>
      <c r="D1069" s="4"/>
      <c r="E1069" s="4"/>
      <c r="F1069" s="4"/>
      <c r="G1069" s="4"/>
      <c r="H1069" s="4"/>
      <c r="I1069" s="4"/>
      <c r="J1069" s="18"/>
      <c r="K1069" s="4"/>
      <c r="L1069" s="19"/>
      <c r="M1069" s="20"/>
    </row>
    <row r="1070">
      <c r="A1070" s="6"/>
      <c r="B1070" s="6"/>
      <c r="C1070" s="4"/>
      <c r="D1070" s="4"/>
      <c r="E1070" s="4"/>
      <c r="F1070" s="4"/>
      <c r="G1070" s="4"/>
      <c r="H1070" s="4"/>
      <c r="I1070" s="4"/>
      <c r="J1070" s="18"/>
      <c r="K1070" s="4"/>
      <c r="L1070" s="19"/>
      <c r="M1070" s="20"/>
    </row>
    <row r="1071">
      <c r="A1071" s="6"/>
      <c r="B1071" s="6"/>
      <c r="C1071" s="4"/>
      <c r="D1071" s="4"/>
      <c r="E1071" s="4"/>
      <c r="F1071" s="4"/>
      <c r="G1071" s="4"/>
      <c r="H1071" s="4"/>
      <c r="I1071" s="4"/>
      <c r="J1071" s="18"/>
      <c r="K1071" s="4"/>
      <c r="L1071" s="19"/>
      <c r="M1071" s="20"/>
    </row>
    <row r="1072">
      <c r="A1072" s="6"/>
      <c r="B1072" s="6"/>
      <c r="C1072" s="4"/>
      <c r="D1072" s="4"/>
      <c r="E1072" s="4"/>
      <c r="F1072" s="4"/>
      <c r="G1072" s="4"/>
      <c r="H1072" s="4"/>
      <c r="I1072" s="4"/>
      <c r="J1072" s="18"/>
      <c r="K1072" s="4"/>
      <c r="L1072" s="19"/>
      <c r="M1072" s="20"/>
    </row>
    <row r="1073">
      <c r="A1073" s="6"/>
      <c r="B1073" s="6"/>
      <c r="C1073" s="4"/>
      <c r="D1073" s="4"/>
      <c r="E1073" s="4"/>
      <c r="F1073" s="4"/>
      <c r="G1073" s="4"/>
      <c r="H1073" s="4"/>
      <c r="I1073" s="4"/>
      <c r="J1073" s="18"/>
      <c r="K1073" s="4"/>
      <c r="L1073" s="19"/>
      <c r="M1073" s="20"/>
    </row>
    <row r="1074">
      <c r="A1074" s="6"/>
      <c r="B1074" s="6"/>
      <c r="C1074" s="4"/>
      <c r="D1074" s="4"/>
      <c r="E1074" s="4"/>
      <c r="F1074" s="4"/>
      <c r="G1074" s="4"/>
      <c r="H1074" s="4"/>
      <c r="I1074" s="4"/>
      <c r="J1074" s="18"/>
      <c r="K1074" s="4"/>
      <c r="L1074" s="19"/>
      <c r="M1074" s="20"/>
    </row>
    <row r="1075">
      <c r="A1075" s="6"/>
      <c r="B1075" s="6"/>
      <c r="C1075" s="4"/>
      <c r="D1075" s="4"/>
      <c r="E1075" s="4"/>
      <c r="F1075" s="4"/>
      <c r="G1075" s="4"/>
      <c r="H1075" s="4"/>
      <c r="I1075" s="4"/>
      <c r="J1075" s="18"/>
      <c r="K1075" s="4"/>
      <c r="L1075" s="19"/>
      <c r="M1075" s="20"/>
    </row>
    <row r="1076">
      <c r="A1076" s="6"/>
      <c r="B1076" s="6"/>
      <c r="C1076" s="4"/>
      <c r="D1076" s="4"/>
      <c r="E1076" s="4"/>
      <c r="F1076" s="4"/>
      <c r="G1076" s="4"/>
      <c r="H1076" s="4"/>
      <c r="I1076" s="4"/>
      <c r="J1076" s="18"/>
      <c r="K1076" s="4"/>
      <c r="L1076" s="19"/>
      <c r="M1076" s="20"/>
    </row>
    <row r="1077">
      <c r="A1077" s="6"/>
      <c r="B1077" s="6"/>
      <c r="C1077" s="4"/>
      <c r="D1077" s="4"/>
      <c r="E1077" s="4"/>
      <c r="F1077" s="4"/>
      <c r="G1077" s="4"/>
      <c r="H1077" s="4"/>
      <c r="I1077" s="4"/>
      <c r="J1077" s="18"/>
      <c r="K1077" s="4"/>
      <c r="L1077" s="19"/>
      <c r="M1077" s="20"/>
    </row>
    <row r="1078">
      <c r="A1078" s="6"/>
      <c r="B1078" s="6"/>
      <c r="C1078" s="4"/>
      <c r="D1078" s="4"/>
      <c r="E1078" s="4"/>
      <c r="F1078" s="4"/>
      <c r="G1078" s="4"/>
      <c r="H1078" s="4"/>
      <c r="I1078" s="4"/>
      <c r="J1078" s="18"/>
      <c r="K1078" s="4"/>
      <c r="L1078" s="19"/>
      <c r="M1078" s="20"/>
    </row>
    <row r="1079">
      <c r="A1079" s="6"/>
      <c r="B1079" s="6"/>
      <c r="C1079" s="4"/>
      <c r="D1079" s="4"/>
      <c r="E1079" s="4"/>
      <c r="F1079" s="4"/>
      <c r="G1079" s="4"/>
      <c r="H1079" s="4"/>
      <c r="I1079" s="4"/>
      <c r="J1079" s="18"/>
      <c r="K1079" s="4"/>
      <c r="L1079" s="19"/>
      <c r="M1079" s="20"/>
    </row>
    <row r="1080">
      <c r="A1080" s="6"/>
      <c r="B1080" s="6"/>
      <c r="C1080" s="4"/>
      <c r="D1080" s="4"/>
      <c r="E1080" s="4"/>
      <c r="F1080" s="4"/>
      <c r="G1080" s="4"/>
      <c r="H1080" s="4"/>
      <c r="I1080" s="4"/>
      <c r="J1080" s="18"/>
      <c r="K1080" s="4"/>
      <c r="L1080" s="19"/>
      <c r="M1080" s="20"/>
    </row>
    <row r="1081">
      <c r="A1081" s="6"/>
      <c r="B1081" s="6"/>
      <c r="C1081" s="4"/>
      <c r="D1081" s="4"/>
      <c r="E1081" s="4"/>
      <c r="F1081" s="4"/>
      <c r="G1081" s="4"/>
      <c r="H1081" s="4"/>
      <c r="I1081" s="4"/>
      <c r="J1081" s="18"/>
      <c r="K1081" s="4"/>
      <c r="L1081" s="19"/>
      <c r="M1081" s="20"/>
    </row>
    <row r="1082">
      <c r="A1082" s="6"/>
      <c r="B1082" s="6"/>
      <c r="C1082" s="4"/>
      <c r="D1082" s="4"/>
      <c r="E1082" s="4"/>
      <c r="F1082" s="4"/>
      <c r="G1082" s="4"/>
      <c r="H1082" s="4"/>
      <c r="I1082" s="4"/>
      <c r="J1082" s="18"/>
      <c r="K1082" s="4"/>
      <c r="L1082" s="19"/>
      <c r="M1082" s="20"/>
    </row>
    <row r="1083">
      <c r="A1083" s="6"/>
      <c r="B1083" s="6"/>
      <c r="C1083" s="4"/>
      <c r="D1083" s="4"/>
      <c r="E1083" s="4"/>
      <c r="F1083" s="4"/>
      <c r="G1083" s="4"/>
      <c r="H1083" s="4"/>
      <c r="I1083" s="4"/>
      <c r="J1083" s="18"/>
      <c r="K1083" s="4"/>
      <c r="L1083" s="19"/>
      <c r="M1083" s="20"/>
    </row>
    <row r="1084">
      <c r="A1084" s="6"/>
      <c r="B1084" s="6"/>
      <c r="C1084" s="4"/>
      <c r="D1084" s="4"/>
      <c r="E1084" s="4"/>
      <c r="F1084" s="4"/>
      <c r="G1084" s="4"/>
      <c r="H1084" s="4"/>
      <c r="I1084" s="4"/>
      <c r="J1084" s="18"/>
      <c r="K1084" s="4"/>
      <c r="L1084" s="19"/>
      <c r="M1084" s="20"/>
    </row>
    <row r="1085">
      <c r="A1085" s="6"/>
      <c r="B1085" s="6"/>
      <c r="C1085" s="4"/>
      <c r="D1085" s="4"/>
      <c r="E1085" s="4"/>
      <c r="F1085" s="4"/>
      <c r="G1085" s="4"/>
      <c r="H1085" s="4"/>
      <c r="I1085" s="4"/>
      <c r="J1085" s="18"/>
      <c r="K1085" s="4"/>
      <c r="L1085" s="19"/>
      <c r="M1085" s="20"/>
    </row>
    <row r="1086">
      <c r="A1086" s="6"/>
      <c r="B1086" s="6"/>
      <c r="C1086" s="4"/>
      <c r="D1086" s="4"/>
      <c r="E1086" s="4"/>
      <c r="F1086" s="4"/>
      <c r="G1086" s="4"/>
      <c r="H1086" s="4"/>
      <c r="I1086" s="4"/>
      <c r="J1086" s="18"/>
      <c r="K1086" s="4"/>
      <c r="L1086" s="19"/>
      <c r="M1086" s="20"/>
    </row>
    <row r="1087">
      <c r="A1087" s="6"/>
      <c r="B1087" s="6"/>
      <c r="C1087" s="4"/>
      <c r="D1087" s="4"/>
      <c r="E1087" s="4"/>
      <c r="F1087" s="4"/>
      <c r="G1087" s="4"/>
      <c r="H1087" s="4"/>
      <c r="I1087" s="4"/>
      <c r="J1087" s="18"/>
      <c r="K1087" s="4"/>
      <c r="L1087" s="19"/>
      <c r="M1087" s="20"/>
    </row>
    <row r="1088">
      <c r="A1088" s="6"/>
      <c r="B1088" s="6"/>
      <c r="C1088" s="4"/>
      <c r="D1088" s="4"/>
      <c r="E1088" s="4"/>
      <c r="F1088" s="4"/>
      <c r="G1088" s="4"/>
      <c r="H1088" s="4"/>
      <c r="I1088" s="4"/>
      <c r="J1088" s="18"/>
      <c r="K1088" s="4"/>
      <c r="L1088" s="19"/>
      <c r="M1088" s="20"/>
    </row>
    <row r="1089">
      <c r="A1089" s="6"/>
      <c r="B1089" s="6"/>
      <c r="C1089" s="4"/>
      <c r="D1089" s="4"/>
      <c r="E1089" s="4"/>
      <c r="F1089" s="4"/>
      <c r="G1089" s="4"/>
      <c r="H1089" s="4"/>
      <c r="I1089" s="4"/>
      <c r="J1089" s="18"/>
      <c r="K1089" s="4"/>
      <c r="L1089" s="19"/>
      <c r="M1089" s="20"/>
    </row>
    <row r="1090">
      <c r="A1090" s="6"/>
      <c r="B1090" s="6"/>
      <c r="C1090" s="4"/>
      <c r="D1090" s="4"/>
      <c r="E1090" s="4"/>
      <c r="F1090" s="4"/>
      <c r="G1090" s="4"/>
      <c r="H1090" s="4"/>
      <c r="I1090" s="4"/>
      <c r="J1090" s="18"/>
      <c r="K1090" s="4"/>
      <c r="L1090" s="19"/>
      <c r="M1090" s="20"/>
    </row>
    <row r="1091">
      <c r="A1091" s="6"/>
      <c r="B1091" s="6"/>
      <c r="C1091" s="4"/>
      <c r="D1091" s="4"/>
      <c r="E1091" s="4"/>
      <c r="F1091" s="4"/>
      <c r="G1091" s="4"/>
      <c r="H1091" s="4"/>
      <c r="I1091" s="4"/>
      <c r="J1091" s="18"/>
      <c r="K1091" s="4"/>
      <c r="L1091" s="19"/>
      <c r="M1091" s="20"/>
    </row>
    <row r="1092">
      <c r="A1092" s="6"/>
      <c r="B1092" s="6"/>
      <c r="C1092" s="4"/>
      <c r="D1092" s="4"/>
      <c r="E1092" s="4"/>
      <c r="F1092" s="4"/>
      <c r="G1092" s="4"/>
      <c r="H1092" s="4"/>
      <c r="I1092" s="4"/>
      <c r="J1092" s="18"/>
      <c r="K1092" s="4"/>
      <c r="L1092" s="19"/>
      <c r="M1092" s="20"/>
    </row>
    <row r="1093">
      <c r="A1093" s="6"/>
      <c r="B1093" s="6"/>
      <c r="C1093" s="4"/>
      <c r="D1093" s="4"/>
      <c r="E1093" s="4"/>
      <c r="F1093" s="4"/>
      <c r="G1093" s="4"/>
      <c r="H1093" s="4"/>
      <c r="I1093" s="4"/>
      <c r="J1093" s="18"/>
      <c r="K1093" s="4"/>
      <c r="L1093" s="19"/>
      <c r="M1093" s="20"/>
    </row>
    <row r="1094">
      <c r="A1094" s="6"/>
      <c r="B1094" s="6"/>
      <c r="C1094" s="4"/>
      <c r="D1094" s="4"/>
      <c r="E1094" s="4"/>
      <c r="F1094" s="4"/>
      <c r="G1094" s="4"/>
      <c r="H1094" s="4"/>
      <c r="I1094" s="4"/>
      <c r="J1094" s="18"/>
      <c r="K1094" s="4"/>
      <c r="L1094" s="19"/>
      <c r="M1094" s="20"/>
    </row>
    <row r="1095">
      <c r="A1095" s="6"/>
      <c r="B1095" s="6"/>
      <c r="C1095" s="4"/>
      <c r="D1095" s="4"/>
      <c r="E1095" s="4"/>
      <c r="F1095" s="4"/>
      <c r="G1095" s="4"/>
      <c r="H1095" s="4"/>
      <c r="I1095" s="4"/>
      <c r="J1095" s="18"/>
      <c r="K1095" s="4"/>
      <c r="L1095" s="19"/>
      <c r="M1095" s="20"/>
    </row>
    <row r="1096">
      <c r="A1096" s="6"/>
      <c r="B1096" s="6"/>
      <c r="C1096" s="4"/>
      <c r="D1096" s="4"/>
      <c r="E1096" s="4"/>
      <c r="F1096" s="4"/>
      <c r="G1096" s="4"/>
      <c r="H1096" s="4"/>
      <c r="I1096" s="4"/>
      <c r="J1096" s="18"/>
      <c r="K1096" s="4"/>
      <c r="L1096" s="19"/>
      <c r="M1096" s="20"/>
    </row>
    <row r="1097">
      <c r="A1097" s="6"/>
      <c r="B1097" s="6"/>
      <c r="C1097" s="4"/>
      <c r="D1097" s="4"/>
      <c r="E1097" s="4"/>
      <c r="F1097" s="4"/>
      <c r="G1097" s="4"/>
      <c r="H1097" s="4"/>
      <c r="I1097" s="4"/>
      <c r="J1097" s="18"/>
      <c r="K1097" s="4"/>
      <c r="L1097" s="19"/>
      <c r="M1097" s="20"/>
    </row>
    <row r="1098">
      <c r="A1098" s="6"/>
      <c r="B1098" s="6"/>
      <c r="C1098" s="4"/>
      <c r="D1098" s="4"/>
      <c r="E1098" s="4"/>
      <c r="F1098" s="4"/>
      <c r="G1098" s="4"/>
      <c r="H1098" s="4"/>
      <c r="I1098" s="4"/>
      <c r="J1098" s="18"/>
      <c r="K1098" s="4"/>
      <c r="L1098" s="19"/>
      <c r="M1098" s="20"/>
    </row>
    <row r="1099">
      <c r="A1099" s="6"/>
      <c r="B1099" s="6"/>
      <c r="C1099" s="4"/>
      <c r="D1099" s="4"/>
      <c r="E1099" s="4"/>
      <c r="F1099" s="4"/>
      <c r="G1099" s="4"/>
      <c r="H1099" s="4"/>
      <c r="I1099" s="4"/>
      <c r="J1099" s="18"/>
      <c r="K1099" s="4"/>
      <c r="L1099" s="19"/>
      <c r="M1099" s="20"/>
    </row>
    <row r="1100">
      <c r="A1100" s="6"/>
      <c r="B1100" s="6"/>
      <c r="C1100" s="4"/>
      <c r="D1100" s="4"/>
      <c r="E1100" s="4"/>
      <c r="F1100" s="4"/>
      <c r="G1100" s="4"/>
      <c r="H1100" s="4"/>
      <c r="I1100" s="4"/>
      <c r="J1100" s="18"/>
      <c r="K1100" s="4"/>
      <c r="L1100" s="19"/>
      <c r="M1100" s="20"/>
    </row>
    <row r="1101">
      <c r="A1101" s="6"/>
      <c r="B1101" s="6"/>
      <c r="C1101" s="4"/>
      <c r="D1101" s="4"/>
      <c r="E1101" s="4"/>
      <c r="F1101" s="4"/>
      <c r="G1101" s="4"/>
      <c r="H1101" s="4"/>
      <c r="I1101" s="4"/>
      <c r="J1101" s="18"/>
      <c r="K1101" s="4"/>
      <c r="L1101" s="19"/>
      <c r="M1101" s="20"/>
    </row>
    <row r="1102">
      <c r="A1102" s="6"/>
      <c r="B1102" s="6"/>
      <c r="C1102" s="4"/>
      <c r="D1102" s="4"/>
      <c r="E1102" s="4"/>
      <c r="F1102" s="4"/>
      <c r="G1102" s="4"/>
      <c r="H1102" s="4"/>
      <c r="I1102" s="4"/>
      <c r="J1102" s="18"/>
      <c r="K1102" s="4"/>
      <c r="L1102" s="19"/>
      <c r="M1102" s="20"/>
    </row>
    <row r="1103">
      <c r="A1103" s="6"/>
      <c r="B1103" s="6"/>
      <c r="C1103" s="4"/>
      <c r="D1103" s="4"/>
      <c r="E1103" s="4"/>
      <c r="F1103" s="4"/>
      <c r="G1103" s="4"/>
      <c r="H1103" s="4"/>
      <c r="I1103" s="4"/>
      <c r="J1103" s="18"/>
      <c r="K1103" s="4"/>
      <c r="L1103" s="19"/>
      <c r="M1103" s="20"/>
    </row>
    <row r="1104">
      <c r="A1104" s="6"/>
      <c r="B1104" s="6"/>
      <c r="C1104" s="4"/>
      <c r="D1104" s="4"/>
      <c r="E1104" s="4"/>
      <c r="F1104" s="4"/>
      <c r="G1104" s="4"/>
      <c r="H1104" s="4"/>
      <c r="I1104" s="4"/>
      <c r="J1104" s="18"/>
      <c r="K1104" s="4"/>
      <c r="L1104" s="19"/>
      <c r="M1104" s="20"/>
    </row>
    <row r="1105">
      <c r="A1105" s="6"/>
      <c r="B1105" s="6"/>
      <c r="C1105" s="4"/>
      <c r="D1105" s="4"/>
      <c r="E1105" s="4"/>
      <c r="F1105" s="4"/>
      <c r="G1105" s="4"/>
      <c r="H1105" s="4"/>
      <c r="I1105" s="4"/>
      <c r="J1105" s="18"/>
      <c r="K1105" s="4"/>
      <c r="L1105" s="19"/>
      <c r="M1105" s="20"/>
    </row>
    <row r="1106">
      <c r="A1106" s="6"/>
      <c r="B1106" s="6"/>
      <c r="C1106" s="4"/>
      <c r="D1106" s="4"/>
      <c r="E1106" s="4"/>
      <c r="F1106" s="4"/>
      <c r="G1106" s="4"/>
      <c r="H1106" s="4"/>
      <c r="I1106" s="4"/>
      <c r="J1106" s="18"/>
      <c r="K1106" s="4"/>
      <c r="L1106" s="19"/>
      <c r="M1106" s="20"/>
    </row>
    <row r="1107">
      <c r="A1107" s="6"/>
      <c r="B1107" s="6"/>
      <c r="C1107" s="4"/>
      <c r="D1107" s="4"/>
      <c r="E1107" s="4"/>
      <c r="F1107" s="4"/>
      <c r="G1107" s="4"/>
      <c r="H1107" s="4"/>
      <c r="I1107" s="4"/>
      <c r="J1107" s="18"/>
      <c r="K1107" s="4"/>
      <c r="L1107" s="19"/>
      <c r="M1107" s="20"/>
    </row>
    <row r="1108">
      <c r="A1108" s="6"/>
      <c r="B1108" s="6"/>
      <c r="C1108" s="4"/>
      <c r="D1108" s="4"/>
      <c r="E1108" s="4"/>
      <c r="F1108" s="4"/>
      <c r="G1108" s="4"/>
      <c r="H1108" s="4"/>
      <c r="I1108" s="4"/>
      <c r="J1108" s="18"/>
      <c r="K1108" s="4"/>
      <c r="L1108" s="19"/>
      <c r="M1108" s="20"/>
    </row>
    <row r="1109">
      <c r="A1109" s="6"/>
      <c r="B1109" s="6"/>
      <c r="C1109" s="4"/>
      <c r="D1109" s="4"/>
      <c r="E1109" s="4"/>
      <c r="F1109" s="4"/>
      <c r="G1109" s="4"/>
      <c r="H1109" s="4"/>
      <c r="I1109" s="4"/>
      <c r="J1109" s="18"/>
      <c r="K1109" s="4"/>
      <c r="L1109" s="19"/>
      <c r="M1109" s="20"/>
    </row>
    <row r="1110">
      <c r="A1110" s="6"/>
      <c r="B1110" s="6"/>
      <c r="C1110" s="4"/>
      <c r="D1110" s="4"/>
      <c r="E1110" s="4"/>
      <c r="F1110" s="4"/>
      <c r="G1110" s="4"/>
      <c r="H1110" s="4"/>
      <c r="I1110" s="4"/>
      <c r="J1110" s="18"/>
      <c r="K1110" s="4"/>
      <c r="L1110" s="19"/>
      <c r="M1110" s="20"/>
    </row>
    <row r="1111">
      <c r="A1111" s="6"/>
      <c r="B1111" s="6"/>
      <c r="C1111" s="4"/>
      <c r="D1111" s="4"/>
      <c r="E1111" s="4"/>
      <c r="F1111" s="4"/>
      <c r="G1111" s="4"/>
      <c r="H1111" s="4"/>
      <c r="I1111" s="4"/>
      <c r="J1111" s="18"/>
      <c r="K1111" s="4"/>
      <c r="L1111" s="19"/>
      <c r="M1111" s="20"/>
    </row>
    <row r="1112">
      <c r="A1112" s="6"/>
      <c r="B1112" s="6"/>
      <c r="C1112" s="4"/>
      <c r="D1112" s="4"/>
      <c r="E1112" s="4"/>
      <c r="F1112" s="4"/>
      <c r="G1112" s="4"/>
      <c r="H1112" s="4"/>
      <c r="I1112" s="4"/>
      <c r="J1112" s="18"/>
      <c r="K1112" s="4"/>
      <c r="L1112" s="19"/>
      <c r="M1112" s="20"/>
    </row>
    <row r="1113">
      <c r="A1113" s="6"/>
      <c r="B1113" s="6"/>
      <c r="C1113" s="4"/>
      <c r="D1113" s="4"/>
      <c r="E1113" s="4"/>
      <c r="F1113" s="4"/>
      <c r="G1113" s="4"/>
      <c r="H1113" s="4"/>
      <c r="I1113" s="4"/>
      <c r="J1113" s="18"/>
      <c r="K1113" s="4"/>
      <c r="L1113" s="19"/>
      <c r="M1113" s="20"/>
    </row>
    <row r="1114">
      <c r="A1114" s="6"/>
      <c r="B1114" s="6"/>
      <c r="C1114" s="4"/>
      <c r="D1114" s="4"/>
      <c r="E1114" s="4"/>
      <c r="F1114" s="4"/>
      <c r="G1114" s="4"/>
      <c r="H1114" s="4"/>
      <c r="I1114" s="4"/>
      <c r="J1114" s="18"/>
      <c r="K1114" s="4"/>
      <c r="L1114" s="19"/>
      <c r="M1114" s="20"/>
    </row>
    <row r="1115">
      <c r="A1115" s="6"/>
      <c r="B1115" s="6"/>
      <c r="C1115" s="4"/>
      <c r="D1115" s="4"/>
      <c r="E1115" s="4"/>
      <c r="F1115" s="4"/>
      <c r="G1115" s="4"/>
      <c r="H1115" s="4"/>
      <c r="I1115" s="4"/>
      <c r="J1115" s="18"/>
      <c r="K1115" s="4"/>
      <c r="L1115" s="19"/>
      <c r="M1115" s="20"/>
    </row>
    <row r="1116">
      <c r="A1116" s="6"/>
      <c r="B1116" s="6"/>
      <c r="C1116" s="4"/>
      <c r="D1116" s="4"/>
      <c r="E1116" s="4"/>
      <c r="F1116" s="4"/>
      <c r="G1116" s="4"/>
      <c r="H1116" s="4"/>
      <c r="I1116" s="4"/>
      <c r="J1116" s="18"/>
      <c r="K1116" s="4"/>
      <c r="L1116" s="19"/>
      <c r="M1116" s="20"/>
    </row>
    <row r="1117">
      <c r="A1117" s="6"/>
      <c r="B1117" s="6"/>
      <c r="C1117" s="4"/>
      <c r="D1117" s="4"/>
      <c r="E1117" s="4"/>
      <c r="F1117" s="4"/>
      <c r="G1117" s="4"/>
      <c r="H1117" s="4"/>
      <c r="I1117" s="4"/>
      <c r="J1117" s="18"/>
      <c r="K1117" s="4"/>
      <c r="L1117" s="19"/>
      <c r="M1117" s="20"/>
    </row>
    <row r="1118">
      <c r="A1118" s="6"/>
      <c r="B1118" s="6"/>
      <c r="C1118" s="4"/>
      <c r="D1118" s="4"/>
      <c r="E1118" s="4"/>
      <c r="F1118" s="4"/>
      <c r="G1118" s="4"/>
      <c r="H1118" s="4"/>
      <c r="I1118" s="4"/>
      <c r="J1118" s="18"/>
      <c r="K1118" s="4"/>
      <c r="L1118" s="19"/>
      <c r="M1118" s="20"/>
    </row>
    <row r="1119">
      <c r="A1119" s="6"/>
      <c r="B1119" s="6"/>
      <c r="C1119" s="4"/>
      <c r="D1119" s="4"/>
      <c r="E1119" s="4"/>
      <c r="F1119" s="4"/>
      <c r="G1119" s="4"/>
      <c r="H1119" s="4"/>
      <c r="I1119" s="4"/>
      <c r="J1119" s="18"/>
      <c r="K1119" s="4"/>
      <c r="L1119" s="19"/>
      <c r="M1119" s="20"/>
    </row>
    <row r="1120">
      <c r="A1120" s="6"/>
      <c r="B1120" s="6"/>
      <c r="C1120" s="4"/>
      <c r="D1120" s="4"/>
      <c r="E1120" s="4"/>
      <c r="F1120" s="4"/>
      <c r="G1120" s="4"/>
      <c r="H1120" s="4"/>
      <c r="I1120" s="4"/>
      <c r="J1120" s="18"/>
      <c r="K1120" s="4"/>
      <c r="L1120" s="19"/>
      <c r="M1120" s="20"/>
    </row>
    <row r="1121">
      <c r="A1121" s="6"/>
      <c r="B1121" s="6"/>
      <c r="C1121" s="4"/>
      <c r="D1121" s="4"/>
      <c r="E1121" s="4"/>
      <c r="F1121" s="4"/>
      <c r="G1121" s="4"/>
      <c r="H1121" s="4"/>
      <c r="I1121" s="4"/>
      <c r="J1121" s="18"/>
      <c r="K1121" s="4"/>
      <c r="L1121" s="19"/>
      <c r="M1121" s="20"/>
    </row>
    <row r="1122">
      <c r="A1122" s="6"/>
      <c r="B1122" s="6"/>
      <c r="C1122" s="4"/>
      <c r="D1122" s="4"/>
      <c r="E1122" s="4"/>
      <c r="F1122" s="4"/>
      <c r="G1122" s="4"/>
      <c r="H1122" s="4"/>
      <c r="I1122" s="4"/>
      <c r="J1122" s="18"/>
      <c r="K1122" s="4"/>
      <c r="L1122" s="19"/>
      <c r="M1122" s="20"/>
    </row>
    <row r="1123">
      <c r="A1123" s="6"/>
      <c r="B1123" s="6"/>
      <c r="C1123" s="4"/>
      <c r="D1123" s="4"/>
      <c r="E1123" s="4"/>
      <c r="F1123" s="4"/>
      <c r="G1123" s="4"/>
      <c r="H1123" s="4"/>
      <c r="I1123" s="4"/>
      <c r="J1123" s="18"/>
      <c r="K1123" s="4"/>
      <c r="L1123" s="19"/>
      <c r="M1123" s="20"/>
    </row>
    <row r="1124">
      <c r="A1124" s="6"/>
      <c r="B1124" s="6"/>
      <c r="C1124" s="4"/>
      <c r="D1124" s="4"/>
      <c r="E1124" s="4"/>
      <c r="F1124" s="4"/>
      <c r="G1124" s="4"/>
      <c r="H1124" s="4"/>
      <c r="I1124" s="4"/>
      <c r="J1124" s="18"/>
      <c r="K1124" s="4"/>
      <c r="L1124" s="19"/>
      <c r="M1124" s="20"/>
    </row>
    <row r="1125">
      <c r="A1125" s="6"/>
      <c r="B1125" s="6"/>
      <c r="C1125" s="4"/>
      <c r="D1125" s="4"/>
      <c r="E1125" s="4"/>
      <c r="F1125" s="4"/>
      <c r="G1125" s="4"/>
      <c r="H1125" s="4"/>
      <c r="I1125" s="4"/>
      <c r="J1125" s="18"/>
      <c r="K1125" s="4"/>
      <c r="L1125" s="19"/>
      <c r="M1125" s="20"/>
    </row>
    <row r="1126">
      <c r="A1126" s="6"/>
      <c r="B1126" s="6"/>
      <c r="C1126" s="4"/>
      <c r="D1126" s="4"/>
      <c r="E1126" s="4"/>
      <c r="F1126" s="4"/>
      <c r="G1126" s="4"/>
      <c r="H1126" s="4"/>
      <c r="I1126" s="4"/>
      <c r="J1126" s="18"/>
      <c r="K1126" s="4"/>
      <c r="L1126" s="19"/>
      <c r="M1126" s="20"/>
    </row>
    <row r="1127">
      <c r="A1127" s="6"/>
      <c r="B1127" s="6"/>
      <c r="C1127" s="4"/>
      <c r="D1127" s="4"/>
      <c r="E1127" s="4"/>
      <c r="F1127" s="4"/>
      <c r="G1127" s="4"/>
      <c r="H1127" s="4"/>
      <c r="I1127" s="4"/>
      <c r="J1127" s="18"/>
      <c r="K1127" s="4"/>
      <c r="L1127" s="19"/>
      <c r="M1127" s="20"/>
    </row>
    <row r="1128">
      <c r="A1128" s="6"/>
      <c r="B1128" s="6"/>
      <c r="C1128" s="4"/>
      <c r="D1128" s="4"/>
      <c r="E1128" s="4"/>
      <c r="F1128" s="4"/>
      <c r="G1128" s="4"/>
      <c r="H1128" s="4"/>
      <c r="I1128" s="4"/>
      <c r="J1128" s="18"/>
      <c r="K1128" s="4"/>
      <c r="L1128" s="19"/>
      <c r="M1128" s="20"/>
    </row>
    <row r="1129">
      <c r="A1129" s="6"/>
      <c r="B1129" s="6"/>
      <c r="C1129" s="4"/>
      <c r="D1129" s="4"/>
      <c r="E1129" s="4"/>
      <c r="F1129" s="4"/>
      <c r="G1129" s="4"/>
      <c r="H1129" s="4"/>
      <c r="I1129" s="4"/>
      <c r="J1129" s="18"/>
      <c r="K1129" s="4"/>
      <c r="L1129" s="19"/>
      <c r="M1129" s="20"/>
    </row>
    <row r="1130">
      <c r="A1130" s="6"/>
      <c r="B1130" s="6"/>
      <c r="C1130" s="4"/>
      <c r="D1130" s="4"/>
      <c r="E1130" s="4"/>
      <c r="F1130" s="4"/>
      <c r="G1130" s="4"/>
      <c r="H1130" s="4"/>
      <c r="I1130" s="4"/>
      <c r="J1130" s="18"/>
      <c r="K1130" s="4"/>
      <c r="L1130" s="19"/>
      <c r="M1130" s="20"/>
    </row>
    <row r="1131">
      <c r="A1131" s="6"/>
      <c r="B1131" s="6"/>
      <c r="C1131" s="4"/>
      <c r="D1131" s="4"/>
      <c r="E1131" s="4"/>
      <c r="F1131" s="4"/>
      <c r="G1131" s="4"/>
      <c r="H1131" s="4"/>
      <c r="I1131" s="4"/>
      <c r="J1131" s="18"/>
      <c r="K1131" s="4"/>
      <c r="L1131" s="19"/>
      <c r="M1131" s="20"/>
    </row>
    <row r="1132">
      <c r="A1132" s="6"/>
      <c r="B1132" s="6"/>
      <c r="C1132" s="4"/>
      <c r="D1132" s="4"/>
      <c r="E1132" s="4"/>
      <c r="F1132" s="4"/>
      <c r="G1132" s="4"/>
      <c r="H1132" s="4"/>
      <c r="I1132" s="4"/>
      <c r="J1132" s="18"/>
      <c r="K1132" s="4"/>
      <c r="L1132" s="19"/>
      <c r="M1132" s="20"/>
    </row>
    <row r="1133">
      <c r="A1133" s="6"/>
      <c r="B1133" s="6"/>
      <c r="C1133" s="4"/>
      <c r="D1133" s="4"/>
      <c r="E1133" s="4"/>
      <c r="F1133" s="4"/>
      <c r="G1133" s="4"/>
      <c r="H1133" s="4"/>
      <c r="I1133" s="4"/>
      <c r="J1133" s="18"/>
      <c r="K1133" s="4"/>
      <c r="L1133" s="19"/>
      <c r="M1133" s="20"/>
    </row>
    <row r="1134">
      <c r="A1134" s="6"/>
      <c r="B1134" s="6"/>
      <c r="C1134" s="4"/>
      <c r="D1134" s="4"/>
      <c r="E1134" s="4"/>
      <c r="F1134" s="4"/>
      <c r="G1134" s="4"/>
      <c r="H1134" s="4"/>
      <c r="I1134" s="4"/>
      <c r="J1134" s="18"/>
      <c r="K1134" s="4"/>
      <c r="L1134" s="19"/>
      <c r="M1134" s="20"/>
    </row>
    <row r="1135">
      <c r="A1135" s="6"/>
      <c r="B1135" s="6"/>
      <c r="C1135" s="4"/>
      <c r="D1135" s="4"/>
      <c r="E1135" s="4"/>
      <c r="F1135" s="4"/>
      <c r="G1135" s="4"/>
      <c r="H1135" s="4"/>
      <c r="I1135" s="4"/>
      <c r="J1135" s="18"/>
      <c r="K1135" s="4"/>
      <c r="L1135" s="19"/>
      <c r="M1135" s="20"/>
    </row>
    <row r="1136">
      <c r="A1136" s="6"/>
      <c r="B1136" s="6"/>
      <c r="C1136" s="4"/>
      <c r="D1136" s="4"/>
      <c r="E1136" s="4"/>
      <c r="F1136" s="4"/>
      <c r="G1136" s="4"/>
      <c r="H1136" s="4"/>
      <c r="I1136" s="4"/>
      <c r="J1136" s="18"/>
      <c r="K1136" s="4"/>
      <c r="L1136" s="19"/>
      <c r="M1136" s="20"/>
    </row>
    <row r="1137">
      <c r="A1137" s="6"/>
      <c r="B1137" s="6"/>
      <c r="C1137" s="4"/>
      <c r="D1137" s="4"/>
      <c r="E1137" s="4"/>
      <c r="F1137" s="4"/>
      <c r="G1137" s="4"/>
      <c r="H1137" s="4"/>
      <c r="I1137" s="4"/>
      <c r="J1137" s="18"/>
      <c r="K1137" s="4"/>
      <c r="L1137" s="19"/>
      <c r="M1137" s="20"/>
    </row>
    <row r="1138">
      <c r="A1138" s="6"/>
      <c r="B1138" s="6"/>
      <c r="C1138" s="4"/>
      <c r="D1138" s="4"/>
      <c r="E1138" s="4"/>
      <c r="F1138" s="4"/>
      <c r="G1138" s="4"/>
      <c r="H1138" s="4"/>
      <c r="I1138" s="4"/>
      <c r="J1138" s="18"/>
      <c r="K1138" s="4"/>
      <c r="L1138" s="19"/>
      <c r="M1138" s="20"/>
    </row>
    <row r="1139">
      <c r="A1139" s="6"/>
      <c r="B1139" s="6"/>
      <c r="C1139" s="4"/>
      <c r="D1139" s="4"/>
      <c r="E1139" s="4"/>
      <c r="F1139" s="4"/>
      <c r="G1139" s="4"/>
      <c r="H1139" s="4"/>
      <c r="I1139" s="4"/>
      <c r="J1139" s="18"/>
      <c r="K1139" s="4"/>
      <c r="L1139" s="19"/>
      <c r="M1139" s="20"/>
    </row>
    <row r="1140">
      <c r="A1140" s="6"/>
      <c r="B1140" s="6"/>
      <c r="C1140" s="4"/>
      <c r="D1140" s="4"/>
      <c r="E1140" s="4"/>
      <c r="F1140" s="4"/>
      <c r="G1140" s="4"/>
      <c r="H1140" s="4"/>
      <c r="I1140" s="4"/>
      <c r="J1140" s="18"/>
      <c r="K1140" s="4"/>
      <c r="L1140" s="19"/>
      <c r="M1140" s="20"/>
    </row>
    <row r="1141">
      <c r="A1141" s="6"/>
      <c r="B1141" s="6"/>
      <c r="C1141" s="4"/>
      <c r="D1141" s="4"/>
      <c r="E1141" s="4"/>
      <c r="F1141" s="4"/>
      <c r="G1141" s="4"/>
      <c r="H1141" s="4"/>
      <c r="I1141" s="4"/>
      <c r="J1141" s="18"/>
      <c r="K1141" s="4"/>
      <c r="L1141" s="19"/>
      <c r="M1141" s="20"/>
    </row>
    <row r="1142">
      <c r="A1142" s="6"/>
      <c r="B1142" s="6"/>
      <c r="C1142" s="4"/>
      <c r="D1142" s="4"/>
      <c r="E1142" s="4"/>
      <c r="F1142" s="4"/>
      <c r="G1142" s="4"/>
      <c r="H1142" s="4"/>
      <c r="I1142" s="4"/>
      <c r="J1142" s="18"/>
      <c r="K1142" s="4"/>
      <c r="L1142" s="19"/>
      <c r="M1142" s="20"/>
    </row>
    <row r="1143">
      <c r="A1143" s="6"/>
      <c r="B1143" s="6"/>
      <c r="C1143" s="4"/>
      <c r="D1143" s="4"/>
      <c r="E1143" s="4"/>
      <c r="F1143" s="4"/>
      <c r="G1143" s="4"/>
      <c r="H1143" s="4"/>
      <c r="I1143" s="4"/>
      <c r="J1143" s="18"/>
      <c r="K1143" s="4"/>
      <c r="L1143" s="19"/>
      <c r="M1143" s="20"/>
    </row>
    <row r="1144">
      <c r="A1144" s="6"/>
      <c r="B1144" s="6"/>
      <c r="C1144" s="4"/>
      <c r="D1144" s="4"/>
      <c r="E1144" s="4"/>
      <c r="F1144" s="4"/>
      <c r="G1144" s="4"/>
      <c r="H1144" s="4"/>
      <c r="I1144" s="4"/>
      <c r="J1144" s="18"/>
      <c r="K1144" s="4"/>
      <c r="L1144" s="19"/>
      <c r="M1144" s="20"/>
    </row>
    <row r="1145">
      <c r="A1145" s="6"/>
      <c r="B1145" s="6"/>
      <c r="C1145" s="4"/>
      <c r="D1145" s="4"/>
      <c r="E1145" s="4"/>
      <c r="F1145" s="4"/>
      <c r="G1145" s="4"/>
      <c r="H1145" s="4"/>
      <c r="I1145" s="4"/>
      <c r="J1145" s="18"/>
      <c r="K1145" s="4"/>
      <c r="L1145" s="19"/>
      <c r="M1145" s="20"/>
    </row>
    <row r="1146">
      <c r="A1146" s="6"/>
      <c r="B1146" s="6"/>
      <c r="C1146" s="4"/>
      <c r="D1146" s="4"/>
      <c r="E1146" s="4"/>
      <c r="F1146" s="4"/>
      <c r="G1146" s="4"/>
      <c r="H1146" s="4"/>
      <c r="I1146" s="4"/>
      <c r="J1146" s="18"/>
      <c r="K1146" s="4"/>
      <c r="L1146" s="19"/>
      <c r="M1146" s="20"/>
    </row>
    <row r="1147">
      <c r="A1147" s="6"/>
      <c r="B1147" s="6"/>
      <c r="C1147" s="4"/>
      <c r="D1147" s="4"/>
      <c r="E1147" s="4"/>
      <c r="F1147" s="4"/>
      <c r="G1147" s="4"/>
      <c r="H1147" s="4"/>
      <c r="I1147" s="4"/>
      <c r="J1147" s="18"/>
      <c r="K1147" s="4"/>
      <c r="L1147" s="19"/>
      <c r="M1147" s="20"/>
    </row>
    <row r="1148">
      <c r="A1148" s="6"/>
      <c r="B1148" s="6"/>
      <c r="C1148" s="4"/>
      <c r="D1148" s="4"/>
      <c r="E1148" s="4"/>
      <c r="F1148" s="4"/>
      <c r="G1148" s="4"/>
      <c r="H1148" s="4"/>
      <c r="I1148" s="4"/>
      <c r="J1148" s="18"/>
      <c r="K1148" s="4"/>
      <c r="L1148" s="19"/>
      <c r="M1148" s="20"/>
    </row>
    <row r="1149">
      <c r="A1149" s="6"/>
      <c r="B1149" s="6"/>
      <c r="C1149" s="4"/>
      <c r="D1149" s="4"/>
      <c r="E1149" s="4"/>
      <c r="F1149" s="4"/>
      <c r="G1149" s="4"/>
      <c r="H1149" s="4"/>
      <c r="I1149" s="4"/>
      <c r="J1149" s="18"/>
      <c r="K1149" s="4"/>
      <c r="L1149" s="19"/>
      <c r="M1149" s="20"/>
    </row>
    <row r="1150">
      <c r="A1150" s="6"/>
      <c r="B1150" s="6"/>
      <c r="C1150" s="4"/>
      <c r="D1150" s="4"/>
      <c r="E1150" s="4"/>
      <c r="F1150" s="4"/>
      <c r="G1150" s="4"/>
      <c r="H1150" s="4"/>
      <c r="I1150" s="4"/>
      <c r="J1150" s="18"/>
      <c r="K1150" s="4"/>
      <c r="L1150" s="19"/>
      <c r="M1150" s="20"/>
    </row>
    <row r="1151">
      <c r="A1151" s="6"/>
      <c r="B1151" s="6"/>
      <c r="C1151" s="4"/>
      <c r="D1151" s="4"/>
      <c r="E1151" s="4"/>
      <c r="F1151" s="4"/>
      <c r="G1151" s="4"/>
      <c r="H1151" s="4"/>
      <c r="I1151" s="4"/>
      <c r="J1151" s="18"/>
      <c r="K1151" s="4"/>
      <c r="L1151" s="19"/>
      <c r="M1151" s="20"/>
    </row>
    <row r="1152">
      <c r="A1152" s="6"/>
      <c r="B1152" s="6"/>
      <c r="C1152" s="4"/>
      <c r="D1152" s="4"/>
      <c r="E1152" s="4"/>
      <c r="F1152" s="4"/>
      <c r="G1152" s="4"/>
      <c r="H1152" s="4"/>
      <c r="I1152" s="4"/>
      <c r="J1152" s="18"/>
      <c r="K1152" s="4"/>
      <c r="L1152" s="19"/>
      <c r="M1152" s="20"/>
    </row>
    <row r="1153">
      <c r="A1153" s="6"/>
      <c r="B1153" s="6"/>
      <c r="C1153" s="4"/>
      <c r="D1153" s="4"/>
      <c r="E1153" s="4"/>
      <c r="F1153" s="4"/>
      <c r="G1153" s="4"/>
      <c r="H1153" s="4"/>
      <c r="I1153" s="4"/>
      <c r="J1153" s="18"/>
      <c r="K1153" s="4"/>
      <c r="L1153" s="19"/>
      <c r="M1153" s="20"/>
    </row>
    <row r="1154">
      <c r="A1154" s="6"/>
      <c r="B1154" s="6"/>
      <c r="C1154" s="4"/>
      <c r="D1154" s="4"/>
      <c r="E1154" s="4"/>
      <c r="F1154" s="4"/>
      <c r="G1154" s="4"/>
      <c r="H1154" s="4"/>
      <c r="I1154" s="4"/>
      <c r="J1154" s="18"/>
      <c r="K1154" s="4"/>
      <c r="L1154" s="19"/>
      <c r="M1154" s="20"/>
    </row>
    <row r="1155">
      <c r="A1155" s="6"/>
      <c r="B1155" s="6"/>
      <c r="C1155" s="4"/>
      <c r="D1155" s="4"/>
      <c r="E1155" s="4"/>
      <c r="F1155" s="4"/>
      <c r="G1155" s="4"/>
      <c r="H1155" s="4"/>
      <c r="I1155" s="4"/>
      <c r="J1155" s="18"/>
      <c r="K1155" s="4"/>
      <c r="L1155" s="19"/>
      <c r="M1155" s="20"/>
    </row>
    <row r="1156">
      <c r="A1156" s="6"/>
      <c r="B1156" s="6"/>
      <c r="C1156" s="4"/>
      <c r="D1156" s="4"/>
      <c r="E1156" s="4"/>
      <c r="F1156" s="4"/>
      <c r="G1156" s="4"/>
      <c r="H1156" s="4"/>
      <c r="I1156" s="4"/>
      <c r="J1156" s="18"/>
      <c r="K1156" s="4"/>
      <c r="L1156" s="19"/>
      <c r="M1156" s="20"/>
    </row>
    <row r="1157">
      <c r="A1157" s="6"/>
      <c r="B1157" s="6"/>
      <c r="C1157" s="4"/>
      <c r="D1157" s="4"/>
      <c r="E1157" s="4"/>
      <c r="F1157" s="4"/>
      <c r="G1157" s="4"/>
      <c r="H1157" s="4"/>
      <c r="I1157" s="4"/>
      <c r="J1157" s="18"/>
      <c r="K1157" s="4"/>
      <c r="L1157" s="19"/>
      <c r="M1157" s="20"/>
    </row>
    <row r="1158">
      <c r="A1158" s="6"/>
      <c r="B1158" s="6"/>
      <c r="C1158" s="4"/>
      <c r="D1158" s="4"/>
      <c r="E1158" s="4"/>
      <c r="F1158" s="4"/>
      <c r="G1158" s="4"/>
      <c r="H1158" s="4"/>
      <c r="I1158" s="4"/>
      <c r="J1158" s="18"/>
      <c r="K1158" s="4"/>
      <c r="L1158" s="19"/>
      <c r="M1158" s="20"/>
    </row>
    <row r="1159">
      <c r="A1159" s="6"/>
      <c r="B1159" s="6"/>
      <c r="C1159" s="4"/>
      <c r="D1159" s="4"/>
      <c r="E1159" s="4"/>
      <c r="F1159" s="4"/>
      <c r="G1159" s="4"/>
      <c r="H1159" s="4"/>
      <c r="I1159" s="4"/>
      <c r="J1159" s="18"/>
      <c r="K1159" s="4"/>
      <c r="L1159" s="19"/>
      <c r="M1159" s="20"/>
    </row>
    <row r="1160">
      <c r="A1160" s="6"/>
      <c r="B1160" s="6"/>
      <c r="C1160" s="4"/>
      <c r="D1160" s="4"/>
      <c r="E1160" s="4"/>
      <c r="F1160" s="4"/>
      <c r="G1160" s="4"/>
      <c r="H1160" s="4"/>
      <c r="I1160" s="4"/>
      <c r="J1160" s="18"/>
      <c r="K1160" s="4"/>
      <c r="L1160" s="19"/>
      <c r="M1160" s="20"/>
    </row>
    <row r="1161">
      <c r="A1161" s="6"/>
      <c r="B1161" s="6"/>
      <c r="C1161" s="4"/>
      <c r="D1161" s="4"/>
      <c r="E1161" s="4"/>
      <c r="F1161" s="4"/>
      <c r="G1161" s="4"/>
      <c r="H1161" s="4"/>
      <c r="I1161" s="4"/>
      <c r="J1161" s="18"/>
      <c r="K1161" s="4"/>
      <c r="L1161" s="19"/>
      <c r="M1161" s="20"/>
    </row>
    <row r="1162">
      <c r="A1162" s="6"/>
      <c r="B1162" s="6"/>
      <c r="C1162" s="4"/>
      <c r="D1162" s="4"/>
      <c r="E1162" s="4"/>
      <c r="F1162" s="4"/>
      <c r="G1162" s="4"/>
      <c r="H1162" s="4"/>
      <c r="I1162" s="4"/>
      <c r="J1162" s="18"/>
      <c r="K1162" s="4"/>
      <c r="L1162" s="19"/>
      <c r="M1162" s="20"/>
    </row>
    <row r="1163">
      <c r="A1163" s="6"/>
      <c r="B1163" s="6"/>
      <c r="C1163" s="4"/>
      <c r="D1163" s="4"/>
      <c r="E1163" s="4"/>
      <c r="F1163" s="4"/>
      <c r="G1163" s="4"/>
      <c r="H1163" s="4"/>
      <c r="I1163" s="4"/>
      <c r="J1163" s="18"/>
      <c r="K1163" s="4"/>
      <c r="L1163" s="19"/>
      <c r="M1163" s="20"/>
    </row>
    <row r="1164">
      <c r="A1164" s="6"/>
      <c r="B1164" s="6"/>
      <c r="C1164" s="4"/>
      <c r="D1164" s="4"/>
      <c r="E1164" s="4"/>
      <c r="F1164" s="4"/>
      <c r="G1164" s="4"/>
      <c r="H1164" s="4"/>
      <c r="I1164" s="4"/>
      <c r="J1164" s="18"/>
      <c r="K1164" s="4"/>
      <c r="L1164" s="19"/>
      <c r="M1164" s="20"/>
    </row>
    <row r="1165">
      <c r="A1165" s="6"/>
      <c r="B1165" s="6"/>
      <c r="C1165" s="4"/>
      <c r="D1165" s="4"/>
      <c r="E1165" s="4"/>
      <c r="F1165" s="4"/>
      <c r="G1165" s="4"/>
      <c r="H1165" s="4"/>
      <c r="I1165" s="4"/>
      <c r="J1165" s="18"/>
      <c r="K1165" s="4"/>
      <c r="L1165" s="19"/>
      <c r="M1165" s="20"/>
    </row>
    <row r="1166">
      <c r="A1166" s="6"/>
      <c r="B1166" s="6"/>
      <c r="C1166" s="4"/>
      <c r="D1166" s="4"/>
      <c r="E1166" s="4"/>
      <c r="F1166" s="4"/>
      <c r="G1166" s="4"/>
      <c r="H1166" s="4"/>
      <c r="I1166" s="4"/>
      <c r="J1166" s="18"/>
      <c r="K1166" s="4"/>
      <c r="L1166" s="19"/>
      <c r="M1166" s="20"/>
    </row>
    <row r="1167">
      <c r="A1167" s="6"/>
      <c r="B1167" s="6"/>
      <c r="C1167" s="4"/>
      <c r="D1167" s="4"/>
      <c r="E1167" s="4"/>
      <c r="F1167" s="4"/>
      <c r="G1167" s="4"/>
      <c r="H1167" s="4"/>
      <c r="I1167" s="4"/>
      <c r="J1167" s="18"/>
      <c r="K1167" s="4"/>
      <c r="L1167" s="19"/>
      <c r="M1167" s="20"/>
    </row>
    <row r="1168">
      <c r="A1168" s="6"/>
      <c r="B1168" s="6"/>
      <c r="C1168" s="4"/>
      <c r="D1168" s="4"/>
      <c r="E1168" s="4"/>
      <c r="F1168" s="4"/>
      <c r="G1168" s="4"/>
      <c r="H1168" s="4"/>
      <c r="I1168" s="4"/>
      <c r="J1168" s="18"/>
      <c r="K1168" s="4"/>
      <c r="L1168" s="19"/>
      <c r="M1168" s="20"/>
    </row>
    <row r="1169">
      <c r="A1169" s="6"/>
      <c r="B1169" s="6"/>
      <c r="C1169" s="4"/>
      <c r="D1169" s="4"/>
      <c r="E1169" s="4"/>
      <c r="F1169" s="4"/>
      <c r="G1169" s="4"/>
      <c r="H1169" s="4"/>
      <c r="I1169" s="4"/>
      <c r="J1169" s="18"/>
      <c r="K1169" s="4"/>
      <c r="L1169" s="19"/>
      <c r="M1169" s="20"/>
    </row>
    <row r="1170">
      <c r="A1170" s="6"/>
      <c r="B1170" s="6"/>
      <c r="C1170" s="4"/>
      <c r="D1170" s="4"/>
      <c r="E1170" s="4"/>
      <c r="F1170" s="4"/>
      <c r="G1170" s="4"/>
      <c r="H1170" s="4"/>
      <c r="I1170" s="4"/>
      <c r="J1170" s="18"/>
      <c r="K1170" s="4"/>
      <c r="L1170" s="19"/>
      <c r="M1170" s="20"/>
    </row>
    <row r="1171">
      <c r="A1171" s="6"/>
      <c r="B1171" s="6"/>
      <c r="C1171" s="4"/>
      <c r="D1171" s="4"/>
      <c r="E1171" s="4"/>
      <c r="F1171" s="4"/>
      <c r="G1171" s="4"/>
      <c r="H1171" s="4"/>
      <c r="I1171" s="4"/>
      <c r="J1171" s="18"/>
      <c r="K1171" s="4"/>
      <c r="L1171" s="19"/>
      <c r="M1171" s="20"/>
    </row>
    <row r="1172">
      <c r="A1172" s="6"/>
      <c r="B1172" s="6"/>
      <c r="C1172" s="4"/>
      <c r="D1172" s="4"/>
      <c r="E1172" s="4"/>
      <c r="F1172" s="4"/>
      <c r="G1172" s="4"/>
      <c r="H1172" s="4"/>
      <c r="I1172" s="4"/>
      <c r="J1172" s="18"/>
      <c r="K1172" s="4"/>
      <c r="L1172" s="19"/>
      <c r="M1172" s="20"/>
    </row>
    <row r="1173">
      <c r="A1173" s="6"/>
      <c r="B1173" s="6"/>
      <c r="C1173" s="4"/>
      <c r="D1173" s="4"/>
      <c r="E1173" s="4"/>
      <c r="F1173" s="4"/>
      <c r="G1173" s="4"/>
      <c r="H1173" s="4"/>
      <c r="I1173" s="4"/>
      <c r="J1173" s="18"/>
      <c r="K1173" s="4"/>
      <c r="L1173" s="19"/>
      <c r="M1173" s="20"/>
    </row>
    <row r="1174">
      <c r="A1174" s="6"/>
      <c r="B1174" s="6"/>
      <c r="C1174" s="4"/>
      <c r="D1174" s="4"/>
      <c r="E1174" s="4"/>
      <c r="F1174" s="4"/>
      <c r="G1174" s="4"/>
      <c r="H1174" s="4"/>
      <c r="I1174" s="4"/>
      <c r="J1174" s="18"/>
      <c r="K1174" s="4"/>
      <c r="L1174" s="19"/>
      <c r="M1174" s="20"/>
    </row>
    <row r="1175">
      <c r="A1175" s="6"/>
      <c r="B1175" s="6"/>
      <c r="C1175" s="4"/>
      <c r="D1175" s="4"/>
      <c r="E1175" s="4"/>
      <c r="F1175" s="4"/>
      <c r="G1175" s="4"/>
      <c r="H1175" s="4"/>
      <c r="I1175" s="4"/>
      <c r="J1175" s="18"/>
      <c r="K1175" s="4"/>
      <c r="L1175" s="19"/>
      <c r="M1175" s="20"/>
    </row>
    <row r="1176">
      <c r="A1176" s="6"/>
      <c r="B1176" s="6"/>
      <c r="C1176" s="4"/>
      <c r="D1176" s="4"/>
      <c r="E1176" s="4"/>
      <c r="F1176" s="4"/>
      <c r="G1176" s="4"/>
      <c r="H1176" s="4"/>
      <c r="I1176" s="4"/>
      <c r="J1176" s="18"/>
      <c r="K1176" s="4"/>
      <c r="L1176" s="19"/>
      <c r="M1176" s="20"/>
    </row>
    <row r="1177">
      <c r="A1177" s="6"/>
      <c r="B1177" s="6"/>
      <c r="C1177" s="4"/>
      <c r="D1177" s="4"/>
      <c r="E1177" s="4"/>
      <c r="F1177" s="4"/>
      <c r="G1177" s="4"/>
      <c r="H1177" s="4"/>
      <c r="I1177" s="4"/>
      <c r="J1177" s="18"/>
      <c r="K1177" s="4"/>
      <c r="L1177" s="19"/>
      <c r="M1177" s="20"/>
    </row>
    <row r="1178">
      <c r="A1178" s="6"/>
      <c r="B1178" s="6"/>
      <c r="C1178" s="4"/>
      <c r="D1178" s="4"/>
      <c r="E1178" s="4"/>
      <c r="F1178" s="4"/>
      <c r="G1178" s="4"/>
      <c r="H1178" s="4"/>
      <c r="I1178" s="4"/>
      <c r="J1178" s="18"/>
      <c r="K1178" s="4"/>
      <c r="L1178" s="19"/>
      <c r="M1178" s="20"/>
    </row>
    <row r="1179">
      <c r="A1179" s="6"/>
      <c r="B1179" s="6"/>
      <c r="C1179" s="4"/>
      <c r="D1179" s="4"/>
      <c r="E1179" s="4"/>
      <c r="F1179" s="4"/>
      <c r="G1179" s="4"/>
      <c r="H1179" s="4"/>
      <c r="I1179" s="4"/>
      <c r="J1179" s="18"/>
      <c r="K1179" s="4"/>
      <c r="L1179" s="19"/>
      <c r="M1179" s="20"/>
    </row>
    <row r="1180">
      <c r="A1180" s="6"/>
      <c r="B1180" s="6"/>
      <c r="C1180" s="4"/>
      <c r="D1180" s="4"/>
      <c r="E1180" s="4"/>
      <c r="F1180" s="4"/>
      <c r="G1180" s="4"/>
      <c r="H1180" s="4"/>
      <c r="I1180" s="4"/>
      <c r="J1180" s="18"/>
      <c r="K1180" s="4"/>
      <c r="L1180" s="19"/>
      <c r="M1180" s="20"/>
    </row>
    <row r="1181">
      <c r="A1181" s="6"/>
      <c r="B1181" s="6"/>
      <c r="C1181" s="4"/>
      <c r="D1181" s="4"/>
      <c r="E1181" s="4"/>
      <c r="F1181" s="4"/>
      <c r="G1181" s="4"/>
      <c r="H1181" s="4"/>
      <c r="I1181" s="4"/>
      <c r="J1181" s="18"/>
      <c r="K1181" s="4"/>
      <c r="L1181" s="19"/>
      <c r="M1181" s="20"/>
    </row>
    <row r="1182">
      <c r="A1182" s="6"/>
      <c r="B1182" s="6"/>
      <c r="C1182" s="4"/>
      <c r="D1182" s="4"/>
      <c r="E1182" s="4"/>
      <c r="F1182" s="4"/>
      <c r="G1182" s="4"/>
      <c r="H1182" s="4"/>
      <c r="I1182" s="4"/>
      <c r="J1182" s="18"/>
      <c r="K1182" s="4"/>
      <c r="L1182" s="19"/>
      <c r="M1182" s="20"/>
    </row>
    <row r="1183">
      <c r="A1183" s="6"/>
      <c r="B1183" s="6"/>
      <c r="C1183" s="4"/>
      <c r="D1183" s="4"/>
      <c r="E1183" s="4"/>
      <c r="F1183" s="4"/>
      <c r="G1183" s="4"/>
      <c r="H1183" s="4"/>
      <c r="I1183" s="4"/>
      <c r="J1183" s="18"/>
      <c r="K1183" s="4"/>
      <c r="L1183" s="19"/>
      <c r="M1183" s="20"/>
    </row>
    <row r="1184">
      <c r="A1184" s="6"/>
      <c r="B1184" s="6"/>
      <c r="C1184" s="4"/>
      <c r="D1184" s="4"/>
      <c r="E1184" s="4"/>
      <c r="F1184" s="4"/>
      <c r="G1184" s="4"/>
      <c r="H1184" s="4"/>
      <c r="I1184" s="4"/>
      <c r="J1184" s="18"/>
      <c r="K1184" s="4"/>
      <c r="L1184" s="19"/>
      <c r="M1184" s="20"/>
    </row>
    <row r="1185">
      <c r="A1185" s="6"/>
      <c r="B1185" s="6"/>
      <c r="C1185" s="4"/>
      <c r="D1185" s="4"/>
      <c r="E1185" s="4"/>
      <c r="F1185" s="4"/>
      <c r="G1185" s="4"/>
      <c r="H1185" s="4"/>
      <c r="I1185" s="4"/>
      <c r="J1185" s="18"/>
      <c r="K1185" s="4"/>
      <c r="L1185" s="19"/>
      <c r="M1185" s="20"/>
    </row>
    <row r="1186">
      <c r="A1186" s="6"/>
      <c r="B1186" s="6"/>
      <c r="C1186" s="4"/>
      <c r="D1186" s="4"/>
      <c r="E1186" s="4"/>
      <c r="F1186" s="4"/>
      <c r="G1186" s="4"/>
      <c r="H1186" s="4"/>
      <c r="I1186" s="4"/>
      <c r="J1186" s="18"/>
      <c r="K1186" s="4"/>
      <c r="L1186" s="19"/>
      <c r="M1186" s="20"/>
    </row>
    <row r="1187">
      <c r="A1187" s="6"/>
      <c r="B1187" s="6"/>
      <c r="C1187" s="4"/>
      <c r="D1187" s="4"/>
      <c r="E1187" s="4"/>
      <c r="F1187" s="4"/>
      <c r="G1187" s="4"/>
      <c r="H1187" s="4"/>
      <c r="I1187" s="4"/>
      <c r="J1187" s="18"/>
      <c r="K1187" s="4"/>
      <c r="L1187" s="19"/>
      <c r="M1187" s="20"/>
    </row>
    <row r="1188">
      <c r="A1188" s="6"/>
      <c r="B1188" s="6"/>
      <c r="C1188" s="4"/>
      <c r="D1188" s="4"/>
      <c r="E1188" s="4"/>
      <c r="F1188" s="4"/>
      <c r="G1188" s="4"/>
      <c r="H1188" s="4"/>
      <c r="I1188" s="4"/>
      <c r="J1188" s="18"/>
      <c r="K1188" s="4"/>
      <c r="L1188" s="19"/>
      <c r="M1188" s="20"/>
    </row>
    <row r="1189">
      <c r="A1189" s="6"/>
      <c r="B1189" s="6"/>
      <c r="C1189" s="4"/>
      <c r="D1189" s="4"/>
      <c r="E1189" s="4"/>
      <c r="F1189" s="4"/>
      <c r="G1189" s="4"/>
      <c r="H1189" s="4"/>
      <c r="I1189" s="4"/>
      <c r="J1189" s="18"/>
      <c r="K1189" s="4"/>
      <c r="L1189" s="19"/>
      <c r="M1189" s="20"/>
    </row>
    <row r="1190">
      <c r="A1190" s="6"/>
      <c r="B1190" s="6"/>
      <c r="C1190" s="4"/>
      <c r="D1190" s="4"/>
      <c r="E1190" s="4"/>
      <c r="F1190" s="4"/>
      <c r="G1190" s="4"/>
      <c r="H1190" s="4"/>
      <c r="I1190" s="4"/>
      <c r="J1190" s="18"/>
      <c r="K1190" s="4"/>
      <c r="L1190" s="19"/>
      <c r="M1190" s="20"/>
    </row>
    <row r="1191">
      <c r="A1191" s="6"/>
      <c r="B1191" s="6"/>
      <c r="C1191" s="4"/>
      <c r="D1191" s="4"/>
      <c r="E1191" s="4"/>
      <c r="F1191" s="4"/>
      <c r="G1191" s="4"/>
      <c r="H1191" s="4"/>
      <c r="I1191" s="4"/>
      <c r="J1191" s="18"/>
      <c r="K1191" s="4"/>
      <c r="L1191" s="19"/>
      <c r="M1191" s="20"/>
    </row>
    <row r="1192">
      <c r="A1192" s="6"/>
      <c r="B1192" s="6"/>
      <c r="C1192" s="4"/>
      <c r="D1192" s="4"/>
      <c r="E1192" s="4"/>
      <c r="F1192" s="4"/>
      <c r="G1192" s="4"/>
      <c r="H1192" s="4"/>
      <c r="I1192" s="4"/>
      <c r="J1192" s="18"/>
      <c r="K1192" s="4"/>
      <c r="L1192" s="19"/>
      <c r="M1192" s="20"/>
    </row>
    <row r="1193">
      <c r="A1193" s="6"/>
      <c r="B1193" s="6"/>
      <c r="C1193" s="4"/>
      <c r="D1193" s="4"/>
      <c r="E1193" s="4"/>
      <c r="F1193" s="4"/>
      <c r="G1193" s="4"/>
      <c r="H1193" s="4"/>
      <c r="I1193" s="4"/>
      <c r="J1193" s="18"/>
      <c r="K1193" s="4"/>
      <c r="L1193" s="19"/>
      <c r="M1193" s="20"/>
    </row>
    <row r="1194">
      <c r="A1194" s="6"/>
      <c r="B1194" s="6"/>
      <c r="C1194" s="4"/>
      <c r="D1194" s="4"/>
      <c r="E1194" s="4"/>
      <c r="F1194" s="4"/>
      <c r="G1194" s="4"/>
      <c r="H1194" s="4"/>
      <c r="I1194" s="4"/>
      <c r="J1194" s="18"/>
      <c r="K1194" s="4"/>
      <c r="L1194" s="19"/>
      <c r="M1194" s="20"/>
    </row>
    <row r="1195">
      <c r="A1195" s="6"/>
      <c r="B1195" s="6"/>
      <c r="C1195" s="4"/>
      <c r="D1195" s="4"/>
      <c r="E1195" s="4"/>
      <c r="F1195" s="4"/>
      <c r="G1195" s="4"/>
      <c r="H1195" s="4"/>
      <c r="I1195" s="4"/>
      <c r="J1195" s="18"/>
      <c r="K1195" s="4"/>
      <c r="L1195" s="19"/>
      <c r="M1195" s="20"/>
    </row>
    <row r="1196">
      <c r="A1196" s="6"/>
      <c r="B1196" s="6"/>
      <c r="C1196" s="4"/>
      <c r="D1196" s="4"/>
      <c r="E1196" s="4"/>
      <c r="F1196" s="4"/>
      <c r="G1196" s="4"/>
      <c r="H1196" s="4"/>
      <c r="I1196" s="4"/>
      <c r="J1196" s="18"/>
      <c r="K1196" s="4"/>
      <c r="L1196" s="19"/>
      <c r="M1196" s="20"/>
    </row>
    <row r="1197">
      <c r="A1197" s="6"/>
      <c r="B1197" s="6"/>
      <c r="C1197" s="4"/>
      <c r="D1197" s="4"/>
      <c r="E1197" s="4"/>
      <c r="F1197" s="4"/>
      <c r="G1197" s="4"/>
      <c r="H1197" s="4"/>
      <c r="I1197" s="4"/>
      <c r="J1197" s="18"/>
      <c r="K1197" s="4"/>
      <c r="L1197" s="19"/>
      <c r="M1197" s="20"/>
    </row>
    <row r="1198">
      <c r="A1198" s="6"/>
      <c r="B1198" s="6"/>
      <c r="C1198" s="4"/>
      <c r="D1198" s="4"/>
      <c r="E1198" s="4"/>
      <c r="F1198" s="4"/>
      <c r="G1198" s="4"/>
      <c r="H1198" s="4"/>
      <c r="I1198" s="4"/>
      <c r="J1198" s="18"/>
      <c r="K1198" s="4"/>
      <c r="L1198" s="19"/>
      <c r="M1198" s="20"/>
    </row>
    <row r="1199">
      <c r="A1199" s="6"/>
      <c r="B1199" s="6"/>
      <c r="C1199" s="4"/>
      <c r="D1199" s="4"/>
      <c r="E1199" s="4"/>
      <c r="F1199" s="4"/>
      <c r="G1199" s="4"/>
      <c r="H1199" s="4"/>
      <c r="I1199" s="4"/>
      <c r="J1199" s="18"/>
      <c r="K1199" s="4"/>
      <c r="L1199" s="19"/>
      <c r="M1199" s="20"/>
    </row>
    <row r="1200">
      <c r="A1200" s="6"/>
      <c r="B1200" s="6"/>
      <c r="C1200" s="4"/>
      <c r="D1200" s="4"/>
      <c r="E1200" s="4"/>
      <c r="F1200" s="4"/>
      <c r="G1200" s="4"/>
      <c r="H1200" s="4"/>
      <c r="I1200" s="4"/>
      <c r="J1200" s="18"/>
      <c r="K1200" s="4"/>
      <c r="L1200" s="19"/>
      <c r="M1200" s="20"/>
    </row>
    <row r="1201">
      <c r="A1201" s="6"/>
      <c r="B1201" s="6"/>
      <c r="C1201" s="4"/>
      <c r="D1201" s="4"/>
      <c r="E1201" s="4"/>
      <c r="F1201" s="4"/>
      <c r="G1201" s="4"/>
      <c r="H1201" s="4"/>
      <c r="I1201" s="4"/>
      <c r="J1201" s="18"/>
      <c r="K1201" s="4"/>
      <c r="L1201" s="19"/>
      <c r="M1201" s="20"/>
    </row>
    <row r="1202">
      <c r="A1202" s="6"/>
      <c r="B1202" s="6"/>
      <c r="C1202" s="4"/>
      <c r="D1202" s="4"/>
      <c r="E1202" s="4"/>
      <c r="F1202" s="4"/>
      <c r="G1202" s="4"/>
      <c r="H1202" s="4"/>
      <c r="I1202" s="4"/>
      <c r="J1202" s="18"/>
      <c r="K1202" s="4"/>
      <c r="L1202" s="19"/>
      <c r="M1202" s="20"/>
    </row>
    <row r="1203">
      <c r="A1203" s="6"/>
      <c r="B1203" s="6"/>
      <c r="C1203" s="4"/>
      <c r="D1203" s="4"/>
      <c r="E1203" s="4"/>
      <c r="F1203" s="4"/>
      <c r="G1203" s="4"/>
      <c r="H1203" s="4"/>
      <c r="I1203" s="4"/>
      <c r="J1203" s="18"/>
      <c r="K1203" s="4"/>
      <c r="L1203" s="19"/>
      <c r="M1203" s="20"/>
    </row>
    <row r="1204">
      <c r="A1204" s="6"/>
      <c r="B1204" s="6"/>
      <c r="C1204" s="4"/>
      <c r="D1204" s="4"/>
      <c r="E1204" s="4"/>
      <c r="F1204" s="4"/>
      <c r="G1204" s="4"/>
      <c r="H1204" s="4"/>
      <c r="I1204" s="4"/>
      <c r="J1204" s="18"/>
      <c r="K1204" s="4"/>
      <c r="L1204" s="19"/>
      <c r="M1204" s="20"/>
    </row>
    <row r="1205">
      <c r="A1205" s="6"/>
      <c r="B1205" s="6"/>
      <c r="C1205" s="4"/>
      <c r="D1205" s="4"/>
      <c r="E1205" s="4"/>
      <c r="F1205" s="4"/>
      <c r="G1205" s="4"/>
      <c r="H1205" s="4"/>
      <c r="I1205" s="4"/>
      <c r="J1205" s="18"/>
      <c r="K1205" s="4"/>
      <c r="L1205" s="19"/>
      <c r="M1205" s="20"/>
    </row>
    <row r="1206">
      <c r="A1206" s="6"/>
      <c r="B1206" s="6"/>
      <c r="C1206" s="4"/>
      <c r="D1206" s="4"/>
      <c r="E1206" s="4"/>
      <c r="F1206" s="4"/>
      <c r="G1206" s="4"/>
      <c r="H1206" s="4"/>
      <c r="I1206" s="4"/>
      <c r="J1206" s="18"/>
      <c r="K1206" s="4"/>
      <c r="L1206" s="19"/>
      <c r="M1206" s="20"/>
    </row>
    <row r="1207">
      <c r="A1207" s="6"/>
      <c r="B1207" s="6"/>
      <c r="C1207" s="4"/>
      <c r="D1207" s="4"/>
      <c r="E1207" s="4"/>
      <c r="F1207" s="4"/>
      <c r="G1207" s="4"/>
      <c r="H1207" s="4"/>
      <c r="I1207" s="4"/>
      <c r="J1207" s="18"/>
      <c r="K1207" s="4"/>
      <c r="L1207" s="19"/>
      <c r="M1207" s="20"/>
    </row>
    <row r="1208">
      <c r="A1208" s="6"/>
      <c r="B1208" s="6"/>
      <c r="C1208" s="4"/>
      <c r="D1208" s="4"/>
      <c r="E1208" s="4"/>
      <c r="F1208" s="4"/>
      <c r="G1208" s="4"/>
      <c r="H1208" s="4"/>
      <c r="I1208" s="4"/>
      <c r="J1208" s="18"/>
      <c r="K1208" s="4"/>
      <c r="L1208" s="19"/>
      <c r="M1208" s="20"/>
    </row>
    <row r="1209">
      <c r="A1209" s="6"/>
      <c r="B1209" s="6"/>
      <c r="C1209" s="4"/>
      <c r="D1209" s="4"/>
      <c r="E1209" s="4"/>
      <c r="F1209" s="4"/>
      <c r="G1209" s="4"/>
      <c r="H1209" s="4"/>
      <c r="I1209" s="4"/>
      <c r="J1209" s="18"/>
      <c r="K1209" s="4"/>
      <c r="L1209" s="19"/>
      <c r="M1209" s="20"/>
    </row>
    <row r="1210">
      <c r="A1210" s="6"/>
      <c r="B1210" s="6"/>
      <c r="C1210" s="4"/>
      <c r="D1210" s="4"/>
      <c r="E1210" s="4"/>
      <c r="F1210" s="4"/>
      <c r="G1210" s="4"/>
      <c r="H1210" s="4"/>
      <c r="I1210" s="4"/>
      <c r="J1210" s="18"/>
      <c r="K1210" s="4"/>
      <c r="L1210" s="19"/>
      <c r="M1210" s="20"/>
    </row>
    <row r="1211">
      <c r="A1211" s="6"/>
      <c r="B1211" s="6"/>
      <c r="C1211" s="4"/>
      <c r="D1211" s="4"/>
      <c r="E1211" s="4"/>
      <c r="F1211" s="4"/>
      <c r="G1211" s="4"/>
      <c r="H1211" s="4"/>
      <c r="I1211" s="4"/>
      <c r="J1211" s="18"/>
      <c r="K1211" s="4"/>
      <c r="L1211" s="19"/>
      <c r="M1211" s="20"/>
    </row>
    <row r="1212">
      <c r="A1212" s="6"/>
      <c r="B1212" s="6"/>
      <c r="C1212" s="4"/>
      <c r="D1212" s="4"/>
      <c r="E1212" s="4"/>
      <c r="F1212" s="4"/>
      <c r="G1212" s="4"/>
      <c r="H1212" s="4"/>
      <c r="I1212" s="4"/>
      <c r="J1212" s="18"/>
      <c r="K1212" s="4"/>
      <c r="L1212" s="19"/>
      <c r="M1212" s="20"/>
    </row>
    <row r="1213">
      <c r="A1213" s="6"/>
      <c r="B1213" s="6"/>
      <c r="C1213" s="4"/>
      <c r="D1213" s="4"/>
      <c r="E1213" s="4"/>
      <c r="F1213" s="4"/>
      <c r="G1213" s="4"/>
      <c r="H1213" s="4"/>
      <c r="I1213" s="4"/>
      <c r="J1213" s="18"/>
      <c r="K1213" s="4"/>
      <c r="L1213" s="19"/>
      <c r="M1213" s="20"/>
    </row>
    <row r="1214">
      <c r="A1214" s="6"/>
      <c r="B1214" s="6"/>
      <c r="C1214" s="4"/>
      <c r="D1214" s="4"/>
      <c r="E1214" s="4"/>
      <c r="F1214" s="4"/>
      <c r="G1214" s="4"/>
      <c r="H1214" s="4"/>
      <c r="I1214" s="4"/>
      <c r="J1214" s="18"/>
      <c r="K1214" s="4"/>
      <c r="L1214" s="19"/>
      <c r="M1214" s="20"/>
    </row>
    <row r="1215">
      <c r="A1215" s="6"/>
      <c r="B1215" s="6"/>
      <c r="C1215" s="4"/>
      <c r="D1215" s="4"/>
      <c r="E1215" s="4"/>
      <c r="F1215" s="4"/>
      <c r="G1215" s="4"/>
      <c r="H1215" s="4"/>
      <c r="I1215" s="4"/>
      <c r="J1215" s="18"/>
      <c r="K1215" s="4"/>
      <c r="L1215" s="19"/>
      <c r="M1215" s="20"/>
    </row>
    <row r="1216">
      <c r="A1216" s="6"/>
      <c r="B1216" s="6"/>
      <c r="C1216" s="4"/>
      <c r="D1216" s="4"/>
      <c r="E1216" s="4"/>
      <c r="F1216" s="4"/>
      <c r="G1216" s="4"/>
      <c r="H1216" s="4"/>
      <c r="I1216" s="4"/>
      <c r="J1216" s="18"/>
      <c r="K1216" s="4"/>
      <c r="L1216" s="19"/>
      <c r="M1216" s="20"/>
    </row>
    <row r="1217">
      <c r="A1217" s="6"/>
      <c r="B1217" s="6"/>
      <c r="C1217" s="4"/>
      <c r="D1217" s="4"/>
      <c r="E1217" s="4"/>
      <c r="F1217" s="4"/>
      <c r="G1217" s="4"/>
      <c r="H1217" s="4"/>
      <c r="I1217" s="4"/>
      <c r="J1217" s="18"/>
      <c r="K1217" s="4"/>
      <c r="L1217" s="19"/>
      <c r="M1217" s="20"/>
    </row>
    <row r="1218">
      <c r="A1218" s="6"/>
      <c r="B1218" s="6"/>
      <c r="C1218" s="4"/>
      <c r="D1218" s="4"/>
      <c r="E1218" s="4"/>
      <c r="F1218" s="4"/>
      <c r="G1218" s="4"/>
      <c r="H1218" s="4"/>
      <c r="I1218" s="4"/>
      <c r="J1218" s="18"/>
      <c r="K1218" s="4"/>
      <c r="L1218" s="19"/>
      <c r="M1218" s="20"/>
    </row>
    <row r="1219">
      <c r="A1219" s="6"/>
      <c r="B1219" s="6"/>
      <c r="C1219" s="4"/>
      <c r="D1219" s="4"/>
      <c r="E1219" s="4"/>
      <c r="F1219" s="4"/>
      <c r="G1219" s="4"/>
      <c r="H1219" s="4"/>
      <c r="I1219" s="4"/>
      <c r="J1219" s="18"/>
      <c r="K1219" s="4"/>
      <c r="L1219" s="19"/>
      <c r="M1219" s="20"/>
    </row>
    <row r="1220">
      <c r="A1220" s="6"/>
      <c r="B1220" s="6"/>
      <c r="C1220" s="4"/>
      <c r="D1220" s="4"/>
      <c r="E1220" s="4"/>
      <c r="F1220" s="4"/>
      <c r="G1220" s="4"/>
      <c r="H1220" s="4"/>
      <c r="I1220" s="4"/>
      <c r="J1220" s="18"/>
      <c r="K1220" s="4"/>
      <c r="L1220" s="19"/>
      <c r="M1220" s="20"/>
    </row>
    <row r="1221">
      <c r="A1221" s="6"/>
      <c r="B1221" s="6"/>
      <c r="C1221" s="4"/>
      <c r="D1221" s="4"/>
      <c r="E1221" s="4"/>
      <c r="F1221" s="4"/>
      <c r="G1221" s="4"/>
      <c r="H1221" s="4"/>
      <c r="I1221" s="4"/>
      <c r="J1221" s="18"/>
      <c r="K1221" s="4"/>
      <c r="L1221" s="19"/>
      <c r="M1221" s="20"/>
    </row>
    <row r="1222">
      <c r="A1222" s="6"/>
      <c r="B1222" s="6"/>
      <c r="C1222" s="4"/>
      <c r="D1222" s="4"/>
      <c r="E1222" s="4"/>
      <c r="F1222" s="4"/>
      <c r="G1222" s="4"/>
      <c r="H1222" s="4"/>
      <c r="I1222" s="4"/>
      <c r="J1222" s="18"/>
      <c r="K1222" s="4"/>
      <c r="L1222" s="19"/>
      <c r="M1222" s="20"/>
    </row>
    <row r="1223">
      <c r="A1223" s="6"/>
      <c r="B1223" s="6"/>
      <c r="C1223" s="4"/>
      <c r="D1223" s="4"/>
      <c r="E1223" s="4"/>
      <c r="F1223" s="4"/>
      <c r="G1223" s="4"/>
      <c r="H1223" s="4"/>
      <c r="I1223" s="4"/>
      <c r="J1223" s="18"/>
      <c r="K1223" s="4"/>
      <c r="L1223" s="19"/>
      <c r="M1223" s="20"/>
    </row>
    <row r="1224">
      <c r="A1224" s="6"/>
      <c r="B1224" s="6"/>
      <c r="C1224" s="4"/>
      <c r="D1224" s="4"/>
      <c r="E1224" s="4"/>
      <c r="F1224" s="4"/>
      <c r="G1224" s="4"/>
      <c r="H1224" s="4"/>
      <c r="I1224" s="4"/>
      <c r="J1224" s="18"/>
      <c r="K1224" s="4"/>
      <c r="L1224" s="19"/>
      <c r="M1224" s="20"/>
    </row>
    <row r="1225">
      <c r="A1225" s="6"/>
      <c r="B1225" s="6"/>
      <c r="C1225" s="4"/>
      <c r="D1225" s="4"/>
      <c r="E1225" s="4"/>
      <c r="F1225" s="4"/>
      <c r="G1225" s="4"/>
      <c r="H1225" s="4"/>
      <c r="I1225" s="4"/>
      <c r="J1225" s="18"/>
      <c r="K1225" s="4"/>
      <c r="L1225" s="19"/>
      <c r="M1225" s="20"/>
    </row>
    <row r="1226">
      <c r="A1226" s="6"/>
      <c r="B1226" s="6"/>
      <c r="C1226" s="4"/>
      <c r="D1226" s="4"/>
      <c r="E1226" s="4"/>
      <c r="F1226" s="4"/>
      <c r="G1226" s="4"/>
      <c r="H1226" s="4"/>
      <c r="I1226" s="4"/>
      <c r="J1226" s="18"/>
      <c r="K1226" s="4"/>
      <c r="L1226" s="19"/>
      <c r="M1226" s="20"/>
    </row>
    <row r="1227">
      <c r="A1227" s="6"/>
      <c r="B1227" s="6"/>
      <c r="C1227" s="4"/>
      <c r="D1227" s="4"/>
      <c r="E1227" s="4"/>
      <c r="F1227" s="4"/>
      <c r="G1227" s="4"/>
      <c r="H1227" s="4"/>
      <c r="I1227" s="4"/>
      <c r="J1227" s="18"/>
      <c r="K1227" s="4"/>
      <c r="L1227" s="19"/>
      <c r="M1227" s="20"/>
    </row>
    <row r="1228">
      <c r="A1228" s="6"/>
      <c r="B1228" s="6"/>
      <c r="C1228" s="4"/>
      <c r="D1228" s="4"/>
      <c r="E1228" s="4"/>
      <c r="F1228" s="4"/>
      <c r="G1228" s="4"/>
      <c r="H1228" s="4"/>
      <c r="I1228" s="4"/>
      <c r="J1228" s="18"/>
      <c r="K1228" s="4"/>
      <c r="L1228" s="19"/>
      <c r="M1228" s="20"/>
    </row>
    <row r="1229">
      <c r="A1229" s="6"/>
      <c r="B1229" s="6"/>
      <c r="C1229" s="4"/>
      <c r="D1229" s="4"/>
      <c r="E1229" s="4"/>
      <c r="F1229" s="4"/>
      <c r="G1229" s="4"/>
      <c r="H1229" s="4"/>
      <c r="I1229" s="4"/>
      <c r="J1229" s="18"/>
      <c r="K1229" s="4"/>
      <c r="L1229" s="19"/>
      <c r="M1229" s="20"/>
    </row>
    <row r="1230">
      <c r="A1230" s="6"/>
      <c r="B1230" s="6"/>
      <c r="C1230" s="4"/>
      <c r="D1230" s="4"/>
      <c r="E1230" s="4"/>
      <c r="F1230" s="4"/>
      <c r="G1230" s="4"/>
      <c r="H1230" s="4"/>
      <c r="I1230" s="4"/>
      <c r="J1230" s="18"/>
      <c r="K1230" s="4"/>
      <c r="L1230" s="19"/>
      <c r="M1230" s="20"/>
    </row>
    <row r="1231">
      <c r="A1231" s="6"/>
      <c r="B1231" s="6"/>
      <c r="C1231" s="4"/>
      <c r="D1231" s="4"/>
      <c r="E1231" s="4"/>
      <c r="F1231" s="4"/>
      <c r="G1231" s="4"/>
      <c r="H1231" s="4"/>
      <c r="I1231" s="4"/>
      <c r="J1231" s="18"/>
      <c r="K1231" s="4"/>
      <c r="L1231" s="19"/>
      <c r="M1231" s="20"/>
    </row>
    <row r="1232">
      <c r="A1232" s="6"/>
      <c r="B1232" s="6"/>
      <c r="C1232" s="4"/>
      <c r="D1232" s="4"/>
      <c r="E1232" s="4"/>
      <c r="F1232" s="4"/>
      <c r="G1232" s="4"/>
      <c r="H1232" s="4"/>
      <c r="I1232" s="4"/>
      <c r="J1232" s="18"/>
      <c r="K1232" s="4"/>
      <c r="L1232" s="19"/>
      <c r="M1232" s="20"/>
    </row>
    <row r="1233">
      <c r="A1233" s="6"/>
      <c r="B1233" s="6"/>
      <c r="C1233" s="4"/>
      <c r="D1233" s="4"/>
      <c r="E1233" s="4"/>
      <c r="F1233" s="4"/>
      <c r="G1233" s="4"/>
      <c r="H1233" s="4"/>
      <c r="I1233" s="4"/>
      <c r="J1233" s="18"/>
      <c r="K1233" s="4"/>
      <c r="L1233" s="19"/>
      <c r="M1233" s="20"/>
    </row>
    <row r="1234">
      <c r="A1234" s="6"/>
      <c r="B1234" s="6"/>
      <c r="C1234" s="4"/>
      <c r="D1234" s="4"/>
      <c r="E1234" s="4"/>
      <c r="F1234" s="4"/>
      <c r="G1234" s="4"/>
      <c r="H1234" s="4"/>
      <c r="I1234" s="4"/>
      <c r="J1234" s="18"/>
      <c r="K1234" s="4"/>
      <c r="L1234" s="19"/>
      <c r="M1234" s="20"/>
    </row>
    <row r="1235">
      <c r="A1235" s="6"/>
      <c r="B1235" s="6"/>
      <c r="C1235" s="4"/>
      <c r="D1235" s="4"/>
      <c r="E1235" s="4"/>
      <c r="F1235" s="4"/>
      <c r="G1235" s="4"/>
      <c r="H1235" s="4"/>
      <c r="I1235" s="4"/>
      <c r="J1235" s="18"/>
      <c r="K1235" s="4"/>
      <c r="L1235" s="19"/>
      <c r="M1235" s="20"/>
    </row>
    <row r="1236">
      <c r="A1236" s="6"/>
      <c r="B1236" s="6"/>
      <c r="C1236" s="4"/>
      <c r="D1236" s="4"/>
      <c r="E1236" s="4"/>
      <c r="F1236" s="4"/>
      <c r="G1236" s="4"/>
      <c r="H1236" s="4"/>
      <c r="I1236" s="4"/>
      <c r="J1236" s="18"/>
      <c r="K1236" s="4"/>
      <c r="L1236" s="19"/>
      <c r="M1236" s="20"/>
    </row>
    <row r="1237">
      <c r="A1237" s="6"/>
      <c r="B1237" s="6"/>
      <c r="C1237" s="4"/>
      <c r="D1237" s="4"/>
      <c r="E1237" s="4"/>
      <c r="F1237" s="4"/>
      <c r="G1237" s="4"/>
      <c r="H1237" s="4"/>
      <c r="I1237" s="4"/>
      <c r="J1237" s="18"/>
      <c r="K1237" s="4"/>
      <c r="L1237" s="19"/>
      <c r="M1237" s="20"/>
    </row>
    <row r="1238">
      <c r="A1238" s="6"/>
      <c r="B1238" s="6"/>
      <c r="C1238" s="4"/>
      <c r="D1238" s="4"/>
      <c r="E1238" s="4"/>
      <c r="F1238" s="4"/>
      <c r="G1238" s="4"/>
      <c r="H1238" s="4"/>
      <c r="I1238" s="4"/>
      <c r="J1238" s="18"/>
      <c r="K1238" s="4"/>
      <c r="L1238" s="19"/>
      <c r="M1238" s="20"/>
    </row>
    <row r="1239">
      <c r="A1239" s="6"/>
      <c r="B1239" s="6"/>
      <c r="C1239" s="4"/>
      <c r="D1239" s="4"/>
      <c r="E1239" s="4"/>
      <c r="F1239" s="4"/>
      <c r="G1239" s="4"/>
      <c r="H1239" s="4"/>
      <c r="I1239" s="4"/>
      <c r="J1239" s="18"/>
      <c r="K1239" s="4"/>
      <c r="L1239" s="19"/>
      <c r="M1239" s="20"/>
    </row>
    <row r="1240">
      <c r="A1240" s="6"/>
      <c r="B1240" s="6"/>
      <c r="C1240" s="4"/>
      <c r="D1240" s="4"/>
      <c r="E1240" s="4"/>
      <c r="F1240" s="4"/>
      <c r="G1240" s="4"/>
      <c r="H1240" s="4"/>
      <c r="I1240" s="4"/>
      <c r="J1240" s="18"/>
      <c r="K1240" s="4"/>
      <c r="L1240" s="19"/>
      <c r="M1240" s="20"/>
    </row>
    <row r="1241">
      <c r="A1241" s="6"/>
      <c r="B1241" s="6"/>
      <c r="C1241" s="4"/>
      <c r="D1241" s="4"/>
      <c r="E1241" s="4"/>
      <c r="F1241" s="4"/>
      <c r="G1241" s="4"/>
      <c r="H1241" s="4"/>
      <c r="I1241" s="4"/>
      <c r="J1241" s="18"/>
      <c r="K1241" s="4"/>
      <c r="L1241" s="19"/>
      <c r="M1241" s="20"/>
    </row>
    <row r="1242">
      <c r="A1242" s="6"/>
      <c r="B1242" s="6"/>
      <c r="C1242" s="4"/>
      <c r="D1242" s="4"/>
      <c r="E1242" s="4"/>
      <c r="F1242" s="4"/>
      <c r="G1242" s="4"/>
      <c r="H1242" s="4"/>
      <c r="I1242" s="4"/>
      <c r="J1242" s="18"/>
      <c r="K1242" s="4"/>
      <c r="L1242" s="19"/>
      <c r="M1242" s="20"/>
    </row>
    <row r="1243">
      <c r="A1243" s="6"/>
      <c r="B1243" s="6"/>
      <c r="C1243" s="4"/>
      <c r="D1243" s="4"/>
      <c r="E1243" s="4"/>
      <c r="F1243" s="4"/>
      <c r="G1243" s="4"/>
      <c r="H1243" s="4"/>
      <c r="I1243" s="4"/>
      <c r="J1243" s="18"/>
      <c r="K1243" s="4"/>
      <c r="L1243" s="19"/>
      <c r="M1243" s="20"/>
    </row>
    <row r="1244">
      <c r="A1244" s="6"/>
      <c r="B1244" s="6"/>
      <c r="C1244" s="4"/>
      <c r="D1244" s="4"/>
      <c r="E1244" s="4"/>
      <c r="F1244" s="4"/>
      <c r="G1244" s="4"/>
      <c r="H1244" s="4"/>
      <c r="I1244" s="4"/>
      <c r="J1244" s="18"/>
      <c r="K1244" s="4"/>
      <c r="L1244" s="19"/>
      <c r="M1244" s="20"/>
    </row>
    <row r="1245">
      <c r="A1245" s="6"/>
      <c r="B1245" s="6"/>
      <c r="C1245" s="4"/>
      <c r="D1245" s="4"/>
      <c r="E1245" s="4"/>
      <c r="F1245" s="4"/>
      <c r="G1245" s="4"/>
      <c r="H1245" s="4"/>
      <c r="I1245" s="4"/>
      <c r="J1245" s="18"/>
      <c r="K1245" s="4"/>
      <c r="L1245" s="19"/>
      <c r="M1245" s="20"/>
    </row>
    <row r="1246">
      <c r="A1246" s="6"/>
      <c r="B1246" s="6"/>
      <c r="C1246" s="4"/>
      <c r="D1246" s="4"/>
      <c r="E1246" s="4"/>
      <c r="F1246" s="4"/>
      <c r="G1246" s="4"/>
      <c r="H1246" s="4"/>
      <c r="I1246" s="4"/>
      <c r="J1246" s="18"/>
      <c r="K1246" s="4"/>
      <c r="L1246" s="19"/>
      <c r="M1246" s="20"/>
    </row>
    <row r="1247">
      <c r="A1247" s="6"/>
      <c r="B1247" s="6"/>
      <c r="C1247" s="4"/>
      <c r="D1247" s="4"/>
      <c r="E1247" s="4"/>
      <c r="F1247" s="4"/>
      <c r="G1247" s="4"/>
      <c r="H1247" s="4"/>
      <c r="I1247" s="4"/>
      <c r="J1247" s="18"/>
      <c r="K1247" s="4"/>
      <c r="L1247" s="19"/>
      <c r="M1247" s="20"/>
    </row>
    <row r="1248">
      <c r="A1248" s="6"/>
      <c r="B1248" s="6"/>
      <c r="C1248" s="4"/>
      <c r="D1248" s="4"/>
      <c r="E1248" s="4"/>
      <c r="F1248" s="4"/>
      <c r="G1248" s="4"/>
      <c r="H1248" s="4"/>
      <c r="I1248" s="4"/>
      <c r="J1248" s="18"/>
      <c r="K1248" s="4"/>
      <c r="L1248" s="19"/>
      <c r="M1248" s="20"/>
    </row>
    <row r="1249">
      <c r="A1249" s="6"/>
      <c r="B1249" s="6"/>
      <c r="C1249" s="4"/>
      <c r="D1249" s="4"/>
      <c r="E1249" s="4"/>
      <c r="F1249" s="4"/>
      <c r="G1249" s="4"/>
      <c r="H1249" s="4"/>
      <c r="I1249" s="4"/>
      <c r="J1249" s="18"/>
      <c r="K1249" s="4"/>
      <c r="L1249" s="19"/>
      <c r="M1249" s="20"/>
    </row>
    <row r="1250">
      <c r="A1250" s="6"/>
      <c r="B1250" s="6"/>
      <c r="C1250" s="4"/>
      <c r="D1250" s="4"/>
      <c r="E1250" s="4"/>
      <c r="F1250" s="4"/>
      <c r="G1250" s="4"/>
      <c r="H1250" s="4"/>
      <c r="I1250" s="4"/>
      <c r="J1250" s="18"/>
      <c r="K1250" s="4"/>
      <c r="L1250" s="19"/>
      <c r="M1250" s="20"/>
    </row>
    <row r="1251">
      <c r="A1251" s="6"/>
      <c r="B1251" s="6"/>
      <c r="C1251" s="4"/>
      <c r="D1251" s="4"/>
      <c r="E1251" s="4"/>
      <c r="F1251" s="4"/>
      <c r="G1251" s="4"/>
      <c r="H1251" s="4"/>
      <c r="I1251" s="4"/>
      <c r="J1251" s="18"/>
      <c r="K1251" s="4"/>
      <c r="L1251" s="19"/>
      <c r="M1251" s="20"/>
    </row>
    <row r="1252">
      <c r="A1252" s="6"/>
      <c r="B1252" s="6"/>
      <c r="C1252" s="4"/>
      <c r="D1252" s="4"/>
      <c r="E1252" s="4"/>
      <c r="F1252" s="4"/>
      <c r="G1252" s="4"/>
      <c r="H1252" s="4"/>
      <c r="I1252" s="4"/>
      <c r="J1252" s="18"/>
      <c r="K1252" s="4"/>
      <c r="L1252" s="19"/>
      <c r="M1252" s="20"/>
    </row>
    <row r="1253">
      <c r="A1253" s="6"/>
      <c r="B1253" s="6"/>
      <c r="C1253" s="4"/>
      <c r="D1253" s="4"/>
      <c r="E1253" s="4"/>
      <c r="F1253" s="4"/>
      <c r="G1253" s="4"/>
      <c r="H1253" s="4"/>
      <c r="I1253" s="4"/>
      <c r="J1253" s="18"/>
      <c r="K1253" s="4"/>
      <c r="L1253" s="19"/>
      <c r="M1253" s="20"/>
    </row>
    <row r="1254">
      <c r="A1254" s="6"/>
      <c r="B1254" s="6"/>
      <c r="C1254" s="4"/>
      <c r="D1254" s="4"/>
      <c r="E1254" s="4"/>
      <c r="F1254" s="4"/>
      <c r="G1254" s="4"/>
      <c r="H1254" s="4"/>
      <c r="I1254" s="4"/>
      <c r="J1254" s="18"/>
      <c r="K1254" s="4"/>
      <c r="L1254" s="19"/>
      <c r="M1254" s="20"/>
    </row>
    <row r="1255">
      <c r="A1255" s="6"/>
      <c r="B1255" s="6"/>
      <c r="C1255" s="4"/>
      <c r="D1255" s="4"/>
      <c r="E1255" s="4"/>
      <c r="F1255" s="4"/>
      <c r="G1255" s="4"/>
      <c r="H1255" s="4"/>
      <c r="I1255" s="4"/>
      <c r="J1255" s="18"/>
      <c r="K1255" s="4"/>
      <c r="L1255" s="19"/>
      <c r="M1255" s="20"/>
    </row>
    <row r="1256">
      <c r="A1256" s="6"/>
      <c r="B1256" s="6"/>
      <c r="C1256" s="4"/>
      <c r="D1256" s="4"/>
      <c r="E1256" s="4"/>
      <c r="F1256" s="4"/>
      <c r="G1256" s="4"/>
      <c r="H1256" s="4"/>
      <c r="I1256" s="4"/>
      <c r="J1256" s="18"/>
      <c r="K1256" s="4"/>
      <c r="L1256" s="19"/>
      <c r="M1256" s="20"/>
    </row>
    <row r="1257">
      <c r="A1257" s="6"/>
      <c r="B1257" s="6"/>
      <c r="C1257" s="4"/>
      <c r="D1257" s="4"/>
      <c r="E1257" s="4"/>
      <c r="F1257" s="4"/>
      <c r="G1257" s="4"/>
      <c r="H1257" s="4"/>
      <c r="I1257" s="4"/>
      <c r="J1257" s="18"/>
      <c r="K1257" s="4"/>
      <c r="L1257" s="19"/>
      <c r="M1257" s="20"/>
    </row>
    <row r="1258">
      <c r="A1258" s="6"/>
      <c r="B1258" s="6"/>
      <c r="C1258" s="4"/>
      <c r="D1258" s="4"/>
      <c r="E1258" s="4"/>
      <c r="F1258" s="4"/>
      <c r="G1258" s="4"/>
      <c r="H1258" s="4"/>
      <c r="I1258" s="4"/>
      <c r="J1258" s="18"/>
      <c r="K1258" s="4"/>
      <c r="L1258" s="19"/>
      <c r="M1258" s="20"/>
    </row>
    <row r="1259">
      <c r="A1259" s="6"/>
      <c r="B1259" s="6"/>
      <c r="C1259" s="4"/>
      <c r="D1259" s="4"/>
      <c r="E1259" s="4"/>
      <c r="F1259" s="4"/>
      <c r="G1259" s="4"/>
      <c r="H1259" s="4"/>
      <c r="I1259" s="4"/>
      <c r="J1259" s="18"/>
      <c r="K1259" s="4"/>
      <c r="L1259" s="19"/>
      <c r="M1259" s="20"/>
    </row>
    <row r="1260">
      <c r="A1260" s="6"/>
      <c r="B1260" s="6"/>
      <c r="C1260" s="4"/>
      <c r="D1260" s="4"/>
      <c r="E1260" s="4"/>
      <c r="F1260" s="4"/>
      <c r="G1260" s="4"/>
      <c r="H1260" s="4"/>
      <c r="I1260" s="4"/>
      <c r="J1260" s="18"/>
      <c r="K1260" s="4"/>
      <c r="L1260" s="19"/>
      <c r="M1260" s="20"/>
    </row>
    <row r="1261">
      <c r="A1261" s="6"/>
      <c r="B1261" s="6"/>
      <c r="C1261" s="4"/>
      <c r="D1261" s="4"/>
      <c r="E1261" s="4"/>
      <c r="F1261" s="4"/>
      <c r="G1261" s="4"/>
      <c r="H1261" s="4"/>
      <c r="I1261" s="4"/>
      <c r="J1261" s="18"/>
      <c r="K1261" s="4"/>
      <c r="L1261" s="19"/>
      <c r="M1261" s="20"/>
    </row>
    <row r="1262">
      <c r="A1262" s="6"/>
      <c r="B1262" s="6"/>
      <c r="C1262" s="4"/>
      <c r="D1262" s="4"/>
      <c r="E1262" s="4"/>
      <c r="F1262" s="4"/>
      <c r="G1262" s="4"/>
      <c r="H1262" s="4"/>
      <c r="I1262" s="4"/>
      <c r="J1262" s="18"/>
      <c r="K1262" s="4"/>
      <c r="L1262" s="19"/>
      <c r="M1262" s="20"/>
    </row>
    <row r="1263">
      <c r="A1263" s="6"/>
      <c r="B1263" s="6"/>
      <c r="C1263" s="4"/>
      <c r="D1263" s="4"/>
      <c r="E1263" s="4"/>
      <c r="F1263" s="4"/>
      <c r="G1263" s="4"/>
      <c r="H1263" s="4"/>
      <c r="I1263" s="4"/>
      <c r="J1263" s="18"/>
      <c r="K1263" s="4"/>
      <c r="L1263" s="19"/>
      <c r="M1263" s="20"/>
    </row>
    <row r="1264">
      <c r="A1264" s="6"/>
      <c r="B1264" s="6"/>
      <c r="C1264" s="4"/>
      <c r="D1264" s="4"/>
      <c r="E1264" s="4"/>
      <c r="F1264" s="4"/>
      <c r="G1264" s="4"/>
      <c r="H1264" s="4"/>
      <c r="I1264" s="4"/>
      <c r="J1264" s="18"/>
      <c r="K1264" s="4"/>
      <c r="L1264" s="19"/>
      <c r="M1264" s="20"/>
    </row>
    <row r="1265">
      <c r="A1265" s="6"/>
      <c r="B1265" s="6"/>
      <c r="C1265" s="4"/>
      <c r="D1265" s="4"/>
      <c r="E1265" s="4"/>
      <c r="F1265" s="4"/>
      <c r="G1265" s="4"/>
      <c r="H1265" s="4"/>
      <c r="I1265" s="4"/>
      <c r="J1265" s="18"/>
      <c r="K1265" s="4"/>
      <c r="L1265" s="19"/>
      <c r="M1265" s="20"/>
    </row>
    <row r="1266">
      <c r="A1266" s="6"/>
      <c r="B1266" s="6"/>
      <c r="C1266" s="4"/>
      <c r="D1266" s="4"/>
      <c r="E1266" s="4"/>
      <c r="F1266" s="4"/>
      <c r="G1266" s="4"/>
      <c r="H1266" s="4"/>
      <c r="I1266" s="4"/>
      <c r="J1266" s="18"/>
      <c r="K1266" s="4"/>
      <c r="L1266" s="19"/>
      <c r="M1266" s="20"/>
    </row>
    <row r="1267">
      <c r="A1267" s="6"/>
      <c r="B1267" s="6"/>
      <c r="C1267" s="4"/>
      <c r="D1267" s="4"/>
      <c r="E1267" s="4"/>
      <c r="F1267" s="4"/>
      <c r="G1267" s="4"/>
      <c r="H1267" s="4"/>
      <c r="I1267" s="4"/>
      <c r="J1267" s="18"/>
      <c r="K1267" s="4"/>
      <c r="L1267" s="19"/>
      <c r="M1267" s="20"/>
    </row>
    <row r="1268">
      <c r="A1268" s="6"/>
      <c r="B1268" s="6"/>
      <c r="C1268" s="4"/>
      <c r="D1268" s="4"/>
      <c r="E1268" s="4"/>
      <c r="F1268" s="4"/>
      <c r="G1268" s="4"/>
      <c r="H1268" s="4"/>
      <c r="I1268" s="4"/>
      <c r="J1268" s="18"/>
      <c r="K1268" s="4"/>
      <c r="L1268" s="19"/>
      <c r="M1268" s="20"/>
    </row>
    <row r="1269">
      <c r="A1269" s="6"/>
      <c r="B1269" s="6"/>
      <c r="C1269" s="4"/>
      <c r="D1269" s="4"/>
      <c r="E1269" s="4"/>
      <c r="F1269" s="4"/>
      <c r="G1269" s="4"/>
      <c r="H1269" s="4"/>
      <c r="I1269" s="4"/>
      <c r="J1269" s="18"/>
      <c r="K1269" s="4"/>
      <c r="L1269" s="19"/>
      <c r="M1269" s="20"/>
    </row>
    <row r="1270">
      <c r="A1270" s="6"/>
      <c r="B1270" s="6"/>
      <c r="C1270" s="4"/>
      <c r="D1270" s="4"/>
      <c r="E1270" s="4"/>
      <c r="F1270" s="4"/>
      <c r="G1270" s="4"/>
      <c r="H1270" s="4"/>
      <c r="I1270" s="4"/>
      <c r="J1270" s="18"/>
      <c r="K1270" s="4"/>
      <c r="L1270" s="19"/>
      <c r="M1270" s="20"/>
    </row>
    <row r="1271">
      <c r="A1271" s="6"/>
      <c r="B1271" s="6"/>
      <c r="C1271" s="4"/>
      <c r="D1271" s="4"/>
      <c r="E1271" s="4"/>
      <c r="F1271" s="4"/>
      <c r="G1271" s="4"/>
      <c r="H1271" s="4"/>
      <c r="I1271" s="4"/>
      <c r="J1271" s="18"/>
      <c r="K1271" s="4"/>
      <c r="L1271" s="19"/>
      <c r="M1271" s="20"/>
    </row>
    <row r="1272">
      <c r="A1272" s="6"/>
      <c r="B1272" s="6"/>
      <c r="C1272" s="4"/>
      <c r="D1272" s="4"/>
      <c r="E1272" s="4"/>
      <c r="F1272" s="4"/>
      <c r="G1272" s="4"/>
      <c r="H1272" s="4"/>
      <c r="I1272" s="4"/>
      <c r="J1272" s="18"/>
      <c r="K1272" s="4"/>
      <c r="L1272" s="19"/>
      <c r="M1272" s="20"/>
    </row>
    <row r="1273">
      <c r="A1273" s="6"/>
      <c r="B1273" s="6"/>
      <c r="C1273" s="4"/>
      <c r="D1273" s="4"/>
      <c r="E1273" s="4"/>
      <c r="F1273" s="4"/>
      <c r="G1273" s="4"/>
      <c r="H1273" s="4"/>
      <c r="I1273" s="4"/>
      <c r="J1273" s="18"/>
      <c r="K1273" s="4"/>
      <c r="L1273" s="19"/>
      <c r="M1273" s="20"/>
    </row>
    <row r="1274">
      <c r="A1274" s="6"/>
      <c r="B1274" s="6"/>
      <c r="C1274" s="4"/>
      <c r="D1274" s="4"/>
      <c r="E1274" s="4"/>
      <c r="F1274" s="4"/>
      <c r="G1274" s="4"/>
      <c r="H1274" s="4"/>
      <c r="I1274" s="4"/>
      <c r="J1274" s="18"/>
      <c r="K1274" s="4"/>
      <c r="L1274" s="19"/>
      <c r="M1274" s="20"/>
    </row>
    <row r="1275">
      <c r="A1275" s="6"/>
      <c r="B1275" s="6"/>
      <c r="C1275" s="4"/>
      <c r="D1275" s="4"/>
      <c r="E1275" s="4"/>
      <c r="F1275" s="4"/>
      <c r="G1275" s="4"/>
      <c r="H1275" s="4"/>
      <c r="I1275" s="4"/>
      <c r="J1275" s="18"/>
      <c r="K1275" s="4"/>
      <c r="L1275" s="19"/>
      <c r="M1275" s="20"/>
    </row>
    <row r="1276">
      <c r="A1276" s="6"/>
      <c r="B1276" s="6"/>
      <c r="C1276" s="4"/>
      <c r="D1276" s="4"/>
      <c r="E1276" s="4"/>
      <c r="F1276" s="4"/>
      <c r="G1276" s="4"/>
      <c r="H1276" s="4"/>
      <c r="I1276" s="4"/>
      <c r="J1276" s="18"/>
      <c r="K1276" s="4"/>
      <c r="L1276" s="19"/>
      <c r="M1276" s="20"/>
    </row>
    <row r="1277">
      <c r="A1277" s="6"/>
      <c r="B1277" s="6"/>
      <c r="C1277" s="4"/>
      <c r="D1277" s="4"/>
      <c r="E1277" s="4"/>
      <c r="F1277" s="4"/>
      <c r="G1277" s="4"/>
      <c r="H1277" s="4"/>
      <c r="I1277" s="4"/>
      <c r="J1277" s="18"/>
      <c r="K1277" s="4"/>
      <c r="L1277" s="19"/>
      <c r="M1277" s="20"/>
    </row>
    <row r="1278">
      <c r="A1278" s="6"/>
      <c r="B1278" s="6"/>
      <c r="C1278" s="4"/>
      <c r="D1278" s="4"/>
      <c r="E1278" s="4"/>
      <c r="F1278" s="4"/>
      <c r="G1278" s="4"/>
      <c r="H1278" s="4"/>
      <c r="I1278" s="4"/>
      <c r="J1278" s="18"/>
      <c r="K1278" s="4"/>
      <c r="L1278" s="19"/>
      <c r="M1278" s="20"/>
    </row>
    <row r="1279">
      <c r="A1279" s="6"/>
      <c r="B1279" s="6"/>
      <c r="C1279" s="4"/>
      <c r="D1279" s="4"/>
      <c r="E1279" s="4"/>
      <c r="F1279" s="4"/>
      <c r="G1279" s="4"/>
      <c r="H1279" s="4"/>
      <c r="I1279" s="4"/>
      <c r="J1279" s="18"/>
      <c r="K1279" s="4"/>
      <c r="L1279" s="19"/>
      <c r="M1279" s="20"/>
    </row>
    <row r="1280">
      <c r="A1280" s="6"/>
      <c r="B1280" s="6"/>
      <c r="C1280" s="4"/>
      <c r="D1280" s="4"/>
      <c r="E1280" s="4"/>
      <c r="F1280" s="4"/>
      <c r="G1280" s="4"/>
      <c r="H1280" s="4"/>
      <c r="I1280" s="4"/>
      <c r="J1280" s="18"/>
      <c r="K1280" s="4"/>
      <c r="L1280" s="19"/>
      <c r="M1280" s="20"/>
    </row>
    <row r="1281">
      <c r="A1281" s="6"/>
      <c r="B1281" s="6"/>
      <c r="C1281" s="4"/>
      <c r="D1281" s="4"/>
      <c r="E1281" s="4"/>
      <c r="F1281" s="4"/>
      <c r="G1281" s="4"/>
      <c r="H1281" s="4"/>
      <c r="I1281" s="4"/>
      <c r="J1281" s="18"/>
      <c r="K1281" s="4"/>
      <c r="L1281" s="19"/>
      <c r="M1281" s="20"/>
    </row>
    <row r="1282">
      <c r="A1282" s="6"/>
      <c r="B1282" s="6"/>
      <c r="C1282" s="4"/>
      <c r="D1282" s="4"/>
      <c r="E1282" s="4"/>
      <c r="F1282" s="4"/>
      <c r="G1282" s="4"/>
      <c r="H1282" s="4"/>
      <c r="I1282" s="4"/>
      <c r="J1282" s="18"/>
      <c r="K1282" s="4"/>
      <c r="L1282" s="19"/>
      <c r="M1282" s="20"/>
    </row>
    <row r="1283">
      <c r="A1283" s="6"/>
      <c r="B1283" s="6"/>
      <c r="C1283" s="4"/>
      <c r="D1283" s="4"/>
      <c r="E1283" s="4"/>
      <c r="F1283" s="4"/>
      <c r="G1283" s="4"/>
      <c r="H1283" s="4"/>
      <c r="I1283" s="4"/>
      <c r="J1283" s="18"/>
      <c r="K1283" s="4"/>
      <c r="L1283" s="19"/>
      <c r="M1283" s="20"/>
    </row>
    <row r="1284">
      <c r="A1284" s="6"/>
      <c r="B1284" s="6"/>
      <c r="C1284" s="4"/>
      <c r="D1284" s="4"/>
      <c r="E1284" s="4"/>
      <c r="F1284" s="4"/>
      <c r="G1284" s="4"/>
      <c r="H1284" s="4"/>
      <c r="I1284" s="4"/>
      <c r="J1284" s="18"/>
      <c r="K1284" s="4"/>
      <c r="L1284" s="19"/>
      <c r="M1284" s="20"/>
    </row>
    <row r="1285">
      <c r="A1285" s="6"/>
      <c r="B1285" s="6"/>
      <c r="C1285" s="4"/>
      <c r="D1285" s="4"/>
      <c r="E1285" s="4"/>
      <c r="F1285" s="4"/>
      <c r="G1285" s="4"/>
      <c r="H1285" s="4"/>
      <c r="I1285" s="4"/>
      <c r="J1285" s="18"/>
      <c r="K1285" s="4"/>
      <c r="L1285" s="19"/>
      <c r="M1285" s="20"/>
    </row>
    <row r="1286">
      <c r="A1286" s="6"/>
      <c r="B1286" s="6"/>
      <c r="C1286" s="4"/>
      <c r="D1286" s="4"/>
      <c r="E1286" s="4"/>
      <c r="F1286" s="4"/>
      <c r="G1286" s="4"/>
      <c r="H1286" s="4"/>
      <c r="I1286" s="4"/>
      <c r="J1286" s="18"/>
      <c r="K1286" s="4"/>
      <c r="L1286" s="19"/>
      <c r="M1286" s="20"/>
    </row>
    <row r="1287">
      <c r="A1287" s="6"/>
      <c r="B1287" s="6"/>
      <c r="C1287" s="4"/>
      <c r="D1287" s="4"/>
      <c r="E1287" s="4"/>
      <c r="F1287" s="4"/>
      <c r="G1287" s="4"/>
      <c r="H1287" s="4"/>
      <c r="I1287" s="4"/>
      <c r="J1287" s="18"/>
      <c r="K1287" s="4"/>
      <c r="L1287" s="19"/>
      <c r="M1287" s="20"/>
    </row>
    <row r="1288">
      <c r="A1288" s="6"/>
      <c r="B1288" s="6"/>
      <c r="C1288" s="4"/>
      <c r="D1288" s="4"/>
      <c r="E1288" s="4"/>
      <c r="F1288" s="4"/>
      <c r="G1288" s="4"/>
      <c r="H1288" s="4"/>
      <c r="I1288" s="4"/>
      <c r="J1288" s="18"/>
      <c r="K1288" s="4"/>
      <c r="L1288" s="19"/>
      <c r="M1288" s="20"/>
    </row>
    <row r="1289">
      <c r="A1289" s="6"/>
      <c r="B1289" s="6"/>
      <c r="C1289" s="4"/>
      <c r="D1289" s="4"/>
      <c r="E1289" s="4"/>
      <c r="F1289" s="4"/>
      <c r="G1289" s="4"/>
      <c r="H1289" s="4"/>
      <c r="I1289" s="4"/>
      <c r="J1289" s="18"/>
      <c r="K1289" s="4"/>
      <c r="L1289" s="19"/>
      <c r="M1289" s="20"/>
    </row>
    <row r="1290">
      <c r="A1290" s="6"/>
      <c r="B1290" s="6"/>
      <c r="C1290" s="4"/>
      <c r="D1290" s="4"/>
      <c r="E1290" s="4"/>
      <c r="F1290" s="4"/>
      <c r="G1290" s="4"/>
      <c r="H1290" s="4"/>
      <c r="I1290" s="4"/>
      <c r="J1290" s="18"/>
      <c r="K1290" s="4"/>
      <c r="L1290" s="19"/>
      <c r="M1290" s="20"/>
    </row>
    <row r="1291">
      <c r="A1291" s="6"/>
      <c r="B1291" s="6"/>
      <c r="C1291" s="4"/>
      <c r="D1291" s="4"/>
      <c r="E1291" s="4"/>
      <c r="F1291" s="4"/>
      <c r="G1291" s="4"/>
      <c r="H1291" s="4"/>
      <c r="I1291" s="4"/>
      <c r="J1291" s="18"/>
      <c r="K1291" s="4"/>
      <c r="L1291" s="19"/>
      <c r="M1291" s="20"/>
    </row>
    <row r="1292">
      <c r="A1292" s="6"/>
      <c r="B1292" s="6"/>
      <c r="C1292" s="4"/>
      <c r="D1292" s="4"/>
      <c r="E1292" s="4"/>
      <c r="F1292" s="4"/>
      <c r="G1292" s="4"/>
      <c r="H1292" s="4"/>
      <c r="I1292" s="4"/>
      <c r="J1292" s="18"/>
      <c r="K1292" s="4"/>
      <c r="L1292" s="19"/>
      <c r="M1292" s="20"/>
    </row>
    <row r="1293">
      <c r="A1293" s="6"/>
      <c r="B1293" s="6"/>
      <c r="C1293" s="4"/>
      <c r="D1293" s="4"/>
      <c r="E1293" s="4"/>
      <c r="F1293" s="4"/>
      <c r="G1293" s="4"/>
      <c r="H1293" s="4"/>
      <c r="I1293" s="4"/>
      <c r="J1293" s="18"/>
      <c r="K1293" s="4"/>
      <c r="L1293" s="19"/>
      <c r="M1293" s="20"/>
    </row>
    <row r="1294">
      <c r="A1294" s="6"/>
      <c r="B1294" s="6"/>
      <c r="C1294" s="4"/>
      <c r="D1294" s="4"/>
      <c r="E1294" s="4"/>
      <c r="F1294" s="4"/>
      <c r="G1294" s="4"/>
      <c r="H1294" s="4"/>
      <c r="I1294" s="4"/>
      <c r="J1294" s="18"/>
      <c r="K1294" s="4"/>
      <c r="L1294" s="19"/>
      <c r="M1294" s="20"/>
    </row>
    <row r="1295">
      <c r="A1295" s="6"/>
      <c r="B1295" s="6"/>
      <c r="C1295" s="4"/>
      <c r="D1295" s="4"/>
      <c r="E1295" s="4"/>
      <c r="F1295" s="4"/>
      <c r="G1295" s="4"/>
      <c r="H1295" s="4"/>
      <c r="I1295" s="4"/>
      <c r="J1295" s="18"/>
      <c r="K1295" s="4"/>
      <c r="L1295" s="19"/>
      <c r="M1295" s="20"/>
    </row>
    <row r="1296">
      <c r="A1296" s="6"/>
      <c r="B1296" s="6"/>
      <c r="C1296" s="4"/>
      <c r="D1296" s="4"/>
      <c r="E1296" s="4"/>
      <c r="F1296" s="4"/>
      <c r="G1296" s="4"/>
      <c r="H1296" s="4"/>
      <c r="I1296" s="4"/>
      <c r="J1296" s="18"/>
      <c r="K1296" s="4"/>
      <c r="L1296" s="19"/>
      <c r="M1296" s="20"/>
    </row>
    <row r="1297">
      <c r="A1297" s="6"/>
      <c r="B1297" s="6"/>
      <c r="C1297" s="4"/>
      <c r="D1297" s="4"/>
      <c r="E1297" s="4"/>
      <c r="F1297" s="4"/>
      <c r="G1297" s="4"/>
      <c r="H1297" s="4"/>
      <c r="I1297" s="4"/>
      <c r="J1297" s="18"/>
      <c r="K1297" s="4"/>
      <c r="L1297" s="19"/>
      <c r="M1297" s="20"/>
    </row>
    <row r="1298">
      <c r="A1298" s="6"/>
      <c r="B1298" s="6"/>
      <c r="C1298" s="4"/>
      <c r="D1298" s="4"/>
      <c r="E1298" s="4"/>
      <c r="F1298" s="4"/>
      <c r="G1298" s="4"/>
      <c r="H1298" s="4"/>
      <c r="I1298" s="4"/>
      <c r="J1298" s="18"/>
      <c r="K1298" s="4"/>
      <c r="L1298" s="19"/>
      <c r="M1298" s="20"/>
    </row>
    <row r="1299">
      <c r="A1299" s="6"/>
      <c r="B1299" s="6"/>
      <c r="C1299" s="4"/>
      <c r="D1299" s="4"/>
      <c r="E1299" s="4"/>
      <c r="F1299" s="4"/>
      <c r="G1299" s="4"/>
      <c r="H1299" s="4"/>
      <c r="I1299" s="4"/>
      <c r="J1299" s="18"/>
      <c r="K1299" s="4"/>
      <c r="L1299" s="19"/>
      <c r="M1299" s="20"/>
    </row>
    <row r="1300">
      <c r="A1300" s="6"/>
      <c r="B1300" s="6"/>
      <c r="C1300" s="4"/>
      <c r="D1300" s="4"/>
      <c r="E1300" s="4"/>
      <c r="F1300" s="4"/>
      <c r="G1300" s="4"/>
      <c r="H1300" s="4"/>
      <c r="I1300" s="4"/>
      <c r="J1300" s="18"/>
      <c r="K1300" s="4"/>
      <c r="L1300" s="19"/>
      <c r="M1300" s="20"/>
    </row>
    <row r="1301">
      <c r="A1301" s="6"/>
      <c r="B1301" s="6"/>
      <c r="C1301" s="4"/>
      <c r="D1301" s="4"/>
      <c r="E1301" s="4"/>
      <c r="F1301" s="4"/>
      <c r="G1301" s="4"/>
      <c r="H1301" s="4"/>
      <c r="I1301" s="4"/>
      <c r="J1301" s="18"/>
      <c r="K1301" s="4"/>
      <c r="L1301" s="19"/>
      <c r="M1301" s="20"/>
    </row>
    <row r="1302">
      <c r="A1302" s="6"/>
      <c r="B1302" s="6"/>
      <c r="C1302" s="4"/>
      <c r="D1302" s="4"/>
      <c r="E1302" s="4"/>
      <c r="F1302" s="4"/>
      <c r="G1302" s="4"/>
      <c r="H1302" s="4"/>
      <c r="I1302" s="4"/>
      <c r="J1302" s="18"/>
      <c r="K1302" s="4"/>
      <c r="L1302" s="19"/>
      <c r="M1302" s="20"/>
    </row>
    <row r="1303">
      <c r="A1303" s="6"/>
      <c r="B1303" s="6"/>
      <c r="C1303" s="4"/>
      <c r="D1303" s="4"/>
      <c r="E1303" s="4"/>
      <c r="F1303" s="4"/>
      <c r="G1303" s="4"/>
      <c r="H1303" s="4"/>
      <c r="I1303" s="4"/>
      <c r="J1303" s="18"/>
      <c r="K1303" s="4"/>
      <c r="L1303" s="19"/>
      <c r="M1303" s="20"/>
    </row>
    <row r="1304">
      <c r="A1304" s="6"/>
      <c r="B1304" s="6"/>
      <c r="C1304" s="4"/>
      <c r="D1304" s="4"/>
      <c r="E1304" s="4"/>
      <c r="F1304" s="4"/>
      <c r="G1304" s="4"/>
      <c r="H1304" s="4"/>
      <c r="I1304" s="4"/>
      <c r="J1304" s="18"/>
      <c r="K1304" s="4"/>
      <c r="L1304" s="19"/>
      <c r="M1304" s="20"/>
    </row>
    <row r="1305">
      <c r="A1305" s="6"/>
      <c r="B1305" s="6"/>
      <c r="C1305" s="4"/>
      <c r="D1305" s="4"/>
      <c r="E1305" s="4"/>
      <c r="F1305" s="4"/>
      <c r="G1305" s="4"/>
      <c r="H1305" s="4"/>
      <c r="I1305" s="4"/>
      <c r="J1305" s="18"/>
      <c r="K1305" s="4"/>
      <c r="L1305" s="19"/>
      <c r="M1305" s="20"/>
    </row>
    <row r="1306">
      <c r="A1306" s="6"/>
      <c r="B1306" s="6"/>
      <c r="C1306" s="4"/>
      <c r="D1306" s="4"/>
      <c r="E1306" s="4"/>
      <c r="F1306" s="4"/>
      <c r="G1306" s="4"/>
      <c r="H1306" s="4"/>
      <c r="I1306" s="4"/>
      <c r="J1306" s="18"/>
      <c r="K1306" s="4"/>
      <c r="L1306" s="19"/>
      <c r="M1306" s="20"/>
    </row>
    <row r="1307">
      <c r="A1307" s="6"/>
      <c r="B1307" s="6"/>
      <c r="C1307" s="4"/>
      <c r="D1307" s="4"/>
      <c r="E1307" s="4"/>
      <c r="F1307" s="4"/>
      <c r="G1307" s="4"/>
      <c r="H1307" s="4"/>
      <c r="I1307" s="4"/>
      <c r="J1307" s="18"/>
      <c r="K1307" s="4"/>
      <c r="L1307" s="19"/>
      <c r="M1307" s="20"/>
    </row>
    <row r="1308">
      <c r="A1308" s="6"/>
      <c r="B1308" s="6"/>
      <c r="C1308" s="4"/>
      <c r="D1308" s="4"/>
      <c r="E1308" s="4"/>
      <c r="F1308" s="4"/>
      <c r="G1308" s="4"/>
      <c r="H1308" s="4"/>
      <c r="I1308" s="4"/>
      <c r="J1308" s="18"/>
      <c r="K1308" s="4"/>
      <c r="L1308" s="19"/>
      <c r="M1308" s="20"/>
    </row>
    <row r="1309">
      <c r="A1309" s="6"/>
      <c r="B1309" s="6"/>
      <c r="C1309" s="4"/>
      <c r="D1309" s="4"/>
      <c r="E1309" s="4"/>
      <c r="F1309" s="4"/>
      <c r="G1309" s="4"/>
      <c r="H1309" s="4"/>
      <c r="I1309" s="4"/>
      <c r="J1309" s="18"/>
      <c r="K1309" s="4"/>
      <c r="L1309" s="19"/>
      <c r="M1309" s="20"/>
    </row>
    <row r="1310">
      <c r="A1310" s="6"/>
      <c r="B1310" s="6"/>
      <c r="C1310" s="4"/>
      <c r="D1310" s="4"/>
      <c r="E1310" s="4"/>
      <c r="F1310" s="4"/>
      <c r="G1310" s="4"/>
      <c r="H1310" s="4"/>
      <c r="I1310" s="4"/>
      <c r="J1310" s="18"/>
      <c r="K1310" s="4"/>
      <c r="L1310" s="19"/>
      <c r="M1310" s="20"/>
    </row>
    <row r="1311">
      <c r="A1311" s="6"/>
      <c r="B1311" s="6"/>
      <c r="C1311" s="4"/>
      <c r="D1311" s="4"/>
      <c r="E1311" s="4"/>
      <c r="F1311" s="4"/>
      <c r="G1311" s="4"/>
      <c r="H1311" s="4"/>
      <c r="I1311" s="4"/>
      <c r="J1311" s="18"/>
      <c r="K1311" s="4"/>
      <c r="L1311" s="19"/>
      <c r="M1311" s="20"/>
    </row>
    <row r="1312">
      <c r="A1312" s="6"/>
      <c r="B1312" s="6"/>
      <c r="C1312" s="4"/>
      <c r="D1312" s="4"/>
      <c r="E1312" s="4"/>
      <c r="F1312" s="4"/>
      <c r="G1312" s="4"/>
      <c r="H1312" s="4"/>
      <c r="I1312" s="4"/>
      <c r="J1312" s="18"/>
      <c r="K1312" s="4"/>
      <c r="L1312" s="19"/>
      <c r="M1312" s="20"/>
    </row>
    <row r="1313">
      <c r="A1313" s="6"/>
      <c r="B1313" s="6"/>
      <c r="C1313" s="4"/>
      <c r="D1313" s="4"/>
      <c r="E1313" s="4"/>
      <c r="F1313" s="4"/>
      <c r="G1313" s="4"/>
      <c r="H1313" s="4"/>
      <c r="I1313" s="4"/>
      <c r="J1313" s="18"/>
      <c r="K1313" s="4"/>
      <c r="L1313" s="19"/>
      <c r="M1313" s="20"/>
    </row>
    <row r="1314">
      <c r="A1314" s="6"/>
      <c r="B1314" s="6"/>
      <c r="C1314" s="4"/>
      <c r="D1314" s="4"/>
      <c r="E1314" s="4"/>
      <c r="F1314" s="4"/>
      <c r="G1314" s="4"/>
      <c r="H1314" s="4"/>
      <c r="I1314" s="4"/>
      <c r="J1314" s="18"/>
      <c r="K1314" s="4"/>
      <c r="L1314" s="19"/>
      <c r="M1314" s="20"/>
    </row>
    <row r="1315">
      <c r="A1315" s="6"/>
      <c r="B1315" s="6"/>
      <c r="C1315" s="4"/>
      <c r="D1315" s="4"/>
      <c r="E1315" s="4"/>
      <c r="F1315" s="4"/>
      <c r="G1315" s="4"/>
      <c r="H1315" s="4"/>
      <c r="I1315" s="4"/>
      <c r="J1315" s="18"/>
      <c r="K1315" s="4"/>
      <c r="L1315" s="19"/>
      <c r="M1315" s="20"/>
    </row>
    <row r="1316">
      <c r="A1316" s="6"/>
      <c r="B1316" s="6"/>
      <c r="C1316" s="4"/>
      <c r="D1316" s="4"/>
      <c r="E1316" s="4"/>
      <c r="F1316" s="4"/>
      <c r="G1316" s="4"/>
      <c r="H1316" s="4"/>
      <c r="I1316" s="4"/>
      <c r="J1316" s="18"/>
      <c r="K1316" s="4"/>
      <c r="L1316" s="19"/>
      <c r="M1316" s="20"/>
    </row>
    <row r="1317">
      <c r="A1317" s="6"/>
      <c r="B1317" s="6"/>
      <c r="C1317" s="4"/>
      <c r="D1317" s="4"/>
      <c r="E1317" s="4"/>
      <c r="F1317" s="4"/>
      <c r="G1317" s="4"/>
      <c r="H1317" s="4"/>
      <c r="I1317" s="4"/>
      <c r="J1317" s="18"/>
      <c r="K1317" s="4"/>
      <c r="L1317" s="19"/>
      <c r="M1317" s="20"/>
    </row>
    <row r="1318">
      <c r="A1318" s="6"/>
      <c r="B1318" s="6"/>
      <c r="C1318" s="4"/>
      <c r="D1318" s="4"/>
      <c r="E1318" s="4"/>
      <c r="F1318" s="4"/>
      <c r="G1318" s="4"/>
      <c r="H1318" s="4"/>
      <c r="I1318" s="4"/>
      <c r="J1318" s="18"/>
      <c r="K1318" s="4"/>
      <c r="L1318" s="19"/>
      <c r="M1318" s="20"/>
    </row>
    <row r="1319">
      <c r="A1319" s="6"/>
      <c r="B1319" s="6"/>
      <c r="C1319" s="4"/>
      <c r="D1319" s="4"/>
      <c r="E1319" s="4"/>
      <c r="F1319" s="4"/>
      <c r="G1319" s="4"/>
      <c r="H1319" s="4"/>
      <c r="I1319" s="4"/>
      <c r="J1319" s="18"/>
      <c r="K1319" s="4"/>
      <c r="L1319" s="19"/>
      <c r="M1319" s="20"/>
    </row>
    <row r="1320">
      <c r="A1320" s="6"/>
      <c r="B1320" s="6"/>
      <c r="C1320" s="4"/>
      <c r="D1320" s="4"/>
      <c r="E1320" s="4"/>
      <c r="F1320" s="4"/>
      <c r="G1320" s="4"/>
      <c r="H1320" s="4"/>
      <c r="I1320" s="4"/>
      <c r="J1320" s="18"/>
      <c r="K1320" s="4"/>
      <c r="L1320" s="19"/>
      <c r="M1320" s="20"/>
    </row>
    <row r="1321">
      <c r="A1321" s="6"/>
      <c r="B1321" s="6"/>
      <c r="C1321" s="4"/>
      <c r="D1321" s="4"/>
      <c r="E1321" s="4"/>
      <c r="F1321" s="4"/>
      <c r="G1321" s="4"/>
      <c r="H1321" s="4"/>
      <c r="I1321" s="4"/>
      <c r="J1321" s="18"/>
      <c r="K1321" s="4"/>
      <c r="L1321" s="19"/>
      <c r="M1321" s="20"/>
    </row>
    <row r="1322">
      <c r="A1322" s="6"/>
      <c r="B1322" s="6"/>
      <c r="C1322" s="4"/>
      <c r="D1322" s="4"/>
      <c r="E1322" s="4"/>
      <c r="F1322" s="4"/>
      <c r="G1322" s="4"/>
      <c r="H1322" s="4"/>
      <c r="I1322" s="4"/>
      <c r="J1322" s="18"/>
      <c r="K1322" s="4"/>
      <c r="L1322" s="19"/>
      <c r="M1322" s="20"/>
    </row>
    <row r="1323">
      <c r="A1323" s="6"/>
      <c r="B1323" s="6"/>
      <c r="C1323" s="4"/>
      <c r="D1323" s="4"/>
      <c r="E1323" s="4"/>
      <c r="F1323" s="4"/>
      <c r="G1323" s="4"/>
      <c r="H1323" s="4"/>
      <c r="I1323" s="4"/>
      <c r="J1323" s="18"/>
      <c r="K1323" s="4"/>
      <c r="L1323" s="19"/>
      <c r="M1323" s="20"/>
    </row>
    <row r="1324">
      <c r="A1324" s="6"/>
      <c r="B1324" s="6"/>
      <c r="C1324" s="4"/>
      <c r="D1324" s="4"/>
      <c r="E1324" s="4"/>
      <c r="F1324" s="4"/>
      <c r="G1324" s="4"/>
      <c r="H1324" s="4"/>
      <c r="I1324" s="4"/>
      <c r="J1324" s="18"/>
      <c r="K1324" s="4"/>
      <c r="L1324" s="19"/>
      <c r="M1324" s="20"/>
    </row>
    <row r="1325">
      <c r="A1325" s="6"/>
      <c r="B1325" s="6"/>
      <c r="C1325" s="4"/>
      <c r="D1325" s="4"/>
      <c r="E1325" s="4"/>
      <c r="F1325" s="4"/>
      <c r="G1325" s="4"/>
      <c r="H1325" s="4"/>
      <c r="I1325" s="4"/>
      <c r="J1325" s="18"/>
      <c r="K1325" s="4"/>
      <c r="L1325" s="19"/>
      <c r="M1325" s="20"/>
    </row>
    <row r="1326">
      <c r="A1326" s="6"/>
      <c r="B1326" s="6"/>
      <c r="C1326" s="4"/>
      <c r="D1326" s="4"/>
      <c r="E1326" s="4"/>
      <c r="F1326" s="4"/>
      <c r="G1326" s="4"/>
      <c r="H1326" s="4"/>
      <c r="I1326" s="4"/>
      <c r="J1326" s="18"/>
      <c r="K1326" s="4"/>
      <c r="L1326" s="19"/>
      <c r="M1326" s="20"/>
    </row>
    <row r="1327">
      <c r="A1327" s="6"/>
      <c r="B1327" s="6"/>
      <c r="C1327" s="4"/>
      <c r="D1327" s="4"/>
      <c r="E1327" s="4"/>
      <c r="F1327" s="4"/>
      <c r="G1327" s="4"/>
      <c r="H1327" s="4"/>
      <c r="I1327" s="4"/>
      <c r="J1327" s="18"/>
      <c r="K1327" s="4"/>
      <c r="L1327" s="19"/>
      <c r="M1327" s="20"/>
    </row>
    <row r="1328">
      <c r="A1328" s="6"/>
      <c r="B1328" s="6"/>
      <c r="C1328" s="4"/>
      <c r="D1328" s="4"/>
      <c r="E1328" s="4"/>
      <c r="F1328" s="4"/>
      <c r="G1328" s="4"/>
      <c r="H1328" s="4"/>
      <c r="I1328" s="4"/>
      <c r="J1328" s="18"/>
      <c r="K1328" s="4"/>
      <c r="L1328" s="19"/>
      <c r="M1328" s="20"/>
    </row>
    <row r="1329">
      <c r="A1329" s="6"/>
      <c r="B1329" s="6"/>
      <c r="C1329" s="4"/>
      <c r="D1329" s="4"/>
      <c r="E1329" s="4"/>
      <c r="F1329" s="4"/>
      <c r="G1329" s="4"/>
      <c r="H1329" s="4"/>
      <c r="I1329" s="4"/>
      <c r="J1329" s="18"/>
      <c r="K1329" s="4"/>
      <c r="L1329" s="19"/>
      <c r="M1329" s="20"/>
    </row>
    <row r="1330">
      <c r="A1330" s="6"/>
      <c r="B1330" s="6"/>
      <c r="C1330" s="4"/>
      <c r="D1330" s="4"/>
      <c r="E1330" s="4"/>
      <c r="F1330" s="4"/>
      <c r="G1330" s="4"/>
      <c r="H1330" s="4"/>
      <c r="I1330" s="4"/>
      <c r="J1330" s="18"/>
      <c r="K1330" s="4"/>
      <c r="L1330" s="19"/>
      <c r="M1330" s="20"/>
    </row>
    <row r="1331">
      <c r="A1331" s="6"/>
      <c r="B1331" s="6"/>
      <c r="C1331" s="4"/>
      <c r="D1331" s="4"/>
      <c r="E1331" s="4"/>
      <c r="F1331" s="4"/>
      <c r="G1331" s="4"/>
      <c r="H1331" s="4"/>
      <c r="I1331" s="4"/>
      <c r="J1331" s="18"/>
      <c r="K1331" s="4"/>
      <c r="L1331" s="19"/>
      <c r="M1331" s="20"/>
    </row>
    <row r="1332">
      <c r="A1332" s="6"/>
      <c r="B1332" s="6"/>
      <c r="C1332" s="4"/>
      <c r="D1332" s="4"/>
      <c r="E1332" s="4"/>
      <c r="F1332" s="4"/>
      <c r="G1332" s="4"/>
      <c r="H1332" s="4"/>
      <c r="I1332" s="4"/>
      <c r="J1332" s="18"/>
      <c r="K1332" s="4"/>
      <c r="L1332" s="19"/>
      <c r="M1332" s="20"/>
    </row>
    <row r="1333">
      <c r="A1333" s="6"/>
      <c r="B1333" s="6"/>
      <c r="C1333" s="4"/>
      <c r="D1333" s="4"/>
      <c r="E1333" s="4"/>
      <c r="F1333" s="4"/>
      <c r="G1333" s="4"/>
      <c r="H1333" s="4"/>
      <c r="I1333" s="4"/>
      <c r="J1333" s="18"/>
      <c r="K1333" s="4"/>
      <c r="L1333" s="19"/>
      <c r="M1333" s="20"/>
    </row>
    <row r="1334">
      <c r="A1334" s="6"/>
      <c r="B1334" s="6"/>
      <c r="C1334" s="4"/>
      <c r="D1334" s="4"/>
      <c r="E1334" s="4"/>
      <c r="F1334" s="4"/>
      <c r="G1334" s="4"/>
      <c r="H1334" s="4"/>
      <c r="I1334" s="4"/>
      <c r="J1334" s="18"/>
      <c r="K1334" s="4"/>
      <c r="L1334" s="19"/>
      <c r="M1334" s="20"/>
    </row>
    <row r="1335">
      <c r="A1335" s="6"/>
      <c r="B1335" s="6"/>
      <c r="C1335" s="4"/>
      <c r="D1335" s="4"/>
      <c r="E1335" s="4"/>
      <c r="F1335" s="4"/>
      <c r="G1335" s="4"/>
      <c r="H1335" s="4"/>
      <c r="I1335" s="4"/>
      <c r="J1335" s="18"/>
      <c r="K1335" s="4"/>
      <c r="L1335" s="19"/>
      <c r="M1335" s="20"/>
    </row>
    <row r="1336">
      <c r="A1336" s="6"/>
      <c r="B1336" s="6"/>
      <c r="C1336" s="4"/>
      <c r="D1336" s="4"/>
      <c r="E1336" s="4"/>
      <c r="F1336" s="4"/>
      <c r="G1336" s="4"/>
      <c r="H1336" s="4"/>
      <c r="I1336" s="4"/>
      <c r="J1336" s="18"/>
      <c r="K1336" s="4"/>
      <c r="L1336" s="19"/>
      <c r="M1336" s="20"/>
    </row>
    <row r="1337">
      <c r="A1337" s="6"/>
      <c r="B1337" s="6"/>
      <c r="C1337" s="4"/>
      <c r="D1337" s="4"/>
      <c r="E1337" s="4"/>
      <c r="F1337" s="4"/>
      <c r="G1337" s="4"/>
      <c r="H1337" s="4"/>
      <c r="I1337" s="4"/>
      <c r="J1337" s="18"/>
      <c r="K1337" s="4"/>
      <c r="L1337" s="19"/>
      <c r="M1337" s="20"/>
    </row>
    <row r="1338">
      <c r="A1338" s="6"/>
      <c r="B1338" s="6"/>
      <c r="C1338" s="4"/>
      <c r="D1338" s="4"/>
      <c r="E1338" s="4"/>
      <c r="F1338" s="4"/>
      <c r="G1338" s="4"/>
      <c r="H1338" s="4"/>
      <c r="I1338" s="4"/>
      <c r="J1338" s="18"/>
      <c r="K1338" s="4"/>
      <c r="L1338" s="19"/>
      <c r="M1338" s="20"/>
    </row>
    <row r="1339">
      <c r="A1339" s="6"/>
      <c r="B1339" s="6"/>
      <c r="C1339" s="4"/>
      <c r="D1339" s="4"/>
      <c r="E1339" s="4"/>
      <c r="F1339" s="4"/>
      <c r="G1339" s="4"/>
      <c r="H1339" s="4"/>
      <c r="I1339" s="4"/>
      <c r="J1339" s="18"/>
      <c r="K1339" s="4"/>
      <c r="L1339" s="19"/>
      <c r="M1339" s="20"/>
    </row>
    <row r="1340">
      <c r="A1340" s="6"/>
      <c r="B1340" s="6"/>
      <c r="C1340" s="4"/>
      <c r="D1340" s="4"/>
      <c r="E1340" s="4"/>
      <c r="F1340" s="4"/>
      <c r="G1340" s="4"/>
      <c r="H1340" s="4"/>
      <c r="I1340" s="4"/>
      <c r="J1340" s="18"/>
      <c r="K1340" s="4"/>
      <c r="L1340" s="19"/>
      <c r="M1340" s="20"/>
    </row>
    <row r="1341">
      <c r="A1341" s="6"/>
      <c r="B1341" s="6"/>
      <c r="C1341" s="4"/>
      <c r="D1341" s="4"/>
      <c r="E1341" s="4"/>
      <c r="F1341" s="4"/>
      <c r="G1341" s="4"/>
      <c r="H1341" s="4"/>
      <c r="I1341" s="4"/>
      <c r="J1341" s="18"/>
      <c r="K1341" s="4"/>
      <c r="L1341" s="19"/>
      <c r="M1341" s="20"/>
    </row>
    <row r="1342">
      <c r="A1342" s="6"/>
      <c r="B1342" s="6"/>
      <c r="C1342" s="4"/>
      <c r="D1342" s="4"/>
      <c r="E1342" s="4"/>
      <c r="F1342" s="4"/>
      <c r="G1342" s="4"/>
      <c r="H1342" s="4"/>
      <c r="I1342" s="4"/>
      <c r="J1342" s="18"/>
      <c r="K1342" s="4"/>
      <c r="L1342" s="19"/>
      <c r="M1342" s="20"/>
    </row>
    <row r="1343">
      <c r="A1343" s="6"/>
      <c r="B1343" s="6"/>
      <c r="C1343" s="4"/>
      <c r="D1343" s="4"/>
      <c r="E1343" s="4"/>
      <c r="F1343" s="4"/>
      <c r="G1343" s="4"/>
      <c r="H1343" s="4"/>
      <c r="I1343" s="4"/>
      <c r="J1343" s="18"/>
      <c r="K1343" s="4"/>
      <c r="L1343" s="19"/>
      <c r="M1343" s="20"/>
    </row>
    <row r="1344">
      <c r="A1344" s="6"/>
      <c r="B1344" s="6"/>
      <c r="C1344" s="4"/>
      <c r="D1344" s="4"/>
      <c r="E1344" s="4"/>
      <c r="F1344" s="4"/>
      <c r="G1344" s="4"/>
      <c r="H1344" s="4"/>
      <c r="I1344" s="4"/>
      <c r="J1344" s="18"/>
      <c r="K1344" s="4"/>
      <c r="L1344" s="19"/>
      <c r="M1344" s="20"/>
    </row>
    <row r="1345">
      <c r="A1345" s="6"/>
      <c r="B1345" s="6"/>
      <c r="C1345" s="4"/>
      <c r="D1345" s="4"/>
      <c r="E1345" s="4"/>
      <c r="F1345" s="4"/>
      <c r="G1345" s="4"/>
      <c r="H1345" s="4"/>
      <c r="I1345" s="4"/>
      <c r="J1345" s="18"/>
      <c r="K1345" s="4"/>
      <c r="L1345" s="19"/>
      <c r="M1345" s="20"/>
    </row>
    <row r="1346">
      <c r="A1346" s="6"/>
      <c r="B1346" s="6"/>
      <c r="C1346" s="4"/>
      <c r="D1346" s="4"/>
      <c r="E1346" s="4"/>
      <c r="F1346" s="4"/>
      <c r="G1346" s="4"/>
      <c r="H1346" s="4"/>
      <c r="I1346" s="4"/>
      <c r="J1346" s="18"/>
      <c r="K1346" s="4"/>
      <c r="L1346" s="19"/>
      <c r="M1346" s="20"/>
    </row>
    <row r="1347">
      <c r="A1347" s="6"/>
      <c r="B1347" s="6"/>
      <c r="C1347" s="4"/>
      <c r="D1347" s="4"/>
      <c r="E1347" s="4"/>
      <c r="F1347" s="4"/>
      <c r="G1347" s="4"/>
      <c r="H1347" s="4"/>
      <c r="I1347" s="4"/>
      <c r="J1347" s="18"/>
      <c r="K1347" s="4"/>
      <c r="L1347" s="19"/>
      <c r="M1347" s="20"/>
    </row>
    <row r="1348">
      <c r="A1348" s="6"/>
      <c r="B1348" s="6"/>
      <c r="C1348" s="4"/>
      <c r="D1348" s="4"/>
      <c r="E1348" s="4"/>
      <c r="F1348" s="4"/>
      <c r="G1348" s="4"/>
      <c r="H1348" s="4"/>
      <c r="I1348" s="4"/>
      <c r="J1348" s="18"/>
      <c r="K1348" s="4"/>
      <c r="L1348" s="19"/>
      <c r="M1348" s="20"/>
    </row>
    <row r="1349">
      <c r="A1349" s="6"/>
      <c r="B1349" s="6"/>
      <c r="C1349" s="4"/>
      <c r="D1349" s="4"/>
      <c r="E1349" s="4"/>
      <c r="F1349" s="4"/>
      <c r="G1349" s="4"/>
      <c r="H1349" s="4"/>
      <c r="I1349" s="4"/>
      <c r="J1349" s="18"/>
      <c r="K1349" s="4"/>
      <c r="L1349" s="19"/>
      <c r="M1349" s="20"/>
    </row>
    <row r="1350">
      <c r="A1350" s="6"/>
      <c r="B1350" s="6"/>
      <c r="C1350" s="4"/>
      <c r="D1350" s="4"/>
      <c r="E1350" s="4"/>
      <c r="F1350" s="4"/>
      <c r="G1350" s="4"/>
      <c r="H1350" s="4"/>
      <c r="I1350" s="4"/>
      <c r="J1350" s="18"/>
      <c r="K1350" s="4"/>
      <c r="L1350" s="19"/>
      <c r="M1350" s="20"/>
    </row>
    <row r="1351">
      <c r="A1351" s="6"/>
      <c r="B1351" s="6"/>
      <c r="C1351" s="4"/>
      <c r="D1351" s="4"/>
      <c r="E1351" s="4"/>
      <c r="F1351" s="4"/>
      <c r="G1351" s="4"/>
      <c r="H1351" s="4"/>
      <c r="I1351" s="4"/>
      <c r="J1351" s="18"/>
      <c r="K1351" s="4"/>
      <c r="L1351" s="19"/>
      <c r="M1351" s="20"/>
    </row>
    <row r="1352">
      <c r="A1352" s="6"/>
      <c r="B1352" s="6"/>
      <c r="C1352" s="4"/>
      <c r="D1352" s="4"/>
      <c r="E1352" s="4"/>
      <c r="F1352" s="4"/>
      <c r="G1352" s="4"/>
      <c r="H1352" s="4"/>
      <c r="I1352" s="4"/>
      <c r="J1352" s="18"/>
      <c r="K1352" s="4"/>
      <c r="L1352" s="19"/>
      <c r="M1352" s="20"/>
    </row>
    <row r="1353">
      <c r="A1353" s="6"/>
      <c r="B1353" s="6"/>
      <c r="C1353" s="4"/>
      <c r="D1353" s="4"/>
      <c r="E1353" s="4"/>
      <c r="F1353" s="4"/>
      <c r="G1353" s="4"/>
      <c r="H1353" s="4"/>
      <c r="I1353" s="4"/>
      <c r="J1353" s="18"/>
      <c r="K1353" s="4"/>
      <c r="L1353" s="19"/>
      <c r="M1353" s="20"/>
    </row>
    <row r="1354">
      <c r="A1354" s="6"/>
      <c r="B1354" s="6"/>
      <c r="C1354" s="4"/>
      <c r="D1354" s="4"/>
      <c r="E1354" s="4"/>
      <c r="F1354" s="4"/>
      <c r="G1354" s="4"/>
      <c r="H1354" s="4"/>
      <c r="I1354" s="4"/>
      <c r="J1354" s="18"/>
      <c r="K1354" s="4"/>
      <c r="L1354" s="19"/>
      <c r="M1354" s="20"/>
    </row>
    <row r="1355">
      <c r="A1355" s="6"/>
      <c r="B1355" s="6"/>
      <c r="C1355" s="4"/>
      <c r="D1355" s="4"/>
      <c r="E1355" s="4"/>
      <c r="F1355" s="4"/>
      <c r="G1355" s="4"/>
      <c r="H1355" s="4"/>
      <c r="I1355" s="4"/>
      <c r="J1355" s="18"/>
      <c r="K1355" s="4"/>
      <c r="L1355" s="19"/>
      <c r="M1355" s="20"/>
    </row>
    <row r="1356">
      <c r="A1356" s="6"/>
      <c r="B1356" s="6"/>
      <c r="C1356" s="4"/>
      <c r="D1356" s="4"/>
      <c r="E1356" s="4"/>
      <c r="F1356" s="4"/>
      <c r="G1356" s="4"/>
      <c r="H1356" s="4"/>
      <c r="I1356" s="4"/>
      <c r="J1356" s="18"/>
      <c r="K1356" s="4"/>
      <c r="L1356" s="19"/>
      <c r="M1356" s="20"/>
    </row>
    <row r="1357">
      <c r="A1357" s="6"/>
      <c r="B1357" s="6"/>
      <c r="C1357" s="4"/>
      <c r="D1357" s="4"/>
      <c r="E1357" s="4"/>
      <c r="F1357" s="4"/>
      <c r="G1357" s="4"/>
      <c r="H1357" s="4"/>
      <c r="I1357" s="4"/>
      <c r="J1357" s="18"/>
      <c r="K1357" s="4"/>
      <c r="L1357" s="19"/>
      <c r="M1357" s="20"/>
    </row>
    <row r="1358">
      <c r="A1358" s="6"/>
      <c r="B1358" s="6"/>
      <c r="C1358" s="4"/>
      <c r="D1358" s="4"/>
      <c r="E1358" s="4"/>
      <c r="F1358" s="4"/>
      <c r="G1358" s="4"/>
      <c r="H1358" s="4"/>
      <c r="I1358" s="4"/>
      <c r="J1358" s="18"/>
      <c r="K1358" s="4"/>
      <c r="L1358" s="19"/>
      <c r="M1358" s="20"/>
    </row>
    <row r="1359">
      <c r="A1359" s="6"/>
      <c r="B1359" s="6"/>
      <c r="C1359" s="4"/>
      <c r="D1359" s="4"/>
      <c r="E1359" s="4"/>
      <c r="F1359" s="4"/>
      <c r="G1359" s="4"/>
      <c r="H1359" s="4"/>
      <c r="I1359" s="4"/>
      <c r="J1359" s="18"/>
      <c r="K1359" s="4"/>
      <c r="L1359" s="19"/>
      <c r="M1359" s="20"/>
    </row>
    <row r="1360">
      <c r="A1360" s="6"/>
      <c r="B1360" s="6"/>
      <c r="C1360" s="4"/>
      <c r="D1360" s="4"/>
      <c r="E1360" s="4"/>
      <c r="F1360" s="4"/>
      <c r="G1360" s="4"/>
      <c r="H1360" s="4"/>
      <c r="I1360" s="4"/>
      <c r="J1360" s="18"/>
      <c r="K1360" s="4"/>
      <c r="L1360" s="19"/>
      <c r="M1360" s="20"/>
    </row>
    <row r="1361">
      <c r="A1361" s="6"/>
      <c r="B1361" s="6"/>
      <c r="C1361" s="4"/>
      <c r="D1361" s="4"/>
      <c r="E1361" s="4"/>
      <c r="F1361" s="4"/>
      <c r="G1361" s="4"/>
      <c r="H1361" s="4"/>
      <c r="I1361" s="4"/>
      <c r="J1361" s="18"/>
      <c r="K1361" s="4"/>
      <c r="L1361" s="19"/>
      <c r="M1361" s="20"/>
    </row>
    <row r="1362">
      <c r="A1362" s="6"/>
      <c r="B1362" s="6"/>
      <c r="C1362" s="4"/>
      <c r="D1362" s="4"/>
      <c r="E1362" s="4"/>
      <c r="F1362" s="4"/>
      <c r="G1362" s="4"/>
      <c r="H1362" s="4"/>
      <c r="I1362" s="4"/>
      <c r="J1362" s="18"/>
      <c r="K1362" s="4"/>
      <c r="L1362" s="19"/>
      <c r="M1362" s="20"/>
    </row>
    <row r="1363">
      <c r="A1363" s="6"/>
      <c r="B1363" s="6"/>
      <c r="C1363" s="4"/>
      <c r="D1363" s="4"/>
      <c r="E1363" s="4"/>
      <c r="F1363" s="4"/>
      <c r="G1363" s="4"/>
      <c r="H1363" s="4"/>
      <c r="I1363" s="4"/>
      <c r="J1363" s="18"/>
      <c r="K1363" s="4"/>
      <c r="L1363" s="19"/>
      <c r="M1363" s="20"/>
    </row>
    <row r="1364">
      <c r="A1364" s="6"/>
      <c r="B1364" s="6"/>
      <c r="C1364" s="4"/>
      <c r="D1364" s="4"/>
      <c r="E1364" s="4"/>
      <c r="F1364" s="4"/>
      <c r="G1364" s="4"/>
      <c r="H1364" s="4"/>
      <c r="I1364" s="4"/>
      <c r="J1364" s="18"/>
      <c r="K1364" s="4"/>
      <c r="L1364" s="19"/>
      <c r="M1364" s="20"/>
    </row>
    <row r="1365">
      <c r="A1365" s="6"/>
      <c r="B1365" s="6"/>
      <c r="C1365" s="4"/>
      <c r="D1365" s="4"/>
      <c r="E1365" s="4"/>
      <c r="F1365" s="4"/>
      <c r="G1365" s="4"/>
      <c r="H1365" s="4"/>
      <c r="I1365" s="4"/>
      <c r="J1365" s="18"/>
      <c r="K1365" s="4"/>
      <c r="L1365" s="19"/>
      <c r="M1365" s="20"/>
    </row>
    <row r="1366">
      <c r="A1366" s="6"/>
      <c r="B1366" s="6"/>
      <c r="C1366" s="4"/>
      <c r="D1366" s="4"/>
      <c r="E1366" s="4"/>
      <c r="F1366" s="4"/>
      <c r="G1366" s="4"/>
      <c r="H1366" s="4"/>
      <c r="I1366" s="4"/>
      <c r="J1366" s="18"/>
      <c r="K1366" s="4"/>
      <c r="L1366" s="19"/>
      <c r="M1366" s="20"/>
    </row>
    <row r="1367">
      <c r="A1367" s="6"/>
      <c r="B1367" s="6"/>
      <c r="C1367" s="4"/>
      <c r="D1367" s="4"/>
      <c r="E1367" s="4"/>
      <c r="F1367" s="4"/>
      <c r="G1367" s="4"/>
      <c r="H1367" s="4"/>
      <c r="I1367" s="4"/>
      <c r="J1367" s="18"/>
      <c r="K1367" s="4"/>
      <c r="L1367" s="19"/>
      <c r="M1367" s="20"/>
    </row>
    <row r="1368">
      <c r="A1368" s="6"/>
      <c r="B1368" s="6"/>
      <c r="C1368" s="4"/>
      <c r="D1368" s="4"/>
      <c r="E1368" s="4"/>
      <c r="F1368" s="4"/>
      <c r="G1368" s="4"/>
      <c r="H1368" s="4"/>
      <c r="I1368" s="4"/>
      <c r="J1368" s="18"/>
      <c r="K1368" s="4"/>
      <c r="L1368" s="19"/>
      <c r="M1368" s="20"/>
    </row>
    <row r="1369">
      <c r="A1369" s="6"/>
      <c r="B1369" s="6"/>
      <c r="C1369" s="4"/>
      <c r="D1369" s="4"/>
      <c r="E1369" s="4"/>
      <c r="F1369" s="4"/>
      <c r="G1369" s="4"/>
      <c r="H1369" s="4"/>
      <c r="I1369" s="4"/>
      <c r="J1369" s="18"/>
      <c r="K1369" s="4"/>
      <c r="L1369" s="19"/>
      <c r="M1369" s="20"/>
    </row>
    <row r="1370">
      <c r="A1370" s="6"/>
      <c r="B1370" s="6"/>
      <c r="C1370" s="4"/>
      <c r="D1370" s="4"/>
      <c r="E1370" s="4"/>
      <c r="F1370" s="4"/>
      <c r="G1370" s="4"/>
      <c r="H1370" s="4"/>
      <c r="I1370" s="4"/>
      <c r="J1370" s="18"/>
      <c r="K1370" s="4"/>
      <c r="L1370" s="19"/>
      <c r="M1370" s="20"/>
    </row>
    <row r="1371">
      <c r="A1371" s="6"/>
      <c r="B1371" s="6"/>
      <c r="C1371" s="4"/>
      <c r="D1371" s="4"/>
      <c r="E1371" s="4"/>
      <c r="F1371" s="4"/>
      <c r="G1371" s="4"/>
      <c r="H1371" s="4"/>
      <c r="I1371" s="4"/>
      <c r="J1371" s="18"/>
      <c r="K1371" s="4"/>
      <c r="L1371" s="19"/>
      <c r="M1371" s="20"/>
    </row>
    <row r="1372">
      <c r="A1372" s="6"/>
      <c r="B1372" s="6"/>
      <c r="C1372" s="4"/>
      <c r="D1372" s="4"/>
      <c r="E1372" s="4"/>
      <c r="F1372" s="4"/>
      <c r="G1372" s="4"/>
      <c r="H1372" s="4"/>
      <c r="I1372" s="4"/>
      <c r="J1372" s="18"/>
      <c r="K1372" s="4"/>
      <c r="L1372" s="19"/>
      <c r="M1372" s="20"/>
    </row>
    <row r="1373">
      <c r="A1373" s="6"/>
      <c r="B1373" s="6"/>
      <c r="C1373" s="4"/>
      <c r="D1373" s="4"/>
      <c r="E1373" s="4"/>
      <c r="F1373" s="4"/>
      <c r="G1373" s="4"/>
      <c r="H1373" s="4"/>
      <c r="I1373" s="4"/>
      <c r="J1373" s="18"/>
      <c r="K1373" s="4"/>
      <c r="L1373" s="19"/>
      <c r="M1373" s="20"/>
    </row>
    <row r="1374">
      <c r="A1374" s="6"/>
      <c r="B1374" s="6"/>
      <c r="C1374" s="4"/>
      <c r="D1374" s="4"/>
      <c r="E1374" s="4"/>
      <c r="F1374" s="4"/>
      <c r="G1374" s="4"/>
      <c r="H1374" s="4"/>
      <c r="I1374" s="4"/>
      <c r="J1374" s="18"/>
      <c r="K1374" s="4"/>
      <c r="L1374" s="19"/>
      <c r="M1374" s="20"/>
    </row>
    <row r="1375">
      <c r="A1375" s="6"/>
      <c r="B1375" s="6"/>
      <c r="C1375" s="4"/>
      <c r="D1375" s="4"/>
      <c r="E1375" s="4"/>
      <c r="F1375" s="4"/>
      <c r="G1375" s="4"/>
      <c r="H1375" s="4"/>
      <c r="I1375" s="4"/>
      <c r="J1375" s="18"/>
      <c r="K1375" s="4"/>
      <c r="L1375" s="19"/>
      <c r="M1375" s="20"/>
    </row>
    <row r="1376">
      <c r="A1376" s="6"/>
      <c r="B1376" s="6"/>
      <c r="C1376" s="4"/>
      <c r="D1376" s="4"/>
      <c r="E1376" s="4"/>
      <c r="F1376" s="4"/>
      <c r="G1376" s="4"/>
      <c r="H1376" s="4"/>
      <c r="I1376" s="4"/>
      <c r="J1376" s="18"/>
      <c r="K1376" s="4"/>
      <c r="L1376" s="19"/>
      <c r="M1376" s="20"/>
    </row>
    <row r="1377">
      <c r="A1377" s="6"/>
      <c r="B1377" s="6"/>
      <c r="C1377" s="4"/>
      <c r="D1377" s="4"/>
      <c r="E1377" s="4"/>
      <c r="F1377" s="4"/>
      <c r="G1377" s="4"/>
      <c r="H1377" s="4"/>
      <c r="I1377" s="4"/>
      <c r="J1377" s="18"/>
      <c r="K1377" s="4"/>
      <c r="L1377" s="19"/>
      <c r="M1377" s="20"/>
    </row>
    <row r="1378">
      <c r="A1378" s="6"/>
      <c r="B1378" s="6"/>
      <c r="C1378" s="4"/>
      <c r="D1378" s="4"/>
      <c r="E1378" s="4"/>
      <c r="F1378" s="4"/>
      <c r="G1378" s="4"/>
      <c r="H1378" s="4"/>
      <c r="I1378" s="4"/>
      <c r="J1378" s="18"/>
      <c r="K1378" s="4"/>
      <c r="L1378" s="19"/>
      <c r="M1378" s="20"/>
    </row>
    <row r="1379">
      <c r="A1379" s="6"/>
      <c r="B1379" s="6"/>
      <c r="C1379" s="4"/>
      <c r="D1379" s="4"/>
      <c r="E1379" s="4"/>
      <c r="F1379" s="4"/>
      <c r="G1379" s="4"/>
      <c r="H1379" s="4"/>
      <c r="I1379" s="4"/>
      <c r="J1379" s="18"/>
      <c r="K1379" s="4"/>
      <c r="L1379" s="19"/>
      <c r="M1379" s="20"/>
    </row>
    <row r="1380">
      <c r="A1380" s="6"/>
      <c r="B1380" s="6"/>
      <c r="C1380" s="4"/>
      <c r="D1380" s="4"/>
      <c r="E1380" s="4"/>
      <c r="F1380" s="4"/>
      <c r="G1380" s="4"/>
      <c r="H1380" s="4"/>
      <c r="I1380" s="4"/>
      <c r="J1380" s="18"/>
      <c r="K1380" s="4"/>
      <c r="L1380" s="19"/>
      <c r="M1380" s="20"/>
    </row>
    <row r="1381">
      <c r="A1381" s="6"/>
      <c r="B1381" s="6"/>
      <c r="C1381" s="4"/>
      <c r="D1381" s="4"/>
      <c r="E1381" s="4"/>
      <c r="F1381" s="4"/>
      <c r="G1381" s="4"/>
      <c r="H1381" s="4"/>
      <c r="I1381" s="4"/>
      <c r="J1381" s="18"/>
      <c r="K1381" s="4"/>
      <c r="L1381" s="19"/>
      <c r="M1381" s="20"/>
    </row>
    <row r="1382">
      <c r="A1382" s="6"/>
      <c r="B1382" s="6"/>
      <c r="C1382" s="4"/>
      <c r="D1382" s="4"/>
      <c r="E1382" s="4"/>
      <c r="F1382" s="4"/>
      <c r="G1382" s="4"/>
      <c r="H1382" s="4"/>
      <c r="I1382" s="4"/>
      <c r="J1382" s="18"/>
      <c r="K1382" s="4"/>
      <c r="L1382" s="19"/>
      <c r="M1382" s="20"/>
    </row>
    <row r="1383">
      <c r="A1383" s="6"/>
      <c r="B1383" s="6"/>
      <c r="C1383" s="4"/>
      <c r="D1383" s="4"/>
      <c r="E1383" s="4"/>
      <c r="F1383" s="4"/>
      <c r="G1383" s="4"/>
      <c r="H1383" s="4"/>
      <c r="I1383" s="4"/>
      <c r="J1383" s="18"/>
      <c r="K1383" s="4"/>
      <c r="L1383" s="19"/>
      <c r="M1383" s="20"/>
    </row>
    <row r="1384">
      <c r="A1384" s="6"/>
      <c r="B1384" s="6"/>
      <c r="C1384" s="4"/>
      <c r="D1384" s="4"/>
      <c r="E1384" s="4"/>
      <c r="F1384" s="4"/>
      <c r="G1384" s="4"/>
      <c r="H1384" s="4"/>
      <c r="I1384" s="4"/>
      <c r="J1384" s="18"/>
      <c r="K1384" s="4"/>
      <c r="L1384" s="19"/>
      <c r="M1384" s="20"/>
    </row>
    <row r="1385">
      <c r="A1385" s="6"/>
      <c r="B1385" s="6"/>
      <c r="C1385" s="4"/>
      <c r="D1385" s="4"/>
      <c r="E1385" s="4"/>
      <c r="F1385" s="4"/>
      <c r="G1385" s="4"/>
      <c r="H1385" s="4"/>
      <c r="I1385" s="4"/>
      <c r="J1385" s="18"/>
      <c r="K1385" s="4"/>
      <c r="L1385" s="19"/>
      <c r="M1385" s="20"/>
    </row>
    <row r="1386">
      <c r="A1386" s="6"/>
      <c r="B1386" s="6"/>
      <c r="C1386" s="4"/>
      <c r="D1386" s="4"/>
      <c r="E1386" s="4"/>
      <c r="F1386" s="4"/>
      <c r="G1386" s="4"/>
      <c r="H1386" s="4"/>
      <c r="I1386" s="4"/>
      <c r="J1386" s="18"/>
      <c r="K1386" s="4"/>
      <c r="L1386" s="19"/>
      <c r="M1386" s="20"/>
    </row>
    <row r="1387">
      <c r="A1387" s="6"/>
      <c r="B1387" s="6"/>
      <c r="C1387" s="4"/>
      <c r="D1387" s="4"/>
      <c r="E1387" s="4"/>
      <c r="F1387" s="4"/>
      <c r="G1387" s="4"/>
      <c r="H1387" s="4"/>
      <c r="I1387" s="4"/>
      <c r="J1387" s="18"/>
      <c r="K1387" s="4"/>
      <c r="L1387" s="19"/>
      <c r="M1387" s="20"/>
    </row>
    <row r="1388">
      <c r="A1388" s="6"/>
      <c r="B1388" s="6"/>
      <c r="C1388" s="4"/>
      <c r="D1388" s="4"/>
      <c r="E1388" s="4"/>
      <c r="F1388" s="4"/>
      <c r="G1388" s="4"/>
      <c r="H1388" s="4"/>
      <c r="I1388" s="4"/>
      <c r="J1388" s="18"/>
      <c r="K1388" s="4"/>
      <c r="L1388" s="19"/>
      <c r="M1388" s="20"/>
    </row>
    <row r="1389">
      <c r="A1389" s="6"/>
      <c r="B1389" s="6"/>
      <c r="C1389" s="4"/>
      <c r="D1389" s="4"/>
      <c r="E1389" s="4"/>
      <c r="F1389" s="4"/>
      <c r="G1389" s="4"/>
      <c r="H1389" s="4"/>
      <c r="I1389" s="4"/>
      <c r="J1389" s="18"/>
      <c r="K1389" s="4"/>
      <c r="L1389" s="19"/>
      <c r="M1389" s="20"/>
    </row>
    <row r="1390">
      <c r="A1390" s="6"/>
      <c r="B1390" s="6"/>
      <c r="C1390" s="4"/>
      <c r="D1390" s="4"/>
      <c r="E1390" s="4"/>
      <c r="F1390" s="4"/>
      <c r="G1390" s="4"/>
      <c r="H1390" s="4"/>
      <c r="I1390" s="4"/>
      <c r="J1390" s="18"/>
      <c r="K1390" s="4"/>
      <c r="L1390" s="19"/>
      <c r="M1390" s="20"/>
    </row>
    <row r="1391">
      <c r="A1391" s="6"/>
      <c r="B1391" s="6"/>
      <c r="C1391" s="4"/>
      <c r="D1391" s="4"/>
      <c r="E1391" s="4"/>
      <c r="F1391" s="4"/>
      <c r="G1391" s="4"/>
      <c r="H1391" s="4"/>
      <c r="I1391" s="4"/>
      <c r="J1391" s="18"/>
      <c r="K1391" s="4"/>
      <c r="L1391" s="19"/>
      <c r="M1391" s="20"/>
    </row>
    <row r="1392">
      <c r="A1392" s="6"/>
      <c r="B1392" s="6"/>
      <c r="C1392" s="4"/>
      <c r="D1392" s="4"/>
      <c r="E1392" s="4"/>
      <c r="F1392" s="4"/>
      <c r="G1392" s="4"/>
      <c r="H1392" s="4"/>
      <c r="I1392" s="4"/>
      <c r="J1392" s="18"/>
      <c r="K1392" s="4"/>
      <c r="L1392" s="19"/>
      <c r="M1392" s="20"/>
    </row>
    <row r="1393">
      <c r="A1393" s="6"/>
      <c r="B1393" s="6"/>
      <c r="C1393" s="4"/>
      <c r="D1393" s="4"/>
      <c r="E1393" s="4"/>
      <c r="F1393" s="4"/>
      <c r="G1393" s="4"/>
      <c r="H1393" s="4"/>
      <c r="I1393" s="4"/>
      <c r="J1393" s="18"/>
      <c r="K1393" s="4"/>
      <c r="L1393" s="19"/>
      <c r="M1393" s="20"/>
    </row>
    <row r="1394">
      <c r="A1394" s="6"/>
      <c r="B1394" s="6"/>
      <c r="C1394" s="4"/>
      <c r="D1394" s="4"/>
      <c r="E1394" s="4"/>
      <c r="F1394" s="4"/>
      <c r="G1394" s="4"/>
      <c r="H1394" s="4"/>
      <c r="I1394" s="4"/>
      <c r="J1394" s="18"/>
      <c r="K1394" s="4"/>
      <c r="L1394" s="19"/>
      <c r="M1394" s="20"/>
    </row>
    <row r="1395">
      <c r="A1395" s="6"/>
      <c r="B1395" s="6"/>
      <c r="C1395" s="4"/>
      <c r="D1395" s="4"/>
      <c r="E1395" s="4"/>
      <c r="F1395" s="4"/>
      <c r="G1395" s="4"/>
      <c r="H1395" s="4"/>
      <c r="I1395" s="4"/>
      <c r="J1395" s="18"/>
      <c r="K1395" s="4"/>
      <c r="L1395" s="19"/>
      <c r="M1395" s="20"/>
    </row>
    <row r="1396">
      <c r="A1396" s="6"/>
      <c r="B1396" s="6"/>
      <c r="C1396" s="4"/>
      <c r="D1396" s="4"/>
      <c r="E1396" s="4"/>
      <c r="F1396" s="4"/>
      <c r="G1396" s="4"/>
      <c r="H1396" s="4"/>
      <c r="I1396" s="4"/>
      <c r="J1396" s="18"/>
      <c r="K1396" s="4"/>
      <c r="L1396" s="19"/>
      <c r="M1396" s="20"/>
    </row>
    <row r="1397">
      <c r="A1397" s="6"/>
      <c r="B1397" s="6"/>
      <c r="C1397" s="4"/>
      <c r="D1397" s="4"/>
      <c r="E1397" s="4"/>
      <c r="F1397" s="4"/>
      <c r="G1397" s="4"/>
      <c r="H1397" s="4"/>
      <c r="I1397" s="4"/>
      <c r="J1397" s="18"/>
      <c r="K1397" s="4"/>
      <c r="L1397" s="19"/>
      <c r="M1397" s="20"/>
    </row>
    <row r="1398">
      <c r="A1398" s="6"/>
      <c r="B1398" s="6"/>
      <c r="C1398" s="4"/>
      <c r="D1398" s="4"/>
      <c r="E1398" s="4"/>
      <c r="F1398" s="4"/>
      <c r="G1398" s="4"/>
      <c r="H1398" s="4"/>
      <c r="I1398" s="4"/>
      <c r="J1398" s="18"/>
      <c r="K1398" s="4"/>
      <c r="L1398" s="19"/>
      <c r="M1398" s="20"/>
    </row>
    <row r="1399">
      <c r="A1399" s="6"/>
      <c r="B1399" s="6"/>
      <c r="C1399" s="4"/>
      <c r="D1399" s="4"/>
      <c r="E1399" s="4"/>
      <c r="F1399" s="4"/>
      <c r="G1399" s="4"/>
      <c r="H1399" s="4"/>
      <c r="I1399" s="4"/>
      <c r="J1399" s="18"/>
      <c r="K1399" s="4"/>
      <c r="L1399" s="19"/>
      <c r="M1399" s="20"/>
    </row>
    <row r="1400">
      <c r="A1400" s="6"/>
      <c r="B1400" s="6"/>
      <c r="C1400" s="4"/>
      <c r="D1400" s="4"/>
      <c r="E1400" s="4"/>
      <c r="F1400" s="4"/>
      <c r="G1400" s="4"/>
      <c r="H1400" s="4"/>
      <c r="I1400" s="4"/>
      <c r="J1400" s="18"/>
      <c r="K1400" s="4"/>
      <c r="L1400" s="19"/>
      <c r="M1400" s="20"/>
    </row>
    <row r="1401">
      <c r="A1401" s="6"/>
      <c r="B1401" s="6"/>
      <c r="C1401" s="4"/>
      <c r="D1401" s="4"/>
      <c r="E1401" s="4"/>
      <c r="F1401" s="4"/>
      <c r="G1401" s="4"/>
      <c r="H1401" s="4"/>
      <c r="I1401" s="4"/>
      <c r="J1401" s="18"/>
      <c r="K1401" s="4"/>
      <c r="L1401" s="19"/>
      <c r="M1401" s="20"/>
    </row>
    <row r="1402">
      <c r="A1402" s="6"/>
      <c r="B1402" s="6"/>
      <c r="C1402" s="4"/>
      <c r="D1402" s="4"/>
      <c r="E1402" s="4"/>
      <c r="F1402" s="4"/>
      <c r="G1402" s="4"/>
      <c r="H1402" s="4"/>
      <c r="I1402" s="4"/>
      <c r="J1402" s="18"/>
      <c r="K1402" s="4"/>
      <c r="L1402" s="19"/>
      <c r="M1402" s="20"/>
    </row>
    <row r="1403">
      <c r="A1403" s="6"/>
      <c r="B1403" s="6"/>
      <c r="C1403" s="4"/>
      <c r="D1403" s="4"/>
      <c r="E1403" s="4"/>
      <c r="F1403" s="4"/>
      <c r="G1403" s="4"/>
      <c r="H1403" s="4"/>
      <c r="I1403" s="4"/>
      <c r="J1403" s="18"/>
      <c r="K1403" s="4"/>
      <c r="L1403" s="19"/>
      <c r="M1403" s="20"/>
    </row>
    <row r="1404">
      <c r="A1404" s="6"/>
      <c r="B1404" s="6"/>
      <c r="C1404" s="4"/>
      <c r="D1404" s="4"/>
      <c r="E1404" s="4"/>
      <c r="F1404" s="4"/>
      <c r="G1404" s="4"/>
      <c r="H1404" s="4"/>
      <c r="I1404" s="4"/>
      <c r="J1404" s="18"/>
      <c r="K1404" s="4"/>
      <c r="L1404" s="19"/>
      <c r="M1404" s="20"/>
    </row>
    <row r="1405">
      <c r="A1405" s="6"/>
      <c r="B1405" s="6"/>
      <c r="C1405" s="4"/>
      <c r="D1405" s="4"/>
      <c r="E1405" s="4"/>
      <c r="F1405" s="4"/>
      <c r="G1405" s="4"/>
      <c r="H1405" s="4"/>
      <c r="I1405" s="4"/>
      <c r="J1405" s="18"/>
      <c r="K1405" s="4"/>
      <c r="L1405" s="19"/>
      <c r="M1405" s="20"/>
    </row>
    <row r="1406">
      <c r="A1406" s="6"/>
      <c r="B1406" s="6"/>
      <c r="C1406" s="4"/>
      <c r="D1406" s="4"/>
      <c r="E1406" s="4"/>
      <c r="F1406" s="4"/>
      <c r="G1406" s="4"/>
      <c r="H1406" s="4"/>
      <c r="I1406" s="4"/>
      <c r="J1406" s="18"/>
      <c r="K1406" s="4"/>
      <c r="L1406" s="19"/>
      <c r="M1406" s="20"/>
    </row>
    <row r="1407">
      <c r="A1407" s="6"/>
      <c r="B1407" s="6"/>
      <c r="C1407" s="4"/>
      <c r="D1407" s="4"/>
      <c r="E1407" s="4"/>
      <c r="F1407" s="4"/>
      <c r="G1407" s="4"/>
      <c r="H1407" s="4"/>
      <c r="I1407" s="4"/>
      <c r="J1407" s="18"/>
      <c r="K1407" s="4"/>
      <c r="L1407" s="19"/>
      <c r="M1407" s="20"/>
    </row>
    <row r="1408">
      <c r="A1408" s="6"/>
      <c r="B1408" s="6"/>
      <c r="C1408" s="4"/>
      <c r="D1408" s="4"/>
      <c r="E1408" s="4"/>
      <c r="F1408" s="4"/>
      <c r="G1408" s="4"/>
      <c r="H1408" s="4"/>
      <c r="I1408" s="4"/>
      <c r="J1408" s="18"/>
      <c r="K1408" s="4"/>
      <c r="L1408" s="19"/>
      <c r="M1408" s="20"/>
    </row>
    <row r="1409">
      <c r="A1409" s="6"/>
      <c r="B1409" s="6"/>
      <c r="C1409" s="4"/>
      <c r="D1409" s="4"/>
      <c r="E1409" s="4"/>
      <c r="F1409" s="4"/>
      <c r="G1409" s="4"/>
      <c r="H1409" s="4"/>
      <c r="I1409" s="4"/>
      <c r="J1409" s="18"/>
      <c r="K1409" s="4"/>
      <c r="L1409" s="19"/>
      <c r="M1409" s="20"/>
    </row>
    <row r="1410">
      <c r="A1410" s="6"/>
      <c r="B1410" s="6"/>
      <c r="C1410" s="4"/>
      <c r="D1410" s="4"/>
      <c r="E1410" s="4"/>
      <c r="F1410" s="4"/>
      <c r="G1410" s="4"/>
      <c r="H1410" s="4"/>
      <c r="I1410" s="4"/>
      <c r="J1410" s="18"/>
      <c r="K1410" s="4"/>
      <c r="L1410" s="19"/>
      <c r="M1410" s="20"/>
    </row>
    <row r="1411">
      <c r="A1411" s="6"/>
      <c r="B1411" s="6"/>
      <c r="C1411" s="4"/>
      <c r="D1411" s="4"/>
      <c r="E1411" s="4"/>
      <c r="F1411" s="4"/>
      <c r="G1411" s="4"/>
      <c r="H1411" s="4"/>
      <c r="I1411" s="4"/>
      <c r="J1411" s="18"/>
      <c r="K1411" s="4"/>
      <c r="L1411" s="19"/>
      <c r="M1411" s="20"/>
    </row>
    <row r="1412">
      <c r="A1412" s="6"/>
      <c r="B1412" s="6"/>
      <c r="C1412" s="4"/>
      <c r="D1412" s="4"/>
      <c r="E1412" s="4"/>
      <c r="F1412" s="4"/>
      <c r="G1412" s="4"/>
      <c r="H1412" s="4"/>
      <c r="I1412" s="4"/>
      <c r="J1412" s="18"/>
      <c r="K1412" s="4"/>
      <c r="L1412" s="19"/>
      <c r="M1412" s="20"/>
    </row>
    <row r="1413">
      <c r="A1413" s="6"/>
      <c r="B1413" s="6"/>
      <c r="C1413" s="4"/>
      <c r="D1413" s="4"/>
      <c r="E1413" s="4"/>
      <c r="F1413" s="4"/>
      <c r="G1413" s="4"/>
      <c r="H1413" s="4"/>
      <c r="I1413" s="4"/>
      <c r="J1413" s="18"/>
      <c r="K1413" s="4"/>
      <c r="L1413" s="19"/>
      <c r="M1413" s="20"/>
    </row>
    <row r="1414">
      <c r="A1414" s="6"/>
      <c r="B1414" s="6"/>
      <c r="C1414" s="4"/>
      <c r="D1414" s="4"/>
      <c r="E1414" s="4"/>
      <c r="F1414" s="4"/>
      <c r="G1414" s="4"/>
      <c r="H1414" s="4"/>
      <c r="I1414" s="4"/>
      <c r="J1414" s="18"/>
      <c r="K1414" s="4"/>
      <c r="L1414" s="19"/>
      <c r="M1414" s="20"/>
    </row>
    <row r="1415">
      <c r="A1415" s="6"/>
      <c r="B1415" s="6"/>
      <c r="C1415" s="4"/>
      <c r="D1415" s="4"/>
      <c r="E1415" s="4"/>
      <c r="F1415" s="4"/>
      <c r="G1415" s="4"/>
      <c r="H1415" s="4"/>
      <c r="I1415" s="4"/>
      <c r="J1415" s="18"/>
      <c r="K1415" s="4"/>
      <c r="L1415" s="19"/>
      <c r="M1415" s="20"/>
    </row>
    <row r="1416">
      <c r="A1416" s="6"/>
      <c r="B1416" s="6"/>
      <c r="C1416" s="4"/>
      <c r="D1416" s="4"/>
      <c r="E1416" s="4"/>
      <c r="F1416" s="4"/>
      <c r="G1416" s="4"/>
      <c r="H1416" s="4"/>
      <c r="I1416" s="4"/>
      <c r="J1416" s="18"/>
      <c r="K1416" s="4"/>
      <c r="L1416" s="19"/>
      <c r="M1416" s="20"/>
    </row>
    <row r="1417">
      <c r="A1417" s="6"/>
      <c r="B1417" s="6"/>
      <c r="C1417" s="4"/>
      <c r="D1417" s="4"/>
      <c r="E1417" s="4"/>
      <c r="F1417" s="4"/>
      <c r="G1417" s="4"/>
      <c r="H1417" s="4"/>
      <c r="I1417" s="4"/>
      <c r="J1417" s="18"/>
      <c r="K1417" s="4"/>
      <c r="L1417" s="19"/>
      <c r="M1417" s="20"/>
    </row>
    <row r="1418">
      <c r="A1418" s="6"/>
      <c r="B1418" s="6"/>
      <c r="C1418" s="4"/>
      <c r="D1418" s="4"/>
      <c r="E1418" s="4"/>
      <c r="F1418" s="4"/>
      <c r="G1418" s="4"/>
      <c r="H1418" s="4"/>
      <c r="I1418" s="4"/>
      <c r="J1418" s="18"/>
      <c r="K1418" s="4"/>
      <c r="L1418" s="19"/>
      <c r="M1418" s="20"/>
    </row>
    <row r="1419">
      <c r="A1419" s="6"/>
      <c r="B1419" s="6"/>
      <c r="C1419" s="4"/>
      <c r="D1419" s="4"/>
      <c r="E1419" s="4"/>
      <c r="F1419" s="4"/>
      <c r="G1419" s="4"/>
      <c r="H1419" s="4"/>
      <c r="I1419" s="4"/>
      <c r="J1419" s="18"/>
      <c r="K1419" s="4"/>
      <c r="L1419" s="19"/>
      <c r="M1419" s="20"/>
    </row>
    <row r="1420">
      <c r="A1420" s="6"/>
      <c r="B1420" s="6"/>
      <c r="C1420" s="4"/>
      <c r="D1420" s="4"/>
      <c r="E1420" s="4"/>
      <c r="F1420" s="4"/>
      <c r="G1420" s="4"/>
      <c r="H1420" s="4"/>
      <c r="I1420" s="4"/>
      <c r="J1420" s="18"/>
      <c r="K1420" s="4"/>
      <c r="L1420" s="19"/>
      <c r="M1420" s="20"/>
    </row>
    <row r="1421">
      <c r="A1421" s="6"/>
      <c r="B1421" s="6"/>
      <c r="C1421" s="4"/>
      <c r="D1421" s="4"/>
      <c r="E1421" s="4"/>
      <c r="F1421" s="4"/>
      <c r="G1421" s="4"/>
      <c r="H1421" s="4"/>
      <c r="I1421" s="4"/>
      <c r="J1421" s="18"/>
      <c r="K1421" s="4"/>
      <c r="L1421" s="19"/>
      <c r="M1421" s="20"/>
    </row>
    <row r="1422">
      <c r="A1422" s="6"/>
      <c r="B1422" s="6"/>
      <c r="C1422" s="4"/>
      <c r="D1422" s="4"/>
      <c r="E1422" s="4"/>
      <c r="F1422" s="4"/>
      <c r="G1422" s="4"/>
      <c r="H1422" s="4"/>
      <c r="I1422" s="4"/>
      <c r="J1422" s="18"/>
      <c r="K1422" s="4"/>
      <c r="L1422" s="19"/>
      <c r="M1422" s="20"/>
    </row>
    <row r="1423">
      <c r="A1423" s="6"/>
      <c r="B1423" s="6"/>
      <c r="C1423" s="4"/>
      <c r="D1423" s="4"/>
      <c r="E1423" s="4"/>
      <c r="F1423" s="4"/>
      <c r="G1423" s="4"/>
      <c r="H1423" s="4"/>
      <c r="I1423" s="4"/>
      <c r="J1423" s="18"/>
      <c r="K1423" s="4"/>
      <c r="L1423" s="19"/>
      <c r="M1423" s="20"/>
    </row>
    <row r="1424">
      <c r="A1424" s="6"/>
      <c r="B1424" s="6"/>
      <c r="C1424" s="4"/>
      <c r="D1424" s="4"/>
      <c r="E1424" s="4"/>
      <c r="F1424" s="4"/>
      <c r="G1424" s="4"/>
      <c r="H1424" s="4"/>
      <c r="I1424" s="4"/>
      <c r="J1424" s="18"/>
      <c r="K1424" s="4"/>
      <c r="L1424" s="19"/>
      <c r="M1424" s="20"/>
    </row>
    <row r="1425">
      <c r="A1425" s="6"/>
      <c r="B1425" s="6"/>
      <c r="C1425" s="4"/>
      <c r="D1425" s="4"/>
      <c r="E1425" s="4"/>
      <c r="F1425" s="4"/>
      <c r="G1425" s="4"/>
      <c r="H1425" s="4"/>
      <c r="I1425" s="4"/>
      <c r="J1425" s="18"/>
      <c r="K1425" s="4"/>
      <c r="L1425" s="19"/>
      <c r="M1425" s="20"/>
    </row>
    <row r="1426">
      <c r="A1426" s="6"/>
      <c r="B1426" s="6"/>
      <c r="C1426" s="4"/>
      <c r="D1426" s="4"/>
      <c r="E1426" s="4"/>
      <c r="F1426" s="4"/>
      <c r="G1426" s="4"/>
      <c r="H1426" s="4"/>
      <c r="I1426" s="4"/>
      <c r="J1426" s="18"/>
      <c r="K1426" s="4"/>
      <c r="L1426" s="19"/>
      <c r="M1426" s="20"/>
    </row>
    <row r="1427">
      <c r="A1427" s="6"/>
      <c r="B1427" s="6"/>
      <c r="C1427" s="4"/>
      <c r="D1427" s="4"/>
      <c r="E1427" s="4"/>
      <c r="F1427" s="4"/>
      <c r="G1427" s="4"/>
      <c r="H1427" s="4"/>
      <c r="I1427" s="4"/>
      <c r="J1427" s="18"/>
      <c r="K1427" s="4"/>
      <c r="L1427" s="19"/>
      <c r="M1427" s="20"/>
    </row>
    <row r="1428">
      <c r="A1428" s="6"/>
      <c r="B1428" s="6"/>
      <c r="C1428" s="4"/>
      <c r="D1428" s="4"/>
      <c r="E1428" s="4"/>
      <c r="F1428" s="4"/>
      <c r="G1428" s="4"/>
      <c r="H1428" s="4"/>
      <c r="I1428" s="4"/>
      <c r="J1428" s="18"/>
      <c r="K1428" s="4"/>
      <c r="L1428" s="19"/>
      <c r="M1428" s="20"/>
    </row>
    <row r="1429">
      <c r="A1429" s="6"/>
      <c r="B1429" s="6"/>
      <c r="C1429" s="4"/>
      <c r="D1429" s="4"/>
      <c r="E1429" s="4"/>
      <c r="F1429" s="4"/>
      <c r="G1429" s="4"/>
      <c r="H1429" s="4"/>
      <c r="I1429" s="4"/>
      <c r="J1429" s="18"/>
      <c r="K1429" s="4"/>
      <c r="L1429" s="19"/>
      <c r="M1429" s="20"/>
    </row>
    <row r="1430">
      <c r="A1430" s="6"/>
      <c r="B1430" s="6"/>
      <c r="C1430" s="4"/>
      <c r="D1430" s="4"/>
      <c r="E1430" s="4"/>
      <c r="F1430" s="4"/>
      <c r="G1430" s="4"/>
      <c r="H1430" s="4"/>
      <c r="I1430" s="4"/>
      <c r="J1430" s="18"/>
      <c r="K1430" s="4"/>
      <c r="L1430" s="19"/>
      <c r="M1430" s="20"/>
    </row>
    <row r="1431">
      <c r="A1431" s="6"/>
      <c r="B1431" s="6"/>
      <c r="C1431" s="4"/>
      <c r="D1431" s="4"/>
      <c r="E1431" s="4"/>
      <c r="F1431" s="4"/>
      <c r="G1431" s="4"/>
      <c r="H1431" s="4"/>
      <c r="I1431" s="4"/>
      <c r="J1431" s="18"/>
      <c r="K1431" s="4"/>
      <c r="L1431" s="19"/>
      <c r="M1431" s="20"/>
    </row>
    <row r="1432">
      <c r="A1432" s="6"/>
      <c r="B1432" s="6"/>
      <c r="C1432" s="4"/>
      <c r="D1432" s="4"/>
      <c r="E1432" s="4"/>
      <c r="F1432" s="4"/>
      <c r="G1432" s="4"/>
      <c r="H1432" s="4"/>
      <c r="I1432" s="4"/>
      <c r="J1432" s="18"/>
      <c r="K1432" s="4"/>
      <c r="L1432" s="19"/>
      <c r="M1432" s="20"/>
    </row>
    <row r="1433">
      <c r="A1433" s="6"/>
      <c r="B1433" s="6"/>
      <c r="C1433" s="4"/>
      <c r="D1433" s="4"/>
      <c r="E1433" s="4"/>
      <c r="F1433" s="4"/>
      <c r="G1433" s="4"/>
      <c r="H1433" s="4"/>
      <c r="I1433" s="4"/>
      <c r="J1433" s="18"/>
      <c r="K1433" s="4"/>
      <c r="L1433" s="19"/>
      <c r="M1433" s="20"/>
    </row>
    <row r="1434">
      <c r="A1434" s="6"/>
      <c r="B1434" s="6"/>
      <c r="C1434" s="4"/>
      <c r="D1434" s="4"/>
      <c r="E1434" s="4"/>
      <c r="F1434" s="4"/>
      <c r="G1434" s="4"/>
      <c r="H1434" s="4"/>
      <c r="I1434" s="4"/>
      <c r="J1434" s="18"/>
      <c r="K1434" s="4"/>
      <c r="L1434" s="19"/>
      <c r="M1434" s="20"/>
    </row>
    <row r="1435">
      <c r="A1435" s="6"/>
      <c r="B1435" s="6"/>
      <c r="C1435" s="4"/>
      <c r="D1435" s="4"/>
      <c r="E1435" s="4"/>
      <c r="F1435" s="4"/>
      <c r="G1435" s="4"/>
      <c r="H1435" s="4"/>
      <c r="I1435" s="4"/>
      <c r="J1435" s="18"/>
      <c r="K1435" s="4"/>
      <c r="L1435" s="19"/>
      <c r="M1435" s="20"/>
    </row>
    <row r="1436">
      <c r="A1436" s="6"/>
      <c r="B1436" s="6"/>
      <c r="C1436" s="4"/>
      <c r="D1436" s="4"/>
      <c r="E1436" s="4"/>
      <c r="F1436" s="4"/>
      <c r="G1436" s="4"/>
      <c r="H1436" s="4"/>
      <c r="I1436" s="4"/>
      <c r="J1436" s="18"/>
      <c r="K1436" s="4"/>
      <c r="L1436" s="19"/>
      <c r="M1436" s="20"/>
    </row>
    <row r="1437">
      <c r="A1437" s="6"/>
      <c r="B1437" s="6"/>
      <c r="C1437" s="4"/>
      <c r="D1437" s="4"/>
      <c r="E1437" s="4"/>
      <c r="F1437" s="4"/>
      <c r="G1437" s="4"/>
      <c r="H1437" s="4"/>
      <c r="I1437" s="4"/>
      <c r="J1437" s="18"/>
      <c r="K1437" s="4"/>
      <c r="L1437" s="19"/>
      <c r="M1437" s="20"/>
    </row>
    <row r="1438">
      <c r="A1438" s="6"/>
      <c r="B1438" s="6"/>
      <c r="C1438" s="4"/>
      <c r="D1438" s="4"/>
      <c r="E1438" s="4"/>
      <c r="F1438" s="4"/>
      <c r="G1438" s="4"/>
      <c r="H1438" s="4"/>
      <c r="I1438" s="4"/>
      <c r="J1438" s="18"/>
      <c r="K1438" s="4"/>
      <c r="L1438" s="19"/>
      <c r="M1438" s="20"/>
    </row>
    <row r="1439">
      <c r="A1439" s="6"/>
      <c r="B1439" s="6"/>
      <c r="C1439" s="4"/>
      <c r="D1439" s="4"/>
      <c r="E1439" s="4"/>
      <c r="F1439" s="4"/>
      <c r="G1439" s="4"/>
      <c r="H1439" s="4"/>
      <c r="I1439" s="4"/>
      <c r="J1439" s="18"/>
      <c r="K1439" s="4"/>
      <c r="L1439" s="19"/>
      <c r="M1439" s="20"/>
    </row>
    <row r="1440">
      <c r="A1440" s="6"/>
      <c r="B1440" s="6"/>
      <c r="C1440" s="4"/>
      <c r="D1440" s="4"/>
      <c r="E1440" s="4"/>
      <c r="F1440" s="4"/>
      <c r="G1440" s="4"/>
      <c r="H1440" s="4"/>
      <c r="I1440" s="4"/>
      <c r="J1440" s="18"/>
      <c r="K1440" s="4"/>
      <c r="L1440" s="19"/>
      <c r="M1440" s="20"/>
    </row>
    <row r="1441">
      <c r="A1441" s="6"/>
      <c r="B1441" s="6"/>
      <c r="C1441" s="4"/>
      <c r="D1441" s="4"/>
      <c r="E1441" s="4"/>
      <c r="F1441" s="4"/>
      <c r="G1441" s="4"/>
      <c r="H1441" s="4"/>
      <c r="I1441" s="4"/>
      <c r="J1441" s="18"/>
      <c r="K1441" s="4"/>
      <c r="L1441" s="19"/>
      <c r="M1441" s="20"/>
    </row>
    <row r="1442">
      <c r="A1442" s="6"/>
      <c r="B1442" s="6"/>
      <c r="C1442" s="4"/>
      <c r="D1442" s="4"/>
      <c r="E1442" s="4"/>
      <c r="F1442" s="4"/>
      <c r="G1442" s="4"/>
      <c r="H1442" s="4"/>
      <c r="I1442" s="4"/>
      <c r="J1442" s="18"/>
      <c r="K1442" s="4"/>
      <c r="L1442" s="19"/>
      <c r="M1442" s="20"/>
    </row>
    <row r="1443">
      <c r="A1443" s="6"/>
      <c r="B1443" s="6"/>
      <c r="C1443" s="4"/>
      <c r="D1443" s="4"/>
      <c r="E1443" s="4"/>
      <c r="F1443" s="4"/>
      <c r="G1443" s="4"/>
      <c r="H1443" s="4"/>
      <c r="I1443" s="4"/>
      <c r="J1443" s="18"/>
      <c r="K1443" s="4"/>
      <c r="L1443" s="19"/>
      <c r="M1443" s="20"/>
    </row>
    <row r="1444">
      <c r="A1444" s="6"/>
      <c r="B1444" s="6"/>
      <c r="C1444" s="4"/>
      <c r="D1444" s="4"/>
      <c r="E1444" s="4"/>
      <c r="F1444" s="4"/>
      <c r="G1444" s="4"/>
      <c r="H1444" s="4"/>
      <c r="I1444" s="4"/>
      <c r="J1444" s="18"/>
      <c r="K1444" s="4"/>
      <c r="L1444" s="19"/>
      <c r="M1444" s="20"/>
    </row>
    <row r="1445">
      <c r="A1445" s="6"/>
      <c r="B1445" s="6"/>
      <c r="C1445" s="4"/>
      <c r="D1445" s="4"/>
      <c r="E1445" s="4"/>
      <c r="F1445" s="4"/>
      <c r="G1445" s="4"/>
      <c r="H1445" s="4"/>
      <c r="I1445" s="4"/>
      <c r="J1445" s="18"/>
      <c r="K1445" s="4"/>
      <c r="L1445" s="19"/>
      <c r="M1445" s="20"/>
    </row>
    <row r="1446">
      <c r="A1446" s="6"/>
      <c r="B1446" s="6"/>
      <c r="C1446" s="4"/>
      <c r="D1446" s="4"/>
      <c r="E1446" s="4"/>
      <c r="F1446" s="4"/>
      <c r="G1446" s="4"/>
      <c r="H1446" s="4"/>
      <c r="I1446" s="4"/>
      <c r="J1446" s="18"/>
      <c r="K1446" s="4"/>
      <c r="L1446" s="19"/>
      <c r="M1446" s="20"/>
    </row>
    <row r="1447">
      <c r="A1447" s="6"/>
      <c r="B1447" s="6"/>
      <c r="C1447" s="4"/>
      <c r="D1447" s="4"/>
      <c r="E1447" s="4"/>
      <c r="F1447" s="4"/>
      <c r="G1447" s="4"/>
      <c r="H1447" s="4"/>
      <c r="I1447" s="4"/>
      <c r="J1447" s="18"/>
      <c r="K1447" s="4"/>
      <c r="L1447" s="19"/>
      <c r="M1447" s="20"/>
    </row>
    <row r="1448">
      <c r="A1448" s="6"/>
      <c r="B1448" s="6"/>
      <c r="C1448" s="4"/>
      <c r="D1448" s="4"/>
      <c r="E1448" s="4"/>
      <c r="F1448" s="4"/>
      <c r="G1448" s="4"/>
      <c r="H1448" s="4"/>
      <c r="I1448" s="4"/>
      <c r="J1448" s="18"/>
      <c r="K1448" s="4"/>
      <c r="L1448" s="19"/>
      <c r="M1448" s="20"/>
    </row>
    <row r="1449">
      <c r="A1449" s="6"/>
      <c r="B1449" s="6"/>
      <c r="C1449" s="4"/>
      <c r="D1449" s="4"/>
      <c r="E1449" s="4"/>
      <c r="F1449" s="4"/>
      <c r="G1449" s="4"/>
      <c r="H1449" s="4"/>
      <c r="I1449" s="4"/>
      <c r="J1449" s="18"/>
      <c r="K1449" s="4"/>
      <c r="L1449" s="19"/>
      <c r="M1449" s="20"/>
    </row>
    <row r="1450">
      <c r="A1450" s="6"/>
      <c r="B1450" s="6"/>
      <c r="C1450" s="4"/>
      <c r="D1450" s="4"/>
      <c r="E1450" s="4"/>
      <c r="F1450" s="4"/>
      <c r="G1450" s="4"/>
      <c r="H1450" s="4"/>
      <c r="I1450" s="4"/>
      <c r="J1450" s="18"/>
      <c r="K1450" s="4"/>
      <c r="L1450" s="19"/>
      <c r="M1450" s="20"/>
    </row>
    <row r="1451">
      <c r="A1451" s="6"/>
      <c r="B1451" s="6"/>
      <c r="C1451" s="4"/>
      <c r="D1451" s="4"/>
      <c r="E1451" s="4"/>
      <c r="F1451" s="4"/>
      <c r="G1451" s="4"/>
      <c r="H1451" s="4"/>
      <c r="I1451" s="4"/>
      <c r="J1451" s="18"/>
      <c r="K1451" s="4"/>
      <c r="L1451" s="19"/>
      <c r="M1451" s="20"/>
    </row>
    <row r="1452">
      <c r="A1452" s="6"/>
      <c r="B1452" s="6"/>
      <c r="C1452" s="4"/>
      <c r="D1452" s="4"/>
      <c r="E1452" s="4"/>
      <c r="F1452" s="4"/>
      <c r="G1452" s="4"/>
      <c r="H1452" s="4"/>
      <c r="I1452" s="4"/>
      <c r="J1452" s="18"/>
      <c r="K1452" s="4"/>
      <c r="L1452" s="19"/>
      <c r="M1452" s="20"/>
    </row>
    <row r="1453">
      <c r="A1453" s="6"/>
      <c r="B1453" s="6"/>
      <c r="C1453" s="4"/>
      <c r="D1453" s="4"/>
      <c r="E1453" s="4"/>
      <c r="F1453" s="4"/>
      <c r="G1453" s="4"/>
      <c r="H1453" s="4"/>
      <c r="I1453" s="4"/>
      <c r="J1453" s="18"/>
      <c r="K1453" s="4"/>
      <c r="L1453" s="19"/>
      <c r="M1453" s="20"/>
    </row>
    <row r="1454">
      <c r="A1454" s="6"/>
      <c r="B1454" s="6"/>
      <c r="C1454" s="4"/>
      <c r="D1454" s="4"/>
      <c r="E1454" s="4"/>
      <c r="F1454" s="4"/>
      <c r="G1454" s="4"/>
      <c r="H1454" s="4"/>
      <c r="I1454" s="4"/>
      <c r="J1454" s="18"/>
      <c r="K1454" s="4"/>
      <c r="L1454" s="19"/>
      <c r="M1454" s="20"/>
    </row>
    <row r="1455">
      <c r="A1455" s="6"/>
      <c r="B1455" s="6"/>
      <c r="C1455" s="4"/>
      <c r="D1455" s="4"/>
      <c r="E1455" s="4"/>
      <c r="F1455" s="4"/>
      <c r="G1455" s="4"/>
      <c r="H1455" s="4"/>
      <c r="I1455" s="4"/>
      <c r="J1455" s="18"/>
      <c r="K1455" s="4"/>
      <c r="L1455" s="19"/>
      <c r="M1455" s="20"/>
    </row>
    <row r="1456">
      <c r="A1456" s="6"/>
      <c r="B1456" s="6"/>
      <c r="C1456" s="4"/>
      <c r="D1456" s="4"/>
      <c r="E1456" s="4"/>
      <c r="F1456" s="4"/>
      <c r="G1456" s="4"/>
      <c r="H1456" s="4"/>
      <c r="I1456" s="4"/>
      <c r="J1456" s="18"/>
      <c r="K1456" s="4"/>
      <c r="L1456" s="19"/>
      <c r="M1456" s="20"/>
    </row>
    <row r="1457">
      <c r="A1457" s="6"/>
      <c r="B1457" s="6"/>
      <c r="C1457" s="4"/>
      <c r="D1457" s="4"/>
      <c r="E1457" s="4"/>
      <c r="F1457" s="4"/>
      <c r="G1457" s="4"/>
      <c r="H1457" s="4"/>
      <c r="I1457" s="4"/>
      <c r="J1457" s="18"/>
      <c r="K1457" s="4"/>
      <c r="L1457" s="19"/>
      <c r="M1457" s="20"/>
    </row>
    <row r="1458">
      <c r="A1458" s="6"/>
      <c r="B1458" s="6"/>
      <c r="C1458" s="4"/>
      <c r="D1458" s="4"/>
      <c r="E1458" s="4"/>
      <c r="F1458" s="4"/>
      <c r="G1458" s="4"/>
      <c r="H1458" s="4"/>
      <c r="I1458" s="4"/>
      <c r="J1458" s="18"/>
      <c r="K1458" s="4"/>
      <c r="L1458" s="19"/>
      <c r="M1458" s="20"/>
    </row>
    <row r="1459">
      <c r="A1459" s="6"/>
      <c r="B1459" s="6"/>
      <c r="C1459" s="4"/>
      <c r="D1459" s="4"/>
      <c r="E1459" s="4"/>
      <c r="F1459" s="4"/>
      <c r="G1459" s="4"/>
      <c r="H1459" s="4"/>
      <c r="I1459" s="4"/>
      <c r="J1459" s="18"/>
      <c r="K1459" s="4"/>
      <c r="L1459" s="19"/>
      <c r="M1459" s="20"/>
    </row>
    <row r="1460">
      <c r="A1460" s="6"/>
      <c r="B1460" s="6"/>
      <c r="C1460" s="4"/>
      <c r="D1460" s="4"/>
      <c r="E1460" s="4"/>
      <c r="F1460" s="4"/>
      <c r="G1460" s="4"/>
      <c r="H1460" s="4"/>
      <c r="I1460" s="4"/>
      <c r="J1460" s="18"/>
      <c r="K1460" s="4"/>
      <c r="L1460" s="19"/>
      <c r="M1460" s="20"/>
    </row>
    <row r="1461">
      <c r="A1461" s="6"/>
      <c r="B1461" s="6"/>
      <c r="C1461" s="4"/>
      <c r="D1461" s="4"/>
      <c r="E1461" s="4"/>
      <c r="F1461" s="4"/>
      <c r="G1461" s="4"/>
      <c r="H1461" s="4"/>
      <c r="I1461" s="4"/>
      <c r="J1461" s="18"/>
      <c r="K1461" s="4"/>
      <c r="L1461" s="19"/>
      <c r="M1461" s="20"/>
    </row>
    <row r="1462">
      <c r="A1462" s="6"/>
      <c r="B1462" s="6"/>
      <c r="C1462" s="4"/>
      <c r="D1462" s="4"/>
      <c r="E1462" s="4"/>
      <c r="F1462" s="4"/>
      <c r="G1462" s="4"/>
      <c r="H1462" s="4"/>
      <c r="I1462" s="4"/>
      <c r="J1462" s="18"/>
      <c r="K1462" s="4"/>
      <c r="L1462" s="19"/>
      <c r="M1462" s="20"/>
    </row>
    <row r="1463">
      <c r="A1463" s="6"/>
      <c r="B1463" s="6"/>
      <c r="C1463" s="4"/>
      <c r="D1463" s="4"/>
      <c r="E1463" s="4"/>
      <c r="F1463" s="4"/>
      <c r="G1463" s="4"/>
      <c r="H1463" s="4"/>
      <c r="I1463" s="4"/>
      <c r="J1463" s="18"/>
      <c r="K1463" s="4"/>
      <c r="L1463" s="19"/>
      <c r="M1463" s="20"/>
    </row>
    <row r="1464">
      <c r="A1464" s="6"/>
      <c r="B1464" s="6"/>
      <c r="C1464" s="4"/>
      <c r="D1464" s="4"/>
      <c r="E1464" s="4"/>
      <c r="F1464" s="4"/>
      <c r="G1464" s="4"/>
      <c r="H1464" s="4"/>
      <c r="I1464" s="4"/>
      <c r="J1464" s="18"/>
      <c r="K1464" s="4"/>
      <c r="L1464" s="19"/>
      <c r="M1464" s="20"/>
    </row>
    <row r="1465">
      <c r="A1465" s="6"/>
      <c r="B1465" s="6"/>
      <c r="C1465" s="4"/>
      <c r="D1465" s="4"/>
      <c r="E1465" s="4"/>
      <c r="F1465" s="4"/>
      <c r="G1465" s="4"/>
      <c r="H1465" s="4"/>
      <c r="I1465" s="4"/>
      <c r="J1465" s="18"/>
      <c r="K1465" s="4"/>
      <c r="L1465" s="19"/>
      <c r="M1465" s="20"/>
    </row>
    <row r="1466">
      <c r="A1466" s="6"/>
      <c r="B1466" s="6"/>
      <c r="C1466" s="4"/>
      <c r="D1466" s="4"/>
      <c r="E1466" s="4"/>
      <c r="F1466" s="4"/>
      <c r="G1466" s="4"/>
      <c r="H1466" s="4"/>
      <c r="I1466" s="4"/>
      <c r="J1466" s="18"/>
      <c r="K1466" s="4"/>
      <c r="L1466" s="19"/>
      <c r="M1466" s="20"/>
    </row>
    <row r="1467">
      <c r="A1467" s="6"/>
      <c r="B1467" s="6"/>
      <c r="C1467" s="4"/>
      <c r="D1467" s="4"/>
      <c r="E1467" s="4"/>
      <c r="F1467" s="4"/>
      <c r="G1467" s="4"/>
      <c r="H1467" s="4"/>
      <c r="I1467" s="4"/>
      <c r="J1467" s="18"/>
      <c r="K1467" s="4"/>
      <c r="L1467" s="19"/>
      <c r="M1467" s="20"/>
    </row>
    <row r="1468">
      <c r="A1468" s="6"/>
      <c r="B1468" s="6"/>
      <c r="C1468" s="4"/>
      <c r="D1468" s="4"/>
      <c r="E1468" s="4"/>
      <c r="F1468" s="4"/>
      <c r="G1468" s="4"/>
      <c r="H1468" s="4"/>
      <c r="I1468" s="4"/>
      <c r="J1468" s="18"/>
      <c r="K1468" s="4"/>
      <c r="L1468" s="19"/>
      <c r="M1468" s="20"/>
    </row>
    <row r="1469">
      <c r="A1469" s="6"/>
      <c r="B1469" s="6"/>
      <c r="C1469" s="4"/>
      <c r="D1469" s="4"/>
      <c r="E1469" s="4"/>
      <c r="F1469" s="4"/>
      <c r="G1469" s="4"/>
      <c r="H1469" s="4"/>
      <c r="I1469" s="4"/>
      <c r="J1469" s="18"/>
      <c r="K1469" s="4"/>
      <c r="L1469" s="19"/>
      <c r="M1469" s="20"/>
    </row>
    <row r="1470">
      <c r="A1470" s="6"/>
      <c r="B1470" s="6"/>
      <c r="C1470" s="4"/>
      <c r="D1470" s="4"/>
      <c r="E1470" s="4"/>
      <c r="F1470" s="4"/>
      <c r="G1470" s="4"/>
      <c r="H1470" s="4"/>
      <c r="I1470" s="4"/>
      <c r="J1470" s="18"/>
      <c r="K1470" s="4"/>
      <c r="L1470" s="19"/>
      <c r="M1470" s="20"/>
    </row>
    <row r="1471">
      <c r="A1471" s="6"/>
      <c r="B1471" s="6"/>
      <c r="C1471" s="4"/>
      <c r="D1471" s="4"/>
      <c r="E1471" s="4"/>
      <c r="F1471" s="4"/>
      <c r="G1471" s="4"/>
      <c r="H1471" s="4"/>
      <c r="I1471" s="4"/>
      <c r="J1471" s="18"/>
      <c r="K1471" s="4"/>
      <c r="L1471" s="19"/>
      <c r="M1471" s="20"/>
    </row>
    <row r="1472">
      <c r="A1472" s="6"/>
      <c r="B1472" s="6"/>
      <c r="C1472" s="4"/>
      <c r="D1472" s="4"/>
      <c r="E1472" s="4"/>
      <c r="F1472" s="4"/>
      <c r="G1472" s="4"/>
      <c r="H1472" s="4"/>
      <c r="I1472" s="4"/>
      <c r="J1472" s="18"/>
      <c r="K1472" s="4"/>
      <c r="L1472" s="19"/>
      <c r="M1472" s="20"/>
    </row>
    <row r="1473">
      <c r="A1473" s="6"/>
      <c r="B1473" s="6"/>
      <c r="C1473" s="4"/>
      <c r="D1473" s="4"/>
      <c r="E1473" s="4"/>
      <c r="F1473" s="4"/>
      <c r="G1473" s="4"/>
      <c r="H1473" s="4"/>
      <c r="I1473" s="4"/>
      <c r="J1473" s="18"/>
      <c r="K1473" s="4"/>
      <c r="L1473" s="19"/>
      <c r="M1473" s="20"/>
    </row>
    <row r="1474">
      <c r="A1474" s="6"/>
      <c r="B1474" s="6"/>
      <c r="C1474" s="4"/>
      <c r="D1474" s="4"/>
      <c r="E1474" s="4"/>
      <c r="F1474" s="4"/>
      <c r="G1474" s="4"/>
      <c r="H1474" s="4"/>
      <c r="I1474" s="4"/>
      <c r="J1474" s="18"/>
      <c r="K1474" s="4"/>
      <c r="L1474" s="19"/>
      <c r="M1474" s="20"/>
    </row>
    <row r="1475">
      <c r="A1475" s="6"/>
      <c r="B1475" s="6"/>
      <c r="C1475" s="4"/>
      <c r="D1475" s="4"/>
      <c r="E1475" s="4"/>
      <c r="F1475" s="4"/>
      <c r="G1475" s="4"/>
      <c r="H1475" s="4"/>
      <c r="I1475" s="4"/>
      <c r="J1475" s="18"/>
      <c r="K1475" s="4"/>
      <c r="L1475" s="19"/>
      <c r="M1475" s="20"/>
    </row>
    <row r="1476">
      <c r="A1476" s="6"/>
      <c r="B1476" s="6"/>
      <c r="C1476" s="4"/>
      <c r="D1476" s="4"/>
      <c r="E1476" s="4"/>
      <c r="F1476" s="4"/>
      <c r="G1476" s="4"/>
      <c r="H1476" s="4"/>
      <c r="I1476" s="4"/>
      <c r="J1476" s="18"/>
      <c r="K1476" s="4"/>
      <c r="L1476" s="19"/>
      <c r="M1476" s="20"/>
    </row>
    <row r="1477">
      <c r="A1477" s="6"/>
      <c r="B1477" s="6"/>
      <c r="C1477" s="4"/>
      <c r="D1477" s="4"/>
      <c r="E1477" s="4"/>
      <c r="F1477" s="4"/>
      <c r="G1477" s="4"/>
      <c r="H1477" s="4"/>
      <c r="I1477" s="4"/>
      <c r="J1477" s="18"/>
      <c r="K1477" s="4"/>
      <c r="L1477" s="19"/>
      <c r="M1477" s="20"/>
    </row>
    <row r="1478">
      <c r="A1478" s="6"/>
      <c r="B1478" s="6"/>
      <c r="C1478" s="4"/>
      <c r="D1478" s="4"/>
      <c r="E1478" s="4"/>
      <c r="F1478" s="4"/>
      <c r="G1478" s="4"/>
      <c r="H1478" s="4"/>
      <c r="I1478" s="4"/>
      <c r="J1478" s="18"/>
      <c r="K1478" s="4"/>
      <c r="L1478" s="19"/>
      <c r="M1478" s="20"/>
    </row>
    <row r="1479">
      <c r="A1479" s="6"/>
      <c r="B1479" s="6"/>
      <c r="C1479" s="4"/>
      <c r="D1479" s="4"/>
      <c r="E1479" s="4"/>
      <c r="F1479" s="4"/>
      <c r="G1479" s="4"/>
      <c r="H1479" s="4"/>
      <c r="I1479" s="4"/>
      <c r="J1479" s="18"/>
      <c r="K1479" s="4"/>
      <c r="L1479" s="19"/>
      <c r="M1479" s="20"/>
    </row>
    <row r="1480">
      <c r="A1480" s="6"/>
      <c r="B1480" s="6"/>
      <c r="C1480" s="4"/>
      <c r="D1480" s="4"/>
      <c r="E1480" s="4"/>
      <c r="F1480" s="4"/>
      <c r="G1480" s="4"/>
      <c r="H1480" s="4"/>
      <c r="I1480" s="4"/>
      <c r="J1480" s="18"/>
      <c r="K1480" s="4"/>
      <c r="L1480" s="19"/>
      <c r="M1480" s="20"/>
    </row>
    <row r="1481">
      <c r="A1481" s="6"/>
      <c r="B1481" s="6"/>
      <c r="C1481" s="4"/>
      <c r="D1481" s="4"/>
      <c r="E1481" s="4"/>
      <c r="F1481" s="4"/>
      <c r="G1481" s="4"/>
      <c r="H1481" s="4"/>
      <c r="I1481" s="4"/>
      <c r="J1481" s="18"/>
      <c r="K1481" s="4"/>
      <c r="L1481" s="19"/>
      <c r="M1481" s="20"/>
    </row>
    <row r="1482">
      <c r="A1482" s="6"/>
      <c r="B1482" s="6"/>
      <c r="C1482" s="4"/>
      <c r="D1482" s="4"/>
      <c r="E1482" s="4"/>
      <c r="F1482" s="4"/>
      <c r="G1482" s="4"/>
      <c r="H1482" s="4"/>
      <c r="I1482" s="4"/>
      <c r="J1482" s="18"/>
      <c r="K1482" s="4"/>
      <c r="L1482" s="19"/>
      <c r="M1482" s="20"/>
    </row>
    <row r="1483">
      <c r="A1483" s="6"/>
      <c r="B1483" s="6"/>
      <c r="C1483" s="4"/>
      <c r="D1483" s="4"/>
      <c r="E1483" s="4"/>
      <c r="F1483" s="4"/>
      <c r="G1483" s="4"/>
      <c r="H1483" s="4"/>
      <c r="I1483" s="4"/>
      <c r="J1483" s="18"/>
      <c r="K1483" s="4"/>
      <c r="L1483" s="19"/>
      <c r="M1483" s="20"/>
    </row>
    <row r="1484">
      <c r="A1484" s="6"/>
      <c r="B1484" s="6"/>
      <c r="C1484" s="4"/>
      <c r="D1484" s="4"/>
      <c r="E1484" s="4"/>
      <c r="F1484" s="4"/>
      <c r="G1484" s="4"/>
      <c r="H1484" s="4"/>
      <c r="I1484" s="4"/>
      <c r="J1484" s="18"/>
      <c r="K1484" s="4"/>
      <c r="L1484" s="19"/>
      <c r="M1484" s="20"/>
    </row>
    <row r="1485">
      <c r="A1485" s="6"/>
      <c r="B1485" s="6"/>
      <c r="C1485" s="4"/>
      <c r="D1485" s="4"/>
      <c r="E1485" s="4"/>
      <c r="F1485" s="4"/>
      <c r="G1485" s="4"/>
      <c r="H1485" s="4"/>
      <c r="I1485" s="4"/>
      <c r="J1485" s="18"/>
      <c r="K1485" s="4"/>
      <c r="L1485" s="19"/>
      <c r="M1485" s="20"/>
    </row>
    <row r="1486">
      <c r="A1486" s="6"/>
      <c r="B1486" s="6"/>
      <c r="C1486" s="4"/>
      <c r="D1486" s="4"/>
      <c r="E1486" s="4"/>
      <c r="F1486" s="4"/>
      <c r="G1486" s="4"/>
      <c r="H1486" s="4"/>
      <c r="I1486" s="4"/>
      <c r="J1486" s="18"/>
      <c r="K1486" s="4"/>
      <c r="L1486" s="19"/>
      <c r="M1486" s="20"/>
    </row>
    <row r="1487">
      <c r="A1487" s="6"/>
      <c r="B1487" s="6"/>
      <c r="C1487" s="4"/>
      <c r="D1487" s="4"/>
      <c r="E1487" s="4"/>
      <c r="F1487" s="4"/>
      <c r="G1487" s="4"/>
      <c r="H1487" s="4"/>
      <c r="I1487" s="4"/>
      <c r="J1487" s="18"/>
      <c r="K1487" s="4"/>
      <c r="L1487" s="19"/>
      <c r="M1487" s="20"/>
    </row>
    <row r="1488">
      <c r="A1488" s="6"/>
      <c r="B1488" s="6"/>
      <c r="C1488" s="4"/>
      <c r="D1488" s="4"/>
      <c r="E1488" s="4"/>
      <c r="F1488" s="4"/>
      <c r="G1488" s="4"/>
      <c r="H1488" s="4"/>
      <c r="I1488" s="4"/>
      <c r="J1488" s="18"/>
      <c r="K1488" s="4"/>
      <c r="L1488" s="19"/>
      <c r="M1488" s="20"/>
    </row>
    <row r="1489">
      <c r="A1489" s="6"/>
      <c r="B1489" s="6"/>
      <c r="C1489" s="4"/>
      <c r="D1489" s="4"/>
      <c r="E1489" s="4"/>
      <c r="F1489" s="4"/>
      <c r="G1489" s="4"/>
      <c r="H1489" s="4"/>
      <c r="I1489" s="4"/>
      <c r="J1489" s="18"/>
      <c r="K1489" s="4"/>
      <c r="L1489" s="19"/>
      <c r="M1489" s="20"/>
    </row>
    <row r="1490">
      <c r="A1490" s="6"/>
      <c r="B1490" s="6"/>
      <c r="C1490" s="4"/>
      <c r="D1490" s="4"/>
      <c r="E1490" s="4"/>
      <c r="F1490" s="4"/>
      <c r="G1490" s="4"/>
      <c r="H1490" s="4"/>
      <c r="I1490" s="4"/>
      <c r="J1490" s="18"/>
      <c r="K1490" s="4"/>
      <c r="L1490" s="19"/>
      <c r="M1490" s="20"/>
    </row>
    <row r="1491">
      <c r="A1491" s="6"/>
      <c r="B1491" s="6"/>
      <c r="C1491" s="4"/>
      <c r="D1491" s="4"/>
      <c r="E1491" s="4"/>
      <c r="F1491" s="4"/>
      <c r="G1491" s="4"/>
      <c r="H1491" s="4"/>
      <c r="I1491" s="4"/>
      <c r="J1491" s="18"/>
      <c r="K1491" s="4"/>
      <c r="L1491" s="19"/>
      <c r="M1491" s="20"/>
    </row>
    <row r="1492">
      <c r="A1492" s="6"/>
      <c r="B1492" s="6"/>
      <c r="C1492" s="4"/>
      <c r="D1492" s="4"/>
      <c r="E1492" s="4"/>
      <c r="F1492" s="4"/>
      <c r="G1492" s="4"/>
      <c r="H1492" s="4"/>
      <c r="I1492" s="4"/>
      <c r="J1492" s="18"/>
      <c r="K1492" s="4"/>
      <c r="L1492" s="19"/>
      <c r="M1492" s="20"/>
    </row>
    <row r="1493">
      <c r="A1493" s="6"/>
      <c r="B1493" s="6"/>
      <c r="C1493" s="4"/>
      <c r="D1493" s="4"/>
      <c r="E1493" s="4"/>
      <c r="F1493" s="4"/>
      <c r="G1493" s="4"/>
      <c r="H1493" s="4"/>
      <c r="I1493" s="4"/>
      <c r="J1493" s="18"/>
      <c r="K1493" s="4"/>
      <c r="L1493" s="19"/>
      <c r="M1493" s="20"/>
    </row>
    <row r="1494">
      <c r="A1494" s="6"/>
      <c r="B1494" s="6"/>
      <c r="C1494" s="4"/>
      <c r="D1494" s="4"/>
      <c r="E1494" s="4"/>
      <c r="F1494" s="4"/>
      <c r="G1494" s="4"/>
      <c r="H1494" s="4"/>
      <c r="I1494" s="4"/>
      <c r="J1494" s="18"/>
      <c r="K1494" s="4"/>
      <c r="L1494" s="19"/>
      <c r="M1494" s="20"/>
    </row>
    <row r="1495">
      <c r="A1495" s="6"/>
      <c r="B1495" s="6"/>
      <c r="C1495" s="4"/>
      <c r="D1495" s="4"/>
      <c r="E1495" s="4"/>
      <c r="F1495" s="4"/>
      <c r="G1495" s="4"/>
      <c r="H1495" s="4"/>
      <c r="I1495" s="4"/>
      <c r="J1495" s="18"/>
      <c r="K1495" s="4"/>
      <c r="L1495" s="19"/>
      <c r="M1495" s="20"/>
    </row>
    <row r="1496">
      <c r="A1496" s="6"/>
      <c r="B1496" s="6"/>
      <c r="C1496" s="4"/>
      <c r="D1496" s="4"/>
      <c r="E1496" s="4"/>
      <c r="F1496" s="4"/>
      <c r="G1496" s="4"/>
      <c r="H1496" s="4"/>
      <c r="I1496" s="4"/>
      <c r="J1496" s="18"/>
      <c r="K1496" s="4"/>
      <c r="L1496" s="19"/>
      <c r="M1496" s="20"/>
    </row>
    <row r="1497">
      <c r="A1497" s="6"/>
      <c r="B1497" s="6"/>
      <c r="C1497" s="4"/>
      <c r="D1497" s="4"/>
      <c r="E1497" s="4"/>
      <c r="F1497" s="4"/>
      <c r="G1497" s="4"/>
      <c r="H1497" s="4"/>
      <c r="I1497" s="4"/>
      <c r="J1497" s="18"/>
      <c r="K1497" s="4"/>
      <c r="L1497" s="19"/>
      <c r="M1497" s="20"/>
    </row>
    <row r="1498">
      <c r="A1498" s="6"/>
      <c r="B1498" s="6"/>
      <c r="C1498" s="4"/>
      <c r="D1498" s="4"/>
      <c r="E1498" s="4"/>
      <c r="F1498" s="4"/>
      <c r="G1498" s="4"/>
      <c r="H1498" s="4"/>
      <c r="I1498" s="4"/>
      <c r="J1498" s="18"/>
      <c r="K1498" s="4"/>
      <c r="L1498" s="19"/>
      <c r="M1498" s="20"/>
    </row>
    <row r="1499">
      <c r="A1499" s="6"/>
      <c r="B1499" s="6"/>
      <c r="C1499" s="4"/>
      <c r="D1499" s="4"/>
      <c r="E1499" s="4"/>
      <c r="F1499" s="4"/>
      <c r="G1499" s="4"/>
      <c r="H1499" s="4"/>
      <c r="I1499" s="4"/>
      <c r="J1499" s="18"/>
      <c r="K1499" s="4"/>
      <c r="L1499" s="19"/>
      <c r="M1499" s="20"/>
    </row>
    <row r="1500">
      <c r="A1500" s="6"/>
      <c r="B1500" s="6"/>
      <c r="C1500" s="4"/>
      <c r="D1500" s="4"/>
      <c r="E1500" s="4"/>
      <c r="F1500" s="4"/>
      <c r="G1500" s="4"/>
      <c r="H1500" s="4"/>
      <c r="I1500" s="4"/>
      <c r="J1500" s="18"/>
      <c r="K1500" s="4"/>
      <c r="L1500" s="19"/>
      <c r="M1500" s="20"/>
    </row>
    <row r="1501">
      <c r="A1501" s="6"/>
      <c r="B1501" s="6"/>
      <c r="C1501" s="4"/>
      <c r="D1501" s="4"/>
      <c r="E1501" s="4"/>
      <c r="F1501" s="4"/>
      <c r="G1501" s="4"/>
      <c r="H1501" s="4"/>
      <c r="I1501" s="4"/>
      <c r="J1501" s="18"/>
      <c r="K1501" s="4"/>
      <c r="L1501" s="19"/>
      <c r="M1501" s="20"/>
    </row>
    <row r="1502">
      <c r="A1502" s="6"/>
      <c r="B1502" s="6"/>
      <c r="C1502" s="4"/>
      <c r="D1502" s="4"/>
      <c r="E1502" s="4"/>
      <c r="F1502" s="4"/>
      <c r="G1502" s="4"/>
      <c r="H1502" s="4"/>
      <c r="I1502" s="4"/>
      <c r="J1502" s="18"/>
      <c r="K1502" s="4"/>
      <c r="L1502" s="19"/>
      <c r="M1502" s="20"/>
    </row>
    <row r="1503">
      <c r="A1503" s="6"/>
      <c r="B1503" s="6"/>
      <c r="C1503" s="4"/>
      <c r="D1503" s="4"/>
      <c r="E1503" s="4"/>
      <c r="F1503" s="4"/>
      <c r="G1503" s="4"/>
      <c r="H1503" s="4"/>
      <c r="I1503" s="4"/>
      <c r="J1503" s="18"/>
      <c r="K1503" s="4"/>
      <c r="L1503" s="19"/>
      <c r="M1503" s="20"/>
    </row>
    <row r="1504">
      <c r="A1504" s="6"/>
      <c r="B1504" s="6"/>
      <c r="C1504" s="4"/>
      <c r="D1504" s="4"/>
      <c r="E1504" s="4"/>
      <c r="F1504" s="4"/>
      <c r="G1504" s="4"/>
      <c r="H1504" s="4"/>
      <c r="I1504" s="4"/>
      <c r="J1504" s="18"/>
      <c r="K1504" s="4"/>
      <c r="L1504" s="19"/>
      <c r="M1504" s="20"/>
    </row>
    <row r="1505">
      <c r="A1505" s="6"/>
      <c r="B1505" s="6"/>
      <c r="C1505" s="4"/>
      <c r="D1505" s="4"/>
      <c r="E1505" s="4"/>
      <c r="F1505" s="4"/>
      <c r="G1505" s="4"/>
      <c r="H1505" s="4"/>
      <c r="I1505" s="4"/>
      <c r="J1505" s="18"/>
      <c r="K1505" s="4"/>
      <c r="L1505" s="19"/>
      <c r="M1505" s="20"/>
    </row>
    <row r="1506">
      <c r="A1506" s="6"/>
      <c r="B1506" s="6"/>
      <c r="C1506" s="4"/>
      <c r="D1506" s="4"/>
      <c r="E1506" s="4"/>
      <c r="F1506" s="4"/>
      <c r="G1506" s="4"/>
      <c r="H1506" s="4"/>
      <c r="I1506" s="4"/>
      <c r="J1506" s="18"/>
      <c r="K1506" s="4"/>
      <c r="L1506" s="19"/>
      <c r="M1506" s="20"/>
    </row>
    <row r="1507">
      <c r="A1507" s="6"/>
      <c r="B1507" s="6"/>
      <c r="C1507" s="4"/>
      <c r="D1507" s="4"/>
      <c r="E1507" s="4"/>
      <c r="F1507" s="4"/>
      <c r="G1507" s="4"/>
      <c r="H1507" s="4"/>
      <c r="I1507" s="4"/>
      <c r="J1507" s="18"/>
      <c r="K1507" s="4"/>
      <c r="L1507" s="19"/>
      <c r="M1507" s="20"/>
    </row>
    <row r="1508">
      <c r="A1508" s="6"/>
      <c r="B1508" s="6"/>
      <c r="C1508" s="4"/>
      <c r="D1508" s="4"/>
      <c r="E1508" s="4"/>
      <c r="F1508" s="4"/>
      <c r="G1508" s="4"/>
      <c r="H1508" s="4"/>
      <c r="I1508" s="4"/>
      <c r="J1508" s="18"/>
      <c r="K1508" s="4"/>
      <c r="L1508" s="19"/>
      <c r="M1508" s="20"/>
    </row>
    <row r="1509">
      <c r="A1509" s="6"/>
      <c r="B1509" s="6"/>
      <c r="C1509" s="4"/>
      <c r="D1509" s="4"/>
      <c r="E1509" s="4"/>
      <c r="F1509" s="4"/>
      <c r="G1509" s="4"/>
      <c r="H1509" s="4"/>
      <c r="I1509" s="4"/>
      <c r="J1509" s="18"/>
      <c r="K1509" s="4"/>
      <c r="L1509" s="19"/>
      <c r="M1509" s="20"/>
    </row>
    <row r="1510">
      <c r="A1510" s="6"/>
      <c r="B1510" s="6"/>
      <c r="C1510" s="4"/>
      <c r="D1510" s="4"/>
      <c r="E1510" s="4"/>
      <c r="F1510" s="4"/>
      <c r="G1510" s="4"/>
      <c r="H1510" s="4"/>
      <c r="I1510" s="4"/>
      <c r="J1510" s="18"/>
      <c r="K1510" s="4"/>
      <c r="L1510" s="19"/>
      <c r="M1510" s="20"/>
    </row>
    <row r="1511">
      <c r="A1511" s="6"/>
      <c r="B1511" s="6"/>
      <c r="C1511" s="4"/>
      <c r="D1511" s="4"/>
      <c r="E1511" s="4"/>
      <c r="F1511" s="4"/>
      <c r="G1511" s="4"/>
      <c r="H1511" s="4"/>
      <c r="I1511" s="4"/>
      <c r="J1511" s="18"/>
      <c r="K1511" s="4"/>
      <c r="L1511" s="19"/>
      <c r="M1511" s="20"/>
    </row>
    <row r="1512">
      <c r="A1512" s="6"/>
      <c r="B1512" s="6"/>
      <c r="C1512" s="4"/>
      <c r="D1512" s="4"/>
      <c r="E1512" s="4"/>
      <c r="F1512" s="4"/>
      <c r="G1512" s="4"/>
      <c r="H1512" s="4"/>
      <c r="I1512" s="4"/>
      <c r="J1512" s="18"/>
      <c r="K1512" s="4"/>
      <c r="L1512" s="19"/>
      <c r="M1512" s="20"/>
    </row>
    <row r="1513">
      <c r="A1513" s="6"/>
      <c r="B1513" s="6"/>
      <c r="C1513" s="4"/>
      <c r="D1513" s="4"/>
      <c r="E1513" s="4"/>
      <c r="F1513" s="4"/>
      <c r="G1513" s="4"/>
      <c r="H1513" s="4"/>
      <c r="I1513" s="4"/>
      <c r="J1513" s="18"/>
      <c r="K1513" s="4"/>
      <c r="L1513" s="19"/>
      <c r="M1513" s="20"/>
    </row>
    <row r="1514">
      <c r="A1514" s="6"/>
      <c r="B1514" s="6"/>
      <c r="C1514" s="4"/>
      <c r="D1514" s="4"/>
      <c r="E1514" s="4"/>
      <c r="F1514" s="4"/>
      <c r="G1514" s="4"/>
      <c r="H1514" s="4"/>
      <c r="I1514" s="4"/>
      <c r="J1514" s="18"/>
      <c r="K1514" s="4"/>
      <c r="L1514" s="19"/>
      <c r="M1514" s="20"/>
    </row>
    <row r="1515">
      <c r="A1515" s="6"/>
      <c r="B1515" s="6"/>
      <c r="C1515" s="4"/>
      <c r="D1515" s="4"/>
      <c r="E1515" s="4"/>
      <c r="F1515" s="4"/>
      <c r="G1515" s="4"/>
      <c r="H1515" s="4"/>
      <c r="I1515" s="4"/>
      <c r="J1515" s="18"/>
      <c r="K1515" s="4"/>
      <c r="L1515" s="19"/>
      <c r="M1515" s="20"/>
    </row>
    <row r="1516">
      <c r="A1516" s="6"/>
      <c r="B1516" s="6"/>
      <c r="C1516" s="4"/>
      <c r="D1516" s="4"/>
      <c r="E1516" s="4"/>
      <c r="F1516" s="4"/>
      <c r="G1516" s="4"/>
      <c r="H1516" s="4"/>
      <c r="I1516" s="4"/>
      <c r="J1516" s="18"/>
      <c r="K1516" s="4"/>
      <c r="L1516" s="19"/>
      <c r="M1516" s="20"/>
    </row>
    <row r="1517">
      <c r="A1517" s="6"/>
      <c r="B1517" s="6"/>
      <c r="C1517" s="4"/>
      <c r="D1517" s="4"/>
      <c r="E1517" s="4"/>
      <c r="F1517" s="4"/>
      <c r="G1517" s="4"/>
      <c r="H1517" s="4"/>
      <c r="I1517" s="4"/>
      <c r="J1517" s="18"/>
      <c r="K1517" s="4"/>
      <c r="L1517" s="19"/>
      <c r="M1517" s="20"/>
    </row>
    <row r="1518">
      <c r="A1518" s="6"/>
      <c r="B1518" s="6"/>
      <c r="C1518" s="4"/>
      <c r="D1518" s="4"/>
      <c r="E1518" s="4"/>
      <c r="F1518" s="4"/>
      <c r="G1518" s="4"/>
      <c r="H1518" s="4"/>
      <c r="I1518" s="4"/>
      <c r="J1518" s="18"/>
      <c r="K1518" s="4"/>
      <c r="L1518" s="19"/>
      <c r="M1518" s="20"/>
    </row>
    <row r="1519">
      <c r="A1519" s="6"/>
      <c r="B1519" s="6"/>
      <c r="C1519" s="4"/>
      <c r="D1519" s="4"/>
      <c r="E1519" s="4"/>
      <c r="F1519" s="4"/>
      <c r="G1519" s="4"/>
      <c r="H1519" s="4"/>
      <c r="I1519" s="4"/>
      <c r="J1519" s="18"/>
      <c r="K1519" s="4"/>
      <c r="L1519" s="19"/>
      <c r="M1519" s="20"/>
    </row>
    <row r="1520">
      <c r="A1520" s="6"/>
      <c r="B1520" s="6"/>
      <c r="C1520" s="4"/>
      <c r="D1520" s="4"/>
      <c r="E1520" s="4"/>
      <c r="F1520" s="4"/>
      <c r="G1520" s="4"/>
      <c r="H1520" s="4"/>
      <c r="I1520" s="4"/>
      <c r="J1520" s="18"/>
      <c r="K1520" s="4"/>
      <c r="L1520" s="19"/>
      <c r="M1520" s="20"/>
    </row>
    <row r="1521">
      <c r="A1521" s="6"/>
      <c r="B1521" s="6"/>
      <c r="C1521" s="4"/>
      <c r="D1521" s="4"/>
      <c r="E1521" s="4"/>
      <c r="F1521" s="4"/>
      <c r="G1521" s="4"/>
      <c r="H1521" s="4"/>
      <c r="I1521" s="4"/>
      <c r="J1521" s="18"/>
      <c r="K1521" s="4"/>
      <c r="L1521" s="19"/>
      <c r="M1521" s="20"/>
    </row>
    <row r="1522">
      <c r="A1522" s="6"/>
      <c r="B1522" s="6"/>
      <c r="C1522" s="4"/>
      <c r="D1522" s="4"/>
      <c r="E1522" s="4"/>
      <c r="F1522" s="4"/>
      <c r="G1522" s="4"/>
      <c r="H1522" s="4"/>
      <c r="I1522" s="4"/>
      <c r="J1522" s="18"/>
      <c r="K1522" s="4"/>
      <c r="L1522" s="19"/>
      <c r="M1522" s="20"/>
    </row>
    <row r="1523">
      <c r="A1523" s="6"/>
      <c r="B1523" s="6"/>
      <c r="C1523" s="4"/>
      <c r="D1523" s="4"/>
      <c r="E1523" s="4"/>
      <c r="F1523" s="4"/>
      <c r="G1523" s="4"/>
      <c r="H1523" s="4"/>
      <c r="I1523" s="4"/>
      <c r="J1523" s="18"/>
      <c r="K1523" s="4"/>
      <c r="L1523" s="19"/>
      <c r="M1523" s="20"/>
    </row>
    <row r="1524">
      <c r="A1524" s="6"/>
      <c r="B1524" s="6"/>
      <c r="C1524" s="4"/>
      <c r="D1524" s="4"/>
      <c r="E1524" s="4"/>
      <c r="F1524" s="4"/>
      <c r="G1524" s="4"/>
      <c r="H1524" s="4"/>
      <c r="I1524" s="4"/>
      <c r="J1524" s="18"/>
      <c r="K1524" s="4"/>
      <c r="L1524" s="19"/>
      <c r="M1524" s="20"/>
    </row>
    <row r="1525">
      <c r="A1525" s="6"/>
      <c r="B1525" s="6"/>
      <c r="C1525" s="4"/>
      <c r="D1525" s="4"/>
      <c r="E1525" s="4"/>
      <c r="F1525" s="4"/>
      <c r="G1525" s="4"/>
      <c r="H1525" s="4"/>
      <c r="I1525" s="4"/>
      <c r="J1525" s="18"/>
      <c r="K1525" s="4"/>
      <c r="L1525" s="19"/>
      <c r="M1525" s="20"/>
    </row>
    <row r="1526">
      <c r="A1526" s="6"/>
      <c r="B1526" s="6"/>
      <c r="C1526" s="4"/>
      <c r="D1526" s="4"/>
      <c r="E1526" s="4"/>
      <c r="F1526" s="4"/>
      <c r="G1526" s="4"/>
      <c r="H1526" s="4"/>
      <c r="I1526" s="4"/>
      <c r="J1526" s="18"/>
      <c r="K1526" s="4"/>
      <c r="L1526" s="19"/>
      <c r="M1526" s="20"/>
    </row>
    <row r="1527">
      <c r="A1527" s="6"/>
      <c r="B1527" s="6"/>
      <c r="C1527" s="4"/>
      <c r="D1527" s="4"/>
      <c r="E1527" s="4"/>
      <c r="F1527" s="4"/>
      <c r="G1527" s="4"/>
      <c r="H1527" s="4"/>
      <c r="I1527" s="4"/>
      <c r="J1527" s="18"/>
      <c r="K1527" s="4"/>
      <c r="L1527" s="19"/>
      <c r="M1527" s="20"/>
    </row>
    <row r="1528">
      <c r="A1528" s="6"/>
      <c r="B1528" s="6"/>
      <c r="C1528" s="4"/>
      <c r="D1528" s="4"/>
      <c r="E1528" s="4"/>
      <c r="F1528" s="4"/>
      <c r="G1528" s="4"/>
      <c r="H1528" s="4"/>
      <c r="I1528" s="4"/>
      <c r="J1528" s="18"/>
      <c r="K1528" s="4"/>
      <c r="L1528" s="19"/>
      <c r="M1528" s="20"/>
    </row>
    <row r="1529">
      <c r="A1529" s="6"/>
      <c r="B1529" s="6"/>
      <c r="C1529" s="4"/>
      <c r="D1529" s="4"/>
      <c r="E1529" s="4"/>
      <c r="F1529" s="4"/>
      <c r="G1529" s="4"/>
      <c r="H1529" s="4"/>
      <c r="I1529" s="4"/>
      <c r="J1529" s="18"/>
      <c r="K1529" s="4"/>
      <c r="L1529" s="19"/>
      <c r="M1529" s="20"/>
    </row>
    <row r="1530">
      <c r="A1530" s="6"/>
      <c r="B1530" s="6"/>
      <c r="C1530" s="4"/>
      <c r="D1530" s="4"/>
      <c r="E1530" s="4"/>
      <c r="F1530" s="4"/>
      <c r="G1530" s="4"/>
      <c r="H1530" s="4"/>
      <c r="I1530" s="4"/>
      <c r="J1530" s="18"/>
      <c r="K1530" s="4"/>
      <c r="L1530" s="19"/>
      <c r="M1530" s="20"/>
    </row>
    <row r="1531">
      <c r="A1531" s="6"/>
      <c r="B1531" s="6"/>
      <c r="C1531" s="4"/>
      <c r="D1531" s="4"/>
      <c r="E1531" s="4"/>
      <c r="F1531" s="4"/>
      <c r="G1531" s="4"/>
      <c r="H1531" s="4"/>
      <c r="I1531" s="4"/>
      <c r="J1531" s="18"/>
      <c r="K1531" s="4"/>
      <c r="L1531" s="19"/>
      <c r="M1531" s="20"/>
    </row>
    <row r="1532">
      <c r="A1532" s="6"/>
      <c r="B1532" s="6"/>
      <c r="C1532" s="4"/>
      <c r="D1532" s="4"/>
      <c r="E1532" s="4"/>
      <c r="F1532" s="4"/>
      <c r="G1532" s="4"/>
      <c r="H1532" s="4"/>
      <c r="I1532" s="4"/>
      <c r="J1532" s="18"/>
      <c r="K1532" s="4"/>
      <c r="L1532" s="19"/>
      <c r="M1532" s="20"/>
    </row>
    <row r="1533">
      <c r="A1533" s="6"/>
      <c r="B1533" s="6"/>
      <c r="C1533" s="4"/>
      <c r="D1533" s="4"/>
      <c r="E1533" s="4"/>
      <c r="F1533" s="4"/>
      <c r="G1533" s="4"/>
      <c r="H1533" s="4"/>
      <c r="I1533" s="4"/>
      <c r="J1533" s="18"/>
      <c r="K1533" s="4"/>
      <c r="L1533" s="19"/>
      <c r="M1533" s="20"/>
    </row>
    <row r="1534">
      <c r="A1534" s="6"/>
      <c r="B1534" s="6"/>
      <c r="C1534" s="4"/>
      <c r="D1534" s="4"/>
      <c r="E1534" s="4"/>
      <c r="F1534" s="4"/>
      <c r="G1534" s="4"/>
      <c r="H1534" s="4"/>
      <c r="I1534" s="4"/>
      <c r="J1534" s="18"/>
      <c r="K1534" s="4"/>
      <c r="L1534" s="19"/>
      <c r="M1534" s="20"/>
    </row>
    <row r="1535">
      <c r="A1535" s="6"/>
      <c r="B1535" s="6"/>
      <c r="C1535" s="4"/>
      <c r="D1535" s="4"/>
      <c r="E1535" s="4"/>
      <c r="F1535" s="4"/>
      <c r="G1535" s="4"/>
      <c r="H1535" s="4"/>
      <c r="I1535" s="4"/>
      <c r="J1535" s="18"/>
      <c r="K1535" s="4"/>
      <c r="L1535" s="19"/>
      <c r="M1535" s="20"/>
    </row>
    <row r="1536">
      <c r="A1536" s="6"/>
      <c r="B1536" s="6"/>
      <c r="C1536" s="4"/>
      <c r="D1536" s="4"/>
      <c r="E1536" s="4"/>
      <c r="F1536" s="4"/>
      <c r="G1536" s="4"/>
      <c r="H1536" s="4"/>
      <c r="I1536" s="4"/>
      <c r="J1536" s="18"/>
      <c r="K1536" s="4"/>
      <c r="L1536" s="19"/>
      <c r="M1536" s="20"/>
    </row>
    <row r="1537">
      <c r="A1537" s="6"/>
      <c r="B1537" s="6"/>
      <c r="C1537" s="4"/>
      <c r="D1537" s="4"/>
      <c r="E1537" s="4"/>
      <c r="F1537" s="4"/>
      <c r="G1537" s="4"/>
      <c r="H1537" s="4"/>
      <c r="I1537" s="4"/>
      <c r="J1537" s="18"/>
      <c r="K1537" s="4"/>
      <c r="L1537" s="19"/>
      <c r="M1537" s="20"/>
    </row>
    <row r="1538">
      <c r="A1538" s="6"/>
      <c r="B1538" s="6"/>
      <c r="C1538" s="4"/>
      <c r="D1538" s="4"/>
      <c r="E1538" s="4"/>
      <c r="F1538" s="4"/>
      <c r="G1538" s="4"/>
      <c r="H1538" s="4"/>
      <c r="I1538" s="4"/>
      <c r="J1538" s="18"/>
      <c r="K1538" s="4"/>
      <c r="L1538" s="19"/>
      <c r="M1538" s="20"/>
    </row>
    <row r="1539">
      <c r="A1539" s="6"/>
      <c r="B1539" s="6"/>
      <c r="C1539" s="4"/>
      <c r="D1539" s="4"/>
      <c r="E1539" s="4"/>
      <c r="F1539" s="4"/>
      <c r="G1539" s="4"/>
      <c r="H1539" s="4"/>
      <c r="I1539" s="4"/>
      <c r="J1539" s="18"/>
      <c r="K1539" s="4"/>
      <c r="L1539" s="19"/>
      <c r="M1539" s="20"/>
    </row>
    <row r="1540">
      <c r="A1540" s="6"/>
      <c r="B1540" s="6"/>
      <c r="C1540" s="4"/>
      <c r="D1540" s="4"/>
      <c r="E1540" s="4"/>
      <c r="F1540" s="4"/>
      <c r="G1540" s="4"/>
      <c r="H1540" s="4"/>
      <c r="I1540" s="4"/>
      <c r="J1540" s="18"/>
      <c r="K1540" s="4"/>
      <c r="L1540" s="19"/>
      <c r="M1540" s="20"/>
    </row>
    <row r="1541">
      <c r="A1541" s="6"/>
      <c r="B1541" s="6"/>
      <c r="C1541" s="4"/>
      <c r="D1541" s="4"/>
      <c r="E1541" s="4"/>
      <c r="F1541" s="4"/>
      <c r="G1541" s="4"/>
      <c r="H1541" s="4"/>
      <c r="I1541" s="4"/>
      <c r="J1541" s="18"/>
      <c r="K1541" s="4"/>
      <c r="L1541" s="19"/>
      <c r="M1541" s="20"/>
    </row>
    <row r="1542">
      <c r="A1542" s="6"/>
      <c r="B1542" s="6"/>
      <c r="C1542" s="4"/>
      <c r="D1542" s="4"/>
      <c r="E1542" s="4"/>
      <c r="F1542" s="4"/>
      <c r="G1542" s="4"/>
      <c r="H1542" s="4"/>
      <c r="I1542" s="4"/>
      <c r="J1542" s="18"/>
      <c r="K1542" s="4"/>
      <c r="L1542" s="19"/>
      <c r="M1542" s="20"/>
    </row>
    <row r="1543">
      <c r="A1543" s="6"/>
      <c r="B1543" s="6"/>
      <c r="C1543" s="4"/>
      <c r="D1543" s="4"/>
      <c r="E1543" s="4"/>
      <c r="F1543" s="4"/>
      <c r="G1543" s="4"/>
      <c r="H1543" s="4"/>
      <c r="I1543" s="4"/>
      <c r="J1543" s="18"/>
      <c r="K1543" s="4"/>
      <c r="L1543" s="19"/>
      <c r="M1543" s="20"/>
    </row>
    <row r="1544">
      <c r="A1544" s="6"/>
      <c r="B1544" s="6"/>
      <c r="C1544" s="4"/>
      <c r="D1544" s="4"/>
      <c r="E1544" s="4"/>
      <c r="F1544" s="4"/>
      <c r="G1544" s="4"/>
      <c r="H1544" s="4"/>
      <c r="I1544" s="4"/>
      <c r="J1544" s="18"/>
      <c r="K1544" s="4"/>
      <c r="L1544" s="19"/>
      <c r="M1544" s="20"/>
    </row>
    <row r="1545">
      <c r="A1545" s="6"/>
      <c r="B1545" s="6"/>
      <c r="C1545" s="4"/>
      <c r="D1545" s="4"/>
      <c r="E1545" s="4"/>
      <c r="F1545" s="4"/>
      <c r="G1545" s="4"/>
      <c r="H1545" s="4"/>
      <c r="I1545" s="4"/>
      <c r="J1545" s="18"/>
      <c r="K1545" s="4"/>
      <c r="L1545" s="19"/>
      <c r="M1545" s="20"/>
    </row>
    <row r="1546">
      <c r="A1546" s="6"/>
      <c r="B1546" s="6"/>
      <c r="C1546" s="4"/>
      <c r="D1546" s="4"/>
      <c r="E1546" s="4"/>
      <c r="F1546" s="4"/>
      <c r="G1546" s="4"/>
      <c r="H1546" s="4"/>
      <c r="I1546" s="4"/>
      <c r="J1546" s="18"/>
      <c r="K1546" s="4"/>
      <c r="L1546" s="19"/>
      <c r="M1546" s="20"/>
    </row>
    <row r="1547">
      <c r="A1547" s="6"/>
      <c r="B1547" s="6"/>
      <c r="C1547" s="4"/>
      <c r="D1547" s="4"/>
      <c r="E1547" s="4"/>
      <c r="F1547" s="4"/>
      <c r="G1547" s="4"/>
      <c r="H1547" s="4"/>
      <c r="I1547" s="4"/>
      <c r="J1547" s="18"/>
      <c r="K1547" s="4"/>
      <c r="L1547" s="19"/>
      <c r="M1547" s="20"/>
    </row>
    <row r="1548">
      <c r="A1548" s="6"/>
      <c r="B1548" s="6"/>
      <c r="C1548" s="4"/>
      <c r="D1548" s="4"/>
      <c r="E1548" s="4"/>
      <c r="F1548" s="4"/>
      <c r="G1548" s="4"/>
      <c r="H1548" s="4"/>
      <c r="I1548" s="4"/>
      <c r="J1548" s="18"/>
      <c r="K1548" s="4"/>
      <c r="L1548" s="19"/>
      <c r="M1548" s="20"/>
    </row>
    <row r="1549">
      <c r="A1549" s="6"/>
      <c r="B1549" s="6"/>
      <c r="C1549" s="4"/>
      <c r="D1549" s="4"/>
      <c r="E1549" s="4"/>
      <c r="F1549" s="4"/>
      <c r="G1549" s="4"/>
      <c r="H1549" s="4"/>
      <c r="I1549" s="4"/>
      <c r="J1549" s="18"/>
      <c r="K1549" s="4"/>
      <c r="L1549" s="19"/>
      <c r="M1549" s="20"/>
    </row>
    <row r="1550">
      <c r="A1550" s="6"/>
      <c r="B1550" s="6"/>
      <c r="C1550" s="4"/>
      <c r="D1550" s="4"/>
      <c r="E1550" s="4"/>
      <c r="F1550" s="4"/>
      <c r="G1550" s="4"/>
      <c r="H1550" s="4"/>
      <c r="I1550" s="4"/>
      <c r="J1550" s="18"/>
      <c r="K1550" s="4"/>
      <c r="L1550" s="19"/>
      <c r="M1550" s="20"/>
    </row>
    <row r="1551">
      <c r="A1551" s="6"/>
      <c r="B1551" s="6"/>
      <c r="C1551" s="4"/>
      <c r="D1551" s="4"/>
      <c r="E1551" s="4"/>
      <c r="F1551" s="4"/>
      <c r="G1551" s="4"/>
      <c r="H1551" s="4"/>
      <c r="I1551" s="4"/>
      <c r="J1551" s="18"/>
      <c r="K1551" s="4"/>
      <c r="L1551" s="19"/>
      <c r="M1551" s="20"/>
    </row>
    <row r="1552">
      <c r="A1552" s="6"/>
      <c r="B1552" s="6"/>
      <c r="C1552" s="4"/>
      <c r="D1552" s="4"/>
      <c r="E1552" s="4"/>
      <c r="F1552" s="4"/>
      <c r="G1552" s="4"/>
      <c r="H1552" s="4"/>
      <c r="I1552" s="4"/>
      <c r="J1552" s="18"/>
      <c r="K1552" s="4"/>
      <c r="L1552" s="19"/>
      <c r="M1552" s="20"/>
    </row>
    <row r="1553">
      <c r="A1553" s="6"/>
      <c r="B1553" s="6"/>
      <c r="C1553" s="4"/>
      <c r="D1553" s="4"/>
      <c r="E1553" s="4"/>
      <c r="F1553" s="4"/>
      <c r="G1553" s="4"/>
      <c r="H1553" s="4"/>
      <c r="I1553" s="4"/>
      <c r="J1553" s="18"/>
      <c r="K1553" s="4"/>
      <c r="L1553" s="19"/>
      <c r="M1553" s="20"/>
    </row>
    <row r="1554">
      <c r="A1554" s="6"/>
      <c r="B1554" s="6"/>
      <c r="C1554" s="4"/>
      <c r="D1554" s="4"/>
      <c r="E1554" s="4"/>
      <c r="F1554" s="4"/>
      <c r="G1554" s="4"/>
      <c r="H1554" s="4"/>
      <c r="I1554" s="4"/>
      <c r="J1554" s="18"/>
      <c r="K1554" s="4"/>
      <c r="L1554" s="19"/>
      <c r="M1554" s="20"/>
    </row>
    <row r="1555">
      <c r="A1555" s="6"/>
      <c r="B1555" s="6"/>
      <c r="C1555" s="4"/>
      <c r="D1555" s="4"/>
      <c r="E1555" s="4"/>
      <c r="F1555" s="4"/>
      <c r="G1555" s="4"/>
      <c r="H1555" s="4"/>
      <c r="I1555" s="4"/>
      <c r="J1555" s="18"/>
      <c r="K1555" s="4"/>
      <c r="L1555" s="19"/>
      <c r="M1555" s="20"/>
    </row>
    <row r="1556">
      <c r="A1556" s="6"/>
      <c r="B1556" s="6"/>
      <c r="C1556" s="4"/>
      <c r="D1556" s="4"/>
      <c r="E1556" s="4"/>
      <c r="F1556" s="4"/>
      <c r="G1556" s="4"/>
      <c r="H1556" s="4"/>
      <c r="I1556" s="4"/>
      <c r="J1556" s="18"/>
      <c r="K1556" s="4"/>
      <c r="L1556" s="19"/>
      <c r="M1556" s="20"/>
    </row>
    <row r="1557">
      <c r="A1557" s="6"/>
      <c r="B1557" s="6"/>
      <c r="C1557" s="4"/>
      <c r="D1557" s="4"/>
      <c r="E1557" s="4"/>
      <c r="F1557" s="4"/>
      <c r="G1557" s="4"/>
      <c r="H1557" s="4"/>
      <c r="I1557" s="4"/>
      <c r="J1557" s="18"/>
      <c r="K1557" s="4"/>
      <c r="L1557" s="19"/>
      <c r="M1557" s="20"/>
    </row>
    <row r="1558">
      <c r="A1558" s="6"/>
      <c r="B1558" s="6"/>
      <c r="C1558" s="4"/>
      <c r="D1558" s="4"/>
      <c r="E1558" s="4"/>
      <c r="F1558" s="4"/>
      <c r="G1558" s="4"/>
      <c r="H1558" s="4"/>
      <c r="I1558" s="4"/>
      <c r="J1558" s="18"/>
      <c r="K1558" s="4"/>
      <c r="L1558" s="19"/>
      <c r="M1558" s="20"/>
    </row>
    <row r="1559">
      <c r="A1559" s="6"/>
      <c r="B1559" s="6"/>
      <c r="C1559" s="4"/>
      <c r="D1559" s="4"/>
      <c r="E1559" s="4"/>
      <c r="F1559" s="4"/>
      <c r="G1559" s="4"/>
      <c r="H1559" s="4"/>
      <c r="I1559" s="4"/>
      <c r="J1559" s="18"/>
      <c r="K1559" s="4"/>
      <c r="L1559" s="19"/>
      <c r="M1559" s="20"/>
    </row>
    <row r="1560">
      <c r="A1560" s="6"/>
      <c r="B1560" s="6"/>
      <c r="C1560" s="4"/>
      <c r="D1560" s="4"/>
      <c r="E1560" s="4"/>
      <c r="F1560" s="4"/>
      <c r="G1560" s="4"/>
      <c r="H1560" s="4"/>
      <c r="I1560" s="4"/>
      <c r="J1560" s="18"/>
      <c r="K1560" s="4"/>
      <c r="L1560" s="19"/>
      <c r="M1560" s="20"/>
    </row>
    <row r="1561">
      <c r="A1561" s="6"/>
      <c r="B1561" s="6"/>
      <c r="C1561" s="4"/>
      <c r="D1561" s="4"/>
      <c r="E1561" s="4"/>
      <c r="F1561" s="4"/>
      <c r="G1561" s="4"/>
      <c r="H1561" s="4"/>
      <c r="I1561" s="4"/>
      <c r="J1561" s="18"/>
      <c r="K1561" s="4"/>
      <c r="L1561" s="19"/>
      <c r="M1561" s="20"/>
    </row>
    <row r="1562">
      <c r="A1562" s="6"/>
      <c r="B1562" s="6"/>
      <c r="C1562" s="4"/>
      <c r="D1562" s="4"/>
      <c r="E1562" s="4"/>
      <c r="F1562" s="4"/>
      <c r="G1562" s="4"/>
      <c r="H1562" s="4"/>
      <c r="I1562" s="4"/>
      <c r="J1562" s="18"/>
      <c r="K1562" s="4"/>
      <c r="L1562" s="19"/>
      <c r="M1562" s="20"/>
    </row>
    <row r="1563">
      <c r="A1563" s="6"/>
      <c r="B1563" s="6"/>
      <c r="C1563" s="4"/>
      <c r="D1563" s="4"/>
      <c r="E1563" s="4"/>
      <c r="F1563" s="4"/>
      <c r="G1563" s="4"/>
      <c r="H1563" s="4"/>
      <c r="I1563" s="4"/>
      <c r="J1563" s="18"/>
      <c r="K1563" s="4"/>
      <c r="L1563" s="19"/>
      <c r="M1563" s="20"/>
    </row>
    <row r="1564">
      <c r="A1564" s="6"/>
      <c r="B1564" s="6"/>
      <c r="C1564" s="4"/>
      <c r="D1564" s="4"/>
      <c r="E1564" s="4"/>
      <c r="F1564" s="4"/>
      <c r="G1564" s="4"/>
      <c r="H1564" s="4"/>
      <c r="I1564" s="4"/>
      <c r="J1564" s="18"/>
      <c r="K1564" s="4"/>
      <c r="L1564" s="19"/>
      <c r="M1564" s="20"/>
    </row>
    <row r="1565">
      <c r="A1565" s="6"/>
      <c r="B1565" s="6"/>
      <c r="C1565" s="4"/>
      <c r="D1565" s="4"/>
      <c r="E1565" s="4"/>
      <c r="F1565" s="4"/>
      <c r="G1565" s="4"/>
      <c r="H1565" s="4"/>
      <c r="I1565" s="4"/>
      <c r="J1565" s="18"/>
      <c r="K1565" s="4"/>
      <c r="L1565" s="19"/>
      <c r="M1565" s="20"/>
    </row>
    <row r="1566">
      <c r="A1566" s="6"/>
      <c r="B1566" s="6"/>
      <c r="C1566" s="4"/>
      <c r="D1566" s="4"/>
      <c r="E1566" s="4"/>
      <c r="F1566" s="4"/>
      <c r="G1566" s="4"/>
      <c r="H1566" s="4"/>
      <c r="I1566" s="4"/>
      <c r="J1566" s="18"/>
      <c r="K1566" s="4"/>
      <c r="L1566" s="19"/>
      <c r="M1566" s="20"/>
    </row>
    <row r="1567">
      <c r="A1567" s="6"/>
      <c r="B1567" s="6"/>
      <c r="C1567" s="4"/>
      <c r="D1567" s="4"/>
      <c r="E1567" s="4"/>
      <c r="F1567" s="4"/>
      <c r="G1567" s="4"/>
      <c r="H1567" s="4"/>
      <c r="I1567" s="4"/>
      <c r="J1567" s="18"/>
      <c r="K1567" s="4"/>
      <c r="L1567" s="19"/>
      <c r="M1567" s="20"/>
    </row>
    <row r="1568">
      <c r="A1568" s="6"/>
      <c r="B1568" s="6"/>
      <c r="C1568" s="4"/>
      <c r="D1568" s="4"/>
      <c r="E1568" s="4"/>
      <c r="F1568" s="4"/>
      <c r="G1568" s="4"/>
      <c r="H1568" s="4"/>
      <c r="I1568" s="4"/>
      <c r="J1568" s="18"/>
      <c r="K1568" s="4"/>
      <c r="L1568" s="19"/>
      <c r="M1568" s="20"/>
    </row>
    <row r="1569">
      <c r="A1569" s="6"/>
      <c r="B1569" s="6"/>
      <c r="C1569" s="4"/>
      <c r="D1569" s="4"/>
      <c r="E1569" s="4"/>
      <c r="F1569" s="4"/>
      <c r="G1569" s="4"/>
      <c r="H1569" s="4"/>
      <c r="I1569" s="4"/>
      <c r="J1569" s="18"/>
      <c r="K1569" s="4"/>
      <c r="L1569" s="19"/>
      <c r="M1569" s="20"/>
    </row>
    <row r="1570">
      <c r="A1570" s="6"/>
      <c r="B1570" s="6"/>
      <c r="C1570" s="4"/>
      <c r="D1570" s="4"/>
      <c r="E1570" s="4"/>
      <c r="F1570" s="4"/>
      <c r="G1570" s="4"/>
      <c r="H1570" s="4"/>
      <c r="I1570" s="4"/>
      <c r="J1570" s="18"/>
      <c r="K1570" s="4"/>
      <c r="L1570" s="19"/>
      <c r="M1570" s="20"/>
    </row>
    <row r="1571">
      <c r="A1571" s="6"/>
      <c r="B1571" s="6"/>
      <c r="C1571" s="4"/>
      <c r="D1571" s="4"/>
      <c r="E1571" s="4"/>
      <c r="F1571" s="4"/>
      <c r="G1571" s="4"/>
      <c r="H1571" s="4"/>
      <c r="I1571" s="4"/>
      <c r="J1571" s="18"/>
      <c r="K1571" s="4"/>
      <c r="L1571" s="19"/>
      <c r="M1571" s="20"/>
    </row>
    <row r="1572">
      <c r="A1572" s="6"/>
      <c r="B1572" s="6"/>
      <c r="C1572" s="4"/>
      <c r="D1572" s="4"/>
      <c r="E1572" s="4"/>
      <c r="F1572" s="4"/>
      <c r="G1572" s="4"/>
      <c r="H1572" s="4"/>
      <c r="I1572" s="4"/>
      <c r="J1572" s="18"/>
      <c r="K1572" s="4"/>
      <c r="L1572" s="19"/>
      <c r="M1572" s="20"/>
    </row>
    <row r="1573">
      <c r="A1573" s="6"/>
      <c r="B1573" s="6"/>
      <c r="C1573" s="4"/>
      <c r="D1573" s="4"/>
      <c r="E1573" s="4"/>
      <c r="F1573" s="4"/>
      <c r="G1573" s="4"/>
      <c r="H1573" s="4"/>
      <c r="I1573" s="4"/>
      <c r="J1573" s="18"/>
      <c r="K1573" s="4"/>
      <c r="L1573" s="19"/>
      <c r="M1573" s="20"/>
    </row>
    <row r="1574">
      <c r="A1574" s="6"/>
      <c r="B1574" s="6"/>
      <c r="C1574" s="4"/>
      <c r="D1574" s="4"/>
      <c r="E1574" s="4"/>
      <c r="F1574" s="4"/>
      <c r="G1574" s="4"/>
      <c r="H1574" s="4"/>
      <c r="I1574" s="4"/>
      <c r="J1574" s="18"/>
      <c r="K1574" s="4"/>
      <c r="L1574" s="19"/>
      <c r="M1574" s="20"/>
    </row>
    <row r="1575">
      <c r="A1575" s="6"/>
      <c r="B1575" s="6"/>
      <c r="C1575" s="4"/>
      <c r="D1575" s="4"/>
      <c r="E1575" s="4"/>
      <c r="F1575" s="4"/>
      <c r="G1575" s="4"/>
      <c r="H1575" s="4"/>
      <c r="I1575" s="4"/>
      <c r="J1575" s="18"/>
      <c r="K1575" s="4"/>
      <c r="L1575" s="19"/>
      <c r="M1575" s="20"/>
    </row>
    <row r="1576">
      <c r="A1576" s="6"/>
      <c r="B1576" s="6"/>
      <c r="C1576" s="4"/>
      <c r="D1576" s="4"/>
      <c r="E1576" s="4"/>
      <c r="F1576" s="4"/>
      <c r="G1576" s="4"/>
      <c r="H1576" s="4"/>
      <c r="I1576" s="4"/>
      <c r="J1576" s="18"/>
      <c r="K1576" s="4"/>
      <c r="L1576" s="19"/>
      <c r="M1576" s="20"/>
    </row>
    <row r="1577">
      <c r="A1577" s="6"/>
      <c r="B1577" s="6"/>
      <c r="C1577" s="4"/>
      <c r="D1577" s="4"/>
      <c r="E1577" s="4"/>
      <c r="F1577" s="4"/>
      <c r="G1577" s="4"/>
      <c r="H1577" s="4"/>
      <c r="I1577" s="4"/>
      <c r="J1577" s="18"/>
      <c r="K1577" s="4"/>
      <c r="L1577" s="19"/>
      <c r="M1577" s="20"/>
    </row>
    <row r="1578">
      <c r="A1578" s="6"/>
      <c r="B1578" s="6"/>
      <c r="C1578" s="4"/>
      <c r="D1578" s="4"/>
      <c r="E1578" s="4"/>
      <c r="F1578" s="4"/>
      <c r="G1578" s="4"/>
      <c r="H1578" s="4"/>
      <c r="I1578" s="4"/>
      <c r="J1578" s="18"/>
      <c r="K1578" s="4"/>
      <c r="L1578" s="19"/>
      <c r="M1578" s="20"/>
    </row>
    <row r="1579">
      <c r="A1579" s="6"/>
      <c r="B1579" s="6"/>
      <c r="C1579" s="4"/>
      <c r="D1579" s="4"/>
      <c r="E1579" s="4"/>
      <c r="F1579" s="4"/>
      <c r="G1579" s="4"/>
      <c r="H1579" s="4"/>
      <c r="I1579" s="4"/>
      <c r="J1579" s="18"/>
      <c r="K1579" s="4"/>
      <c r="L1579" s="19"/>
      <c r="M1579" s="20"/>
    </row>
    <row r="1580">
      <c r="A1580" s="6"/>
      <c r="B1580" s="6"/>
      <c r="C1580" s="4"/>
      <c r="D1580" s="4"/>
      <c r="E1580" s="4"/>
      <c r="F1580" s="4"/>
      <c r="G1580" s="4"/>
      <c r="H1580" s="4"/>
      <c r="I1580" s="4"/>
      <c r="J1580" s="18"/>
      <c r="K1580" s="4"/>
      <c r="L1580" s="19"/>
      <c r="M1580" s="20"/>
    </row>
    <row r="1581">
      <c r="A1581" s="6"/>
      <c r="B1581" s="6"/>
      <c r="C1581" s="4"/>
      <c r="D1581" s="4"/>
      <c r="E1581" s="4"/>
      <c r="F1581" s="4"/>
      <c r="G1581" s="4"/>
      <c r="H1581" s="4"/>
      <c r="I1581" s="4"/>
      <c r="J1581" s="18"/>
      <c r="K1581" s="4"/>
      <c r="L1581" s="19"/>
      <c r="M1581" s="20"/>
    </row>
    <row r="1582">
      <c r="A1582" s="6"/>
      <c r="B1582" s="6"/>
      <c r="C1582" s="4"/>
      <c r="D1582" s="4"/>
      <c r="E1582" s="4"/>
      <c r="F1582" s="4"/>
      <c r="G1582" s="4"/>
      <c r="H1582" s="4"/>
      <c r="I1582" s="4"/>
      <c r="J1582" s="18"/>
      <c r="K1582" s="4"/>
      <c r="L1582" s="19"/>
      <c r="M1582" s="20"/>
    </row>
    <row r="1583">
      <c r="A1583" s="6"/>
      <c r="B1583" s="6"/>
      <c r="C1583" s="4"/>
      <c r="D1583" s="4"/>
      <c r="E1583" s="4"/>
      <c r="F1583" s="4"/>
      <c r="G1583" s="4"/>
      <c r="H1583" s="4"/>
      <c r="I1583" s="4"/>
      <c r="J1583" s="18"/>
      <c r="K1583" s="4"/>
      <c r="L1583" s="19"/>
      <c r="M1583" s="20"/>
    </row>
    <row r="1584">
      <c r="A1584" s="6"/>
      <c r="B1584" s="6"/>
      <c r="C1584" s="4"/>
      <c r="D1584" s="4"/>
      <c r="E1584" s="4"/>
      <c r="F1584" s="4"/>
      <c r="G1584" s="4"/>
      <c r="H1584" s="4"/>
      <c r="I1584" s="4"/>
      <c r="J1584" s="18"/>
      <c r="K1584" s="4"/>
      <c r="L1584" s="19"/>
      <c r="M1584" s="20"/>
    </row>
    <row r="1585">
      <c r="A1585" s="6"/>
      <c r="B1585" s="6"/>
      <c r="C1585" s="4"/>
      <c r="D1585" s="4"/>
      <c r="E1585" s="4"/>
      <c r="F1585" s="4"/>
      <c r="G1585" s="4"/>
      <c r="H1585" s="4"/>
      <c r="I1585" s="4"/>
      <c r="J1585" s="18"/>
      <c r="K1585" s="4"/>
      <c r="L1585" s="19"/>
      <c r="M1585" s="20"/>
    </row>
    <row r="1586">
      <c r="A1586" s="6"/>
      <c r="B1586" s="6"/>
      <c r="C1586" s="4"/>
      <c r="D1586" s="4"/>
      <c r="E1586" s="4"/>
      <c r="F1586" s="4"/>
      <c r="G1586" s="4"/>
      <c r="H1586" s="4"/>
      <c r="I1586" s="4"/>
      <c r="J1586" s="18"/>
      <c r="K1586" s="4"/>
      <c r="L1586" s="19"/>
      <c r="M1586" s="20"/>
    </row>
    <row r="1587">
      <c r="A1587" s="6"/>
      <c r="B1587" s="6"/>
      <c r="C1587" s="4"/>
      <c r="D1587" s="4"/>
      <c r="E1587" s="4"/>
      <c r="F1587" s="4"/>
      <c r="G1587" s="4"/>
      <c r="H1587" s="4"/>
      <c r="I1587" s="4"/>
      <c r="J1587" s="18"/>
      <c r="K1587" s="4"/>
      <c r="L1587" s="19"/>
      <c r="M1587" s="20"/>
    </row>
    <row r="1588">
      <c r="A1588" s="6"/>
      <c r="B1588" s="6"/>
      <c r="C1588" s="4"/>
      <c r="D1588" s="4"/>
      <c r="E1588" s="4"/>
      <c r="F1588" s="4"/>
      <c r="G1588" s="4"/>
      <c r="H1588" s="4"/>
      <c r="I1588" s="4"/>
      <c r="J1588" s="18"/>
      <c r="K1588" s="4"/>
      <c r="L1588" s="19"/>
      <c r="M1588" s="20"/>
    </row>
    <row r="1589">
      <c r="A1589" s="6"/>
      <c r="B1589" s="6"/>
      <c r="C1589" s="4"/>
      <c r="D1589" s="4"/>
      <c r="E1589" s="4"/>
      <c r="F1589" s="4"/>
      <c r="G1589" s="4"/>
      <c r="H1589" s="4"/>
      <c r="I1589" s="4"/>
      <c r="J1589" s="18"/>
      <c r="K1589" s="4"/>
      <c r="L1589" s="19"/>
      <c r="M1589" s="20"/>
    </row>
    <row r="1590">
      <c r="A1590" s="6"/>
      <c r="B1590" s="6"/>
      <c r="C1590" s="4"/>
      <c r="D1590" s="4"/>
      <c r="E1590" s="4"/>
      <c r="F1590" s="4"/>
      <c r="G1590" s="4"/>
      <c r="H1590" s="4"/>
      <c r="I1590" s="4"/>
      <c r="J1590" s="18"/>
      <c r="K1590" s="4"/>
      <c r="L1590" s="19"/>
      <c r="M1590" s="20"/>
    </row>
    <row r="1591">
      <c r="A1591" s="6"/>
      <c r="B1591" s="6"/>
      <c r="C1591" s="4"/>
      <c r="D1591" s="4"/>
      <c r="E1591" s="4"/>
      <c r="F1591" s="4"/>
      <c r="G1591" s="4"/>
      <c r="H1591" s="4"/>
      <c r="I1591" s="4"/>
      <c r="J1591" s="18"/>
      <c r="K1591" s="4"/>
      <c r="L1591" s="19"/>
      <c r="M1591" s="20"/>
    </row>
    <row r="1592">
      <c r="A1592" s="6"/>
      <c r="B1592" s="6"/>
      <c r="C1592" s="4"/>
      <c r="D1592" s="4"/>
      <c r="E1592" s="4"/>
      <c r="F1592" s="4"/>
      <c r="G1592" s="4"/>
      <c r="H1592" s="4"/>
      <c r="I1592" s="4"/>
      <c r="J1592" s="18"/>
      <c r="K1592" s="4"/>
      <c r="L1592" s="19"/>
      <c r="M1592" s="20"/>
    </row>
    <row r="1593">
      <c r="A1593" s="6"/>
      <c r="B1593" s="6"/>
      <c r="C1593" s="4"/>
      <c r="D1593" s="4"/>
      <c r="E1593" s="4"/>
      <c r="F1593" s="4"/>
      <c r="G1593" s="4"/>
      <c r="H1593" s="4"/>
      <c r="I1593" s="4"/>
      <c r="J1593" s="18"/>
      <c r="K1593" s="4"/>
      <c r="L1593" s="19"/>
      <c r="M1593" s="20"/>
    </row>
    <row r="1594">
      <c r="A1594" s="6"/>
      <c r="B1594" s="6"/>
      <c r="C1594" s="4"/>
      <c r="D1594" s="4"/>
      <c r="E1594" s="4"/>
      <c r="F1594" s="4"/>
      <c r="G1594" s="4"/>
      <c r="H1594" s="4"/>
      <c r="I1594" s="4"/>
      <c r="J1594" s="18"/>
      <c r="K1594" s="4"/>
      <c r="L1594" s="19"/>
      <c r="M1594" s="20"/>
    </row>
    <row r="1595">
      <c r="A1595" s="6"/>
      <c r="B1595" s="6"/>
      <c r="C1595" s="4"/>
      <c r="D1595" s="4"/>
      <c r="E1595" s="4"/>
      <c r="F1595" s="4"/>
      <c r="G1595" s="4"/>
      <c r="H1595" s="4"/>
      <c r="I1595" s="4"/>
      <c r="J1595" s="18"/>
      <c r="K1595" s="4"/>
      <c r="L1595" s="19"/>
      <c r="M1595" s="20"/>
    </row>
    <row r="1596">
      <c r="A1596" s="6"/>
      <c r="B1596" s="6"/>
      <c r="C1596" s="4"/>
      <c r="D1596" s="4"/>
      <c r="E1596" s="4"/>
      <c r="F1596" s="4"/>
      <c r="G1596" s="4"/>
      <c r="H1596" s="4"/>
      <c r="I1596" s="4"/>
      <c r="J1596" s="18"/>
      <c r="K1596" s="4"/>
      <c r="L1596" s="19"/>
      <c r="M1596" s="20"/>
    </row>
    <row r="1597">
      <c r="A1597" s="6"/>
      <c r="B1597" s="6"/>
      <c r="C1597" s="4"/>
      <c r="D1597" s="4"/>
      <c r="E1597" s="4"/>
      <c r="F1597" s="4"/>
      <c r="G1597" s="4"/>
      <c r="H1597" s="4"/>
      <c r="I1597" s="4"/>
      <c r="J1597" s="18"/>
      <c r="K1597" s="4"/>
      <c r="L1597" s="19"/>
      <c r="M1597" s="20"/>
    </row>
    <row r="1598">
      <c r="A1598" s="6"/>
      <c r="B1598" s="6"/>
      <c r="C1598" s="4"/>
      <c r="D1598" s="4"/>
      <c r="E1598" s="4"/>
      <c r="F1598" s="4"/>
      <c r="G1598" s="4"/>
      <c r="H1598" s="4"/>
      <c r="I1598" s="4"/>
      <c r="J1598" s="18"/>
      <c r="K1598" s="4"/>
      <c r="L1598" s="19"/>
      <c r="M1598" s="20"/>
    </row>
    <row r="1599">
      <c r="A1599" s="6"/>
      <c r="B1599" s="6"/>
      <c r="C1599" s="4"/>
      <c r="D1599" s="4"/>
      <c r="E1599" s="4"/>
      <c r="F1599" s="4"/>
      <c r="G1599" s="4"/>
      <c r="H1599" s="4"/>
      <c r="I1599" s="4"/>
      <c r="J1599" s="18"/>
      <c r="K1599" s="4"/>
      <c r="L1599" s="19"/>
      <c r="M1599" s="20"/>
    </row>
    <row r="1600">
      <c r="A1600" s="6"/>
      <c r="B1600" s="6"/>
      <c r="C1600" s="4"/>
      <c r="D1600" s="4"/>
      <c r="E1600" s="4"/>
      <c r="F1600" s="4"/>
      <c r="G1600" s="4"/>
      <c r="H1600" s="4"/>
      <c r="I1600" s="4"/>
      <c r="J1600" s="18"/>
      <c r="K1600" s="4"/>
      <c r="L1600" s="19"/>
      <c r="M1600" s="20"/>
    </row>
    <row r="1601">
      <c r="A1601" s="6"/>
      <c r="B1601" s="6"/>
      <c r="C1601" s="4"/>
      <c r="D1601" s="4"/>
      <c r="E1601" s="4"/>
      <c r="F1601" s="4"/>
      <c r="G1601" s="4"/>
      <c r="H1601" s="4"/>
      <c r="I1601" s="4"/>
      <c r="J1601" s="18"/>
      <c r="K1601" s="4"/>
      <c r="L1601" s="19"/>
      <c r="M1601" s="20"/>
    </row>
    <row r="1602">
      <c r="A1602" s="6"/>
      <c r="B1602" s="6"/>
      <c r="C1602" s="4"/>
      <c r="D1602" s="4"/>
      <c r="E1602" s="4"/>
      <c r="F1602" s="4"/>
      <c r="G1602" s="4"/>
      <c r="H1602" s="4"/>
      <c r="I1602" s="4"/>
      <c r="J1602" s="18"/>
      <c r="K1602" s="4"/>
      <c r="L1602" s="19"/>
      <c r="M1602" s="20"/>
    </row>
    <row r="1603">
      <c r="A1603" s="6"/>
      <c r="B1603" s="6"/>
      <c r="C1603" s="4"/>
      <c r="D1603" s="4"/>
      <c r="E1603" s="4"/>
      <c r="F1603" s="4"/>
      <c r="G1603" s="4"/>
      <c r="H1603" s="4"/>
      <c r="I1603" s="4"/>
      <c r="J1603" s="18"/>
      <c r="K1603" s="4"/>
      <c r="L1603" s="19"/>
      <c r="M1603" s="20"/>
    </row>
    <row r="1604">
      <c r="A1604" s="6"/>
      <c r="B1604" s="6"/>
      <c r="C1604" s="4"/>
      <c r="D1604" s="4"/>
      <c r="E1604" s="4"/>
      <c r="F1604" s="4"/>
      <c r="G1604" s="4"/>
      <c r="H1604" s="4"/>
      <c r="I1604" s="4"/>
      <c r="J1604" s="18"/>
      <c r="K1604" s="4"/>
      <c r="L1604" s="19"/>
      <c r="M1604" s="20"/>
    </row>
    <row r="1605">
      <c r="A1605" s="6"/>
      <c r="B1605" s="6"/>
      <c r="C1605" s="4"/>
      <c r="D1605" s="4"/>
      <c r="E1605" s="4"/>
      <c r="F1605" s="4"/>
      <c r="G1605" s="4"/>
      <c r="H1605" s="4"/>
      <c r="I1605" s="4"/>
      <c r="J1605" s="18"/>
      <c r="K1605" s="4"/>
      <c r="L1605" s="19"/>
      <c r="M1605" s="20"/>
    </row>
    <row r="1606">
      <c r="A1606" s="6"/>
      <c r="B1606" s="6"/>
      <c r="C1606" s="4"/>
      <c r="D1606" s="4"/>
      <c r="E1606" s="4"/>
      <c r="F1606" s="4"/>
      <c r="G1606" s="4"/>
      <c r="H1606" s="4"/>
      <c r="I1606" s="4"/>
      <c r="J1606" s="18"/>
      <c r="K1606" s="4"/>
      <c r="L1606" s="19"/>
      <c r="M1606" s="20"/>
    </row>
    <row r="1607">
      <c r="A1607" s="6"/>
      <c r="B1607" s="6"/>
      <c r="C1607" s="4"/>
      <c r="D1607" s="4"/>
      <c r="E1607" s="4"/>
      <c r="F1607" s="4"/>
      <c r="G1607" s="4"/>
      <c r="H1607" s="4"/>
      <c r="I1607" s="4"/>
      <c r="J1607" s="18"/>
      <c r="K1607" s="4"/>
      <c r="L1607" s="19"/>
      <c r="M1607" s="20"/>
    </row>
    <row r="1608">
      <c r="A1608" s="6"/>
      <c r="B1608" s="6"/>
      <c r="C1608" s="4"/>
      <c r="D1608" s="4"/>
      <c r="E1608" s="4"/>
      <c r="F1608" s="4"/>
      <c r="G1608" s="4"/>
      <c r="H1608" s="4"/>
      <c r="I1608" s="4"/>
      <c r="J1608" s="18"/>
      <c r="K1608" s="4"/>
      <c r="L1608" s="19"/>
      <c r="M1608" s="20"/>
    </row>
    <row r="1609">
      <c r="A1609" s="6"/>
      <c r="B1609" s="6"/>
      <c r="C1609" s="4"/>
      <c r="D1609" s="4"/>
      <c r="E1609" s="4"/>
      <c r="F1609" s="4"/>
      <c r="G1609" s="4"/>
      <c r="H1609" s="4"/>
      <c r="I1609" s="4"/>
      <c r="J1609" s="18"/>
      <c r="K1609" s="4"/>
      <c r="L1609" s="19"/>
      <c r="M1609" s="20"/>
    </row>
    <row r="1610">
      <c r="A1610" s="6"/>
      <c r="B1610" s="6"/>
      <c r="C1610" s="4"/>
      <c r="D1610" s="4"/>
      <c r="E1610" s="4"/>
      <c r="F1610" s="4"/>
      <c r="G1610" s="4"/>
      <c r="H1610" s="4"/>
      <c r="I1610" s="4"/>
      <c r="J1610" s="18"/>
      <c r="K1610" s="4"/>
      <c r="L1610" s="19"/>
      <c r="M1610" s="20"/>
    </row>
    <row r="1611">
      <c r="A1611" s="6"/>
      <c r="B1611" s="6"/>
      <c r="C1611" s="4"/>
      <c r="D1611" s="4"/>
      <c r="E1611" s="4"/>
      <c r="F1611" s="4"/>
      <c r="G1611" s="4"/>
      <c r="H1611" s="4"/>
      <c r="I1611" s="4"/>
      <c r="J1611" s="18"/>
      <c r="K1611" s="4"/>
      <c r="L1611" s="19"/>
      <c r="M1611" s="20"/>
    </row>
    <row r="1612">
      <c r="A1612" s="6"/>
      <c r="B1612" s="6"/>
      <c r="C1612" s="4"/>
      <c r="D1612" s="4"/>
      <c r="E1612" s="4"/>
      <c r="F1612" s="4"/>
      <c r="G1612" s="4"/>
      <c r="H1612" s="4"/>
      <c r="I1612" s="4"/>
      <c r="J1612" s="18"/>
      <c r="K1612" s="4"/>
      <c r="L1612" s="19"/>
      <c r="M1612" s="20"/>
    </row>
    <row r="1613">
      <c r="A1613" s="6"/>
      <c r="B1613" s="6"/>
      <c r="C1613" s="4"/>
      <c r="D1613" s="4"/>
      <c r="E1613" s="4"/>
      <c r="F1613" s="4"/>
      <c r="G1613" s="4"/>
      <c r="H1613" s="4"/>
      <c r="I1613" s="4"/>
      <c r="J1613" s="18"/>
      <c r="K1613" s="4"/>
      <c r="L1613" s="19"/>
      <c r="M1613" s="20"/>
    </row>
    <row r="1614">
      <c r="A1614" s="6"/>
      <c r="B1614" s="6"/>
      <c r="C1614" s="4"/>
      <c r="D1614" s="4"/>
      <c r="E1614" s="4"/>
      <c r="F1614" s="4"/>
      <c r="G1614" s="4"/>
      <c r="H1614" s="4"/>
      <c r="I1614" s="4"/>
      <c r="J1614" s="18"/>
      <c r="K1614" s="4"/>
      <c r="L1614" s="19"/>
      <c r="M1614" s="20"/>
    </row>
    <row r="1615">
      <c r="A1615" s="6"/>
      <c r="B1615" s="6"/>
      <c r="C1615" s="4"/>
      <c r="D1615" s="4"/>
      <c r="E1615" s="4"/>
      <c r="F1615" s="4"/>
      <c r="G1615" s="4"/>
      <c r="H1615" s="4"/>
      <c r="I1615" s="4"/>
      <c r="J1615" s="18"/>
      <c r="K1615" s="4"/>
      <c r="L1615" s="19"/>
      <c r="M1615" s="20"/>
    </row>
    <row r="1616">
      <c r="A1616" s="6"/>
      <c r="B1616" s="6"/>
      <c r="C1616" s="4"/>
      <c r="D1616" s="4"/>
      <c r="E1616" s="4"/>
      <c r="F1616" s="4"/>
      <c r="G1616" s="4"/>
      <c r="H1616" s="4"/>
      <c r="I1616" s="4"/>
      <c r="J1616" s="18"/>
      <c r="K1616" s="4"/>
      <c r="L1616" s="19"/>
      <c r="M1616" s="20"/>
    </row>
    <row r="1617">
      <c r="A1617" s="6"/>
      <c r="B1617" s="6"/>
      <c r="C1617" s="4"/>
      <c r="D1617" s="4"/>
      <c r="E1617" s="4"/>
      <c r="F1617" s="4"/>
      <c r="G1617" s="4"/>
      <c r="H1617" s="4"/>
      <c r="I1617" s="4"/>
      <c r="J1617" s="18"/>
      <c r="K1617" s="4"/>
      <c r="L1617" s="19"/>
      <c r="M1617" s="20"/>
    </row>
    <row r="1618">
      <c r="A1618" s="6"/>
      <c r="B1618" s="6"/>
      <c r="C1618" s="4"/>
      <c r="D1618" s="4"/>
      <c r="E1618" s="4"/>
      <c r="F1618" s="4"/>
      <c r="G1618" s="4"/>
      <c r="H1618" s="4"/>
      <c r="I1618" s="4"/>
      <c r="J1618" s="18"/>
      <c r="K1618" s="4"/>
      <c r="L1618" s="19"/>
      <c r="M1618" s="20"/>
    </row>
    <row r="1619">
      <c r="A1619" s="6"/>
      <c r="B1619" s="6"/>
      <c r="C1619" s="4"/>
      <c r="D1619" s="4"/>
      <c r="E1619" s="4"/>
      <c r="F1619" s="4"/>
      <c r="G1619" s="4"/>
      <c r="H1619" s="4"/>
      <c r="I1619" s="4"/>
      <c r="J1619" s="18"/>
      <c r="K1619" s="4"/>
      <c r="L1619" s="19"/>
      <c r="M1619" s="20"/>
    </row>
    <row r="1620">
      <c r="A1620" s="6"/>
      <c r="B1620" s="6"/>
      <c r="C1620" s="4"/>
      <c r="D1620" s="4"/>
      <c r="E1620" s="4"/>
      <c r="F1620" s="4"/>
      <c r="G1620" s="4"/>
      <c r="H1620" s="4"/>
      <c r="I1620" s="4"/>
      <c r="J1620" s="18"/>
      <c r="K1620" s="4"/>
      <c r="L1620" s="19"/>
      <c r="M1620" s="20"/>
    </row>
    <row r="1621">
      <c r="A1621" s="6"/>
      <c r="B1621" s="6"/>
      <c r="C1621" s="4"/>
      <c r="D1621" s="4"/>
      <c r="E1621" s="4"/>
      <c r="F1621" s="4"/>
      <c r="G1621" s="4"/>
      <c r="H1621" s="4"/>
      <c r="I1621" s="4"/>
      <c r="J1621" s="18"/>
      <c r="K1621" s="4"/>
      <c r="L1621" s="19"/>
      <c r="M1621" s="20"/>
    </row>
    <row r="1622">
      <c r="A1622" s="6"/>
      <c r="B1622" s="6"/>
      <c r="C1622" s="4"/>
      <c r="D1622" s="4"/>
      <c r="E1622" s="4"/>
      <c r="F1622" s="4"/>
      <c r="G1622" s="4"/>
      <c r="H1622" s="4"/>
      <c r="I1622" s="4"/>
      <c r="J1622" s="18"/>
      <c r="K1622" s="4"/>
      <c r="L1622" s="19"/>
      <c r="M1622" s="20"/>
    </row>
    <row r="1623">
      <c r="A1623" s="6"/>
      <c r="B1623" s="6"/>
      <c r="C1623" s="4"/>
      <c r="D1623" s="4"/>
      <c r="E1623" s="4"/>
      <c r="F1623" s="4"/>
      <c r="G1623" s="4"/>
      <c r="H1623" s="4"/>
      <c r="I1623" s="4"/>
      <c r="J1623" s="18"/>
      <c r="K1623" s="4"/>
      <c r="L1623" s="19"/>
      <c r="M1623" s="20"/>
    </row>
    <row r="1624">
      <c r="A1624" s="6"/>
      <c r="B1624" s="6"/>
      <c r="C1624" s="4"/>
      <c r="D1624" s="4"/>
      <c r="E1624" s="4"/>
      <c r="F1624" s="4"/>
      <c r="G1624" s="4"/>
      <c r="H1624" s="4"/>
      <c r="I1624" s="4"/>
      <c r="J1624" s="18"/>
      <c r="K1624" s="4"/>
      <c r="L1624" s="19"/>
      <c r="M1624" s="20"/>
    </row>
    <row r="1625">
      <c r="A1625" s="6"/>
      <c r="B1625" s="6"/>
      <c r="C1625" s="4"/>
      <c r="D1625" s="4"/>
      <c r="E1625" s="4"/>
      <c r="F1625" s="4"/>
      <c r="G1625" s="4"/>
      <c r="H1625" s="4"/>
      <c r="I1625" s="4"/>
      <c r="J1625" s="18"/>
      <c r="K1625" s="4"/>
      <c r="L1625" s="19"/>
      <c r="M1625" s="20"/>
    </row>
    <row r="1626">
      <c r="A1626" s="6"/>
      <c r="B1626" s="6"/>
      <c r="C1626" s="4"/>
      <c r="D1626" s="4"/>
      <c r="E1626" s="4"/>
      <c r="F1626" s="4"/>
      <c r="G1626" s="4"/>
      <c r="H1626" s="4"/>
      <c r="I1626" s="4"/>
      <c r="J1626" s="18"/>
      <c r="K1626" s="4"/>
      <c r="L1626" s="19"/>
      <c r="M1626" s="20"/>
    </row>
    <row r="1627">
      <c r="A1627" s="6"/>
      <c r="B1627" s="6"/>
      <c r="C1627" s="4"/>
      <c r="D1627" s="4"/>
      <c r="E1627" s="4"/>
      <c r="F1627" s="4"/>
      <c r="G1627" s="4"/>
      <c r="H1627" s="4"/>
      <c r="I1627" s="4"/>
      <c r="J1627" s="18"/>
      <c r="K1627" s="4"/>
      <c r="L1627" s="19"/>
      <c r="M1627" s="20"/>
    </row>
    <row r="1628">
      <c r="A1628" s="6"/>
      <c r="B1628" s="6"/>
      <c r="C1628" s="4"/>
      <c r="D1628" s="4"/>
      <c r="E1628" s="4"/>
      <c r="F1628" s="4"/>
      <c r="G1628" s="4"/>
      <c r="H1628" s="4"/>
      <c r="I1628" s="4"/>
      <c r="J1628" s="18"/>
      <c r="K1628" s="4"/>
      <c r="L1628" s="19"/>
      <c r="M1628" s="20"/>
    </row>
    <row r="1629">
      <c r="A1629" s="6"/>
      <c r="B1629" s="6"/>
      <c r="C1629" s="4"/>
      <c r="D1629" s="4"/>
      <c r="E1629" s="4"/>
      <c r="F1629" s="4"/>
      <c r="G1629" s="4"/>
      <c r="H1629" s="4"/>
      <c r="I1629" s="4"/>
      <c r="J1629" s="18"/>
      <c r="K1629" s="4"/>
      <c r="L1629" s="19"/>
      <c r="M1629" s="20"/>
    </row>
    <row r="1630">
      <c r="A1630" s="6"/>
      <c r="B1630" s="6"/>
      <c r="C1630" s="4"/>
      <c r="D1630" s="4"/>
      <c r="E1630" s="4"/>
      <c r="F1630" s="4"/>
      <c r="G1630" s="4"/>
      <c r="H1630" s="4"/>
      <c r="I1630" s="4"/>
      <c r="J1630" s="18"/>
      <c r="K1630" s="4"/>
      <c r="L1630" s="19"/>
      <c r="M1630" s="20"/>
    </row>
    <row r="1631">
      <c r="A1631" s="6"/>
      <c r="B1631" s="6"/>
      <c r="C1631" s="4"/>
      <c r="D1631" s="4"/>
      <c r="E1631" s="4"/>
      <c r="F1631" s="4"/>
      <c r="G1631" s="4"/>
      <c r="H1631" s="4"/>
      <c r="I1631" s="4"/>
      <c r="J1631" s="18"/>
      <c r="K1631" s="4"/>
      <c r="L1631" s="19"/>
      <c r="M1631" s="20"/>
    </row>
    <row r="1632">
      <c r="A1632" s="6"/>
      <c r="B1632" s="6"/>
      <c r="C1632" s="4"/>
      <c r="D1632" s="4"/>
      <c r="E1632" s="4"/>
      <c r="F1632" s="4"/>
      <c r="G1632" s="4"/>
      <c r="H1632" s="4"/>
      <c r="I1632" s="4"/>
      <c r="J1632" s="18"/>
      <c r="K1632" s="4"/>
      <c r="L1632" s="19"/>
      <c r="M1632" s="20"/>
    </row>
    <row r="1633">
      <c r="A1633" s="6"/>
      <c r="B1633" s="6"/>
      <c r="C1633" s="4"/>
      <c r="D1633" s="4"/>
      <c r="E1633" s="4"/>
      <c r="F1633" s="4"/>
      <c r="G1633" s="4"/>
      <c r="H1633" s="4"/>
      <c r="I1633" s="4"/>
      <c r="J1633" s="18"/>
      <c r="K1633" s="4"/>
      <c r="L1633" s="19"/>
      <c r="M1633" s="20"/>
    </row>
    <row r="1634">
      <c r="A1634" s="6"/>
      <c r="B1634" s="6"/>
      <c r="C1634" s="4"/>
      <c r="D1634" s="4"/>
      <c r="E1634" s="4"/>
      <c r="F1634" s="4"/>
      <c r="G1634" s="4"/>
      <c r="H1634" s="4"/>
      <c r="I1634" s="4"/>
      <c r="J1634" s="18"/>
      <c r="K1634" s="4"/>
      <c r="L1634" s="19"/>
      <c r="M1634" s="20"/>
    </row>
    <row r="1635">
      <c r="A1635" s="6"/>
      <c r="B1635" s="6"/>
      <c r="C1635" s="4"/>
      <c r="D1635" s="4"/>
      <c r="E1635" s="4"/>
      <c r="F1635" s="4"/>
      <c r="G1635" s="4"/>
      <c r="H1635" s="4"/>
      <c r="I1635" s="4"/>
      <c r="J1635" s="18"/>
      <c r="K1635" s="4"/>
      <c r="L1635" s="19"/>
      <c r="M1635" s="20"/>
    </row>
    <row r="1636">
      <c r="A1636" s="6"/>
      <c r="B1636" s="6"/>
      <c r="C1636" s="4"/>
      <c r="D1636" s="4"/>
      <c r="E1636" s="4"/>
      <c r="F1636" s="4"/>
      <c r="G1636" s="4"/>
      <c r="H1636" s="4"/>
      <c r="I1636" s="4"/>
      <c r="J1636" s="18"/>
      <c r="K1636" s="4"/>
      <c r="L1636" s="19"/>
      <c r="M1636" s="20"/>
    </row>
    <row r="1637">
      <c r="A1637" s="6"/>
      <c r="B1637" s="6"/>
      <c r="C1637" s="4"/>
      <c r="D1637" s="4"/>
      <c r="E1637" s="4"/>
      <c r="F1637" s="4"/>
      <c r="G1637" s="4"/>
      <c r="H1637" s="4"/>
      <c r="I1637" s="4"/>
      <c r="J1637" s="18"/>
      <c r="K1637" s="4"/>
      <c r="L1637" s="19"/>
      <c r="M1637" s="20"/>
    </row>
    <row r="1638">
      <c r="A1638" s="6"/>
      <c r="B1638" s="6"/>
      <c r="C1638" s="4"/>
      <c r="D1638" s="4"/>
      <c r="E1638" s="4"/>
      <c r="F1638" s="4"/>
      <c r="G1638" s="4"/>
      <c r="H1638" s="4"/>
      <c r="I1638" s="4"/>
      <c r="J1638" s="18"/>
      <c r="K1638" s="4"/>
      <c r="L1638" s="19"/>
      <c r="M1638" s="20"/>
    </row>
    <row r="1639">
      <c r="A1639" s="6"/>
      <c r="B1639" s="6"/>
      <c r="C1639" s="4"/>
      <c r="D1639" s="4"/>
      <c r="E1639" s="4"/>
      <c r="F1639" s="4"/>
      <c r="G1639" s="4"/>
      <c r="H1639" s="4"/>
      <c r="I1639" s="4"/>
      <c r="J1639" s="18"/>
      <c r="K1639" s="4"/>
      <c r="L1639" s="19"/>
      <c r="M1639" s="20"/>
    </row>
    <row r="1640">
      <c r="A1640" s="6"/>
      <c r="B1640" s="6"/>
      <c r="C1640" s="4"/>
      <c r="D1640" s="4"/>
      <c r="E1640" s="4"/>
      <c r="F1640" s="4"/>
      <c r="G1640" s="4"/>
      <c r="H1640" s="4"/>
      <c r="I1640" s="4"/>
      <c r="J1640" s="18"/>
      <c r="K1640" s="4"/>
      <c r="L1640" s="19"/>
      <c r="M1640" s="20"/>
    </row>
    <row r="1641">
      <c r="A1641" s="6"/>
      <c r="B1641" s="6"/>
      <c r="C1641" s="4"/>
      <c r="D1641" s="4"/>
      <c r="E1641" s="4"/>
      <c r="F1641" s="4"/>
      <c r="G1641" s="4"/>
      <c r="H1641" s="4"/>
      <c r="I1641" s="4"/>
      <c r="J1641" s="18"/>
      <c r="K1641" s="4"/>
      <c r="L1641" s="19"/>
      <c r="M1641" s="20"/>
    </row>
    <row r="1642">
      <c r="A1642" s="6"/>
      <c r="B1642" s="6"/>
      <c r="C1642" s="4"/>
      <c r="D1642" s="4"/>
      <c r="E1642" s="4"/>
      <c r="F1642" s="4"/>
      <c r="G1642" s="4"/>
      <c r="H1642" s="4"/>
      <c r="I1642" s="4"/>
      <c r="J1642" s="18"/>
      <c r="K1642" s="4"/>
      <c r="L1642" s="19"/>
      <c r="M1642" s="20"/>
    </row>
    <row r="1643">
      <c r="A1643" s="6"/>
      <c r="B1643" s="6"/>
      <c r="C1643" s="4"/>
      <c r="D1643" s="4"/>
      <c r="E1643" s="4"/>
      <c r="F1643" s="4"/>
      <c r="G1643" s="4"/>
      <c r="H1643" s="4"/>
      <c r="I1643" s="4"/>
      <c r="J1643" s="18"/>
      <c r="K1643" s="4"/>
      <c r="L1643" s="19"/>
      <c r="M1643" s="20"/>
    </row>
    <row r="1644">
      <c r="A1644" s="6"/>
      <c r="B1644" s="6"/>
      <c r="C1644" s="4"/>
      <c r="D1644" s="4"/>
      <c r="E1644" s="4"/>
      <c r="F1644" s="4"/>
      <c r="G1644" s="4"/>
      <c r="H1644" s="4"/>
      <c r="I1644" s="4"/>
      <c r="J1644" s="18"/>
      <c r="K1644" s="4"/>
      <c r="L1644" s="19"/>
      <c r="M1644" s="20"/>
    </row>
    <row r="1645">
      <c r="A1645" s="6"/>
      <c r="B1645" s="6"/>
      <c r="C1645" s="4"/>
      <c r="D1645" s="4"/>
      <c r="E1645" s="4"/>
      <c r="F1645" s="4"/>
      <c r="G1645" s="4"/>
      <c r="H1645" s="4"/>
      <c r="I1645" s="4"/>
      <c r="J1645" s="18"/>
      <c r="K1645" s="4"/>
      <c r="L1645" s="19"/>
      <c r="M1645" s="20"/>
    </row>
    <row r="1646">
      <c r="A1646" s="6"/>
      <c r="B1646" s="6"/>
      <c r="C1646" s="4"/>
      <c r="D1646" s="4"/>
      <c r="E1646" s="4"/>
      <c r="F1646" s="4"/>
      <c r="G1646" s="4"/>
      <c r="H1646" s="4"/>
      <c r="I1646" s="4"/>
      <c r="J1646" s="18"/>
      <c r="K1646" s="4"/>
      <c r="L1646" s="19"/>
      <c r="M1646" s="20"/>
    </row>
    <row r="1647">
      <c r="A1647" s="6"/>
      <c r="B1647" s="6"/>
      <c r="C1647" s="4"/>
      <c r="D1647" s="4"/>
      <c r="E1647" s="4"/>
      <c r="F1647" s="4"/>
      <c r="G1647" s="4"/>
      <c r="H1647" s="4"/>
      <c r="I1647" s="4"/>
      <c r="J1647" s="18"/>
      <c r="K1647" s="4"/>
      <c r="L1647" s="19"/>
      <c r="M1647" s="20"/>
    </row>
    <row r="1648">
      <c r="A1648" s="6"/>
      <c r="B1648" s="6"/>
      <c r="C1648" s="4"/>
      <c r="D1648" s="4"/>
      <c r="E1648" s="4"/>
      <c r="F1648" s="4"/>
      <c r="G1648" s="4"/>
      <c r="H1648" s="4"/>
      <c r="I1648" s="4"/>
      <c r="J1648" s="18"/>
      <c r="K1648" s="4"/>
      <c r="L1648" s="19"/>
      <c r="M1648" s="20"/>
    </row>
    <row r="1649">
      <c r="A1649" s="6"/>
      <c r="B1649" s="6"/>
      <c r="C1649" s="4"/>
      <c r="D1649" s="4"/>
      <c r="E1649" s="4"/>
      <c r="F1649" s="4"/>
      <c r="G1649" s="4"/>
      <c r="H1649" s="4"/>
      <c r="I1649" s="4"/>
      <c r="J1649" s="18"/>
      <c r="K1649" s="4"/>
      <c r="L1649" s="19"/>
      <c r="M1649" s="20"/>
    </row>
    <row r="1650">
      <c r="A1650" s="6"/>
      <c r="B1650" s="6"/>
      <c r="C1650" s="4"/>
      <c r="D1650" s="4"/>
      <c r="E1650" s="4"/>
      <c r="F1650" s="4"/>
      <c r="G1650" s="4"/>
      <c r="H1650" s="4"/>
      <c r="I1650" s="4"/>
      <c r="J1650" s="18"/>
      <c r="K1650" s="4"/>
      <c r="L1650" s="19"/>
      <c r="M1650" s="20"/>
    </row>
    <row r="1651">
      <c r="A1651" s="6"/>
      <c r="B1651" s="6"/>
      <c r="C1651" s="4"/>
      <c r="D1651" s="4"/>
      <c r="E1651" s="4"/>
      <c r="F1651" s="4"/>
      <c r="G1651" s="4"/>
      <c r="H1651" s="4"/>
      <c r="I1651" s="4"/>
      <c r="J1651" s="18"/>
      <c r="K1651" s="4"/>
      <c r="L1651" s="19"/>
      <c r="M1651" s="20"/>
    </row>
    <row r="1652">
      <c r="A1652" s="6"/>
      <c r="B1652" s="6"/>
      <c r="C1652" s="4"/>
      <c r="D1652" s="4"/>
      <c r="E1652" s="4"/>
      <c r="F1652" s="4"/>
      <c r="G1652" s="4"/>
      <c r="H1652" s="4"/>
      <c r="I1652" s="4"/>
      <c r="J1652" s="18"/>
      <c r="K1652" s="4"/>
      <c r="L1652" s="19"/>
      <c r="M1652" s="20"/>
    </row>
    <row r="1653">
      <c r="A1653" s="6"/>
      <c r="B1653" s="6"/>
      <c r="C1653" s="4"/>
      <c r="D1653" s="4"/>
      <c r="E1653" s="4"/>
      <c r="F1653" s="4"/>
      <c r="G1653" s="4"/>
      <c r="H1653" s="4"/>
      <c r="I1653" s="4"/>
      <c r="J1653" s="18"/>
      <c r="K1653" s="4"/>
      <c r="L1653" s="19"/>
      <c r="M1653" s="20"/>
    </row>
    <row r="1654">
      <c r="A1654" s="6"/>
      <c r="B1654" s="6"/>
      <c r="C1654" s="4"/>
      <c r="D1654" s="4"/>
      <c r="E1654" s="4"/>
      <c r="F1654" s="4"/>
      <c r="G1654" s="4"/>
      <c r="H1654" s="4"/>
      <c r="I1654" s="4"/>
      <c r="J1654" s="18"/>
      <c r="K1654" s="4"/>
      <c r="L1654" s="19"/>
      <c r="M1654" s="20"/>
    </row>
    <row r="1655">
      <c r="A1655" s="6"/>
      <c r="B1655" s="6"/>
      <c r="C1655" s="4"/>
      <c r="D1655" s="4"/>
      <c r="E1655" s="4"/>
      <c r="F1655" s="4"/>
      <c r="G1655" s="4"/>
      <c r="H1655" s="4"/>
      <c r="I1655" s="4"/>
      <c r="J1655" s="18"/>
      <c r="K1655" s="4"/>
      <c r="L1655" s="19"/>
      <c r="M1655" s="20"/>
    </row>
    <row r="1656">
      <c r="A1656" s="6"/>
      <c r="B1656" s="6"/>
      <c r="C1656" s="4"/>
      <c r="D1656" s="4"/>
      <c r="E1656" s="4"/>
      <c r="F1656" s="4"/>
      <c r="G1656" s="4"/>
      <c r="H1656" s="4"/>
      <c r="I1656" s="4"/>
      <c r="J1656" s="18"/>
      <c r="K1656" s="4"/>
      <c r="L1656" s="19"/>
      <c r="M1656" s="20"/>
    </row>
    <row r="1657">
      <c r="A1657" s="6"/>
      <c r="B1657" s="6"/>
      <c r="C1657" s="4"/>
      <c r="D1657" s="4"/>
      <c r="E1657" s="4"/>
      <c r="F1657" s="4"/>
      <c r="G1657" s="4"/>
      <c r="H1657" s="4"/>
      <c r="I1657" s="4"/>
      <c r="J1657" s="18"/>
      <c r="K1657" s="4"/>
      <c r="L1657" s="19"/>
      <c r="M1657" s="20"/>
    </row>
    <row r="1658">
      <c r="A1658" s="6"/>
      <c r="B1658" s="6"/>
      <c r="C1658" s="4"/>
      <c r="D1658" s="4"/>
      <c r="E1658" s="4"/>
      <c r="F1658" s="4"/>
      <c r="G1658" s="4"/>
      <c r="H1658" s="4"/>
      <c r="I1658" s="4"/>
      <c r="J1658" s="18"/>
      <c r="K1658" s="4"/>
      <c r="L1658" s="19"/>
      <c r="M1658" s="20"/>
    </row>
    <row r="1659">
      <c r="A1659" s="6"/>
      <c r="B1659" s="6"/>
      <c r="C1659" s="4"/>
      <c r="D1659" s="4"/>
      <c r="E1659" s="4"/>
      <c r="F1659" s="4"/>
      <c r="G1659" s="4"/>
      <c r="H1659" s="4"/>
      <c r="I1659" s="4"/>
      <c r="J1659" s="18"/>
      <c r="K1659" s="4"/>
      <c r="L1659" s="19"/>
      <c r="M1659" s="20"/>
    </row>
    <row r="1660">
      <c r="A1660" s="6"/>
      <c r="B1660" s="6"/>
      <c r="C1660" s="4"/>
      <c r="D1660" s="4"/>
      <c r="E1660" s="4"/>
      <c r="F1660" s="4"/>
      <c r="G1660" s="4"/>
      <c r="H1660" s="4"/>
      <c r="I1660" s="4"/>
      <c r="J1660" s="18"/>
      <c r="K1660" s="4"/>
      <c r="L1660" s="19"/>
      <c r="M1660" s="20"/>
    </row>
    <row r="1661">
      <c r="A1661" s="6"/>
      <c r="B1661" s="6"/>
      <c r="C1661" s="4"/>
      <c r="D1661" s="4"/>
      <c r="E1661" s="4"/>
      <c r="F1661" s="4"/>
      <c r="G1661" s="4"/>
      <c r="H1661" s="4"/>
      <c r="I1661" s="4"/>
      <c r="J1661" s="18"/>
      <c r="K1661" s="4"/>
      <c r="L1661" s="19"/>
      <c r="M1661" s="20"/>
    </row>
    <row r="1662">
      <c r="A1662" s="6"/>
      <c r="B1662" s="6"/>
      <c r="C1662" s="4"/>
      <c r="D1662" s="4"/>
      <c r="E1662" s="4"/>
      <c r="F1662" s="4"/>
      <c r="G1662" s="4"/>
      <c r="H1662" s="4"/>
      <c r="I1662" s="4"/>
      <c r="J1662" s="18"/>
      <c r="K1662" s="4"/>
      <c r="L1662" s="19"/>
      <c r="M1662" s="20"/>
    </row>
    <row r="1663">
      <c r="A1663" s="6"/>
      <c r="B1663" s="6"/>
      <c r="C1663" s="4"/>
      <c r="D1663" s="4"/>
      <c r="E1663" s="4"/>
      <c r="F1663" s="4"/>
      <c r="G1663" s="4"/>
      <c r="H1663" s="4"/>
      <c r="I1663" s="4"/>
      <c r="J1663" s="18"/>
      <c r="K1663" s="4"/>
      <c r="L1663" s="19"/>
      <c r="M1663" s="20"/>
    </row>
    <row r="1664">
      <c r="A1664" s="6"/>
      <c r="B1664" s="6"/>
      <c r="C1664" s="4"/>
      <c r="D1664" s="4"/>
      <c r="E1664" s="4"/>
      <c r="F1664" s="4"/>
      <c r="G1664" s="4"/>
      <c r="H1664" s="4"/>
      <c r="I1664" s="4"/>
      <c r="J1664" s="18"/>
      <c r="K1664" s="4"/>
      <c r="L1664" s="19"/>
      <c r="M1664" s="20"/>
    </row>
    <row r="1665">
      <c r="A1665" s="6"/>
      <c r="B1665" s="6"/>
      <c r="C1665" s="4"/>
      <c r="D1665" s="4"/>
      <c r="E1665" s="4"/>
      <c r="F1665" s="4"/>
      <c r="G1665" s="4"/>
      <c r="H1665" s="4"/>
      <c r="I1665" s="4"/>
      <c r="J1665" s="18"/>
      <c r="K1665" s="4"/>
      <c r="L1665" s="19"/>
      <c r="M1665" s="20"/>
    </row>
    <row r="1666">
      <c r="A1666" s="6"/>
      <c r="B1666" s="6"/>
      <c r="C1666" s="4"/>
      <c r="D1666" s="4"/>
      <c r="E1666" s="4"/>
      <c r="F1666" s="4"/>
      <c r="G1666" s="4"/>
      <c r="H1666" s="4"/>
      <c r="I1666" s="4"/>
      <c r="J1666" s="18"/>
      <c r="K1666" s="4"/>
      <c r="L1666" s="19"/>
      <c r="M1666" s="20"/>
    </row>
    <row r="1667">
      <c r="A1667" s="6"/>
      <c r="B1667" s="6"/>
      <c r="C1667" s="4"/>
      <c r="D1667" s="4"/>
      <c r="E1667" s="4"/>
      <c r="F1667" s="4"/>
      <c r="G1667" s="4"/>
      <c r="H1667" s="4"/>
      <c r="I1667" s="4"/>
      <c r="J1667" s="18"/>
      <c r="K1667" s="4"/>
      <c r="L1667" s="19"/>
      <c r="M1667" s="20"/>
    </row>
    <row r="1668">
      <c r="A1668" s="6"/>
      <c r="B1668" s="6"/>
      <c r="C1668" s="4"/>
      <c r="D1668" s="4"/>
      <c r="E1668" s="4"/>
      <c r="F1668" s="4"/>
      <c r="G1668" s="4"/>
      <c r="H1668" s="4"/>
      <c r="I1668" s="4"/>
      <c r="J1668" s="18"/>
      <c r="K1668" s="4"/>
      <c r="L1668" s="19"/>
      <c r="M1668" s="20"/>
    </row>
    <row r="1669">
      <c r="A1669" s="6"/>
      <c r="B1669" s="6"/>
      <c r="C1669" s="4"/>
      <c r="D1669" s="4"/>
      <c r="E1669" s="4"/>
      <c r="F1669" s="4"/>
      <c r="G1669" s="4"/>
      <c r="H1669" s="4"/>
      <c r="I1669" s="4"/>
      <c r="J1669" s="18"/>
      <c r="K1669" s="4"/>
      <c r="L1669" s="19"/>
      <c r="M1669" s="20"/>
    </row>
    <row r="1670">
      <c r="A1670" s="6"/>
      <c r="B1670" s="6"/>
      <c r="C1670" s="4"/>
      <c r="D1670" s="4"/>
      <c r="E1670" s="4"/>
      <c r="F1670" s="4"/>
      <c r="G1670" s="4"/>
      <c r="H1670" s="4"/>
      <c r="I1670" s="4"/>
      <c r="J1670" s="18"/>
      <c r="K1670" s="4"/>
      <c r="L1670" s="19"/>
      <c r="M1670" s="20"/>
    </row>
    <row r="1671">
      <c r="A1671" s="6"/>
      <c r="B1671" s="6"/>
      <c r="C1671" s="4"/>
      <c r="D1671" s="4"/>
      <c r="E1671" s="4"/>
      <c r="F1671" s="4"/>
      <c r="G1671" s="4"/>
      <c r="H1671" s="4"/>
      <c r="I1671" s="4"/>
      <c r="J1671" s="18"/>
      <c r="K1671" s="4"/>
      <c r="L1671" s="19"/>
      <c r="M1671" s="20"/>
    </row>
    <row r="1672">
      <c r="A1672" s="6"/>
      <c r="B1672" s="6"/>
      <c r="C1672" s="4"/>
      <c r="D1672" s="4"/>
      <c r="E1672" s="4"/>
      <c r="F1672" s="4"/>
      <c r="G1672" s="4"/>
      <c r="H1672" s="4"/>
      <c r="I1672" s="4"/>
      <c r="J1672" s="18"/>
      <c r="K1672" s="4"/>
      <c r="L1672" s="19"/>
      <c r="M1672" s="20"/>
    </row>
    <row r="1673">
      <c r="A1673" s="6"/>
      <c r="B1673" s="6"/>
      <c r="C1673" s="4"/>
      <c r="D1673" s="4"/>
      <c r="E1673" s="4"/>
      <c r="F1673" s="4"/>
      <c r="G1673" s="4"/>
      <c r="H1673" s="4"/>
      <c r="I1673" s="4"/>
      <c r="J1673" s="18"/>
      <c r="K1673" s="4"/>
      <c r="L1673" s="19"/>
      <c r="M1673" s="20"/>
    </row>
    <row r="1674">
      <c r="A1674" s="6"/>
      <c r="B1674" s="6"/>
      <c r="C1674" s="4"/>
      <c r="D1674" s="4"/>
      <c r="E1674" s="4"/>
      <c r="F1674" s="4"/>
      <c r="G1674" s="4"/>
      <c r="H1674" s="4"/>
      <c r="I1674" s="4"/>
      <c r="J1674" s="18"/>
      <c r="K1674" s="4"/>
      <c r="L1674" s="19"/>
      <c r="M1674" s="20"/>
    </row>
    <row r="1675">
      <c r="A1675" s="6"/>
      <c r="B1675" s="6"/>
      <c r="C1675" s="4"/>
      <c r="D1675" s="4"/>
      <c r="E1675" s="4"/>
      <c r="F1675" s="4"/>
      <c r="G1675" s="4"/>
      <c r="H1675" s="4"/>
      <c r="I1675" s="4"/>
      <c r="J1675" s="18"/>
      <c r="K1675" s="4"/>
      <c r="L1675" s="19"/>
      <c r="M1675" s="20"/>
    </row>
    <row r="1676">
      <c r="A1676" s="6"/>
      <c r="B1676" s="6"/>
      <c r="C1676" s="4"/>
      <c r="D1676" s="4"/>
      <c r="E1676" s="4"/>
      <c r="F1676" s="4"/>
      <c r="G1676" s="4"/>
      <c r="H1676" s="4"/>
      <c r="I1676" s="4"/>
      <c r="J1676" s="18"/>
      <c r="K1676" s="4"/>
      <c r="L1676" s="19"/>
      <c r="M1676" s="20"/>
    </row>
    <row r="1677">
      <c r="A1677" s="6"/>
      <c r="B1677" s="6"/>
      <c r="C1677" s="4"/>
      <c r="D1677" s="4"/>
      <c r="E1677" s="4"/>
      <c r="F1677" s="4"/>
      <c r="G1677" s="4"/>
      <c r="H1677" s="4"/>
      <c r="I1677" s="4"/>
      <c r="J1677" s="18"/>
      <c r="K1677" s="4"/>
      <c r="L1677" s="19"/>
      <c r="M1677" s="20"/>
    </row>
    <row r="1678">
      <c r="A1678" s="6"/>
      <c r="B1678" s="6"/>
      <c r="C1678" s="4"/>
      <c r="D1678" s="4"/>
      <c r="E1678" s="4"/>
      <c r="F1678" s="4"/>
      <c r="G1678" s="4"/>
      <c r="H1678" s="4"/>
      <c r="I1678" s="4"/>
      <c r="J1678" s="18"/>
      <c r="K1678" s="4"/>
      <c r="L1678" s="19"/>
      <c r="M1678" s="20"/>
    </row>
    <row r="1679">
      <c r="A1679" s="6"/>
      <c r="B1679" s="6"/>
      <c r="C1679" s="4"/>
      <c r="D1679" s="4"/>
      <c r="E1679" s="4"/>
      <c r="F1679" s="4"/>
      <c r="G1679" s="4"/>
      <c r="H1679" s="4"/>
      <c r="I1679" s="4"/>
      <c r="J1679" s="18"/>
      <c r="K1679" s="4"/>
      <c r="L1679" s="19"/>
      <c r="M1679" s="20"/>
    </row>
    <row r="1680">
      <c r="A1680" s="6"/>
      <c r="B1680" s="6"/>
      <c r="C1680" s="4"/>
      <c r="D1680" s="4"/>
      <c r="E1680" s="4"/>
      <c r="F1680" s="4"/>
      <c r="G1680" s="4"/>
      <c r="H1680" s="4"/>
      <c r="I1680" s="4"/>
      <c r="J1680" s="18"/>
      <c r="K1680" s="4"/>
      <c r="L1680" s="19"/>
      <c r="M1680" s="20"/>
    </row>
    <row r="1681">
      <c r="A1681" s="6"/>
      <c r="B1681" s="6"/>
      <c r="C1681" s="4"/>
      <c r="D1681" s="4"/>
      <c r="E1681" s="4"/>
      <c r="F1681" s="4"/>
      <c r="G1681" s="4"/>
      <c r="H1681" s="4"/>
      <c r="I1681" s="4"/>
      <c r="J1681" s="18"/>
      <c r="K1681" s="4"/>
      <c r="L1681" s="19"/>
      <c r="M1681" s="20"/>
    </row>
    <row r="1682">
      <c r="A1682" s="6"/>
      <c r="B1682" s="6"/>
      <c r="C1682" s="4"/>
      <c r="D1682" s="4"/>
      <c r="E1682" s="4"/>
      <c r="F1682" s="4"/>
      <c r="G1682" s="4"/>
      <c r="H1682" s="4"/>
      <c r="I1682" s="4"/>
      <c r="J1682" s="18"/>
      <c r="K1682" s="4"/>
      <c r="L1682" s="19"/>
      <c r="M1682" s="20"/>
    </row>
    <row r="1683">
      <c r="A1683" s="6"/>
      <c r="B1683" s="6"/>
      <c r="C1683" s="4"/>
      <c r="D1683" s="4"/>
      <c r="E1683" s="4"/>
      <c r="F1683" s="4"/>
      <c r="G1683" s="4"/>
      <c r="H1683" s="4"/>
      <c r="I1683" s="4"/>
      <c r="J1683" s="18"/>
      <c r="K1683" s="4"/>
      <c r="L1683" s="19"/>
      <c r="M1683" s="20"/>
    </row>
    <row r="1684">
      <c r="A1684" s="6"/>
      <c r="B1684" s="6"/>
      <c r="C1684" s="4"/>
      <c r="D1684" s="4"/>
      <c r="E1684" s="4"/>
      <c r="F1684" s="4"/>
      <c r="G1684" s="4"/>
      <c r="H1684" s="4"/>
      <c r="I1684" s="4"/>
      <c r="J1684" s="18"/>
      <c r="K1684" s="4"/>
      <c r="L1684" s="19"/>
      <c r="M1684" s="20"/>
    </row>
    <row r="1685">
      <c r="A1685" s="6"/>
      <c r="B1685" s="6"/>
      <c r="C1685" s="4"/>
      <c r="D1685" s="4"/>
      <c r="E1685" s="4"/>
      <c r="F1685" s="4"/>
      <c r="G1685" s="4"/>
      <c r="H1685" s="4"/>
      <c r="I1685" s="4"/>
      <c r="J1685" s="18"/>
      <c r="K1685" s="4"/>
      <c r="L1685" s="19"/>
      <c r="M1685" s="20"/>
    </row>
    <row r="1686">
      <c r="A1686" s="6"/>
      <c r="B1686" s="6"/>
      <c r="C1686" s="4"/>
      <c r="D1686" s="4"/>
      <c r="E1686" s="4"/>
      <c r="F1686" s="4"/>
      <c r="G1686" s="4"/>
      <c r="H1686" s="4"/>
      <c r="I1686" s="4"/>
      <c r="J1686" s="18"/>
      <c r="K1686" s="4"/>
      <c r="L1686" s="19"/>
      <c r="M1686" s="20"/>
    </row>
    <row r="1687">
      <c r="A1687" s="6"/>
      <c r="B1687" s="6"/>
      <c r="C1687" s="4"/>
      <c r="D1687" s="4"/>
      <c r="E1687" s="4"/>
      <c r="F1687" s="4"/>
      <c r="G1687" s="4"/>
      <c r="H1687" s="4"/>
      <c r="I1687" s="4"/>
      <c r="J1687" s="18"/>
      <c r="K1687" s="4"/>
      <c r="L1687" s="19"/>
      <c r="M1687" s="20"/>
    </row>
    <row r="1688">
      <c r="A1688" s="6"/>
      <c r="B1688" s="6"/>
      <c r="C1688" s="4"/>
      <c r="D1688" s="4"/>
      <c r="E1688" s="4"/>
      <c r="F1688" s="4"/>
      <c r="G1688" s="4"/>
      <c r="H1688" s="4"/>
      <c r="I1688" s="4"/>
      <c r="J1688" s="18"/>
      <c r="K1688" s="4"/>
      <c r="L1688" s="19"/>
      <c r="M1688" s="20"/>
    </row>
    <row r="1689">
      <c r="A1689" s="6"/>
      <c r="B1689" s="6"/>
      <c r="C1689" s="4"/>
      <c r="D1689" s="4"/>
      <c r="E1689" s="4"/>
      <c r="F1689" s="4"/>
      <c r="G1689" s="4"/>
      <c r="H1689" s="4"/>
      <c r="I1689" s="4"/>
      <c r="J1689" s="18"/>
      <c r="K1689" s="4"/>
      <c r="L1689" s="19"/>
      <c r="M1689" s="20"/>
    </row>
    <row r="1690">
      <c r="A1690" s="6"/>
      <c r="B1690" s="6"/>
      <c r="C1690" s="4"/>
      <c r="D1690" s="4"/>
      <c r="E1690" s="4"/>
      <c r="F1690" s="4"/>
      <c r="G1690" s="4"/>
      <c r="H1690" s="4"/>
      <c r="I1690" s="4"/>
      <c r="J1690" s="18"/>
      <c r="K1690" s="4"/>
      <c r="L1690" s="19"/>
      <c r="M1690" s="20"/>
    </row>
    <row r="1691">
      <c r="A1691" s="6"/>
      <c r="B1691" s="6"/>
      <c r="C1691" s="4"/>
      <c r="D1691" s="4"/>
      <c r="E1691" s="4"/>
      <c r="F1691" s="4"/>
      <c r="G1691" s="4"/>
      <c r="H1691" s="4"/>
      <c r="I1691" s="4"/>
      <c r="J1691" s="18"/>
      <c r="K1691" s="4"/>
      <c r="L1691" s="19"/>
      <c r="M1691" s="20"/>
    </row>
    <row r="1692">
      <c r="A1692" s="6"/>
      <c r="B1692" s="6"/>
      <c r="C1692" s="4"/>
      <c r="D1692" s="4"/>
      <c r="E1692" s="4"/>
      <c r="F1692" s="4"/>
      <c r="G1692" s="4"/>
      <c r="H1692" s="4"/>
      <c r="I1692" s="4"/>
      <c r="J1692" s="18"/>
      <c r="K1692" s="4"/>
      <c r="L1692" s="19"/>
      <c r="M1692" s="20"/>
    </row>
    <row r="1693">
      <c r="A1693" s="6"/>
      <c r="B1693" s="6"/>
      <c r="C1693" s="4"/>
      <c r="D1693" s="4"/>
      <c r="E1693" s="4"/>
      <c r="F1693" s="4"/>
      <c r="G1693" s="4"/>
      <c r="H1693" s="4"/>
      <c r="I1693" s="4"/>
      <c r="J1693" s="18"/>
      <c r="K1693" s="4"/>
      <c r="L1693" s="19"/>
      <c r="M1693" s="20"/>
    </row>
    <row r="1694">
      <c r="A1694" s="6"/>
      <c r="B1694" s="6"/>
      <c r="C1694" s="4"/>
      <c r="D1694" s="4"/>
      <c r="E1694" s="4"/>
      <c r="F1694" s="4"/>
      <c r="G1694" s="4"/>
      <c r="H1694" s="4"/>
      <c r="I1694" s="4"/>
      <c r="J1694" s="18"/>
      <c r="K1694" s="4"/>
      <c r="L1694" s="19"/>
      <c r="M1694" s="20"/>
    </row>
    <row r="1695">
      <c r="A1695" s="6"/>
      <c r="B1695" s="6"/>
      <c r="C1695" s="4"/>
      <c r="D1695" s="4"/>
      <c r="E1695" s="4"/>
      <c r="F1695" s="4"/>
      <c r="G1695" s="4"/>
      <c r="H1695" s="4"/>
      <c r="I1695" s="4"/>
      <c r="J1695" s="18"/>
      <c r="K1695" s="4"/>
      <c r="L1695" s="19"/>
      <c r="M1695" s="20"/>
    </row>
    <row r="1696">
      <c r="A1696" s="6"/>
      <c r="B1696" s="6"/>
      <c r="C1696" s="4"/>
      <c r="D1696" s="4"/>
      <c r="E1696" s="4"/>
      <c r="F1696" s="4"/>
      <c r="G1696" s="4"/>
      <c r="H1696" s="4"/>
      <c r="I1696" s="4"/>
      <c r="J1696" s="18"/>
      <c r="K1696" s="4"/>
      <c r="L1696" s="19"/>
      <c r="M1696" s="20"/>
    </row>
    <row r="1697">
      <c r="A1697" s="6"/>
      <c r="B1697" s="6"/>
      <c r="C1697" s="4"/>
      <c r="D1697" s="4"/>
      <c r="E1697" s="4"/>
      <c r="F1697" s="4"/>
      <c r="G1697" s="4"/>
      <c r="H1697" s="4"/>
      <c r="I1697" s="4"/>
      <c r="J1697" s="18"/>
      <c r="K1697" s="4"/>
      <c r="L1697" s="19"/>
      <c r="M1697" s="20"/>
    </row>
    <row r="1698">
      <c r="A1698" s="6"/>
      <c r="B1698" s="6"/>
      <c r="C1698" s="4"/>
      <c r="D1698" s="4"/>
      <c r="E1698" s="4"/>
      <c r="F1698" s="4"/>
      <c r="G1698" s="4"/>
      <c r="H1698" s="4"/>
      <c r="I1698" s="4"/>
      <c r="J1698" s="18"/>
      <c r="K1698" s="4"/>
      <c r="L1698" s="19"/>
      <c r="M1698" s="20"/>
    </row>
    <row r="1699">
      <c r="A1699" s="6"/>
      <c r="B1699" s="6"/>
      <c r="C1699" s="4"/>
      <c r="D1699" s="4"/>
      <c r="E1699" s="4"/>
      <c r="F1699" s="4"/>
      <c r="G1699" s="4"/>
      <c r="H1699" s="4"/>
      <c r="I1699" s="4"/>
      <c r="J1699" s="18"/>
      <c r="K1699" s="4"/>
      <c r="L1699" s="19"/>
      <c r="M1699" s="20"/>
    </row>
    <row r="1700">
      <c r="A1700" s="6"/>
      <c r="B1700" s="6"/>
      <c r="C1700" s="4"/>
      <c r="D1700" s="4"/>
      <c r="E1700" s="4"/>
      <c r="F1700" s="4"/>
      <c r="G1700" s="4"/>
      <c r="H1700" s="4"/>
      <c r="I1700" s="4"/>
      <c r="J1700" s="18"/>
      <c r="K1700" s="4"/>
      <c r="L1700" s="19"/>
      <c r="M1700" s="20"/>
    </row>
    <row r="1701">
      <c r="A1701" s="6"/>
      <c r="B1701" s="6"/>
      <c r="C1701" s="4"/>
      <c r="D1701" s="4"/>
      <c r="E1701" s="4"/>
      <c r="F1701" s="4"/>
      <c r="G1701" s="4"/>
      <c r="H1701" s="4"/>
      <c r="I1701" s="4"/>
      <c r="J1701" s="18"/>
      <c r="K1701" s="4"/>
      <c r="L1701" s="19"/>
      <c r="M1701" s="20"/>
    </row>
    <row r="1702">
      <c r="A1702" s="6"/>
      <c r="B1702" s="6"/>
      <c r="C1702" s="4"/>
      <c r="D1702" s="4"/>
      <c r="E1702" s="4"/>
      <c r="F1702" s="4"/>
      <c r="G1702" s="4"/>
      <c r="H1702" s="4"/>
      <c r="I1702" s="4"/>
      <c r="J1702" s="18"/>
      <c r="K1702" s="4"/>
      <c r="L1702" s="19"/>
      <c r="M1702" s="20"/>
    </row>
    <row r="1703">
      <c r="A1703" s="6"/>
      <c r="B1703" s="6"/>
      <c r="C1703" s="4"/>
      <c r="D1703" s="4"/>
      <c r="E1703" s="4"/>
      <c r="F1703" s="4"/>
      <c r="G1703" s="4"/>
      <c r="H1703" s="4"/>
      <c r="I1703" s="4"/>
      <c r="J1703" s="18"/>
      <c r="K1703" s="4"/>
      <c r="L1703" s="19"/>
      <c r="M1703" s="20"/>
    </row>
    <row r="1704">
      <c r="A1704" s="6"/>
      <c r="B1704" s="6"/>
      <c r="C1704" s="4"/>
      <c r="D1704" s="4"/>
      <c r="E1704" s="4"/>
      <c r="F1704" s="4"/>
      <c r="G1704" s="4"/>
      <c r="H1704" s="4"/>
      <c r="I1704" s="4"/>
      <c r="J1704" s="18"/>
      <c r="K1704" s="4"/>
      <c r="L1704" s="19"/>
      <c r="M1704" s="20"/>
    </row>
    <row r="1705">
      <c r="A1705" s="6"/>
      <c r="B1705" s="6"/>
      <c r="C1705" s="4"/>
      <c r="D1705" s="4"/>
      <c r="E1705" s="4"/>
      <c r="F1705" s="4"/>
      <c r="G1705" s="4"/>
      <c r="H1705" s="4"/>
      <c r="I1705" s="4"/>
      <c r="J1705" s="18"/>
      <c r="K1705" s="4"/>
      <c r="L1705" s="19"/>
      <c r="M1705" s="20"/>
    </row>
    <row r="1706">
      <c r="A1706" s="6"/>
      <c r="B1706" s="6"/>
      <c r="C1706" s="4"/>
      <c r="D1706" s="4"/>
      <c r="E1706" s="4"/>
      <c r="F1706" s="4"/>
      <c r="G1706" s="4"/>
      <c r="H1706" s="4"/>
      <c r="I1706" s="4"/>
      <c r="J1706" s="18"/>
      <c r="K1706" s="4"/>
      <c r="L1706" s="19"/>
      <c r="M1706" s="20"/>
    </row>
    <row r="1707">
      <c r="A1707" s="6"/>
      <c r="B1707" s="6"/>
      <c r="C1707" s="4"/>
      <c r="D1707" s="4"/>
      <c r="E1707" s="4"/>
      <c r="F1707" s="4"/>
      <c r="G1707" s="4"/>
      <c r="H1707" s="4"/>
      <c r="I1707" s="4"/>
      <c r="J1707" s="18"/>
      <c r="K1707" s="4"/>
      <c r="L1707" s="19"/>
      <c r="M1707" s="20"/>
    </row>
    <row r="1708">
      <c r="A1708" s="6"/>
      <c r="B1708" s="6"/>
      <c r="C1708" s="4"/>
      <c r="D1708" s="4"/>
      <c r="E1708" s="4"/>
      <c r="F1708" s="4"/>
      <c r="G1708" s="4"/>
      <c r="H1708" s="4"/>
      <c r="I1708" s="4"/>
      <c r="J1708" s="18"/>
      <c r="K1708" s="4"/>
      <c r="L1708" s="19"/>
      <c r="M1708" s="20"/>
    </row>
    <row r="1709">
      <c r="A1709" s="6"/>
      <c r="B1709" s="6"/>
      <c r="C1709" s="4"/>
      <c r="D1709" s="4"/>
      <c r="E1709" s="4"/>
      <c r="F1709" s="4"/>
      <c r="G1709" s="4"/>
      <c r="H1709" s="4"/>
      <c r="I1709" s="4"/>
      <c r="J1709" s="18"/>
      <c r="K1709" s="4"/>
      <c r="L1709" s="19"/>
      <c r="M1709" s="20"/>
    </row>
    <row r="1710">
      <c r="A1710" s="6"/>
      <c r="B1710" s="6"/>
      <c r="C1710" s="4"/>
      <c r="D1710" s="4"/>
      <c r="E1710" s="4"/>
      <c r="F1710" s="4"/>
      <c r="G1710" s="4"/>
      <c r="H1710" s="4"/>
      <c r="I1710" s="4"/>
      <c r="J1710" s="18"/>
      <c r="K1710" s="4"/>
      <c r="L1710" s="19"/>
      <c r="M1710" s="20"/>
    </row>
    <row r="1711">
      <c r="A1711" s="6"/>
      <c r="B1711" s="6"/>
      <c r="C1711" s="4"/>
      <c r="D1711" s="4"/>
      <c r="E1711" s="4"/>
      <c r="F1711" s="4"/>
      <c r="G1711" s="4"/>
      <c r="H1711" s="4"/>
      <c r="I1711" s="4"/>
      <c r="J1711" s="18"/>
      <c r="K1711" s="4"/>
      <c r="L1711" s="19"/>
      <c r="M1711" s="20"/>
    </row>
    <row r="1712">
      <c r="A1712" s="6"/>
      <c r="B1712" s="6"/>
      <c r="C1712" s="4"/>
      <c r="D1712" s="4"/>
      <c r="E1712" s="4"/>
      <c r="F1712" s="4"/>
      <c r="G1712" s="4"/>
      <c r="H1712" s="4"/>
      <c r="I1712" s="4"/>
      <c r="J1712" s="18"/>
      <c r="K1712" s="4"/>
      <c r="L1712" s="19"/>
      <c r="M1712" s="20"/>
    </row>
    <row r="1713">
      <c r="A1713" s="6"/>
      <c r="B1713" s="6"/>
      <c r="C1713" s="4"/>
      <c r="D1713" s="4"/>
      <c r="E1713" s="4"/>
      <c r="F1713" s="4"/>
      <c r="G1713" s="4"/>
      <c r="H1713" s="4"/>
      <c r="I1713" s="4"/>
      <c r="J1713" s="18"/>
      <c r="K1713" s="4"/>
      <c r="L1713" s="19"/>
      <c r="M1713" s="20"/>
    </row>
    <row r="1714">
      <c r="A1714" s="6"/>
      <c r="B1714" s="6"/>
      <c r="C1714" s="4"/>
      <c r="D1714" s="4"/>
      <c r="E1714" s="4"/>
      <c r="F1714" s="4"/>
      <c r="G1714" s="4"/>
      <c r="H1714" s="4"/>
      <c r="I1714" s="4"/>
      <c r="J1714" s="18"/>
      <c r="K1714" s="4"/>
      <c r="L1714" s="19"/>
      <c r="M1714" s="20"/>
    </row>
    <row r="1715">
      <c r="A1715" s="6"/>
      <c r="B1715" s="6"/>
      <c r="C1715" s="4"/>
      <c r="D1715" s="4"/>
      <c r="E1715" s="4"/>
      <c r="F1715" s="4"/>
      <c r="G1715" s="4"/>
      <c r="H1715" s="4"/>
      <c r="I1715" s="4"/>
      <c r="J1715" s="18"/>
      <c r="K1715" s="4"/>
      <c r="L1715" s="19"/>
      <c r="M1715" s="20"/>
    </row>
    <row r="1716">
      <c r="A1716" s="6"/>
      <c r="B1716" s="6"/>
      <c r="C1716" s="4"/>
      <c r="D1716" s="4"/>
      <c r="E1716" s="4"/>
      <c r="F1716" s="4"/>
      <c r="G1716" s="4"/>
      <c r="H1716" s="4"/>
      <c r="I1716" s="4"/>
      <c r="J1716" s="18"/>
      <c r="K1716" s="4"/>
      <c r="L1716" s="19"/>
      <c r="M1716" s="20"/>
    </row>
    <row r="1717">
      <c r="A1717" s="6"/>
      <c r="B1717" s="6"/>
      <c r="C1717" s="4"/>
      <c r="D1717" s="4"/>
      <c r="E1717" s="4"/>
      <c r="F1717" s="4"/>
      <c r="G1717" s="4"/>
      <c r="H1717" s="4"/>
      <c r="I1717" s="4"/>
      <c r="J1717" s="18"/>
      <c r="K1717" s="4"/>
      <c r="L1717" s="19"/>
      <c r="M1717" s="20"/>
    </row>
    <row r="1718">
      <c r="A1718" s="6"/>
      <c r="B1718" s="6"/>
      <c r="C1718" s="4"/>
      <c r="D1718" s="4"/>
      <c r="E1718" s="4"/>
      <c r="F1718" s="4"/>
      <c r="G1718" s="4"/>
      <c r="H1718" s="4"/>
      <c r="I1718" s="4"/>
      <c r="J1718" s="18"/>
      <c r="K1718" s="4"/>
      <c r="L1718" s="19"/>
      <c r="M1718" s="20"/>
    </row>
    <row r="1719">
      <c r="A1719" s="6"/>
      <c r="B1719" s="6"/>
      <c r="C1719" s="4"/>
      <c r="D1719" s="4"/>
      <c r="E1719" s="4"/>
      <c r="F1719" s="4"/>
      <c r="G1719" s="4"/>
      <c r="H1719" s="4"/>
      <c r="I1719" s="4"/>
      <c r="J1719" s="18"/>
      <c r="K1719" s="4"/>
      <c r="L1719" s="19"/>
      <c r="M1719" s="20"/>
    </row>
    <row r="1720">
      <c r="A1720" s="6"/>
      <c r="B1720" s="6"/>
      <c r="C1720" s="4"/>
      <c r="D1720" s="4"/>
      <c r="E1720" s="4"/>
      <c r="F1720" s="4"/>
      <c r="G1720" s="4"/>
      <c r="H1720" s="4"/>
      <c r="I1720" s="4"/>
      <c r="J1720" s="18"/>
      <c r="K1720" s="4"/>
      <c r="L1720" s="19"/>
      <c r="M1720" s="20"/>
    </row>
    <row r="1721">
      <c r="A1721" s="6"/>
      <c r="B1721" s="6"/>
      <c r="C1721" s="4"/>
      <c r="D1721" s="4"/>
      <c r="E1721" s="4"/>
      <c r="F1721" s="4"/>
      <c r="G1721" s="4"/>
      <c r="H1721" s="4"/>
      <c r="I1721" s="4"/>
      <c r="J1721" s="18"/>
      <c r="K1721" s="4"/>
      <c r="L1721" s="19"/>
      <c r="M1721" s="20"/>
    </row>
    <row r="1722">
      <c r="A1722" s="6"/>
      <c r="B1722" s="6"/>
      <c r="C1722" s="4"/>
      <c r="D1722" s="4"/>
      <c r="E1722" s="4"/>
      <c r="F1722" s="4"/>
      <c r="G1722" s="4"/>
      <c r="H1722" s="4"/>
      <c r="I1722" s="4"/>
      <c r="J1722" s="18"/>
      <c r="K1722" s="4"/>
      <c r="L1722" s="19"/>
      <c r="M1722" s="20"/>
    </row>
    <row r="1723">
      <c r="A1723" s="6"/>
      <c r="B1723" s="6"/>
      <c r="C1723" s="4"/>
      <c r="D1723" s="4"/>
      <c r="E1723" s="4"/>
      <c r="F1723" s="4"/>
      <c r="G1723" s="4"/>
      <c r="H1723" s="4"/>
      <c r="I1723" s="4"/>
      <c r="J1723" s="18"/>
      <c r="K1723" s="4"/>
      <c r="L1723" s="19"/>
      <c r="M1723" s="20"/>
    </row>
    <row r="1724">
      <c r="A1724" s="6"/>
      <c r="B1724" s="6"/>
      <c r="C1724" s="4"/>
      <c r="D1724" s="4"/>
      <c r="E1724" s="4"/>
      <c r="F1724" s="4"/>
      <c r="G1724" s="4"/>
      <c r="H1724" s="4"/>
      <c r="I1724" s="4"/>
      <c r="J1724" s="18"/>
      <c r="K1724" s="4"/>
      <c r="L1724" s="19"/>
      <c r="M1724" s="20"/>
    </row>
    <row r="1725">
      <c r="A1725" s="6"/>
      <c r="B1725" s="6"/>
      <c r="C1725" s="4"/>
      <c r="D1725" s="4"/>
      <c r="E1725" s="4"/>
      <c r="F1725" s="4"/>
      <c r="G1725" s="4"/>
      <c r="H1725" s="4"/>
      <c r="I1725" s="4"/>
      <c r="J1725" s="18"/>
      <c r="K1725" s="4"/>
      <c r="L1725" s="19"/>
      <c r="M1725" s="20"/>
    </row>
    <row r="1726">
      <c r="A1726" s="6"/>
      <c r="B1726" s="6"/>
      <c r="C1726" s="4"/>
      <c r="D1726" s="4"/>
      <c r="E1726" s="4"/>
      <c r="F1726" s="4"/>
      <c r="G1726" s="4"/>
      <c r="H1726" s="4"/>
      <c r="I1726" s="4"/>
      <c r="J1726" s="18"/>
      <c r="K1726" s="4"/>
      <c r="L1726" s="19"/>
      <c r="M1726" s="20"/>
    </row>
    <row r="1727">
      <c r="A1727" s="6"/>
      <c r="B1727" s="6"/>
      <c r="C1727" s="4"/>
      <c r="D1727" s="4"/>
      <c r="E1727" s="4"/>
      <c r="F1727" s="4"/>
      <c r="G1727" s="4"/>
      <c r="H1727" s="4"/>
      <c r="I1727" s="4"/>
      <c r="J1727" s="18"/>
      <c r="K1727" s="4"/>
      <c r="L1727" s="19"/>
      <c r="M1727" s="20"/>
    </row>
    <row r="1728">
      <c r="A1728" s="6"/>
      <c r="B1728" s="6"/>
      <c r="C1728" s="4"/>
      <c r="D1728" s="4"/>
      <c r="E1728" s="4"/>
      <c r="F1728" s="4"/>
      <c r="G1728" s="4"/>
      <c r="H1728" s="4"/>
      <c r="I1728" s="4"/>
      <c r="J1728" s="18"/>
      <c r="K1728" s="4"/>
      <c r="L1728" s="19"/>
      <c r="M1728" s="20"/>
    </row>
    <row r="1729">
      <c r="A1729" s="6"/>
      <c r="B1729" s="6"/>
      <c r="C1729" s="4"/>
      <c r="D1729" s="4"/>
      <c r="E1729" s="4"/>
      <c r="F1729" s="4"/>
      <c r="G1729" s="4"/>
      <c r="H1729" s="4"/>
      <c r="I1729" s="4"/>
      <c r="J1729" s="18"/>
      <c r="K1729" s="4"/>
      <c r="L1729" s="19"/>
      <c r="M1729" s="20"/>
    </row>
    <row r="1730">
      <c r="A1730" s="6"/>
      <c r="B1730" s="6"/>
      <c r="C1730" s="4"/>
      <c r="D1730" s="4"/>
      <c r="E1730" s="4"/>
      <c r="F1730" s="4"/>
      <c r="G1730" s="4"/>
      <c r="H1730" s="4"/>
      <c r="I1730" s="4"/>
      <c r="J1730" s="18"/>
      <c r="K1730" s="4"/>
      <c r="L1730" s="19"/>
      <c r="M1730" s="20"/>
    </row>
    <row r="1731">
      <c r="A1731" s="6"/>
      <c r="B1731" s="6"/>
      <c r="C1731" s="4"/>
      <c r="D1731" s="4"/>
      <c r="E1731" s="4"/>
      <c r="F1731" s="4"/>
      <c r="G1731" s="4"/>
      <c r="H1731" s="4"/>
      <c r="I1731" s="4"/>
      <c r="J1731" s="18"/>
      <c r="K1731" s="4"/>
      <c r="L1731" s="19"/>
      <c r="M1731" s="20"/>
    </row>
    <row r="1732">
      <c r="A1732" s="6"/>
      <c r="B1732" s="6"/>
      <c r="C1732" s="4"/>
      <c r="D1732" s="4"/>
      <c r="E1732" s="4"/>
      <c r="F1732" s="4"/>
      <c r="G1732" s="4"/>
      <c r="H1732" s="4"/>
      <c r="I1732" s="4"/>
      <c r="J1732" s="18"/>
      <c r="K1732" s="4"/>
      <c r="L1732" s="19"/>
      <c r="M1732" s="20"/>
    </row>
    <row r="1733">
      <c r="A1733" s="6"/>
      <c r="B1733" s="6"/>
      <c r="C1733" s="4"/>
      <c r="D1733" s="4"/>
      <c r="E1733" s="4"/>
      <c r="F1733" s="4"/>
      <c r="G1733" s="4"/>
      <c r="H1733" s="4"/>
      <c r="I1733" s="4"/>
      <c r="J1733" s="18"/>
      <c r="K1733" s="4"/>
      <c r="L1733" s="19"/>
      <c r="M1733" s="20"/>
    </row>
    <row r="1734">
      <c r="A1734" s="6"/>
      <c r="B1734" s="6"/>
      <c r="C1734" s="4"/>
      <c r="D1734" s="4"/>
      <c r="E1734" s="4"/>
      <c r="F1734" s="4"/>
      <c r="G1734" s="4"/>
      <c r="H1734" s="4"/>
      <c r="I1734" s="4"/>
      <c r="J1734" s="18"/>
      <c r="K1734" s="4"/>
      <c r="L1734" s="19"/>
      <c r="M1734" s="20"/>
    </row>
    <row r="1735">
      <c r="A1735" s="6"/>
      <c r="B1735" s="6"/>
      <c r="C1735" s="4"/>
      <c r="D1735" s="4"/>
      <c r="E1735" s="4"/>
      <c r="F1735" s="4"/>
      <c r="G1735" s="4"/>
      <c r="H1735" s="4"/>
      <c r="I1735" s="4"/>
      <c r="J1735" s="18"/>
      <c r="K1735" s="4"/>
      <c r="L1735" s="19"/>
      <c r="M1735" s="20"/>
    </row>
    <row r="1736">
      <c r="A1736" s="6"/>
      <c r="B1736" s="6"/>
      <c r="C1736" s="4"/>
      <c r="D1736" s="4"/>
      <c r="E1736" s="4"/>
      <c r="F1736" s="4"/>
      <c r="G1736" s="4"/>
      <c r="H1736" s="4"/>
      <c r="I1736" s="4"/>
      <c r="J1736" s="18"/>
      <c r="K1736" s="4"/>
      <c r="L1736" s="19"/>
      <c r="M1736" s="20"/>
    </row>
    <row r="1737">
      <c r="A1737" s="6"/>
      <c r="B1737" s="6"/>
      <c r="C1737" s="4"/>
      <c r="D1737" s="4"/>
      <c r="E1737" s="4"/>
      <c r="F1737" s="4"/>
      <c r="G1737" s="4"/>
      <c r="H1737" s="4"/>
      <c r="I1737" s="4"/>
      <c r="J1737" s="18"/>
      <c r="K1737" s="4"/>
      <c r="L1737" s="19"/>
      <c r="M1737" s="20"/>
    </row>
    <row r="1738">
      <c r="A1738" s="6"/>
      <c r="B1738" s="6"/>
      <c r="C1738" s="4"/>
      <c r="D1738" s="4"/>
      <c r="E1738" s="4"/>
      <c r="F1738" s="4"/>
      <c r="G1738" s="4"/>
      <c r="H1738" s="4"/>
      <c r="I1738" s="4"/>
      <c r="J1738" s="18"/>
      <c r="K1738" s="4"/>
      <c r="L1738" s="19"/>
      <c r="M1738" s="20"/>
    </row>
    <row r="1739">
      <c r="A1739" s="6"/>
      <c r="B1739" s="6"/>
      <c r="C1739" s="4"/>
      <c r="D1739" s="4"/>
      <c r="E1739" s="4"/>
      <c r="F1739" s="4"/>
      <c r="G1739" s="4"/>
      <c r="H1739" s="4"/>
      <c r="I1739" s="4"/>
      <c r="J1739" s="18"/>
      <c r="K1739" s="4"/>
      <c r="L1739" s="19"/>
      <c r="M1739" s="20"/>
    </row>
    <row r="1740">
      <c r="A1740" s="6"/>
      <c r="B1740" s="6"/>
      <c r="C1740" s="4"/>
      <c r="D1740" s="4"/>
      <c r="E1740" s="4"/>
      <c r="F1740" s="4"/>
      <c r="G1740" s="4"/>
      <c r="H1740" s="4"/>
      <c r="I1740" s="4"/>
      <c r="J1740" s="18"/>
      <c r="K1740" s="4"/>
      <c r="L1740" s="19"/>
      <c r="M1740" s="20"/>
    </row>
    <row r="1741">
      <c r="A1741" s="6"/>
      <c r="B1741" s="6"/>
      <c r="C1741" s="4"/>
      <c r="D1741" s="4"/>
      <c r="E1741" s="4"/>
      <c r="F1741" s="4"/>
      <c r="G1741" s="4"/>
      <c r="H1741" s="4"/>
      <c r="I1741" s="4"/>
      <c r="J1741" s="18"/>
      <c r="K1741" s="4"/>
      <c r="L1741" s="19"/>
      <c r="M1741" s="20"/>
    </row>
    <row r="1742">
      <c r="A1742" s="6"/>
      <c r="B1742" s="6"/>
      <c r="C1742" s="4"/>
      <c r="D1742" s="4"/>
      <c r="E1742" s="4"/>
      <c r="F1742" s="4"/>
      <c r="G1742" s="4"/>
      <c r="H1742" s="4"/>
      <c r="I1742" s="4"/>
      <c r="J1742" s="18"/>
      <c r="K1742" s="4"/>
      <c r="L1742" s="19"/>
      <c r="M1742" s="20"/>
    </row>
    <row r="1743">
      <c r="A1743" s="6"/>
      <c r="B1743" s="6"/>
      <c r="C1743" s="4"/>
      <c r="D1743" s="4"/>
      <c r="E1743" s="4"/>
      <c r="F1743" s="4"/>
      <c r="G1743" s="4"/>
      <c r="H1743" s="4"/>
      <c r="I1743" s="4"/>
      <c r="J1743" s="18"/>
      <c r="K1743" s="4"/>
      <c r="L1743" s="19"/>
      <c r="M1743" s="20"/>
    </row>
    <row r="1744">
      <c r="A1744" s="6"/>
      <c r="B1744" s="6"/>
      <c r="C1744" s="4"/>
      <c r="D1744" s="4"/>
      <c r="E1744" s="4"/>
      <c r="F1744" s="4"/>
      <c r="G1744" s="4"/>
      <c r="H1744" s="4"/>
      <c r="I1744" s="4"/>
      <c r="J1744" s="18"/>
      <c r="K1744" s="4"/>
      <c r="L1744" s="19"/>
      <c r="M1744" s="20"/>
    </row>
    <row r="1745">
      <c r="A1745" s="6"/>
      <c r="B1745" s="6"/>
      <c r="C1745" s="4"/>
      <c r="D1745" s="4"/>
      <c r="E1745" s="4"/>
      <c r="F1745" s="4"/>
      <c r="G1745" s="4"/>
      <c r="H1745" s="4"/>
      <c r="I1745" s="4"/>
      <c r="J1745" s="18"/>
      <c r="K1745" s="4"/>
      <c r="L1745" s="19"/>
      <c r="M1745" s="20"/>
    </row>
    <row r="1746">
      <c r="A1746" s="6"/>
      <c r="B1746" s="6"/>
      <c r="C1746" s="4"/>
      <c r="D1746" s="4"/>
      <c r="E1746" s="4"/>
      <c r="F1746" s="4"/>
      <c r="G1746" s="4"/>
      <c r="H1746" s="4"/>
      <c r="I1746" s="4"/>
      <c r="J1746" s="18"/>
      <c r="K1746" s="4"/>
      <c r="L1746" s="19"/>
      <c r="M1746" s="20"/>
    </row>
    <row r="1747">
      <c r="A1747" s="6"/>
      <c r="B1747" s="6"/>
      <c r="C1747" s="4"/>
      <c r="D1747" s="4"/>
      <c r="E1747" s="4"/>
      <c r="F1747" s="4"/>
      <c r="G1747" s="4"/>
      <c r="H1747" s="4"/>
      <c r="I1747" s="4"/>
      <c r="J1747" s="18"/>
      <c r="K1747" s="4"/>
      <c r="L1747" s="19"/>
      <c r="M1747" s="20"/>
    </row>
    <row r="1748">
      <c r="A1748" s="6"/>
      <c r="B1748" s="6"/>
      <c r="C1748" s="4"/>
      <c r="D1748" s="4"/>
      <c r="E1748" s="4"/>
      <c r="F1748" s="4"/>
      <c r="G1748" s="4"/>
      <c r="H1748" s="4"/>
      <c r="I1748" s="4"/>
      <c r="J1748" s="18"/>
      <c r="K1748" s="4"/>
      <c r="L1748" s="19"/>
      <c r="M1748" s="20"/>
    </row>
    <row r="1749">
      <c r="A1749" s="6"/>
      <c r="B1749" s="6"/>
      <c r="C1749" s="4"/>
      <c r="D1749" s="4"/>
      <c r="E1749" s="4"/>
      <c r="F1749" s="4"/>
      <c r="G1749" s="4"/>
      <c r="H1749" s="4"/>
      <c r="I1749" s="4"/>
      <c r="J1749" s="18"/>
      <c r="K1749" s="4"/>
      <c r="L1749" s="19"/>
      <c r="M1749" s="20"/>
    </row>
    <row r="1750">
      <c r="A1750" s="6"/>
      <c r="B1750" s="6"/>
      <c r="C1750" s="4"/>
      <c r="D1750" s="4"/>
      <c r="E1750" s="4"/>
      <c r="F1750" s="4"/>
      <c r="G1750" s="4"/>
      <c r="H1750" s="4"/>
      <c r="I1750" s="4"/>
      <c r="J1750" s="18"/>
      <c r="K1750" s="4"/>
      <c r="L1750" s="19"/>
      <c r="M1750" s="20"/>
    </row>
    <row r="1751">
      <c r="A1751" s="6"/>
      <c r="B1751" s="6"/>
      <c r="C1751" s="4"/>
      <c r="D1751" s="4"/>
      <c r="E1751" s="4"/>
      <c r="F1751" s="4"/>
      <c r="G1751" s="4"/>
      <c r="H1751" s="4"/>
      <c r="I1751" s="4"/>
      <c r="J1751" s="18"/>
      <c r="K1751" s="4"/>
      <c r="L1751" s="19"/>
      <c r="M1751" s="20"/>
    </row>
    <row r="1752">
      <c r="A1752" s="6"/>
      <c r="B1752" s="6"/>
      <c r="C1752" s="4"/>
      <c r="D1752" s="4"/>
      <c r="E1752" s="4"/>
      <c r="F1752" s="4"/>
      <c r="G1752" s="4"/>
      <c r="H1752" s="4"/>
      <c r="I1752" s="4"/>
      <c r="J1752" s="18"/>
      <c r="K1752" s="4"/>
      <c r="L1752" s="19"/>
      <c r="M1752" s="20"/>
    </row>
    <row r="1753">
      <c r="A1753" s="6"/>
      <c r="B1753" s="6"/>
      <c r="C1753" s="4"/>
      <c r="D1753" s="4"/>
      <c r="E1753" s="4"/>
      <c r="F1753" s="4"/>
      <c r="G1753" s="4"/>
      <c r="H1753" s="4"/>
      <c r="I1753" s="4"/>
      <c r="J1753" s="18"/>
      <c r="K1753" s="4"/>
      <c r="L1753" s="19"/>
      <c r="M1753" s="20"/>
    </row>
    <row r="1754">
      <c r="A1754" s="6"/>
      <c r="B1754" s="6"/>
      <c r="C1754" s="4"/>
      <c r="D1754" s="4"/>
      <c r="E1754" s="4"/>
      <c r="F1754" s="4"/>
      <c r="G1754" s="4"/>
      <c r="H1754" s="4"/>
      <c r="I1754" s="4"/>
      <c r="J1754" s="18"/>
      <c r="K1754" s="4"/>
      <c r="L1754" s="19"/>
      <c r="M1754" s="20"/>
    </row>
    <row r="1755">
      <c r="A1755" s="6"/>
      <c r="B1755" s="6"/>
      <c r="C1755" s="4"/>
      <c r="D1755" s="4"/>
      <c r="E1755" s="4"/>
      <c r="F1755" s="4"/>
      <c r="G1755" s="4"/>
      <c r="H1755" s="4"/>
      <c r="I1755" s="4"/>
      <c r="J1755" s="18"/>
      <c r="K1755" s="4"/>
      <c r="L1755" s="19"/>
      <c r="M1755" s="20"/>
    </row>
    <row r="1756">
      <c r="A1756" s="6"/>
      <c r="B1756" s="6"/>
      <c r="C1756" s="4"/>
      <c r="D1756" s="4"/>
      <c r="E1756" s="4"/>
      <c r="F1756" s="4"/>
      <c r="G1756" s="4"/>
      <c r="H1756" s="4"/>
      <c r="I1756" s="4"/>
      <c r="J1756" s="18"/>
      <c r="K1756" s="4"/>
      <c r="L1756" s="19"/>
      <c r="M1756" s="20"/>
    </row>
    <row r="1757">
      <c r="A1757" s="6"/>
      <c r="B1757" s="6"/>
      <c r="C1757" s="4"/>
      <c r="D1757" s="4"/>
      <c r="E1757" s="4"/>
      <c r="F1757" s="4"/>
      <c r="G1757" s="4"/>
      <c r="H1757" s="4"/>
      <c r="I1757" s="4"/>
      <c r="J1757" s="18"/>
      <c r="K1757" s="4"/>
      <c r="L1757" s="19"/>
      <c r="M1757" s="20"/>
    </row>
    <row r="1758">
      <c r="A1758" s="6"/>
      <c r="B1758" s="6"/>
      <c r="C1758" s="4"/>
      <c r="D1758" s="4"/>
      <c r="E1758" s="4"/>
      <c r="F1758" s="4"/>
      <c r="G1758" s="4"/>
      <c r="H1758" s="4"/>
      <c r="I1758" s="4"/>
      <c r="J1758" s="18"/>
      <c r="K1758" s="4"/>
      <c r="L1758" s="19"/>
      <c r="M1758" s="20"/>
    </row>
    <row r="1759">
      <c r="A1759" s="6"/>
      <c r="B1759" s="6"/>
      <c r="C1759" s="4"/>
      <c r="D1759" s="4"/>
      <c r="E1759" s="4"/>
      <c r="F1759" s="4"/>
      <c r="G1759" s="4"/>
      <c r="H1759" s="4"/>
      <c r="I1759" s="4"/>
      <c r="J1759" s="18"/>
      <c r="K1759" s="4"/>
      <c r="L1759" s="19"/>
      <c r="M1759" s="20"/>
    </row>
    <row r="1760">
      <c r="A1760" s="6"/>
      <c r="B1760" s="6"/>
      <c r="C1760" s="4"/>
      <c r="D1760" s="4"/>
      <c r="E1760" s="4"/>
      <c r="F1760" s="4"/>
      <c r="G1760" s="4"/>
      <c r="H1760" s="4"/>
      <c r="I1760" s="4"/>
      <c r="J1760" s="18"/>
      <c r="K1760" s="4"/>
      <c r="L1760" s="19"/>
      <c r="M1760" s="20"/>
    </row>
    <row r="1761">
      <c r="A1761" s="6"/>
      <c r="B1761" s="6"/>
      <c r="C1761" s="4"/>
      <c r="D1761" s="4"/>
      <c r="E1761" s="4"/>
      <c r="F1761" s="4"/>
      <c r="G1761" s="4"/>
      <c r="H1761" s="4"/>
      <c r="I1761" s="4"/>
      <c r="J1761" s="18"/>
      <c r="K1761" s="4"/>
      <c r="L1761" s="19"/>
      <c r="M1761" s="20"/>
    </row>
    <row r="1762">
      <c r="A1762" s="6"/>
      <c r="B1762" s="6"/>
      <c r="C1762" s="4"/>
      <c r="D1762" s="4"/>
      <c r="E1762" s="4"/>
      <c r="F1762" s="4"/>
      <c r="G1762" s="4"/>
      <c r="H1762" s="4"/>
      <c r="I1762" s="4"/>
      <c r="J1762" s="18"/>
      <c r="K1762" s="4"/>
      <c r="L1762" s="19"/>
      <c r="M1762" s="20"/>
    </row>
    <row r="1763">
      <c r="A1763" s="6"/>
      <c r="B1763" s="6"/>
      <c r="C1763" s="4"/>
      <c r="D1763" s="4"/>
      <c r="E1763" s="4"/>
      <c r="F1763" s="4"/>
      <c r="G1763" s="4"/>
      <c r="H1763" s="4"/>
      <c r="I1763" s="4"/>
      <c r="J1763" s="18"/>
      <c r="K1763" s="4"/>
      <c r="L1763" s="19"/>
      <c r="M1763" s="20"/>
    </row>
    <row r="1764">
      <c r="A1764" s="6"/>
      <c r="B1764" s="6"/>
      <c r="C1764" s="4"/>
      <c r="D1764" s="4"/>
      <c r="E1764" s="4"/>
      <c r="F1764" s="4"/>
      <c r="G1764" s="4"/>
      <c r="H1764" s="4"/>
      <c r="I1764" s="4"/>
      <c r="J1764" s="18"/>
      <c r="K1764" s="4"/>
      <c r="L1764" s="19"/>
      <c r="M1764" s="20"/>
    </row>
    <row r="1765">
      <c r="A1765" s="6"/>
      <c r="B1765" s="6"/>
      <c r="C1765" s="4"/>
      <c r="D1765" s="4"/>
      <c r="E1765" s="4"/>
      <c r="F1765" s="4"/>
      <c r="G1765" s="4"/>
      <c r="H1765" s="4"/>
      <c r="I1765" s="4"/>
      <c r="J1765" s="18"/>
      <c r="K1765" s="4"/>
      <c r="L1765" s="19"/>
      <c r="M1765" s="20"/>
    </row>
    <row r="1766">
      <c r="A1766" s="6"/>
      <c r="B1766" s="6"/>
      <c r="C1766" s="4"/>
      <c r="D1766" s="4"/>
      <c r="E1766" s="4"/>
      <c r="F1766" s="4"/>
      <c r="G1766" s="4"/>
      <c r="H1766" s="4"/>
      <c r="I1766" s="4"/>
      <c r="J1766" s="18"/>
      <c r="K1766" s="4"/>
      <c r="L1766" s="19"/>
      <c r="M1766" s="20"/>
    </row>
    <row r="1767">
      <c r="A1767" s="6"/>
      <c r="B1767" s="6"/>
      <c r="C1767" s="4"/>
      <c r="D1767" s="4"/>
      <c r="E1767" s="4"/>
      <c r="F1767" s="4"/>
      <c r="G1767" s="4"/>
      <c r="H1767" s="4"/>
      <c r="I1767" s="4"/>
      <c r="J1767" s="18"/>
      <c r="K1767" s="4"/>
      <c r="L1767" s="19"/>
      <c r="M1767" s="20"/>
    </row>
    <row r="1768">
      <c r="A1768" s="6"/>
      <c r="B1768" s="6"/>
      <c r="C1768" s="4"/>
      <c r="D1768" s="4"/>
      <c r="E1768" s="4"/>
      <c r="F1768" s="4"/>
      <c r="G1768" s="4"/>
      <c r="H1768" s="4"/>
      <c r="I1768" s="4"/>
      <c r="J1768" s="18"/>
      <c r="K1768" s="4"/>
      <c r="L1768" s="19"/>
      <c r="M1768" s="20"/>
    </row>
    <row r="1769">
      <c r="A1769" s="6"/>
      <c r="B1769" s="6"/>
      <c r="C1769" s="4"/>
      <c r="D1769" s="4"/>
      <c r="E1769" s="4"/>
      <c r="F1769" s="4"/>
      <c r="G1769" s="4"/>
      <c r="H1769" s="4"/>
      <c r="I1769" s="4"/>
      <c r="J1769" s="18"/>
      <c r="K1769" s="4"/>
      <c r="L1769" s="19"/>
      <c r="M1769" s="20"/>
    </row>
    <row r="1770">
      <c r="A1770" s="6"/>
      <c r="B1770" s="6"/>
      <c r="C1770" s="4"/>
      <c r="D1770" s="4"/>
      <c r="E1770" s="4"/>
      <c r="F1770" s="4"/>
      <c r="G1770" s="4"/>
      <c r="H1770" s="4"/>
      <c r="I1770" s="4"/>
      <c r="J1770" s="18"/>
      <c r="K1770" s="4"/>
      <c r="L1770" s="19"/>
      <c r="M1770" s="20"/>
    </row>
    <row r="1771">
      <c r="A1771" s="6"/>
      <c r="B1771" s="6"/>
      <c r="C1771" s="4"/>
      <c r="D1771" s="4"/>
      <c r="E1771" s="4"/>
      <c r="F1771" s="4"/>
      <c r="G1771" s="4"/>
      <c r="H1771" s="4"/>
      <c r="I1771" s="4"/>
      <c r="J1771" s="18"/>
      <c r="K1771" s="4"/>
      <c r="L1771" s="19"/>
      <c r="M1771" s="20"/>
    </row>
    <row r="1772">
      <c r="A1772" s="6"/>
      <c r="B1772" s="6"/>
      <c r="C1772" s="4"/>
      <c r="D1772" s="4"/>
      <c r="E1772" s="4"/>
      <c r="F1772" s="4"/>
      <c r="G1772" s="4"/>
      <c r="H1772" s="4"/>
      <c r="I1772" s="4"/>
      <c r="J1772" s="18"/>
      <c r="K1772" s="4"/>
      <c r="L1772" s="19"/>
      <c r="M1772" s="20"/>
    </row>
    <row r="1773">
      <c r="A1773" s="6"/>
      <c r="B1773" s="6"/>
      <c r="C1773" s="4"/>
      <c r="D1773" s="4"/>
      <c r="E1773" s="4"/>
      <c r="F1773" s="4"/>
      <c r="G1773" s="4"/>
      <c r="H1773" s="4"/>
      <c r="I1773" s="4"/>
      <c r="J1773" s="18"/>
      <c r="K1773" s="4"/>
      <c r="L1773" s="19"/>
      <c r="M1773" s="20"/>
    </row>
    <row r="1774">
      <c r="A1774" s="6"/>
      <c r="B1774" s="6"/>
      <c r="C1774" s="4"/>
      <c r="D1774" s="4"/>
      <c r="E1774" s="4"/>
      <c r="F1774" s="4"/>
      <c r="G1774" s="4"/>
      <c r="H1774" s="4"/>
      <c r="I1774" s="4"/>
      <c r="J1774" s="18"/>
      <c r="K1774" s="4"/>
      <c r="L1774" s="19"/>
      <c r="M1774" s="20"/>
    </row>
    <row r="1775">
      <c r="A1775" s="6"/>
      <c r="B1775" s="6"/>
      <c r="C1775" s="4"/>
      <c r="D1775" s="4"/>
      <c r="E1775" s="4"/>
      <c r="F1775" s="4"/>
      <c r="G1775" s="4"/>
      <c r="H1775" s="4"/>
      <c r="I1775" s="4"/>
      <c r="J1775" s="18"/>
      <c r="K1775" s="4"/>
      <c r="L1775" s="19"/>
      <c r="M1775" s="20"/>
    </row>
    <row r="1776">
      <c r="A1776" s="6"/>
      <c r="B1776" s="6"/>
      <c r="C1776" s="4"/>
      <c r="D1776" s="4"/>
      <c r="E1776" s="4"/>
      <c r="F1776" s="4"/>
      <c r="G1776" s="4"/>
      <c r="H1776" s="4"/>
      <c r="I1776" s="4"/>
      <c r="J1776" s="18"/>
      <c r="K1776" s="4"/>
      <c r="L1776" s="19"/>
      <c r="M1776" s="20"/>
    </row>
    <row r="1777">
      <c r="A1777" s="6"/>
      <c r="B1777" s="6"/>
      <c r="C1777" s="4"/>
      <c r="D1777" s="4"/>
      <c r="E1777" s="4"/>
      <c r="F1777" s="4"/>
      <c r="G1777" s="4"/>
      <c r="H1777" s="4"/>
      <c r="I1777" s="4"/>
      <c r="J1777" s="18"/>
      <c r="K1777" s="4"/>
      <c r="L1777" s="19"/>
      <c r="M1777" s="20"/>
    </row>
    <row r="1778">
      <c r="A1778" s="6"/>
      <c r="B1778" s="6"/>
      <c r="C1778" s="4"/>
      <c r="D1778" s="4"/>
      <c r="E1778" s="4"/>
      <c r="F1778" s="4"/>
      <c r="G1778" s="4"/>
      <c r="H1778" s="4"/>
      <c r="I1778" s="4"/>
      <c r="J1778" s="18"/>
      <c r="K1778" s="4"/>
      <c r="L1778" s="19"/>
      <c r="M1778" s="20"/>
    </row>
    <row r="1779">
      <c r="A1779" s="6"/>
      <c r="B1779" s="6"/>
      <c r="C1779" s="4"/>
      <c r="D1779" s="4"/>
      <c r="E1779" s="4"/>
      <c r="F1779" s="4"/>
      <c r="G1779" s="4"/>
      <c r="H1779" s="4"/>
      <c r="I1779" s="4"/>
      <c r="J1779" s="18"/>
      <c r="K1779" s="4"/>
      <c r="L1779" s="19"/>
      <c r="M1779" s="20"/>
    </row>
    <row r="1780">
      <c r="A1780" s="6"/>
      <c r="B1780" s="6"/>
      <c r="C1780" s="4"/>
      <c r="D1780" s="4"/>
      <c r="E1780" s="4"/>
      <c r="F1780" s="4"/>
      <c r="G1780" s="4"/>
      <c r="H1780" s="4"/>
      <c r="I1780" s="4"/>
      <c r="J1780" s="18"/>
      <c r="K1780" s="4"/>
      <c r="L1780" s="19"/>
      <c r="M1780" s="20"/>
    </row>
    <row r="1781">
      <c r="A1781" s="6"/>
      <c r="B1781" s="6"/>
      <c r="C1781" s="4"/>
      <c r="D1781" s="4"/>
      <c r="E1781" s="4"/>
      <c r="F1781" s="4"/>
      <c r="G1781" s="4"/>
      <c r="H1781" s="4"/>
      <c r="I1781" s="4"/>
      <c r="J1781" s="18"/>
      <c r="K1781" s="4"/>
      <c r="L1781" s="19"/>
      <c r="M1781" s="20"/>
    </row>
    <row r="1782">
      <c r="A1782" s="6"/>
      <c r="B1782" s="6"/>
      <c r="C1782" s="4"/>
      <c r="D1782" s="4"/>
      <c r="E1782" s="4"/>
      <c r="F1782" s="4"/>
      <c r="G1782" s="4"/>
      <c r="H1782" s="4"/>
      <c r="I1782" s="4"/>
      <c r="J1782" s="18"/>
      <c r="K1782" s="4"/>
      <c r="L1782" s="19"/>
      <c r="M1782" s="20"/>
    </row>
    <row r="1783">
      <c r="A1783" s="6"/>
      <c r="B1783" s="6"/>
      <c r="C1783" s="4"/>
      <c r="D1783" s="4"/>
      <c r="E1783" s="4"/>
      <c r="F1783" s="4"/>
      <c r="G1783" s="4"/>
      <c r="H1783" s="4"/>
      <c r="I1783" s="4"/>
      <c r="J1783" s="18"/>
      <c r="K1783" s="4"/>
      <c r="L1783" s="19"/>
      <c r="M1783" s="20"/>
    </row>
    <row r="1784">
      <c r="A1784" s="6"/>
      <c r="B1784" s="6"/>
      <c r="C1784" s="4"/>
      <c r="D1784" s="4"/>
      <c r="E1784" s="4"/>
      <c r="F1784" s="4"/>
      <c r="G1784" s="4"/>
      <c r="H1784" s="4"/>
      <c r="I1784" s="4"/>
      <c r="J1784" s="18"/>
      <c r="K1784" s="4"/>
      <c r="L1784" s="19"/>
      <c r="M1784" s="20"/>
    </row>
    <row r="1785">
      <c r="A1785" s="6"/>
      <c r="B1785" s="6"/>
      <c r="C1785" s="4"/>
      <c r="D1785" s="4"/>
      <c r="E1785" s="4"/>
      <c r="F1785" s="4"/>
      <c r="G1785" s="4"/>
      <c r="H1785" s="4"/>
      <c r="I1785" s="4"/>
      <c r="J1785" s="18"/>
      <c r="K1785" s="4"/>
      <c r="L1785" s="19"/>
      <c r="M1785" s="20"/>
    </row>
    <row r="1786">
      <c r="A1786" s="6"/>
      <c r="B1786" s="6"/>
      <c r="C1786" s="4"/>
      <c r="D1786" s="4"/>
      <c r="E1786" s="4"/>
      <c r="F1786" s="4"/>
      <c r="G1786" s="4"/>
      <c r="H1786" s="4"/>
      <c r="I1786" s="4"/>
      <c r="J1786" s="18"/>
      <c r="K1786" s="4"/>
      <c r="L1786" s="19"/>
      <c r="M1786" s="20"/>
    </row>
    <row r="1787">
      <c r="A1787" s="6"/>
      <c r="B1787" s="6"/>
      <c r="C1787" s="4"/>
      <c r="D1787" s="4"/>
      <c r="E1787" s="4"/>
      <c r="F1787" s="4"/>
      <c r="G1787" s="4"/>
      <c r="H1787" s="4"/>
      <c r="I1787" s="4"/>
      <c r="J1787" s="18"/>
      <c r="K1787" s="4"/>
      <c r="L1787" s="19"/>
      <c r="M1787" s="20"/>
    </row>
    <row r="1788">
      <c r="A1788" s="6"/>
      <c r="B1788" s="6"/>
      <c r="C1788" s="4"/>
      <c r="D1788" s="4"/>
      <c r="E1788" s="4"/>
      <c r="F1788" s="4"/>
      <c r="G1788" s="4"/>
      <c r="H1788" s="4"/>
      <c r="I1788" s="4"/>
      <c r="J1788" s="18"/>
      <c r="K1788" s="4"/>
      <c r="L1788" s="19"/>
      <c r="M1788" s="20"/>
    </row>
    <row r="1789">
      <c r="A1789" s="6"/>
      <c r="B1789" s="6"/>
      <c r="C1789" s="4"/>
      <c r="D1789" s="4"/>
      <c r="E1789" s="4"/>
      <c r="F1789" s="4"/>
      <c r="G1789" s="4"/>
      <c r="H1789" s="4"/>
      <c r="I1789" s="4"/>
      <c r="J1789" s="18"/>
      <c r="K1789" s="4"/>
      <c r="L1789" s="19"/>
      <c r="M1789" s="20"/>
    </row>
    <row r="1790">
      <c r="A1790" s="6"/>
      <c r="B1790" s="6"/>
      <c r="C1790" s="4"/>
      <c r="D1790" s="4"/>
      <c r="E1790" s="4"/>
      <c r="F1790" s="4"/>
      <c r="G1790" s="4"/>
      <c r="H1790" s="4"/>
      <c r="I1790" s="4"/>
      <c r="J1790" s="18"/>
      <c r="K1790" s="4"/>
      <c r="L1790" s="19"/>
      <c r="M1790" s="20"/>
    </row>
    <row r="1791">
      <c r="A1791" s="6"/>
      <c r="B1791" s="6"/>
      <c r="C1791" s="4"/>
      <c r="D1791" s="4"/>
      <c r="E1791" s="4"/>
      <c r="F1791" s="4"/>
      <c r="G1791" s="4"/>
      <c r="H1791" s="4"/>
      <c r="I1791" s="4"/>
      <c r="J1791" s="18"/>
      <c r="K1791" s="4"/>
      <c r="L1791" s="19"/>
      <c r="M1791" s="20"/>
    </row>
    <row r="1792">
      <c r="A1792" s="6"/>
      <c r="B1792" s="6"/>
      <c r="C1792" s="4"/>
      <c r="D1792" s="4"/>
      <c r="E1792" s="4"/>
      <c r="F1792" s="4"/>
      <c r="G1792" s="4"/>
      <c r="H1792" s="4"/>
      <c r="I1792" s="4"/>
      <c r="J1792" s="18"/>
      <c r="K1792" s="4"/>
      <c r="L1792" s="19"/>
      <c r="M1792" s="20"/>
    </row>
    <row r="1793">
      <c r="A1793" s="6"/>
      <c r="B1793" s="6"/>
      <c r="C1793" s="4"/>
      <c r="D1793" s="4"/>
      <c r="E1793" s="4"/>
      <c r="F1793" s="4"/>
      <c r="G1793" s="4"/>
      <c r="H1793" s="4"/>
      <c r="I1793" s="4"/>
      <c r="J1793" s="18"/>
      <c r="K1793" s="4"/>
      <c r="L1793" s="19"/>
      <c r="M1793" s="20"/>
    </row>
    <row r="1794">
      <c r="A1794" s="6"/>
      <c r="B1794" s="6"/>
      <c r="C1794" s="4"/>
      <c r="D1794" s="4"/>
      <c r="E1794" s="4"/>
      <c r="F1794" s="4"/>
      <c r="G1794" s="4"/>
      <c r="H1794" s="4"/>
      <c r="I1794" s="4"/>
      <c r="J1794" s="18"/>
      <c r="K1794" s="4"/>
      <c r="L1794" s="19"/>
      <c r="M1794" s="20"/>
    </row>
    <row r="1795">
      <c r="A1795" s="6"/>
      <c r="B1795" s="6"/>
      <c r="C1795" s="4"/>
      <c r="D1795" s="4"/>
      <c r="E1795" s="4"/>
      <c r="F1795" s="4"/>
      <c r="G1795" s="4"/>
      <c r="H1795" s="4"/>
      <c r="I1795" s="4"/>
      <c r="J1795" s="18"/>
      <c r="K1795" s="4"/>
      <c r="L1795" s="19"/>
      <c r="M1795" s="20"/>
    </row>
    <row r="1796">
      <c r="A1796" s="6"/>
      <c r="B1796" s="6"/>
      <c r="C1796" s="4"/>
      <c r="D1796" s="4"/>
      <c r="E1796" s="4"/>
      <c r="F1796" s="4"/>
      <c r="G1796" s="4"/>
      <c r="H1796" s="4"/>
      <c r="I1796" s="4"/>
      <c r="J1796" s="18"/>
      <c r="K1796" s="4"/>
      <c r="L1796" s="19"/>
      <c r="M1796" s="20"/>
    </row>
    <row r="1797">
      <c r="A1797" s="6"/>
      <c r="B1797" s="6"/>
      <c r="C1797" s="4"/>
      <c r="D1797" s="4"/>
      <c r="E1797" s="4"/>
      <c r="F1797" s="4"/>
      <c r="G1797" s="4"/>
      <c r="H1797" s="4"/>
      <c r="I1797" s="4"/>
      <c r="J1797" s="18"/>
      <c r="K1797" s="4"/>
      <c r="L1797" s="19"/>
      <c r="M1797" s="20"/>
    </row>
    <row r="1798">
      <c r="A1798" s="6"/>
      <c r="B1798" s="6"/>
      <c r="C1798" s="4"/>
      <c r="D1798" s="4"/>
      <c r="E1798" s="4"/>
      <c r="F1798" s="4"/>
      <c r="G1798" s="4"/>
      <c r="H1798" s="4"/>
      <c r="I1798" s="4"/>
      <c r="J1798" s="18"/>
      <c r="K1798" s="4"/>
      <c r="L1798" s="19"/>
      <c r="M1798" s="20"/>
    </row>
    <row r="1799">
      <c r="A1799" s="6"/>
      <c r="B1799" s="6"/>
      <c r="C1799" s="4"/>
      <c r="D1799" s="4"/>
      <c r="E1799" s="4"/>
      <c r="F1799" s="4"/>
      <c r="G1799" s="4"/>
      <c r="H1799" s="4"/>
      <c r="I1799" s="4"/>
      <c r="J1799" s="18"/>
      <c r="K1799" s="4"/>
      <c r="L1799" s="19"/>
      <c r="M1799" s="20"/>
    </row>
    <row r="1800">
      <c r="A1800" s="6"/>
      <c r="B1800" s="6"/>
      <c r="C1800" s="4"/>
      <c r="D1800" s="4"/>
      <c r="E1800" s="4"/>
      <c r="F1800" s="4"/>
      <c r="G1800" s="4"/>
      <c r="H1800" s="4"/>
      <c r="I1800" s="4"/>
      <c r="J1800" s="18"/>
      <c r="K1800" s="4"/>
      <c r="L1800" s="19"/>
      <c r="M1800" s="20"/>
    </row>
    <row r="1801">
      <c r="A1801" s="6"/>
      <c r="B1801" s="6"/>
      <c r="C1801" s="4"/>
      <c r="D1801" s="4"/>
      <c r="E1801" s="4"/>
      <c r="F1801" s="4"/>
      <c r="G1801" s="4"/>
      <c r="H1801" s="4"/>
      <c r="I1801" s="4"/>
      <c r="J1801" s="18"/>
      <c r="K1801" s="4"/>
      <c r="L1801" s="19"/>
      <c r="M1801" s="20"/>
    </row>
    <row r="1802">
      <c r="A1802" s="6"/>
      <c r="B1802" s="6"/>
      <c r="C1802" s="4"/>
      <c r="D1802" s="4"/>
      <c r="E1802" s="4"/>
      <c r="F1802" s="4"/>
      <c r="G1802" s="4"/>
      <c r="H1802" s="4"/>
      <c r="I1802" s="4"/>
      <c r="J1802" s="18"/>
      <c r="K1802" s="4"/>
      <c r="L1802" s="19"/>
      <c r="M1802" s="20"/>
    </row>
    <row r="1803">
      <c r="A1803" s="6"/>
      <c r="B1803" s="6"/>
      <c r="C1803" s="4"/>
      <c r="D1803" s="4"/>
      <c r="E1803" s="4"/>
      <c r="F1803" s="4"/>
      <c r="G1803" s="4"/>
      <c r="H1803" s="4"/>
      <c r="I1803" s="4"/>
      <c r="J1803" s="18"/>
      <c r="K1803" s="4"/>
      <c r="L1803" s="19"/>
      <c r="M1803" s="20"/>
    </row>
    <row r="1804">
      <c r="A1804" s="6"/>
      <c r="B1804" s="6"/>
      <c r="C1804" s="4"/>
      <c r="D1804" s="4"/>
      <c r="E1804" s="4"/>
      <c r="F1804" s="4"/>
      <c r="G1804" s="4"/>
      <c r="H1804" s="4"/>
      <c r="I1804" s="4"/>
      <c r="J1804" s="18"/>
      <c r="K1804" s="4"/>
      <c r="L1804" s="19"/>
      <c r="M1804" s="20"/>
    </row>
    <row r="1805">
      <c r="A1805" s="6"/>
      <c r="B1805" s="6"/>
      <c r="C1805" s="4"/>
      <c r="D1805" s="4"/>
      <c r="E1805" s="4"/>
      <c r="F1805" s="4"/>
      <c r="G1805" s="4"/>
      <c r="H1805" s="4"/>
      <c r="I1805" s="4"/>
      <c r="J1805" s="18"/>
      <c r="K1805" s="4"/>
      <c r="L1805" s="19"/>
      <c r="M1805" s="20"/>
    </row>
    <row r="1806">
      <c r="A1806" s="6"/>
      <c r="B1806" s="6"/>
      <c r="C1806" s="4"/>
      <c r="D1806" s="4"/>
      <c r="E1806" s="4"/>
      <c r="F1806" s="4"/>
      <c r="G1806" s="4"/>
      <c r="H1806" s="4"/>
      <c r="I1806" s="4"/>
      <c r="J1806" s="18"/>
      <c r="K1806" s="4"/>
      <c r="L1806" s="19"/>
      <c r="M1806" s="20"/>
    </row>
    <row r="1807">
      <c r="A1807" s="6"/>
      <c r="B1807" s="6"/>
      <c r="C1807" s="4"/>
      <c r="D1807" s="4"/>
      <c r="E1807" s="4"/>
      <c r="F1807" s="4"/>
      <c r="G1807" s="4"/>
      <c r="H1807" s="4"/>
      <c r="I1807" s="4"/>
      <c r="J1807" s="18"/>
      <c r="K1807" s="4"/>
      <c r="L1807" s="19"/>
      <c r="M1807" s="20"/>
    </row>
    <row r="1808">
      <c r="A1808" s="6"/>
      <c r="B1808" s="6"/>
      <c r="C1808" s="4"/>
      <c r="D1808" s="4"/>
      <c r="E1808" s="4"/>
      <c r="F1808" s="4"/>
      <c r="G1808" s="4"/>
      <c r="H1808" s="4"/>
      <c r="I1808" s="4"/>
      <c r="J1808" s="18"/>
      <c r="K1808" s="4"/>
      <c r="L1808" s="19"/>
      <c r="M1808" s="20"/>
    </row>
    <row r="1809">
      <c r="A1809" s="6"/>
      <c r="B1809" s="6"/>
      <c r="C1809" s="4"/>
      <c r="D1809" s="4"/>
      <c r="E1809" s="4"/>
      <c r="F1809" s="4"/>
      <c r="G1809" s="4"/>
      <c r="H1809" s="4"/>
      <c r="I1809" s="4"/>
      <c r="J1809" s="18"/>
      <c r="K1809" s="4"/>
      <c r="L1809" s="19"/>
      <c r="M1809" s="20"/>
    </row>
    <row r="1810">
      <c r="A1810" s="6"/>
      <c r="B1810" s="6"/>
      <c r="C1810" s="4"/>
      <c r="D1810" s="4"/>
      <c r="E1810" s="4"/>
      <c r="F1810" s="4"/>
      <c r="G1810" s="4"/>
      <c r="H1810" s="4"/>
      <c r="I1810" s="4"/>
      <c r="J1810" s="18"/>
      <c r="K1810" s="4"/>
      <c r="L1810" s="19"/>
      <c r="M1810" s="20"/>
    </row>
    <row r="1811">
      <c r="A1811" s="6"/>
      <c r="B1811" s="6"/>
      <c r="C1811" s="4"/>
      <c r="D1811" s="4"/>
      <c r="E1811" s="4"/>
      <c r="F1811" s="4"/>
      <c r="G1811" s="4"/>
      <c r="H1811" s="4"/>
      <c r="I1811" s="4"/>
      <c r="J1811" s="18"/>
      <c r="K1811" s="4"/>
      <c r="L1811" s="19"/>
      <c r="M1811" s="20"/>
    </row>
    <row r="1812">
      <c r="A1812" s="6"/>
      <c r="B1812" s="6"/>
      <c r="C1812" s="4"/>
      <c r="D1812" s="4"/>
      <c r="E1812" s="4"/>
      <c r="F1812" s="4"/>
      <c r="G1812" s="4"/>
      <c r="H1812" s="4"/>
      <c r="I1812" s="4"/>
      <c r="J1812" s="18"/>
      <c r="K1812" s="4"/>
      <c r="L1812" s="19"/>
      <c r="M1812" s="20"/>
    </row>
    <row r="1813">
      <c r="A1813" s="6"/>
      <c r="B1813" s="6"/>
      <c r="C1813" s="4"/>
      <c r="D1813" s="4"/>
      <c r="E1813" s="4"/>
      <c r="F1813" s="4"/>
      <c r="G1813" s="4"/>
      <c r="H1813" s="4"/>
      <c r="I1813" s="4"/>
      <c r="J1813" s="18"/>
      <c r="K1813" s="4"/>
      <c r="L1813" s="19"/>
      <c r="M1813" s="20"/>
    </row>
    <row r="1814">
      <c r="A1814" s="6"/>
      <c r="B1814" s="6"/>
      <c r="C1814" s="4"/>
      <c r="D1814" s="4"/>
      <c r="E1814" s="4"/>
      <c r="F1814" s="4"/>
      <c r="G1814" s="4"/>
      <c r="H1814" s="4"/>
      <c r="I1814" s="4"/>
      <c r="J1814" s="18"/>
      <c r="K1814" s="4"/>
      <c r="L1814" s="19"/>
      <c r="M1814" s="20"/>
    </row>
    <row r="1815">
      <c r="A1815" s="6"/>
      <c r="B1815" s="6"/>
      <c r="C1815" s="4"/>
      <c r="D1815" s="4"/>
      <c r="E1815" s="4"/>
      <c r="F1815" s="4"/>
      <c r="G1815" s="4"/>
      <c r="H1815" s="4"/>
      <c r="I1815" s="4"/>
      <c r="J1815" s="18"/>
      <c r="K1815" s="4"/>
      <c r="L1815" s="19"/>
      <c r="M1815" s="20"/>
    </row>
    <row r="1816">
      <c r="A1816" s="6"/>
      <c r="B1816" s="6"/>
      <c r="C1816" s="4"/>
      <c r="D1816" s="4"/>
      <c r="E1816" s="4"/>
      <c r="F1816" s="4"/>
      <c r="G1816" s="4"/>
      <c r="H1816" s="4"/>
      <c r="I1816" s="4"/>
      <c r="J1816" s="18"/>
      <c r="K1816" s="4"/>
      <c r="L1816" s="19"/>
      <c r="M1816" s="20"/>
    </row>
    <row r="1817">
      <c r="A1817" s="6"/>
      <c r="B1817" s="6"/>
      <c r="C1817" s="4"/>
      <c r="D1817" s="4"/>
      <c r="E1817" s="4"/>
      <c r="F1817" s="4"/>
      <c r="G1817" s="4"/>
      <c r="H1817" s="4"/>
      <c r="I1817" s="4"/>
      <c r="J1817" s="18"/>
      <c r="K1817" s="4"/>
      <c r="L1817" s="19"/>
      <c r="M1817" s="20"/>
    </row>
    <row r="1818">
      <c r="A1818" s="6"/>
      <c r="B1818" s="6"/>
      <c r="C1818" s="4"/>
      <c r="D1818" s="4"/>
      <c r="E1818" s="4"/>
      <c r="F1818" s="4"/>
      <c r="G1818" s="4"/>
      <c r="H1818" s="4"/>
      <c r="I1818" s="4"/>
      <c r="J1818" s="18"/>
      <c r="K1818" s="4"/>
      <c r="L1818" s="19"/>
      <c r="M1818" s="20"/>
    </row>
    <row r="1819">
      <c r="A1819" s="6"/>
      <c r="B1819" s="6"/>
      <c r="C1819" s="4"/>
      <c r="D1819" s="4"/>
      <c r="E1819" s="4"/>
      <c r="F1819" s="4"/>
      <c r="G1819" s="4"/>
      <c r="H1819" s="4"/>
      <c r="I1819" s="4"/>
      <c r="J1819" s="18"/>
      <c r="K1819" s="4"/>
      <c r="L1819" s="19"/>
      <c r="M1819" s="20"/>
    </row>
    <row r="1820">
      <c r="A1820" s="6"/>
      <c r="B1820" s="6"/>
      <c r="C1820" s="4"/>
      <c r="D1820" s="4"/>
      <c r="E1820" s="4"/>
      <c r="F1820" s="4"/>
      <c r="G1820" s="4"/>
      <c r="H1820" s="4"/>
      <c r="I1820" s="4"/>
      <c r="J1820" s="18"/>
      <c r="K1820" s="4"/>
      <c r="L1820" s="19"/>
      <c r="M1820" s="20"/>
    </row>
    <row r="1821">
      <c r="A1821" s="6"/>
      <c r="B1821" s="6"/>
      <c r="C1821" s="4"/>
      <c r="D1821" s="4"/>
      <c r="E1821" s="4"/>
      <c r="F1821" s="4"/>
      <c r="G1821" s="4"/>
      <c r="H1821" s="4"/>
      <c r="I1821" s="4"/>
      <c r="J1821" s="18"/>
      <c r="K1821" s="4"/>
      <c r="L1821" s="19"/>
      <c r="M1821" s="20"/>
    </row>
    <row r="1822">
      <c r="A1822" s="6"/>
      <c r="B1822" s="6"/>
      <c r="C1822" s="4"/>
      <c r="D1822" s="4"/>
      <c r="E1822" s="4"/>
      <c r="F1822" s="4"/>
      <c r="G1822" s="4"/>
      <c r="H1822" s="4"/>
      <c r="I1822" s="4"/>
      <c r="J1822" s="18"/>
      <c r="K1822" s="4"/>
      <c r="L1822" s="19"/>
      <c r="M1822" s="20"/>
    </row>
    <row r="1823">
      <c r="A1823" s="6"/>
      <c r="B1823" s="6"/>
      <c r="C1823" s="4"/>
      <c r="D1823" s="4"/>
      <c r="E1823" s="4"/>
      <c r="F1823" s="4"/>
      <c r="G1823" s="4"/>
      <c r="H1823" s="4"/>
      <c r="I1823" s="4"/>
      <c r="J1823" s="18"/>
      <c r="K1823" s="4"/>
      <c r="L1823" s="19"/>
      <c r="M1823" s="20"/>
    </row>
    <row r="1824">
      <c r="A1824" s="6"/>
      <c r="B1824" s="6"/>
      <c r="C1824" s="4"/>
      <c r="D1824" s="4"/>
      <c r="E1824" s="4"/>
      <c r="F1824" s="4"/>
      <c r="G1824" s="4"/>
      <c r="H1824" s="4"/>
      <c r="I1824" s="4"/>
      <c r="J1824" s="18"/>
      <c r="K1824" s="4"/>
      <c r="L1824" s="19"/>
      <c r="M1824" s="20"/>
    </row>
    <row r="1825">
      <c r="A1825" s="6"/>
      <c r="B1825" s="6"/>
      <c r="C1825" s="4"/>
      <c r="D1825" s="4"/>
      <c r="E1825" s="4"/>
      <c r="F1825" s="4"/>
      <c r="G1825" s="4"/>
      <c r="H1825" s="4"/>
      <c r="I1825" s="4"/>
      <c r="J1825" s="18"/>
      <c r="K1825" s="4"/>
      <c r="L1825" s="19"/>
      <c r="M1825" s="20"/>
    </row>
    <row r="1826">
      <c r="A1826" s="6"/>
      <c r="B1826" s="6"/>
      <c r="C1826" s="4"/>
      <c r="D1826" s="4"/>
      <c r="E1826" s="4"/>
      <c r="F1826" s="4"/>
      <c r="G1826" s="4"/>
      <c r="H1826" s="4"/>
      <c r="I1826" s="4"/>
      <c r="J1826" s="18"/>
      <c r="K1826" s="4"/>
      <c r="L1826" s="19"/>
      <c r="M1826" s="20"/>
    </row>
    <row r="1827">
      <c r="A1827" s="6"/>
      <c r="B1827" s="6"/>
      <c r="C1827" s="4"/>
      <c r="D1827" s="4"/>
      <c r="E1827" s="4"/>
      <c r="F1827" s="4"/>
      <c r="G1827" s="4"/>
      <c r="H1827" s="4"/>
      <c r="I1827" s="4"/>
      <c r="J1827" s="18"/>
      <c r="K1827" s="4"/>
      <c r="L1827" s="19"/>
      <c r="M1827" s="20"/>
    </row>
    <row r="1828">
      <c r="A1828" s="6"/>
      <c r="B1828" s="6"/>
      <c r="C1828" s="4"/>
      <c r="D1828" s="4"/>
      <c r="E1828" s="4"/>
      <c r="F1828" s="4"/>
      <c r="G1828" s="4"/>
      <c r="H1828" s="4"/>
      <c r="I1828" s="4"/>
      <c r="J1828" s="18"/>
      <c r="K1828" s="4"/>
      <c r="L1828" s="19"/>
      <c r="M1828" s="20"/>
    </row>
    <row r="1829">
      <c r="A1829" s="6"/>
      <c r="B1829" s="6"/>
      <c r="C1829" s="4"/>
      <c r="D1829" s="4"/>
      <c r="E1829" s="4"/>
      <c r="F1829" s="4"/>
      <c r="G1829" s="4"/>
      <c r="H1829" s="4"/>
      <c r="I1829" s="4"/>
      <c r="J1829" s="18"/>
      <c r="K1829" s="4"/>
      <c r="L1829" s="19"/>
      <c r="M1829" s="20"/>
    </row>
    <row r="1830">
      <c r="A1830" s="6"/>
      <c r="B1830" s="6"/>
      <c r="C1830" s="4"/>
      <c r="D1830" s="4"/>
      <c r="E1830" s="4"/>
      <c r="F1830" s="4"/>
      <c r="G1830" s="4"/>
      <c r="H1830" s="4"/>
      <c r="I1830" s="4"/>
      <c r="J1830" s="18"/>
      <c r="K1830" s="4"/>
      <c r="L1830" s="19"/>
      <c r="M1830" s="20"/>
    </row>
    <row r="1831">
      <c r="A1831" s="6"/>
      <c r="B1831" s="6"/>
      <c r="C1831" s="4"/>
      <c r="D1831" s="4"/>
      <c r="E1831" s="4"/>
      <c r="F1831" s="4"/>
      <c r="G1831" s="4"/>
      <c r="H1831" s="4"/>
      <c r="I1831" s="4"/>
      <c r="J1831" s="18"/>
      <c r="K1831" s="4"/>
      <c r="L1831" s="19"/>
      <c r="M1831" s="20"/>
    </row>
    <row r="1832">
      <c r="A1832" s="6"/>
      <c r="B1832" s="6"/>
      <c r="C1832" s="4"/>
      <c r="D1832" s="4"/>
      <c r="E1832" s="4"/>
      <c r="F1832" s="4"/>
      <c r="G1832" s="4"/>
      <c r="H1832" s="4"/>
      <c r="I1832" s="4"/>
      <c r="J1832" s="18"/>
      <c r="K1832" s="4"/>
      <c r="L1832" s="19"/>
      <c r="M1832" s="20"/>
    </row>
    <row r="1833">
      <c r="A1833" s="6"/>
      <c r="B1833" s="6"/>
      <c r="C1833" s="4"/>
      <c r="D1833" s="4"/>
      <c r="E1833" s="4"/>
      <c r="F1833" s="4"/>
      <c r="G1833" s="4"/>
      <c r="H1833" s="4"/>
      <c r="I1833" s="4"/>
      <c r="J1833" s="18"/>
      <c r="K1833" s="4"/>
      <c r="L1833" s="19"/>
      <c r="M1833" s="20"/>
    </row>
    <row r="1834">
      <c r="A1834" s="6"/>
      <c r="B1834" s="6"/>
      <c r="C1834" s="4"/>
      <c r="D1834" s="4"/>
      <c r="E1834" s="4"/>
      <c r="F1834" s="4"/>
      <c r="G1834" s="4"/>
      <c r="H1834" s="4"/>
      <c r="I1834" s="4"/>
      <c r="J1834" s="18"/>
      <c r="K1834" s="4"/>
      <c r="L1834" s="19"/>
      <c r="M1834" s="20"/>
    </row>
    <row r="1835">
      <c r="A1835" s="6"/>
      <c r="B1835" s="6"/>
      <c r="C1835" s="4"/>
      <c r="D1835" s="4"/>
      <c r="E1835" s="4"/>
      <c r="F1835" s="4"/>
      <c r="G1835" s="4"/>
      <c r="H1835" s="4"/>
      <c r="I1835" s="4"/>
      <c r="J1835" s="18"/>
      <c r="K1835" s="4"/>
      <c r="L1835" s="19"/>
      <c r="M1835" s="20"/>
    </row>
    <row r="1836">
      <c r="A1836" s="6"/>
      <c r="B1836" s="6"/>
      <c r="C1836" s="4"/>
      <c r="D1836" s="4"/>
      <c r="E1836" s="4"/>
      <c r="F1836" s="4"/>
      <c r="G1836" s="4"/>
      <c r="H1836" s="4"/>
      <c r="I1836" s="4"/>
      <c r="J1836" s="18"/>
      <c r="K1836" s="4"/>
      <c r="L1836" s="19"/>
      <c r="M1836" s="20"/>
    </row>
    <row r="1837">
      <c r="A1837" s="6"/>
      <c r="B1837" s="6"/>
      <c r="C1837" s="4"/>
      <c r="D1837" s="4"/>
      <c r="E1837" s="4"/>
      <c r="F1837" s="4"/>
      <c r="G1837" s="4"/>
      <c r="H1837" s="4"/>
      <c r="I1837" s="4"/>
      <c r="J1837" s="18"/>
      <c r="K1837" s="4"/>
      <c r="L1837" s="19"/>
      <c r="M1837" s="20"/>
    </row>
    <row r="1838">
      <c r="A1838" s="6"/>
      <c r="B1838" s="6"/>
      <c r="C1838" s="4"/>
      <c r="D1838" s="4"/>
      <c r="E1838" s="4"/>
      <c r="F1838" s="4"/>
      <c r="G1838" s="4"/>
      <c r="H1838" s="4"/>
      <c r="I1838" s="4"/>
      <c r="J1838" s="18"/>
      <c r="K1838" s="4"/>
      <c r="L1838" s="19"/>
      <c r="M1838" s="20"/>
    </row>
    <row r="1839">
      <c r="A1839" s="6"/>
      <c r="B1839" s="6"/>
      <c r="C1839" s="4"/>
      <c r="D1839" s="4"/>
      <c r="E1839" s="4"/>
      <c r="F1839" s="4"/>
      <c r="G1839" s="4"/>
      <c r="H1839" s="4"/>
      <c r="I1839" s="4"/>
      <c r="J1839" s="18"/>
      <c r="K1839" s="4"/>
      <c r="L1839" s="19"/>
      <c r="M1839" s="20"/>
    </row>
    <row r="1840">
      <c r="A1840" s="6"/>
      <c r="B1840" s="6"/>
      <c r="C1840" s="4"/>
      <c r="D1840" s="4"/>
      <c r="E1840" s="4"/>
      <c r="F1840" s="4"/>
      <c r="G1840" s="4"/>
      <c r="H1840" s="4"/>
      <c r="I1840" s="4"/>
      <c r="J1840" s="18"/>
      <c r="K1840" s="4"/>
      <c r="L1840" s="19"/>
      <c r="M1840" s="20"/>
    </row>
    <row r="1841">
      <c r="A1841" s="6"/>
      <c r="B1841" s="6"/>
      <c r="C1841" s="4"/>
      <c r="D1841" s="4"/>
      <c r="E1841" s="4"/>
      <c r="F1841" s="4"/>
      <c r="G1841" s="4"/>
      <c r="H1841" s="4"/>
      <c r="I1841" s="4"/>
      <c r="J1841" s="18"/>
      <c r="K1841" s="4"/>
      <c r="L1841" s="19"/>
      <c r="M1841" s="20"/>
    </row>
    <row r="1842">
      <c r="A1842" s="6"/>
      <c r="B1842" s="6"/>
      <c r="C1842" s="4"/>
      <c r="D1842" s="4"/>
      <c r="E1842" s="4"/>
      <c r="F1842" s="4"/>
      <c r="G1842" s="4"/>
      <c r="H1842" s="4"/>
      <c r="I1842" s="4"/>
      <c r="J1842" s="18"/>
      <c r="K1842" s="4"/>
      <c r="L1842" s="19"/>
      <c r="M1842" s="20"/>
    </row>
    <row r="1843">
      <c r="A1843" s="6"/>
      <c r="B1843" s="6"/>
      <c r="C1843" s="4"/>
      <c r="D1843" s="4"/>
      <c r="E1843" s="4"/>
      <c r="F1843" s="4"/>
      <c r="G1843" s="4"/>
      <c r="H1843" s="4"/>
      <c r="I1843" s="4"/>
      <c r="J1843" s="18"/>
      <c r="K1843" s="4"/>
      <c r="L1843" s="19"/>
      <c r="M1843" s="20"/>
    </row>
    <row r="1844">
      <c r="A1844" s="6"/>
      <c r="B1844" s="6"/>
      <c r="C1844" s="4"/>
      <c r="D1844" s="4"/>
      <c r="E1844" s="4"/>
      <c r="F1844" s="4"/>
      <c r="G1844" s="4"/>
      <c r="H1844" s="4"/>
      <c r="I1844" s="4"/>
      <c r="J1844" s="18"/>
      <c r="K1844" s="4"/>
      <c r="L1844" s="19"/>
      <c r="M1844" s="20"/>
    </row>
    <row r="1845">
      <c r="A1845" s="6"/>
      <c r="B1845" s="6"/>
      <c r="C1845" s="4"/>
      <c r="D1845" s="4"/>
      <c r="E1845" s="4"/>
      <c r="F1845" s="4"/>
      <c r="G1845" s="4"/>
      <c r="H1845" s="4"/>
      <c r="I1845" s="4"/>
      <c r="J1845" s="18"/>
      <c r="K1845" s="4"/>
      <c r="L1845" s="19"/>
      <c r="M1845" s="20"/>
    </row>
    <row r="1846">
      <c r="A1846" s="6"/>
      <c r="B1846" s="6"/>
      <c r="C1846" s="4"/>
      <c r="D1846" s="4"/>
      <c r="E1846" s="4"/>
      <c r="F1846" s="4"/>
      <c r="G1846" s="4"/>
      <c r="H1846" s="4"/>
      <c r="I1846" s="4"/>
      <c r="J1846" s="18"/>
      <c r="K1846" s="4"/>
      <c r="L1846" s="19"/>
      <c r="M1846" s="20"/>
    </row>
    <row r="1847">
      <c r="A1847" s="6"/>
      <c r="B1847" s="6"/>
      <c r="C1847" s="4"/>
      <c r="D1847" s="4"/>
      <c r="E1847" s="4"/>
      <c r="F1847" s="4"/>
      <c r="G1847" s="4"/>
      <c r="H1847" s="4"/>
      <c r="I1847" s="4"/>
      <c r="J1847" s="18"/>
      <c r="K1847" s="4"/>
      <c r="L1847" s="19"/>
      <c r="M1847" s="20"/>
    </row>
    <row r="1848">
      <c r="A1848" s="6"/>
      <c r="B1848" s="6"/>
      <c r="C1848" s="4"/>
      <c r="D1848" s="4"/>
      <c r="E1848" s="4"/>
      <c r="F1848" s="4"/>
      <c r="G1848" s="4"/>
      <c r="H1848" s="4"/>
      <c r="I1848" s="4"/>
      <c r="J1848" s="18"/>
      <c r="K1848" s="4"/>
      <c r="L1848" s="19"/>
      <c r="M1848" s="20"/>
    </row>
    <row r="1849">
      <c r="A1849" s="6"/>
      <c r="B1849" s="6"/>
      <c r="C1849" s="4"/>
      <c r="D1849" s="4"/>
      <c r="E1849" s="4"/>
      <c r="F1849" s="4"/>
      <c r="G1849" s="4"/>
      <c r="H1849" s="4"/>
      <c r="I1849" s="4"/>
      <c r="J1849" s="18"/>
      <c r="K1849" s="4"/>
      <c r="L1849" s="19"/>
      <c r="M1849" s="20"/>
    </row>
    <row r="1850">
      <c r="A1850" s="6"/>
      <c r="B1850" s="6"/>
      <c r="C1850" s="4"/>
      <c r="D1850" s="4"/>
      <c r="E1850" s="4"/>
      <c r="F1850" s="4"/>
      <c r="G1850" s="4"/>
      <c r="H1850" s="4"/>
      <c r="I1850" s="4"/>
      <c r="J1850" s="18"/>
      <c r="K1850" s="4"/>
      <c r="L1850" s="19"/>
      <c r="M1850" s="20"/>
    </row>
    <row r="1851">
      <c r="A1851" s="6"/>
      <c r="B1851" s="6"/>
      <c r="C1851" s="4"/>
      <c r="D1851" s="4"/>
      <c r="E1851" s="4"/>
      <c r="F1851" s="4"/>
      <c r="G1851" s="4"/>
      <c r="H1851" s="4"/>
      <c r="I1851" s="4"/>
      <c r="J1851" s="18"/>
      <c r="K1851" s="4"/>
      <c r="L1851" s="19"/>
      <c r="M1851" s="20"/>
    </row>
    <row r="1852">
      <c r="A1852" s="6"/>
      <c r="B1852" s="6"/>
      <c r="C1852" s="4"/>
      <c r="D1852" s="4"/>
      <c r="E1852" s="4"/>
      <c r="F1852" s="4"/>
      <c r="G1852" s="4"/>
      <c r="H1852" s="4"/>
      <c r="I1852" s="4"/>
      <c r="J1852" s="18"/>
      <c r="K1852" s="4"/>
      <c r="L1852" s="19"/>
      <c r="M1852" s="20"/>
    </row>
    <row r="1853">
      <c r="A1853" s="6"/>
      <c r="B1853" s="6"/>
      <c r="C1853" s="4"/>
      <c r="D1853" s="4"/>
      <c r="E1853" s="4"/>
      <c r="F1853" s="4"/>
      <c r="G1853" s="4"/>
      <c r="H1853" s="4"/>
      <c r="I1853" s="4"/>
      <c r="J1853" s="18"/>
      <c r="K1853" s="4"/>
      <c r="L1853" s="19"/>
      <c r="M1853" s="20"/>
    </row>
    <row r="1854">
      <c r="A1854" s="6"/>
      <c r="B1854" s="6"/>
      <c r="C1854" s="4"/>
      <c r="D1854" s="4"/>
      <c r="E1854" s="4"/>
      <c r="F1854" s="4"/>
      <c r="G1854" s="4"/>
      <c r="H1854" s="4"/>
      <c r="I1854" s="4"/>
      <c r="J1854" s="18"/>
      <c r="K1854" s="4"/>
      <c r="L1854" s="19"/>
      <c r="M1854" s="20"/>
    </row>
    <row r="1855">
      <c r="A1855" s="6"/>
      <c r="B1855" s="6"/>
      <c r="C1855" s="4"/>
      <c r="D1855" s="4"/>
      <c r="E1855" s="4"/>
      <c r="F1855" s="4"/>
      <c r="G1855" s="4"/>
      <c r="H1855" s="4"/>
      <c r="I1855" s="4"/>
      <c r="J1855" s="18"/>
      <c r="K1855" s="4"/>
      <c r="L1855" s="19"/>
      <c r="M1855" s="20"/>
    </row>
    <row r="1856">
      <c r="A1856" s="6"/>
      <c r="B1856" s="6"/>
      <c r="C1856" s="4"/>
      <c r="D1856" s="4"/>
      <c r="E1856" s="4"/>
      <c r="F1856" s="4"/>
      <c r="G1856" s="4"/>
      <c r="H1856" s="4"/>
      <c r="I1856" s="4"/>
      <c r="J1856" s="18"/>
      <c r="K1856" s="4"/>
      <c r="L1856" s="19"/>
      <c r="M1856" s="20"/>
    </row>
    <row r="1857">
      <c r="A1857" s="6"/>
      <c r="B1857" s="6"/>
      <c r="C1857" s="4"/>
      <c r="D1857" s="4"/>
      <c r="E1857" s="4"/>
      <c r="F1857" s="4"/>
      <c r="G1857" s="4"/>
      <c r="H1857" s="4"/>
      <c r="I1857" s="4"/>
      <c r="J1857" s="18"/>
      <c r="K1857" s="4"/>
      <c r="L1857" s="19"/>
      <c r="M1857" s="20"/>
    </row>
    <row r="1858">
      <c r="A1858" s="6"/>
      <c r="B1858" s="6"/>
      <c r="C1858" s="4"/>
      <c r="D1858" s="4"/>
      <c r="E1858" s="4"/>
      <c r="F1858" s="4"/>
      <c r="G1858" s="4"/>
      <c r="H1858" s="4"/>
      <c r="I1858" s="4"/>
      <c r="J1858" s="18"/>
      <c r="K1858" s="4"/>
      <c r="L1858" s="19"/>
      <c r="M1858" s="20"/>
    </row>
    <row r="1859">
      <c r="A1859" s="6"/>
      <c r="B1859" s="6"/>
      <c r="C1859" s="4"/>
      <c r="D1859" s="4"/>
      <c r="E1859" s="4"/>
      <c r="F1859" s="4"/>
      <c r="G1859" s="4"/>
      <c r="H1859" s="4"/>
      <c r="I1859" s="4"/>
      <c r="J1859" s="18"/>
      <c r="K1859" s="4"/>
      <c r="L1859" s="19"/>
      <c r="M1859" s="20"/>
    </row>
    <row r="1860">
      <c r="A1860" s="6"/>
      <c r="B1860" s="6"/>
      <c r="C1860" s="4"/>
      <c r="D1860" s="4"/>
      <c r="E1860" s="4"/>
      <c r="F1860" s="4"/>
      <c r="G1860" s="4"/>
      <c r="H1860" s="4"/>
      <c r="I1860" s="4"/>
      <c r="J1860" s="18"/>
      <c r="K1860" s="4"/>
      <c r="L1860" s="19"/>
      <c r="M1860" s="20"/>
    </row>
    <row r="1861">
      <c r="A1861" s="6"/>
      <c r="B1861" s="6"/>
      <c r="C1861" s="4"/>
      <c r="D1861" s="4"/>
      <c r="E1861" s="4"/>
      <c r="F1861" s="4"/>
      <c r="G1861" s="4"/>
      <c r="H1861" s="4"/>
      <c r="I1861" s="4"/>
      <c r="J1861" s="18"/>
      <c r="K1861" s="4"/>
      <c r="L1861" s="19"/>
      <c r="M1861" s="20"/>
    </row>
    <row r="1862">
      <c r="A1862" s="6"/>
      <c r="B1862" s="6"/>
      <c r="C1862" s="4"/>
      <c r="D1862" s="4"/>
      <c r="E1862" s="4"/>
      <c r="F1862" s="4"/>
      <c r="G1862" s="4"/>
      <c r="H1862" s="4"/>
      <c r="I1862" s="4"/>
      <c r="J1862" s="18"/>
      <c r="K1862" s="4"/>
      <c r="L1862" s="19"/>
      <c r="M1862" s="20"/>
    </row>
    <row r="1863">
      <c r="A1863" s="6"/>
      <c r="B1863" s="6"/>
      <c r="C1863" s="4"/>
      <c r="D1863" s="4"/>
      <c r="E1863" s="4"/>
      <c r="F1863" s="4"/>
      <c r="G1863" s="4"/>
      <c r="H1863" s="4"/>
      <c r="I1863" s="4"/>
      <c r="J1863" s="18"/>
      <c r="K1863" s="4"/>
      <c r="L1863" s="19"/>
      <c r="M1863" s="20"/>
    </row>
    <row r="1864">
      <c r="A1864" s="6"/>
      <c r="B1864" s="6"/>
      <c r="C1864" s="4"/>
      <c r="D1864" s="4"/>
      <c r="E1864" s="4"/>
      <c r="F1864" s="4"/>
      <c r="G1864" s="4"/>
      <c r="H1864" s="4"/>
      <c r="I1864" s="4"/>
      <c r="J1864" s="18"/>
      <c r="K1864" s="4"/>
      <c r="L1864" s="19"/>
      <c r="M1864" s="20"/>
    </row>
    <row r="1865">
      <c r="A1865" s="6"/>
      <c r="B1865" s="6"/>
      <c r="C1865" s="4"/>
      <c r="D1865" s="4"/>
      <c r="E1865" s="4"/>
      <c r="F1865" s="4"/>
      <c r="G1865" s="4"/>
      <c r="H1865" s="4"/>
      <c r="I1865" s="4"/>
      <c r="J1865" s="18"/>
      <c r="K1865" s="4"/>
      <c r="L1865" s="19"/>
      <c r="M1865" s="20"/>
    </row>
    <row r="1866">
      <c r="A1866" s="6"/>
      <c r="B1866" s="6"/>
      <c r="C1866" s="4"/>
      <c r="D1866" s="4"/>
      <c r="E1866" s="4"/>
      <c r="F1866" s="4"/>
      <c r="G1866" s="4"/>
      <c r="H1866" s="4"/>
      <c r="I1866" s="4"/>
      <c r="J1866" s="18"/>
      <c r="K1866" s="4"/>
      <c r="L1866" s="19"/>
      <c r="M1866" s="20"/>
    </row>
    <row r="1867">
      <c r="A1867" s="6"/>
      <c r="B1867" s="6"/>
      <c r="C1867" s="4"/>
      <c r="D1867" s="4"/>
      <c r="E1867" s="4"/>
      <c r="F1867" s="4"/>
      <c r="G1867" s="4"/>
      <c r="H1867" s="4"/>
      <c r="I1867" s="4"/>
      <c r="J1867" s="18"/>
      <c r="K1867" s="4"/>
      <c r="L1867" s="19"/>
      <c r="M1867" s="20"/>
    </row>
    <row r="1868">
      <c r="A1868" s="6"/>
      <c r="B1868" s="6"/>
      <c r="C1868" s="4"/>
      <c r="D1868" s="4"/>
      <c r="E1868" s="4"/>
      <c r="F1868" s="4"/>
      <c r="G1868" s="4"/>
      <c r="H1868" s="4"/>
      <c r="I1868" s="4"/>
      <c r="J1868" s="18"/>
      <c r="K1868" s="4"/>
      <c r="L1868" s="19"/>
      <c r="M1868" s="20"/>
    </row>
    <row r="1869">
      <c r="A1869" s="6"/>
      <c r="B1869" s="6"/>
      <c r="C1869" s="4"/>
      <c r="D1869" s="4"/>
      <c r="E1869" s="4"/>
      <c r="F1869" s="4"/>
      <c r="G1869" s="4"/>
      <c r="H1869" s="4"/>
      <c r="I1869" s="4"/>
      <c r="J1869" s="18"/>
      <c r="K1869" s="4"/>
      <c r="L1869" s="19"/>
      <c r="M1869" s="20"/>
    </row>
    <row r="1870">
      <c r="A1870" s="6"/>
      <c r="B1870" s="6"/>
      <c r="C1870" s="4"/>
      <c r="D1870" s="4"/>
      <c r="E1870" s="4"/>
      <c r="F1870" s="4"/>
      <c r="G1870" s="4"/>
      <c r="H1870" s="4"/>
      <c r="I1870" s="4"/>
      <c r="J1870" s="18"/>
      <c r="K1870" s="4"/>
      <c r="L1870" s="19"/>
      <c r="M1870" s="20"/>
    </row>
    <row r="1871">
      <c r="A1871" s="6"/>
      <c r="B1871" s="6"/>
      <c r="C1871" s="4"/>
      <c r="D1871" s="4"/>
      <c r="E1871" s="4"/>
      <c r="F1871" s="4"/>
      <c r="G1871" s="4"/>
      <c r="H1871" s="4"/>
      <c r="I1871" s="4"/>
      <c r="J1871" s="18"/>
      <c r="K1871" s="4"/>
      <c r="L1871" s="19"/>
      <c r="M1871" s="20"/>
    </row>
    <row r="1872">
      <c r="A1872" s="6"/>
      <c r="B1872" s="6"/>
      <c r="C1872" s="4"/>
      <c r="D1872" s="4"/>
      <c r="E1872" s="4"/>
      <c r="F1872" s="4"/>
      <c r="G1872" s="4"/>
      <c r="H1872" s="4"/>
      <c r="I1872" s="4"/>
      <c r="J1872" s="18"/>
      <c r="K1872" s="4"/>
      <c r="L1872" s="19"/>
      <c r="M1872" s="20"/>
    </row>
    <row r="1873">
      <c r="A1873" s="6"/>
      <c r="B1873" s="6"/>
      <c r="C1873" s="4"/>
      <c r="D1873" s="4"/>
      <c r="E1873" s="4"/>
      <c r="F1873" s="4"/>
      <c r="G1873" s="4"/>
      <c r="H1873" s="4"/>
      <c r="I1873" s="4"/>
      <c r="J1873" s="18"/>
      <c r="K1873" s="4"/>
      <c r="L1873" s="19"/>
      <c r="M1873" s="20"/>
    </row>
    <row r="1874">
      <c r="A1874" s="6"/>
      <c r="B1874" s="6"/>
      <c r="C1874" s="4"/>
      <c r="D1874" s="4"/>
      <c r="E1874" s="4"/>
      <c r="F1874" s="4"/>
      <c r="G1874" s="4"/>
      <c r="H1874" s="4"/>
      <c r="I1874" s="4"/>
      <c r="J1874" s="18"/>
      <c r="K1874" s="4"/>
      <c r="L1874" s="19"/>
      <c r="M1874" s="20"/>
    </row>
    <row r="1875">
      <c r="A1875" s="6"/>
      <c r="B1875" s="6"/>
      <c r="C1875" s="4"/>
      <c r="D1875" s="4"/>
      <c r="E1875" s="4"/>
      <c r="F1875" s="4"/>
      <c r="G1875" s="4"/>
      <c r="H1875" s="4"/>
      <c r="I1875" s="4"/>
      <c r="J1875" s="18"/>
      <c r="K1875" s="4"/>
      <c r="L1875" s="19"/>
      <c r="M1875" s="20"/>
    </row>
    <row r="1876">
      <c r="A1876" s="6"/>
      <c r="B1876" s="6"/>
      <c r="C1876" s="4"/>
      <c r="D1876" s="4"/>
      <c r="E1876" s="4"/>
      <c r="F1876" s="4"/>
      <c r="G1876" s="4"/>
      <c r="H1876" s="4"/>
      <c r="I1876" s="4"/>
      <c r="J1876" s="18"/>
      <c r="K1876" s="4"/>
      <c r="L1876" s="19"/>
      <c r="M1876" s="20"/>
    </row>
    <row r="1877">
      <c r="A1877" s="6"/>
      <c r="B1877" s="6"/>
      <c r="C1877" s="4"/>
      <c r="D1877" s="4"/>
      <c r="E1877" s="4"/>
      <c r="F1877" s="4"/>
      <c r="G1877" s="4"/>
      <c r="H1877" s="4"/>
      <c r="I1877" s="4"/>
      <c r="J1877" s="18"/>
      <c r="K1877" s="4"/>
      <c r="L1877" s="19"/>
      <c r="M1877" s="20"/>
    </row>
    <row r="1878">
      <c r="A1878" s="6"/>
      <c r="B1878" s="6"/>
      <c r="C1878" s="4"/>
      <c r="D1878" s="4"/>
      <c r="E1878" s="4"/>
      <c r="F1878" s="4"/>
      <c r="G1878" s="4"/>
      <c r="H1878" s="4"/>
      <c r="I1878" s="4"/>
      <c r="J1878" s="18"/>
      <c r="K1878" s="4"/>
      <c r="L1878" s="19"/>
      <c r="M1878" s="20"/>
    </row>
    <row r="1879">
      <c r="A1879" s="6"/>
      <c r="B1879" s="6"/>
      <c r="C1879" s="4"/>
      <c r="D1879" s="4"/>
      <c r="E1879" s="4"/>
      <c r="F1879" s="4"/>
      <c r="G1879" s="4"/>
      <c r="H1879" s="4"/>
      <c r="I1879" s="4"/>
      <c r="J1879" s="18"/>
      <c r="K1879" s="4"/>
      <c r="L1879" s="19"/>
      <c r="M1879" s="20"/>
    </row>
    <row r="1880">
      <c r="A1880" s="6"/>
      <c r="B1880" s="6"/>
      <c r="C1880" s="4"/>
      <c r="D1880" s="4"/>
      <c r="E1880" s="4"/>
      <c r="F1880" s="4"/>
      <c r="G1880" s="4"/>
      <c r="H1880" s="4"/>
      <c r="I1880" s="4"/>
      <c r="J1880" s="18"/>
      <c r="K1880" s="4"/>
      <c r="L1880" s="19"/>
      <c r="M1880" s="20"/>
    </row>
    <row r="1881">
      <c r="A1881" s="6"/>
      <c r="B1881" s="6"/>
      <c r="C1881" s="4"/>
      <c r="D1881" s="4"/>
      <c r="E1881" s="4"/>
      <c r="F1881" s="4"/>
      <c r="G1881" s="4"/>
      <c r="H1881" s="4"/>
      <c r="I1881" s="4"/>
      <c r="J1881" s="18"/>
      <c r="K1881" s="4"/>
      <c r="L1881" s="19"/>
      <c r="M1881" s="20"/>
    </row>
    <row r="1882">
      <c r="A1882" s="6"/>
      <c r="B1882" s="6"/>
      <c r="C1882" s="4"/>
      <c r="D1882" s="4"/>
      <c r="E1882" s="4"/>
      <c r="F1882" s="4"/>
      <c r="G1882" s="4"/>
      <c r="H1882" s="4"/>
      <c r="I1882" s="4"/>
      <c r="J1882" s="18"/>
      <c r="K1882" s="4"/>
      <c r="L1882" s="19"/>
      <c r="M1882" s="20"/>
    </row>
    <row r="1883">
      <c r="A1883" s="6"/>
      <c r="B1883" s="6"/>
      <c r="C1883" s="4"/>
      <c r="D1883" s="4"/>
      <c r="E1883" s="4"/>
      <c r="F1883" s="4"/>
      <c r="G1883" s="4"/>
      <c r="H1883" s="4"/>
      <c r="I1883" s="4"/>
      <c r="J1883" s="18"/>
      <c r="K1883" s="4"/>
      <c r="L1883" s="19"/>
      <c r="M1883" s="20"/>
    </row>
    <row r="1884">
      <c r="A1884" s="6"/>
      <c r="B1884" s="6"/>
      <c r="C1884" s="4"/>
      <c r="D1884" s="4"/>
      <c r="E1884" s="4"/>
      <c r="F1884" s="4"/>
      <c r="G1884" s="4"/>
      <c r="H1884" s="4"/>
      <c r="I1884" s="4"/>
      <c r="J1884" s="18"/>
      <c r="K1884" s="4"/>
      <c r="L1884" s="19"/>
      <c r="M1884" s="20"/>
    </row>
    <row r="1885">
      <c r="A1885" s="6"/>
      <c r="B1885" s="6"/>
      <c r="C1885" s="4"/>
      <c r="D1885" s="4"/>
      <c r="E1885" s="4"/>
      <c r="F1885" s="4"/>
      <c r="G1885" s="4"/>
      <c r="H1885" s="4"/>
      <c r="I1885" s="4"/>
      <c r="J1885" s="18"/>
      <c r="K1885" s="4"/>
      <c r="L1885" s="19"/>
      <c r="M1885" s="20"/>
    </row>
    <row r="1886">
      <c r="A1886" s="6"/>
      <c r="B1886" s="6"/>
      <c r="C1886" s="4"/>
      <c r="D1886" s="4"/>
      <c r="E1886" s="4"/>
      <c r="F1886" s="4"/>
      <c r="G1886" s="4"/>
      <c r="H1886" s="4"/>
      <c r="I1886" s="4"/>
      <c r="J1886" s="18"/>
      <c r="K1886" s="4"/>
      <c r="L1886" s="19"/>
      <c r="M1886" s="20"/>
    </row>
    <row r="1887">
      <c r="A1887" s="6"/>
      <c r="B1887" s="6"/>
      <c r="C1887" s="4"/>
      <c r="D1887" s="4"/>
      <c r="E1887" s="4"/>
      <c r="F1887" s="4"/>
      <c r="G1887" s="4"/>
      <c r="H1887" s="4"/>
      <c r="I1887" s="4"/>
      <c r="J1887" s="18"/>
      <c r="K1887" s="4"/>
      <c r="L1887" s="19"/>
      <c r="M1887" s="20"/>
    </row>
    <row r="1888">
      <c r="A1888" s="6"/>
      <c r="B1888" s="6"/>
      <c r="C1888" s="4"/>
      <c r="D1888" s="4"/>
      <c r="E1888" s="4"/>
      <c r="F1888" s="4"/>
      <c r="G1888" s="4"/>
      <c r="H1888" s="4"/>
      <c r="I1888" s="4"/>
      <c r="J1888" s="18"/>
      <c r="K1888" s="4"/>
      <c r="L1888" s="19"/>
      <c r="M1888" s="20"/>
    </row>
    <row r="1889">
      <c r="A1889" s="6"/>
      <c r="B1889" s="6"/>
      <c r="C1889" s="4"/>
      <c r="D1889" s="4"/>
      <c r="E1889" s="4"/>
      <c r="F1889" s="4"/>
      <c r="G1889" s="4"/>
      <c r="H1889" s="4"/>
      <c r="I1889" s="4"/>
      <c r="J1889" s="18"/>
      <c r="K1889" s="4"/>
      <c r="L1889" s="19"/>
      <c r="M1889" s="20"/>
    </row>
    <row r="1890">
      <c r="A1890" s="6"/>
      <c r="B1890" s="6"/>
      <c r="C1890" s="4"/>
      <c r="D1890" s="4"/>
      <c r="E1890" s="4"/>
      <c r="F1890" s="4"/>
      <c r="G1890" s="4"/>
      <c r="H1890" s="4"/>
      <c r="I1890" s="4"/>
      <c r="J1890" s="18"/>
      <c r="K1890" s="4"/>
      <c r="L1890" s="19"/>
      <c r="M1890" s="20"/>
    </row>
    <row r="1891">
      <c r="A1891" s="6"/>
      <c r="B1891" s="6"/>
      <c r="C1891" s="4"/>
      <c r="D1891" s="4"/>
      <c r="E1891" s="4"/>
      <c r="F1891" s="4"/>
      <c r="G1891" s="4"/>
      <c r="H1891" s="4"/>
      <c r="I1891" s="4"/>
      <c r="J1891" s="18"/>
      <c r="K1891" s="4"/>
      <c r="L1891" s="19"/>
      <c r="M1891" s="20"/>
    </row>
    <row r="1892">
      <c r="A1892" s="6"/>
      <c r="B1892" s="6"/>
      <c r="C1892" s="4"/>
      <c r="D1892" s="4"/>
      <c r="E1892" s="4"/>
      <c r="F1892" s="4"/>
      <c r="G1892" s="4"/>
      <c r="H1892" s="4"/>
      <c r="I1892" s="4"/>
      <c r="J1892" s="18"/>
      <c r="K1892" s="4"/>
      <c r="L1892" s="19"/>
      <c r="M1892" s="20"/>
    </row>
    <row r="1893">
      <c r="A1893" s="6"/>
      <c r="B1893" s="6"/>
      <c r="C1893" s="4"/>
      <c r="D1893" s="4"/>
      <c r="E1893" s="4"/>
      <c r="F1893" s="4"/>
      <c r="G1893" s="4"/>
      <c r="H1893" s="4"/>
      <c r="I1893" s="4"/>
      <c r="J1893" s="18"/>
      <c r="K1893" s="4"/>
      <c r="L1893" s="19"/>
      <c r="M1893" s="20"/>
    </row>
    <row r="1894">
      <c r="A1894" s="6"/>
      <c r="B1894" s="6"/>
      <c r="C1894" s="4"/>
      <c r="D1894" s="4"/>
      <c r="E1894" s="4"/>
      <c r="F1894" s="4"/>
      <c r="G1894" s="4"/>
      <c r="H1894" s="4"/>
      <c r="I1894" s="4"/>
      <c r="J1894" s="18"/>
      <c r="K1894" s="4"/>
      <c r="L1894" s="19"/>
      <c r="M1894" s="20"/>
    </row>
    <row r="1895">
      <c r="A1895" s="6"/>
      <c r="B1895" s="6"/>
      <c r="C1895" s="4"/>
      <c r="D1895" s="4"/>
      <c r="E1895" s="4"/>
      <c r="F1895" s="4"/>
      <c r="G1895" s="4"/>
      <c r="H1895" s="4"/>
      <c r="I1895" s="4"/>
      <c r="J1895" s="18"/>
      <c r="K1895" s="4"/>
      <c r="L1895" s="19"/>
      <c r="M1895" s="20"/>
    </row>
    <row r="1896">
      <c r="A1896" s="6"/>
      <c r="B1896" s="6"/>
      <c r="C1896" s="4"/>
      <c r="D1896" s="4"/>
      <c r="E1896" s="4"/>
      <c r="F1896" s="4"/>
      <c r="G1896" s="4"/>
      <c r="H1896" s="4"/>
      <c r="I1896" s="4"/>
      <c r="J1896" s="18"/>
      <c r="K1896" s="4"/>
      <c r="L1896" s="19"/>
      <c r="M1896" s="20"/>
    </row>
    <row r="1897">
      <c r="A1897" s="6"/>
      <c r="B1897" s="6"/>
      <c r="C1897" s="4"/>
      <c r="D1897" s="4"/>
      <c r="E1897" s="4"/>
      <c r="F1897" s="4"/>
      <c r="G1897" s="4"/>
      <c r="H1897" s="4"/>
      <c r="I1897" s="4"/>
      <c r="J1897" s="18"/>
      <c r="K1897" s="4"/>
      <c r="L1897" s="19"/>
      <c r="M1897" s="20"/>
    </row>
    <row r="1898">
      <c r="A1898" s="6"/>
      <c r="B1898" s="6"/>
      <c r="C1898" s="4"/>
      <c r="D1898" s="4"/>
      <c r="E1898" s="4"/>
      <c r="F1898" s="4"/>
      <c r="G1898" s="4"/>
      <c r="H1898" s="4"/>
      <c r="I1898" s="4"/>
      <c r="J1898" s="18"/>
      <c r="K1898" s="4"/>
      <c r="L1898" s="19"/>
      <c r="M1898" s="20"/>
    </row>
    <row r="1899">
      <c r="A1899" s="6"/>
      <c r="B1899" s="6"/>
      <c r="C1899" s="4"/>
      <c r="D1899" s="4"/>
      <c r="E1899" s="4"/>
      <c r="F1899" s="4"/>
      <c r="G1899" s="4"/>
      <c r="H1899" s="4"/>
      <c r="I1899" s="4"/>
      <c r="J1899" s="18"/>
      <c r="K1899" s="4"/>
      <c r="L1899" s="19"/>
      <c r="M1899" s="20"/>
    </row>
    <row r="1900">
      <c r="A1900" s="6"/>
      <c r="B1900" s="6"/>
      <c r="C1900" s="4"/>
      <c r="D1900" s="4"/>
      <c r="E1900" s="4"/>
      <c r="F1900" s="4"/>
      <c r="G1900" s="4"/>
      <c r="H1900" s="4"/>
      <c r="I1900" s="4"/>
      <c r="J1900" s="18"/>
      <c r="K1900" s="4"/>
      <c r="L1900" s="19"/>
      <c r="M1900" s="20"/>
    </row>
    <row r="1901">
      <c r="A1901" s="6"/>
      <c r="B1901" s="6"/>
      <c r="C1901" s="4"/>
      <c r="D1901" s="4"/>
      <c r="E1901" s="4"/>
      <c r="F1901" s="4"/>
      <c r="G1901" s="4"/>
      <c r="H1901" s="4"/>
      <c r="I1901" s="4"/>
      <c r="J1901" s="18"/>
      <c r="K1901" s="4"/>
      <c r="L1901" s="19"/>
      <c r="M1901" s="20"/>
    </row>
    <row r="1902">
      <c r="A1902" s="6"/>
      <c r="B1902" s="6"/>
      <c r="C1902" s="4"/>
      <c r="D1902" s="4"/>
      <c r="E1902" s="4"/>
      <c r="F1902" s="4"/>
      <c r="G1902" s="4"/>
      <c r="H1902" s="4"/>
      <c r="I1902" s="4"/>
      <c r="J1902" s="18"/>
      <c r="K1902" s="4"/>
      <c r="L1902" s="19"/>
      <c r="M1902" s="20"/>
    </row>
    <row r="1903">
      <c r="A1903" s="6"/>
      <c r="B1903" s="6"/>
      <c r="C1903" s="4"/>
      <c r="D1903" s="4"/>
      <c r="E1903" s="4"/>
      <c r="F1903" s="4"/>
      <c r="G1903" s="4"/>
      <c r="H1903" s="4"/>
      <c r="I1903" s="4"/>
      <c r="J1903" s="18"/>
      <c r="K1903" s="4"/>
      <c r="L1903" s="19"/>
      <c r="M1903" s="20"/>
    </row>
    <row r="1904">
      <c r="A1904" s="6"/>
      <c r="B1904" s="6"/>
      <c r="C1904" s="4"/>
      <c r="D1904" s="4"/>
      <c r="E1904" s="4"/>
      <c r="F1904" s="4"/>
      <c r="G1904" s="4"/>
      <c r="H1904" s="4"/>
      <c r="I1904" s="4"/>
      <c r="J1904" s="18"/>
      <c r="K1904" s="4"/>
      <c r="L1904" s="19"/>
      <c r="M1904" s="20"/>
    </row>
    <row r="1905">
      <c r="A1905" s="6"/>
      <c r="B1905" s="6"/>
      <c r="C1905" s="4"/>
      <c r="D1905" s="4"/>
      <c r="E1905" s="4"/>
      <c r="F1905" s="4"/>
      <c r="G1905" s="4"/>
      <c r="H1905" s="4"/>
      <c r="I1905" s="4"/>
      <c r="J1905" s="18"/>
      <c r="K1905" s="4"/>
      <c r="L1905" s="19"/>
      <c r="M1905" s="20"/>
    </row>
    <row r="1906">
      <c r="A1906" s="6"/>
      <c r="B1906" s="6"/>
      <c r="C1906" s="4"/>
      <c r="D1906" s="4"/>
      <c r="E1906" s="4"/>
      <c r="F1906" s="4"/>
      <c r="G1906" s="4"/>
      <c r="H1906" s="4"/>
      <c r="I1906" s="4"/>
      <c r="J1906" s="18"/>
      <c r="K1906" s="4"/>
      <c r="L1906" s="19"/>
      <c r="M1906" s="20"/>
    </row>
    <row r="1907">
      <c r="A1907" s="6"/>
      <c r="B1907" s="6"/>
      <c r="C1907" s="4"/>
      <c r="D1907" s="4"/>
      <c r="E1907" s="4"/>
      <c r="F1907" s="4"/>
      <c r="G1907" s="4"/>
      <c r="H1907" s="4"/>
      <c r="I1907" s="4"/>
      <c r="J1907" s="18"/>
      <c r="K1907" s="4"/>
      <c r="L1907" s="19"/>
      <c r="M1907" s="20"/>
    </row>
    <row r="1908">
      <c r="A1908" s="6"/>
      <c r="B1908" s="6"/>
      <c r="C1908" s="4"/>
      <c r="D1908" s="4"/>
      <c r="E1908" s="4"/>
      <c r="F1908" s="4"/>
      <c r="G1908" s="4"/>
      <c r="H1908" s="4"/>
      <c r="I1908" s="4"/>
      <c r="J1908" s="18"/>
      <c r="K1908" s="4"/>
      <c r="L1908" s="19"/>
      <c r="M1908" s="20"/>
    </row>
    <row r="1909">
      <c r="A1909" s="6"/>
      <c r="B1909" s="6"/>
      <c r="C1909" s="4"/>
      <c r="D1909" s="4"/>
      <c r="E1909" s="4"/>
      <c r="F1909" s="4"/>
      <c r="G1909" s="4"/>
      <c r="H1909" s="4"/>
      <c r="I1909" s="4"/>
      <c r="J1909" s="18"/>
      <c r="K1909" s="4"/>
      <c r="L1909" s="19"/>
      <c r="M1909" s="20"/>
    </row>
    <row r="1910">
      <c r="A1910" s="6"/>
      <c r="B1910" s="6"/>
      <c r="C1910" s="4"/>
      <c r="D1910" s="4"/>
      <c r="E1910" s="4"/>
      <c r="F1910" s="4"/>
      <c r="G1910" s="4"/>
      <c r="H1910" s="4"/>
      <c r="I1910" s="4"/>
      <c r="J1910" s="18"/>
      <c r="K1910" s="4"/>
      <c r="L1910" s="19"/>
      <c r="M1910" s="20"/>
    </row>
    <row r="1911">
      <c r="A1911" s="6"/>
      <c r="B1911" s="6"/>
      <c r="C1911" s="4"/>
      <c r="D1911" s="4"/>
      <c r="E1911" s="4"/>
      <c r="F1911" s="4"/>
      <c r="G1911" s="4"/>
      <c r="H1911" s="4"/>
      <c r="I1911" s="4"/>
      <c r="J1911" s="18"/>
      <c r="K1911" s="4"/>
      <c r="L1911" s="19"/>
      <c r="M1911" s="20"/>
    </row>
    <row r="1912">
      <c r="A1912" s="6"/>
      <c r="B1912" s="6"/>
      <c r="C1912" s="4"/>
      <c r="D1912" s="4"/>
      <c r="E1912" s="4"/>
      <c r="F1912" s="4"/>
      <c r="G1912" s="4"/>
      <c r="H1912" s="4"/>
      <c r="I1912" s="4"/>
      <c r="J1912" s="18"/>
      <c r="K1912" s="4"/>
      <c r="L1912" s="19"/>
      <c r="M1912" s="20"/>
    </row>
    <row r="1913">
      <c r="A1913" s="6"/>
      <c r="B1913" s="6"/>
      <c r="C1913" s="4"/>
      <c r="D1913" s="4"/>
      <c r="E1913" s="4"/>
      <c r="F1913" s="4"/>
      <c r="G1913" s="4"/>
      <c r="H1913" s="4"/>
      <c r="I1913" s="4"/>
      <c r="J1913" s="18"/>
      <c r="K1913" s="4"/>
      <c r="L1913" s="19"/>
      <c r="M1913" s="20"/>
    </row>
    <row r="1914">
      <c r="A1914" s="6"/>
      <c r="B1914" s="6"/>
      <c r="C1914" s="4"/>
      <c r="D1914" s="4"/>
      <c r="E1914" s="4"/>
      <c r="F1914" s="4"/>
      <c r="G1914" s="4"/>
      <c r="H1914" s="4"/>
      <c r="I1914" s="4"/>
      <c r="J1914" s="18"/>
      <c r="K1914" s="4"/>
      <c r="L1914" s="19"/>
      <c r="M1914" s="20"/>
    </row>
    <row r="1915">
      <c r="A1915" s="6"/>
      <c r="B1915" s="6"/>
      <c r="C1915" s="4"/>
      <c r="D1915" s="4"/>
      <c r="E1915" s="4"/>
      <c r="F1915" s="4"/>
      <c r="G1915" s="4"/>
      <c r="H1915" s="4"/>
      <c r="I1915" s="4"/>
      <c r="J1915" s="18"/>
      <c r="K1915" s="4"/>
      <c r="L1915" s="19"/>
      <c r="M1915" s="20"/>
    </row>
    <row r="1916">
      <c r="A1916" s="6"/>
      <c r="B1916" s="6"/>
      <c r="C1916" s="4"/>
      <c r="D1916" s="4"/>
      <c r="E1916" s="4"/>
      <c r="F1916" s="4"/>
      <c r="G1916" s="4"/>
      <c r="H1916" s="4"/>
      <c r="I1916" s="4"/>
      <c r="J1916" s="18"/>
      <c r="K1916" s="4"/>
      <c r="L1916" s="19"/>
      <c r="M1916" s="20"/>
    </row>
    <row r="1917">
      <c r="A1917" s="6"/>
      <c r="B1917" s="6"/>
      <c r="C1917" s="4"/>
      <c r="D1917" s="4"/>
      <c r="E1917" s="4"/>
      <c r="F1917" s="4"/>
      <c r="G1917" s="4"/>
      <c r="H1917" s="4"/>
      <c r="I1917" s="4"/>
      <c r="J1917" s="18"/>
      <c r="K1917" s="4"/>
      <c r="L1917" s="19"/>
      <c r="M1917" s="20"/>
    </row>
    <row r="1918">
      <c r="A1918" s="6"/>
      <c r="B1918" s="6"/>
      <c r="C1918" s="4"/>
      <c r="D1918" s="4"/>
      <c r="E1918" s="4"/>
      <c r="F1918" s="4"/>
      <c r="G1918" s="4"/>
      <c r="H1918" s="4"/>
      <c r="I1918" s="4"/>
      <c r="J1918" s="18"/>
      <c r="K1918" s="4"/>
      <c r="L1918" s="19"/>
      <c r="M1918" s="20"/>
    </row>
    <row r="1919">
      <c r="A1919" s="6"/>
      <c r="B1919" s="6"/>
      <c r="C1919" s="4"/>
      <c r="D1919" s="4"/>
      <c r="E1919" s="4"/>
      <c r="F1919" s="4"/>
      <c r="G1919" s="4"/>
      <c r="H1919" s="4"/>
      <c r="I1919" s="4"/>
      <c r="J1919" s="18"/>
      <c r="K1919" s="4"/>
      <c r="L1919" s="19"/>
      <c r="M1919" s="20"/>
    </row>
    <row r="1920">
      <c r="A1920" s="6"/>
      <c r="B1920" s="6"/>
      <c r="C1920" s="4"/>
      <c r="D1920" s="4"/>
      <c r="E1920" s="4"/>
      <c r="F1920" s="4"/>
      <c r="G1920" s="4"/>
      <c r="H1920" s="4"/>
      <c r="I1920" s="4"/>
      <c r="J1920" s="18"/>
      <c r="K1920" s="4"/>
      <c r="L1920" s="19"/>
      <c r="M1920" s="20"/>
    </row>
    <row r="1921">
      <c r="A1921" s="6"/>
      <c r="B1921" s="6"/>
      <c r="C1921" s="4"/>
      <c r="D1921" s="4"/>
      <c r="E1921" s="4"/>
      <c r="F1921" s="4"/>
      <c r="G1921" s="4"/>
      <c r="H1921" s="4"/>
      <c r="I1921" s="4"/>
      <c r="J1921" s="18"/>
      <c r="K1921" s="4"/>
      <c r="L1921" s="19"/>
      <c r="M1921" s="20"/>
    </row>
    <row r="1922">
      <c r="A1922" s="6"/>
      <c r="B1922" s="6"/>
      <c r="C1922" s="4"/>
      <c r="D1922" s="4"/>
      <c r="E1922" s="4"/>
      <c r="F1922" s="4"/>
      <c r="G1922" s="4"/>
      <c r="H1922" s="4"/>
      <c r="I1922" s="4"/>
      <c r="J1922" s="18"/>
      <c r="K1922" s="4"/>
      <c r="L1922" s="19"/>
      <c r="M1922" s="20"/>
    </row>
    <row r="1923">
      <c r="A1923" s="6"/>
      <c r="B1923" s="6"/>
      <c r="C1923" s="4"/>
      <c r="D1923" s="4"/>
      <c r="E1923" s="4"/>
      <c r="F1923" s="4"/>
      <c r="G1923" s="4"/>
      <c r="H1923" s="4"/>
      <c r="I1923" s="4"/>
      <c r="J1923" s="18"/>
      <c r="K1923" s="4"/>
      <c r="L1923" s="19"/>
      <c r="M1923" s="20"/>
    </row>
    <row r="1924">
      <c r="A1924" s="6"/>
      <c r="B1924" s="6"/>
      <c r="C1924" s="4"/>
      <c r="D1924" s="4"/>
      <c r="E1924" s="4"/>
      <c r="F1924" s="4"/>
      <c r="G1924" s="4"/>
      <c r="H1924" s="4"/>
      <c r="I1924" s="4"/>
      <c r="J1924" s="18"/>
      <c r="K1924" s="4"/>
      <c r="L1924" s="19"/>
      <c r="M1924" s="20"/>
    </row>
    <row r="1925">
      <c r="A1925" s="6"/>
      <c r="B1925" s="6"/>
      <c r="C1925" s="4"/>
      <c r="D1925" s="4"/>
      <c r="E1925" s="4"/>
      <c r="F1925" s="4"/>
      <c r="G1925" s="4"/>
      <c r="H1925" s="4"/>
      <c r="I1925" s="4"/>
      <c r="J1925" s="18"/>
      <c r="K1925" s="4"/>
      <c r="L1925" s="19"/>
      <c r="M1925" s="20"/>
    </row>
    <row r="1926">
      <c r="A1926" s="6"/>
      <c r="B1926" s="6"/>
      <c r="C1926" s="4"/>
      <c r="D1926" s="4"/>
      <c r="E1926" s="4"/>
      <c r="F1926" s="4"/>
      <c r="G1926" s="4"/>
      <c r="H1926" s="4"/>
      <c r="I1926" s="4"/>
      <c r="J1926" s="18"/>
      <c r="K1926" s="4"/>
      <c r="L1926" s="19"/>
      <c r="M1926" s="20"/>
    </row>
    <row r="1927">
      <c r="A1927" s="6"/>
      <c r="B1927" s="6"/>
      <c r="C1927" s="4"/>
      <c r="D1927" s="4"/>
      <c r="E1927" s="4"/>
      <c r="F1927" s="4"/>
      <c r="G1927" s="4"/>
      <c r="H1927" s="4"/>
      <c r="I1927" s="4"/>
      <c r="J1927" s="18"/>
      <c r="K1927" s="4"/>
      <c r="L1927" s="19"/>
      <c r="M1927" s="20"/>
    </row>
    <row r="1928">
      <c r="A1928" s="6"/>
      <c r="B1928" s="6"/>
      <c r="C1928" s="4"/>
      <c r="D1928" s="4"/>
      <c r="E1928" s="4"/>
      <c r="F1928" s="4"/>
      <c r="G1928" s="4"/>
      <c r="H1928" s="4"/>
      <c r="I1928" s="4"/>
      <c r="J1928" s="18"/>
      <c r="K1928" s="4"/>
      <c r="L1928" s="19"/>
      <c r="M1928" s="20"/>
    </row>
    <row r="1929">
      <c r="A1929" s="6"/>
      <c r="B1929" s="6"/>
      <c r="C1929" s="4"/>
      <c r="D1929" s="4"/>
      <c r="E1929" s="4"/>
      <c r="F1929" s="4"/>
      <c r="G1929" s="4"/>
      <c r="H1929" s="4"/>
      <c r="I1929" s="4"/>
      <c r="J1929" s="18"/>
      <c r="K1929" s="4"/>
      <c r="L1929" s="19"/>
      <c r="M1929" s="20"/>
    </row>
    <row r="1930">
      <c r="A1930" s="6"/>
      <c r="B1930" s="6"/>
      <c r="C1930" s="4"/>
      <c r="D1930" s="4"/>
      <c r="E1930" s="4"/>
      <c r="F1930" s="4"/>
      <c r="G1930" s="4"/>
      <c r="H1930" s="4"/>
      <c r="I1930" s="4"/>
      <c r="J1930" s="18"/>
      <c r="K1930" s="4"/>
      <c r="L1930" s="19"/>
      <c r="M1930" s="20"/>
    </row>
    <row r="1931">
      <c r="A1931" s="6"/>
      <c r="B1931" s="6"/>
      <c r="C1931" s="4"/>
      <c r="D1931" s="4"/>
      <c r="E1931" s="4"/>
      <c r="F1931" s="4"/>
      <c r="G1931" s="4"/>
      <c r="H1931" s="4"/>
      <c r="I1931" s="4"/>
      <c r="J1931" s="18"/>
      <c r="K1931" s="4"/>
      <c r="L1931" s="19"/>
      <c r="M1931" s="20"/>
    </row>
    <row r="1932">
      <c r="A1932" s="6"/>
      <c r="B1932" s="6"/>
      <c r="C1932" s="4"/>
      <c r="D1932" s="4"/>
      <c r="E1932" s="4"/>
      <c r="F1932" s="4"/>
      <c r="G1932" s="4"/>
      <c r="H1932" s="4"/>
      <c r="I1932" s="4"/>
      <c r="J1932" s="18"/>
      <c r="K1932" s="4"/>
      <c r="L1932" s="19"/>
      <c r="M1932" s="20"/>
    </row>
    <row r="1933">
      <c r="A1933" s="6"/>
      <c r="B1933" s="6"/>
      <c r="C1933" s="4"/>
      <c r="D1933" s="4"/>
      <c r="E1933" s="4"/>
      <c r="F1933" s="4"/>
      <c r="G1933" s="4"/>
      <c r="H1933" s="4"/>
      <c r="I1933" s="4"/>
      <c r="J1933" s="18"/>
      <c r="K1933" s="4"/>
      <c r="L1933" s="19"/>
      <c r="M1933" s="20"/>
    </row>
    <row r="1934">
      <c r="A1934" s="6"/>
      <c r="B1934" s="6"/>
      <c r="C1934" s="4"/>
      <c r="D1934" s="4"/>
      <c r="E1934" s="4"/>
      <c r="F1934" s="4"/>
      <c r="G1934" s="4"/>
      <c r="H1934" s="4"/>
      <c r="I1934" s="4"/>
      <c r="J1934" s="18"/>
      <c r="K1934" s="4"/>
      <c r="L1934" s="19"/>
      <c r="M1934" s="20"/>
    </row>
    <row r="1935">
      <c r="A1935" s="6"/>
      <c r="B1935" s="6"/>
      <c r="C1935" s="4"/>
      <c r="D1935" s="4"/>
      <c r="E1935" s="4"/>
      <c r="F1935" s="4"/>
      <c r="G1935" s="4"/>
      <c r="H1935" s="4"/>
      <c r="I1935" s="4"/>
      <c r="J1935" s="18"/>
      <c r="K1935" s="4"/>
      <c r="L1935" s="19"/>
      <c r="M1935" s="20"/>
    </row>
    <row r="1936">
      <c r="A1936" s="6"/>
      <c r="B1936" s="6"/>
      <c r="C1936" s="4"/>
      <c r="D1936" s="4"/>
      <c r="E1936" s="4"/>
      <c r="F1936" s="4"/>
      <c r="G1936" s="4"/>
      <c r="H1936" s="4"/>
      <c r="I1936" s="4"/>
      <c r="J1936" s="18"/>
      <c r="K1936" s="4"/>
      <c r="L1936" s="19"/>
      <c r="M1936" s="20"/>
    </row>
    <row r="1937">
      <c r="A1937" s="6"/>
      <c r="B1937" s="6"/>
      <c r="C1937" s="4"/>
      <c r="D1937" s="4"/>
      <c r="E1937" s="4"/>
      <c r="F1937" s="4"/>
      <c r="G1937" s="4"/>
      <c r="H1937" s="4"/>
      <c r="I1937" s="4"/>
      <c r="J1937" s="18"/>
      <c r="K1937" s="4"/>
      <c r="L1937" s="19"/>
      <c r="M1937" s="20"/>
    </row>
    <row r="1938">
      <c r="A1938" s="6"/>
      <c r="B1938" s="6"/>
      <c r="C1938" s="4"/>
      <c r="D1938" s="4"/>
      <c r="E1938" s="4"/>
      <c r="F1938" s="4"/>
      <c r="G1938" s="4"/>
      <c r="H1938" s="4"/>
      <c r="I1938" s="4"/>
      <c r="J1938" s="18"/>
      <c r="K1938" s="4"/>
      <c r="L1938" s="19"/>
      <c r="M1938" s="20"/>
    </row>
    <row r="1939">
      <c r="A1939" s="6"/>
      <c r="B1939" s="6"/>
      <c r="C1939" s="4"/>
      <c r="D1939" s="4"/>
      <c r="E1939" s="4"/>
      <c r="F1939" s="4"/>
      <c r="G1939" s="4"/>
      <c r="H1939" s="4"/>
      <c r="I1939" s="4"/>
      <c r="J1939" s="18"/>
      <c r="K1939" s="4"/>
      <c r="L1939" s="19"/>
      <c r="M1939" s="20"/>
    </row>
    <row r="1940">
      <c r="A1940" s="6"/>
      <c r="B1940" s="6"/>
      <c r="C1940" s="4"/>
      <c r="D1940" s="4"/>
      <c r="E1940" s="4"/>
      <c r="F1940" s="4"/>
      <c r="G1940" s="4"/>
      <c r="H1940" s="4"/>
      <c r="I1940" s="4"/>
      <c r="J1940" s="18"/>
      <c r="K1940" s="4"/>
      <c r="L1940" s="19"/>
      <c r="M1940" s="20"/>
    </row>
    <row r="1941">
      <c r="A1941" s="6"/>
      <c r="B1941" s="6"/>
      <c r="C1941" s="4"/>
      <c r="D1941" s="4"/>
      <c r="E1941" s="4"/>
      <c r="F1941" s="4"/>
      <c r="G1941" s="4"/>
      <c r="H1941" s="4"/>
      <c r="I1941" s="4"/>
      <c r="J1941" s="18"/>
      <c r="K1941" s="4"/>
      <c r="L1941" s="19"/>
      <c r="M1941" s="20"/>
    </row>
    <row r="1942">
      <c r="A1942" s="6"/>
      <c r="B1942" s="6"/>
      <c r="C1942" s="4"/>
      <c r="D1942" s="4"/>
      <c r="E1942" s="4"/>
      <c r="F1942" s="4"/>
      <c r="G1942" s="4"/>
      <c r="H1942" s="4"/>
      <c r="I1942" s="4"/>
      <c r="J1942" s="18"/>
      <c r="K1942" s="4"/>
      <c r="L1942" s="19"/>
      <c r="M1942" s="20"/>
    </row>
    <row r="1943">
      <c r="A1943" s="6"/>
      <c r="B1943" s="6"/>
      <c r="C1943" s="4"/>
      <c r="D1943" s="4"/>
      <c r="E1943" s="4"/>
      <c r="F1943" s="4"/>
      <c r="G1943" s="4"/>
      <c r="H1943" s="4"/>
      <c r="I1943" s="4"/>
      <c r="J1943" s="18"/>
      <c r="K1943" s="4"/>
      <c r="L1943" s="19"/>
      <c r="M1943" s="20"/>
    </row>
    <row r="1944">
      <c r="A1944" s="6"/>
      <c r="B1944" s="6"/>
      <c r="C1944" s="4"/>
      <c r="D1944" s="4"/>
      <c r="E1944" s="4"/>
      <c r="F1944" s="4"/>
      <c r="G1944" s="4"/>
      <c r="H1944" s="4"/>
      <c r="I1944" s="4"/>
      <c r="J1944" s="18"/>
      <c r="K1944" s="4"/>
      <c r="L1944" s="19"/>
      <c r="M1944" s="20"/>
    </row>
    <row r="1945">
      <c r="A1945" s="6"/>
      <c r="B1945" s="6"/>
      <c r="C1945" s="4"/>
      <c r="D1945" s="4"/>
      <c r="E1945" s="4"/>
      <c r="F1945" s="4"/>
      <c r="G1945" s="4"/>
      <c r="H1945" s="4"/>
      <c r="I1945" s="4"/>
      <c r="J1945" s="18"/>
      <c r="K1945" s="4"/>
      <c r="L1945" s="19"/>
      <c r="M1945" s="20"/>
    </row>
    <row r="1946">
      <c r="A1946" s="6"/>
      <c r="B1946" s="6"/>
      <c r="C1946" s="4"/>
      <c r="D1946" s="4"/>
      <c r="E1946" s="4"/>
      <c r="F1946" s="4"/>
      <c r="G1946" s="4"/>
      <c r="H1946" s="4"/>
      <c r="I1946" s="4"/>
      <c r="J1946" s="18"/>
      <c r="K1946" s="4"/>
      <c r="L1946" s="19"/>
      <c r="M1946" s="20"/>
    </row>
    <row r="1947">
      <c r="A1947" s="6"/>
      <c r="B1947" s="6"/>
      <c r="C1947" s="4"/>
      <c r="D1947" s="4"/>
      <c r="E1947" s="4"/>
      <c r="F1947" s="4"/>
      <c r="G1947" s="4"/>
      <c r="H1947" s="4"/>
      <c r="I1947" s="4"/>
      <c r="J1947" s="18"/>
      <c r="K1947" s="4"/>
      <c r="L1947" s="19"/>
      <c r="M1947" s="20"/>
    </row>
    <row r="1948">
      <c r="A1948" s="6"/>
      <c r="B1948" s="6"/>
      <c r="C1948" s="4"/>
      <c r="D1948" s="4"/>
      <c r="E1948" s="4"/>
      <c r="F1948" s="4"/>
      <c r="G1948" s="4"/>
      <c r="H1948" s="4"/>
      <c r="I1948" s="4"/>
      <c r="J1948" s="18"/>
      <c r="K1948" s="4"/>
      <c r="L1948" s="19"/>
      <c r="M1948" s="20"/>
    </row>
    <row r="1949">
      <c r="A1949" s="6"/>
      <c r="B1949" s="6"/>
      <c r="C1949" s="4"/>
      <c r="D1949" s="4"/>
      <c r="E1949" s="4"/>
      <c r="F1949" s="4"/>
      <c r="G1949" s="4"/>
      <c r="H1949" s="4"/>
      <c r="I1949" s="4"/>
      <c r="J1949" s="18"/>
      <c r="K1949" s="4"/>
      <c r="L1949" s="19"/>
      <c r="M1949" s="20"/>
    </row>
    <row r="1950">
      <c r="A1950" s="6"/>
      <c r="B1950" s="6"/>
      <c r="C1950" s="4"/>
      <c r="D1950" s="4"/>
      <c r="E1950" s="4"/>
      <c r="F1950" s="4"/>
      <c r="G1950" s="4"/>
      <c r="H1950" s="4"/>
      <c r="I1950" s="4"/>
      <c r="J1950" s="18"/>
      <c r="K1950" s="4"/>
      <c r="L1950" s="19"/>
      <c r="M1950" s="20"/>
    </row>
    <row r="1951">
      <c r="A1951" s="6"/>
      <c r="B1951" s="6"/>
      <c r="C1951" s="4"/>
      <c r="D1951" s="4"/>
      <c r="E1951" s="4"/>
      <c r="F1951" s="4"/>
      <c r="G1951" s="4"/>
      <c r="H1951" s="4"/>
      <c r="I1951" s="4"/>
      <c r="J1951" s="18"/>
      <c r="K1951" s="4"/>
      <c r="L1951" s="19"/>
      <c r="M1951" s="20"/>
    </row>
    <row r="1952">
      <c r="A1952" s="6"/>
      <c r="B1952" s="6"/>
      <c r="C1952" s="4"/>
      <c r="D1952" s="4"/>
      <c r="E1952" s="4"/>
      <c r="F1952" s="4"/>
      <c r="G1952" s="4"/>
      <c r="H1952" s="4"/>
      <c r="I1952" s="4"/>
      <c r="J1952" s="18"/>
      <c r="K1952" s="4"/>
      <c r="L1952" s="19"/>
      <c r="M1952" s="20"/>
    </row>
    <row r="1953">
      <c r="A1953" s="6"/>
      <c r="B1953" s="6"/>
      <c r="C1953" s="4"/>
      <c r="D1953" s="4"/>
      <c r="E1953" s="4"/>
      <c r="F1953" s="4"/>
      <c r="G1953" s="4"/>
      <c r="H1953" s="4"/>
      <c r="I1953" s="4"/>
      <c r="J1953" s="18"/>
      <c r="K1953" s="4"/>
      <c r="L1953" s="19"/>
      <c r="M1953" s="20"/>
    </row>
    <row r="1954">
      <c r="A1954" s="6"/>
      <c r="B1954" s="6"/>
      <c r="C1954" s="4"/>
      <c r="D1954" s="4"/>
      <c r="E1954" s="4"/>
      <c r="F1954" s="4"/>
      <c r="G1954" s="4"/>
      <c r="H1954" s="4"/>
      <c r="I1954" s="4"/>
      <c r="J1954" s="18"/>
      <c r="K1954" s="4"/>
      <c r="L1954" s="19"/>
      <c r="M1954" s="20"/>
    </row>
    <row r="1955">
      <c r="A1955" s="6"/>
      <c r="B1955" s="6"/>
      <c r="C1955" s="4"/>
      <c r="D1955" s="4"/>
      <c r="E1955" s="4"/>
      <c r="F1955" s="4"/>
      <c r="G1955" s="4"/>
      <c r="H1955" s="4"/>
      <c r="I1955" s="4"/>
      <c r="J1955" s="18"/>
      <c r="K1955" s="4"/>
      <c r="L1955" s="19"/>
      <c r="M1955" s="20"/>
    </row>
    <row r="1956">
      <c r="A1956" s="6"/>
      <c r="B1956" s="6"/>
      <c r="C1956" s="4"/>
      <c r="D1956" s="4"/>
      <c r="E1956" s="4"/>
      <c r="F1956" s="4"/>
      <c r="G1956" s="4"/>
      <c r="H1956" s="4"/>
      <c r="I1956" s="4"/>
      <c r="J1956" s="18"/>
      <c r="K1956" s="4"/>
      <c r="L1956" s="19"/>
      <c r="M1956" s="20"/>
    </row>
    <row r="1957">
      <c r="A1957" s="6"/>
      <c r="B1957" s="6"/>
      <c r="C1957" s="4"/>
      <c r="D1957" s="4"/>
      <c r="E1957" s="4"/>
      <c r="F1957" s="4"/>
      <c r="G1957" s="4"/>
      <c r="H1957" s="4"/>
      <c r="I1957" s="4"/>
      <c r="J1957" s="18"/>
      <c r="K1957" s="4"/>
      <c r="L1957" s="19"/>
      <c r="M1957" s="20"/>
    </row>
    <row r="1958">
      <c r="A1958" s="6"/>
      <c r="B1958" s="6"/>
      <c r="C1958" s="4"/>
      <c r="D1958" s="4"/>
      <c r="E1958" s="4"/>
      <c r="F1958" s="4"/>
      <c r="G1958" s="4"/>
      <c r="H1958" s="4"/>
      <c r="I1958" s="4"/>
      <c r="J1958" s="18"/>
      <c r="K1958" s="4"/>
      <c r="L1958" s="19"/>
      <c r="M1958" s="20"/>
    </row>
    <row r="1959">
      <c r="A1959" s="6"/>
      <c r="B1959" s="6"/>
      <c r="C1959" s="4"/>
      <c r="D1959" s="4"/>
      <c r="E1959" s="4"/>
      <c r="F1959" s="4"/>
      <c r="G1959" s="4"/>
      <c r="H1959" s="4"/>
      <c r="I1959" s="4"/>
      <c r="J1959" s="18"/>
      <c r="K1959" s="4"/>
      <c r="L1959" s="19"/>
      <c r="M1959" s="20"/>
    </row>
    <row r="1960">
      <c r="A1960" s="6"/>
      <c r="B1960" s="6"/>
      <c r="C1960" s="4"/>
      <c r="D1960" s="4"/>
      <c r="E1960" s="4"/>
      <c r="F1960" s="4"/>
      <c r="G1960" s="4"/>
      <c r="H1960" s="4"/>
      <c r="I1960" s="4"/>
      <c r="J1960" s="18"/>
      <c r="K1960" s="4"/>
      <c r="L1960" s="19"/>
      <c r="M1960" s="20"/>
    </row>
    <row r="1961">
      <c r="A1961" s="6"/>
      <c r="B1961" s="6"/>
      <c r="C1961" s="4"/>
      <c r="D1961" s="4"/>
      <c r="E1961" s="4"/>
      <c r="F1961" s="4"/>
      <c r="G1961" s="4"/>
      <c r="H1961" s="4"/>
      <c r="I1961" s="4"/>
      <c r="J1961" s="18"/>
      <c r="K1961" s="4"/>
      <c r="L1961" s="19"/>
      <c r="M1961" s="20"/>
    </row>
    <row r="1962">
      <c r="A1962" s="6"/>
      <c r="B1962" s="6"/>
      <c r="C1962" s="4"/>
      <c r="D1962" s="4"/>
      <c r="E1962" s="4"/>
      <c r="F1962" s="4"/>
      <c r="G1962" s="4"/>
      <c r="H1962" s="4"/>
      <c r="I1962" s="4"/>
      <c r="J1962" s="18"/>
      <c r="K1962" s="4"/>
      <c r="L1962" s="19"/>
      <c r="M1962" s="20"/>
    </row>
    <row r="1963">
      <c r="A1963" s="6"/>
      <c r="B1963" s="6"/>
      <c r="C1963" s="4"/>
      <c r="D1963" s="4"/>
      <c r="E1963" s="4"/>
      <c r="F1963" s="4"/>
      <c r="G1963" s="4"/>
      <c r="H1963" s="4"/>
      <c r="I1963" s="4"/>
      <c r="J1963" s="18"/>
      <c r="K1963" s="4"/>
      <c r="L1963" s="19"/>
      <c r="M1963" s="20"/>
    </row>
    <row r="1964">
      <c r="A1964" s="6"/>
      <c r="B1964" s="6"/>
      <c r="C1964" s="4"/>
      <c r="D1964" s="4"/>
      <c r="E1964" s="4"/>
      <c r="F1964" s="4"/>
      <c r="G1964" s="4"/>
      <c r="H1964" s="4"/>
      <c r="I1964" s="4"/>
      <c r="J1964" s="18"/>
      <c r="K1964" s="4"/>
      <c r="L1964" s="19"/>
      <c r="M1964" s="20"/>
    </row>
    <row r="1965">
      <c r="A1965" s="6"/>
      <c r="B1965" s="6"/>
      <c r="C1965" s="4"/>
      <c r="D1965" s="4"/>
      <c r="E1965" s="4"/>
      <c r="F1965" s="4"/>
      <c r="G1965" s="4"/>
      <c r="H1965" s="4"/>
      <c r="I1965" s="4"/>
      <c r="J1965" s="18"/>
      <c r="K1965" s="4"/>
      <c r="L1965" s="19"/>
      <c r="M1965" s="20"/>
    </row>
    <row r="1966">
      <c r="A1966" s="6"/>
      <c r="B1966" s="6"/>
      <c r="C1966" s="4"/>
      <c r="D1966" s="4"/>
      <c r="E1966" s="4"/>
      <c r="F1966" s="4"/>
      <c r="G1966" s="4"/>
      <c r="H1966" s="4"/>
      <c r="I1966" s="4"/>
      <c r="J1966" s="18"/>
      <c r="K1966" s="4"/>
      <c r="L1966" s="19"/>
      <c r="M1966" s="20"/>
    </row>
    <row r="1967">
      <c r="A1967" s="6"/>
      <c r="B1967" s="6"/>
      <c r="C1967" s="4"/>
      <c r="D1967" s="4"/>
      <c r="E1967" s="4"/>
      <c r="F1967" s="4"/>
      <c r="G1967" s="4"/>
      <c r="H1967" s="4"/>
      <c r="I1967" s="4"/>
      <c r="J1967" s="18"/>
      <c r="K1967" s="4"/>
      <c r="L1967" s="19"/>
      <c r="M1967" s="20"/>
    </row>
    <row r="1968">
      <c r="A1968" s="6"/>
      <c r="B1968" s="6"/>
      <c r="C1968" s="4"/>
      <c r="D1968" s="4"/>
      <c r="E1968" s="4"/>
      <c r="F1968" s="4"/>
      <c r="G1968" s="4"/>
      <c r="H1968" s="4"/>
      <c r="I1968" s="4"/>
      <c r="J1968" s="18"/>
      <c r="K1968" s="4"/>
      <c r="L1968" s="19"/>
      <c r="M1968" s="20"/>
    </row>
    <row r="1969">
      <c r="A1969" s="6"/>
      <c r="B1969" s="6"/>
      <c r="C1969" s="4"/>
      <c r="D1969" s="4"/>
      <c r="E1969" s="4"/>
      <c r="F1969" s="4"/>
      <c r="G1969" s="4"/>
      <c r="H1969" s="4"/>
      <c r="I1969" s="4"/>
      <c r="J1969" s="18"/>
      <c r="K1969" s="4"/>
      <c r="L1969" s="19"/>
      <c r="M1969" s="20"/>
    </row>
    <row r="1970">
      <c r="A1970" s="6"/>
      <c r="B1970" s="6"/>
      <c r="C1970" s="4"/>
      <c r="D1970" s="4"/>
      <c r="E1970" s="4"/>
      <c r="F1970" s="4"/>
      <c r="G1970" s="4"/>
      <c r="H1970" s="4"/>
      <c r="I1970" s="4"/>
      <c r="J1970" s="18"/>
      <c r="K1970" s="4"/>
      <c r="L1970" s="19"/>
      <c r="M1970" s="20"/>
    </row>
    <row r="1971">
      <c r="A1971" s="6"/>
      <c r="B1971" s="6"/>
      <c r="C1971" s="4"/>
      <c r="D1971" s="4"/>
      <c r="E1971" s="4"/>
      <c r="F1971" s="4"/>
      <c r="G1971" s="4"/>
      <c r="H1971" s="4"/>
      <c r="I1971" s="4"/>
      <c r="J1971" s="18"/>
      <c r="K1971" s="4"/>
      <c r="L1971" s="19"/>
      <c r="M1971" s="20"/>
    </row>
    <row r="1972">
      <c r="A1972" s="6"/>
      <c r="B1972" s="6"/>
      <c r="C1972" s="4"/>
      <c r="D1972" s="4"/>
      <c r="E1972" s="4"/>
      <c r="F1972" s="4"/>
      <c r="G1972" s="4"/>
      <c r="H1972" s="4"/>
      <c r="I1972" s="4"/>
      <c r="J1972" s="18"/>
      <c r="K1972" s="4"/>
      <c r="L1972" s="19"/>
      <c r="M1972" s="20"/>
    </row>
    <row r="1973">
      <c r="A1973" s="6"/>
      <c r="B1973" s="6"/>
      <c r="C1973" s="4"/>
      <c r="D1973" s="4"/>
      <c r="E1973" s="4"/>
      <c r="F1973" s="4"/>
      <c r="G1973" s="4"/>
      <c r="H1973" s="4"/>
      <c r="I1973" s="4"/>
      <c r="J1973" s="18"/>
      <c r="K1973" s="4"/>
      <c r="L1973" s="19"/>
      <c r="M1973" s="20"/>
    </row>
    <row r="1974">
      <c r="A1974" s="6"/>
      <c r="B1974" s="6"/>
      <c r="C1974" s="4"/>
      <c r="D1974" s="4"/>
      <c r="E1974" s="4"/>
      <c r="F1974" s="4"/>
      <c r="G1974" s="4"/>
      <c r="H1974" s="4"/>
      <c r="I1974" s="4"/>
      <c r="J1974" s="18"/>
      <c r="K1974" s="4"/>
      <c r="L1974" s="19"/>
      <c r="M1974" s="20"/>
    </row>
    <row r="1975">
      <c r="A1975" s="6"/>
      <c r="B1975" s="6"/>
      <c r="C1975" s="4"/>
      <c r="D1975" s="4"/>
      <c r="E1975" s="4"/>
      <c r="F1975" s="4"/>
      <c r="G1975" s="4"/>
      <c r="H1975" s="4"/>
      <c r="I1975" s="4"/>
      <c r="J1975" s="18"/>
      <c r="K1975" s="4"/>
      <c r="L1975" s="19"/>
      <c r="M1975" s="20"/>
    </row>
    <row r="1976">
      <c r="A1976" s="6"/>
      <c r="B1976" s="6"/>
      <c r="C1976" s="4"/>
      <c r="D1976" s="4"/>
      <c r="E1976" s="4"/>
      <c r="F1976" s="4"/>
      <c r="G1976" s="4"/>
      <c r="H1976" s="4"/>
      <c r="I1976" s="4"/>
      <c r="J1976" s="18"/>
      <c r="K1976" s="4"/>
      <c r="L1976" s="19"/>
      <c r="M1976" s="20"/>
    </row>
    <row r="1977">
      <c r="A1977" s="6"/>
      <c r="B1977" s="6"/>
      <c r="C1977" s="4"/>
      <c r="D1977" s="4"/>
      <c r="E1977" s="4"/>
      <c r="F1977" s="4"/>
      <c r="G1977" s="4"/>
      <c r="H1977" s="4"/>
      <c r="I1977" s="4"/>
      <c r="J1977" s="18"/>
      <c r="K1977" s="4"/>
      <c r="L1977" s="19"/>
      <c r="M1977" s="20"/>
    </row>
    <row r="1978">
      <c r="A1978" s="6"/>
      <c r="B1978" s="6"/>
      <c r="C1978" s="4"/>
      <c r="D1978" s="4"/>
      <c r="E1978" s="4"/>
      <c r="F1978" s="4"/>
      <c r="G1978" s="4"/>
      <c r="H1978" s="4"/>
      <c r="I1978" s="4"/>
      <c r="J1978" s="18"/>
      <c r="K1978" s="4"/>
      <c r="L1978" s="19"/>
      <c r="M1978" s="20"/>
    </row>
    <row r="1979">
      <c r="A1979" s="6"/>
      <c r="B1979" s="6"/>
      <c r="C1979" s="4"/>
      <c r="D1979" s="4"/>
      <c r="E1979" s="4"/>
      <c r="F1979" s="4"/>
      <c r="G1979" s="4"/>
      <c r="H1979" s="4"/>
      <c r="I1979" s="4"/>
      <c r="J1979" s="18"/>
      <c r="K1979" s="4"/>
      <c r="L1979" s="19"/>
      <c r="M1979" s="20"/>
    </row>
    <row r="1980">
      <c r="A1980" s="6"/>
      <c r="B1980" s="6"/>
      <c r="C1980" s="4"/>
      <c r="D1980" s="4"/>
      <c r="E1980" s="4"/>
      <c r="F1980" s="4"/>
      <c r="G1980" s="4"/>
      <c r="H1980" s="4"/>
      <c r="I1980" s="4"/>
      <c r="J1980" s="18"/>
      <c r="K1980" s="4"/>
      <c r="L1980" s="19"/>
      <c r="M1980" s="20"/>
    </row>
    <row r="1981">
      <c r="A1981" s="6"/>
      <c r="B1981" s="6"/>
      <c r="C1981" s="4"/>
      <c r="D1981" s="4"/>
      <c r="E1981" s="4"/>
      <c r="F1981" s="4"/>
      <c r="G1981" s="4"/>
      <c r="H1981" s="4"/>
      <c r="I1981" s="4"/>
      <c r="J1981" s="18"/>
      <c r="K1981" s="4"/>
      <c r="L1981" s="19"/>
      <c r="M1981" s="20"/>
    </row>
    <row r="1982">
      <c r="A1982" s="6"/>
      <c r="B1982" s="6"/>
      <c r="C1982" s="4"/>
      <c r="D1982" s="4"/>
      <c r="E1982" s="4"/>
      <c r="F1982" s="4"/>
      <c r="G1982" s="4"/>
      <c r="H1982" s="4"/>
      <c r="I1982" s="4"/>
      <c r="J1982" s="18"/>
      <c r="K1982" s="4"/>
      <c r="L1982" s="19"/>
      <c r="M1982" s="20"/>
    </row>
    <row r="1983">
      <c r="A1983" s="6"/>
      <c r="B1983" s="6"/>
      <c r="C1983" s="4"/>
      <c r="D1983" s="4"/>
      <c r="E1983" s="4"/>
      <c r="F1983" s="4"/>
      <c r="G1983" s="4"/>
      <c r="H1983" s="4"/>
      <c r="I1983" s="4"/>
      <c r="J1983" s="18"/>
      <c r="K1983" s="4"/>
      <c r="L1983" s="19"/>
      <c r="M1983" s="20"/>
    </row>
    <row r="1984">
      <c r="A1984" s="6"/>
      <c r="B1984" s="6"/>
      <c r="C1984" s="4"/>
      <c r="D1984" s="4"/>
      <c r="E1984" s="4"/>
      <c r="F1984" s="4"/>
      <c r="G1984" s="4"/>
      <c r="H1984" s="4"/>
      <c r="I1984" s="4"/>
      <c r="J1984" s="18"/>
      <c r="K1984" s="4"/>
      <c r="L1984" s="19"/>
      <c r="M1984" s="20"/>
    </row>
    <row r="1985">
      <c r="A1985" s="6"/>
      <c r="B1985" s="6"/>
      <c r="C1985" s="4"/>
      <c r="D1985" s="4"/>
      <c r="E1985" s="4"/>
      <c r="F1985" s="4"/>
      <c r="G1985" s="4"/>
      <c r="H1985" s="4"/>
      <c r="I1985" s="4"/>
      <c r="J1985" s="18"/>
      <c r="K1985" s="4"/>
      <c r="L1985" s="19"/>
      <c r="M1985" s="20"/>
    </row>
    <row r="1986">
      <c r="A1986" s="6"/>
      <c r="B1986" s="6"/>
      <c r="C1986" s="4"/>
      <c r="D1986" s="4"/>
      <c r="E1986" s="4"/>
      <c r="F1986" s="4"/>
      <c r="G1986" s="4"/>
      <c r="H1986" s="4"/>
      <c r="I1986" s="4"/>
      <c r="J1986" s="18"/>
      <c r="K1986" s="4"/>
      <c r="L1986" s="19"/>
      <c r="M1986" s="20"/>
    </row>
    <row r="1987">
      <c r="A1987" s="6"/>
      <c r="B1987" s="6"/>
      <c r="C1987" s="4"/>
      <c r="D1987" s="4"/>
      <c r="E1987" s="4"/>
      <c r="F1987" s="4"/>
      <c r="G1987" s="4"/>
      <c r="H1987" s="4"/>
      <c r="I1987" s="4"/>
      <c r="J1987" s="18"/>
      <c r="K1987" s="4"/>
      <c r="L1987" s="19"/>
      <c r="M1987" s="20"/>
    </row>
    <row r="1988">
      <c r="A1988" s="6"/>
      <c r="B1988" s="6"/>
      <c r="C1988" s="4"/>
      <c r="D1988" s="4"/>
      <c r="E1988" s="4"/>
      <c r="F1988" s="4"/>
      <c r="G1988" s="4"/>
      <c r="H1988" s="4"/>
      <c r="I1988" s="4"/>
      <c r="J1988" s="18"/>
      <c r="K1988" s="4"/>
      <c r="L1988" s="19"/>
      <c r="M1988" s="20"/>
    </row>
    <row r="1989">
      <c r="A1989" s="6"/>
      <c r="B1989" s="6"/>
      <c r="C1989" s="4"/>
      <c r="D1989" s="4"/>
      <c r="E1989" s="4"/>
      <c r="F1989" s="4"/>
      <c r="G1989" s="4"/>
      <c r="H1989" s="4"/>
      <c r="I1989" s="4"/>
      <c r="J1989" s="18"/>
      <c r="K1989" s="4"/>
      <c r="L1989" s="19"/>
      <c r="M1989" s="20"/>
    </row>
    <row r="1990">
      <c r="A1990" s="6"/>
      <c r="B1990" s="6"/>
      <c r="C1990" s="4"/>
      <c r="D1990" s="4"/>
      <c r="E1990" s="4"/>
      <c r="F1990" s="4"/>
      <c r="G1990" s="4"/>
      <c r="H1990" s="4"/>
      <c r="I1990" s="4"/>
      <c r="J1990" s="18"/>
      <c r="K1990" s="4"/>
      <c r="L1990" s="19"/>
      <c r="M1990" s="20"/>
    </row>
    <row r="1991">
      <c r="A1991" s="6"/>
      <c r="B1991" s="6"/>
      <c r="C1991" s="4"/>
      <c r="D1991" s="4"/>
      <c r="E1991" s="4"/>
      <c r="F1991" s="4"/>
      <c r="G1991" s="4"/>
      <c r="H1991" s="4"/>
      <c r="I1991" s="4"/>
      <c r="J1991" s="18"/>
      <c r="K1991" s="4"/>
      <c r="L1991" s="19"/>
      <c r="M1991" s="20"/>
    </row>
    <row r="1992">
      <c r="A1992" s="6"/>
      <c r="B1992" s="6"/>
      <c r="C1992" s="4"/>
      <c r="D1992" s="4"/>
      <c r="E1992" s="4"/>
      <c r="F1992" s="4"/>
      <c r="G1992" s="4"/>
      <c r="H1992" s="4"/>
      <c r="I1992" s="4"/>
      <c r="J1992" s="18"/>
      <c r="K1992" s="4"/>
      <c r="L1992" s="19"/>
      <c r="M1992" s="20"/>
    </row>
    <row r="1993">
      <c r="A1993" s="6"/>
      <c r="B1993" s="6"/>
      <c r="C1993" s="4"/>
      <c r="D1993" s="4"/>
      <c r="E1993" s="4"/>
      <c r="F1993" s="4"/>
      <c r="G1993" s="4"/>
      <c r="H1993" s="4"/>
      <c r="I1993" s="4"/>
      <c r="J1993" s="18"/>
      <c r="K1993" s="4"/>
      <c r="L1993" s="19"/>
      <c r="M1993" s="20"/>
    </row>
    <row r="1994">
      <c r="A1994" s="6"/>
      <c r="B1994" s="6"/>
      <c r="C1994" s="4"/>
      <c r="D1994" s="4"/>
      <c r="E1994" s="4"/>
      <c r="F1994" s="4"/>
      <c r="G1994" s="4"/>
      <c r="H1994" s="4"/>
      <c r="I1994" s="4"/>
      <c r="J1994" s="18"/>
      <c r="K1994" s="4"/>
      <c r="L1994" s="19"/>
      <c r="M1994" s="20"/>
    </row>
    <row r="1995">
      <c r="A1995" s="6"/>
      <c r="B1995" s="6"/>
      <c r="C1995" s="4"/>
      <c r="D1995" s="4"/>
      <c r="E1995" s="4"/>
      <c r="F1995" s="4"/>
      <c r="G1995" s="4"/>
      <c r="H1995" s="4"/>
      <c r="I1995" s="4"/>
      <c r="J1995" s="18"/>
      <c r="K1995" s="4"/>
      <c r="L1995" s="19"/>
      <c r="M1995" s="20"/>
    </row>
    <row r="1996">
      <c r="A1996" s="6"/>
      <c r="B1996" s="6"/>
      <c r="C1996" s="4"/>
      <c r="D1996" s="4"/>
      <c r="E1996" s="4"/>
      <c r="F1996" s="4"/>
      <c r="G1996" s="4"/>
      <c r="H1996" s="4"/>
      <c r="I1996" s="4"/>
      <c r="J1996" s="18"/>
      <c r="K1996" s="4"/>
      <c r="L1996" s="19"/>
      <c r="M1996" s="20"/>
    </row>
    <row r="1997">
      <c r="A1997" s="6"/>
      <c r="B1997" s="6"/>
      <c r="C1997" s="4"/>
      <c r="D1997" s="4"/>
      <c r="E1997" s="4"/>
      <c r="F1997" s="4"/>
      <c r="G1997" s="4"/>
      <c r="H1997" s="4"/>
      <c r="I1997" s="4"/>
      <c r="J1997" s="18"/>
      <c r="K1997" s="4"/>
      <c r="L1997" s="19"/>
      <c r="M1997" s="20"/>
    </row>
    <row r="1998">
      <c r="A1998" s="6"/>
      <c r="B1998" s="6"/>
      <c r="C1998" s="4"/>
      <c r="D1998" s="4"/>
      <c r="E1998" s="4"/>
      <c r="F1998" s="4"/>
      <c r="G1998" s="4"/>
      <c r="H1998" s="4"/>
      <c r="I1998" s="4"/>
      <c r="J1998" s="18"/>
      <c r="K1998" s="4"/>
      <c r="L1998" s="19"/>
      <c r="M1998" s="20"/>
    </row>
    <row r="1999">
      <c r="A1999" s="6"/>
      <c r="B1999" s="6"/>
      <c r="C1999" s="4"/>
      <c r="D1999" s="4"/>
      <c r="E1999" s="4"/>
      <c r="F1999" s="4"/>
      <c r="G1999" s="4"/>
      <c r="H1999" s="4"/>
      <c r="I1999" s="4"/>
      <c r="J1999" s="18"/>
      <c r="K1999" s="4"/>
      <c r="L1999" s="19"/>
      <c r="M1999" s="20"/>
    </row>
    <row r="2000">
      <c r="A2000" s="6"/>
      <c r="B2000" s="6"/>
      <c r="C2000" s="4"/>
      <c r="D2000" s="4"/>
      <c r="E2000" s="4"/>
      <c r="F2000" s="4"/>
      <c r="G2000" s="4"/>
      <c r="H2000" s="4"/>
      <c r="I2000" s="4"/>
      <c r="J2000" s="18"/>
      <c r="K2000" s="4"/>
      <c r="L2000" s="19"/>
      <c r="M2000" s="20"/>
    </row>
    <row r="2001">
      <c r="A2001" s="6"/>
      <c r="B2001" s="6"/>
      <c r="C2001" s="2"/>
      <c r="D2001" s="4"/>
      <c r="E2001" s="4"/>
      <c r="F2001" s="4"/>
      <c r="G2001" s="4"/>
      <c r="H2001" s="4"/>
      <c r="I2001" s="4"/>
      <c r="J2001" s="18"/>
      <c r="K2001" s="4"/>
      <c r="L2001" s="19"/>
      <c r="M2001" s="20"/>
    </row>
    <row r="2002">
      <c r="A2002" s="6"/>
      <c r="B2002" s="6"/>
      <c r="C2002" s="4"/>
      <c r="D2002" s="4"/>
      <c r="E2002" s="4"/>
      <c r="F2002" s="4"/>
      <c r="G2002" s="4"/>
      <c r="H2002" s="4"/>
      <c r="I2002" s="4"/>
      <c r="J2002" s="18"/>
      <c r="K2002" s="4"/>
      <c r="L2002" s="19"/>
      <c r="M2002" s="20"/>
    </row>
    <row r="2003">
      <c r="A2003" s="6"/>
      <c r="B2003" s="6"/>
      <c r="C2003" s="4"/>
      <c r="D2003" s="4"/>
      <c r="E2003" s="4"/>
      <c r="F2003" s="4"/>
      <c r="G2003" s="4"/>
      <c r="H2003" s="4"/>
      <c r="I2003" s="4"/>
      <c r="J2003" s="18"/>
      <c r="K2003" s="4"/>
      <c r="L2003" s="19"/>
      <c r="M2003" s="20"/>
    </row>
    <row r="2004">
      <c r="A2004" s="6"/>
      <c r="B2004" s="6"/>
      <c r="C2004" s="4"/>
      <c r="D2004" s="4"/>
      <c r="E2004" s="4"/>
      <c r="F2004" s="4"/>
      <c r="G2004" s="4"/>
      <c r="H2004" s="4"/>
      <c r="I2004" s="4"/>
      <c r="J2004" s="18"/>
      <c r="K2004" s="4"/>
      <c r="L2004" s="19"/>
      <c r="M2004" s="20"/>
    </row>
    <row r="2005">
      <c r="A2005" s="6"/>
      <c r="B2005" s="6"/>
      <c r="C2005" s="4"/>
      <c r="D2005" s="4"/>
      <c r="E2005" s="4"/>
      <c r="F2005" s="4"/>
      <c r="G2005" s="4"/>
      <c r="H2005" s="4"/>
      <c r="I2005" s="4"/>
      <c r="J2005" s="18"/>
      <c r="K2005" s="4"/>
      <c r="L2005" s="19"/>
      <c r="M2005" s="20"/>
    </row>
    <row r="2006">
      <c r="A2006" s="6"/>
      <c r="B2006" s="6"/>
      <c r="C2006" s="4"/>
      <c r="D2006" s="4"/>
      <c r="E2006" s="4"/>
      <c r="F2006" s="4"/>
      <c r="G2006" s="4"/>
      <c r="H2006" s="4"/>
      <c r="I2006" s="4"/>
      <c r="J2006" s="18"/>
      <c r="K2006" s="4"/>
      <c r="L2006" s="19"/>
      <c r="M2006" s="20"/>
    </row>
    <row r="2007">
      <c r="A2007" s="6"/>
      <c r="B2007" s="6"/>
      <c r="C2007" s="4"/>
      <c r="D2007" s="4"/>
      <c r="E2007" s="4"/>
      <c r="F2007" s="4"/>
      <c r="G2007" s="4"/>
      <c r="H2007" s="4"/>
      <c r="I2007" s="4"/>
      <c r="J2007" s="18"/>
      <c r="K2007" s="4"/>
      <c r="L2007" s="19"/>
      <c r="M2007" s="20"/>
    </row>
    <row r="2008">
      <c r="A2008" s="6"/>
      <c r="B2008" s="6"/>
      <c r="C2008" s="4"/>
      <c r="D2008" s="4"/>
      <c r="E2008" s="4"/>
      <c r="F2008" s="4"/>
      <c r="G2008" s="4"/>
      <c r="H2008" s="4"/>
      <c r="I2008" s="4"/>
      <c r="J2008" s="18"/>
      <c r="K2008" s="4"/>
      <c r="L2008" s="19"/>
      <c r="M2008" s="20"/>
    </row>
    <row r="2009">
      <c r="A2009" s="6"/>
      <c r="B2009" s="6"/>
      <c r="C2009" s="4"/>
      <c r="D2009" s="4"/>
      <c r="E2009" s="4"/>
      <c r="F2009" s="4"/>
      <c r="G2009" s="4"/>
      <c r="H2009" s="4"/>
      <c r="I2009" s="4"/>
      <c r="J2009" s="18"/>
      <c r="K2009" s="4"/>
      <c r="L2009" s="19"/>
      <c r="M2009" s="20"/>
    </row>
    <row r="2010">
      <c r="A2010" s="6"/>
      <c r="B2010" s="6"/>
      <c r="C2010" s="4"/>
      <c r="D2010" s="4"/>
      <c r="E2010" s="4"/>
      <c r="F2010" s="4"/>
      <c r="G2010" s="4"/>
      <c r="H2010" s="4"/>
      <c r="I2010" s="4"/>
      <c r="J2010" s="18"/>
      <c r="K2010" s="4"/>
      <c r="L2010" s="19"/>
      <c r="M2010" s="20"/>
    </row>
    <row r="2011">
      <c r="A2011" s="6"/>
      <c r="B2011" s="6"/>
      <c r="C2011" s="4"/>
      <c r="D2011" s="4"/>
      <c r="E2011" s="4"/>
      <c r="F2011" s="4"/>
      <c r="G2011" s="4"/>
      <c r="H2011" s="4"/>
      <c r="I2011" s="4"/>
      <c r="J2011" s="18"/>
      <c r="K2011" s="4"/>
      <c r="L2011" s="19"/>
      <c r="M2011" s="20"/>
    </row>
    <row r="2012">
      <c r="A2012" s="6"/>
      <c r="B2012" s="6"/>
      <c r="C2012" s="4"/>
      <c r="D2012" s="4"/>
      <c r="E2012" s="4"/>
      <c r="F2012" s="4"/>
      <c r="G2012" s="4"/>
      <c r="H2012" s="4"/>
      <c r="I2012" s="4"/>
      <c r="J2012" s="18"/>
      <c r="K2012" s="4"/>
      <c r="L2012" s="19"/>
      <c r="M2012" s="20"/>
    </row>
    <row r="2013">
      <c r="A2013" s="6"/>
      <c r="B2013" s="6"/>
      <c r="C2013" s="4"/>
      <c r="D2013" s="4"/>
      <c r="E2013" s="4"/>
      <c r="F2013" s="4"/>
      <c r="G2013" s="4"/>
      <c r="H2013" s="4"/>
      <c r="I2013" s="4"/>
      <c r="J2013" s="18"/>
      <c r="K2013" s="4"/>
      <c r="L2013" s="19"/>
      <c r="M2013" s="20"/>
    </row>
    <row r="2014">
      <c r="A2014" s="6"/>
      <c r="B2014" s="6"/>
      <c r="C2014" s="4"/>
      <c r="D2014" s="4"/>
      <c r="E2014" s="4"/>
      <c r="F2014" s="4"/>
      <c r="G2014" s="4"/>
      <c r="H2014" s="4"/>
      <c r="I2014" s="4"/>
      <c r="J2014" s="18"/>
      <c r="K2014" s="4"/>
      <c r="L2014" s="19"/>
      <c r="M2014" s="20"/>
    </row>
    <row r="2015">
      <c r="A2015" s="6"/>
      <c r="B2015" s="6"/>
      <c r="C2015" s="4"/>
      <c r="D2015" s="4"/>
      <c r="E2015" s="4"/>
      <c r="F2015" s="4"/>
      <c r="G2015" s="4"/>
      <c r="H2015" s="4"/>
      <c r="I2015" s="4"/>
      <c r="J2015" s="18"/>
      <c r="K2015" s="4"/>
      <c r="L2015" s="19"/>
      <c r="M2015" s="20"/>
    </row>
    <row r="2016">
      <c r="A2016" s="6"/>
      <c r="B2016" s="6"/>
      <c r="C2016" s="4"/>
      <c r="D2016" s="4"/>
      <c r="E2016" s="4"/>
      <c r="F2016" s="4"/>
      <c r="G2016" s="4"/>
      <c r="H2016" s="4"/>
      <c r="I2016" s="4"/>
      <c r="J2016" s="18"/>
      <c r="K2016" s="4"/>
      <c r="L2016" s="19"/>
      <c r="M2016" s="20"/>
    </row>
    <row r="2017">
      <c r="A2017" s="6"/>
      <c r="B2017" s="6"/>
      <c r="C2017" s="4"/>
      <c r="D2017" s="4"/>
      <c r="E2017" s="4"/>
      <c r="F2017" s="4"/>
      <c r="G2017" s="4"/>
      <c r="H2017" s="4"/>
      <c r="I2017" s="4"/>
      <c r="J2017" s="18"/>
      <c r="K2017" s="4"/>
      <c r="L2017" s="19"/>
      <c r="M2017" s="20"/>
    </row>
    <row r="2018">
      <c r="A2018" s="6"/>
      <c r="B2018" s="6"/>
      <c r="C2018" s="4"/>
      <c r="D2018" s="4"/>
      <c r="E2018" s="4"/>
      <c r="F2018" s="4"/>
      <c r="G2018" s="4"/>
      <c r="H2018" s="4"/>
      <c r="I2018" s="4"/>
      <c r="J2018" s="18"/>
      <c r="K2018" s="4"/>
      <c r="L2018" s="19"/>
      <c r="M2018" s="20"/>
    </row>
    <row r="2019">
      <c r="A2019" s="6"/>
      <c r="B2019" s="6"/>
      <c r="C2019" s="4"/>
      <c r="D2019" s="4"/>
      <c r="E2019" s="4"/>
      <c r="F2019" s="4"/>
      <c r="G2019" s="4"/>
      <c r="H2019" s="4"/>
      <c r="I2019" s="4"/>
      <c r="J2019" s="18"/>
      <c r="K2019" s="4"/>
      <c r="L2019" s="19"/>
      <c r="M2019" s="20"/>
    </row>
    <row r="2020">
      <c r="A2020" s="6"/>
      <c r="B2020" s="6"/>
      <c r="C2020" s="4"/>
      <c r="D2020" s="4"/>
      <c r="E2020" s="4"/>
      <c r="F2020" s="4"/>
      <c r="G2020" s="4"/>
      <c r="H2020" s="4"/>
      <c r="I2020" s="4"/>
      <c r="J2020" s="18"/>
      <c r="K2020" s="4"/>
      <c r="L2020" s="19"/>
      <c r="M2020" s="20"/>
    </row>
    <row r="2021">
      <c r="A2021" s="6"/>
      <c r="B2021" s="6"/>
      <c r="C2021" s="4"/>
      <c r="D2021" s="4"/>
      <c r="E2021" s="4"/>
      <c r="F2021" s="4"/>
      <c r="G2021" s="4"/>
      <c r="H2021" s="4"/>
      <c r="I2021" s="4"/>
      <c r="J2021" s="18"/>
      <c r="K2021" s="4"/>
      <c r="L2021" s="19"/>
      <c r="M2021" s="20"/>
    </row>
    <row r="2022">
      <c r="A2022" s="6"/>
      <c r="B2022" s="6"/>
      <c r="C2022" s="4"/>
      <c r="D2022" s="4"/>
      <c r="E2022" s="4"/>
      <c r="F2022" s="4"/>
      <c r="G2022" s="4"/>
      <c r="H2022" s="4"/>
      <c r="I2022" s="4"/>
      <c r="J2022" s="18"/>
      <c r="K2022" s="4"/>
      <c r="L2022" s="19"/>
      <c r="M2022" s="20"/>
    </row>
    <row r="2023">
      <c r="A2023" s="6"/>
      <c r="B2023" s="6"/>
      <c r="C2023" s="4"/>
      <c r="D2023" s="4"/>
      <c r="E2023" s="4"/>
      <c r="F2023" s="4"/>
      <c r="G2023" s="4"/>
      <c r="H2023" s="4"/>
      <c r="I2023" s="4"/>
      <c r="J2023" s="18"/>
      <c r="K2023" s="4"/>
      <c r="L2023" s="19"/>
      <c r="M2023" s="20"/>
    </row>
    <row r="2024">
      <c r="A2024" s="6"/>
      <c r="B2024" s="6"/>
      <c r="C2024" s="4"/>
      <c r="D2024" s="4"/>
      <c r="E2024" s="4"/>
      <c r="F2024" s="4"/>
      <c r="G2024" s="4"/>
      <c r="H2024" s="4"/>
      <c r="I2024" s="4"/>
      <c r="J2024" s="18"/>
      <c r="K2024" s="4"/>
      <c r="L2024" s="19"/>
      <c r="M2024" s="20"/>
    </row>
    <row r="2025">
      <c r="A2025" s="6"/>
      <c r="B2025" s="6"/>
      <c r="C2025" s="4"/>
      <c r="D2025" s="4"/>
      <c r="E2025" s="4"/>
      <c r="F2025" s="4"/>
      <c r="G2025" s="4"/>
      <c r="H2025" s="4"/>
      <c r="I2025" s="4"/>
      <c r="J2025" s="18"/>
      <c r="K2025" s="4"/>
      <c r="L2025" s="19"/>
      <c r="M2025" s="20"/>
    </row>
    <row r="2026">
      <c r="A2026" s="6"/>
      <c r="B2026" s="6"/>
      <c r="C2026" s="4"/>
      <c r="D2026" s="4"/>
      <c r="E2026" s="4"/>
      <c r="F2026" s="4"/>
      <c r="G2026" s="4"/>
      <c r="H2026" s="4"/>
      <c r="I2026" s="4"/>
      <c r="J2026" s="18"/>
      <c r="K2026" s="4"/>
      <c r="L2026" s="19"/>
      <c r="M2026" s="20"/>
    </row>
    <row r="2027">
      <c r="A2027" s="6"/>
      <c r="B2027" s="6"/>
      <c r="C2027" s="4"/>
      <c r="D2027" s="4"/>
      <c r="E2027" s="4"/>
      <c r="F2027" s="4"/>
      <c r="G2027" s="4"/>
      <c r="H2027" s="4"/>
      <c r="I2027" s="4"/>
      <c r="J2027" s="18"/>
      <c r="K2027" s="4"/>
      <c r="L2027" s="19"/>
      <c r="M2027" s="20"/>
    </row>
    <row r="2028">
      <c r="A2028" s="6"/>
      <c r="B2028" s="6"/>
      <c r="C2028" s="4"/>
      <c r="D2028" s="4"/>
      <c r="E2028" s="4"/>
      <c r="F2028" s="4"/>
      <c r="G2028" s="4"/>
      <c r="H2028" s="4"/>
      <c r="I2028" s="4"/>
      <c r="J2028" s="18"/>
      <c r="K2028" s="4"/>
      <c r="L2028" s="19"/>
      <c r="M2028" s="20"/>
    </row>
    <row r="2029">
      <c r="A2029" s="6"/>
      <c r="B2029" s="6"/>
      <c r="C2029" s="4"/>
      <c r="D2029" s="4"/>
      <c r="E2029" s="4"/>
      <c r="F2029" s="4"/>
      <c r="G2029" s="4"/>
      <c r="H2029" s="4"/>
      <c r="I2029" s="4"/>
      <c r="J2029" s="18"/>
      <c r="K2029" s="4"/>
      <c r="L2029" s="19"/>
      <c r="M2029" s="20"/>
    </row>
    <row r="2030">
      <c r="A2030" s="6"/>
      <c r="B2030" s="6"/>
      <c r="C2030" s="4"/>
      <c r="D2030" s="4"/>
      <c r="E2030" s="4"/>
      <c r="F2030" s="4"/>
      <c r="G2030" s="4"/>
      <c r="H2030" s="4"/>
      <c r="I2030" s="4"/>
      <c r="J2030" s="18"/>
      <c r="K2030" s="4"/>
      <c r="L2030" s="19"/>
      <c r="M2030" s="20"/>
    </row>
    <row r="2031">
      <c r="A2031" s="6"/>
      <c r="B2031" s="6"/>
      <c r="C2031" s="4"/>
      <c r="D2031" s="4"/>
      <c r="E2031" s="4"/>
      <c r="F2031" s="4"/>
      <c r="G2031" s="4"/>
      <c r="H2031" s="4"/>
      <c r="I2031" s="4"/>
      <c r="J2031" s="18"/>
      <c r="K2031" s="4"/>
      <c r="L2031" s="19"/>
      <c r="M2031" s="20"/>
    </row>
    <row r="2032">
      <c r="A2032" s="6"/>
      <c r="B2032" s="6"/>
      <c r="C2032" s="4"/>
      <c r="D2032" s="4"/>
      <c r="E2032" s="4"/>
      <c r="F2032" s="4"/>
      <c r="G2032" s="4"/>
      <c r="H2032" s="4"/>
      <c r="I2032" s="4"/>
      <c r="J2032" s="18"/>
      <c r="K2032" s="4"/>
      <c r="L2032" s="19"/>
      <c r="M2032" s="20"/>
    </row>
    <row r="2033">
      <c r="A2033" s="6"/>
      <c r="B2033" s="6"/>
      <c r="C2033" s="4"/>
      <c r="D2033" s="4"/>
      <c r="E2033" s="4"/>
      <c r="F2033" s="4"/>
      <c r="G2033" s="4"/>
      <c r="H2033" s="4"/>
      <c r="I2033" s="4"/>
      <c r="J2033" s="18"/>
      <c r="K2033" s="4"/>
      <c r="L2033" s="19"/>
      <c r="M2033" s="20"/>
    </row>
    <row r="2034">
      <c r="A2034" s="6"/>
      <c r="B2034" s="6"/>
      <c r="C2034" s="4"/>
      <c r="D2034" s="4"/>
      <c r="E2034" s="4"/>
      <c r="F2034" s="4"/>
      <c r="G2034" s="4"/>
      <c r="H2034" s="4"/>
      <c r="I2034" s="4"/>
      <c r="J2034" s="18"/>
      <c r="K2034" s="4"/>
      <c r="L2034" s="19"/>
      <c r="M2034" s="20"/>
    </row>
    <row r="2035">
      <c r="A2035" s="6"/>
      <c r="B2035" s="6"/>
      <c r="C2035" s="4"/>
      <c r="D2035" s="4"/>
      <c r="E2035" s="4"/>
      <c r="F2035" s="4"/>
      <c r="G2035" s="4"/>
      <c r="H2035" s="4"/>
      <c r="I2035" s="4"/>
      <c r="J2035" s="18"/>
      <c r="K2035" s="4"/>
      <c r="L2035" s="19"/>
      <c r="M2035" s="20"/>
    </row>
    <row r="2036">
      <c r="A2036" s="6"/>
      <c r="B2036" s="6"/>
      <c r="C2036" s="4"/>
      <c r="D2036" s="4"/>
      <c r="E2036" s="4"/>
      <c r="F2036" s="4"/>
      <c r="G2036" s="4"/>
      <c r="H2036" s="4"/>
      <c r="I2036" s="4"/>
      <c r="J2036" s="18"/>
      <c r="K2036" s="4"/>
      <c r="L2036" s="19"/>
      <c r="M2036" s="20"/>
    </row>
    <row r="2037">
      <c r="A2037" s="6"/>
      <c r="B2037" s="6"/>
      <c r="C2037" s="4"/>
      <c r="D2037" s="4"/>
      <c r="E2037" s="4"/>
      <c r="F2037" s="4"/>
      <c r="G2037" s="4"/>
      <c r="H2037" s="4"/>
      <c r="I2037" s="4"/>
      <c r="J2037" s="18"/>
      <c r="K2037" s="4"/>
      <c r="L2037" s="19"/>
      <c r="M2037" s="20"/>
    </row>
    <row r="2038">
      <c r="A2038" s="6"/>
      <c r="B2038" s="6"/>
      <c r="C2038" s="4"/>
      <c r="D2038" s="4"/>
      <c r="E2038" s="4"/>
      <c r="F2038" s="4"/>
      <c r="G2038" s="4"/>
      <c r="H2038" s="4"/>
      <c r="I2038" s="4"/>
      <c r="J2038" s="18"/>
      <c r="K2038" s="4"/>
      <c r="L2038" s="19"/>
      <c r="M2038" s="20"/>
    </row>
    <row r="2039">
      <c r="A2039" s="6"/>
      <c r="B2039" s="6"/>
      <c r="C2039" s="4"/>
      <c r="D2039" s="4"/>
      <c r="E2039" s="4"/>
      <c r="F2039" s="4"/>
      <c r="G2039" s="4"/>
      <c r="H2039" s="4"/>
      <c r="I2039" s="4"/>
      <c r="J2039" s="18"/>
      <c r="K2039" s="4"/>
      <c r="L2039" s="19"/>
      <c r="M2039" s="20"/>
    </row>
    <row r="2040">
      <c r="A2040" s="6"/>
      <c r="B2040" s="6"/>
      <c r="C2040" s="4"/>
      <c r="D2040" s="4"/>
      <c r="E2040" s="4"/>
      <c r="F2040" s="4"/>
      <c r="G2040" s="4"/>
      <c r="H2040" s="4"/>
      <c r="I2040" s="4"/>
      <c r="J2040" s="18"/>
      <c r="K2040" s="4"/>
      <c r="L2040" s="19"/>
      <c r="M2040" s="20"/>
    </row>
    <row r="2041">
      <c r="A2041" s="6"/>
      <c r="B2041" s="6"/>
      <c r="C2041" s="4"/>
      <c r="D2041" s="4"/>
      <c r="E2041" s="4"/>
      <c r="F2041" s="4"/>
      <c r="G2041" s="4"/>
      <c r="H2041" s="4"/>
      <c r="I2041" s="4"/>
      <c r="J2041" s="18"/>
      <c r="K2041" s="4"/>
      <c r="L2041" s="19"/>
      <c r="M2041" s="20"/>
    </row>
    <row r="2042">
      <c r="A2042" s="6"/>
      <c r="B2042" s="6"/>
      <c r="C2042" s="4"/>
      <c r="D2042" s="4"/>
      <c r="E2042" s="4"/>
      <c r="F2042" s="4"/>
      <c r="G2042" s="4"/>
      <c r="H2042" s="4"/>
      <c r="I2042" s="4"/>
      <c r="J2042" s="18"/>
      <c r="K2042" s="4"/>
      <c r="L2042" s="19"/>
      <c r="M2042" s="20"/>
    </row>
    <row r="2043">
      <c r="A2043" s="6"/>
      <c r="B2043" s="6"/>
      <c r="C2043" s="4"/>
      <c r="D2043" s="4"/>
      <c r="E2043" s="4"/>
      <c r="F2043" s="4"/>
      <c r="G2043" s="4"/>
      <c r="H2043" s="4"/>
      <c r="I2043" s="4"/>
      <c r="J2043" s="18"/>
      <c r="K2043" s="4"/>
      <c r="L2043" s="19"/>
      <c r="M2043" s="20"/>
    </row>
    <row r="2044">
      <c r="A2044" s="6"/>
      <c r="B2044" s="6"/>
      <c r="C2044" s="4"/>
      <c r="D2044" s="4"/>
      <c r="E2044" s="4"/>
      <c r="F2044" s="4"/>
      <c r="G2044" s="4"/>
      <c r="H2044" s="4"/>
      <c r="I2044" s="4"/>
      <c r="J2044" s="18"/>
      <c r="K2044" s="4"/>
      <c r="L2044" s="19"/>
      <c r="M2044" s="20"/>
    </row>
    <row r="2045">
      <c r="A2045" s="6"/>
      <c r="B2045" s="6"/>
      <c r="C2045" s="4"/>
      <c r="D2045" s="4"/>
      <c r="E2045" s="4"/>
      <c r="F2045" s="4"/>
      <c r="G2045" s="4"/>
      <c r="H2045" s="4"/>
      <c r="I2045" s="4"/>
      <c r="J2045" s="18"/>
      <c r="K2045" s="4"/>
      <c r="L2045" s="19"/>
      <c r="M2045" s="20"/>
    </row>
    <row r="2046">
      <c r="A2046" s="6"/>
      <c r="B2046" s="6"/>
      <c r="C2046" s="4"/>
      <c r="D2046" s="4"/>
      <c r="E2046" s="4"/>
      <c r="F2046" s="4"/>
      <c r="G2046" s="4"/>
      <c r="H2046" s="4"/>
      <c r="I2046" s="4"/>
      <c r="J2046" s="18"/>
      <c r="K2046" s="4"/>
      <c r="L2046" s="19"/>
      <c r="M2046" s="20"/>
    </row>
    <row r="2047">
      <c r="A2047" s="6"/>
      <c r="B2047" s="6"/>
      <c r="C2047" s="4"/>
      <c r="D2047" s="4"/>
      <c r="E2047" s="4"/>
      <c r="F2047" s="4"/>
      <c r="G2047" s="4"/>
      <c r="H2047" s="4"/>
      <c r="I2047" s="4"/>
      <c r="J2047" s="18"/>
      <c r="K2047" s="4"/>
      <c r="L2047" s="19"/>
      <c r="M2047" s="20"/>
    </row>
    <row r="2048">
      <c r="A2048" s="6"/>
      <c r="B2048" s="6"/>
      <c r="C2048" s="4"/>
      <c r="D2048" s="4"/>
      <c r="E2048" s="4"/>
      <c r="F2048" s="4"/>
      <c r="G2048" s="4"/>
      <c r="H2048" s="4"/>
      <c r="I2048" s="4"/>
      <c r="J2048" s="18"/>
      <c r="K2048" s="4"/>
      <c r="L2048" s="19"/>
      <c r="M2048" s="20"/>
    </row>
    <row r="2049">
      <c r="A2049" s="6"/>
      <c r="B2049" s="6"/>
      <c r="C2049" s="4"/>
      <c r="D2049" s="4"/>
      <c r="E2049" s="4"/>
      <c r="F2049" s="4"/>
      <c r="G2049" s="4"/>
      <c r="H2049" s="4"/>
      <c r="I2049" s="4"/>
      <c r="J2049" s="18"/>
      <c r="K2049" s="4"/>
      <c r="L2049" s="19"/>
      <c r="M2049" s="20"/>
    </row>
    <row r="2050">
      <c r="A2050" s="6"/>
      <c r="B2050" s="6"/>
      <c r="C2050" s="4"/>
      <c r="D2050" s="4"/>
      <c r="E2050" s="4"/>
      <c r="F2050" s="4"/>
      <c r="G2050" s="4"/>
      <c r="H2050" s="4"/>
      <c r="I2050" s="4"/>
      <c r="J2050" s="18"/>
      <c r="K2050" s="4"/>
      <c r="L2050" s="19"/>
      <c r="M2050" s="20"/>
    </row>
    <row r="2051">
      <c r="A2051" s="6"/>
      <c r="B2051" s="6"/>
      <c r="C2051" s="4"/>
      <c r="D2051" s="4"/>
      <c r="E2051" s="4"/>
      <c r="F2051" s="4"/>
      <c r="G2051" s="4"/>
      <c r="H2051" s="4"/>
      <c r="I2051" s="4"/>
      <c r="J2051" s="18"/>
      <c r="K2051" s="4"/>
      <c r="L2051" s="19"/>
      <c r="M2051" s="20"/>
    </row>
    <row r="2052">
      <c r="A2052" s="6"/>
      <c r="B2052" s="6"/>
      <c r="C2052" s="4"/>
      <c r="D2052" s="4"/>
      <c r="E2052" s="4"/>
      <c r="F2052" s="4"/>
      <c r="G2052" s="4"/>
      <c r="H2052" s="4"/>
      <c r="I2052" s="4"/>
      <c r="J2052" s="18"/>
      <c r="K2052" s="4"/>
      <c r="L2052" s="19"/>
      <c r="M2052" s="20"/>
    </row>
    <row r="2053">
      <c r="A2053" s="6"/>
      <c r="B2053" s="6"/>
      <c r="C2053" s="4"/>
      <c r="D2053" s="4"/>
      <c r="E2053" s="4"/>
      <c r="F2053" s="4"/>
      <c r="G2053" s="4"/>
      <c r="H2053" s="4"/>
      <c r="I2053" s="4"/>
      <c r="J2053" s="18"/>
      <c r="K2053" s="4"/>
      <c r="L2053" s="19"/>
      <c r="M2053" s="20"/>
    </row>
    <row r="2054">
      <c r="A2054" s="6"/>
      <c r="B2054" s="6"/>
      <c r="C2054" s="4"/>
      <c r="D2054" s="4"/>
      <c r="E2054" s="4"/>
      <c r="F2054" s="4"/>
      <c r="G2054" s="4"/>
      <c r="H2054" s="4"/>
      <c r="I2054" s="4"/>
      <c r="J2054" s="18"/>
      <c r="K2054" s="4"/>
      <c r="L2054" s="19"/>
      <c r="M2054" s="20"/>
    </row>
    <row r="2055">
      <c r="A2055" s="6"/>
      <c r="B2055" s="6"/>
      <c r="C2055" s="4"/>
      <c r="D2055" s="4"/>
      <c r="E2055" s="4"/>
      <c r="F2055" s="4"/>
      <c r="G2055" s="4"/>
      <c r="H2055" s="4"/>
      <c r="I2055" s="4"/>
      <c r="J2055" s="18"/>
      <c r="K2055" s="4"/>
      <c r="L2055" s="19"/>
      <c r="M2055" s="20"/>
    </row>
    <row r="2056">
      <c r="A2056" s="6"/>
      <c r="B2056" s="6"/>
      <c r="C2056" s="4"/>
      <c r="D2056" s="4"/>
      <c r="E2056" s="4"/>
      <c r="F2056" s="4"/>
      <c r="G2056" s="4"/>
      <c r="H2056" s="4"/>
      <c r="I2056" s="4"/>
      <c r="J2056" s="18"/>
      <c r="K2056" s="4"/>
      <c r="L2056" s="19"/>
      <c r="M2056" s="20"/>
    </row>
    <row r="2057">
      <c r="A2057" s="6"/>
      <c r="B2057" s="6"/>
      <c r="C2057" s="4"/>
      <c r="D2057" s="4"/>
      <c r="E2057" s="4"/>
      <c r="F2057" s="4"/>
      <c r="G2057" s="4"/>
      <c r="H2057" s="4"/>
      <c r="I2057" s="4"/>
      <c r="J2057" s="18"/>
      <c r="K2057" s="4"/>
      <c r="L2057" s="19"/>
      <c r="M2057" s="20"/>
    </row>
    <row r="2058">
      <c r="A2058" s="6"/>
      <c r="B2058" s="6"/>
      <c r="C2058" s="4"/>
      <c r="D2058" s="4"/>
      <c r="E2058" s="4"/>
      <c r="F2058" s="4"/>
      <c r="G2058" s="4"/>
      <c r="H2058" s="4"/>
      <c r="I2058" s="4"/>
      <c r="J2058" s="18"/>
      <c r="K2058" s="4"/>
      <c r="L2058" s="19"/>
      <c r="M2058" s="20"/>
    </row>
    <row r="2059">
      <c r="A2059" s="6"/>
      <c r="B2059" s="6"/>
      <c r="C2059" s="4"/>
      <c r="D2059" s="4"/>
      <c r="E2059" s="4"/>
      <c r="F2059" s="4"/>
      <c r="G2059" s="4"/>
      <c r="H2059" s="4"/>
      <c r="I2059" s="4"/>
      <c r="J2059" s="18"/>
      <c r="K2059" s="4"/>
      <c r="L2059" s="19"/>
      <c r="M2059" s="20"/>
    </row>
    <row r="2060">
      <c r="A2060" s="6"/>
      <c r="B2060" s="6"/>
      <c r="C2060" s="4"/>
      <c r="D2060" s="4"/>
      <c r="E2060" s="4"/>
      <c r="F2060" s="4"/>
      <c r="G2060" s="4"/>
      <c r="H2060" s="4"/>
      <c r="I2060" s="4"/>
      <c r="J2060" s="18"/>
      <c r="K2060" s="4"/>
      <c r="L2060" s="19"/>
      <c r="M2060" s="20"/>
    </row>
    <row r="2061">
      <c r="A2061" s="6"/>
      <c r="B2061" s="6"/>
      <c r="C2061" s="4"/>
      <c r="D2061" s="4"/>
      <c r="E2061" s="4"/>
      <c r="F2061" s="4"/>
      <c r="G2061" s="4"/>
      <c r="H2061" s="4"/>
      <c r="I2061" s="4"/>
      <c r="J2061" s="18"/>
      <c r="K2061" s="4"/>
      <c r="L2061" s="19"/>
      <c r="M2061" s="20"/>
    </row>
    <row r="2062">
      <c r="A2062" s="6"/>
      <c r="B2062" s="6"/>
      <c r="C2062" s="4"/>
      <c r="D2062" s="4"/>
      <c r="E2062" s="4"/>
      <c r="F2062" s="4"/>
      <c r="G2062" s="4"/>
      <c r="H2062" s="4"/>
      <c r="I2062" s="4"/>
      <c r="J2062" s="18"/>
      <c r="K2062" s="4"/>
      <c r="L2062" s="19"/>
      <c r="M2062" s="20"/>
    </row>
    <row r="2063">
      <c r="A2063" s="6"/>
      <c r="B2063" s="6"/>
      <c r="C2063" s="4"/>
      <c r="D2063" s="4"/>
      <c r="E2063" s="4"/>
      <c r="F2063" s="4"/>
      <c r="G2063" s="4"/>
      <c r="H2063" s="4"/>
      <c r="I2063" s="4"/>
      <c r="J2063" s="18"/>
      <c r="K2063" s="4"/>
      <c r="L2063" s="19"/>
      <c r="M2063" s="20"/>
    </row>
    <row r="2064">
      <c r="A2064" s="6"/>
      <c r="B2064" s="6"/>
      <c r="C2064" s="4"/>
      <c r="D2064" s="4"/>
      <c r="E2064" s="4"/>
      <c r="F2064" s="4"/>
      <c r="G2064" s="4"/>
      <c r="H2064" s="4"/>
      <c r="I2064" s="4"/>
      <c r="J2064" s="18"/>
      <c r="K2064" s="4"/>
      <c r="L2064" s="19"/>
      <c r="M2064" s="20"/>
    </row>
    <row r="2065">
      <c r="A2065" s="6"/>
      <c r="B2065" s="6"/>
      <c r="C2065" s="4"/>
      <c r="D2065" s="4"/>
      <c r="E2065" s="4"/>
      <c r="F2065" s="4"/>
      <c r="G2065" s="4"/>
      <c r="H2065" s="4"/>
      <c r="I2065" s="4"/>
      <c r="J2065" s="18"/>
      <c r="K2065" s="4"/>
      <c r="L2065" s="19"/>
      <c r="M2065" s="20"/>
    </row>
    <row r="2066">
      <c r="A2066" s="6"/>
      <c r="B2066" s="6"/>
      <c r="C2066" s="4"/>
      <c r="D2066" s="4"/>
      <c r="E2066" s="4"/>
      <c r="F2066" s="4"/>
      <c r="G2066" s="4"/>
      <c r="H2066" s="4"/>
      <c r="I2066" s="4"/>
      <c r="J2066" s="18"/>
      <c r="K2066" s="4"/>
      <c r="L2066" s="19"/>
      <c r="M2066" s="20"/>
    </row>
    <row r="2067">
      <c r="A2067" s="6"/>
      <c r="B2067" s="6"/>
      <c r="C2067" s="4"/>
      <c r="D2067" s="4"/>
      <c r="E2067" s="4"/>
      <c r="F2067" s="4"/>
      <c r="G2067" s="4"/>
      <c r="H2067" s="4"/>
      <c r="I2067" s="4"/>
      <c r="J2067" s="18"/>
      <c r="K2067" s="4"/>
      <c r="L2067" s="19"/>
      <c r="M2067" s="20"/>
    </row>
    <row r="2068">
      <c r="A2068" s="6"/>
      <c r="B2068" s="6"/>
      <c r="C2068" s="4"/>
      <c r="D2068" s="4"/>
      <c r="E2068" s="4"/>
      <c r="F2068" s="4"/>
      <c r="G2068" s="4"/>
      <c r="H2068" s="4"/>
      <c r="I2068" s="4"/>
      <c r="J2068" s="18"/>
      <c r="K2068" s="4"/>
      <c r="L2068" s="19"/>
      <c r="M2068" s="20"/>
    </row>
    <row r="2069">
      <c r="A2069" s="6"/>
      <c r="B2069" s="6"/>
      <c r="C2069" s="4"/>
      <c r="D2069" s="4"/>
      <c r="E2069" s="4"/>
      <c r="F2069" s="4"/>
      <c r="G2069" s="4"/>
      <c r="H2069" s="4"/>
      <c r="I2069" s="4"/>
      <c r="J2069" s="18"/>
      <c r="K2069" s="4"/>
      <c r="L2069" s="19"/>
      <c r="M2069" s="20"/>
    </row>
    <row r="2070">
      <c r="A2070" s="6"/>
      <c r="B2070" s="6"/>
      <c r="C2070" s="4"/>
      <c r="D2070" s="4"/>
      <c r="E2070" s="4"/>
      <c r="F2070" s="4"/>
      <c r="G2070" s="4"/>
      <c r="H2070" s="4"/>
      <c r="I2070" s="4"/>
      <c r="J2070" s="18"/>
      <c r="K2070" s="4"/>
      <c r="L2070" s="19"/>
      <c r="M2070" s="20"/>
    </row>
    <row r="2071">
      <c r="A2071" s="6"/>
      <c r="B2071" s="6"/>
      <c r="C2071" s="4"/>
      <c r="D2071" s="4"/>
      <c r="E2071" s="4"/>
      <c r="F2071" s="4"/>
      <c r="G2071" s="4"/>
      <c r="H2071" s="4"/>
      <c r="I2071" s="4"/>
      <c r="J2071" s="18"/>
      <c r="K2071" s="4"/>
      <c r="L2071" s="19"/>
      <c r="M2071" s="20"/>
    </row>
    <row r="2072">
      <c r="A2072" s="6"/>
      <c r="B2072" s="6"/>
      <c r="C2072" s="4"/>
      <c r="D2072" s="4"/>
      <c r="E2072" s="4"/>
      <c r="F2072" s="4"/>
      <c r="G2072" s="4"/>
      <c r="H2072" s="4"/>
      <c r="I2072" s="4"/>
      <c r="J2072" s="18"/>
      <c r="K2072" s="4"/>
      <c r="L2072" s="19"/>
      <c r="M2072" s="20"/>
    </row>
    <row r="2073">
      <c r="A2073" s="6"/>
      <c r="B2073" s="6"/>
      <c r="C2073" s="4"/>
      <c r="D2073" s="4"/>
      <c r="E2073" s="4"/>
      <c r="F2073" s="4"/>
      <c r="G2073" s="4"/>
      <c r="H2073" s="4"/>
      <c r="I2073" s="4"/>
      <c r="J2073" s="18"/>
      <c r="K2073" s="4"/>
      <c r="L2073" s="19"/>
      <c r="M2073" s="20"/>
    </row>
    <row r="2074">
      <c r="A2074" s="6"/>
      <c r="B2074" s="6"/>
      <c r="C2074" s="4"/>
      <c r="D2074" s="4"/>
      <c r="E2074" s="4"/>
      <c r="F2074" s="4"/>
      <c r="G2074" s="4"/>
      <c r="H2074" s="4"/>
      <c r="I2074" s="4"/>
      <c r="J2074" s="18"/>
      <c r="K2074" s="4"/>
      <c r="L2074" s="19"/>
      <c r="M2074" s="20"/>
    </row>
    <row r="2075">
      <c r="A2075" s="6"/>
      <c r="B2075" s="6"/>
      <c r="C2075" s="4"/>
      <c r="D2075" s="4"/>
      <c r="E2075" s="4"/>
      <c r="F2075" s="4"/>
      <c r="G2075" s="4"/>
      <c r="H2075" s="4"/>
      <c r="I2075" s="4"/>
      <c r="J2075" s="18"/>
      <c r="K2075" s="4"/>
      <c r="L2075" s="19"/>
      <c r="M2075" s="20"/>
    </row>
    <row r="2076">
      <c r="A2076" s="6"/>
      <c r="B2076" s="6"/>
      <c r="C2076" s="4"/>
      <c r="D2076" s="4"/>
      <c r="E2076" s="4"/>
      <c r="F2076" s="4"/>
      <c r="G2076" s="4"/>
      <c r="H2076" s="4"/>
      <c r="I2076" s="4"/>
      <c r="J2076" s="18"/>
      <c r="K2076" s="4"/>
      <c r="L2076" s="19"/>
      <c r="M2076" s="20"/>
    </row>
    <row r="2077">
      <c r="A2077" s="6"/>
      <c r="B2077" s="6"/>
      <c r="C2077" s="4"/>
      <c r="D2077" s="4"/>
      <c r="E2077" s="4"/>
      <c r="F2077" s="4"/>
      <c r="G2077" s="4"/>
      <c r="H2077" s="4"/>
      <c r="I2077" s="4"/>
      <c r="J2077" s="18"/>
      <c r="K2077" s="4"/>
      <c r="L2077" s="19"/>
      <c r="M2077" s="20"/>
    </row>
    <row r="2078">
      <c r="A2078" s="6"/>
      <c r="B2078" s="6"/>
      <c r="C2078" s="4"/>
      <c r="D2078" s="4"/>
      <c r="E2078" s="4"/>
      <c r="F2078" s="4"/>
      <c r="G2078" s="4"/>
      <c r="H2078" s="4"/>
      <c r="I2078" s="4"/>
      <c r="J2078" s="18"/>
      <c r="K2078" s="4"/>
      <c r="L2078" s="19"/>
      <c r="M2078" s="20"/>
    </row>
    <row r="2079">
      <c r="A2079" s="6"/>
      <c r="B2079" s="6"/>
      <c r="C2079" s="4"/>
      <c r="D2079" s="4"/>
      <c r="E2079" s="4"/>
      <c r="F2079" s="4"/>
      <c r="G2079" s="4"/>
      <c r="H2079" s="4"/>
      <c r="I2079" s="4"/>
      <c r="J2079" s="18"/>
      <c r="K2079" s="4"/>
      <c r="L2079" s="19"/>
      <c r="M2079" s="20"/>
    </row>
    <row r="2080">
      <c r="A2080" s="6"/>
      <c r="B2080" s="6"/>
      <c r="C2080" s="4"/>
      <c r="D2080" s="4"/>
      <c r="E2080" s="4"/>
      <c r="F2080" s="4"/>
      <c r="G2080" s="4"/>
      <c r="H2080" s="4"/>
      <c r="I2080" s="4"/>
      <c r="J2080" s="18"/>
      <c r="K2080" s="4"/>
      <c r="L2080" s="19"/>
      <c r="M2080" s="20"/>
    </row>
    <row r="2081">
      <c r="A2081" s="6"/>
      <c r="B2081" s="6"/>
      <c r="C2081" s="4"/>
      <c r="D2081" s="4"/>
      <c r="E2081" s="4"/>
      <c r="F2081" s="4"/>
      <c r="G2081" s="4"/>
      <c r="H2081" s="4"/>
      <c r="I2081" s="4"/>
      <c r="J2081" s="18"/>
      <c r="K2081" s="4"/>
      <c r="L2081" s="19"/>
      <c r="M2081" s="20"/>
    </row>
    <row r="2082">
      <c r="A2082" s="6"/>
      <c r="B2082" s="6"/>
      <c r="C2082" s="4"/>
      <c r="D2082" s="4"/>
      <c r="E2082" s="4"/>
      <c r="F2082" s="4"/>
      <c r="G2082" s="4"/>
      <c r="H2082" s="4"/>
      <c r="I2082" s="4"/>
      <c r="J2082" s="18"/>
      <c r="K2082" s="4"/>
      <c r="L2082" s="19"/>
      <c r="M2082" s="20"/>
    </row>
    <row r="2083">
      <c r="A2083" s="6"/>
      <c r="B2083" s="6"/>
      <c r="C2083" s="4"/>
      <c r="D2083" s="4"/>
      <c r="E2083" s="4"/>
      <c r="F2083" s="4"/>
      <c r="G2083" s="4"/>
      <c r="H2083" s="4"/>
      <c r="I2083" s="4"/>
      <c r="J2083" s="18"/>
      <c r="K2083" s="4"/>
      <c r="L2083" s="19"/>
      <c r="M2083" s="20"/>
    </row>
    <row r="2084">
      <c r="A2084" s="6"/>
      <c r="B2084" s="6"/>
      <c r="C2084" s="4"/>
      <c r="D2084" s="4"/>
      <c r="E2084" s="4"/>
      <c r="F2084" s="4"/>
      <c r="G2084" s="4"/>
      <c r="H2084" s="4"/>
      <c r="I2084" s="4"/>
      <c r="J2084" s="18"/>
      <c r="K2084" s="4"/>
      <c r="L2084" s="19"/>
      <c r="M2084" s="20"/>
    </row>
    <row r="2085">
      <c r="A2085" s="6"/>
      <c r="B2085" s="6"/>
      <c r="C2085" s="4"/>
      <c r="D2085" s="4"/>
      <c r="E2085" s="4"/>
      <c r="F2085" s="4"/>
      <c r="G2085" s="4"/>
      <c r="H2085" s="4"/>
      <c r="I2085" s="4"/>
      <c r="J2085" s="18"/>
      <c r="K2085" s="4"/>
      <c r="L2085" s="19"/>
      <c r="M2085" s="20"/>
    </row>
    <row r="2086">
      <c r="A2086" s="6"/>
      <c r="B2086" s="6"/>
      <c r="C2086" s="4"/>
      <c r="D2086" s="4"/>
      <c r="E2086" s="4"/>
      <c r="F2086" s="4"/>
      <c r="G2086" s="4"/>
      <c r="H2086" s="4"/>
      <c r="I2086" s="4"/>
      <c r="J2086" s="18"/>
      <c r="K2086" s="4"/>
      <c r="L2086" s="19"/>
      <c r="M2086" s="20"/>
    </row>
    <row r="2087">
      <c r="A2087" s="6"/>
      <c r="B2087" s="6"/>
      <c r="C2087" s="4"/>
      <c r="D2087" s="4"/>
      <c r="E2087" s="4"/>
      <c r="F2087" s="4"/>
      <c r="G2087" s="4"/>
      <c r="H2087" s="4"/>
      <c r="I2087" s="4"/>
      <c r="J2087" s="18"/>
      <c r="K2087" s="4"/>
      <c r="L2087" s="19"/>
      <c r="M2087" s="20"/>
    </row>
    <row r="2088">
      <c r="A2088" s="6"/>
      <c r="B2088" s="6"/>
      <c r="C2088" s="4"/>
      <c r="D2088" s="4"/>
      <c r="E2088" s="4"/>
      <c r="F2088" s="4"/>
      <c r="G2088" s="4"/>
      <c r="H2088" s="4"/>
      <c r="I2088" s="4"/>
      <c r="J2088" s="18"/>
      <c r="K2088" s="4"/>
      <c r="L2088" s="19"/>
      <c r="M2088" s="20"/>
    </row>
    <row r="2089">
      <c r="A2089" s="6"/>
      <c r="B2089" s="6"/>
      <c r="C2089" s="4"/>
      <c r="D2089" s="4"/>
      <c r="E2089" s="4"/>
      <c r="F2089" s="4"/>
      <c r="G2089" s="4"/>
      <c r="H2089" s="4"/>
      <c r="I2089" s="4"/>
      <c r="J2089" s="18"/>
      <c r="K2089" s="4"/>
      <c r="L2089" s="19"/>
      <c r="M2089" s="20"/>
    </row>
    <row r="2090">
      <c r="A2090" s="6"/>
      <c r="B2090" s="6"/>
      <c r="C2090" s="4"/>
      <c r="D2090" s="4"/>
      <c r="E2090" s="4"/>
      <c r="F2090" s="4"/>
      <c r="G2090" s="4"/>
      <c r="H2090" s="4"/>
      <c r="I2090" s="4"/>
      <c r="J2090" s="18"/>
      <c r="K2090" s="4"/>
      <c r="L2090" s="19"/>
      <c r="M2090" s="20"/>
    </row>
    <row r="2091">
      <c r="A2091" s="6"/>
      <c r="B2091" s="6"/>
      <c r="C2091" s="4"/>
      <c r="D2091" s="4"/>
      <c r="E2091" s="4"/>
      <c r="F2091" s="4"/>
      <c r="G2091" s="4"/>
      <c r="H2091" s="4"/>
      <c r="I2091" s="4"/>
      <c r="J2091" s="18"/>
      <c r="K2091" s="4"/>
      <c r="L2091" s="19"/>
      <c r="M2091" s="20"/>
    </row>
    <row r="2092">
      <c r="A2092" s="6"/>
      <c r="B2092" s="6"/>
      <c r="C2092" s="4"/>
      <c r="D2092" s="4"/>
      <c r="E2092" s="4"/>
      <c r="F2092" s="4"/>
      <c r="G2092" s="4"/>
      <c r="H2092" s="4"/>
      <c r="I2092" s="4"/>
      <c r="J2092" s="18"/>
      <c r="K2092" s="4"/>
      <c r="L2092" s="19"/>
      <c r="M2092" s="20"/>
    </row>
    <row r="2093">
      <c r="A2093" s="6"/>
      <c r="B2093" s="6"/>
      <c r="C2093" s="4"/>
      <c r="D2093" s="4"/>
      <c r="E2093" s="4"/>
      <c r="F2093" s="4"/>
      <c r="G2093" s="4"/>
      <c r="H2093" s="4"/>
      <c r="I2093" s="4"/>
      <c r="J2093" s="18"/>
      <c r="K2093" s="4"/>
      <c r="L2093" s="19"/>
      <c r="M2093" s="20"/>
    </row>
    <row r="2094">
      <c r="A2094" s="6"/>
      <c r="B2094" s="6"/>
      <c r="C2094" s="4"/>
      <c r="D2094" s="4"/>
      <c r="E2094" s="4"/>
      <c r="F2094" s="4"/>
      <c r="G2094" s="4"/>
      <c r="H2094" s="4"/>
      <c r="I2094" s="4"/>
      <c r="J2094" s="18"/>
      <c r="K2094" s="4"/>
      <c r="L2094" s="19"/>
      <c r="M2094" s="20"/>
    </row>
    <row r="2095">
      <c r="A2095" s="6"/>
      <c r="B2095" s="6"/>
      <c r="C2095" s="4"/>
      <c r="D2095" s="4"/>
      <c r="E2095" s="4"/>
      <c r="F2095" s="4"/>
      <c r="G2095" s="4"/>
      <c r="H2095" s="4"/>
      <c r="I2095" s="4"/>
      <c r="J2095" s="18"/>
      <c r="K2095" s="4"/>
      <c r="L2095" s="19"/>
      <c r="M2095" s="20"/>
    </row>
    <row r="2096">
      <c r="A2096" s="6"/>
      <c r="B2096" s="6"/>
      <c r="C2096" s="4"/>
      <c r="D2096" s="4"/>
      <c r="E2096" s="4"/>
      <c r="F2096" s="4"/>
      <c r="G2096" s="4"/>
      <c r="H2096" s="4"/>
      <c r="I2096" s="4"/>
      <c r="J2096" s="18"/>
      <c r="K2096" s="4"/>
      <c r="L2096" s="19"/>
      <c r="M2096" s="20"/>
    </row>
    <row r="2097">
      <c r="A2097" s="6"/>
      <c r="B2097" s="6"/>
      <c r="C2097" s="4"/>
      <c r="D2097" s="4"/>
      <c r="E2097" s="4"/>
      <c r="F2097" s="4"/>
      <c r="G2097" s="4"/>
      <c r="H2097" s="4"/>
      <c r="I2097" s="4"/>
      <c r="J2097" s="18"/>
      <c r="K2097" s="4"/>
      <c r="L2097" s="19"/>
      <c r="M2097" s="20"/>
    </row>
    <row r="2098">
      <c r="A2098" s="6"/>
      <c r="B2098" s="6"/>
      <c r="C2098" s="4"/>
      <c r="D2098" s="4"/>
      <c r="E2098" s="4"/>
      <c r="F2098" s="4"/>
      <c r="G2098" s="4"/>
      <c r="H2098" s="4"/>
      <c r="I2098" s="4"/>
      <c r="J2098" s="18"/>
      <c r="K2098" s="4"/>
      <c r="L2098" s="19"/>
      <c r="M2098" s="20"/>
    </row>
    <row r="2099">
      <c r="A2099" s="6"/>
      <c r="B2099" s="6"/>
      <c r="C2099" s="4"/>
      <c r="D2099" s="4"/>
      <c r="E2099" s="4"/>
      <c r="F2099" s="4"/>
      <c r="G2099" s="4"/>
      <c r="H2099" s="4"/>
      <c r="I2099" s="4"/>
      <c r="J2099" s="18"/>
      <c r="K2099" s="4"/>
      <c r="L2099" s="19"/>
      <c r="M2099" s="20"/>
    </row>
    <row r="2100">
      <c r="A2100" s="6"/>
      <c r="B2100" s="6"/>
      <c r="C2100" s="4"/>
      <c r="D2100" s="4"/>
      <c r="E2100" s="4"/>
      <c r="F2100" s="4"/>
      <c r="G2100" s="4"/>
      <c r="H2100" s="4"/>
      <c r="I2100" s="4"/>
      <c r="J2100" s="18"/>
      <c r="K2100" s="4"/>
      <c r="L2100" s="19"/>
      <c r="M2100" s="20"/>
    </row>
    <row r="2101">
      <c r="A2101" s="6"/>
      <c r="B2101" s="6"/>
      <c r="C2101" s="4"/>
      <c r="D2101" s="4"/>
      <c r="E2101" s="4"/>
      <c r="F2101" s="4"/>
      <c r="G2101" s="4"/>
      <c r="H2101" s="4"/>
      <c r="I2101" s="4"/>
      <c r="J2101" s="18"/>
      <c r="K2101" s="4"/>
      <c r="L2101" s="19"/>
      <c r="M2101" s="20"/>
    </row>
    <row r="2102">
      <c r="A2102" s="6"/>
      <c r="B2102" s="6"/>
      <c r="C2102" s="4"/>
      <c r="D2102" s="4"/>
      <c r="E2102" s="4"/>
      <c r="F2102" s="4"/>
      <c r="G2102" s="4"/>
      <c r="H2102" s="4"/>
      <c r="I2102" s="4"/>
      <c r="J2102" s="18"/>
      <c r="K2102" s="4"/>
      <c r="L2102" s="19"/>
      <c r="M2102" s="20"/>
    </row>
    <row r="2103">
      <c r="A2103" s="6"/>
      <c r="B2103" s="6"/>
      <c r="C2103" s="4"/>
      <c r="D2103" s="4"/>
      <c r="E2103" s="4"/>
      <c r="F2103" s="4"/>
      <c r="G2103" s="4"/>
      <c r="H2103" s="4"/>
      <c r="I2103" s="4"/>
      <c r="J2103" s="18"/>
      <c r="K2103" s="4"/>
      <c r="L2103" s="19"/>
      <c r="M2103" s="20"/>
    </row>
    <row r="2104">
      <c r="A2104" s="6"/>
      <c r="B2104" s="6"/>
      <c r="C2104" s="4"/>
      <c r="D2104" s="4"/>
      <c r="E2104" s="4"/>
      <c r="F2104" s="4"/>
      <c r="G2104" s="4"/>
      <c r="H2104" s="4"/>
      <c r="I2104" s="4"/>
      <c r="J2104" s="18"/>
      <c r="K2104" s="4"/>
      <c r="L2104" s="19"/>
      <c r="M2104" s="20"/>
    </row>
    <row r="2105">
      <c r="A2105" s="6"/>
      <c r="B2105" s="6"/>
      <c r="C2105" s="4"/>
      <c r="D2105" s="4"/>
      <c r="E2105" s="4"/>
      <c r="F2105" s="4"/>
      <c r="G2105" s="4"/>
      <c r="H2105" s="4"/>
      <c r="I2105" s="4"/>
      <c r="J2105" s="18"/>
      <c r="K2105" s="4"/>
      <c r="L2105" s="19"/>
      <c r="M2105" s="20"/>
    </row>
    <row r="2106">
      <c r="A2106" s="6"/>
      <c r="B2106" s="6"/>
      <c r="C2106" s="4"/>
      <c r="D2106" s="4"/>
      <c r="E2106" s="4"/>
      <c r="F2106" s="4"/>
      <c r="G2106" s="4"/>
      <c r="H2106" s="4"/>
      <c r="I2106" s="4"/>
      <c r="J2106" s="18"/>
      <c r="K2106" s="4"/>
      <c r="L2106" s="19"/>
      <c r="M2106" s="20"/>
    </row>
    <row r="2107">
      <c r="A2107" s="6"/>
      <c r="B2107" s="6"/>
      <c r="C2107" s="4"/>
      <c r="D2107" s="4"/>
      <c r="E2107" s="4"/>
      <c r="F2107" s="4"/>
      <c r="G2107" s="4"/>
      <c r="H2107" s="4"/>
      <c r="I2107" s="4"/>
      <c r="J2107" s="18"/>
      <c r="K2107" s="4"/>
      <c r="L2107" s="19"/>
      <c r="M2107" s="20"/>
    </row>
    <row r="2108">
      <c r="A2108" s="6"/>
      <c r="B2108" s="6"/>
      <c r="C2108" s="4"/>
      <c r="D2108" s="4"/>
      <c r="E2108" s="4"/>
      <c r="F2108" s="4"/>
      <c r="G2108" s="4"/>
      <c r="H2108" s="4"/>
      <c r="I2108" s="4"/>
      <c r="J2108" s="18"/>
      <c r="K2108" s="4"/>
      <c r="L2108" s="19"/>
      <c r="M2108" s="20"/>
    </row>
    <row r="2109">
      <c r="A2109" s="6"/>
      <c r="B2109" s="6"/>
      <c r="C2109" s="4"/>
      <c r="D2109" s="4"/>
      <c r="E2109" s="4"/>
      <c r="F2109" s="4"/>
      <c r="G2109" s="4"/>
      <c r="H2109" s="4"/>
      <c r="I2109" s="4"/>
      <c r="J2109" s="18"/>
      <c r="K2109" s="4"/>
      <c r="L2109" s="19"/>
      <c r="M2109" s="20"/>
    </row>
    <row r="2110">
      <c r="A2110" s="6"/>
      <c r="B2110" s="6"/>
      <c r="C2110" s="4"/>
      <c r="D2110" s="4"/>
      <c r="E2110" s="4"/>
      <c r="F2110" s="4"/>
      <c r="G2110" s="4"/>
      <c r="H2110" s="4"/>
      <c r="I2110" s="4"/>
      <c r="J2110" s="18"/>
      <c r="K2110" s="4"/>
      <c r="L2110" s="19"/>
      <c r="M2110" s="20"/>
    </row>
    <row r="2111">
      <c r="A2111" s="6"/>
      <c r="B2111" s="6"/>
      <c r="C2111" s="4"/>
      <c r="D2111" s="4"/>
      <c r="E2111" s="4"/>
      <c r="F2111" s="4"/>
      <c r="G2111" s="4"/>
      <c r="H2111" s="4"/>
      <c r="I2111" s="4"/>
      <c r="J2111" s="18"/>
      <c r="K2111" s="4"/>
      <c r="L2111" s="19"/>
      <c r="M2111" s="20"/>
    </row>
    <row r="2112">
      <c r="A2112" s="6"/>
      <c r="B2112" s="6"/>
      <c r="C2112" s="4"/>
      <c r="D2112" s="4"/>
      <c r="E2112" s="4"/>
      <c r="F2112" s="4"/>
      <c r="G2112" s="4"/>
      <c r="H2112" s="4"/>
      <c r="I2112" s="4"/>
      <c r="J2112" s="18"/>
      <c r="K2112" s="4"/>
      <c r="L2112" s="19"/>
      <c r="M2112" s="20"/>
    </row>
    <row r="2113">
      <c r="A2113" s="6"/>
      <c r="B2113" s="6"/>
      <c r="C2113" s="4"/>
      <c r="D2113" s="4"/>
      <c r="E2113" s="4"/>
      <c r="F2113" s="4"/>
      <c r="G2113" s="4"/>
      <c r="H2113" s="4"/>
      <c r="I2113" s="4"/>
      <c r="J2113" s="18"/>
      <c r="K2113" s="4"/>
      <c r="L2113" s="19"/>
      <c r="M2113" s="20"/>
    </row>
    <row r="2114">
      <c r="A2114" s="6"/>
      <c r="B2114" s="6"/>
      <c r="C2114" s="4"/>
      <c r="D2114" s="4"/>
      <c r="E2114" s="4"/>
      <c r="F2114" s="4"/>
      <c r="G2114" s="4"/>
      <c r="H2114" s="4"/>
      <c r="I2114" s="4"/>
      <c r="J2114" s="18"/>
      <c r="K2114" s="4"/>
      <c r="L2114" s="19"/>
      <c r="M2114" s="20"/>
    </row>
    <row r="2115">
      <c r="A2115" s="6"/>
      <c r="B2115" s="6"/>
      <c r="C2115" s="4"/>
      <c r="D2115" s="4"/>
      <c r="E2115" s="4"/>
      <c r="F2115" s="4"/>
      <c r="G2115" s="4"/>
      <c r="H2115" s="4"/>
      <c r="I2115" s="4"/>
      <c r="J2115" s="18"/>
      <c r="K2115" s="4"/>
      <c r="L2115" s="19"/>
      <c r="M2115" s="20"/>
    </row>
    <row r="2116">
      <c r="A2116" s="6"/>
      <c r="B2116" s="6"/>
      <c r="C2116" s="4"/>
      <c r="D2116" s="4"/>
      <c r="E2116" s="4"/>
      <c r="F2116" s="4"/>
      <c r="G2116" s="4"/>
      <c r="H2116" s="4"/>
      <c r="I2116" s="4"/>
      <c r="J2116" s="18"/>
      <c r="K2116" s="4"/>
      <c r="L2116" s="19"/>
      <c r="M2116" s="20"/>
    </row>
    <row r="2117">
      <c r="A2117" s="6"/>
      <c r="B2117" s="6"/>
      <c r="C2117" s="4"/>
      <c r="D2117" s="4"/>
      <c r="E2117" s="4"/>
      <c r="F2117" s="4"/>
      <c r="G2117" s="4"/>
      <c r="H2117" s="4"/>
      <c r="I2117" s="4"/>
      <c r="J2117" s="18"/>
      <c r="K2117" s="4"/>
      <c r="L2117" s="19"/>
      <c r="M2117" s="20"/>
    </row>
    <row r="2118">
      <c r="A2118" s="6"/>
      <c r="B2118" s="6"/>
      <c r="C2118" s="4"/>
      <c r="D2118" s="4"/>
      <c r="E2118" s="4"/>
      <c r="F2118" s="4"/>
      <c r="G2118" s="4"/>
      <c r="H2118" s="4"/>
      <c r="I2118" s="4"/>
      <c r="J2118" s="18"/>
      <c r="K2118" s="4"/>
      <c r="L2118" s="19"/>
      <c r="M2118" s="20"/>
    </row>
    <row r="2119">
      <c r="A2119" s="6"/>
      <c r="B2119" s="6"/>
      <c r="C2119" s="4"/>
      <c r="D2119" s="4"/>
      <c r="E2119" s="4"/>
      <c r="F2119" s="4"/>
      <c r="G2119" s="4"/>
      <c r="H2119" s="4"/>
      <c r="I2119" s="4"/>
      <c r="J2119" s="18"/>
      <c r="K2119" s="4"/>
      <c r="L2119" s="19"/>
      <c r="M2119" s="20"/>
    </row>
    <row r="2120">
      <c r="A2120" s="6"/>
      <c r="B2120" s="6"/>
      <c r="C2120" s="4"/>
      <c r="D2120" s="4"/>
      <c r="E2120" s="4"/>
      <c r="F2120" s="4"/>
      <c r="G2120" s="4"/>
      <c r="H2120" s="4"/>
      <c r="I2120" s="4"/>
      <c r="J2120" s="18"/>
      <c r="K2120" s="4"/>
      <c r="L2120" s="19"/>
      <c r="M2120" s="20"/>
    </row>
    <row r="2121">
      <c r="A2121" s="6"/>
      <c r="B2121" s="6"/>
      <c r="C2121" s="4"/>
      <c r="D2121" s="4"/>
      <c r="E2121" s="4"/>
      <c r="F2121" s="4"/>
      <c r="G2121" s="4"/>
      <c r="H2121" s="4"/>
      <c r="I2121" s="4"/>
      <c r="J2121" s="18"/>
      <c r="K2121" s="4"/>
      <c r="L2121" s="19"/>
      <c r="M2121" s="20"/>
    </row>
    <row r="2122">
      <c r="A2122" s="6"/>
      <c r="B2122" s="6"/>
      <c r="C2122" s="4"/>
      <c r="D2122" s="4"/>
      <c r="E2122" s="4"/>
      <c r="F2122" s="4"/>
      <c r="G2122" s="4"/>
      <c r="H2122" s="4"/>
      <c r="I2122" s="4"/>
      <c r="J2122" s="18"/>
      <c r="K2122" s="4"/>
      <c r="L2122" s="19"/>
      <c r="M2122" s="20"/>
    </row>
    <row r="2123">
      <c r="A2123" s="6"/>
      <c r="B2123" s="6"/>
      <c r="C2123" s="4"/>
      <c r="D2123" s="4"/>
      <c r="E2123" s="4"/>
      <c r="F2123" s="4"/>
      <c r="G2123" s="4"/>
      <c r="H2123" s="4"/>
      <c r="I2123" s="4"/>
      <c r="J2123" s="18"/>
      <c r="K2123" s="4"/>
      <c r="L2123" s="19"/>
      <c r="M2123" s="20"/>
    </row>
    <row r="2124">
      <c r="A2124" s="6"/>
      <c r="B2124" s="6"/>
      <c r="C2124" s="4"/>
      <c r="D2124" s="4"/>
      <c r="E2124" s="4"/>
      <c r="F2124" s="4"/>
      <c r="G2124" s="4"/>
      <c r="H2124" s="4"/>
      <c r="I2124" s="4"/>
      <c r="J2124" s="18"/>
      <c r="K2124" s="4"/>
      <c r="L2124" s="19"/>
      <c r="M2124" s="20"/>
    </row>
    <row r="2125">
      <c r="A2125" s="6"/>
      <c r="B2125" s="6"/>
      <c r="C2125" s="4"/>
      <c r="D2125" s="4"/>
      <c r="E2125" s="4"/>
      <c r="F2125" s="4"/>
      <c r="G2125" s="4"/>
      <c r="H2125" s="4"/>
      <c r="I2125" s="4"/>
      <c r="J2125" s="18"/>
      <c r="K2125" s="4"/>
      <c r="L2125" s="19"/>
      <c r="M2125" s="20"/>
    </row>
    <row r="2126">
      <c r="A2126" s="6"/>
      <c r="B2126" s="6"/>
      <c r="C2126" s="4"/>
      <c r="D2126" s="4"/>
      <c r="E2126" s="4"/>
      <c r="F2126" s="4"/>
      <c r="G2126" s="4"/>
      <c r="H2126" s="4"/>
      <c r="I2126" s="4"/>
      <c r="J2126" s="18"/>
      <c r="K2126" s="4"/>
      <c r="L2126" s="19"/>
      <c r="M2126" s="20"/>
    </row>
    <row r="2127">
      <c r="A2127" s="6"/>
      <c r="B2127" s="6"/>
      <c r="C2127" s="4"/>
      <c r="D2127" s="4"/>
      <c r="E2127" s="4"/>
      <c r="F2127" s="4"/>
      <c r="G2127" s="4"/>
      <c r="H2127" s="4"/>
      <c r="I2127" s="4"/>
      <c r="J2127" s="18"/>
      <c r="K2127" s="4"/>
      <c r="L2127" s="19"/>
      <c r="M2127" s="20"/>
    </row>
    <row r="2128">
      <c r="A2128" s="6"/>
      <c r="B2128" s="6"/>
      <c r="C2128" s="4"/>
      <c r="D2128" s="4"/>
      <c r="E2128" s="4"/>
      <c r="F2128" s="4"/>
      <c r="G2128" s="4"/>
      <c r="H2128" s="4"/>
      <c r="I2128" s="4"/>
      <c r="J2128" s="18"/>
      <c r="K2128" s="4"/>
      <c r="L2128" s="19"/>
      <c r="M2128" s="20"/>
    </row>
    <row r="2129">
      <c r="A2129" s="6"/>
      <c r="B2129" s="6"/>
      <c r="C2129" s="4"/>
      <c r="D2129" s="4"/>
      <c r="E2129" s="4"/>
      <c r="F2129" s="4"/>
      <c r="G2129" s="4"/>
      <c r="H2129" s="4"/>
      <c r="I2129" s="4"/>
      <c r="J2129" s="18"/>
      <c r="K2129" s="4"/>
      <c r="L2129" s="19"/>
      <c r="M2129" s="20"/>
    </row>
    <row r="2130">
      <c r="A2130" s="6"/>
      <c r="B2130" s="6"/>
      <c r="C2130" s="4"/>
      <c r="D2130" s="4"/>
      <c r="E2130" s="4"/>
      <c r="F2130" s="4"/>
      <c r="G2130" s="4"/>
      <c r="H2130" s="4"/>
      <c r="I2130" s="4"/>
      <c r="J2130" s="18"/>
      <c r="K2130" s="4"/>
      <c r="L2130" s="19"/>
      <c r="M2130" s="20"/>
    </row>
    <row r="2131">
      <c r="A2131" s="6"/>
      <c r="B2131" s="6"/>
      <c r="C2131" s="4"/>
      <c r="D2131" s="4"/>
      <c r="E2131" s="4"/>
      <c r="F2131" s="4"/>
      <c r="G2131" s="4"/>
      <c r="H2131" s="4"/>
      <c r="I2131" s="4"/>
      <c r="J2131" s="18"/>
      <c r="K2131" s="4"/>
      <c r="L2131" s="19"/>
      <c r="M2131" s="20"/>
    </row>
    <row r="2132">
      <c r="A2132" s="6"/>
      <c r="B2132" s="6"/>
      <c r="C2132" s="4"/>
      <c r="D2132" s="4"/>
      <c r="E2132" s="4"/>
      <c r="F2132" s="4"/>
      <c r="G2132" s="4"/>
      <c r="H2132" s="4"/>
      <c r="I2132" s="4"/>
      <c r="J2132" s="18"/>
      <c r="K2132" s="4"/>
      <c r="L2132" s="19"/>
      <c r="M2132" s="20"/>
    </row>
    <row r="2133">
      <c r="A2133" s="6"/>
      <c r="B2133" s="6"/>
      <c r="C2133" s="4"/>
      <c r="D2133" s="4"/>
      <c r="E2133" s="4"/>
      <c r="F2133" s="4"/>
      <c r="G2133" s="4"/>
      <c r="H2133" s="4"/>
      <c r="I2133" s="4"/>
      <c r="J2133" s="18"/>
      <c r="K2133" s="4"/>
      <c r="L2133" s="19"/>
      <c r="M2133" s="20"/>
    </row>
    <row r="2134">
      <c r="A2134" s="6"/>
      <c r="B2134" s="6"/>
      <c r="C2134" s="4"/>
      <c r="D2134" s="4"/>
      <c r="E2134" s="4"/>
      <c r="F2134" s="4"/>
      <c r="G2134" s="4"/>
      <c r="H2134" s="4"/>
      <c r="I2134" s="4"/>
      <c r="J2134" s="18"/>
      <c r="K2134" s="4"/>
      <c r="L2134" s="19"/>
      <c r="M2134" s="20"/>
    </row>
    <row r="2135">
      <c r="A2135" s="6"/>
      <c r="B2135" s="6"/>
      <c r="C2135" s="4"/>
      <c r="D2135" s="4"/>
      <c r="E2135" s="4"/>
      <c r="F2135" s="4"/>
      <c r="G2135" s="4"/>
      <c r="H2135" s="4"/>
      <c r="I2135" s="4"/>
      <c r="J2135" s="18"/>
      <c r="K2135" s="4"/>
      <c r="L2135" s="19"/>
      <c r="M2135" s="20"/>
    </row>
    <row r="2136">
      <c r="A2136" s="6"/>
      <c r="B2136" s="6"/>
      <c r="C2136" s="4"/>
      <c r="D2136" s="4"/>
      <c r="E2136" s="4"/>
      <c r="F2136" s="4"/>
      <c r="G2136" s="4"/>
      <c r="H2136" s="4"/>
      <c r="I2136" s="4"/>
      <c r="J2136" s="18"/>
      <c r="K2136" s="4"/>
      <c r="L2136" s="19"/>
      <c r="M2136" s="20"/>
    </row>
    <row r="2137">
      <c r="A2137" s="6"/>
      <c r="B2137" s="6"/>
      <c r="C2137" s="4"/>
      <c r="D2137" s="4"/>
      <c r="E2137" s="4"/>
      <c r="F2137" s="4"/>
      <c r="G2137" s="4"/>
      <c r="H2137" s="4"/>
      <c r="I2137" s="4"/>
      <c r="J2137" s="18"/>
      <c r="K2137" s="4"/>
      <c r="L2137" s="19"/>
      <c r="M2137" s="20"/>
    </row>
    <row r="2138">
      <c r="A2138" s="6"/>
      <c r="B2138" s="6"/>
      <c r="C2138" s="4"/>
      <c r="D2138" s="4"/>
      <c r="E2138" s="4"/>
      <c r="F2138" s="4"/>
      <c r="G2138" s="4"/>
      <c r="H2138" s="4"/>
      <c r="I2138" s="4"/>
      <c r="J2138" s="18"/>
      <c r="K2138" s="4"/>
      <c r="L2138" s="19"/>
      <c r="M2138" s="20"/>
    </row>
    <row r="2139">
      <c r="A2139" s="6"/>
      <c r="B2139" s="6"/>
      <c r="C2139" s="4"/>
      <c r="D2139" s="4"/>
      <c r="E2139" s="4"/>
      <c r="F2139" s="4"/>
      <c r="G2139" s="4"/>
      <c r="H2139" s="4"/>
      <c r="I2139" s="4"/>
      <c r="J2139" s="18"/>
      <c r="K2139" s="4"/>
      <c r="L2139" s="19"/>
      <c r="M2139" s="20"/>
    </row>
    <row r="2140">
      <c r="A2140" s="6"/>
      <c r="B2140" s="6"/>
      <c r="C2140" s="4"/>
      <c r="D2140" s="4"/>
      <c r="E2140" s="4"/>
      <c r="F2140" s="4"/>
      <c r="G2140" s="4"/>
      <c r="H2140" s="4"/>
      <c r="I2140" s="4"/>
      <c r="J2140" s="18"/>
      <c r="K2140" s="4"/>
      <c r="L2140" s="19"/>
      <c r="M2140" s="20"/>
    </row>
    <row r="2141">
      <c r="A2141" s="6"/>
      <c r="B2141" s="6"/>
      <c r="C2141" s="4"/>
      <c r="D2141" s="4"/>
      <c r="E2141" s="4"/>
      <c r="F2141" s="4"/>
      <c r="G2141" s="4"/>
      <c r="H2141" s="4"/>
      <c r="I2141" s="4"/>
      <c r="J2141" s="18"/>
      <c r="K2141" s="4"/>
      <c r="L2141" s="19"/>
      <c r="M2141" s="20"/>
    </row>
    <row r="2142">
      <c r="A2142" s="6"/>
      <c r="B2142" s="6"/>
      <c r="C2142" s="4"/>
      <c r="D2142" s="4"/>
      <c r="E2142" s="4"/>
      <c r="F2142" s="4"/>
      <c r="G2142" s="4"/>
      <c r="H2142" s="4"/>
      <c r="I2142" s="4"/>
      <c r="J2142" s="18"/>
      <c r="K2142" s="4"/>
      <c r="L2142" s="19"/>
      <c r="M2142" s="20"/>
    </row>
    <row r="2143">
      <c r="A2143" s="6"/>
      <c r="B2143" s="6"/>
      <c r="C2143" s="4"/>
      <c r="D2143" s="4"/>
      <c r="E2143" s="4"/>
      <c r="F2143" s="4"/>
      <c r="G2143" s="4"/>
      <c r="H2143" s="4"/>
      <c r="I2143" s="4"/>
      <c r="J2143" s="18"/>
      <c r="K2143" s="4"/>
      <c r="L2143" s="19"/>
      <c r="M2143" s="20"/>
    </row>
    <row r="2144">
      <c r="A2144" s="6"/>
      <c r="B2144" s="6"/>
      <c r="C2144" s="4"/>
      <c r="D2144" s="4"/>
      <c r="E2144" s="4"/>
      <c r="F2144" s="4"/>
      <c r="G2144" s="4"/>
      <c r="H2144" s="4"/>
      <c r="I2144" s="4"/>
      <c r="J2144" s="18"/>
      <c r="K2144" s="4"/>
      <c r="L2144" s="19"/>
      <c r="M2144" s="20"/>
    </row>
    <row r="2145">
      <c r="A2145" s="6"/>
      <c r="B2145" s="6"/>
      <c r="C2145" s="4"/>
      <c r="D2145" s="4"/>
      <c r="E2145" s="4"/>
      <c r="F2145" s="4"/>
      <c r="G2145" s="4"/>
      <c r="H2145" s="4"/>
      <c r="I2145" s="4"/>
      <c r="J2145" s="18"/>
      <c r="K2145" s="4"/>
      <c r="L2145" s="19"/>
      <c r="M2145" s="20"/>
    </row>
    <row r="2146">
      <c r="A2146" s="6"/>
      <c r="B2146" s="6"/>
      <c r="C2146" s="4"/>
      <c r="D2146" s="4"/>
      <c r="E2146" s="4"/>
      <c r="F2146" s="4"/>
      <c r="G2146" s="4"/>
      <c r="H2146" s="4"/>
      <c r="I2146" s="4"/>
      <c r="J2146" s="18"/>
      <c r="K2146" s="4"/>
      <c r="L2146" s="19"/>
      <c r="M2146" s="20"/>
    </row>
    <row r="2147">
      <c r="A2147" s="6"/>
      <c r="B2147" s="6"/>
      <c r="C2147" s="4"/>
      <c r="D2147" s="4"/>
      <c r="E2147" s="4"/>
      <c r="F2147" s="4"/>
      <c r="G2147" s="4"/>
      <c r="H2147" s="4"/>
      <c r="I2147" s="4"/>
      <c r="J2147" s="18"/>
      <c r="K2147" s="4"/>
      <c r="L2147" s="19"/>
      <c r="M2147" s="20"/>
    </row>
    <row r="2148">
      <c r="A2148" s="6"/>
      <c r="B2148" s="6"/>
      <c r="C2148" s="4"/>
      <c r="D2148" s="4"/>
      <c r="E2148" s="4"/>
      <c r="F2148" s="4"/>
      <c r="G2148" s="4"/>
      <c r="H2148" s="4"/>
      <c r="I2148" s="4"/>
      <c r="J2148" s="18"/>
      <c r="K2148" s="4"/>
      <c r="L2148" s="19"/>
      <c r="M2148" s="20"/>
    </row>
    <row r="2149">
      <c r="A2149" s="6"/>
      <c r="B2149" s="6"/>
      <c r="C2149" s="4"/>
      <c r="D2149" s="4"/>
      <c r="E2149" s="4"/>
      <c r="F2149" s="4"/>
      <c r="G2149" s="4"/>
      <c r="H2149" s="4"/>
      <c r="I2149" s="4"/>
      <c r="J2149" s="18"/>
      <c r="K2149" s="4"/>
      <c r="L2149" s="19"/>
      <c r="M2149" s="20"/>
    </row>
    <row r="2150">
      <c r="A2150" s="6"/>
      <c r="B2150" s="6"/>
      <c r="C2150" s="4"/>
      <c r="D2150" s="4"/>
      <c r="E2150" s="4"/>
      <c r="F2150" s="4"/>
      <c r="G2150" s="4"/>
      <c r="H2150" s="4"/>
      <c r="I2150" s="4"/>
      <c r="J2150" s="18"/>
      <c r="K2150" s="4"/>
      <c r="L2150" s="19"/>
      <c r="M2150" s="20"/>
    </row>
    <row r="2151">
      <c r="A2151" s="6"/>
      <c r="B2151" s="6"/>
      <c r="C2151" s="4"/>
      <c r="D2151" s="4"/>
      <c r="E2151" s="4"/>
      <c r="F2151" s="4"/>
      <c r="G2151" s="4"/>
      <c r="H2151" s="4"/>
      <c r="I2151" s="4"/>
      <c r="J2151" s="18"/>
      <c r="K2151" s="4"/>
      <c r="L2151" s="19"/>
      <c r="M2151" s="20"/>
    </row>
    <row r="2152">
      <c r="A2152" s="6"/>
      <c r="B2152" s="6"/>
      <c r="C2152" s="4"/>
      <c r="D2152" s="4"/>
      <c r="E2152" s="4"/>
      <c r="F2152" s="4"/>
      <c r="G2152" s="4"/>
      <c r="H2152" s="4"/>
      <c r="I2152" s="4"/>
      <c r="J2152" s="18"/>
      <c r="K2152" s="4"/>
      <c r="L2152" s="19"/>
      <c r="M2152" s="20"/>
    </row>
    <row r="2153">
      <c r="A2153" s="6"/>
      <c r="B2153" s="6"/>
      <c r="C2153" s="4"/>
      <c r="D2153" s="4"/>
      <c r="E2153" s="4"/>
      <c r="F2153" s="4"/>
      <c r="G2153" s="4"/>
      <c r="H2153" s="4"/>
      <c r="I2153" s="4"/>
      <c r="J2153" s="18"/>
      <c r="K2153" s="4"/>
      <c r="L2153" s="19"/>
      <c r="M2153" s="20"/>
    </row>
    <row r="2154">
      <c r="A2154" s="6"/>
      <c r="B2154" s="6"/>
      <c r="C2154" s="4"/>
      <c r="D2154" s="4"/>
      <c r="E2154" s="4"/>
      <c r="F2154" s="4"/>
      <c r="G2154" s="4"/>
      <c r="H2154" s="4"/>
      <c r="I2154" s="4"/>
      <c r="J2154" s="18"/>
      <c r="K2154" s="4"/>
      <c r="L2154" s="19"/>
      <c r="M2154" s="20"/>
    </row>
    <row r="2155">
      <c r="A2155" s="6"/>
      <c r="B2155" s="6"/>
      <c r="C2155" s="4"/>
      <c r="D2155" s="4"/>
      <c r="E2155" s="4"/>
      <c r="F2155" s="4"/>
      <c r="G2155" s="4"/>
      <c r="H2155" s="4"/>
      <c r="I2155" s="4"/>
      <c r="J2155" s="18"/>
      <c r="K2155" s="4"/>
      <c r="L2155" s="19"/>
      <c r="M2155" s="20"/>
    </row>
    <row r="2156">
      <c r="A2156" s="6"/>
      <c r="B2156" s="6"/>
      <c r="C2156" s="4"/>
      <c r="D2156" s="4"/>
      <c r="E2156" s="4"/>
      <c r="F2156" s="4"/>
      <c r="G2156" s="4"/>
      <c r="H2156" s="4"/>
      <c r="I2156" s="4"/>
      <c r="J2156" s="18"/>
      <c r="K2156" s="4"/>
      <c r="L2156" s="19"/>
      <c r="M2156" s="20"/>
    </row>
    <row r="2157">
      <c r="A2157" s="6"/>
      <c r="B2157" s="6"/>
      <c r="C2157" s="4"/>
      <c r="D2157" s="4"/>
      <c r="E2157" s="4"/>
      <c r="F2157" s="4"/>
      <c r="G2157" s="4"/>
      <c r="H2157" s="4"/>
      <c r="I2157" s="4"/>
      <c r="J2157" s="18"/>
      <c r="K2157" s="4"/>
      <c r="L2157" s="19"/>
      <c r="M2157" s="20"/>
    </row>
    <row r="2158">
      <c r="A2158" s="6"/>
      <c r="B2158" s="6"/>
      <c r="C2158" s="4"/>
      <c r="D2158" s="4"/>
      <c r="E2158" s="4"/>
      <c r="F2158" s="4"/>
      <c r="G2158" s="4"/>
      <c r="H2158" s="4"/>
      <c r="I2158" s="4"/>
      <c r="J2158" s="18"/>
      <c r="K2158" s="4"/>
      <c r="L2158" s="19"/>
      <c r="M2158" s="20"/>
    </row>
    <row r="2159">
      <c r="A2159" s="6"/>
      <c r="B2159" s="6"/>
      <c r="C2159" s="4"/>
      <c r="D2159" s="4"/>
      <c r="E2159" s="4"/>
      <c r="F2159" s="4"/>
      <c r="G2159" s="4"/>
      <c r="H2159" s="4"/>
      <c r="I2159" s="4"/>
      <c r="J2159" s="18"/>
      <c r="K2159" s="4"/>
      <c r="L2159" s="19"/>
      <c r="M2159" s="20"/>
    </row>
    <row r="2160">
      <c r="A2160" s="6"/>
      <c r="B2160" s="6"/>
      <c r="C2160" s="4"/>
      <c r="D2160" s="4"/>
      <c r="E2160" s="4"/>
      <c r="F2160" s="4"/>
      <c r="G2160" s="4"/>
      <c r="H2160" s="4"/>
      <c r="I2160" s="4"/>
      <c r="J2160" s="18"/>
      <c r="K2160" s="4"/>
      <c r="L2160" s="19"/>
      <c r="M2160" s="20"/>
    </row>
    <row r="2161">
      <c r="A2161" s="6"/>
      <c r="B2161" s="6"/>
      <c r="C2161" s="4"/>
      <c r="D2161" s="4"/>
      <c r="E2161" s="4"/>
      <c r="F2161" s="4"/>
      <c r="G2161" s="4"/>
      <c r="H2161" s="4"/>
      <c r="I2161" s="4"/>
      <c r="J2161" s="18"/>
      <c r="K2161" s="4"/>
      <c r="L2161" s="19"/>
      <c r="M2161" s="20"/>
    </row>
    <row r="2162">
      <c r="A2162" s="6"/>
      <c r="B2162" s="6"/>
      <c r="C2162" s="4"/>
      <c r="D2162" s="4"/>
      <c r="E2162" s="4"/>
      <c r="F2162" s="4"/>
      <c r="G2162" s="4"/>
      <c r="H2162" s="4"/>
      <c r="I2162" s="4"/>
      <c r="J2162" s="18"/>
      <c r="K2162" s="4"/>
      <c r="L2162" s="19"/>
      <c r="M2162" s="20"/>
    </row>
    <row r="2163">
      <c r="A2163" s="6"/>
      <c r="B2163" s="6"/>
      <c r="C2163" s="4"/>
      <c r="D2163" s="4"/>
      <c r="E2163" s="4"/>
      <c r="F2163" s="4"/>
      <c r="G2163" s="4"/>
      <c r="H2163" s="4"/>
      <c r="I2163" s="4"/>
      <c r="J2163" s="18"/>
      <c r="K2163" s="4"/>
      <c r="L2163" s="19"/>
      <c r="M2163" s="20"/>
    </row>
    <row r="2164">
      <c r="A2164" s="6"/>
      <c r="B2164" s="6"/>
      <c r="C2164" s="4"/>
      <c r="D2164" s="4"/>
      <c r="E2164" s="4"/>
      <c r="F2164" s="4"/>
      <c r="G2164" s="4"/>
      <c r="H2164" s="4"/>
      <c r="I2164" s="4"/>
      <c r="J2164" s="18"/>
      <c r="K2164" s="4"/>
      <c r="L2164" s="19"/>
      <c r="M2164" s="20"/>
    </row>
    <row r="2165">
      <c r="A2165" s="6"/>
      <c r="B2165" s="6"/>
      <c r="C2165" s="4"/>
      <c r="D2165" s="4"/>
      <c r="E2165" s="4"/>
      <c r="F2165" s="4"/>
      <c r="G2165" s="4"/>
      <c r="H2165" s="4"/>
      <c r="I2165" s="4"/>
      <c r="J2165" s="18"/>
      <c r="K2165" s="4"/>
      <c r="L2165" s="19"/>
      <c r="M2165" s="20"/>
    </row>
    <row r="2166">
      <c r="A2166" s="6"/>
      <c r="B2166" s="6"/>
      <c r="C2166" s="4"/>
      <c r="D2166" s="4"/>
      <c r="E2166" s="4"/>
      <c r="F2166" s="4"/>
      <c r="G2166" s="4"/>
      <c r="H2166" s="4"/>
      <c r="I2166" s="4"/>
      <c r="J2166" s="18"/>
      <c r="K2166" s="4"/>
      <c r="L2166" s="19"/>
      <c r="M2166" s="20"/>
    </row>
    <row r="2167">
      <c r="A2167" s="6"/>
      <c r="B2167" s="6"/>
      <c r="C2167" s="4"/>
      <c r="D2167" s="4"/>
      <c r="E2167" s="4"/>
      <c r="F2167" s="4"/>
      <c r="G2167" s="4"/>
      <c r="H2167" s="4"/>
      <c r="I2167" s="4"/>
      <c r="J2167" s="18"/>
      <c r="K2167" s="4"/>
      <c r="L2167" s="19"/>
      <c r="M2167" s="20"/>
    </row>
    <row r="2168">
      <c r="A2168" s="6"/>
      <c r="B2168" s="6"/>
      <c r="C2168" s="4"/>
      <c r="D2168" s="4"/>
      <c r="E2168" s="4"/>
      <c r="F2168" s="4"/>
      <c r="G2168" s="4"/>
      <c r="H2168" s="4"/>
      <c r="I2168" s="4"/>
      <c r="J2168" s="18"/>
      <c r="K2168" s="4"/>
      <c r="L2168" s="19"/>
      <c r="M2168" s="20"/>
    </row>
    <row r="2169">
      <c r="A2169" s="6"/>
      <c r="B2169" s="6"/>
      <c r="C2169" s="4"/>
      <c r="D2169" s="4"/>
      <c r="E2169" s="4"/>
      <c r="F2169" s="4"/>
      <c r="G2169" s="4"/>
      <c r="H2169" s="4"/>
      <c r="I2169" s="4"/>
      <c r="J2169" s="18"/>
      <c r="K2169" s="4"/>
      <c r="L2169" s="19"/>
      <c r="M2169" s="20"/>
    </row>
    <row r="2170">
      <c r="A2170" s="6"/>
      <c r="B2170" s="6"/>
      <c r="C2170" s="4"/>
      <c r="D2170" s="4"/>
      <c r="E2170" s="4"/>
      <c r="F2170" s="4"/>
      <c r="G2170" s="4"/>
      <c r="H2170" s="4"/>
      <c r="I2170" s="4"/>
      <c r="J2170" s="18"/>
      <c r="K2170" s="4"/>
      <c r="L2170" s="19"/>
      <c r="M2170" s="20"/>
    </row>
    <row r="2171">
      <c r="A2171" s="6"/>
      <c r="B2171" s="6"/>
      <c r="C2171" s="4"/>
      <c r="D2171" s="4"/>
      <c r="E2171" s="4"/>
      <c r="F2171" s="4"/>
      <c r="G2171" s="4"/>
      <c r="H2171" s="4"/>
      <c r="I2171" s="4"/>
      <c r="J2171" s="18"/>
      <c r="K2171" s="4"/>
      <c r="L2171" s="19"/>
      <c r="M2171" s="20"/>
    </row>
    <row r="2172">
      <c r="A2172" s="6"/>
      <c r="B2172" s="6"/>
      <c r="C2172" s="4"/>
      <c r="D2172" s="4"/>
      <c r="E2172" s="4"/>
      <c r="F2172" s="4"/>
      <c r="G2172" s="4"/>
      <c r="H2172" s="4"/>
      <c r="I2172" s="4"/>
      <c r="J2172" s="18"/>
      <c r="K2172" s="4"/>
      <c r="L2172" s="19"/>
      <c r="M2172" s="20"/>
    </row>
    <row r="2173">
      <c r="A2173" s="6"/>
      <c r="B2173" s="6"/>
      <c r="C2173" s="4"/>
      <c r="D2173" s="4"/>
      <c r="E2173" s="4"/>
      <c r="F2173" s="4"/>
      <c r="G2173" s="4"/>
      <c r="H2173" s="4"/>
      <c r="I2173" s="4"/>
      <c r="J2173" s="18"/>
      <c r="K2173" s="4"/>
      <c r="L2173" s="19"/>
      <c r="M2173" s="20"/>
    </row>
    <row r="2174">
      <c r="A2174" s="6"/>
      <c r="B2174" s="6"/>
      <c r="C2174" s="4"/>
      <c r="D2174" s="4"/>
      <c r="E2174" s="4"/>
      <c r="F2174" s="4"/>
      <c r="G2174" s="4"/>
      <c r="H2174" s="4"/>
      <c r="I2174" s="4"/>
      <c r="J2174" s="18"/>
      <c r="K2174" s="4"/>
      <c r="L2174" s="19"/>
      <c r="M2174" s="20"/>
    </row>
    <row r="2175">
      <c r="A2175" s="6"/>
      <c r="B2175" s="6"/>
      <c r="C2175" s="4"/>
      <c r="D2175" s="4"/>
      <c r="E2175" s="4"/>
      <c r="F2175" s="4"/>
      <c r="G2175" s="4"/>
      <c r="H2175" s="4"/>
      <c r="I2175" s="4"/>
      <c r="J2175" s="18"/>
      <c r="K2175" s="4"/>
      <c r="L2175" s="19"/>
      <c r="M2175" s="20"/>
    </row>
    <row r="2176">
      <c r="A2176" s="6"/>
      <c r="B2176" s="6"/>
      <c r="C2176" s="4"/>
      <c r="D2176" s="4"/>
      <c r="E2176" s="4"/>
      <c r="F2176" s="4"/>
      <c r="G2176" s="4"/>
      <c r="H2176" s="4"/>
      <c r="I2176" s="4"/>
      <c r="J2176" s="18"/>
      <c r="K2176" s="4"/>
      <c r="L2176" s="19"/>
      <c r="M2176" s="20"/>
    </row>
    <row r="2177">
      <c r="A2177" s="6"/>
      <c r="B2177" s="6"/>
      <c r="C2177" s="4"/>
      <c r="D2177" s="4"/>
      <c r="E2177" s="4"/>
      <c r="F2177" s="4"/>
      <c r="G2177" s="4"/>
      <c r="H2177" s="4"/>
      <c r="I2177" s="4"/>
      <c r="J2177" s="18"/>
      <c r="K2177" s="4"/>
      <c r="L2177" s="19"/>
      <c r="M2177" s="20"/>
    </row>
    <row r="2178">
      <c r="A2178" s="6"/>
      <c r="B2178" s="6"/>
      <c r="C2178" s="4"/>
      <c r="D2178" s="4"/>
      <c r="E2178" s="4"/>
      <c r="F2178" s="4"/>
      <c r="G2178" s="4"/>
      <c r="H2178" s="4"/>
      <c r="I2178" s="4"/>
      <c r="J2178" s="18"/>
      <c r="K2178" s="4"/>
      <c r="L2178" s="19"/>
      <c r="M2178" s="20"/>
    </row>
    <row r="2179">
      <c r="A2179" s="6"/>
      <c r="B2179" s="6"/>
      <c r="C2179" s="4"/>
      <c r="D2179" s="4"/>
      <c r="E2179" s="4"/>
      <c r="F2179" s="4"/>
      <c r="G2179" s="4"/>
      <c r="H2179" s="4"/>
      <c r="I2179" s="4"/>
      <c r="J2179" s="18"/>
      <c r="K2179" s="4"/>
      <c r="L2179" s="19"/>
      <c r="M2179" s="20"/>
    </row>
    <row r="2180">
      <c r="A2180" s="6"/>
      <c r="B2180" s="6"/>
      <c r="C2180" s="4"/>
      <c r="D2180" s="4"/>
      <c r="E2180" s="4"/>
      <c r="F2180" s="4"/>
      <c r="G2180" s="4"/>
      <c r="H2180" s="4"/>
      <c r="I2180" s="4"/>
      <c r="J2180" s="18"/>
      <c r="K2180" s="4"/>
      <c r="L2180" s="19"/>
      <c r="M2180" s="20"/>
    </row>
    <row r="2181">
      <c r="A2181" s="6"/>
      <c r="B2181" s="6"/>
      <c r="C2181" s="4"/>
      <c r="D2181" s="4"/>
      <c r="E2181" s="4"/>
      <c r="F2181" s="4"/>
      <c r="G2181" s="4"/>
      <c r="H2181" s="4"/>
      <c r="I2181" s="4"/>
      <c r="J2181" s="18"/>
      <c r="K2181" s="4"/>
      <c r="L2181" s="19"/>
      <c r="M2181" s="20"/>
    </row>
    <row r="2182">
      <c r="A2182" s="6"/>
      <c r="B2182" s="6"/>
      <c r="C2182" s="4"/>
      <c r="D2182" s="4"/>
      <c r="E2182" s="4"/>
      <c r="F2182" s="4"/>
      <c r="G2182" s="4"/>
      <c r="H2182" s="4"/>
      <c r="I2182" s="4"/>
      <c r="J2182" s="18"/>
      <c r="K2182" s="4"/>
      <c r="L2182" s="19"/>
      <c r="M2182" s="20"/>
    </row>
    <row r="2183">
      <c r="A2183" s="6"/>
      <c r="B2183" s="6"/>
      <c r="C2183" s="4"/>
      <c r="D2183" s="4"/>
      <c r="E2183" s="4"/>
      <c r="F2183" s="4"/>
      <c r="G2183" s="4"/>
      <c r="H2183" s="4"/>
      <c r="I2183" s="4"/>
      <c r="J2183" s="18"/>
      <c r="K2183" s="4"/>
      <c r="L2183" s="19"/>
      <c r="M2183" s="20"/>
    </row>
    <row r="2184">
      <c r="A2184" s="6"/>
      <c r="B2184" s="6"/>
      <c r="C2184" s="4"/>
      <c r="D2184" s="4"/>
      <c r="E2184" s="4"/>
      <c r="F2184" s="4"/>
      <c r="G2184" s="4"/>
      <c r="H2184" s="4"/>
      <c r="I2184" s="4"/>
      <c r="J2184" s="18"/>
      <c r="K2184" s="4"/>
      <c r="L2184" s="19"/>
      <c r="M2184" s="20"/>
    </row>
    <row r="2185">
      <c r="A2185" s="6"/>
      <c r="B2185" s="6"/>
      <c r="C2185" s="4"/>
      <c r="D2185" s="4"/>
      <c r="E2185" s="4"/>
      <c r="F2185" s="4"/>
      <c r="G2185" s="4"/>
      <c r="H2185" s="4"/>
      <c r="I2185" s="4"/>
      <c r="J2185" s="18"/>
      <c r="K2185" s="4"/>
      <c r="L2185" s="19"/>
      <c r="M2185" s="20"/>
    </row>
    <row r="2186">
      <c r="A2186" s="6"/>
      <c r="B2186" s="6"/>
      <c r="C2186" s="4"/>
      <c r="D2186" s="4"/>
      <c r="E2186" s="4"/>
      <c r="F2186" s="4"/>
      <c r="G2186" s="4"/>
      <c r="H2186" s="4"/>
      <c r="I2186" s="4"/>
      <c r="J2186" s="18"/>
      <c r="K2186" s="4"/>
      <c r="L2186" s="19"/>
      <c r="M2186" s="20"/>
    </row>
    <row r="2187">
      <c r="A2187" s="6"/>
      <c r="B2187" s="6"/>
      <c r="C2187" s="4"/>
      <c r="D2187" s="4"/>
      <c r="E2187" s="4"/>
      <c r="F2187" s="4"/>
      <c r="G2187" s="4"/>
      <c r="H2187" s="4"/>
      <c r="I2187" s="4"/>
      <c r="J2187" s="18"/>
      <c r="K2187" s="4"/>
      <c r="L2187" s="19"/>
      <c r="M2187" s="20"/>
    </row>
    <row r="2188">
      <c r="A2188" s="6"/>
      <c r="B2188" s="6"/>
      <c r="C2188" s="4"/>
      <c r="D2188" s="4"/>
      <c r="E2188" s="4"/>
      <c r="F2188" s="4"/>
      <c r="G2188" s="4"/>
      <c r="H2188" s="4"/>
      <c r="I2188" s="4"/>
      <c r="J2188" s="18"/>
      <c r="K2188" s="4"/>
      <c r="L2188" s="19"/>
      <c r="M2188" s="20"/>
    </row>
    <row r="2189">
      <c r="A2189" s="6"/>
      <c r="B2189" s="6"/>
      <c r="C2189" s="4"/>
      <c r="D2189" s="4"/>
      <c r="E2189" s="4"/>
      <c r="F2189" s="4"/>
      <c r="G2189" s="4"/>
      <c r="H2189" s="4"/>
      <c r="I2189" s="4"/>
      <c r="J2189" s="18"/>
      <c r="K2189" s="4"/>
      <c r="L2189" s="19"/>
      <c r="M2189" s="20"/>
    </row>
    <row r="2190">
      <c r="A2190" s="6"/>
      <c r="B2190" s="6"/>
      <c r="C2190" s="4"/>
      <c r="D2190" s="4"/>
      <c r="E2190" s="4"/>
      <c r="F2190" s="4"/>
      <c r="G2190" s="4"/>
      <c r="H2190" s="4"/>
      <c r="I2190" s="4"/>
      <c r="J2190" s="18"/>
      <c r="K2190" s="4"/>
      <c r="L2190" s="19"/>
      <c r="M2190" s="20"/>
    </row>
    <row r="2191">
      <c r="A2191" s="6"/>
      <c r="B2191" s="6"/>
      <c r="C2191" s="4"/>
      <c r="D2191" s="4"/>
      <c r="E2191" s="4"/>
      <c r="F2191" s="4"/>
      <c r="G2191" s="4"/>
      <c r="H2191" s="4"/>
      <c r="I2191" s="4"/>
      <c r="J2191" s="18"/>
      <c r="K2191" s="4"/>
      <c r="L2191" s="19"/>
      <c r="M2191" s="20"/>
    </row>
    <row r="2192">
      <c r="A2192" s="6"/>
      <c r="B2192" s="6"/>
      <c r="C2192" s="4"/>
      <c r="D2192" s="4"/>
      <c r="E2192" s="4"/>
      <c r="F2192" s="4"/>
      <c r="G2192" s="4"/>
      <c r="H2192" s="4"/>
      <c r="I2192" s="4"/>
      <c r="J2192" s="18"/>
      <c r="K2192" s="4"/>
      <c r="L2192" s="19"/>
      <c r="M2192" s="20"/>
    </row>
    <row r="2193">
      <c r="A2193" s="6"/>
      <c r="B2193" s="6"/>
      <c r="C2193" s="4"/>
      <c r="D2193" s="4"/>
      <c r="E2193" s="4"/>
      <c r="F2193" s="4"/>
      <c r="G2193" s="4"/>
      <c r="H2193" s="4"/>
      <c r="I2193" s="4"/>
      <c r="J2193" s="18"/>
      <c r="K2193" s="4"/>
      <c r="L2193" s="19"/>
      <c r="M2193" s="20"/>
    </row>
    <row r="2194">
      <c r="A2194" s="6"/>
      <c r="B2194" s="6"/>
      <c r="C2194" s="4"/>
      <c r="D2194" s="4"/>
      <c r="E2194" s="4"/>
      <c r="F2194" s="4"/>
      <c r="G2194" s="4"/>
      <c r="H2194" s="4"/>
      <c r="I2194" s="4"/>
      <c r="J2194" s="18"/>
      <c r="K2194" s="4"/>
      <c r="L2194" s="19"/>
      <c r="M2194" s="20"/>
    </row>
    <row r="2195">
      <c r="A2195" s="6"/>
      <c r="B2195" s="6"/>
      <c r="C2195" s="4"/>
      <c r="D2195" s="4"/>
      <c r="E2195" s="4"/>
      <c r="F2195" s="4"/>
      <c r="G2195" s="4"/>
      <c r="H2195" s="4"/>
      <c r="I2195" s="4"/>
      <c r="J2195" s="18"/>
      <c r="K2195" s="4"/>
      <c r="L2195" s="19"/>
      <c r="M2195" s="20"/>
    </row>
    <row r="2196">
      <c r="A2196" s="6"/>
      <c r="B2196" s="6"/>
      <c r="C2196" s="4"/>
      <c r="D2196" s="4"/>
      <c r="E2196" s="4"/>
      <c r="F2196" s="4"/>
      <c r="G2196" s="4"/>
      <c r="H2196" s="4"/>
      <c r="I2196" s="4"/>
      <c r="J2196" s="18"/>
      <c r="K2196" s="4"/>
      <c r="L2196" s="19"/>
      <c r="M2196" s="20"/>
    </row>
    <row r="2197">
      <c r="A2197" s="6"/>
      <c r="B2197" s="6"/>
      <c r="C2197" s="4"/>
      <c r="D2197" s="4"/>
      <c r="E2197" s="4"/>
      <c r="F2197" s="4"/>
      <c r="G2197" s="4"/>
      <c r="H2197" s="4"/>
      <c r="I2197" s="4"/>
      <c r="J2197" s="18"/>
      <c r="K2197" s="4"/>
      <c r="L2197" s="19"/>
      <c r="M2197" s="20"/>
    </row>
    <row r="2198">
      <c r="A2198" s="6"/>
      <c r="B2198" s="6"/>
      <c r="C2198" s="4"/>
      <c r="D2198" s="4"/>
      <c r="E2198" s="4"/>
      <c r="F2198" s="4"/>
      <c r="G2198" s="4"/>
      <c r="H2198" s="4"/>
      <c r="I2198" s="4"/>
      <c r="J2198" s="18"/>
      <c r="K2198" s="4"/>
      <c r="L2198" s="19"/>
      <c r="M2198" s="20"/>
    </row>
    <row r="2199">
      <c r="A2199" s="6"/>
      <c r="B2199" s="6"/>
      <c r="C2199" s="4"/>
      <c r="D2199" s="4"/>
      <c r="E2199" s="4"/>
      <c r="F2199" s="4"/>
      <c r="G2199" s="4"/>
      <c r="H2199" s="4"/>
      <c r="I2199" s="4"/>
      <c r="J2199" s="18"/>
      <c r="K2199" s="4"/>
      <c r="L2199" s="19"/>
      <c r="M2199" s="20"/>
    </row>
    <row r="2200">
      <c r="A2200" s="6"/>
      <c r="B2200" s="6"/>
      <c r="C2200" s="4"/>
      <c r="D2200" s="4"/>
      <c r="E2200" s="4"/>
      <c r="F2200" s="4"/>
      <c r="G2200" s="4"/>
      <c r="H2200" s="4"/>
      <c r="I2200" s="4"/>
      <c r="J2200" s="18"/>
      <c r="K2200" s="4"/>
      <c r="L2200" s="19"/>
      <c r="M2200" s="20"/>
    </row>
    <row r="2201">
      <c r="A2201" s="6"/>
      <c r="B2201" s="6"/>
      <c r="C2201" s="4"/>
      <c r="D2201" s="4"/>
      <c r="E2201" s="4"/>
      <c r="F2201" s="4"/>
      <c r="G2201" s="4"/>
      <c r="H2201" s="4"/>
      <c r="I2201" s="4"/>
      <c r="J2201" s="18"/>
      <c r="K2201" s="4"/>
      <c r="L2201" s="19"/>
      <c r="M2201" s="20"/>
    </row>
    <row r="2202">
      <c r="A2202" s="6"/>
      <c r="B2202" s="6"/>
      <c r="C2202" s="4"/>
      <c r="D2202" s="4"/>
      <c r="E2202" s="4"/>
      <c r="F2202" s="4"/>
      <c r="G2202" s="4"/>
      <c r="H2202" s="4"/>
      <c r="I2202" s="4"/>
      <c r="J2202" s="18"/>
      <c r="K2202" s="4"/>
      <c r="L2202" s="19"/>
      <c r="M2202" s="20"/>
    </row>
    <row r="2203">
      <c r="A2203" s="6"/>
      <c r="B2203" s="6"/>
      <c r="C2203" s="4"/>
      <c r="D2203" s="4"/>
      <c r="E2203" s="4"/>
      <c r="F2203" s="4"/>
      <c r="G2203" s="4"/>
      <c r="H2203" s="4"/>
      <c r="I2203" s="4"/>
      <c r="J2203" s="18"/>
      <c r="K2203" s="4"/>
      <c r="L2203" s="19"/>
      <c r="M2203" s="20"/>
    </row>
    <row r="2204">
      <c r="A2204" s="6"/>
      <c r="B2204" s="6"/>
      <c r="C2204" s="4"/>
      <c r="D2204" s="4"/>
      <c r="E2204" s="4"/>
      <c r="F2204" s="4"/>
      <c r="G2204" s="4"/>
      <c r="H2204" s="4"/>
      <c r="I2204" s="4"/>
      <c r="J2204" s="18"/>
      <c r="K2204" s="4"/>
      <c r="L2204" s="19"/>
      <c r="M2204" s="20"/>
    </row>
    <row r="2205">
      <c r="A2205" s="6"/>
      <c r="B2205" s="6"/>
      <c r="C2205" s="4"/>
      <c r="D2205" s="4"/>
      <c r="E2205" s="4"/>
      <c r="F2205" s="4"/>
      <c r="G2205" s="4"/>
      <c r="H2205" s="4"/>
      <c r="I2205" s="4"/>
      <c r="J2205" s="18"/>
      <c r="K2205" s="4"/>
      <c r="L2205" s="19"/>
      <c r="M2205" s="20"/>
    </row>
    <row r="2206">
      <c r="A2206" s="6"/>
      <c r="B2206" s="6"/>
      <c r="C2206" s="4"/>
      <c r="D2206" s="4"/>
      <c r="E2206" s="4"/>
      <c r="F2206" s="4"/>
      <c r="G2206" s="4"/>
      <c r="H2206" s="4"/>
      <c r="I2206" s="4"/>
      <c r="J2206" s="18"/>
      <c r="K2206" s="4"/>
      <c r="L2206" s="19"/>
      <c r="M2206" s="20"/>
    </row>
    <row r="2207">
      <c r="A2207" s="6"/>
      <c r="B2207" s="6"/>
      <c r="C2207" s="4"/>
      <c r="D2207" s="4"/>
      <c r="E2207" s="4"/>
      <c r="F2207" s="4"/>
      <c r="G2207" s="4"/>
      <c r="H2207" s="4"/>
      <c r="I2207" s="4"/>
      <c r="J2207" s="18"/>
      <c r="K2207" s="4"/>
      <c r="L2207" s="19"/>
      <c r="M2207" s="20"/>
    </row>
    <row r="2208">
      <c r="A2208" s="6"/>
      <c r="B2208" s="6"/>
      <c r="C2208" s="4"/>
      <c r="D2208" s="4"/>
      <c r="E2208" s="4"/>
      <c r="F2208" s="4"/>
      <c r="G2208" s="4"/>
      <c r="H2208" s="4"/>
      <c r="I2208" s="4"/>
      <c r="J2208" s="18"/>
      <c r="K2208" s="4"/>
      <c r="L2208" s="19"/>
      <c r="M2208" s="20"/>
    </row>
    <row r="2209">
      <c r="A2209" s="6"/>
      <c r="B2209" s="6"/>
      <c r="C2209" s="4"/>
      <c r="D2209" s="4"/>
      <c r="E2209" s="4"/>
      <c r="F2209" s="4"/>
      <c r="G2209" s="4"/>
      <c r="H2209" s="4"/>
      <c r="I2209" s="4"/>
      <c r="J2209" s="18"/>
      <c r="K2209" s="4"/>
      <c r="L2209" s="19"/>
      <c r="M2209" s="20"/>
    </row>
    <row r="2210">
      <c r="A2210" s="6"/>
      <c r="B2210" s="6"/>
      <c r="C2210" s="4"/>
      <c r="D2210" s="4"/>
      <c r="E2210" s="4"/>
      <c r="F2210" s="4"/>
      <c r="G2210" s="4"/>
      <c r="H2210" s="4"/>
      <c r="I2210" s="4"/>
      <c r="J2210" s="18"/>
      <c r="K2210" s="4"/>
      <c r="L2210" s="19"/>
      <c r="M2210" s="20"/>
    </row>
    <row r="2211">
      <c r="A2211" s="6"/>
      <c r="B2211" s="6"/>
      <c r="C2211" s="4"/>
      <c r="D2211" s="4"/>
      <c r="E2211" s="4"/>
      <c r="F2211" s="4"/>
      <c r="G2211" s="4"/>
      <c r="H2211" s="4"/>
      <c r="I2211" s="4"/>
      <c r="J2211" s="18"/>
      <c r="K2211" s="4"/>
      <c r="L2211" s="19"/>
      <c r="M2211" s="20"/>
    </row>
    <row r="2212">
      <c r="A2212" s="6"/>
      <c r="B2212" s="6"/>
      <c r="C2212" s="4"/>
      <c r="D2212" s="4"/>
      <c r="E2212" s="4"/>
      <c r="F2212" s="4"/>
      <c r="G2212" s="4"/>
      <c r="H2212" s="4"/>
      <c r="I2212" s="4"/>
      <c r="J2212" s="18"/>
      <c r="K2212" s="4"/>
      <c r="L2212" s="19"/>
      <c r="M2212" s="20"/>
    </row>
    <row r="2213">
      <c r="A2213" s="6"/>
      <c r="B2213" s="6"/>
      <c r="C2213" s="4"/>
      <c r="D2213" s="4"/>
      <c r="E2213" s="4"/>
      <c r="F2213" s="4"/>
      <c r="G2213" s="4"/>
      <c r="H2213" s="4"/>
      <c r="I2213" s="4"/>
      <c r="J2213" s="18"/>
      <c r="K2213" s="4"/>
      <c r="L2213" s="19"/>
      <c r="M2213" s="20"/>
    </row>
    <row r="2214">
      <c r="A2214" s="6"/>
      <c r="B2214" s="6"/>
      <c r="C2214" s="4"/>
      <c r="D2214" s="4"/>
      <c r="E2214" s="4"/>
      <c r="F2214" s="4"/>
      <c r="G2214" s="4"/>
      <c r="H2214" s="4"/>
      <c r="I2214" s="4"/>
      <c r="J2214" s="18"/>
      <c r="K2214" s="4"/>
      <c r="L2214" s="19"/>
      <c r="M2214" s="20"/>
    </row>
    <row r="2215">
      <c r="A2215" s="6"/>
      <c r="B2215" s="6"/>
      <c r="C2215" s="4"/>
      <c r="D2215" s="4"/>
      <c r="E2215" s="4"/>
      <c r="F2215" s="4"/>
      <c r="G2215" s="4"/>
      <c r="H2215" s="4"/>
      <c r="I2215" s="4"/>
      <c r="J2215" s="18"/>
      <c r="K2215" s="4"/>
      <c r="L2215" s="19"/>
      <c r="M2215" s="20"/>
    </row>
    <row r="2216">
      <c r="A2216" s="6"/>
      <c r="B2216" s="6"/>
      <c r="C2216" s="4"/>
      <c r="D2216" s="4"/>
      <c r="E2216" s="4"/>
      <c r="F2216" s="4"/>
      <c r="G2216" s="4"/>
      <c r="H2216" s="4"/>
      <c r="I2216" s="4"/>
      <c r="J2216" s="18"/>
      <c r="K2216" s="4"/>
      <c r="L2216" s="19"/>
      <c r="M2216" s="20"/>
    </row>
    <row r="2217">
      <c r="A2217" s="6"/>
      <c r="B2217" s="6"/>
      <c r="C2217" s="4"/>
      <c r="D2217" s="4"/>
      <c r="E2217" s="4"/>
      <c r="F2217" s="4"/>
      <c r="G2217" s="4"/>
      <c r="H2217" s="4"/>
      <c r="I2217" s="4"/>
      <c r="J2217" s="18"/>
      <c r="K2217" s="4"/>
      <c r="L2217" s="19"/>
      <c r="M2217" s="20"/>
    </row>
    <row r="2218">
      <c r="A2218" s="6"/>
      <c r="B2218" s="6"/>
      <c r="C2218" s="4"/>
      <c r="D2218" s="4"/>
      <c r="E2218" s="4"/>
      <c r="F2218" s="4"/>
      <c r="G2218" s="4"/>
      <c r="H2218" s="4"/>
      <c r="I2218" s="4"/>
      <c r="J2218" s="18"/>
      <c r="K2218" s="4"/>
      <c r="L2218" s="19"/>
      <c r="M2218" s="20"/>
    </row>
    <row r="2219">
      <c r="A2219" s="6"/>
      <c r="B2219" s="6"/>
      <c r="C2219" s="4"/>
      <c r="D2219" s="4"/>
      <c r="E2219" s="4"/>
      <c r="F2219" s="4"/>
      <c r="G2219" s="4"/>
      <c r="H2219" s="4"/>
      <c r="I2219" s="4"/>
      <c r="J2219" s="18"/>
      <c r="K2219" s="4"/>
      <c r="L2219" s="19"/>
      <c r="M2219" s="20"/>
    </row>
    <row r="2220">
      <c r="A2220" s="6"/>
      <c r="B2220" s="6"/>
      <c r="C2220" s="4"/>
      <c r="D2220" s="4"/>
      <c r="E2220" s="4"/>
      <c r="F2220" s="4"/>
      <c r="G2220" s="4"/>
      <c r="H2220" s="4"/>
      <c r="I2220" s="4"/>
      <c r="J2220" s="18"/>
      <c r="K2220" s="4"/>
      <c r="L2220" s="19"/>
      <c r="M2220" s="20"/>
    </row>
    <row r="2221">
      <c r="A2221" s="6"/>
      <c r="B2221" s="6"/>
      <c r="C2221" s="4"/>
      <c r="D2221" s="4"/>
      <c r="E2221" s="4"/>
      <c r="F2221" s="4"/>
      <c r="G2221" s="4"/>
      <c r="H2221" s="4"/>
      <c r="I2221" s="4"/>
      <c r="J2221" s="18"/>
      <c r="K2221" s="4"/>
      <c r="L2221" s="19"/>
      <c r="M2221" s="20"/>
    </row>
    <row r="2222">
      <c r="A2222" s="6"/>
      <c r="B2222" s="6"/>
      <c r="C2222" s="4"/>
      <c r="D2222" s="4"/>
      <c r="E2222" s="4"/>
      <c r="F2222" s="4"/>
      <c r="G2222" s="4"/>
      <c r="H2222" s="4"/>
      <c r="I2222" s="4"/>
      <c r="J2222" s="18"/>
      <c r="K2222" s="4"/>
      <c r="L2222" s="19"/>
      <c r="M2222" s="20"/>
    </row>
    <row r="2223">
      <c r="A2223" s="6"/>
      <c r="B2223" s="6"/>
      <c r="C2223" s="4"/>
      <c r="D2223" s="4"/>
      <c r="E2223" s="4"/>
      <c r="F2223" s="4"/>
      <c r="G2223" s="4"/>
      <c r="H2223" s="4"/>
      <c r="I2223" s="4"/>
      <c r="J2223" s="18"/>
      <c r="K2223" s="4"/>
      <c r="L2223" s="19"/>
      <c r="M2223" s="20"/>
    </row>
    <row r="2224">
      <c r="A2224" s="6"/>
      <c r="B2224" s="6"/>
      <c r="C2224" s="4"/>
      <c r="D2224" s="4"/>
      <c r="E2224" s="4"/>
      <c r="F2224" s="4"/>
      <c r="G2224" s="4"/>
      <c r="H2224" s="4"/>
      <c r="I2224" s="4"/>
      <c r="J2224" s="18"/>
      <c r="K2224" s="4"/>
      <c r="L2224" s="19"/>
      <c r="M2224" s="20"/>
    </row>
    <row r="2225">
      <c r="A2225" s="6"/>
      <c r="B2225" s="6"/>
      <c r="C2225" s="4"/>
      <c r="D2225" s="4"/>
      <c r="E2225" s="4"/>
      <c r="F2225" s="4"/>
      <c r="G2225" s="4"/>
      <c r="H2225" s="4"/>
      <c r="I2225" s="4"/>
      <c r="J2225" s="18"/>
      <c r="K2225" s="4"/>
      <c r="L2225" s="19"/>
      <c r="M2225" s="20"/>
    </row>
    <row r="2226">
      <c r="A2226" s="6"/>
      <c r="B2226" s="6"/>
      <c r="C2226" s="4"/>
      <c r="D2226" s="4"/>
      <c r="E2226" s="4"/>
      <c r="F2226" s="4"/>
      <c r="G2226" s="4"/>
      <c r="H2226" s="4"/>
      <c r="I2226" s="4"/>
      <c r="J2226" s="18"/>
      <c r="K2226" s="4"/>
      <c r="L2226" s="19"/>
      <c r="M2226" s="20"/>
    </row>
    <row r="2227">
      <c r="A2227" s="6"/>
      <c r="B2227" s="6"/>
      <c r="C2227" s="4"/>
      <c r="D2227" s="4"/>
      <c r="E2227" s="4"/>
      <c r="F2227" s="4"/>
      <c r="G2227" s="4"/>
      <c r="H2227" s="4"/>
      <c r="I2227" s="4"/>
      <c r="J2227" s="18"/>
      <c r="K2227" s="4"/>
      <c r="L2227" s="19"/>
      <c r="M2227" s="20"/>
    </row>
    <row r="2228">
      <c r="A2228" s="6"/>
      <c r="B2228" s="6"/>
      <c r="C2228" s="4"/>
      <c r="D2228" s="4"/>
      <c r="E2228" s="4"/>
      <c r="F2228" s="4"/>
      <c r="G2228" s="4"/>
      <c r="H2228" s="4"/>
      <c r="I2228" s="4"/>
      <c r="J2228" s="18"/>
      <c r="K2228" s="4"/>
      <c r="L2228" s="19"/>
      <c r="M2228" s="20"/>
    </row>
    <row r="2229">
      <c r="A2229" s="6"/>
      <c r="B2229" s="6"/>
      <c r="C2229" s="4"/>
      <c r="D2229" s="4"/>
      <c r="E2229" s="4"/>
      <c r="F2229" s="4"/>
      <c r="G2229" s="4"/>
      <c r="H2229" s="4"/>
      <c r="I2229" s="4"/>
      <c r="J2229" s="18"/>
      <c r="K2229" s="4"/>
      <c r="L2229" s="19"/>
      <c r="M2229" s="20"/>
    </row>
    <row r="2230">
      <c r="A2230" s="6"/>
      <c r="B2230" s="6"/>
      <c r="C2230" s="4"/>
      <c r="D2230" s="4"/>
      <c r="E2230" s="4"/>
      <c r="F2230" s="4"/>
      <c r="G2230" s="4"/>
      <c r="H2230" s="4"/>
      <c r="I2230" s="4"/>
      <c r="J2230" s="18"/>
      <c r="K2230" s="4"/>
      <c r="L2230" s="19"/>
      <c r="M2230" s="20"/>
    </row>
    <row r="2231">
      <c r="A2231" s="6"/>
      <c r="B2231" s="6"/>
      <c r="C2231" s="4"/>
      <c r="D2231" s="4"/>
      <c r="E2231" s="4"/>
      <c r="F2231" s="4"/>
      <c r="G2231" s="4"/>
      <c r="H2231" s="4"/>
      <c r="I2231" s="4"/>
      <c r="J2231" s="18"/>
      <c r="K2231" s="4"/>
      <c r="L2231" s="19"/>
      <c r="M2231" s="20"/>
    </row>
    <row r="2232">
      <c r="A2232" s="6"/>
      <c r="B2232" s="6"/>
      <c r="C2232" s="4"/>
      <c r="D2232" s="4"/>
      <c r="E2232" s="4"/>
      <c r="F2232" s="4"/>
      <c r="G2232" s="4"/>
      <c r="H2232" s="4"/>
      <c r="I2232" s="4"/>
      <c r="J2232" s="18"/>
      <c r="K2232" s="4"/>
      <c r="L2232" s="19"/>
      <c r="M2232" s="20"/>
    </row>
    <row r="2233">
      <c r="A2233" s="6"/>
      <c r="B2233" s="6"/>
      <c r="C2233" s="4"/>
      <c r="D2233" s="4"/>
      <c r="E2233" s="4"/>
      <c r="F2233" s="4"/>
      <c r="G2233" s="4"/>
      <c r="H2233" s="4"/>
      <c r="I2233" s="4"/>
      <c r="J2233" s="18"/>
      <c r="K2233" s="4"/>
      <c r="L2233" s="19"/>
      <c r="M2233" s="20"/>
    </row>
    <row r="2234">
      <c r="A2234" s="6"/>
      <c r="B2234" s="6"/>
      <c r="C2234" s="4"/>
      <c r="D2234" s="4"/>
      <c r="E2234" s="4"/>
      <c r="F2234" s="4"/>
      <c r="G2234" s="4"/>
      <c r="H2234" s="4"/>
      <c r="I2234" s="4"/>
      <c r="J2234" s="18"/>
      <c r="K2234" s="4"/>
      <c r="L2234" s="19"/>
      <c r="M2234" s="20"/>
    </row>
    <row r="2235">
      <c r="A2235" s="6"/>
      <c r="B2235" s="6"/>
      <c r="C2235" s="4"/>
      <c r="D2235" s="4"/>
      <c r="E2235" s="4"/>
      <c r="F2235" s="4"/>
      <c r="G2235" s="4"/>
      <c r="H2235" s="4"/>
      <c r="I2235" s="4"/>
      <c r="J2235" s="18"/>
      <c r="K2235" s="4"/>
      <c r="L2235" s="19"/>
      <c r="M2235" s="20"/>
    </row>
    <row r="2236">
      <c r="A2236" s="6"/>
      <c r="B2236" s="6"/>
      <c r="C2236" s="4"/>
      <c r="D2236" s="4"/>
      <c r="E2236" s="4"/>
      <c r="F2236" s="4"/>
      <c r="G2236" s="4"/>
      <c r="H2236" s="4"/>
      <c r="I2236" s="4"/>
      <c r="J2236" s="18"/>
      <c r="K2236" s="4"/>
      <c r="L2236" s="19"/>
      <c r="M2236" s="20"/>
    </row>
    <row r="2237">
      <c r="A2237" s="6"/>
      <c r="B2237" s="6"/>
      <c r="C2237" s="4"/>
      <c r="D2237" s="4"/>
      <c r="E2237" s="4"/>
      <c r="F2237" s="4"/>
      <c r="G2237" s="4"/>
      <c r="H2237" s="4"/>
      <c r="I2237" s="4"/>
      <c r="J2237" s="18"/>
      <c r="K2237" s="4"/>
      <c r="L2237" s="19"/>
      <c r="M2237" s="20"/>
    </row>
    <row r="2238">
      <c r="A2238" s="6"/>
      <c r="B2238" s="6"/>
      <c r="C2238" s="4"/>
      <c r="D2238" s="4"/>
      <c r="E2238" s="4"/>
      <c r="F2238" s="4"/>
      <c r="G2238" s="4"/>
      <c r="H2238" s="4"/>
      <c r="I2238" s="4"/>
      <c r="J2238" s="18"/>
      <c r="K2238" s="4"/>
      <c r="L2238" s="19"/>
      <c r="M2238" s="20"/>
    </row>
    <row r="2239">
      <c r="A2239" s="6"/>
      <c r="B2239" s="6"/>
      <c r="C2239" s="4"/>
      <c r="D2239" s="4"/>
      <c r="E2239" s="4"/>
      <c r="F2239" s="4"/>
      <c r="G2239" s="4"/>
      <c r="H2239" s="4"/>
      <c r="I2239" s="4"/>
      <c r="J2239" s="18"/>
      <c r="K2239" s="4"/>
      <c r="L2239" s="19"/>
      <c r="M2239" s="20"/>
    </row>
    <row r="2240">
      <c r="A2240" s="6"/>
      <c r="B2240" s="6"/>
      <c r="C2240" s="4"/>
      <c r="D2240" s="4"/>
      <c r="E2240" s="4"/>
      <c r="F2240" s="4"/>
      <c r="G2240" s="4"/>
      <c r="H2240" s="4"/>
      <c r="I2240" s="4"/>
      <c r="J2240" s="18"/>
      <c r="K2240" s="4"/>
      <c r="L2240" s="19"/>
      <c r="M2240" s="20"/>
    </row>
    <row r="2241">
      <c r="A2241" s="6"/>
      <c r="B2241" s="6"/>
      <c r="C2241" s="4"/>
      <c r="D2241" s="4"/>
      <c r="E2241" s="4"/>
      <c r="F2241" s="4"/>
      <c r="G2241" s="4"/>
      <c r="H2241" s="4"/>
      <c r="I2241" s="4"/>
      <c r="J2241" s="18"/>
      <c r="K2241" s="4"/>
      <c r="L2241" s="19"/>
      <c r="M2241" s="20"/>
    </row>
    <row r="2242">
      <c r="A2242" s="6"/>
      <c r="B2242" s="6"/>
      <c r="C2242" s="4"/>
      <c r="D2242" s="4"/>
      <c r="E2242" s="4"/>
      <c r="F2242" s="4"/>
      <c r="G2242" s="4"/>
      <c r="H2242" s="4"/>
      <c r="I2242" s="4"/>
      <c r="J2242" s="18"/>
      <c r="K2242" s="4"/>
      <c r="L2242" s="19"/>
      <c r="M2242" s="20"/>
    </row>
    <row r="2243">
      <c r="A2243" s="6"/>
      <c r="B2243" s="6"/>
      <c r="C2243" s="4"/>
      <c r="D2243" s="4"/>
      <c r="E2243" s="4"/>
      <c r="F2243" s="4"/>
      <c r="G2243" s="4"/>
      <c r="H2243" s="4"/>
      <c r="I2243" s="4"/>
      <c r="J2243" s="18"/>
      <c r="K2243" s="4"/>
      <c r="L2243" s="19"/>
      <c r="M2243" s="20"/>
    </row>
    <row r="2244">
      <c r="A2244" s="6"/>
      <c r="B2244" s="6"/>
      <c r="C2244" s="4"/>
      <c r="D2244" s="4"/>
      <c r="E2244" s="4"/>
      <c r="F2244" s="4"/>
      <c r="G2244" s="4"/>
      <c r="H2244" s="4"/>
      <c r="I2244" s="4"/>
      <c r="J2244" s="18"/>
      <c r="K2244" s="4"/>
      <c r="L2244" s="19"/>
      <c r="M2244" s="20"/>
    </row>
    <row r="2245">
      <c r="A2245" s="6"/>
      <c r="B2245" s="6"/>
      <c r="C2245" s="4"/>
      <c r="D2245" s="4"/>
      <c r="E2245" s="4"/>
      <c r="F2245" s="4"/>
      <c r="G2245" s="4"/>
      <c r="H2245" s="4"/>
      <c r="I2245" s="4"/>
      <c r="J2245" s="18"/>
      <c r="K2245" s="4"/>
      <c r="L2245" s="19"/>
      <c r="M2245" s="20"/>
    </row>
    <row r="2246">
      <c r="A2246" s="6"/>
      <c r="B2246" s="6"/>
      <c r="C2246" s="4"/>
      <c r="D2246" s="4"/>
      <c r="E2246" s="4"/>
      <c r="F2246" s="4"/>
      <c r="G2246" s="4"/>
      <c r="H2246" s="4"/>
      <c r="I2246" s="4"/>
      <c r="J2246" s="18"/>
      <c r="K2246" s="4"/>
      <c r="L2246" s="19"/>
      <c r="M2246" s="20"/>
    </row>
    <row r="2247">
      <c r="A2247" s="6"/>
      <c r="B2247" s="6"/>
      <c r="C2247" s="4"/>
      <c r="D2247" s="4"/>
      <c r="E2247" s="4"/>
      <c r="F2247" s="4"/>
      <c r="G2247" s="4"/>
      <c r="H2247" s="4"/>
      <c r="I2247" s="4"/>
      <c r="J2247" s="18"/>
      <c r="K2247" s="4"/>
      <c r="L2247" s="19"/>
      <c r="M2247" s="20"/>
    </row>
    <row r="2248">
      <c r="A2248" s="6"/>
      <c r="B2248" s="6"/>
      <c r="C2248" s="4"/>
      <c r="D2248" s="4"/>
      <c r="E2248" s="4"/>
      <c r="F2248" s="4"/>
      <c r="G2248" s="4"/>
      <c r="H2248" s="4"/>
      <c r="I2248" s="4"/>
      <c r="J2248" s="18"/>
      <c r="K2248" s="4"/>
      <c r="L2248" s="19"/>
      <c r="M2248" s="20"/>
    </row>
    <row r="2249">
      <c r="A2249" s="6"/>
      <c r="B2249" s="6"/>
      <c r="C2249" s="4"/>
      <c r="D2249" s="4"/>
      <c r="E2249" s="4"/>
      <c r="F2249" s="4"/>
      <c r="G2249" s="4"/>
      <c r="H2249" s="4"/>
      <c r="I2249" s="4"/>
      <c r="J2249" s="18"/>
      <c r="K2249" s="4"/>
      <c r="L2249" s="19"/>
      <c r="M2249" s="20"/>
    </row>
    <row r="2250">
      <c r="A2250" s="6"/>
      <c r="B2250" s="6"/>
      <c r="C2250" s="4"/>
      <c r="D2250" s="4"/>
      <c r="E2250" s="4"/>
      <c r="F2250" s="4"/>
      <c r="G2250" s="4"/>
      <c r="H2250" s="4"/>
      <c r="I2250" s="4"/>
      <c r="J2250" s="18"/>
      <c r="K2250" s="4"/>
      <c r="L2250" s="19"/>
      <c r="M2250" s="20"/>
    </row>
    <row r="2251">
      <c r="A2251" s="6"/>
      <c r="B2251" s="6"/>
      <c r="C2251" s="4"/>
      <c r="D2251" s="4"/>
      <c r="E2251" s="4"/>
      <c r="F2251" s="4"/>
      <c r="G2251" s="4"/>
      <c r="H2251" s="4"/>
      <c r="I2251" s="4"/>
      <c r="J2251" s="18"/>
      <c r="K2251" s="4"/>
      <c r="L2251" s="19"/>
      <c r="M2251" s="20"/>
    </row>
    <row r="2252">
      <c r="A2252" s="6"/>
      <c r="B2252" s="6"/>
      <c r="C2252" s="4"/>
      <c r="D2252" s="4"/>
      <c r="E2252" s="4"/>
      <c r="F2252" s="4"/>
      <c r="G2252" s="4"/>
      <c r="H2252" s="4"/>
      <c r="I2252" s="4"/>
      <c r="J2252" s="18"/>
      <c r="K2252" s="4"/>
      <c r="L2252" s="19"/>
      <c r="M2252" s="20"/>
    </row>
    <row r="2253">
      <c r="A2253" s="6"/>
      <c r="B2253" s="6"/>
      <c r="C2253" s="4"/>
      <c r="D2253" s="4"/>
      <c r="E2253" s="4"/>
      <c r="F2253" s="4"/>
      <c r="G2253" s="4"/>
      <c r="H2253" s="4"/>
      <c r="I2253" s="4"/>
      <c r="J2253" s="18"/>
      <c r="K2253" s="4"/>
      <c r="L2253" s="19"/>
      <c r="M2253" s="20"/>
    </row>
    <row r="2254">
      <c r="A2254" s="6"/>
      <c r="B2254" s="6"/>
      <c r="C2254" s="4"/>
      <c r="D2254" s="4"/>
      <c r="E2254" s="4"/>
      <c r="F2254" s="4"/>
      <c r="G2254" s="4"/>
      <c r="H2254" s="4"/>
      <c r="I2254" s="4"/>
      <c r="J2254" s="18"/>
      <c r="K2254" s="4"/>
      <c r="L2254" s="19"/>
      <c r="M2254" s="20"/>
    </row>
    <row r="2255">
      <c r="A2255" s="6"/>
      <c r="B2255" s="6"/>
      <c r="C2255" s="4"/>
      <c r="D2255" s="4"/>
      <c r="E2255" s="4"/>
      <c r="F2255" s="4"/>
      <c r="G2255" s="4"/>
      <c r="H2255" s="4"/>
      <c r="I2255" s="4"/>
      <c r="J2255" s="18"/>
      <c r="K2255" s="4"/>
      <c r="L2255" s="19"/>
      <c r="M2255" s="20"/>
    </row>
    <row r="2256">
      <c r="A2256" s="6"/>
      <c r="B2256" s="6"/>
      <c r="C2256" s="4"/>
      <c r="D2256" s="4"/>
      <c r="E2256" s="4"/>
      <c r="F2256" s="4"/>
      <c r="G2256" s="4"/>
      <c r="H2256" s="4"/>
      <c r="I2256" s="4"/>
      <c r="J2256" s="18"/>
      <c r="K2256" s="4"/>
      <c r="L2256" s="19"/>
      <c r="M2256" s="20"/>
    </row>
    <row r="2257">
      <c r="A2257" s="6"/>
      <c r="B2257" s="6"/>
      <c r="C2257" s="4"/>
      <c r="D2257" s="4"/>
      <c r="E2257" s="4"/>
      <c r="F2257" s="4"/>
      <c r="G2257" s="4"/>
      <c r="H2257" s="4"/>
      <c r="I2257" s="4"/>
      <c r="J2257" s="18"/>
      <c r="K2257" s="4"/>
      <c r="L2257" s="19"/>
      <c r="M2257" s="20"/>
    </row>
    <row r="2258">
      <c r="A2258" s="6"/>
      <c r="B2258" s="6"/>
      <c r="C2258" s="4"/>
      <c r="D2258" s="4"/>
      <c r="E2258" s="4"/>
      <c r="F2258" s="4"/>
      <c r="G2258" s="4"/>
      <c r="H2258" s="4"/>
      <c r="I2258" s="4"/>
      <c r="J2258" s="18"/>
      <c r="K2258" s="4"/>
      <c r="L2258" s="19"/>
      <c r="M2258" s="20"/>
    </row>
    <row r="2259">
      <c r="A2259" s="6"/>
      <c r="B2259" s="6"/>
      <c r="C2259" s="4"/>
      <c r="D2259" s="4"/>
      <c r="E2259" s="4"/>
      <c r="F2259" s="4"/>
      <c r="G2259" s="4"/>
      <c r="H2259" s="4"/>
      <c r="I2259" s="4"/>
      <c r="J2259" s="18"/>
      <c r="K2259" s="4"/>
      <c r="L2259" s="19"/>
      <c r="M2259" s="20"/>
    </row>
    <row r="2260">
      <c r="A2260" s="6"/>
      <c r="B2260" s="6"/>
      <c r="C2260" s="4"/>
      <c r="D2260" s="4"/>
      <c r="E2260" s="4"/>
      <c r="F2260" s="4"/>
      <c r="G2260" s="4"/>
      <c r="H2260" s="4"/>
      <c r="I2260" s="4"/>
      <c r="J2260" s="18"/>
      <c r="K2260" s="4"/>
      <c r="L2260" s="19"/>
      <c r="M2260" s="20"/>
    </row>
    <row r="2261">
      <c r="A2261" s="6"/>
      <c r="B2261" s="6"/>
      <c r="C2261" s="4"/>
      <c r="D2261" s="4"/>
      <c r="E2261" s="4"/>
      <c r="F2261" s="4"/>
      <c r="G2261" s="4"/>
      <c r="H2261" s="4"/>
      <c r="I2261" s="4"/>
      <c r="J2261" s="18"/>
      <c r="K2261" s="4"/>
      <c r="L2261" s="19"/>
      <c r="M2261" s="20"/>
    </row>
    <row r="2262">
      <c r="A2262" s="6"/>
      <c r="B2262" s="6"/>
      <c r="C2262" s="4"/>
      <c r="D2262" s="4"/>
      <c r="E2262" s="4"/>
      <c r="F2262" s="4"/>
      <c r="G2262" s="4"/>
      <c r="H2262" s="4"/>
      <c r="I2262" s="4"/>
      <c r="J2262" s="18"/>
      <c r="K2262" s="4"/>
      <c r="L2262" s="19"/>
      <c r="M2262" s="20"/>
    </row>
    <row r="2263">
      <c r="A2263" s="6"/>
      <c r="B2263" s="6"/>
      <c r="C2263" s="4"/>
      <c r="D2263" s="4"/>
      <c r="E2263" s="4"/>
      <c r="F2263" s="4"/>
      <c r="G2263" s="4"/>
      <c r="H2263" s="4"/>
      <c r="I2263" s="4"/>
      <c r="J2263" s="18"/>
      <c r="K2263" s="4"/>
      <c r="L2263" s="19"/>
      <c r="M2263" s="20"/>
    </row>
    <row r="2264">
      <c r="A2264" s="6"/>
      <c r="B2264" s="6"/>
      <c r="C2264" s="4"/>
      <c r="D2264" s="4"/>
      <c r="E2264" s="4"/>
      <c r="F2264" s="4"/>
      <c r="G2264" s="4"/>
      <c r="H2264" s="4"/>
      <c r="I2264" s="4"/>
      <c r="J2264" s="18"/>
      <c r="K2264" s="4"/>
      <c r="L2264" s="19"/>
      <c r="M2264" s="20"/>
    </row>
    <row r="2265">
      <c r="A2265" s="6"/>
      <c r="B2265" s="6"/>
      <c r="C2265" s="4"/>
      <c r="D2265" s="4"/>
      <c r="E2265" s="4"/>
      <c r="F2265" s="4"/>
      <c r="G2265" s="4"/>
      <c r="H2265" s="4"/>
      <c r="I2265" s="4"/>
      <c r="J2265" s="18"/>
      <c r="K2265" s="4"/>
      <c r="L2265" s="19"/>
      <c r="M2265" s="20"/>
    </row>
    <row r="2266">
      <c r="A2266" s="6"/>
      <c r="B2266" s="6"/>
      <c r="C2266" s="4"/>
      <c r="D2266" s="4"/>
      <c r="E2266" s="4"/>
      <c r="F2266" s="4"/>
      <c r="G2266" s="4"/>
      <c r="H2266" s="4"/>
      <c r="I2266" s="4"/>
      <c r="J2266" s="18"/>
      <c r="K2266" s="4"/>
      <c r="L2266" s="19"/>
      <c r="M2266" s="20"/>
    </row>
    <row r="2267">
      <c r="A2267" s="6"/>
      <c r="B2267" s="6"/>
      <c r="C2267" s="4"/>
      <c r="D2267" s="4"/>
      <c r="E2267" s="4"/>
      <c r="F2267" s="4"/>
      <c r="G2267" s="4"/>
      <c r="H2267" s="4"/>
      <c r="I2267" s="4"/>
      <c r="J2267" s="18"/>
      <c r="K2267" s="4"/>
      <c r="L2267" s="19"/>
      <c r="M2267" s="20"/>
    </row>
    <row r="2268">
      <c r="A2268" s="6"/>
      <c r="B2268" s="6"/>
      <c r="C2268" s="4"/>
      <c r="D2268" s="4"/>
      <c r="E2268" s="4"/>
      <c r="F2268" s="4"/>
      <c r="G2268" s="4"/>
      <c r="H2268" s="4"/>
      <c r="I2268" s="4"/>
      <c r="J2268" s="18"/>
      <c r="K2268" s="4"/>
      <c r="L2268" s="19"/>
      <c r="M2268" s="20"/>
    </row>
    <row r="2269">
      <c r="A2269" s="6"/>
      <c r="B2269" s="6"/>
      <c r="C2269" s="4"/>
      <c r="D2269" s="4"/>
      <c r="E2269" s="4"/>
      <c r="F2269" s="4"/>
      <c r="G2269" s="4"/>
      <c r="H2269" s="4"/>
      <c r="I2269" s="4"/>
      <c r="J2269" s="18"/>
      <c r="K2269" s="4"/>
      <c r="L2269" s="19"/>
      <c r="M2269" s="20"/>
    </row>
    <row r="2270">
      <c r="A2270" s="6"/>
      <c r="B2270" s="6"/>
      <c r="C2270" s="4"/>
      <c r="D2270" s="4"/>
      <c r="E2270" s="4"/>
      <c r="F2270" s="4"/>
      <c r="G2270" s="4"/>
      <c r="H2270" s="4"/>
      <c r="I2270" s="4"/>
      <c r="J2270" s="18"/>
      <c r="K2270" s="4"/>
      <c r="L2270" s="19"/>
      <c r="M2270" s="20"/>
    </row>
    <row r="2271">
      <c r="A2271" s="6"/>
      <c r="B2271" s="6"/>
      <c r="C2271" s="4"/>
      <c r="D2271" s="4"/>
      <c r="E2271" s="4"/>
      <c r="F2271" s="4"/>
      <c r="G2271" s="4"/>
      <c r="H2271" s="4"/>
      <c r="I2271" s="4"/>
      <c r="J2271" s="18"/>
      <c r="K2271" s="4"/>
      <c r="L2271" s="19"/>
      <c r="M2271" s="20"/>
    </row>
    <row r="2272">
      <c r="A2272" s="6"/>
      <c r="B2272" s="6"/>
      <c r="C2272" s="4"/>
      <c r="D2272" s="4"/>
      <c r="E2272" s="4"/>
      <c r="F2272" s="4"/>
      <c r="G2272" s="4"/>
      <c r="H2272" s="4"/>
      <c r="I2272" s="4"/>
      <c r="J2272" s="18"/>
      <c r="K2272" s="4"/>
      <c r="L2272" s="19"/>
      <c r="M2272" s="20"/>
    </row>
    <row r="2273">
      <c r="A2273" s="6"/>
      <c r="B2273" s="6"/>
      <c r="C2273" s="4"/>
      <c r="D2273" s="4"/>
      <c r="E2273" s="4"/>
      <c r="F2273" s="4"/>
      <c r="G2273" s="4"/>
      <c r="H2273" s="4"/>
      <c r="I2273" s="4"/>
      <c r="J2273" s="18"/>
      <c r="K2273" s="4"/>
      <c r="L2273" s="19"/>
      <c r="M2273" s="20"/>
    </row>
    <row r="2274">
      <c r="A2274" s="6"/>
      <c r="B2274" s="6"/>
      <c r="C2274" s="4"/>
      <c r="D2274" s="4"/>
      <c r="E2274" s="4"/>
      <c r="F2274" s="4"/>
      <c r="G2274" s="4"/>
      <c r="H2274" s="4"/>
      <c r="I2274" s="4"/>
      <c r="J2274" s="18"/>
      <c r="K2274" s="4"/>
      <c r="L2274" s="19"/>
      <c r="M2274" s="20"/>
    </row>
    <row r="2275">
      <c r="A2275" s="6"/>
      <c r="B2275" s="6"/>
      <c r="C2275" s="4"/>
      <c r="D2275" s="4"/>
      <c r="E2275" s="4"/>
      <c r="F2275" s="4"/>
      <c r="G2275" s="4"/>
      <c r="H2275" s="4"/>
      <c r="I2275" s="4"/>
      <c r="J2275" s="18"/>
      <c r="K2275" s="4"/>
      <c r="L2275" s="19"/>
      <c r="M2275" s="20"/>
    </row>
    <row r="2276">
      <c r="A2276" s="6"/>
      <c r="B2276" s="6"/>
      <c r="C2276" s="4"/>
      <c r="D2276" s="4"/>
      <c r="E2276" s="4"/>
      <c r="F2276" s="4"/>
      <c r="G2276" s="4"/>
      <c r="H2276" s="4"/>
      <c r="I2276" s="4"/>
      <c r="J2276" s="18"/>
      <c r="K2276" s="4"/>
      <c r="L2276" s="19"/>
      <c r="M2276" s="20"/>
    </row>
    <row r="2277">
      <c r="A2277" s="6"/>
      <c r="B2277" s="6"/>
      <c r="C2277" s="4"/>
      <c r="D2277" s="4"/>
      <c r="E2277" s="4"/>
      <c r="F2277" s="4"/>
      <c r="G2277" s="4"/>
      <c r="H2277" s="4"/>
      <c r="I2277" s="4"/>
      <c r="J2277" s="18"/>
      <c r="K2277" s="4"/>
      <c r="L2277" s="19"/>
      <c r="M2277" s="20"/>
    </row>
    <row r="2278">
      <c r="A2278" s="6"/>
      <c r="B2278" s="6"/>
      <c r="C2278" s="4"/>
      <c r="D2278" s="4"/>
      <c r="E2278" s="4"/>
      <c r="F2278" s="4"/>
      <c r="G2278" s="4"/>
      <c r="H2278" s="4"/>
      <c r="I2278" s="4"/>
      <c r="J2278" s="18"/>
      <c r="K2278" s="4"/>
      <c r="L2278" s="19"/>
      <c r="M2278" s="20"/>
    </row>
    <row r="2279">
      <c r="A2279" s="6"/>
      <c r="B2279" s="6"/>
      <c r="C2279" s="4"/>
      <c r="D2279" s="4"/>
      <c r="E2279" s="4"/>
      <c r="F2279" s="4"/>
      <c r="G2279" s="4"/>
      <c r="H2279" s="4"/>
      <c r="I2279" s="4"/>
      <c r="J2279" s="18"/>
      <c r="K2279" s="4"/>
      <c r="L2279" s="19"/>
      <c r="M2279" s="20"/>
    </row>
    <row r="2280">
      <c r="A2280" s="6"/>
      <c r="B2280" s="6"/>
      <c r="C2280" s="4"/>
      <c r="D2280" s="4"/>
      <c r="E2280" s="4"/>
      <c r="F2280" s="4"/>
      <c r="G2280" s="4"/>
      <c r="H2280" s="4"/>
      <c r="I2280" s="4"/>
      <c r="J2280" s="18"/>
      <c r="K2280" s="4"/>
      <c r="L2280" s="19"/>
      <c r="M2280" s="20"/>
    </row>
    <row r="2281">
      <c r="A2281" s="6"/>
      <c r="B2281" s="6"/>
      <c r="C2281" s="4"/>
      <c r="D2281" s="4"/>
      <c r="E2281" s="4"/>
      <c r="F2281" s="4"/>
      <c r="G2281" s="4"/>
      <c r="H2281" s="4"/>
      <c r="I2281" s="4"/>
      <c r="J2281" s="18"/>
      <c r="K2281" s="4"/>
      <c r="L2281" s="19"/>
      <c r="M2281" s="20"/>
    </row>
    <row r="2282">
      <c r="A2282" s="6"/>
      <c r="B2282" s="6"/>
      <c r="C2282" s="4"/>
      <c r="D2282" s="4"/>
      <c r="E2282" s="4"/>
      <c r="F2282" s="4"/>
      <c r="G2282" s="4"/>
      <c r="H2282" s="4"/>
      <c r="I2282" s="4"/>
      <c r="J2282" s="18"/>
      <c r="K2282" s="4"/>
      <c r="L2282" s="19"/>
      <c r="M2282" s="20"/>
    </row>
    <row r="2283">
      <c r="A2283" s="6"/>
      <c r="B2283" s="6"/>
      <c r="C2283" s="4"/>
      <c r="D2283" s="4"/>
      <c r="E2283" s="4"/>
      <c r="F2283" s="4"/>
      <c r="G2283" s="4"/>
      <c r="H2283" s="4"/>
      <c r="I2283" s="4"/>
      <c r="J2283" s="18"/>
      <c r="K2283" s="4"/>
      <c r="L2283" s="19"/>
      <c r="M2283" s="20"/>
    </row>
    <row r="2284">
      <c r="A2284" s="6"/>
      <c r="B2284" s="6"/>
      <c r="C2284" s="4"/>
      <c r="D2284" s="4"/>
      <c r="E2284" s="4"/>
      <c r="F2284" s="4"/>
      <c r="G2284" s="4"/>
      <c r="H2284" s="4"/>
      <c r="I2284" s="4"/>
      <c r="J2284" s="18"/>
      <c r="K2284" s="4"/>
      <c r="L2284" s="19"/>
      <c r="M2284" s="20"/>
    </row>
    <row r="2285">
      <c r="A2285" s="6"/>
      <c r="B2285" s="6"/>
      <c r="C2285" s="4"/>
      <c r="D2285" s="4"/>
      <c r="E2285" s="4"/>
      <c r="F2285" s="4"/>
      <c r="G2285" s="4"/>
      <c r="H2285" s="4"/>
      <c r="I2285" s="4"/>
      <c r="J2285" s="18"/>
      <c r="K2285" s="4"/>
      <c r="L2285" s="19"/>
      <c r="M2285" s="20"/>
    </row>
    <row r="2286">
      <c r="A2286" s="6"/>
      <c r="B2286" s="6"/>
      <c r="C2286" s="4"/>
      <c r="D2286" s="4"/>
      <c r="E2286" s="4"/>
      <c r="F2286" s="4"/>
      <c r="G2286" s="4"/>
      <c r="H2286" s="4"/>
      <c r="I2286" s="4"/>
      <c r="J2286" s="18"/>
      <c r="K2286" s="4"/>
      <c r="L2286" s="19"/>
      <c r="M2286" s="20"/>
    </row>
    <row r="2287">
      <c r="A2287" s="6"/>
      <c r="B2287" s="6"/>
      <c r="C2287" s="4"/>
      <c r="D2287" s="4"/>
      <c r="E2287" s="4"/>
      <c r="F2287" s="4"/>
      <c r="G2287" s="4"/>
      <c r="H2287" s="4"/>
      <c r="I2287" s="4"/>
      <c r="J2287" s="18"/>
      <c r="K2287" s="4"/>
      <c r="L2287" s="19"/>
      <c r="M2287" s="20"/>
    </row>
    <row r="2288">
      <c r="A2288" s="6"/>
      <c r="B2288" s="6"/>
      <c r="C2288" s="4"/>
      <c r="D2288" s="4"/>
      <c r="E2288" s="4"/>
      <c r="F2288" s="4"/>
      <c r="G2288" s="4"/>
      <c r="H2288" s="4"/>
      <c r="I2288" s="4"/>
      <c r="J2288" s="18"/>
      <c r="K2288" s="4"/>
      <c r="L2288" s="19"/>
      <c r="M2288" s="20"/>
    </row>
    <row r="2289">
      <c r="A2289" s="6"/>
      <c r="B2289" s="6"/>
      <c r="C2289" s="4"/>
      <c r="D2289" s="4"/>
      <c r="E2289" s="4"/>
      <c r="F2289" s="4"/>
      <c r="G2289" s="4"/>
      <c r="H2289" s="4"/>
      <c r="I2289" s="4"/>
      <c r="J2289" s="18"/>
      <c r="K2289" s="4"/>
      <c r="L2289" s="19"/>
      <c r="M2289" s="20"/>
    </row>
    <row r="2290">
      <c r="A2290" s="6"/>
      <c r="B2290" s="6"/>
      <c r="C2290" s="4"/>
      <c r="D2290" s="4"/>
      <c r="E2290" s="4"/>
      <c r="F2290" s="4"/>
      <c r="G2290" s="4"/>
      <c r="H2290" s="4"/>
      <c r="I2290" s="4"/>
      <c r="J2290" s="18"/>
      <c r="K2290" s="4"/>
      <c r="L2290" s="19"/>
      <c r="M2290" s="20"/>
    </row>
    <row r="2291">
      <c r="A2291" s="6"/>
      <c r="B2291" s="6"/>
      <c r="C2291" s="4"/>
      <c r="D2291" s="4"/>
      <c r="E2291" s="4"/>
      <c r="F2291" s="4"/>
      <c r="G2291" s="4"/>
      <c r="H2291" s="4"/>
      <c r="I2291" s="4"/>
      <c r="J2291" s="18"/>
      <c r="K2291" s="4"/>
      <c r="L2291" s="19"/>
      <c r="M2291" s="20"/>
    </row>
    <row r="2292">
      <c r="A2292" s="6"/>
      <c r="B2292" s="6"/>
      <c r="C2292" s="4"/>
      <c r="D2292" s="4"/>
      <c r="E2292" s="4"/>
      <c r="F2292" s="4"/>
      <c r="G2292" s="4"/>
      <c r="H2292" s="4"/>
      <c r="I2292" s="4"/>
      <c r="J2292" s="18"/>
      <c r="K2292" s="4"/>
      <c r="L2292" s="19"/>
      <c r="M2292" s="20"/>
    </row>
    <row r="2293">
      <c r="A2293" s="6"/>
      <c r="B2293" s="6"/>
      <c r="C2293" s="4"/>
      <c r="D2293" s="4"/>
      <c r="E2293" s="4"/>
      <c r="F2293" s="4"/>
      <c r="G2293" s="4"/>
      <c r="H2293" s="4"/>
      <c r="I2293" s="4"/>
      <c r="J2293" s="18"/>
      <c r="K2293" s="4"/>
      <c r="L2293" s="19"/>
      <c r="M2293" s="20"/>
    </row>
    <row r="2294">
      <c r="A2294" s="6"/>
      <c r="B2294" s="6"/>
      <c r="C2294" s="4"/>
      <c r="D2294" s="4"/>
      <c r="E2294" s="4"/>
      <c r="F2294" s="4"/>
      <c r="G2294" s="4"/>
      <c r="H2294" s="4"/>
      <c r="I2294" s="4"/>
      <c r="J2294" s="18"/>
      <c r="K2294" s="4"/>
      <c r="L2294" s="19"/>
      <c r="M2294" s="20"/>
    </row>
    <row r="2295">
      <c r="A2295" s="6"/>
      <c r="B2295" s="6"/>
      <c r="C2295" s="4"/>
      <c r="D2295" s="4"/>
      <c r="E2295" s="4"/>
      <c r="F2295" s="4"/>
      <c r="G2295" s="4"/>
      <c r="H2295" s="4"/>
      <c r="I2295" s="4"/>
      <c r="J2295" s="18"/>
      <c r="K2295" s="4"/>
      <c r="L2295" s="19"/>
      <c r="M2295" s="20"/>
    </row>
    <row r="2296">
      <c r="A2296" s="6"/>
      <c r="B2296" s="6"/>
      <c r="C2296" s="4"/>
      <c r="D2296" s="4"/>
      <c r="E2296" s="4"/>
      <c r="F2296" s="4"/>
      <c r="G2296" s="4"/>
      <c r="H2296" s="4"/>
      <c r="I2296" s="4"/>
      <c r="J2296" s="18"/>
      <c r="K2296" s="4"/>
      <c r="L2296" s="19"/>
      <c r="M2296" s="20"/>
    </row>
    <row r="2297">
      <c r="A2297" s="6"/>
      <c r="B2297" s="6"/>
      <c r="C2297" s="4"/>
      <c r="D2297" s="4"/>
      <c r="E2297" s="4"/>
      <c r="F2297" s="4"/>
      <c r="G2297" s="4"/>
      <c r="H2297" s="4"/>
      <c r="I2297" s="4"/>
      <c r="J2297" s="18"/>
      <c r="K2297" s="4"/>
      <c r="L2297" s="19"/>
      <c r="M2297" s="20"/>
    </row>
    <row r="2298">
      <c r="A2298" s="6"/>
      <c r="B2298" s="6"/>
      <c r="C2298" s="4"/>
      <c r="D2298" s="4"/>
      <c r="E2298" s="4"/>
      <c r="F2298" s="4"/>
      <c r="G2298" s="4"/>
      <c r="H2298" s="4"/>
      <c r="I2298" s="4"/>
      <c r="J2298" s="18"/>
      <c r="K2298" s="4"/>
      <c r="L2298" s="19"/>
      <c r="M2298" s="20"/>
    </row>
    <row r="2299">
      <c r="A2299" s="6"/>
      <c r="B2299" s="6"/>
      <c r="C2299" s="4"/>
      <c r="D2299" s="4"/>
      <c r="E2299" s="4"/>
      <c r="F2299" s="4"/>
      <c r="G2299" s="4"/>
      <c r="H2299" s="4"/>
      <c r="I2299" s="4"/>
      <c r="J2299" s="18"/>
      <c r="K2299" s="4"/>
      <c r="L2299" s="19"/>
      <c r="M2299" s="20"/>
    </row>
    <row r="2300">
      <c r="A2300" s="6"/>
      <c r="B2300" s="6"/>
      <c r="C2300" s="4"/>
      <c r="D2300" s="4"/>
      <c r="E2300" s="4"/>
      <c r="F2300" s="4"/>
      <c r="G2300" s="4"/>
      <c r="H2300" s="4"/>
      <c r="I2300" s="4"/>
      <c r="J2300" s="18"/>
      <c r="K2300" s="4"/>
      <c r="L2300" s="19"/>
      <c r="M2300" s="20"/>
    </row>
    <row r="2301">
      <c r="A2301" s="6"/>
      <c r="B2301" s="6"/>
      <c r="C2301" s="4"/>
      <c r="D2301" s="4"/>
      <c r="E2301" s="4"/>
      <c r="F2301" s="4"/>
      <c r="G2301" s="4"/>
      <c r="H2301" s="4"/>
      <c r="I2301" s="4"/>
      <c r="J2301" s="18"/>
      <c r="K2301" s="4"/>
      <c r="L2301" s="19"/>
      <c r="M2301" s="20"/>
    </row>
    <row r="2302">
      <c r="A2302" s="6"/>
      <c r="B2302" s="6"/>
      <c r="C2302" s="4"/>
      <c r="D2302" s="4"/>
      <c r="E2302" s="4"/>
      <c r="F2302" s="4"/>
      <c r="G2302" s="4"/>
      <c r="H2302" s="4"/>
      <c r="I2302" s="4"/>
      <c r="J2302" s="18"/>
      <c r="K2302" s="4"/>
      <c r="L2302" s="19"/>
      <c r="M2302" s="20"/>
    </row>
    <row r="2303">
      <c r="A2303" s="6"/>
      <c r="B2303" s="6"/>
      <c r="C2303" s="4"/>
      <c r="D2303" s="4"/>
      <c r="E2303" s="4"/>
      <c r="F2303" s="4"/>
      <c r="G2303" s="4"/>
      <c r="H2303" s="4"/>
      <c r="I2303" s="4"/>
      <c r="J2303" s="18"/>
      <c r="K2303" s="4"/>
      <c r="L2303" s="19"/>
      <c r="M2303" s="20"/>
    </row>
    <row r="2304">
      <c r="A2304" s="6"/>
      <c r="B2304" s="6"/>
      <c r="C2304" s="4"/>
      <c r="D2304" s="4"/>
      <c r="E2304" s="4"/>
      <c r="F2304" s="4"/>
      <c r="G2304" s="4"/>
      <c r="H2304" s="4"/>
      <c r="I2304" s="4"/>
      <c r="J2304" s="18"/>
      <c r="K2304" s="4"/>
      <c r="L2304" s="19"/>
      <c r="M2304" s="20"/>
    </row>
    <row r="2305">
      <c r="A2305" s="6"/>
      <c r="B2305" s="6"/>
      <c r="C2305" s="4"/>
      <c r="D2305" s="4"/>
      <c r="E2305" s="4"/>
      <c r="F2305" s="4"/>
      <c r="G2305" s="4"/>
      <c r="H2305" s="4"/>
      <c r="I2305" s="4"/>
      <c r="J2305" s="18"/>
      <c r="K2305" s="4"/>
      <c r="L2305" s="19"/>
      <c r="M2305" s="20"/>
    </row>
    <row r="2306">
      <c r="A2306" s="6"/>
      <c r="B2306" s="6"/>
      <c r="C2306" s="4"/>
      <c r="D2306" s="4"/>
      <c r="E2306" s="4"/>
      <c r="F2306" s="4"/>
      <c r="G2306" s="4"/>
      <c r="H2306" s="4"/>
      <c r="I2306" s="4"/>
      <c r="J2306" s="18"/>
      <c r="K2306" s="4"/>
      <c r="L2306" s="19"/>
      <c r="M2306" s="20"/>
    </row>
    <row r="2307">
      <c r="A2307" s="6"/>
      <c r="B2307" s="6"/>
      <c r="C2307" s="4"/>
      <c r="D2307" s="4"/>
      <c r="E2307" s="4"/>
      <c r="F2307" s="4"/>
      <c r="G2307" s="4"/>
      <c r="H2307" s="4"/>
      <c r="I2307" s="4"/>
      <c r="J2307" s="18"/>
      <c r="K2307" s="4"/>
      <c r="L2307" s="19"/>
      <c r="M2307" s="20"/>
    </row>
    <row r="2308">
      <c r="A2308" s="6"/>
      <c r="B2308" s="6"/>
      <c r="C2308" s="4"/>
      <c r="D2308" s="4"/>
      <c r="E2308" s="4"/>
      <c r="F2308" s="4"/>
      <c r="G2308" s="4"/>
      <c r="H2308" s="4"/>
      <c r="I2308" s="4"/>
      <c r="J2308" s="18"/>
      <c r="K2308" s="4"/>
      <c r="L2308" s="19"/>
      <c r="M2308" s="20"/>
    </row>
    <row r="2309">
      <c r="A2309" s="6"/>
      <c r="B2309" s="6"/>
      <c r="C2309" s="4"/>
      <c r="D2309" s="4"/>
      <c r="E2309" s="4"/>
      <c r="F2309" s="4"/>
      <c r="G2309" s="4"/>
      <c r="H2309" s="4"/>
      <c r="I2309" s="4"/>
      <c r="J2309" s="18"/>
      <c r="K2309" s="4"/>
      <c r="L2309" s="19"/>
      <c r="M2309" s="20"/>
    </row>
    <row r="2310">
      <c r="A2310" s="6"/>
      <c r="B2310" s="6"/>
      <c r="C2310" s="4"/>
      <c r="D2310" s="4"/>
      <c r="E2310" s="4"/>
      <c r="F2310" s="4"/>
      <c r="G2310" s="4"/>
      <c r="H2310" s="4"/>
      <c r="I2310" s="4"/>
      <c r="J2310" s="18"/>
      <c r="K2310" s="4"/>
      <c r="L2310" s="19"/>
      <c r="M2310" s="20"/>
    </row>
    <row r="2311">
      <c r="A2311" s="6"/>
      <c r="B2311" s="6"/>
      <c r="C2311" s="4"/>
      <c r="D2311" s="4"/>
      <c r="E2311" s="4"/>
      <c r="F2311" s="4"/>
      <c r="G2311" s="4"/>
      <c r="H2311" s="4"/>
      <c r="I2311" s="4"/>
      <c r="J2311" s="18"/>
      <c r="K2311" s="4"/>
      <c r="L2311" s="19"/>
      <c r="M2311" s="20"/>
    </row>
    <row r="2312">
      <c r="A2312" s="6"/>
      <c r="B2312" s="6"/>
      <c r="C2312" s="4"/>
      <c r="D2312" s="4"/>
      <c r="E2312" s="4"/>
      <c r="F2312" s="4"/>
      <c r="G2312" s="4"/>
      <c r="H2312" s="4"/>
      <c r="I2312" s="4"/>
      <c r="J2312" s="18"/>
      <c r="K2312" s="4"/>
      <c r="L2312" s="19"/>
      <c r="M2312" s="20"/>
    </row>
    <row r="2313">
      <c r="A2313" s="6"/>
      <c r="B2313" s="6"/>
      <c r="C2313" s="4"/>
      <c r="D2313" s="4"/>
      <c r="E2313" s="4"/>
      <c r="F2313" s="4"/>
      <c r="G2313" s="4"/>
      <c r="H2313" s="4"/>
      <c r="I2313" s="4"/>
      <c r="J2313" s="18"/>
      <c r="K2313" s="4"/>
      <c r="L2313" s="19"/>
      <c r="M2313" s="20"/>
    </row>
    <row r="2314">
      <c r="A2314" s="6"/>
      <c r="B2314" s="6"/>
      <c r="C2314" s="4"/>
      <c r="D2314" s="4"/>
      <c r="E2314" s="4"/>
      <c r="F2314" s="4"/>
      <c r="G2314" s="4"/>
      <c r="H2314" s="4"/>
      <c r="I2314" s="4"/>
      <c r="J2314" s="18"/>
      <c r="K2314" s="4"/>
      <c r="L2314" s="19"/>
      <c r="M2314" s="20"/>
    </row>
    <row r="2315">
      <c r="A2315" s="6"/>
      <c r="B2315" s="6"/>
      <c r="C2315" s="4"/>
      <c r="D2315" s="4"/>
      <c r="E2315" s="4"/>
      <c r="F2315" s="4"/>
      <c r="G2315" s="4"/>
      <c r="H2315" s="4"/>
      <c r="I2315" s="4"/>
      <c r="J2315" s="18"/>
      <c r="K2315" s="4"/>
      <c r="L2315" s="19"/>
      <c r="M2315" s="20"/>
    </row>
    <row r="2316">
      <c r="A2316" s="6"/>
      <c r="B2316" s="6"/>
      <c r="C2316" s="4"/>
      <c r="D2316" s="4"/>
      <c r="E2316" s="4"/>
      <c r="F2316" s="4"/>
      <c r="G2316" s="4"/>
      <c r="H2316" s="4"/>
      <c r="I2316" s="4"/>
      <c r="J2316" s="18"/>
      <c r="K2316" s="4"/>
      <c r="L2316" s="19"/>
      <c r="M2316" s="20"/>
    </row>
    <row r="2317">
      <c r="A2317" s="6"/>
      <c r="B2317" s="6"/>
      <c r="C2317" s="4"/>
      <c r="D2317" s="4"/>
      <c r="E2317" s="4"/>
      <c r="F2317" s="4"/>
      <c r="G2317" s="4"/>
      <c r="H2317" s="4"/>
      <c r="I2317" s="4"/>
      <c r="J2317" s="18"/>
      <c r="K2317" s="4"/>
      <c r="L2317" s="19"/>
      <c r="M2317" s="20"/>
    </row>
    <row r="2318">
      <c r="A2318" s="6"/>
      <c r="B2318" s="6"/>
      <c r="C2318" s="4"/>
      <c r="D2318" s="4"/>
      <c r="E2318" s="4"/>
      <c r="F2318" s="4"/>
      <c r="G2318" s="4"/>
      <c r="H2318" s="4"/>
      <c r="I2318" s="4"/>
      <c r="J2318" s="18"/>
      <c r="K2318" s="4"/>
      <c r="L2318" s="19"/>
      <c r="M2318" s="20"/>
    </row>
    <row r="2319">
      <c r="A2319" s="6"/>
      <c r="B2319" s="6"/>
      <c r="C2319" s="4"/>
      <c r="D2319" s="4"/>
      <c r="E2319" s="4"/>
      <c r="F2319" s="4"/>
      <c r="G2319" s="4"/>
      <c r="H2319" s="4"/>
      <c r="I2319" s="4"/>
      <c r="J2319" s="18"/>
      <c r="K2319" s="4"/>
      <c r="L2319" s="19"/>
      <c r="M2319" s="20"/>
    </row>
    <row r="2320">
      <c r="A2320" s="6"/>
      <c r="B2320" s="6"/>
      <c r="C2320" s="4"/>
      <c r="D2320" s="4"/>
      <c r="E2320" s="4"/>
      <c r="F2320" s="4"/>
      <c r="G2320" s="4"/>
      <c r="H2320" s="4"/>
      <c r="I2320" s="4"/>
      <c r="J2320" s="18"/>
      <c r="K2320" s="4"/>
      <c r="L2320" s="19"/>
      <c r="M2320" s="20"/>
    </row>
    <row r="2321">
      <c r="A2321" s="6"/>
      <c r="B2321" s="6"/>
      <c r="C2321" s="4"/>
      <c r="D2321" s="4"/>
      <c r="E2321" s="4"/>
      <c r="F2321" s="4"/>
      <c r="G2321" s="4"/>
      <c r="H2321" s="4"/>
      <c r="I2321" s="4"/>
      <c r="J2321" s="18"/>
      <c r="K2321" s="4"/>
      <c r="L2321" s="19"/>
      <c r="M2321" s="20"/>
    </row>
    <row r="2322">
      <c r="A2322" s="6"/>
      <c r="B2322" s="6"/>
      <c r="C2322" s="4"/>
      <c r="D2322" s="4"/>
      <c r="E2322" s="4"/>
      <c r="F2322" s="4"/>
      <c r="G2322" s="4"/>
      <c r="H2322" s="4"/>
      <c r="I2322" s="4"/>
      <c r="J2322" s="18"/>
      <c r="K2322" s="4"/>
      <c r="L2322" s="19"/>
      <c r="M2322" s="20"/>
    </row>
    <row r="2323">
      <c r="A2323" s="6"/>
      <c r="B2323" s="6"/>
      <c r="C2323" s="4"/>
      <c r="D2323" s="4"/>
      <c r="E2323" s="4"/>
      <c r="F2323" s="4"/>
      <c r="G2323" s="4"/>
      <c r="H2323" s="4"/>
      <c r="I2323" s="4"/>
      <c r="J2323" s="18"/>
      <c r="K2323" s="4"/>
      <c r="L2323" s="19"/>
      <c r="M2323" s="20"/>
    </row>
    <row r="2324">
      <c r="A2324" s="6"/>
      <c r="B2324" s="6"/>
      <c r="C2324" s="4"/>
      <c r="D2324" s="4"/>
      <c r="E2324" s="4"/>
      <c r="F2324" s="4"/>
      <c r="G2324" s="4"/>
      <c r="H2324" s="4"/>
      <c r="I2324" s="4"/>
      <c r="J2324" s="18"/>
      <c r="K2324" s="4"/>
      <c r="L2324" s="19"/>
      <c r="M2324" s="20"/>
    </row>
    <row r="2325">
      <c r="A2325" s="6"/>
      <c r="B2325" s="6"/>
      <c r="C2325" s="4"/>
      <c r="D2325" s="4"/>
      <c r="E2325" s="4"/>
      <c r="F2325" s="4"/>
      <c r="G2325" s="4"/>
      <c r="H2325" s="4"/>
      <c r="I2325" s="4"/>
      <c r="J2325" s="18"/>
      <c r="K2325" s="4"/>
      <c r="L2325" s="19"/>
      <c r="M2325" s="20"/>
    </row>
    <row r="2326">
      <c r="A2326" s="6"/>
      <c r="B2326" s="6"/>
      <c r="C2326" s="4"/>
      <c r="D2326" s="4"/>
      <c r="E2326" s="4"/>
      <c r="F2326" s="4"/>
      <c r="G2326" s="4"/>
      <c r="H2326" s="4"/>
      <c r="I2326" s="4"/>
      <c r="J2326" s="18"/>
      <c r="K2326" s="4"/>
      <c r="L2326" s="19"/>
      <c r="M2326" s="20"/>
    </row>
    <row r="2327">
      <c r="A2327" s="6"/>
      <c r="B2327" s="6"/>
      <c r="C2327" s="4"/>
      <c r="D2327" s="4"/>
      <c r="E2327" s="4"/>
      <c r="F2327" s="4"/>
      <c r="G2327" s="4"/>
      <c r="H2327" s="4"/>
      <c r="I2327" s="4"/>
      <c r="J2327" s="18"/>
      <c r="K2327" s="4"/>
      <c r="L2327" s="19"/>
      <c r="M2327" s="20"/>
    </row>
    <row r="2328">
      <c r="A2328" s="6"/>
      <c r="B2328" s="6"/>
      <c r="C2328" s="4"/>
      <c r="D2328" s="4"/>
      <c r="E2328" s="4"/>
      <c r="F2328" s="4"/>
      <c r="G2328" s="4"/>
      <c r="H2328" s="4"/>
      <c r="I2328" s="4"/>
      <c r="J2328" s="18"/>
      <c r="K2328" s="4"/>
      <c r="L2328" s="19"/>
      <c r="M2328" s="20"/>
    </row>
    <row r="2329">
      <c r="A2329" s="6"/>
      <c r="B2329" s="6"/>
      <c r="C2329" s="4"/>
      <c r="D2329" s="4"/>
      <c r="E2329" s="4"/>
      <c r="F2329" s="4"/>
      <c r="G2329" s="4"/>
      <c r="H2329" s="4"/>
      <c r="I2329" s="4"/>
      <c r="J2329" s="18"/>
      <c r="K2329" s="4"/>
      <c r="L2329" s="19"/>
      <c r="M2329" s="20"/>
    </row>
    <row r="2330">
      <c r="A2330" s="6"/>
      <c r="B2330" s="6"/>
      <c r="C2330" s="4"/>
      <c r="D2330" s="4"/>
      <c r="E2330" s="4"/>
      <c r="F2330" s="4"/>
      <c r="G2330" s="4"/>
      <c r="H2330" s="4"/>
      <c r="I2330" s="4"/>
      <c r="J2330" s="18"/>
      <c r="K2330" s="4"/>
      <c r="L2330" s="19"/>
      <c r="M2330" s="20"/>
    </row>
    <row r="2331">
      <c r="A2331" s="6"/>
      <c r="B2331" s="6"/>
      <c r="C2331" s="4"/>
      <c r="D2331" s="4"/>
      <c r="E2331" s="4"/>
      <c r="F2331" s="4"/>
      <c r="G2331" s="4"/>
      <c r="H2331" s="4"/>
      <c r="I2331" s="4"/>
      <c r="J2331" s="18"/>
      <c r="K2331" s="4"/>
      <c r="L2331" s="19"/>
      <c r="M2331" s="20"/>
    </row>
    <row r="2332">
      <c r="A2332" s="6"/>
      <c r="B2332" s="6"/>
      <c r="C2332" s="4"/>
      <c r="D2332" s="4"/>
      <c r="E2332" s="4"/>
      <c r="F2332" s="4"/>
      <c r="G2332" s="4"/>
      <c r="H2332" s="4"/>
      <c r="I2332" s="4"/>
      <c r="J2332" s="18"/>
      <c r="K2332" s="4"/>
      <c r="L2332" s="19"/>
      <c r="M2332" s="20"/>
    </row>
    <row r="2333">
      <c r="A2333" s="6"/>
      <c r="B2333" s="6"/>
      <c r="C2333" s="4"/>
      <c r="D2333" s="4"/>
      <c r="E2333" s="4"/>
      <c r="F2333" s="4"/>
      <c r="G2333" s="4"/>
      <c r="H2333" s="4"/>
      <c r="I2333" s="4"/>
      <c r="J2333" s="18"/>
      <c r="K2333" s="4"/>
      <c r="L2333" s="19"/>
      <c r="M2333" s="20"/>
    </row>
    <row r="2334">
      <c r="A2334" s="6"/>
      <c r="B2334" s="6"/>
      <c r="C2334" s="4"/>
      <c r="D2334" s="4"/>
      <c r="E2334" s="4"/>
      <c r="F2334" s="4"/>
      <c r="G2334" s="4"/>
      <c r="H2334" s="4"/>
      <c r="I2334" s="4"/>
      <c r="J2334" s="18"/>
      <c r="K2334" s="4"/>
      <c r="L2334" s="19"/>
      <c r="M2334" s="20"/>
    </row>
    <row r="2335">
      <c r="A2335" s="6"/>
      <c r="B2335" s="6"/>
      <c r="C2335" s="4"/>
      <c r="D2335" s="4"/>
      <c r="E2335" s="4"/>
      <c r="F2335" s="4"/>
      <c r="G2335" s="4"/>
      <c r="H2335" s="4"/>
      <c r="I2335" s="4"/>
      <c r="J2335" s="18"/>
      <c r="K2335" s="4"/>
      <c r="L2335" s="19"/>
      <c r="M2335" s="20"/>
    </row>
    <row r="2336">
      <c r="A2336" s="6"/>
      <c r="B2336" s="6"/>
      <c r="C2336" s="4"/>
      <c r="D2336" s="4"/>
      <c r="E2336" s="4"/>
      <c r="F2336" s="4"/>
      <c r="G2336" s="4"/>
      <c r="H2336" s="4"/>
      <c r="I2336" s="4"/>
      <c r="J2336" s="18"/>
      <c r="K2336" s="4"/>
      <c r="L2336" s="19"/>
      <c r="M2336" s="20"/>
    </row>
    <row r="2337">
      <c r="A2337" s="6"/>
      <c r="B2337" s="6"/>
      <c r="C2337" s="4"/>
      <c r="D2337" s="4"/>
      <c r="E2337" s="4"/>
      <c r="F2337" s="4"/>
      <c r="G2337" s="4"/>
      <c r="H2337" s="4"/>
      <c r="I2337" s="4"/>
      <c r="J2337" s="18"/>
      <c r="K2337" s="4"/>
      <c r="L2337" s="19"/>
      <c r="M2337" s="20"/>
    </row>
    <row r="2338">
      <c r="A2338" s="6"/>
      <c r="B2338" s="6"/>
      <c r="C2338" s="4"/>
      <c r="D2338" s="4"/>
      <c r="E2338" s="4"/>
      <c r="F2338" s="4"/>
      <c r="G2338" s="4"/>
      <c r="H2338" s="4"/>
      <c r="I2338" s="4"/>
      <c r="J2338" s="18"/>
      <c r="K2338" s="4"/>
      <c r="L2338" s="19"/>
      <c r="M2338" s="20"/>
    </row>
    <row r="2339">
      <c r="A2339" s="6"/>
      <c r="B2339" s="6"/>
      <c r="C2339" s="4"/>
      <c r="D2339" s="4"/>
      <c r="E2339" s="4"/>
      <c r="F2339" s="4"/>
      <c r="G2339" s="4"/>
      <c r="H2339" s="4"/>
      <c r="I2339" s="4"/>
      <c r="J2339" s="18"/>
      <c r="K2339" s="4"/>
      <c r="L2339" s="19"/>
      <c r="M2339" s="20"/>
    </row>
    <row r="2340">
      <c r="A2340" s="6"/>
      <c r="B2340" s="6"/>
      <c r="C2340" s="4"/>
      <c r="D2340" s="4"/>
      <c r="E2340" s="4"/>
      <c r="F2340" s="4"/>
      <c r="G2340" s="4"/>
      <c r="H2340" s="4"/>
      <c r="I2340" s="4"/>
      <c r="J2340" s="18"/>
      <c r="K2340" s="4"/>
      <c r="L2340" s="19"/>
      <c r="M2340" s="20"/>
    </row>
    <row r="2341">
      <c r="A2341" s="6"/>
      <c r="B2341" s="6"/>
      <c r="C2341" s="4"/>
      <c r="D2341" s="4"/>
      <c r="E2341" s="4"/>
      <c r="F2341" s="4"/>
      <c r="G2341" s="4"/>
      <c r="H2341" s="4"/>
      <c r="I2341" s="4"/>
      <c r="J2341" s="18"/>
      <c r="K2341" s="4"/>
      <c r="L2341" s="19"/>
      <c r="M2341" s="20"/>
    </row>
    <row r="2342">
      <c r="A2342" s="6"/>
      <c r="B2342" s="6"/>
      <c r="C2342" s="4"/>
      <c r="D2342" s="4"/>
      <c r="E2342" s="4"/>
      <c r="F2342" s="4"/>
      <c r="G2342" s="4"/>
      <c r="H2342" s="4"/>
      <c r="I2342" s="4"/>
      <c r="J2342" s="18"/>
      <c r="K2342" s="4"/>
      <c r="L2342" s="19"/>
      <c r="M2342" s="20"/>
    </row>
    <row r="2343">
      <c r="A2343" s="6"/>
      <c r="B2343" s="6"/>
      <c r="C2343" s="4"/>
      <c r="D2343" s="4"/>
      <c r="E2343" s="4"/>
      <c r="F2343" s="4"/>
      <c r="G2343" s="4"/>
      <c r="H2343" s="4"/>
      <c r="I2343" s="4"/>
      <c r="J2343" s="18"/>
      <c r="K2343" s="4"/>
      <c r="L2343" s="19"/>
      <c r="M2343" s="20"/>
    </row>
    <row r="2344">
      <c r="A2344" s="6"/>
      <c r="B2344" s="6"/>
      <c r="C2344" s="4"/>
      <c r="D2344" s="4"/>
      <c r="E2344" s="4"/>
      <c r="F2344" s="4"/>
      <c r="G2344" s="4"/>
      <c r="H2344" s="4"/>
      <c r="I2344" s="4"/>
      <c r="J2344" s="18"/>
      <c r="K2344" s="4"/>
      <c r="L2344" s="19"/>
      <c r="M2344" s="20"/>
    </row>
    <row r="2345">
      <c r="A2345" s="6"/>
      <c r="B2345" s="6"/>
      <c r="C2345" s="4"/>
      <c r="D2345" s="4"/>
      <c r="E2345" s="4"/>
      <c r="F2345" s="4"/>
      <c r="G2345" s="4"/>
      <c r="H2345" s="4"/>
      <c r="I2345" s="4"/>
      <c r="J2345" s="18"/>
      <c r="K2345" s="4"/>
      <c r="L2345" s="19"/>
      <c r="M2345" s="20"/>
    </row>
    <row r="2346">
      <c r="A2346" s="6"/>
      <c r="B2346" s="6"/>
      <c r="C2346" s="4"/>
      <c r="D2346" s="4"/>
      <c r="E2346" s="4"/>
      <c r="F2346" s="4"/>
      <c r="G2346" s="4"/>
      <c r="H2346" s="4"/>
      <c r="I2346" s="4"/>
      <c r="J2346" s="18"/>
      <c r="K2346" s="4"/>
      <c r="L2346" s="19"/>
      <c r="M2346" s="20"/>
    </row>
    <row r="2347">
      <c r="A2347" s="6"/>
      <c r="B2347" s="6"/>
      <c r="C2347" s="4"/>
      <c r="D2347" s="4"/>
      <c r="E2347" s="4"/>
      <c r="F2347" s="4"/>
      <c r="G2347" s="4"/>
      <c r="H2347" s="4"/>
      <c r="I2347" s="4"/>
      <c r="J2347" s="18"/>
      <c r="K2347" s="4"/>
      <c r="L2347" s="19"/>
      <c r="M2347" s="20"/>
    </row>
    <row r="2348">
      <c r="A2348" s="6"/>
      <c r="B2348" s="6"/>
      <c r="C2348" s="4"/>
      <c r="D2348" s="4"/>
      <c r="E2348" s="4"/>
      <c r="F2348" s="4"/>
      <c r="G2348" s="4"/>
      <c r="H2348" s="4"/>
      <c r="I2348" s="4"/>
      <c r="J2348" s="18"/>
      <c r="K2348" s="4"/>
      <c r="L2348" s="19"/>
      <c r="M2348" s="20"/>
    </row>
    <row r="2349">
      <c r="A2349" s="6"/>
      <c r="B2349" s="6"/>
      <c r="C2349" s="4"/>
      <c r="D2349" s="4"/>
      <c r="E2349" s="4"/>
      <c r="F2349" s="4"/>
      <c r="G2349" s="4"/>
      <c r="H2349" s="4"/>
      <c r="I2349" s="4"/>
      <c r="J2349" s="18"/>
      <c r="K2349" s="4"/>
      <c r="L2349" s="19"/>
      <c r="M2349" s="20"/>
    </row>
    <row r="2350">
      <c r="A2350" s="6"/>
      <c r="B2350" s="6"/>
      <c r="C2350" s="4"/>
      <c r="D2350" s="4"/>
      <c r="E2350" s="4"/>
      <c r="F2350" s="4"/>
      <c r="G2350" s="4"/>
      <c r="H2350" s="4"/>
      <c r="I2350" s="4"/>
      <c r="J2350" s="18"/>
      <c r="K2350" s="4"/>
      <c r="L2350" s="19"/>
      <c r="M2350" s="20"/>
    </row>
    <row r="2351">
      <c r="A2351" s="6"/>
      <c r="B2351" s="6"/>
      <c r="C2351" s="4"/>
      <c r="D2351" s="4"/>
      <c r="E2351" s="4"/>
      <c r="F2351" s="4"/>
      <c r="G2351" s="4"/>
      <c r="H2351" s="4"/>
      <c r="I2351" s="4"/>
      <c r="J2351" s="18"/>
      <c r="K2351" s="4"/>
      <c r="L2351" s="19"/>
      <c r="M2351" s="20"/>
    </row>
    <row r="2352">
      <c r="A2352" s="6"/>
      <c r="B2352" s="6"/>
      <c r="C2352" s="4"/>
      <c r="D2352" s="4"/>
      <c r="E2352" s="4"/>
      <c r="F2352" s="4"/>
      <c r="G2352" s="4"/>
      <c r="H2352" s="4"/>
      <c r="I2352" s="4"/>
      <c r="J2352" s="18"/>
      <c r="K2352" s="4"/>
      <c r="L2352" s="19"/>
      <c r="M2352" s="20"/>
    </row>
    <row r="2353">
      <c r="A2353" s="6"/>
      <c r="B2353" s="6"/>
      <c r="C2353" s="4"/>
      <c r="D2353" s="4"/>
      <c r="E2353" s="4"/>
      <c r="F2353" s="4"/>
      <c r="G2353" s="4"/>
      <c r="H2353" s="4"/>
      <c r="I2353" s="4"/>
      <c r="J2353" s="18"/>
      <c r="K2353" s="4"/>
      <c r="L2353" s="19"/>
      <c r="M2353" s="20"/>
    </row>
    <row r="2354">
      <c r="A2354" s="6"/>
      <c r="B2354" s="6"/>
      <c r="C2354" s="4"/>
      <c r="D2354" s="4"/>
      <c r="E2354" s="4"/>
      <c r="F2354" s="4"/>
      <c r="G2354" s="4"/>
      <c r="H2354" s="4"/>
      <c r="I2354" s="4"/>
      <c r="J2354" s="18"/>
      <c r="K2354" s="4"/>
      <c r="L2354" s="19"/>
      <c r="M2354" s="20"/>
    </row>
    <row r="2355">
      <c r="A2355" s="6"/>
      <c r="B2355" s="6"/>
      <c r="C2355" s="4"/>
      <c r="D2355" s="4"/>
      <c r="E2355" s="4"/>
      <c r="F2355" s="4"/>
      <c r="G2355" s="4"/>
      <c r="H2355" s="4"/>
      <c r="I2355" s="4"/>
      <c r="J2355" s="18"/>
      <c r="K2355" s="4"/>
      <c r="L2355" s="19"/>
      <c r="M2355" s="20"/>
    </row>
    <row r="2356">
      <c r="A2356" s="6"/>
      <c r="B2356" s="6"/>
      <c r="C2356" s="4"/>
      <c r="D2356" s="4"/>
      <c r="E2356" s="4"/>
      <c r="F2356" s="4"/>
      <c r="G2356" s="4"/>
      <c r="H2356" s="4"/>
      <c r="I2356" s="4"/>
      <c r="J2356" s="18"/>
      <c r="K2356" s="4"/>
      <c r="L2356" s="19"/>
      <c r="M2356" s="20"/>
    </row>
    <row r="2357">
      <c r="A2357" s="6"/>
      <c r="B2357" s="6"/>
      <c r="C2357" s="4"/>
      <c r="D2357" s="4"/>
      <c r="E2357" s="4"/>
      <c r="F2357" s="4"/>
      <c r="G2357" s="4"/>
      <c r="H2357" s="4"/>
      <c r="I2357" s="4"/>
      <c r="J2357" s="18"/>
      <c r="K2357" s="4"/>
      <c r="L2357" s="19"/>
      <c r="M2357" s="20"/>
    </row>
    <row r="2358">
      <c r="A2358" s="6"/>
      <c r="B2358" s="6"/>
      <c r="C2358" s="4"/>
      <c r="D2358" s="4"/>
      <c r="E2358" s="4"/>
      <c r="F2358" s="4"/>
      <c r="G2358" s="4"/>
      <c r="H2358" s="4"/>
      <c r="I2358" s="4"/>
      <c r="J2358" s="18"/>
      <c r="K2358" s="4"/>
      <c r="L2358" s="19"/>
      <c r="M2358" s="20"/>
    </row>
    <row r="2359">
      <c r="A2359" s="6"/>
      <c r="B2359" s="6"/>
      <c r="C2359" s="4"/>
      <c r="D2359" s="4"/>
      <c r="E2359" s="4"/>
      <c r="F2359" s="4"/>
      <c r="G2359" s="4"/>
      <c r="H2359" s="4"/>
      <c r="I2359" s="4"/>
      <c r="J2359" s="18"/>
      <c r="K2359" s="4"/>
      <c r="L2359" s="19"/>
      <c r="M2359" s="20"/>
    </row>
    <row r="2360">
      <c r="A2360" s="6"/>
      <c r="B2360" s="6"/>
      <c r="C2360" s="4"/>
      <c r="D2360" s="4"/>
      <c r="E2360" s="4"/>
      <c r="F2360" s="4"/>
      <c r="G2360" s="4"/>
      <c r="H2360" s="4"/>
      <c r="I2360" s="4"/>
      <c r="J2360" s="18"/>
      <c r="K2360" s="4"/>
      <c r="L2360" s="19"/>
      <c r="M2360" s="20"/>
    </row>
    <row r="2361">
      <c r="A2361" s="6"/>
      <c r="B2361" s="6"/>
      <c r="C2361" s="4"/>
      <c r="D2361" s="4"/>
      <c r="E2361" s="4"/>
      <c r="F2361" s="4"/>
      <c r="G2361" s="4"/>
      <c r="H2361" s="4"/>
      <c r="I2361" s="4"/>
      <c r="J2361" s="18"/>
      <c r="K2361" s="4"/>
      <c r="L2361" s="19"/>
      <c r="M2361" s="20"/>
    </row>
    <row r="2362">
      <c r="A2362" s="6"/>
      <c r="B2362" s="6"/>
      <c r="C2362" s="4"/>
      <c r="D2362" s="4"/>
      <c r="E2362" s="4"/>
      <c r="F2362" s="4"/>
      <c r="G2362" s="4"/>
      <c r="H2362" s="4"/>
      <c r="I2362" s="4"/>
      <c r="J2362" s="18"/>
      <c r="K2362" s="4"/>
      <c r="L2362" s="19"/>
      <c r="M2362" s="20"/>
    </row>
    <row r="2363">
      <c r="A2363" s="6"/>
      <c r="B2363" s="6"/>
      <c r="C2363" s="4"/>
      <c r="D2363" s="4"/>
      <c r="E2363" s="4"/>
      <c r="F2363" s="4"/>
      <c r="G2363" s="4"/>
      <c r="H2363" s="4"/>
      <c r="I2363" s="4"/>
      <c r="J2363" s="18"/>
      <c r="K2363" s="4"/>
      <c r="L2363" s="19"/>
      <c r="M2363" s="20"/>
    </row>
    <row r="2364">
      <c r="A2364" s="6"/>
      <c r="B2364" s="6"/>
      <c r="C2364" s="4"/>
      <c r="D2364" s="4"/>
      <c r="E2364" s="4"/>
      <c r="F2364" s="4"/>
      <c r="G2364" s="4"/>
      <c r="H2364" s="4"/>
      <c r="I2364" s="4"/>
      <c r="J2364" s="18"/>
      <c r="K2364" s="4"/>
      <c r="L2364" s="19"/>
      <c r="M2364" s="20"/>
    </row>
    <row r="2365">
      <c r="A2365" s="6"/>
      <c r="B2365" s="6"/>
      <c r="C2365" s="4"/>
      <c r="D2365" s="4"/>
      <c r="E2365" s="4"/>
      <c r="F2365" s="4"/>
      <c r="G2365" s="4"/>
      <c r="H2365" s="4"/>
      <c r="I2365" s="4"/>
      <c r="J2365" s="18"/>
      <c r="K2365" s="4"/>
      <c r="L2365" s="19"/>
      <c r="M2365" s="20"/>
    </row>
    <row r="2366">
      <c r="A2366" s="6"/>
      <c r="B2366" s="6"/>
      <c r="C2366" s="4"/>
      <c r="D2366" s="4"/>
      <c r="E2366" s="4"/>
      <c r="F2366" s="4"/>
      <c r="G2366" s="4"/>
      <c r="H2366" s="4"/>
      <c r="I2366" s="4"/>
      <c r="J2366" s="18"/>
      <c r="K2366" s="4"/>
      <c r="L2366" s="19"/>
      <c r="M2366" s="20"/>
    </row>
    <row r="2367">
      <c r="A2367" s="6"/>
      <c r="B2367" s="6"/>
      <c r="C2367" s="4"/>
      <c r="D2367" s="4"/>
      <c r="E2367" s="4"/>
      <c r="F2367" s="4"/>
      <c r="G2367" s="4"/>
      <c r="H2367" s="4"/>
      <c r="I2367" s="4"/>
      <c r="J2367" s="18"/>
      <c r="K2367" s="4"/>
      <c r="L2367" s="19"/>
      <c r="M2367" s="20"/>
    </row>
    <row r="2368">
      <c r="A2368" s="6"/>
      <c r="B2368" s="6"/>
      <c r="C2368" s="4"/>
      <c r="D2368" s="4"/>
      <c r="E2368" s="4"/>
      <c r="F2368" s="4"/>
      <c r="G2368" s="4"/>
      <c r="H2368" s="4"/>
      <c r="I2368" s="4"/>
      <c r="J2368" s="18"/>
      <c r="K2368" s="4"/>
      <c r="L2368" s="19"/>
      <c r="M2368" s="20"/>
    </row>
    <row r="2369">
      <c r="A2369" s="6"/>
      <c r="B2369" s="6"/>
      <c r="C2369" s="4"/>
      <c r="D2369" s="4"/>
      <c r="E2369" s="4"/>
      <c r="F2369" s="4"/>
      <c r="G2369" s="4"/>
      <c r="H2369" s="4"/>
      <c r="I2369" s="4"/>
      <c r="J2369" s="18"/>
      <c r="K2369" s="4"/>
      <c r="L2369" s="19"/>
      <c r="M2369" s="20"/>
    </row>
    <row r="2370">
      <c r="A2370" s="6"/>
      <c r="B2370" s="6"/>
      <c r="C2370" s="4"/>
      <c r="D2370" s="4"/>
      <c r="E2370" s="4"/>
      <c r="F2370" s="4"/>
      <c r="G2370" s="4"/>
      <c r="H2370" s="4"/>
      <c r="I2370" s="4"/>
      <c r="J2370" s="18"/>
      <c r="K2370" s="4"/>
      <c r="L2370" s="19"/>
      <c r="M2370" s="20"/>
    </row>
    <row r="2371">
      <c r="A2371" s="6"/>
      <c r="B2371" s="6"/>
      <c r="C2371" s="4"/>
      <c r="D2371" s="4"/>
      <c r="E2371" s="4"/>
      <c r="F2371" s="4"/>
      <c r="G2371" s="4"/>
      <c r="H2371" s="4"/>
      <c r="I2371" s="4"/>
      <c r="J2371" s="18"/>
      <c r="K2371" s="4"/>
      <c r="L2371" s="19"/>
      <c r="M2371" s="20"/>
    </row>
    <row r="2372">
      <c r="A2372" s="6"/>
      <c r="B2372" s="6"/>
      <c r="C2372" s="4"/>
      <c r="D2372" s="4"/>
      <c r="E2372" s="4"/>
      <c r="F2372" s="4"/>
      <c r="G2372" s="4"/>
      <c r="H2372" s="4"/>
      <c r="I2372" s="4"/>
      <c r="J2372" s="18"/>
      <c r="K2372" s="4"/>
      <c r="L2372" s="19"/>
      <c r="M2372" s="20"/>
    </row>
    <row r="2373">
      <c r="A2373" s="6"/>
      <c r="B2373" s="6"/>
      <c r="C2373" s="4"/>
      <c r="D2373" s="4"/>
      <c r="E2373" s="4"/>
      <c r="F2373" s="4"/>
      <c r="G2373" s="4"/>
      <c r="H2373" s="4"/>
      <c r="I2373" s="4"/>
      <c r="J2373" s="18"/>
      <c r="K2373" s="4"/>
      <c r="L2373" s="19"/>
      <c r="M2373" s="20"/>
    </row>
    <row r="2374">
      <c r="A2374" s="6"/>
      <c r="B2374" s="6"/>
      <c r="C2374" s="4"/>
      <c r="D2374" s="4"/>
      <c r="E2374" s="4"/>
      <c r="F2374" s="4"/>
      <c r="G2374" s="4"/>
      <c r="H2374" s="4"/>
      <c r="I2374" s="4"/>
      <c r="J2374" s="18"/>
      <c r="K2374" s="4"/>
      <c r="L2374" s="19"/>
      <c r="M2374" s="20"/>
    </row>
    <row r="2375">
      <c r="A2375" s="6"/>
      <c r="B2375" s="6"/>
      <c r="C2375" s="4"/>
      <c r="D2375" s="4"/>
      <c r="E2375" s="4"/>
      <c r="F2375" s="4"/>
      <c r="G2375" s="4"/>
      <c r="H2375" s="4"/>
      <c r="I2375" s="4"/>
      <c r="J2375" s="18"/>
      <c r="K2375" s="4"/>
      <c r="L2375" s="19"/>
      <c r="M2375" s="20"/>
    </row>
    <row r="2376">
      <c r="A2376" s="6"/>
      <c r="B2376" s="6"/>
      <c r="C2376" s="4"/>
      <c r="D2376" s="4"/>
      <c r="E2376" s="4"/>
      <c r="F2376" s="4"/>
      <c r="G2376" s="4"/>
      <c r="H2376" s="4"/>
      <c r="I2376" s="4"/>
      <c r="J2376" s="18"/>
      <c r="K2376" s="4"/>
      <c r="L2376" s="19"/>
      <c r="M2376" s="20"/>
    </row>
    <row r="2377">
      <c r="A2377" s="6"/>
      <c r="B2377" s="6"/>
      <c r="C2377" s="4"/>
      <c r="D2377" s="4"/>
      <c r="E2377" s="4"/>
      <c r="F2377" s="4"/>
      <c r="G2377" s="4"/>
      <c r="H2377" s="4"/>
      <c r="I2377" s="4"/>
      <c r="J2377" s="18"/>
      <c r="K2377" s="4"/>
      <c r="L2377" s="19"/>
      <c r="M2377" s="20"/>
    </row>
    <row r="2378">
      <c r="A2378" s="6"/>
      <c r="B2378" s="6"/>
      <c r="C2378" s="4"/>
      <c r="D2378" s="4"/>
      <c r="E2378" s="4"/>
      <c r="F2378" s="4"/>
      <c r="G2378" s="4"/>
      <c r="H2378" s="4"/>
      <c r="I2378" s="4"/>
      <c r="J2378" s="18"/>
      <c r="K2378" s="4"/>
      <c r="L2378" s="19"/>
      <c r="M2378" s="20"/>
    </row>
    <row r="2379">
      <c r="A2379" s="6"/>
      <c r="B2379" s="6"/>
      <c r="C2379" s="4"/>
      <c r="D2379" s="4"/>
      <c r="E2379" s="4"/>
      <c r="F2379" s="4"/>
      <c r="G2379" s="4"/>
      <c r="H2379" s="4"/>
      <c r="I2379" s="4"/>
      <c r="J2379" s="18"/>
      <c r="K2379" s="4"/>
      <c r="L2379" s="19"/>
      <c r="M2379" s="20"/>
    </row>
    <row r="2380">
      <c r="A2380" s="6"/>
      <c r="B2380" s="6"/>
      <c r="C2380" s="4"/>
      <c r="D2380" s="4"/>
      <c r="E2380" s="4"/>
      <c r="F2380" s="4"/>
      <c r="G2380" s="4"/>
      <c r="H2380" s="4"/>
      <c r="I2380" s="4"/>
      <c r="J2380" s="18"/>
      <c r="K2380" s="4"/>
      <c r="L2380" s="19"/>
      <c r="M2380" s="20"/>
    </row>
    <row r="2381">
      <c r="A2381" s="6"/>
      <c r="B2381" s="6"/>
      <c r="C2381" s="4"/>
      <c r="D2381" s="4"/>
      <c r="E2381" s="4"/>
      <c r="F2381" s="4"/>
      <c r="G2381" s="4"/>
      <c r="H2381" s="4"/>
      <c r="I2381" s="4"/>
      <c r="J2381" s="18"/>
      <c r="K2381" s="4"/>
      <c r="L2381" s="19"/>
      <c r="M2381" s="20"/>
    </row>
    <row r="2382">
      <c r="A2382" s="6"/>
      <c r="B2382" s="6"/>
      <c r="C2382" s="4"/>
      <c r="D2382" s="4"/>
      <c r="E2382" s="4"/>
      <c r="F2382" s="4"/>
      <c r="G2382" s="4"/>
      <c r="H2382" s="4"/>
      <c r="I2382" s="4"/>
      <c r="J2382" s="18"/>
      <c r="K2382" s="4"/>
      <c r="L2382" s="19"/>
      <c r="M2382" s="20"/>
    </row>
    <row r="2383">
      <c r="A2383" s="6"/>
      <c r="B2383" s="6"/>
      <c r="C2383" s="4"/>
      <c r="D2383" s="4"/>
      <c r="E2383" s="4"/>
      <c r="F2383" s="4"/>
      <c r="G2383" s="4"/>
      <c r="H2383" s="4"/>
      <c r="I2383" s="4"/>
      <c r="J2383" s="18"/>
      <c r="K2383" s="4"/>
      <c r="L2383" s="19"/>
      <c r="M2383" s="20"/>
    </row>
    <row r="2384">
      <c r="A2384" s="6"/>
      <c r="B2384" s="6"/>
      <c r="C2384" s="4"/>
      <c r="D2384" s="4"/>
      <c r="E2384" s="4"/>
      <c r="F2384" s="4"/>
      <c r="G2384" s="4"/>
      <c r="H2384" s="4"/>
      <c r="I2384" s="4"/>
      <c r="J2384" s="18"/>
      <c r="K2384" s="4"/>
      <c r="L2384" s="19"/>
      <c r="M2384" s="20"/>
    </row>
    <row r="2385">
      <c r="A2385" s="6"/>
      <c r="B2385" s="6"/>
      <c r="C2385" s="4"/>
      <c r="D2385" s="4"/>
      <c r="E2385" s="4"/>
      <c r="F2385" s="4"/>
      <c r="G2385" s="4"/>
      <c r="H2385" s="4"/>
      <c r="I2385" s="4"/>
      <c r="J2385" s="18"/>
      <c r="K2385" s="4"/>
      <c r="L2385" s="19"/>
      <c r="M2385" s="20"/>
    </row>
    <row r="2386">
      <c r="A2386" s="6"/>
      <c r="B2386" s="6"/>
      <c r="C2386" s="4"/>
      <c r="D2386" s="4"/>
      <c r="E2386" s="4"/>
      <c r="F2386" s="4"/>
      <c r="G2386" s="4"/>
      <c r="H2386" s="4"/>
      <c r="I2386" s="4"/>
      <c r="J2386" s="18"/>
      <c r="K2386" s="4"/>
      <c r="L2386" s="19"/>
      <c r="M2386" s="20"/>
    </row>
    <row r="2387">
      <c r="A2387" s="6"/>
      <c r="B2387" s="6"/>
      <c r="C2387" s="4"/>
      <c r="D2387" s="4"/>
      <c r="E2387" s="4"/>
      <c r="F2387" s="4"/>
      <c r="G2387" s="4"/>
      <c r="H2387" s="4"/>
      <c r="I2387" s="4"/>
      <c r="J2387" s="18"/>
      <c r="K2387" s="4"/>
      <c r="L2387" s="19"/>
      <c r="M2387" s="20"/>
    </row>
    <row r="2388">
      <c r="A2388" s="6"/>
      <c r="B2388" s="6"/>
      <c r="C2388" s="4"/>
      <c r="D2388" s="4"/>
      <c r="E2388" s="4"/>
      <c r="F2388" s="4"/>
      <c r="G2388" s="4"/>
      <c r="H2388" s="4"/>
      <c r="I2388" s="4"/>
      <c r="J2388" s="18"/>
      <c r="K2388" s="4"/>
      <c r="L2388" s="19"/>
      <c r="M2388" s="20"/>
    </row>
    <row r="2389">
      <c r="A2389" s="6"/>
      <c r="B2389" s="6"/>
      <c r="C2389" s="4"/>
      <c r="D2389" s="4"/>
      <c r="E2389" s="4"/>
      <c r="F2389" s="4"/>
      <c r="G2389" s="4"/>
      <c r="H2389" s="4"/>
      <c r="I2389" s="4"/>
      <c r="J2389" s="18"/>
      <c r="K2389" s="4"/>
      <c r="L2389" s="19"/>
      <c r="M2389" s="20"/>
    </row>
    <row r="2390">
      <c r="A2390" s="6"/>
      <c r="B2390" s="6"/>
      <c r="C2390" s="4"/>
      <c r="D2390" s="4"/>
      <c r="E2390" s="4"/>
      <c r="F2390" s="4"/>
      <c r="G2390" s="4"/>
      <c r="H2390" s="4"/>
      <c r="I2390" s="4"/>
      <c r="J2390" s="18"/>
      <c r="K2390" s="4"/>
      <c r="L2390" s="19"/>
      <c r="M2390" s="20"/>
    </row>
    <row r="2391">
      <c r="A2391" s="6"/>
      <c r="B2391" s="6"/>
      <c r="C2391" s="4"/>
      <c r="D2391" s="4"/>
      <c r="E2391" s="4"/>
      <c r="F2391" s="4"/>
      <c r="G2391" s="4"/>
      <c r="H2391" s="4"/>
      <c r="I2391" s="4"/>
      <c r="J2391" s="18"/>
      <c r="K2391" s="4"/>
      <c r="L2391" s="19"/>
      <c r="M2391" s="20"/>
    </row>
    <row r="2392">
      <c r="A2392" s="6"/>
      <c r="B2392" s="6"/>
      <c r="C2392" s="4"/>
      <c r="D2392" s="4"/>
      <c r="E2392" s="4"/>
      <c r="F2392" s="4"/>
      <c r="G2392" s="4"/>
      <c r="H2392" s="4"/>
      <c r="I2392" s="4"/>
      <c r="J2392" s="18"/>
      <c r="K2392" s="4"/>
      <c r="L2392" s="19"/>
      <c r="M2392" s="20"/>
    </row>
    <row r="2393">
      <c r="A2393" s="6"/>
      <c r="B2393" s="6"/>
      <c r="C2393" s="4"/>
      <c r="D2393" s="4"/>
      <c r="E2393" s="4"/>
      <c r="F2393" s="4"/>
      <c r="G2393" s="4"/>
      <c r="H2393" s="4"/>
      <c r="I2393" s="4"/>
      <c r="J2393" s="18"/>
      <c r="K2393" s="4"/>
      <c r="L2393" s="19"/>
      <c r="M2393" s="20"/>
    </row>
    <row r="2394">
      <c r="A2394" s="6"/>
      <c r="B2394" s="6"/>
      <c r="C2394" s="4"/>
      <c r="D2394" s="4"/>
      <c r="E2394" s="4"/>
      <c r="F2394" s="4"/>
      <c r="G2394" s="4"/>
      <c r="H2394" s="4"/>
      <c r="I2394" s="4"/>
      <c r="J2394" s="18"/>
      <c r="K2394" s="4"/>
      <c r="L2394" s="19"/>
      <c r="M2394" s="20"/>
    </row>
    <row r="2395">
      <c r="A2395" s="6"/>
      <c r="B2395" s="6"/>
      <c r="C2395" s="4"/>
      <c r="D2395" s="4"/>
      <c r="E2395" s="4"/>
      <c r="F2395" s="4"/>
      <c r="G2395" s="4"/>
      <c r="H2395" s="4"/>
      <c r="I2395" s="4"/>
      <c r="J2395" s="18"/>
      <c r="K2395" s="4"/>
      <c r="L2395" s="19"/>
      <c r="M2395" s="20"/>
    </row>
    <row r="2396">
      <c r="A2396" s="6"/>
      <c r="B2396" s="6"/>
      <c r="C2396" s="4"/>
      <c r="D2396" s="4"/>
      <c r="E2396" s="4"/>
      <c r="F2396" s="4"/>
      <c r="G2396" s="4"/>
      <c r="H2396" s="4"/>
      <c r="I2396" s="4"/>
      <c r="J2396" s="18"/>
      <c r="K2396" s="4"/>
      <c r="L2396" s="19"/>
      <c r="M2396" s="20"/>
    </row>
    <row r="2397">
      <c r="A2397" s="6"/>
      <c r="B2397" s="6"/>
      <c r="C2397" s="4"/>
      <c r="D2397" s="4"/>
      <c r="E2397" s="4"/>
      <c r="F2397" s="4"/>
      <c r="G2397" s="4"/>
      <c r="H2397" s="4"/>
      <c r="I2397" s="4"/>
      <c r="J2397" s="18"/>
      <c r="K2397" s="4"/>
      <c r="L2397" s="19"/>
      <c r="M2397" s="20"/>
    </row>
    <row r="2398">
      <c r="A2398" s="6"/>
      <c r="B2398" s="6"/>
      <c r="C2398" s="4"/>
      <c r="D2398" s="4"/>
      <c r="E2398" s="4"/>
      <c r="F2398" s="4"/>
      <c r="G2398" s="4"/>
      <c r="H2398" s="4"/>
      <c r="I2398" s="4"/>
      <c r="J2398" s="18"/>
      <c r="K2398" s="4"/>
      <c r="L2398" s="19"/>
      <c r="M2398" s="20"/>
    </row>
    <row r="2399">
      <c r="A2399" s="6"/>
      <c r="B2399" s="6"/>
      <c r="C2399" s="4"/>
      <c r="D2399" s="4"/>
      <c r="E2399" s="4"/>
      <c r="F2399" s="4"/>
      <c r="G2399" s="4"/>
      <c r="H2399" s="4"/>
      <c r="I2399" s="4"/>
      <c r="J2399" s="18"/>
      <c r="K2399" s="4"/>
      <c r="L2399" s="19"/>
      <c r="M2399" s="20"/>
    </row>
    <row r="2400">
      <c r="A2400" s="6"/>
      <c r="B2400" s="6"/>
      <c r="C2400" s="4"/>
      <c r="D2400" s="4"/>
      <c r="E2400" s="4"/>
      <c r="F2400" s="4"/>
      <c r="G2400" s="4"/>
      <c r="H2400" s="4"/>
      <c r="I2400" s="4"/>
      <c r="J2400" s="18"/>
      <c r="K2400" s="4"/>
      <c r="L2400" s="19"/>
      <c r="M2400" s="20"/>
    </row>
    <row r="2401">
      <c r="A2401" s="6"/>
      <c r="B2401" s="6"/>
      <c r="C2401" s="4"/>
      <c r="D2401" s="4"/>
      <c r="E2401" s="4"/>
      <c r="F2401" s="4"/>
      <c r="G2401" s="4"/>
      <c r="H2401" s="4"/>
      <c r="I2401" s="4"/>
      <c r="J2401" s="18"/>
      <c r="K2401" s="4"/>
      <c r="L2401" s="19"/>
      <c r="M2401" s="20"/>
    </row>
    <row r="2402">
      <c r="A2402" s="6"/>
      <c r="B2402" s="6"/>
      <c r="C2402" s="4"/>
      <c r="D2402" s="4"/>
      <c r="E2402" s="4"/>
      <c r="F2402" s="4"/>
      <c r="G2402" s="4"/>
      <c r="H2402" s="4"/>
      <c r="I2402" s="4"/>
      <c r="J2402" s="18"/>
      <c r="K2402" s="4"/>
      <c r="L2402" s="19"/>
      <c r="M2402" s="20"/>
    </row>
    <row r="2403">
      <c r="A2403" s="6"/>
      <c r="B2403" s="6"/>
      <c r="C2403" s="4"/>
      <c r="D2403" s="4"/>
      <c r="E2403" s="4"/>
      <c r="F2403" s="4"/>
      <c r="G2403" s="4"/>
      <c r="H2403" s="4"/>
      <c r="I2403" s="4"/>
      <c r="J2403" s="18"/>
      <c r="K2403" s="4"/>
      <c r="L2403" s="19"/>
      <c r="M2403" s="20"/>
    </row>
    <row r="2404">
      <c r="A2404" s="6"/>
      <c r="B2404" s="6"/>
      <c r="C2404" s="4"/>
      <c r="D2404" s="4"/>
      <c r="E2404" s="4"/>
      <c r="F2404" s="4"/>
      <c r="G2404" s="4"/>
      <c r="H2404" s="4"/>
      <c r="I2404" s="4"/>
      <c r="J2404" s="18"/>
      <c r="K2404" s="4"/>
      <c r="L2404" s="19"/>
      <c r="M2404" s="20"/>
    </row>
    <row r="2405">
      <c r="A2405" s="6"/>
      <c r="B2405" s="6"/>
      <c r="C2405" s="4"/>
      <c r="D2405" s="4"/>
      <c r="E2405" s="4"/>
      <c r="F2405" s="4"/>
      <c r="G2405" s="4"/>
      <c r="H2405" s="4"/>
      <c r="I2405" s="4"/>
      <c r="J2405" s="18"/>
      <c r="K2405" s="4"/>
      <c r="L2405" s="19"/>
      <c r="M2405" s="20"/>
    </row>
    <row r="2406">
      <c r="A2406" s="6"/>
      <c r="B2406" s="6"/>
      <c r="C2406" s="4"/>
      <c r="D2406" s="4"/>
      <c r="E2406" s="4"/>
      <c r="F2406" s="4"/>
      <c r="G2406" s="4"/>
      <c r="H2406" s="4"/>
      <c r="I2406" s="4"/>
      <c r="J2406" s="18"/>
      <c r="K2406" s="4"/>
      <c r="L2406" s="19"/>
      <c r="M2406" s="20"/>
    </row>
    <row r="2407">
      <c r="A2407" s="6"/>
      <c r="B2407" s="6"/>
      <c r="C2407" s="4"/>
      <c r="D2407" s="4"/>
      <c r="E2407" s="4"/>
      <c r="F2407" s="4"/>
      <c r="G2407" s="4"/>
      <c r="H2407" s="4"/>
      <c r="I2407" s="4"/>
      <c r="J2407" s="18"/>
      <c r="K2407" s="4"/>
      <c r="L2407" s="19"/>
      <c r="M2407" s="20"/>
    </row>
    <row r="2408">
      <c r="A2408" s="6"/>
      <c r="B2408" s="6"/>
      <c r="C2408" s="4"/>
      <c r="D2408" s="4"/>
      <c r="E2408" s="4"/>
      <c r="F2408" s="4"/>
      <c r="G2408" s="4"/>
      <c r="H2408" s="4"/>
      <c r="I2408" s="4"/>
      <c r="J2408" s="18"/>
      <c r="K2408" s="4"/>
      <c r="L2408" s="19"/>
      <c r="M2408" s="20"/>
    </row>
    <row r="2409">
      <c r="A2409" s="6"/>
      <c r="B2409" s="6"/>
      <c r="C2409" s="4"/>
      <c r="D2409" s="4"/>
      <c r="E2409" s="4"/>
      <c r="F2409" s="4"/>
      <c r="G2409" s="4"/>
      <c r="H2409" s="4"/>
      <c r="I2409" s="4"/>
      <c r="J2409" s="18"/>
      <c r="K2409" s="4"/>
      <c r="L2409" s="19"/>
      <c r="M2409" s="20"/>
    </row>
    <row r="2410">
      <c r="A2410" s="6"/>
      <c r="B2410" s="6"/>
      <c r="C2410" s="4"/>
      <c r="D2410" s="4"/>
      <c r="E2410" s="4"/>
      <c r="F2410" s="4"/>
      <c r="G2410" s="4"/>
      <c r="H2410" s="4"/>
      <c r="I2410" s="4"/>
      <c r="J2410" s="18"/>
      <c r="K2410" s="4"/>
      <c r="L2410" s="19"/>
      <c r="M2410" s="20"/>
    </row>
    <row r="2411">
      <c r="A2411" s="6"/>
      <c r="B2411" s="6"/>
      <c r="C2411" s="4"/>
      <c r="D2411" s="4"/>
      <c r="E2411" s="4"/>
      <c r="F2411" s="4"/>
      <c r="G2411" s="4"/>
      <c r="H2411" s="4"/>
      <c r="I2411" s="4"/>
      <c r="J2411" s="18"/>
      <c r="K2411" s="4"/>
      <c r="L2411" s="19"/>
      <c r="M2411" s="20"/>
    </row>
    <row r="2412">
      <c r="A2412" s="6"/>
      <c r="B2412" s="6"/>
      <c r="C2412" s="4"/>
      <c r="D2412" s="4"/>
      <c r="E2412" s="4"/>
      <c r="F2412" s="4"/>
      <c r="G2412" s="4"/>
      <c r="H2412" s="4"/>
      <c r="I2412" s="4"/>
      <c r="J2412" s="18"/>
      <c r="K2412" s="4"/>
      <c r="L2412" s="19"/>
      <c r="M2412" s="20"/>
    </row>
    <row r="2413">
      <c r="A2413" s="6"/>
      <c r="B2413" s="6"/>
      <c r="C2413" s="4"/>
      <c r="D2413" s="4"/>
      <c r="E2413" s="4"/>
      <c r="F2413" s="4"/>
      <c r="G2413" s="4"/>
      <c r="H2413" s="4"/>
      <c r="I2413" s="4"/>
      <c r="J2413" s="18"/>
      <c r="K2413" s="4"/>
      <c r="L2413" s="19"/>
      <c r="M2413" s="20"/>
    </row>
    <row r="2414">
      <c r="A2414" s="6"/>
      <c r="B2414" s="6"/>
      <c r="C2414" s="4"/>
      <c r="D2414" s="4"/>
      <c r="E2414" s="4"/>
      <c r="F2414" s="4"/>
      <c r="G2414" s="4"/>
      <c r="H2414" s="4"/>
      <c r="I2414" s="4"/>
      <c r="J2414" s="18"/>
      <c r="K2414" s="4"/>
      <c r="L2414" s="19"/>
      <c r="M2414" s="20"/>
    </row>
    <row r="2415">
      <c r="A2415" s="6"/>
      <c r="B2415" s="6"/>
      <c r="C2415" s="4"/>
      <c r="D2415" s="4"/>
      <c r="E2415" s="4"/>
      <c r="F2415" s="4"/>
      <c r="G2415" s="4"/>
      <c r="H2415" s="4"/>
      <c r="I2415" s="4"/>
      <c r="J2415" s="18"/>
      <c r="K2415" s="4"/>
      <c r="L2415" s="19"/>
      <c r="M2415" s="20"/>
    </row>
    <row r="2416">
      <c r="A2416" s="6"/>
      <c r="B2416" s="6"/>
      <c r="C2416" s="4"/>
      <c r="D2416" s="4"/>
      <c r="E2416" s="4"/>
      <c r="F2416" s="4"/>
      <c r="G2416" s="4"/>
      <c r="H2416" s="4"/>
      <c r="I2416" s="4"/>
      <c r="J2416" s="18"/>
      <c r="K2416" s="4"/>
      <c r="L2416" s="19"/>
      <c r="M2416" s="20"/>
    </row>
    <row r="2417">
      <c r="A2417" s="6"/>
      <c r="B2417" s="6"/>
      <c r="C2417" s="4"/>
      <c r="D2417" s="4"/>
      <c r="E2417" s="4"/>
      <c r="F2417" s="4"/>
      <c r="G2417" s="4"/>
      <c r="H2417" s="4"/>
      <c r="I2417" s="4"/>
      <c r="J2417" s="18"/>
      <c r="K2417" s="4"/>
      <c r="L2417" s="19"/>
      <c r="M2417" s="20"/>
    </row>
    <row r="2418">
      <c r="A2418" s="6"/>
      <c r="B2418" s="6"/>
      <c r="C2418" s="4"/>
      <c r="D2418" s="4"/>
      <c r="E2418" s="4"/>
      <c r="F2418" s="4"/>
      <c r="G2418" s="4"/>
      <c r="H2418" s="4"/>
      <c r="I2418" s="4"/>
      <c r="J2418" s="18"/>
      <c r="K2418" s="4"/>
      <c r="L2418" s="19"/>
      <c r="M2418" s="20"/>
    </row>
    <row r="2419">
      <c r="A2419" s="6"/>
      <c r="B2419" s="6"/>
      <c r="C2419" s="4"/>
      <c r="D2419" s="4"/>
      <c r="E2419" s="4"/>
      <c r="F2419" s="4"/>
      <c r="G2419" s="4"/>
      <c r="H2419" s="4"/>
      <c r="I2419" s="4"/>
      <c r="J2419" s="18"/>
      <c r="K2419" s="4"/>
      <c r="L2419" s="19"/>
      <c r="M2419" s="20"/>
    </row>
    <row r="2420">
      <c r="A2420" s="6"/>
      <c r="B2420" s="6"/>
      <c r="C2420" s="4"/>
      <c r="D2420" s="4"/>
      <c r="E2420" s="4"/>
      <c r="F2420" s="4"/>
      <c r="G2420" s="4"/>
      <c r="H2420" s="4"/>
      <c r="I2420" s="4"/>
      <c r="J2420" s="18"/>
      <c r="K2420" s="4"/>
      <c r="L2420" s="19"/>
      <c r="M2420" s="20"/>
    </row>
    <row r="2421">
      <c r="A2421" s="6"/>
      <c r="B2421" s="6"/>
      <c r="C2421" s="4"/>
      <c r="D2421" s="4"/>
      <c r="E2421" s="4"/>
      <c r="F2421" s="4"/>
      <c r="G2421" s="4"/>
      <c r="H2421" s="4"/>
      <c r="I2421" s="4"/>
      <c r="J2421" s="18"/>
      <c r="K2421" s="4"/>
      <c r="L2421" s="19"/>
      <c r="M2421" s="20"/>
    </row>
    <row r="2422">
      <c r="A2422" s="6"/>
      <c r="B2422" s="6"/>
      <c r="C2422" s="4"/>
      <c r="D2422" s="4"/>
      <c r="E2422" s="4"/>
      <c r="F2422" s="4"/>
      <c r="G2422" s="4"/>
      <c r="H2422" s="4"/>
      <c r="I2422" s="4"/>
      <c r="J2422" s="18"/>
      <c r="K2422" s="4"/>
      <c r="L2422" s="19"/>
      <c r="M2422" s="20"/>
    </row>
    <row r="2423">
      <c r="A2423" s="6"/>
      <c r="B2423" s="6"/>
      <c r="C2423" s="4"/>
      <c r="D2423" s="4"/>
      <c r="E2423" s="4"/>
      <c r="F2423" s="4"/>
      <c r="G2423" s="4"/>
      <c r="H2423" s="4"/>
      <c r="I2423" s="4"/>
      <c r="J2423" s="18"/>
      <c r="K2423" s="4"/>
      <c r="L2423" s="19"/>
      <c r="M2423" s="20"/>
    </row>
    <row r="2424">
      <c r="A2424" s="6"/>
      <c r="B2424" s="6"/>
      <c r="C2424" s="4"/>
      <c r="D2424" s="4"/>
      <c r="E2424" s="4"/>
      <c r="F2424" s="4"/>
      <c r="G2424" s="4"/>
      <c r="H2424" s="4"/>
      <c r="I2424" s="4"/>
      <c r="J2424" s="18"/>
      <c r="K2424" s="4"/>
      <c r="L2424" s="19"/>
      <c r="M2424" s="20"/>
    </row>
    <row r="2425">
      <c r="A2425" s="6"/>
      <c r="B2425" s="6"/>
      <c r="C2425" s="4"/>
      <c r="D2425" s="4"/>
      <c r="E2425" s="4"/>
      <c r="F2425" s="4"/>
      <c r="G2425" s="4"/>
      <c r="H2425" s="4"/>
      <c r="I2425" s="4"/>
      <c r="J2425" s="18"/>
      <c r="K2425" s="4"/>
      <c r="L2425" s="19"/>
      <c r="M2425" s="20"/>
    </row>
    <row r="2426">
      <c r="A2426" s="6"/>
      <c r="B2426" s="6"/>
      <c r="C2426" s="4"/>
      <c r="D2426" s="4"/>
      <c r="E2426" s="4"/>
      <c r="F2426" s="4"/>
      <c r="G2426" s="4"/>
      <c r="H2426" s="4"/>
      <c r="I2426" s="4"/>
      <c r="J2426" s="18"/>
      <c r="K2426" s="4"/>
      <c r="L2426" s="19"/>
      <c r="M2426" s="20"/>
    </row>
    <row r="2427">
      <c r="A2427" s="6"/>
      <c r="B2427" s="6"/>
      <c r="C2427" s="4"/>
      <c r="D2427" s="4"/>
      <c r="E2427" s="4"/>
      <c r="F2427" s="4"/>
      <c r="G2427" s="4"/>
      <c r="H2427" s="4"/>
      <c r="I2427" s="4"/>
      <c r="J2427" s="18"/>
      <c r="K2427" s="4"/>
      <c r="L2427" s="19"/>
      <c r="M2427" s="20"/>
    </row>
    <row r="2428">
      <c r="A2428" s="6"/>
      <c r="B2428" s="6"/>
      <c r="C2428" s="4"/>
      <c r="D2428" s="4"/>
      <c r="E2428" s="4"/>
      <c r="F2428" s="4"/>
      <c r="G2428" s="4"/>
      <c r="H2428" s="4"/>
      <c r="I2428" s="4"/>
      <c r="J2428" s="18"/>
      <c r="K2428" s="4"/>
      <c r="L2428" s="19"/>
      <c r="M2428" s="20"/>
    </row>
    <row r="2429">
      <c r="A2429" s="6"/>
      <c r="B2429" s="6"/>
      <c r="C2429" s="4"/>
      <c r="D2429" s="4"/>
      <c r="E2429" s="4"/>
      <c r="F2429" s="4"/>
      <c r="G2429" s="4"/>
      <c r="H2429" s="4"/>
      <c r="I2429" s="4"/>
      <c r="J2429" s="18"/>
      <c r="K2429" s="4"/>
      <c r="L2429" s="19"/>
      <c r="M2429" s="20"/>
    </row>
    <row r="2430">
      <c r="A2430" s="6"/>
      <c r="B2430" s="6"/>
      <c r="C2430" s="4"/>
      <c r="D2430" s="4"/>
      <c r="E2430" s="4"/>
      <c r="F2430" s="4"/>
      <c r="G2430" s="4"/>
      <c r="H2430" s="4"/>
      <c r="I2430" s="4"/>
      <c r="J2430" s="18"/>
      <c r="K2430" s="4"/>
      <c r="L2430" s="19"/>
      <c r="M2430" s="20"/>
    </row>
    <row r="2431">
      <c r="A2431" s="6"/>
      <c r="B2431" s="6"/>
      <c r="C2431" s="4"/>
      <c r="D2431" s="4"/>
      <c r="E2431" s="4"/>
      <c r="F2431" s="4"/>
      <c r="G2431" s="4"/>
      <c r="H2431" s="4"/>
      <c r="I2431" s="4"/>
      <c r="J2431" s="18"/>
      <c r="K2431" s="4"/>
      <c r="L2431" s="19"/>
      <c r="M2431" s="20"/>
    </row>
    <row r="2432">
      <c r="A2432" s="6"/>
      <c r="B2432" s="6"/>
      <c r="C2432" s="4"/>
      <c r="D2432" s="4"/>
      <c r="E2432" s="4"/>
      <c r="F2432" s="4"/>
      <c r="G2432" s="4"/>
      <c r="H2432" s="4"/>
      <c r="I2432" s="4"/>
      <c r="J2432" s="18"/>
      <c r="K2432" s="4"/>
      <c r="L2432" s="19"/>
      <c r="M2432" s="20"/>
    </row>
    <row r="2433">
      <c r="A2433" s="6"/>
      <c r="B2433" s="6"/>
      <c r="C2433" s="4"/>
      <c r="D2433" s="4"/>
      <c r="E2433" s="4"/>
      <c r="F2433" s="4"/>
      <c r="G2433" s="4"/>
      <c r="H2433" s="4"/>
      <c r="I2433" s="4"/>
      <c r="J2433" s="18"/>
      <c r="K2433" s="4"/>
      <c r="L2433" s="19"/>
      <c r="M2433" s="20"/>
    </row>
    <row r="2434">
      <c r="A2434" s="6"/>
      <c r="B2434" s="6"/>
      <c r="C2434" s="4"/>
      <c r="D2434" s="4"/>
      <c r="E2434" s="4"/>
      <c r="F2434" s="4"/>
      <c r="G2434" s="4"/>
      <c r="H2434" s="4"/>
      <c r="I2434" s="4"/>
      <c r="J2434" s="18"/>
      <c r="K2434" s="4"/>
      <c r="L2434" s="19"/>
      <c r="M2434" s="20"/>
    </row>
    <row r="2435">
      <c r="A2435" s="6"/>
      <c r="B2435" s="6"/>
      <c r="C2435" s="4"/>
      <c r="D2435" s="4"/>
      <c r="E2435" s="4"/>
      <c r="F2435" s="4"/>
      <c r="G2435" s="4"/>
      <c r="H2435" s="4"/>
      <c r="I2435" s="4"/>
      <c r="J2435" s="18"/>
      <c r="K2435" s="4"/>
      <c r="L2435" s="19"/>
      <c r="M2435" s="20"/>
    </row>
    <row r="2436">
      <c r="A2436" s="6"/>
      <c r="B2436" s="6"/>
      <c r="C2436" s="4"/>
      <c r="D2436" s="4"/>
      <c r="E2436" s="4"/>
      <c r="F2436" s="4"/>
      <c r="G2436" s="4"/>
      <c r="H2436" s="4"/>
      <c r="I2436" s="4"/>
      <c r="J2436" s="18"/>
      <c r="K2436" s="4"/>
      <c r="L2436" s="19"/>
      <c r="M2436" s="20"/>
    </row>
    <row r="2437">
      <c r="A2437" s="6"/>
      <c r="B2437" s="6"/>
      <c r="C2437" s="4"/>
      <c r="D2437" s="4"/>
      <c r="E2437" s="4"/>
      <c r="F2437" s="4"/>
      <c r="G2437" s="4"/>
      <c r="H2437" s="4"/>
      <c r="I2437" s="4"/>
      <c r="J2437" s="18"/>
      <c r="K2437" s="4"/>
      <c r="L2437" s="19"/>
      <c r="M2437" s="20"/>
    </row>
    <row r="2438">
      <c r="A2438" s="6"/>
      <c r="B2438" s="6"/>
      <c r="C2438" s="4"/>
      <c r="D2438" s="4"/>
      <c r="E2438" s="4"/>
      <c r="F2438" s="4"/>
      <c r="G2438" s="4"/>
      <c r="H2438" s="4"/>
      <c r="I2438" s="4"/>
      <c r="J2438" s="18"/>
      <c r="K2438" s="4"/>
      <c r="L2438" s="19"/>
      <c r="M2438" s="20"/>
    </row>
    <row r="2439">
      <c r="A2439" s="6"/>
      <c r="B2439" s="6"/>
      <c r="C2439" s="4"/>
      <c r="D2439" s="4"/>
      <c r="E2439" s="4"/>
      <c r="F2439" s="4"/>
      <c r="G2439" s="4"/>
      <c r="H2439" s="4"/>
      <c r="I2439" s="4"/>
      <c r="J2439" s="18"/>
      <c r="K2439" s="4"/>
      <c r="L2439" s="19"/>
      <c r="M2439" s="20"/>
    </row>
    <row r="2440">
      <c r="A2440" s="6"/>
      <c r="B2440" s="6"/>
      <c r="C2440" s="4"/>
      <c r="D2440" s="4"/>
      <c r="E2440" s="4"/>
      <c r="F2440" s="4"/>
      <c r="G2440" s="4"/>
      <c r="H2440" s="4"/>
      <c r="I2440" s="4"/>
      <c r="J2440" s="18"/>
      <c r="K2440" s="4"/>
      <c r="L2440" s="19"/>
      <c r="M2440" s="20"/>
    </row>
    <row r="2441">
      <c r="A2441" s="6"/>
      <c r="B2441" s="6"/>
      <c r="C2441" s="4"/>
      <c r="D2441" s="4"/>
      <c r="E2441" s="4"/>
      <c r="F2441" s="4"/>
      <c r="G2441" s="4"/>
      <c r="H2441" s="4"/>
      <c r="I2441" s="4"/>
      <c r="J2441" s="18"/>
      <c r="K2441" s="4"/>
      <c r="L2441" s="19"/>
      <c r="M2441" s="20"/>
    </row>
    <row r="2442">
      <c r="A2442" s="6"/>
      <c r="B2442" s="6"/>
      <c r="C2442" s="4"/>
      <c r="D2442" s="4"/>
      <c r="E2442" s="4"/>
      <c r="F2442" s="4"/>
      <c r="G2442" s="4"/>
      <c r="H2442" s="4"/>
      <c r="I2442" s="4"/>
      <c r="J2442" s="18"/>
      <c r="K2442" s="4"/>
      <c r="L2442" s="19"/>
      <c r="M2442" s="20"/>
    </row>
    <row r="2443">
      <c r="A2443" s="6"/>
      <c r="B2443" s="6"/>
      <c r="C2443" s="4"/>
      <c r="D2443" s="4"/>
      <c r="E2443" s="4"/>
      <c r="F2443" s="4"/>
      <c r="G2443" s="4"/>
      <c r="H2443" s="4"/>
      <c r="I2443" s="4"/>
      <c r="J2443" s="18"/>
      <c r="K2443" s="4"/>
      <c r="L2443" s="19"/>
      <c r="M2443" s="20"/>
    </row>
    <row r="2444">
      <c r="A2444" s="6"/>
      <c r="B2444" s="6"/>
      <c r="C2444" s="4"/>
      <c r="D2444" s="4"/>
      <c r="E2444" s="4"/>
      <c r="F2444" s="4"/>
      <c r="G2444" s="4"/>
      <c r="H2444" s="4"/>
      <c r="I2444" s="4"/>
      <c r="J2444" s="18"/>
      <c r="K2444" s="4"/>
      <c r="L2444" s="19"/>
      <c r="M2444" s="20"/>
    </row>
    <row r="2445">
      <c r="A2445" s="6"/>
      <c r="B2445" s="6"/>
      <c r="C2445" s="4"/>
      <c r="D2445" s="4"/>
      <c r="E2445" s="4"/>
      <c r="F2445" s="4"/>
      <c r="G2445" s="4"/>
      <c r="H2445" s="4"/>
      <c r="I2445" s="4"/>
      <c r="J2445" s="18"/>
      <c r="K2445" s="4"/>
      <c r="L2445" s="19"/>
      <c r="M2445" s="20"/>
    </row>
    <row r="2446">
      <c r="A2446" s="6"/>
      <c r="B2446" s="6"/>
      <c r="C2446" s="4"/>
      <c r="D2446" s="4"/>
      <c r="E2446" s="4"/>
      <c r="F2446" s="4"/>
      <c r="G2446" s="4"/>
      <c r="H2446" s="4"/>
      <c r="I2446" s="4"/>
      <c r="J2446" s="18"/>
      <c r="K2446" s="4"/>
      <c r="L2446" s="19"/>
      <c r="M2446" s="20"/>
    </row>
    <row r="2447">
      <c r="A2447" s="6"/>
      <c r="B2447" s="6"/>
      <c r="C2447" s="4"/>
      <c r="D2447" s="4"/>
      <c r="E2447" s="4"/>
      <c r="F2447" s="4"/>
      <c r="G2447" s="4"/>
      <c r="H2447" s="4"/>
      <c r="I2447" s="4"/>
      <c r="J2447" s="18"/>
      <c r="K2447" s="4"/>
      <c r="L2447" s="19"/>
      <c r="M2447" s="20"/>
    </row>
    <row r="2448">
      <c r="A2448" s="6"/>
      <c r="B2448" s="6"/>
      <c r="C2448" s="4"/>
      <c r="D2448" s="4"/>
      <c r="E2448" s="4"/>
      <c r="F2448" s="4"/>
      <c r="G2448" s="4"/>
      <c r="H2448" s="4"/>
      <c r="I2448" s="4"/>
      <c r="J2448" s="18"/>
      <c r="K2448" s="4"/>
      <c r="L2448" s="19"/>
      <c r="M2448" s="20"/>
    </row>
    <row r="2449">
      <c r="A2449" s="6"/>
      <c r="B2449" s="6"/>
      <c r="C2449" s="4"/>
      <c r="D2449" s="4"/>
      <c r="E2449" s="4"/>
      <c r="F2449" s="4"/>
      <c r="G2449" s="4"/>
      <c r="H2449" s="4"/>
      <c r="I2449" s="4"/>
      <c r="J2449" s="18"/>
      <c r="K2449" s="4"/>
      <c r="L2449" s="19"/>
      <c r="M2449" s="20"/>
    </row>
    <row r="2450">
      <c r="A2450" s="6"/>
      <c r="B2450" s="6"/>
      <c r="C2450" s="4"/>
      <c r="D2450" s="4"/>
      <c r="E2450" s="4"/>
      <c r="F2450" s="4"/>
      <c r="G2450" s="4"/>
      <c r="H2450" s="4"/>
      <c r="I2450" s="4"/>
      <c r="J2450" s="18"/>
      <c r="K2450" s="4"/>
      <c r="L2450" s="19"/>
      <c r="M2450" s="20"/>
    </row>
    <row r="2451">
      <c r="A2451" s="6"/>
      <c r="B2451" s="6"/>
      <c r="C2451" s="4"/>
      <c r="D2451" s="4"/>
      <c r="E2451" s="4"/>
      <c r="F2451" s="4"/>
      <c r="G2451" s="4"/>
      <c r="H2451" s="4"/>
      <c r="I2451" s="4"/>
      <c r="J2451" s="18"/>
      <c r="K2451" s="4"/>
      <c r="L2451" s="19"/>
      <c r="M2451" s="20"/>
    </row>
    <row r="2452">
      <c r="A2452" s="6"/>
      <c r="B2452" s="6"/>
      <c r="C2452" s="4"/>
      <c r="D2452" s="4"/>
      <c r="E2452" s="4"/>
      <c r="F2452" s="4"/>
      <c r="G2452" s="4"/>
      <c r="H2452" s="4"/>
      <c r="I2452" s="4"/>
      <c r="J2452" s="18"/>
      <c r="K2452" s="4"/>
      <c r="L2452" s="19"/>
      <c r="M2452" s="20"/>
    </row>
    <row r="2453">
      <c r="A2453" s="6"/>
      <c r="B2453" s="6"/>
      <c r="C2453" s="4"/>
      <c r="D2453" s="4"/>
      <c r="E2453" s="4"/>
      <c r="F2453" s="4"/>
      <c r="G2453" s="4"/>
      <c r="H2453" s="4"/>
      <c r="I2453" s="4"/>
      <c r="J2453" s="18"/>
      <c r="K2453" s="4"/>
      <c r="L2453" s="19"/>
      <c r="M2453" s="20"/>
    </row>
    <row r="2454">
      <c r="A2454" s="6"/>
      <c r="B2454" s="6"/>
      <c r="C2454" s="4"/>
      <c r="D2454" s="4"/>
      <c r="E2454" s="4"/>
      <c r="F2454" s="4"/>
      <c r="G2454" s="4"/>
      <c r="H2454" s="4"/>
      <c r="I2454" s="4"/>
      <c r="J2454" s="18"/>
      <c r="K2454" s="4"/>
      <c r="L2454" s="19"/>
      <c r="M2454" s="20"/>
    </row>
    <row r="2455">
      <c r="A2455" s="6"/>
      <c r="B2455" s="6"/>
      <c r="C2455" s="4"/>
      <c r="D2455" s="4"/>
      <c r="E2455" s="4"/>
      <c r="F2455" s="4"/>
      <c r="G2455" s="4"/>
      <c r="H2455" s="4"/>
      <c r="I2455" s="4"/>
      <c r="J2455" s="18"/>
      <c r="K2455" s="4"/>
      <c r="L2455" s="19"/>
      <c r="M2455" s="20"/>
    </row>
    <row r="2456">
      <c r="A2456" s="6"/>
      <c r="B2456" s="6"/>
      <c r="C2456" s="4"/>
      <c r="D2456" s="4"/>
      <c r="E2456" s="4"/>
      <c r="F2456" s="4"/>
      <c r="G2456" s="4"/>
      <c r="H2456" s="4"/>
      <c r="I2456" s="4"/>
      <c r="J2456" s="18"/>
      <c r="K2456" s="4"/>
      <c r="L2456" s="19"/>
      <c r="M2456" s="20"/>
    </row>
    <row r="2457">
      <c r="A2457" s="6"/>
      <c r="B2457" s="6"/>
      <c r="C2457" s="4"/>
      <c r="D2457" s="4"/>
      <c r="E2457" s="4"/>
      <c r="F2457" s="4"/>
      <c r="G2457" s="4"/>
      <c r="H2457" s="4"/>
      <c r="I2457" s="4"/>
      <c r="J2457" s="18"/>
      <c r="K2457" s="4"/>
      <c r="L2457" s="19"/>
      <c r="M2457" s="20"/>
    </row>
    <row r="2458">
      <c r="A2458" s="6"/>
      <c r="B2458" s="6"/>
      <c r="C2458" s="4"/>
      <c r="D2458" s="4"/>
      <c r="E2458" s="4"/>
      <c r="F2458" s="4"/>
      <c r="G2458" s="4"/>
      <c r="H2458" s="4"/>
      <c r="I2458" s="4"/>
      <c r="J2458" s="18"/>
      <c r="K2458" s="4"/>
      <c r="L2458" s="19"/>
      <c r="M2458" s="20"/>
    </row>
    <row r="2459">
      <c r="A2459" s="6"/>
      <c r="B2459" s="6"/>
      <c r="C2459" s="4"/>
      <c r="D2459" s="4"/>
      <c r="E2459" s="4"/>
      <c r="F2459" s="4"/>
      <c r="G2459" s="4"/>
      <c r="H2459" s="4"/>
      <c r="I2459" s="4"/>
      <c r="J2459" s="18"/>
      <c r="K2459" s="4"/>
      <c r="L2459" s="19"/>
      <c r="M2459" s="20"/>
    </row>
    <row r="2460">
      <c r="A2460" s="6"/>
      <c r="B2460" s="6"/>
      <c r="C2460" s="4"/>
      <c r="D2460" s="4"/>
      <c r="E2460" s="4"/>
      <c r="F2460" s="4"/>
      <c r="G2460" s="4"/>
      <c r="H2460" s="4"/>
      <c r="I2460" s="4"/>
      <c r="J2460" s="18"/>
      <c r="K2460" s="4"/>
      <c r="L2460" s="19"/>
      <c r="M2460" s="20"/>
    </row>
    <row r="2461">
      <c r="A2461" s="6"/>
      <c r="B2461" s="6"/>
      <c r="C2461" s="4"/>
      <c r="D2461" s="4"/>
      <c r="E2461" s="4"/>
      <c r="F2461" s="4"/>
      <c r="G2461" s="4"/>
      <c r="H2461" s="4"/>
      <c r="I2461" s="4"/>
      <c r="J2461" s="18"/>
      <c r="K2461" s="4"/>
      <c r="L2461" s="19"/>
      <c r="M2461" s="20"/>
    </row>
    <row r="2462">
      <c r="A2462" s="6"/>
      <c r="B2462" s="6"/>
      <c r="C2462" s="4"/>
      <c r="D2462" s="4"/>
      <c r="E2462" s="4"/>
      <c r="F2462" s="4"/>
      <c r="G2462" s="4"/>
      <c r="H2462" s="4"/>
      <c r="I2462" s="4"/>
      <c r="J2462" s="18"/>
      <c r="K2462" s="4"/>
      <c r="L2462" s="19"/>
      <c r="M2462" s="20"/>
    </row>
    <row r="2463">
      <c r="A2463" s="6"/>
      <c r="B2463" s="6"/>
      <c r="C2463" s="4"/>
      <c r="D2463" s="4"/>
      <c r="E2463" s="4"/>
      <c r="F2463" s="4"/>
      <c r="G2463" s="4"/>
      <c r="H2463" s="4"/>
      <c r="I2463" s="4"/>
      <c r="J2463" s="18"/>
      <c r="K2463" s="4"/>
      <c r="L2463" s="19"/>
      <c r="M2463" s="20"/>
    </row>
    <row r="2464">
      <c r="A2464" s="6"/>
      <c r="B2464" s="6"/>
      <c r="C2464" s="4"/>
      <c r="D2464" s="4"/>
      <c r="E2464" s="4"/>
      <c r="F2464" s="4"/>
      <c r="G2464" s="4"/>
      <c r="H2464" s="4"/>
      <c r="I2464" s="4"/>
      <c r="J2464" s="18"/>
      <c r="K2464" s="4"/>
      <c r="L2464" s="19"/>
      <c r="M2464" s="20"/>
    </row>
    <row r="2465">
      <c r="A2465" s="6"/>
      <c r="B2465" s="6"/>
      <c r="C2465" s="4"/>
      <c r="D2465" s="4"/>
      <c r="E2465" s="4"/>
      <c r="F2465" s="4"/>
      <c r="G2465" s="4"/>
      <c r="H2465" s="4"/>
      <c r="I2465" s="4"/>
      <c r="J2465" s="18"/>
      <c r="K2465" s="4"/>
      <c r="L2465" s="19"/>
      <c r="M2465" s="20"/>
    </row>
    <row r="2466">
      <c r="A2466" s="6"/>
      <c r="B2466" s="6"/>
      <c r="C2466" s="4"/>
      <c r="D2466" s="4"/>
      <c r="E2466" s="4"/>
      <c r="F2466" s="4"/>
      <c r="G2466" s="4"/>
      <c r="H2466" s="4"/>
      <c r="I2466" s="4"/>
      <c r="J2466" s="18"/>
      <c r="K2466" s="4"/>
      <c r="L2466" s="19"/>
      <c r="M2466" s="20"/>
    </row>
    <row r="2467">
      <c r="A2467" s="6"/>
      <c r="B2467" s="6"/>
      <c r="C2467" s="4"/>
      <c r="D2467" s="4"/>
      <c r="E2467" s="4"/>
      <c r="F2467" s="4"/>
      <c r="G2467" s="4"/>
      <c r="H2467" s="4"/>
      <c r="I2467" s="4"/>
      <c r="J2467" s="18"/>
      <c r="K2467" s="4"/>
      <c r="L2467" s="19"/>
      <c r="M2467" s="20"/>
    </row>
    <row r="2468">
      <c r="A2468" s="6"/>
      <c r="B2468" s="6"/>
      <c r="C2468" s="4"/>
      <c r="D2468" s="4"/>
      <c r="E2468" s="4"/>
      <c r="F2468" s="4"/>
      <c r="G2468" s="4"/>
      <c r="H2468" s="4"/>
      <c r="I2468" s="4"/>
      <c r="J2468" s="18"/>
      <c r="K2468" s="4"/>
      <c r="L2468" s="19"/>
      <c r="M2468" s="20"/>
    </row>
    <row r="2469">
      <c r="A2469" s="6"/>
      <c r="B2469" s="6"/>
      <c r="C2469" s="4"/>
      <c r="D2469" s="4"/>
      <c r="E2469" s="4"/>
      <c r="F2469" s="4"/>
      <c r="G2469" s="4"/>
      <c r="H2469" s="4"/>
      <c r="I2469" s="4"/>
      <c r="J2469" s="18"/>
      <c r="K2469" s="4"/>
      <c r="L2469" s="19"/>
      <c r="M2469" s="20"/>
    </row>
    <row r="2470">
      <c r="A2470" s="6"/>
      <c r="B2470" s="6"/>
      <c r="C2470" s="4"/>
      <c r="D2470" s="4"/>
      <c r="E2470" s="4"/>
      <c r="F2470" s="4"/>
      <c r="G2470" s="4"/>
      <c r="H2470" s="4"/>
      <c r="I2470" s="4"/>
      <c r="J2470" s="18"/>
      <c r="K2470" s="4"/>
      <c r="L2470" s="19"/>
      <c r="M2470" s="20"/>
    </row>
    <row r="2471">
      <c r="A2471" s="6"/>
      <c r="B2471" s="6"/>
      <c r="C2471" s="4"/>
      <c r="D2471" s="4"/>
      <c r="E2471" s="4"/>
      <c r="F2471" s="4"/>
      <c r="G2471" s="4"/>
      <c r="H2471" s="4"/>
      <c r="I2471" s="4"/>
      <c r="J2471" s="18"/>
      <c r="K2471" s="4"/>
      <c r="L2471" s="19"/>
      <c r="M2471" s="20"/>
    </row>
    <row r="2472">
      <c r="A2472" s="6"/>
      <c r="B2472" s="6"/>
      <c r="C2472" s="4"/>
      <c r="D2472" s="4"/>
      <c r="E2472" s="4"/>
      <c r="F2472" s="4"/>
      <c r="G2472" s="4"/>
      <c r="H2472" s="4"/>
      <c r="I2472" s="4"/>
      <c r="J2472" s="18"/>
      <c r="K2472" s="4"/>
      <c r="L2472" s="19"/>
      <c r="M2472" s="20"/>
    </row>
    <row r="2473">
      <c r="A2473" s="6"/>
      <c r="B2473" s="6"/>
      <c r="C2473" s="4"/>
      <c r="D2473" s="4"/>
      <c r="E2473" s="4"/>
      <c r="F2473" s="4"/>
      <c r="G2473" s="4"/>
      <c r="H2473" s="4"/>
      <c r="I2473" s="4"/>
      <c r="J2473" s="18"/>
      <c r="K2473" s="4"/>
      <c r="L2473" s="19"/>
      <c r="M2473" s="20"/>
    </row>
    <row r="2474">
      <c r="A2474" s="6"/>
      <c r="B2474" s="6"/>
      <c r="C2474" s="4"/>
      <c r="D2474" s="4"/>
      <c r="E2474" s="4"/>
      <c r="F2474" s="4"/>
      <c r="G2474" s="4"/>
      <c r="H2474" s="4"/>
      <c r="I2474" s="4"/>
      <c r="J2474" s="18"/>
      <c r="K2474" s="4"/>
      <c r="L2474" s="19"/>
      <c r="M2474" s="20"/>
    </row>
    <row r="2475">
      <c r="A2475" s="6"/>
      <c r="B2475" s="6"/>
      <c r="C2475" s="4"/>
      <c r="D2475" s="4"/>
      <c r="E2475" s="4"/>
      <c r="F2475" s="4"/>
      <c r="G2475" s="4"/>
      <c r="H2475" s="4"/>
      <c r="I2475" s="4"/>
      <c r="J2475" s="18"/>
      <c r="K2475" s="4"/>
      <c r="L2475" s="19"/>
      <c r="M2475" s="20"/>
    </row>
    <row r="2476">
      <c r="A2476" s="6"/>
      <c r="B2476" s="6"/>
      <c r="C2476" s="4"/>
      <c r="D2476" s="4"/>
      <c r="E2476" s="4"/>
      <c r="F2476" s="4"/>
      <c r="G2476" s="4"/>
      <c r="H2476" s="4"/>
      <c r="I2476" s="4"/>
      <c r="J2476" s="18"/>
      <c r="K2476" s="4"/>
      <c r="L2476" s="19"/>
      <c r="M2476" s="20"/>
    </row>
    <row r="2477">
      <c r="A2477" s="6"/>
      <c r="B2477" s="6"/>
      <c r="C2477" s="4"/>
      <c r="D2477" s="4"/>
      <c r="E2477" s="4"/>
      <c r="F2477" s="4"/>
      <c r="G2477" s="4"/>
      <c r="H2477" s="4"/>
      <c r="I2477" s="4"/>
      <c r="J2477" s="18"/>
      <c r="K2477" s="4"/>
      <c r="L2477" s="19"/>
      <c r="M2477" s="20"/>
    </row>
    <row r="2478">
      <c r="A2478" s="6"/>
      <c r="B2478" s="6"/>
      <c r="C2478" s="4"/>
      <c r="D2478" s="4"/>
      <c r="E2478" s="4"/>
      <c r="F2478" s="4"/>
      <c r="G2478" s="4"/>
      <c r="H2478" s="4"/>
      <c r="I2478" s="4"/>
      <c r="J2478" s="18"/>
      <c r="K2478" s="4"/>
      <c r="L2478" s="19"/>
      <c r="M2478" s="20"/>
    </row>
    <row r="2479">
      <c r="A2479" s="6"/>
      <c r="B2479" s="6"/>
      <c r="C2479" s="4"/>
      <c r="D2479" s="4"/>
      <c r="E2479" s="4"/>
      <c r="F2479" s="4"/>
      <c r="G2479" s="4"/>
      <c r="H2479" s="4"/>
      <c r="I2479" s="4"/>
      <c r="J2479" s="18"/>
      <c r="K2479" s="4"/>
      <c r="L2479" s="19"/>
      <c r="M2479" s="20"/>
    </row>
    <row r="2480">
      <c r="A2480" s="6"/>
      <c r="B2480" s="6"/>
      <c r="C2480" s="4"/>
      <c r="D2480" s="4"/>
      <c r="E2480" s="4"/>
      <c r="F2480" s="4"/>
      <c r="G2480" s="4"/>
      <c r="H2480" s="4"/>
      <c r="I2480" s="4"/>
      <c r="J2480" s="18"/>
      <c r="K2480" s="4"/>
      <c r="L2480" s="19"/>
      <c r="M2480" s="20"/>
    </row>
    <row r="2481">
      <c r="A2481" s="6"/>
      <c r="B2481" s="6"/>
      <c r="C2481" s="4"/>
      <c r="D2481" s="4"/>
      <c r="E2481" s="4"/>
      <c r="F2481" s="4"/>
      <c r="G2481" s="4"/>
      <c r="H2481" s="4"/>
      <c r="I2481" s="4"/>
      <c r="J2481" s="18"/>
      <c r="K2481" s="4"/>
      <c r="L2481" s="19"/>
      <c r="M2481" s="20"/>
    </row>
    <row r="2482">
      <c r="A2482" s="6"/>
      <c r="B2482" s="6"/>
      <c r="C2482" s="4"/>
      <c r="D2482" s="4"/>
      <c r="E2482" s="4"/>
      <c r="F2482" s="4"/>
      <c r="G2482" s="4"/>
      <c r="H2482" s="4"/>
      <c r="I2482" s="4"/>
      <c r="J2482" s="18"/>
      <c r="K2482" s="4"/>
      <c r="L2482" s="19"/>
      <c r="M2482" s="20"/>
    </row>
    <row r="2483">
      <c r="A2483" s="6"/>
      <c r="B2483" s="6"/>
      <c r="C2483" s="4"/>
      <c r="D2483" s="4"/>
      <c r="E2483" s="4"/>
      <c r="F2483" s="4"/>
      <c r="G2483" s="4"/>
      <c r="H2483" s="4"/>
      <c r="I2483" s="4"/>
      <c r="J2483" s="18"/>
      <c r="K2483" s="4"/>
      <c r="L2483" s="19"/>
      <c r="M2483" s="20"/>
    </row>
    <row r="2484">
      <c r="A2484" s="6"/>
      <c r="B2484" s="6"/>
      <c r="C2484" s="4"/>
      <c r="D2484" s="4"/>
      <c r="E2484" s="4"/>
      <c r="F2484" s="4"/>
      <c r="G2484" s="4"/>
      <c r="H2484" s="4"/>
      <c r="I2484" s="4"/>
      <c r="J2484" s="18"/>
      <c r="K2484" s="4"/>
      <c r="L2484" s="19"/>
      <c r="M2484" s="20"/>
    </row>
    <row r="2485">
      <c r="A2485" s="6"/>
      <c r="B2485" s="6"/>
      <c r="C2485" s="4"/>
      <c r="D2485" s="4"/>
      <c r="E2485" s="4"/>
      <c r="F2485" s="4"/>
      <c r="G2485" s="4"/>
      <c r="H2485" s="4"/>
      <c r="I2485" s="4"/>
      <c r="J2485" s="18"/>
      <c r="K2485" s="4"/>
      <c r="L2485" s="19"/>
      <c r="M2485" s="20"/>
    </row>
    <row r="2486">
      <c r="A2486" s="6"/>
      <c r="B2486" s="6"/>
      <c r="C2486" s="4"/>
      <c r="D2486" s="4"/>
      <c r="E2486" s="4"/>
      <c r="F2486" s="4"/>
      <c r="G2486" s="4"/>
      <c r="H2486" s="4"/>
      <c r="I2486" s="4"/>
      <c r="J2486" s="18"/>
      <c r="K2486" s="4"/>
      <c r="L2486" s="19"/>
      <c r="M2486" s="20"/>
    </row>
    <row r="2487">
      <c r="A2487" s="6"/>
      <c r="B2487" s="6"/>
      <c r="C2487" s="4"/>
      <c r="D2487" s="4"/>
      <c r="E2487" s="4"/>
      <c r="F2487" s="4"/>
      <c r="G2487" s="4"/>
      <c r="H2487" s="4"/>
      <c r="I2487" s="4"/>
      <c r="J2487" s="18"/>
      <c r="K2487" s="4"/>
      <c r="L2487" s="19"/>
      <c r="M2487" s="20"/>
    </row>
    <row r="2488">
      <c r="A2488" s="6"/>
      <c r="B2488" s="6"/>
      <c r="C2488" s="4"/>
      <c r="D2488" s="4"/>
      <c r="E2488" s="4"/>
      <c r="F2488" s="4"/>
      <c r="G2488" s="4"/>
      <c r="H2488" s="4"/>
      <c r="I2488" s="4"/>
      <c r="J2488" s="18"/>
      <c r="K2488" s="4"/>
      <c r="L2488" s="19"/>
      <c r="M2488" s="20"/>
    </row>
    <row r="2489">
      <c r="A2489" s="6"/>
      <c r="B2489" s="6"/>
      <c r="C2489" s="4"/>
      <c r="D2489" s="4"/>
      <c r="E2489" s="4"/>
      <c r="F2489" s="4"/>
      <c r="G2489" s="4"/>
      <c r="H2489" s="4"/>
      <c r="I2489" s="4"/>
      <c r="J2489" s="18"/>
      <c r="K2489" s="4"/>
      <c r="L2489" s="19"/>
      <c r="M2489" s="20"/>
    </row>
    <row r="2490">
      <c r="A2490" s="6"/>
      <c r="B2490" s="6"/>
      <c r="C2490" s="4"/>
      <c r="D2490" s="4"/>
      <c r="E2490" s="4"/>
      <c r="F2490" s="4"/>
      <c r="G2490" s="4"/>
      <c r="H2490" s="4"/>
      <c r="I2490" s="4"/>
      <c r="J2490" s="18"/>
      <c r="K2490" s="4"/>
      <c r="L2490" s="19"/>
      <c r="M2490" s="20"/>
    </row>
    <row r="2491">
      <c r="A2491" s="6"/>
      <c r="B2491" s="6"/>
      <c r="C2491" s="4"/>
      <c r="D2491" s="4"/>
      <c r="E2491" s="4"/>
      <c r="F2491" s="4"/>
      <c r="G2491" s="4"/>
      <c r="H2491" s="4"/>
      <c r="I2491" s="4"/>
      <c r="J2491" s="18"/>
      <c r="K2491" s="4"/>
      <c r="L2491" s="19"/>
      <c r="M2491" s="20"/>
    </row>
    <row r="2492">
      <c r="A2492" s="6"/>
      <c r="B2492" s="6"/>
      <c r="C2492" s="4"/>
      <c r="D2492" s="4"/>
      <c r="E2492" s="4"/>
      <c r="F2492" s="4"/>
      <c r="G2492" s="4"/>
      <c r="H2492" s="4"/>
      <c r="I2492" s="4"/>
      <c r="J2492" s="18"/>
      <c r="K2492" s="4"/>
      <c r="L2492" s="19"/>
      <c r="M2492" s="20"/>
    </row>
    <row r="2493">
      <c r="A2493" s="6"/>
      <c r="B2493" s="6"/>
      <c r="C2493" s="4"/>
      <c r="D2493" s="4"/>
      <c r="E2493" s="4"/>
      <c r="F2493" s="4"/>
      <c r="G2493" s="4"/>
      <c r="H2493" s="4"/>
      <c r="I2493" s="4"/>
      <c r="J2493" s="18"/>
      <c r="K2493" s="4"/>
      <c r="L2493" s="19"/>
      <c r="M2493" s="20"/>
    </row>
    <row r="2494">
      <c r="A2494" s="6"/>
      <c r="B2494" s="6"/>
      <c r="C2494" s="4"/>
      <c r="D2494" s="4"/>
      <c r="E2494" s="4"/>
      <c r="F2494" s="4"/>
      <c r="G2494" s="4"/>
      <c r="H2494" s="4"/>
      <c r="I2494" s="4"/>
      <c r="J2494" s="18"/>
      <c r="K2494" s="4"/>
      <c r="L2494" s="19"/>
      <c r="M2494" s="20"/>
    </row>
    <row r="2495">
      <c r="A2495" s="6"/>
      <c r="B2495" s="6"/>
      <c r="C2495" s="4"/>
      <c r="D2495" s="4"/>
      <c r="E2495" s="4"/>
      <c r="F2495" s="4"/>
      <c r="G2495" s="4"/>
      <c r="H2495" s="4"/>
      <c r="I2495" s="4"/>
      <c r="J2495" s="18"/>
      <c r="K2495" s="4"/>
      <c r="L2495" s="19"/>
      <c r="M2495" s="20"/>
    </row>
    <row r="2496">
      <c r="A2496" s="6"/>
      <c r="B2496" s="6"/>
      <c r="C2496" s="4"/>
      <c r="D2496" s="4"/>
      <c r="E2496" s="4"/>
      <c r="F2496" s="4"/>
      <c r="G2496" s="4"/>
      <c r="H2496" s="4"/>
      <c r="I2496" s="4"/>
      <c r="J2496" s="18"/>
      <c r="K2496" s="4"/>
      <c r="L2496" s="19"/>
      <c r="M2496" s="20"/>
    </row>
    <row r="2497">
      <c r="A2497" s="6"/>
      <c r="B2497" s="6"/>
      <c r="C2497" s="4"/>
      <c r="D2497" s="4"/>
      <c r="E2497" s="4"/>
      <c r="F2497" s="4"/>
      <c r="G2497" s="4"/>
      <c r="H2497" s="4"/>
      <c r="I2497" s="4"/>
      <c r="J2497" s="18"/>
      <c r="K2497" s="4"/>
      <c r="L2497" s="19"/>
      <c r="M2497" s="20"/>
    </row>
    <row r="2498">
      <c r="A2498" s="6"/>
      <c r="B2498" s="6"/>
      <c r="C2498" s="4"/>
      <c r="D2498" s="4"/>
      <c r="E2498" s="4"/>
      <c r="F2498" s="4"/>
      <c r="G2498" s="4"/>
      <c r="H2498" s="4"/>
      <c r="I2498" s="4"/>
      <c r="J2498" s="18"/>
      <c r="K2498" s="4"/>
      <c r="L2498" s="19"/>
      <c r="M2498" s="20"/>
    </row>
    <row r="2499">
      <c r="A2499" s="6"/>
      <c r="B2499" s="6"/>
      <c r="C2499" s="4"/>
      <c r="D2499" s="4"/>
      <c r="E2499" s="4"/>
      <c r="F2499" s="4"/>
      <c r="G2499" s="4"/>
      <c r="H2499" s="4"/>
      <c r="I2499" s="4"/>
      <c r="J2499" s="18"/>
      <c r="K2499" s="4"/>
      <c r="L2499" s="19"/>
      <c r="M2499" s="20"/>
    </row>
    <row r="2500">
      <c r="A2500" s="6"/>
      <c r="B2500" s="6"/>
      <c r="C2500" s="4"/>
      <c r="D2500" s="4"/>
      <c r="E2500" s="4"/>
      <c r="F2500" s="4"/>
      <c r="G2500" s="4"/>
      <c r="H2500" s="4"/>
      <c r="I2500" s="4"/>
      <c r="J2500" s="18"/>
      <c r="K2500" s="4"/>
      <c r="L2500" s="19"/>
      <c r="M2500" s="20"/>
    </row>
    <row r="2501">
      <c r="A2501" s="6"/>
      <c r="B2501" s="6"/>
      <c r="C2501" s="4"/>
      <c r="D2501" s="4"/>
      <c r="E2501" s="4"/>
      <c r="F2501" s="4"/>
      <c r="G2501" s="4"/>
      <c r="H2501" s="4"/>
      <c r="I2501" s="4"/>
      <c r="J2501" s="18"/>
      <c r="K2501" s="4"/>
      <c r="L2501" s="19"/>
      <c r="M2501" s="20"/>
    </row>
    <row r="2502">
      <c r="A2502" s="6"/>
      <c r="B2502" s="6"/>
      <c r="C2502" s="4"/>
      <c r="D2502" s="4"/>
      <c r="E2502" s="4"/>
      <c r="F2502" s="4"/>
      <c r="G2502" s="4"/>
      <c r="H2502" s="4"/>
      <c r="I2502" s="4"/>
      <c r="J2502" s="18"/>
      <c r="K2502" s="4"/>
      <c r="L2502" s="19"/>
      <c r="M2502" s="20"/>
    </row>
    <row r="2503">
      <c r="A2503" s="6"/>
      <c r="B2503" s="6"/>
      <c r="C2503" s="4"/>
      <c r="D2503" s="4"/>
      <c r="E2503" s="4"/>
      <c r="F2503" s="4"/>
      <c r="G2503" s="4"/>
      <c r="H2503" s="4"/>
      <c r="I2503" s="4"/>
      <c r="J2503" s="18"/>
      <c r="K2503" s="4"/>
      <c r="L2503" s="19"/>
      <c r="M2503" s="20"/>
    </row>
    <row r="2504">
      <c r="A2504" s="6"/>
      <c r="B2504" s="6"/>
      <c r="C2504" s="4"/>
      <c r="D2504" s="4"/>
      <c r="E2504" s="4"/>
      <c r="F2504" s="4"/>
      <c r="G2504" s="4"/>
      <c r="H2504" s="4"/>
      <c r="I2504" s="4"/>
      <c r="J2504" s="18"/>
      <c r="K2504" s="4"/>
      <c r="L2504" s="19"/>
      <c r="M2504" s="20"/>
    </row>
    <row r="2505">
      <c r="A2505" s="6"/>
      <c r="B2505" s="6"/>
      <c r="C2505" s="4"/>
      <c r="D2505" s="4"/>
      <c r="E2505" s="4"/>
      <c r="F2505" s="4"/>
      <c r="G2505" s="4"/>
      <c r="H2505" s="4"/>
      <c r="I2505" s="4"/>
      <c r="J2505" s="18"/>
      <c r="K2505" s="4"/>
      <c r="L2505" s="19"/>
      <c r="M2505" s="20"/>
    </row>
    <row r="2506">
      <c r="A2506" s="6"/>
      <c r="B2506" s="6"/>
      <c r="C2506" s="4"/>
      <c r="D2506" s="4"/>
      <c r="E2506" s="4"/>
      <c r="F2506" s="4"/>
      <c r="G2506" s="4"/>
      <c r="H2506" s="4"/>
      <c r="I2506" s="4"/>
      <c r="J2506" s="18"/>
      <c r="K2506" s="4"/>
      <c r="L2506" s="19"/>
      <c r="M2506" s="20"/>
    </row>
    <row r="2507">
      <c r="A2507" s="6"/>
      <c r="B2507" s="6"/>
      <c r="C2507" s="4"/>
      <c r="D2507" s="4"/>
      <c r="E2507" s="4"/>
      <c r="F2507" s="4"/>
      <c r="G2507" s="4"/>
      <c r="H2507" s="4"/>
      <c r="I2507" s="4"/>
      <c r="J2507" s="18"/>
      <c r="K2507" s="4"/>
      <c r="L2507" s="19"/>
      <c r="M2507" s="20"/>
    </row>
    <row r="2508">
      <c r="A2508" s="6"/>
      <c r="B2508" s="6"/>
      <c r="C2508" s="4"/>
      <c r="D2508" s="4"/>
      <c r="E2508" s="4"/>
      <c r="F2508" s="4"/>
      <c r="G2508" s="4"/>
      <c r="H2508" s="4"/>
      <c r="I2508" s="4"/>
      <c r="J2508" s="18"/>
      <c r="K2508" s="4"/>
      <c r="L2508" s="19"/>
      <c r="M2508" s="20"/>
    </row>
    <row r="2509">
      <c r="A2509" s="6"/>
      <c r="B2509" s="6"/>
      <c r="C2509" s="4"/>
      <c r="D2509" s="4"/>
      <c r="E2509" s="4"/>
      <c r="F2509" s="4"/>
      <c r="G2509" s="4"/>
      <c r="H2509" s="4"/>
      <c r="I2509" s="4"/>
      <c r="J2509" s="18"/>
      <c r="K2509" s="4"/>
      <c r="L2509" s="19"/>
      <c r="M2509" s="20"/>
    </row>
    <row r="2510">
      <c r="A2510" s="6"/>
      <c r="B2510" s="6"/>
      <c r="C2510" s="4"/>
      <c r="D2510" s="4"/>
      <c r="E2510" s="4"/>
      <c r="F2510" s="4"/>
      <c r="G2510" s="4"/>
      <c r="H2510" s="4"/>
      <c r="I2510" s="4"/>
      <c r="J2510" s="18"/>
      <c r="K2510" s="4"/>
      <c r="L2510" s="19"/>
      <c r="M2510" s="20"/>
    </row>
    <row r="2511">
      <c r="A2511" s="6"/>
      <c r="B2511" s="6"/>
      <c r="C2511" s="4"/>
      <c r="D2511" s="4"/>
      <c r="E2511" s="4"/>
      <c r="F2511" s="4"/>
      <c r="G2511" s="4"/>
      <c r="H2511" s="4"/>
      <c r="I2511" s="4"/>
      <c r="J2511" s="18"/>
      <c r="K2511" s="4"/>
      <c r="L2511" s="19"/>
      <c r="M2511" s="20"/>
    </row>
    <row r="2512">
      <c r="A2512" s="6"/>
      <c r="B2512" s="6"/>
      <c r="C2512" s="4"/>
      <c r="D2512" s="4"/>
      <c r="E2512" s="4"/>
      <c r="F2512" s="4"/>
      <c r="G2512" s="4"/>
      <c r="H2512" s="4"/>
      <c r="I2512" s="4"/>
      <c r="J2512" s="18"/>
      <c r="K2512" s="4"/>
      <c r="L2512" s="19"/>
      <c r="M2512" s="20"/>
    </row>
    <row r="2513">
      <c r="A2513" s="6"/>
      <c r="B2513" s="6"/>
      <c r="C2513" s="4"/>
      <c r="D2513" s="4"/>
      <c r="E2513" s="4"/>
      <c r="F2513" s="4"/>
      <c r="G2513" s="4"/>
      <c r="H2513" s="4"/>
      <c r="I2513" s="4"/>
      <c r="J2513" s="18"/>
      <c r="K2513" s="4"/>
      <c r="L2513" s="19"/>
      <c r="M2513" s="20"/>
    </row>
    <row r="2514">
      <c r="A2514" s="6"/>
      <c r="B2514" s="6"/>
      <c r="C2514" s="4"/>
      <c r="D2514" s="4"/>
      <c r="E2514" s="4"/>
      <c r="F2514" s="4"/>
      <c r="G2514" s="4"/>
      <c r="H2514" s="4"/>
      <c r="I2514" s="4"/>
      <c r="J2514" s="18"/>
      <c r="K2514" s="4"/>
      <c r="L2514" s="19"/>
      <c r="M2514" s="20"/>
    </row>
    <row r="2515">
      <c r="A2515" s="6"/>
      <c r="B2515" s="6"/>
      <c r="C2515" s="4"/>
      <c r="D2515" s="4"/>
      <c r="E2515" s="4"/>
      <c r="F2515" s="4"/>
      <c r="G2515" s="4"/>
      <c r="H2515" s="4"/>
      <c r="I2515" s="4"/>
      <c r="J2515" s="18"/>
      <c r="K2515" s="4"/>
      <c r="L2515" s="19"/>
      <c r="M2515" s="20"/>
    </row>
    <row r="2516">
      <c r="A2516" s="6"/>
      <c r="B2516" s="6"/>
      <c r="C2516" s="4"/>
      <c r="D2516" s="4"/>
      <c r="E2516" s="4"/>
      <c r="F2516" s="4"/>
      <c r="G2516" s="4"/>
      <c r="H2516" s="4"/>
      <c r="I2516" s="4"/>
      <c r="J2516" s="18"/>
      <c r="K2516" s="4"/>
      <c r="L2516" s="19"/>
      <c r="M2516" s="20"/>
    </row>
    <row r="2517">
      <c r="A2517" s="6"/>
      <c r="B2517" s="6"/>
      <c r="C2517" s="4"/>
      <c r="D2517" s="4"/>
      <c r="E2517" s="4"/>
      <c r="F2517" s="4"/>
      <c r="G2517" s="4"/>
      <c r="H2517" s="4"/>
      <c r="I2517" s="4"/>
      <c r="J2517" s="18"/>
      <c r="K2517" s="4"/>
      <c r="L2517" s="19"/>
      <c r="M2517" s="20"/>
    </row>
    <row r="2518">
      <c r="A2518" s="6"/>
      <c r="B2518" s="6"/>
      <c r="C2518" s="4"/>
      <c r="D2518" s="4"/>
      <c r="E2518" s="4"/>
      <c r="F2518" s="4"/>
      <c r="G2518" s="4"/>
      <c r="H2518" s="4"/>
      <c r="I2518" s="4"/>
      <c r="J2518" s="18"/>
      <c r="K2518" s="4"/>
      <c r="L2518" s="19"/>
      <c r="M2518" s="20"/>
    </row>
    <row r="2519">
      <c r="A2519" s="6"/>
      <c r="B2519" s="6"/>
      <c r="C2519" s="4"/>
      <c r="D2519" s="4"/>
      <c r="E2519" s="4"/>
      <c r="F2519" s="4"/>
      <c r="G2519" s="4"/>
      <c r="H2519" s="4"/>
      <c r="I2519" s="4"/>
      <c r="J2519" s="18"/>
      <c r="K2519" s="4"/>
      <c r="L2519" s="19"/>
      <c r="M2519" s="20"/>
    </row>
    <row r="2520">
      <c r="A2520" s="6"/>
      <c r="B2520" s="6"/>
      <c r="C2520" s="4"/>
      <c r="D2520" s="4"/>
      <c r="E2520" s="4"/>
      <c r="F2520" s="4"/>
      <c r="G2520" s="4"/>
      <c r="H2520" s="4"/>
      <c r="I2520" s="4"/>
      <c r="J2520" s="18"/>
      <c r="K2520" s="4"/>
      <c r="L2520" s="19"/>
      <c r="M2520" s="20"/>
    </row>
    <row r="2521">
      <c r="A2521" s="6"/>
      <c r="B2521" s="6"/>
      <c r="C2521" s="4"/>
      <c r="D2521" s="4"/>
      <c r="E2521" s="4"/>
      <c r="F2521" s="4"/>
      <c r="G2521" s="4"/>
      <c r="H2521" s="4"/>
      <c r="I2521" s="4"/>
      <c r="J2521" s="18"/>
      <c r="K2521" s="4"/>
      <c r="L2521" s="19"/>
      <c r="M2521" s="20"/>
    </row>
    <row r="2522">
      <c r="A2522" s="6"/>
      <c r="B2522" s="6"/>
      <c r="C2522" s="4"/>
      <c r="D2522" s="4"/>
      <c r="E2522" s="4"/>
      <c r="F2522" s="4"/>
      <c r="G2522" s="4"/>
      <c r="H2522" s="4"/>
      <c r="I2522" s="4"/>
      <c r="J2522" s="18"/>
      <c r="K2522" s="4"/>
      <c r="L2522" s="19"/>
      <c r="M2522" s="20"/>
    </row>
    <row r="2523">
      <c r="A2523" s="6"/>
      <c r="B2523" s="6"/>
      <c r="C2523" s="4"/>
      <c r="D2523" s="4"/>
      <c r="E2523" s="4"/>
      <c r="F2523" s="4"/>
      <c r="G2523" s="4"/>
      <c r="H2523" s="4"/>
      <c r="I2523" s="4"/>
      <c r="J2523" s="18"/>
      <c r="K2523" s="4"/>
      <c r="L2523" s="19"/>
      <c r="M2523" s="20"/>
    </row>
    <row r="2524">
      <c r="A2524" s="6"/>
      <c r="B2524" s="6"/>
      <c r="C2524" s="4"/>
      <c r="D2524" s="4"/>
      <c r="E2524" s="4"/>
      <c r="F2524" s="4"/>
      <c r="G2524" s="4"/>
      <c r="H2524" s="4"/>
      <c r="I2524" s="4"/>
      <c r="J2524" s="18"/>
      <c r="K2524" s="4"/>
      <c r="L2524" s="19"/>
      <c r="M2524" s="20"/>
    </row>
    <row r="2525">
      <c r="A2525" s="6"/>
      <c r="B2525" s="6"/>
      <c r="C2525" s="4"/>
      <c r="D2525" s="4"/>
      <c r="E2525" s="4"/>
      <c r="F2525" s="4"/>
      <c r="G2525" s="4"/>
      <c r="H2525" s="4"/>
      <c r="I2525" s="4"/>
      <c r="J2525" s="18"/>
      <c r="K2525" s="4"/>
      <c r="L2525" s="19"/>
      <c r="M2525" s="20"/>
    </row>
    <row r="2526">
      <c r="A2526" s="6"/>
      <c r="B2526" s="6"/>
      <c r="C2526" s="4"/>
      <c r="D2526" s="4"/>
      <c r="E2526" s="4"/>
      <c r="F2526" s="4"/>
      <c r="G2526" s="4"/>
      <c r="H2526" s="4"/>
      <c r="I2526" s="4"/>
      <c r="J2526" s="18"/>
      <c r="K2526" s="4"/>
      <c r="L2526" s="19"/>
      <c r="M2526" s="20"/>
    </row>
    <row r="2527">
      <c r="A2527" s="6"/>
      <c r="B2527" s="6"/>
      <c r="C2527" s="4"/>
      <c r="D2527" s="4"/>
      <c r="E2527" s="4"/>
      <c r="F2527" s="4"/>
      <c r="G2527" s="4"/>
      <c r="H2527" s="4"/>
      <c r="I2527" s="4"/>
      <c r="J2527" s="18"/>
      <c r="K2527" s="4"/>
      <c r="L2527" s="19"/>
      <c r="M2527" s="20"/>
    </row>
    <row r="2528">
      <c r="A2528" s="6"/>
      <c r="B2528" s="6"/>
      <c r="C2528" s="4"/>
      <c r="D2528" s="4"/>
      <c r="E2528" s="4"/>
      <c r="F2528" s="4"/>
      <c r="G2528" s="4"/>
      <c r="H2528" s="4"/>
      <c r="I2528" s="4"/>
      <c r="J2528" s="18"/>
      <c r="K2528" s="4"/>
      <c r="L2528" s="19"/>
      <c r="M2528" s="20"/>
    </row>
    <row r="2529">
      <c r="A2529" s="6"/>
      <c r="B2529" s="6"/>
      <c r="C2529" s="4"/>
      <c r="D2529" s="4"/>
      <c r="E2529" s="4"/>
      <c r="F2529" s="4"/>
      <c r="G2529" s="4"/>
      <c r="H2529" s="4"/>
      <c r="I2529" s="4"/>
      <c r="J2529" s="18"/>
      <c r="K2529" s="4"/>
      <c r="L2529" s="19"/>
      <c r="M2529" s="20"/>
    </row>
    <row r="2530">
      <c r="A2530" s="6"/>
      <c r="B2530" s="6"/>
      <c r="C2530" s="4"/>
      <c r="D2530" s="4"/>
      <c r="E2530" s="4"/>
      <c r="F2530" s="4"/>
      <c r="G2530" s="4"/>
      <c r="H2530" s="4"/>
      <c r="I2530" s="4"/>
      <c r="J2530" s="18"/>
      <c r="K2530" s="4"/>
      <c r="L2530" s="19"/>
      <c r="M2530" s="20"/>
    </row>
    <row r="2531">
      <c r="A2531" s="6"/>
      <c r="B2531" s="6"/>
      <c r="C2531" s="4"/>
      <c r="D2531" s="4"/>
      <c r="E2531" s="4"/>
      <c r="F2531" s="4"/>
      <c r="G2531" s="4"/>
      <c r="H2531" s="4"/>
      <c r="I2531" s="4"/>
      <c r="J2531" s="18"/>
      <c r="K2531" s="4"/>
      <c r="L2531" s="19"/>
      <c r="M2531" s="20"/>
    </row>
    <row r="2532">
      <c r="A2532" s="6"/>
      <c r="B2532" s="6"/>
      <c r="C2532" s="4"/>
      <c r="D2532" s="4"/>
      <c r="E2532" s="4"/>
      <c r="F2532" s="4"/>
      <c r="G2532" s="4"/>
      <c r="H2532" s="4"/>
      <c r="I2532" s="4"/>
      <c r="J2532" s="18"/>
      <c r="K2532" s="4"/>
      <c r="L2532" s="19"/>
      <c r="M2532" s="20"/>
    </row>
    <row r="2533">
      <c r="A2533" s="6"/>
      <c r="B2533" s="6"/>
      <c r="C2533" s="4"/>
      <c r="D2533" s="4"/>
      <c r="E2533" s="4"/>
      <c r="F2533" s="4"/>
      <c r="G2533" s="4"/>
      <c r="H2533" s="4"/>
      <c r="I2533" s="4"/>
      <c r="J2533" s="18"/>
      <c r="K2533" s="4"/>
      <c r="L2533" s="19"/>
      <c r="M2533" s="20"/>
    </row>
    <row r="2534">
      <c r="A2534" s="6"/>
      <c r="B2534" s="6"/>
      <c r="C2534" s="4"/>
      <c r="D2534" s="4"/>
      <c r="E2534" s="4"/>
      <c r="F2534" s="4"/>
      <c r="G2534" s="4"/>
      <c r="H2534" s="4"/>
      <c r="I2534" s="4"/>
      <c r="J2534" s="18"/>
      <c r="K2534" s="4"/>
      <c r="L2534" s="19"/>
      <c r="M2534" s="20"/>
    </row>
    <row r="2535">
      <c r="A2535" s="6"/>
      <c r="B2535" s="6"/>
      <c r="C2535" s="4"/>
      <c r="D2535" s="4"/>
      <c r="E2535" s="4"/>
      <c r="F2535" s="4"/>
      <c r="G2535" s="4"/>
      <c r="H2535" s="4"/>
      <c r="I2535" s="4"/>
      <c r="J2535" s="18"/>
      <c r="K2535" s="4"/>
      <c r="L2535" s="19"/>
      <c r="M2535" s="20"/>
    </row>
    <row r="2536">
      <c r="A2536" s="6"/>
      <c r="B2536" s="6"/>
      <c r="C2536" s="4"/>
      <c r="D2536" s="4"/>
      <c r="E2536" s="4"/>
      <c r="F2536" s="4"/>
      <c r="G2536" s="4"/>
      <c r="H2536" s="4"/>
      <c r="I2536" s="4"/>
      <c r="J2536" s="18"/>
      <c r="K2536" s="4"/>
      <c r="L2536" s="19"/>
      <c r="M2536" s="20"/>
    </row>
    <row r="2537">
      <c r="A2537" s="6"/>
      <c r="B2537" s="6"/>
      <c r="C2537" s="4"/>
      <c r="D2537" s="4"/>
      <c r="E2537" s="4"/>
      <c r="F2537" s="4"/>
      <c r="G2537" s="4"/>
      <c r="H2537" s="4"/>
      <c r="I2537" s="4"/>
      <c r="J2537" s="18"/>
      <c r="K2537" s="4"/>
      <c r="L2537" s="19"/>
      <c r="M2537" s="20"/>
    </row>
    <row r="2538">
      <c r="A2538" s="6"/>
      <c r="B2538" s="6"/>
      <c r="C2538" s="4"/>
      <c r="D2538" s="4"/>
      <c r="E2538" s="4"/>
      <c r="F2538" s="4"/>
      <c r="G2538" s="4"/>
      <c r="H2538" s="4"/>
      <c r="I2538" s="4"/>
      <c r="J2538" s="18"/>
      <c r="K2538" s="4"/>
      <c r="L2538" s="19"/>
      <c r="M2538" s="20"/>
    </row>
    <row r="2539">
      <c r="A2539" s="6"/>
      <c r="B2539" s="6"/>
      <c r="C2539" s="4"/>
      <c r="D2539" s="4"/>
      <c r="E2539" s="4"/>
      <c r="F2539" s="4"/>
      <c r="G2539" s="4"/>
      <c r="H2539" s="4"/>
      <c r="I2539" s="4"/>
      <c r="J2539" s="18"/>
      <c r="K2539" s="4"/>
      <c r="L2539" s="19"/>
      <c r="M2539" s="20"/>
    </row>
    <row r="2540">
      <c r="A2540" s="6"/>
      <c r="B2540" s="6"/>
      <c r="C2540" s="4"/>
      <c r="D2540" s="4"/>
      <c r="E2540" s="4"/>
      <c r="F2540" s="4"/>
      <c r="G2540" s="4"/>
      <c r="H2540" s="4"/>
      <c r="I2540" s="4"/>
      <c r="J2540" s="18"/>
      <c r="K2540" s="4"/>
      <c r="L2540" s="19"/>
      <c r="M2540" s="20"/>
    </row>
    <row r="2541">
      <c r="A2541" s="6"/>
      <c r="B2541" s="6"/>
      <c r="C2541" s="4"/>
      <c r="D2541" s="4"/>
      <c r="E2541" s="4"/>
      <c r="F2541" s="4"/>
      <c r="G2541" s="4"/>
      <c r="H2541" s="4"/>
      <c r="I2541" s="4"/>
      <c r="J2541" s="18"/>
      <c r="K2541" s="4"/>
      <c r="L2541" s="19"/>
      <c r="M2541" s="20"/>
    </row>
    <row r="2542">
      <c r="A2542" s="6"/>
      <c r="B2542" s="6"/>
      <c r="C2542" s="4"/>
      <c r="D2542" s="4"/>
      <c r="E2542" s="4"/>
      <c r="F2542" s="4"/>
      <c r="G2542" s="4"/>
      <c r="H2542" s="4"/>
      <c r="I2542" s="4"/>
      <c r="J2542" s="18"/>
      <c r="K2542" s="4"/>
      <c r="L2542" s="19"/>
      <c r="M2542" s="20"/>
    </row>
    <row r="2543">
      <c r="A2543" s="6"/>
      <c r="B2543" s="6"/>
      <c r="C2543" s="4"/>
      <c r="D2543" s="4"/>
      <c r="E2543" s="4"/>
      <c r="F2543" s="4"/>
      <c r="G2543" s="4"/>
      <c r="H2543" s="4"/>
      <c r="I2543" s="4"/>
      <c r="J2543" s="18"/>
      <c r="K2543" s="4"/>
      <c r="L2543" s="19"/>
      <c r="M2543" s="20"/>
    </row>
    <row r="2544">
      <c r="A2544" s="6"/>
      <c r="B2544" s="6"/>
      <c r="C2544" s="4"/>
      <c r="D2544" s="4"/>
      <c r="E2544" s="4"/>
      <c r="F2544" s="4"/>
      <c r="G2544" s="4"/>
      <c r="H2544" s="4"/>
      <c r="I2544" s="4"/>
      <c r="J2544" s="18"/>
      <c r="K2544" s="4"/>
      <c r="L2544" s="19"/>
      <c r="M2544" s="20"/>
    </row>
    <row r="2545">
      <c r="A2545" s="6"/>
      <c r="B2545" s="6"/>
      <c r="C2545" s="4"/>
      <c r="D2545" s="4"/>
      <c r="E2545" s="4"/>
      <c r="F2545" s="4"/>
      <c r="G2545" s="4"/>
      <c r="H2545" s="4"/>
      <c r="I2545" s="4"/>
      <c r="J2545" s="18"/>
      <c r="K2545" s="4"/>
      <c r="L2545" s="19"/>
      <c r="M2545" s="20"/>
    </row>
    <row r="2546">
      <c r="A2546" s="6"/>
      <c r="B2546" s="6"/>
      <c r="C2546" s="4"/>
      <c r="D2546" s="4"/>
      <c r="E2546" s="4"/>
      <c r="F2546" s="4"/>
      <c r="G2546" s="4"/>
      <c r="H2546" s="4"/>
      <c r="I2546" s="4"/>
      <c r="J2546" s="18"/>
      <c r="K2546" s="4"/>
      <c r="L2546" s="19"/>
      <c r="M2546" s="20"/>
    </row>
    <row r="2547">
      <c r="A2547" s="6"/>
      <c r="B2547" s="6"/>
      <c r="C2547" s="4"/>
      <c r="D2547" s="4"/>
      <c r="E2547" s="4"/>
      <c r="F2547" s="4"/>
      <c r="G2547" s="4"/>
      <c r="H2547" s="4"/>
      <c r="I2547" s="4"/>
      <c r="J2547" s="18"/>
      <c r="K2547" s="4"/>
      <c r="L2547" s="19"/>
      <c r="M2547" s="20"/>
    </row>
    <row r="2548">
      <c r="A2548" s="6"/>
      <c r="B2548" s="6"/>
      <c r="C2548" s="4"/>
      <c r="D2548" s="4"/>
      <c r="E2548" s="4"/>
      <c r="F2548" s="4"/>
      <c r="G2548" s="4"/>
      <c r="H2548" s="4"/>
      <c r="I2548" s="4"/>
      <c r="J2548" s="18"/>
      <c r="K2548" s="4"/>
      <c r="L2548" s="19"/>
      <c r="M2548" s="20"/>
    </row>
    <row r="2549">
      <c r="A2549" s="6"/>
      <c r="B2549" s="6"/>
      <c r="C2549" s="4"/>
      <c r="D2549" s="4"/>
      <c r="E2549" s="4"/>
      <c r="F2549" s="4"/>
      <c r="G2549" s="4"/>
      <c r="H2549" s="4"/>
      <c r="I2549" s="4"/>
      <c r="J2549" s="18"/>
      <c r="K2549" s="4"/>
      <c r="L2549" s="19"/>
      <c r="M2549" s="20"/>
    </row>
    <row r="2550">
      <c r="A2550" s="6"/>
      <c r="B2550" s="6"/>
      <c r="C2550" s="4"/>
      <c r="D2550" s="4"/>
      <c r="E2550" s="4"/>
      <c r="F2550" s="4"/>
      <c r="G2550" s="4"/>
      <c r="H2550" s="4"/>
      <c r="I2550" s="4"/>
      <c r="J2550" s="18"/>
      <c r="K2550" s="4"/>
      <c r="L2550" s="19"/>
      <c r="M2550" s="20"/>
    </row>
    <row r="2551">
      <c r="A2551" s="6"/>
      <c r="B2551" s="6"/>
      <c r="C2551" s="4"/>
      <c r="D2551" s="4"/>
      <c r="E2551" s="4"/>
      <c r="F2551" s="4"/>
      <c r="G2551" s="4"/>
      <c r="H2551" s="4"/>
      <c r="I2551" s="4"/>
      <c r="J2551" s="18"/>
      <c r="K2551" s="4"/>
      <c r="L2551" s="19"/>
      <c r="M2551" s="20"/>
    </row>
    <row r="2552">
      <c r="A2552" s="6"/>
      <c r="B2552" s="6"/>
      <c r="C2552" s="4"/>
      <c r="D2552" s="4"/>
      <c r="E2552" s="4"/>
      <c r="F2552" s="4"/>
      <c r="G2552" s="4"/>
      <c r="H2552" s="4"/>
      <c r="I2552" s="4"/>
      <c r="J2552" s="18"/>
      <c r="K2552" s="4"/>
      <c r="L2552" s="19"/>
      <c r="M2552" s="20"/>
    </row>
    <row r="2553">
      <c r="A2553" s="6"/>
      <c r="B2553" s="6"/>
      <c r="C2553" s="4"/>
      <c r="D2553" s="4"/>
      <c r="E2553" s="4"/>
      <c r="F2553" s="4"/>
      <c r="G2553" s="4"/>
      <c r="H2553" s="4"/>
      <c r="I2553" s="4"/>
      <c r="J2553" s="18"/>
      <c r="K2553" s="4"/>
      <c r="L2553" s="19"/>
      <c r="M2553" s="20"/>
    </row>
    <row r="2554">
      <c r="A2554" s="6"/>
      <c r="B2554" s="6"/>
      <c r="C2554" s="4"/>
      <c r="D2554" s="4"/>
      <c r="E2554" s="4"/>
      <c r="F2554" s="4"/>
      <c r="G2554" s="4"/>
      <c r="H2554" s="4"/>
      <c r="I2554" s="4"/>
      <c r="J2554" s="18"/>
      <c r="K2554" s="4"/>
      <c r="L2554" s="19"/>
      <c r="M2554" s="20"/>
    </row>
    <row r="2555">
      <c r="A2555" s="6"/>
      <c r="B2555" s="6"/>
      <c r="C2555" s="4"/>
      <c r="D2555" s="4"/>
      <c r="E2555" s="4"/>
      <c r="F2555" s="4"/>
      <c r="G2555" s="4"/>
      <c r="H2555" s="4"/>
      <c r="I2555" s="4"/>
      <c r="J2555" s="18"/>
      <c r="K2555" s="4"/>
      <c r="L2555" s="19"/>
      <c r="M2555" s="20"/>
    </row>
    <row r="2556">
      <c r="A2556" s="6"/>
      <c r="B2556" s="6"/>
      <c r="C2556" s="4"/>
      <c r="D2556" s="4"/>
      <c r="E2556" s="4"/>
      <c r="F2556" s="4"/>
      <c r="G2556" s="4"/>
      <c r="H2556" s="4"/>
      <c r="I2556" s="4"/>
      <c r="J2556" s="18"/>
      <c r="K2556" s="4"/>
      <c r="L2556" s="19"/>
      <c r="M2556" s="20"/>
    </row>
    <row r="2557">
      <c r="A2557" s="6"/>
      <c r="B2557" s="6"/>
      <c r="C2557" s="4"/>
      <c r="D2557" s="4"/>
      <c r="E2557" s="4"/>
      <c r="F2557" s="4"/>
      <c r="G2557" s="4"/>
      <c r="H2557" s="4"/>
      <c r="I2557" s="4"/>
      <c r="J2557" s="18"/>
      <c r="K2557" s="4"/>
      <c r="L2557" s="19"/>
      <c r="M2557" s="20"/>
    </row>
    <row r="2558">
      <c r="A2558" s="6"/>
      <c r="B2558" s="6"/>
      <c r="C2558" s="4"/>
      <c r="D2558" s="4"/>
      <c r="E2558" s="4"/>
      <c r="F2558" s="4"/>
      <c r="G2558" s="4"/>
      <c r="H2558" s="4"/>
      <c r="I2558" s="4"/>
      <c r="J2558" s="18"/>
      <c r="K2558" s="4"/>
      <c r="L2558" s="19"/>
      <c r="M2558" s="20"/>
    </row>
    <row r="2559">
      <c r="A2559" s="6"/>
      <c r="B2559" s="6"/>
      <c r="C2559" s="4"/>
      <c r="D2559" s="4"/>
      <c r="E2559" s="4"/>
      <c r="F2559" s="4"/>
      <c r="G2559" s="4"/>
      <c r="H2559" s="4"/>
      <c r="I2559" s="4"/>
      <c r="J2559" s="18"/>
      <c r="K2559" s="4"/>
      <c r="L2559" s="19"/>
      <c r="M2559" s="20"/>
    </row>
    <row r="2560">
      <c r="A2560" s="6"/>
      <c r="B2560" s="6"/>
      <c r="C2560" s="4"/>
      <c r="D2560" s="4"/>
      <c r="E2560" s="4"/>
      <c r="F2560" s="4"/>
      <c r="G2560" s="4"/>
      <c r="H2560" s="4"/>
      <c r="I2560" s="4"/>
      <c r="J2560" s="18"/>
      <c r="K2560" s="4"/>
      <c r="L2560" s="19"/>
      <c r="M2560" s="20"/>
    </row>
    <row r="2561">
      <c r="A2561" s="6"/>
      <c r="B2561" s="6"/>
      <c r="C2561" s="4"/>
      <c r="D2561" s="4"/>
      <c r="E2561" s="4"/>
      <c r="F2561" s="4"/>
      <c r="G2561" s="4"/>
      <c r="H2561" s="4"/>
      <c r="I2561" s="4"/>
      <c r="J2561" s="18"/>
      <c r="K2561" s="4"/>
      <c r="L2561" s="19"/>
      <c r="M2561" s="20"/>
    </row>
    <row r="2562">
      <c r="A2562" s="6"/>
      <c r="B2562" s="6"/>
      <c r="C2562" s="4"/>
      <c r="D2562" s="4"/>
      <c r="E2562" s="4"/>
      <c r="F2562" s="4"/>
      <c r="G2562" s="4"/>
      <c r="H2562" s="4"/>
      <c r="I2562" s="4"/>
      <c r="J2562" s="18"/>
      <c r="K2562" s="4"/>
      <c r="L2562" s="19"/>
      <c r="M2562" s="20"/>
    </row>
    <row r="2563">
      <c r="A2563" s="6"/>
      <c r="B2563" s="6"/>
      <c r="C2563" s="4"/>
      <c r="D2563" s="4"/>
      <c r="E2563" s="4"/>
      <c r="F2563" s="4"/>
      <c r="G2563" s="4"/>
      <c r="H2563" s="4"/>
      <c r="I2563" s="4"/>
      <c r="J2563" s="18"/>
      <c r="K2563" s="4"/>
      <c r="L2563" s="19"/>
      <c r="M2563" s="20"/>
    </row>
    <row r="2564">
      <c r="A2564" s="6"/>
      <c r="B2564" s="6"/>
      <c r="C2564" s="4"/>
      <c r="D2564" s="4"/>
      <c r="E2564" s="4"/>
      <c r="F2564" s="4"/>
      <c r="G2564" s="4"/>
      <c r="H2564" s="4"/>
      <c r="I2564" s="4"/>
      <c r="J2564" s="18"/>
      <c r="K2564" s="4"/>
      <c r="L2564" s="19"/>
      <c r="M2564" s="20"/>
    </row>
    <row r="2565">
      <c r="A2565" s="6"/>
      <c r="B2565" s="6"/>
      <c r="C2565" s="4"/>
      <c r="D2565" s="4"/>
      <c r="E2565" s="4"/>
      <c r="F2565" s="4"/>
      <c r="G2565" s="4"/>
      <c r="H2565" s="4"/>
      <c r="I2565" s="4"/>
      <c r="J2565" s="18"/>
      <c r="K2565" s="4"/>
      <c r="L2565" s="19"/>
      <c r="M2565" s="20"/>
    </row>
    <row r="2566">
      <c r="A2566" s="6"/>
      <c r="B2566" s="6"/>
      <c r="C2566" s="4"/>
      <c r="D2566" s="4"/>
      <c r="E2566" s="4"/>
      <c r="F2566" s="4"/>
      <c r="G2566" s="4"/>
      <c r="H2566" s="4"/>
      <c r="I2566" s="4"/>
      <c r="J2566" s="18"/>
      <c r="K2566" s="4"/>
      <c r="L2566" s="19"/>
      <c r="M2566" s="20"/>
    </row>
    <row r="2567">
      <c r="A2567" s="6"/>
      <c r="B2567" s="6"/>
      <c r="C2567" s="4"/>
      <c r="D2567" s="4"/>
      <c r="E2567" s="4"/>
      <c r="F2567" s="4"/>
      <c r="G2567" s="4"/>
      <c r="H2567" s="4"/>
      <c r="I2567" s="4"/>
      <c r="J2567" s="18"/>
      <c r="K2567" s="4"/>
      <c r="L2567" s="19"/>
      <c r="M2567" s="20"/>
    </row>
    <row r="2568">
      <c r="A2568" s="6"/>
      <c r="B2568" s="6"/>
      <c r="C2568" s="4"/>
      <c r="D2568" s="4"/>
      <c r="E2568" s="4"/>
      <c r="F2568" s="4"/>
      <c r="G2568" s="4"/>
      <c r="H2568" s="4"/>
      <c r="I2568" s="4"/>
      <c r="J2568" s="18"/>
      <c r="K2568" s="4"/>
      <c r="L2568" s="19"/>
      <c r="M2568" s="20"/>
    </row>
    <row r="2569">
      <c r="A2569" s="6"/>
      <c r="B2569" s="6"/>
      <c r="C2569" s="4"/>
      <c r="D2569" s="4"/>
      <c r="E2569" s="4"/>
      <c r="F2569" s="4"/>
      <c r="G2569" s="4"/>
      <c r="H2569" s="4"/>
      <c r="I2569" s="4"/>
      <c r="J2569" s="18"/>
      <c r="K2569" s="4"/>
      <c r="L2569" s="19"/>
      <c r="M2569" s="20"/>
    </row>
    <row r="2570">
      <c r="A2570" s="6"/>
      <c r="B2570" s="6"/>
      <c r="C2570" s="4"/>
      <c r="D2570" s="4"/>
      <c r="E2570" s="4"/>
      <c r="F2570" s="4"/>
      <c r="G2570" s="4"/>
      <c r="H2570" s="4"/>
      <c r="I2570" s="4"/>
      <c r="J2570" s="18"/>
      <c r="K2570" s="4"/>
      <c r="L2570" s="19"/>
      <c r="M2570" s="20"/>
    </row>
    <row r="2571">
      <c r="A2571" s="6"/>
      <c r="B2571" s="6"/>
      <c r="C2571" s="4"/>
      <c r="D2571" s="4"/>
      <c r="E2571" s="4"/>
      <c r="F2571" s="4"/>
      <c r="G2571" s="4"/>
      <c r="H2571" s="4"/>
      <c r="I2571" s="4"/>
      <c r="J2571" s="18"/>
      <c r="K2571" s="4"/>
      <c r="L2571" s="19"/>
      <c r="M2571" s="20"/>
    </row>
    <row r="2572">
      <c r="A2572" s="6"/>
      <c r="B2572" s="6"/>
      <c r="C2572" s="4"/>
      <c r="D2572" s="4"/>
      <c r="E2572" s="4"/>
      <c r="F2572" s="4"/>
      <c r="G2572" s="4"/>
      <c r="H2572" s="4"/>
      <c r="I2572" s="4"/>
      <c r="J2572" s="18"/>
      <c r="K2572" s="4"/>
      <c r="L2572" s="19"/>
      <c r="M2572" s="20"/>
    </row>
    <row r="2573">
      <c r="A2573" s="6"/>
      <c r="B2573" s="6"/>
      <c r="C2573" s="4"/>
      <c r="D2573" s="4"/>
      <c r="E2573" s="4"/>
      <c r="F2573" s="4"/>
      <c r="G2573" s="4"/>
      <c r="H2573" s="4"/>
      <c r="I2573" s="4"/>
      <c r="J2573" s="18"/>
      <c r="K2573" s="4"/>
      <c r="L2573" s="19"/>
      <c r="M2573" s="20"/>
    </row>
    <row r="2574">
      <c r="A2574" s="6"/>
      <c r="B2574" s="6"/>
      <c r="C2574" s="4"/>
      <c r="D2574" s="4"/>
      <c r="E2574" s="4"/>
      <c r="F2574" s="4"/>
      <c r="G2574" s="4"/>
      <c r="H2574" s="4"/>
      <c r="I2574" s="4"/>
      <c r="J2574" s="18"/>
      <c r="K2574" s="4"/>
      <c r="L2574" s="19"/>
      <c r="M2574" s="20"/>
    </row>
    <row r="2575">
      <c r="A2575" s="6"/>
      <c r="B2575" s="6"/>
      <c r="C2575" s="4"/>
      <c r="D2575" s="4"/>
      <c r="E2575" s="4"/>
      <c r="F2575" s="4"/>
      <c r="G2575" s="4"/>
      <c r="H2575" s="4"/>
      <c r="I2575" s="4"/>
      <c r="J2575" s="18"/>
      <c r="K2575" s="4"/>
      <c r="L2575" s="19"/>
      <c r="M2575" s="20"/>
    </row>
    <row r="2576">
      <c r="A2576" s="6"/>
      <c r="B2576" s="6"/>
      <c r="C2576" s="4"/>
      <c r="D2576" s="4"/>
      <c r="E2576" s="4"/>
      <c r="F2576" s="4"/>
      <c r="G2576" s="4"/>
      <c r="H2576" s="4"/>
      <c r="I2576" s="4"/>
      <c r="J2576" s="18"/>
      <c r="K2576" s="4"/>
      <c r="L2576" s="19"/>
      <c r="M2576" s="20"/>
    </row>
    <row r="2577">
      <c r="A2577" s="6"/>
      <c r="B2577" s="6"/>
      <c r="C2577" s="4"/>
      <c r="D2577" s="4"/>
      <c r="E2577" s="4"/>
      <c r="F2577" s="4"/>
      <c r="G2577" s="4"/>
      <c r="H2577" s="4"/>
      <c r="I2577" s="4"/>
      <c r="J2577" s="18"/>
      <c r="K2577" s="4"/>
      <c r="L2577" s="19"/>
      <c r="M2577" s="20"/>
    </row>
    <row r="2578">
      <c r="A2578" s="6"/>
      <c r="B2578" s="6"/>
      <c r="C2578" s="4"/>
      <c r="D2578" s="4"/>
      <c r="E2578" s="4"/>
      <c r="F2578" s="4"/>
      <c r="G2578" s="4"/>
      <c r="H2578" s="4"/>
      <c r="I2578" s="4"/>
      <c r="J2578" s="18"/>
      <c r="K2578" s="4"/>
      <c r="L2578" s="19"/>
      <c r="M2578" s="20"/>
    </row>
    <row r="2579">
      <c r="A2579" s="6"/>
      <c r="B2579" s="6"/>
      <c r="C2579" s="4"/>
      <c r="D2579" s="4"/>
      <c r="E2579" s="4"/>
      <c r="F2579" s="4"/>
      <c r="G2579" s="4"/>
      <c r="H2579" s="4"/>
      <c r="I2579" s="4"/>
      <c r="J2579" s="18"/>
      <c r="K2579" s="4"/>
      <c r="L2579" s="19"/>
      <c r="M2579" s="20"/>
    </row>
    <row r="2580">
      <c r="A2580" s="6"/>
      <c r="B2580" s="6"/>
      <c r="C2580" s="4"/>
      <c r="D2580" s="4"/>
      <c r="E2580" s="4"/>
      <c r="F2580" s="4"/>
      <c r="G2580" s="4"/>
      <c r="H2580" s="4"/>
      <c r="I2580" s="4"/>
      <c r="J2580" s="18"/>
      <c r="K2580" s="4"/>
      <c r="L2580" s="19"/>
      <c r="M2580" s="20"/>
    </row>
    <row r="2581">
      <c r="A2581" s="6"/>
      <c r="B2581" s="6"/>
      <c r="C2581" s="4"/>
      <c r="D2581" s="4"/>
      <c r="E2581" s="4"/>
      <c r="F2581" s="4"/>
      <c r="G2581" s="4"/>
      <c r="H2581" s="4"/>
      <c r="I2581" s="4"/>
      <c r="J2581" s="18"/>
      <c r="K2581" s="4"/>
      <c r="L2581" s="19"/>
      <c r="M2581" s="20"/>
    </row>
    <row r="2582">
      <c r="A2582" s="6"/>
      <c r="B2582" s="6"/>
      <c r="C2582" s="4"/>
      <c r="D2582" s="4"/>
      <c r="E2582" s="4"/>
      <c r="F2582" s="4"/>
      <c r="G2582" s="4"/>
      <c r="H2582" s="4"/>
      <c r="I2582" s="4"/>
      <c r="J2582" s="18"/>
      <c r="K2582" s="4"/>
      <c r="L2582" s="19"/>
      <c r="M2582" s="20"/>
    </row>
    <row r="2583">
      <c r="A2583" s="6"/>
      <c r="B2583" s="6"/>
      <c r="C2583" s="4"/>
      <c r="D2583" s="4"/>
      <c r="E2583" s="4"/>
      <c r="F2583" s="4"/>
      <c r="G2583" s="4"/>
      <c r="H2583" s="4"/>
      <c r="I2583" s="4"/>
      <c r="J2583" s="18"/>
      <c r="K2583" s="4"/>
      <c r="L2583" s="19"/>
      <c r="M2583" s="20"/>
    </row>
    <row r="2584">
      <c r="A2584" s="6"/>
      <c r="B2584" s="6"/>
      <c r="C2584" s="4"/>
      <c r="D2584" s="4"/>
      <c r="E2584" s="4"/>
      <c r="F2584" s="4"/>
      <c r="G2584" s="4"/>
      <c r="H2584" s="4"/>
      <c r="I2584" s="4"/>
      <c r="J2584" s="18"/>
      <c r="K2584" s="4"/>
      <c r="L2584" s="19"/>
      <c r="M2584" s="20"/>
    </row>
    <row r="2585">
      <c r="A2585" s="6"/>
      <c r="B2585" s="6"/>
      <c r="C2585" s="4"/>
      <c r="D2585" s="4"/>
      <c r="E2585" s="4"/>
      <c r="F2585" s="4"/>
      <c r="G2585" s="4"/>
      <c r="H2585" s="4"/>
      <c r="I2585" s="4"/>
      <c r="J2585" s="18"/>
      <c r="K2585" s="4"/>
      <c r="L2585" s="19"/>
      <c r="M2585" s="20"/>
    </row>
    <row r="2586">
      <c r="A2586" s="6"/>
      <c r="B2586" s="6"/>
      <c r="C2586" s="4"/>
      <c r="D2586" s="4"/>
      <c r="E2586" s="4"/>
      <c r="F2586" s="4"/>
      <c r="G2586" s="4"/>
      <c r="H2586" s="4"/>
      <c r="I2586" s="4"/>
      <c r="J2586" s="18"/>
      <c r="K2586" s="4"/>
      <c r="L2586" s="19"/>
      <c r="M2586" s="20"/>
    </row>
    <row r="2587">
      <c r="A2587" s="6"/>
      <c r="B2587" s="6"/>
      <c r="C2587" s="4"/>
      <c r="D2587" s="4"/>
      <c r="E2587" s="4"/>
      <c r="F2587" s="4"/>
      <c r="G2587" s="4"/>
      <c r="H2587" s="4"/>
      <c r="I2587" s="4"/>
      <c r="J2587" s="18"/>
      <c r="K2587" s="4"/>
      <c r="L2587" s="19"/>
      <c r="M2587" s="20"/>
    </row>
    <row r="2588">
      <c r="A2588" s="6"/>
      <c r="B2588" s="6"/>
      <c r="C2588" s="4"/>
      <c r="D2588" s="4"/>
      <c r="E2588" s="4"/>
      <c r="F2588" s="4"/>
      <c r="G2588" s="4"/>
      <c r="H2588" s="4"/>
      <c r="I2588" s="4"/>
      <c r="J2588" s="18"/>
      <c r="K2588" s="4"/>
      <c r="L2588" s="19"/>
      <c r="M2588" s="20"/>
    </row>
    <row r="2589">
      <c r="A2589" s="6"/>
      <c r="B2589" s="6"/>
      <c r="C2589" s="4"/>
      <c r="D2589" s="4"/>
      <c r="E2589" s="4"/>
      <c r="F2589" s="4"/>
      <c r="G2589" s="4"/>
      <c r="H2589" s="4"/>
      <c r="I2589" s="4"/>
      <c r="J2589" s="18"/>
      <c r="K2589" s="4"/>
      <c r="L2589" s="19"/>
      <c r="M2589" s="20"/>
    </row>
    <row r="2590">
      <c r="A2590" s="6"/>
      <c r="B2590" s="6"/>
      <c r="C2590" s="4"/>
      <c r="D2590" s="4"/>
      <c r="E2590" s="4"/>
      <c r="F2590" s="4"/>
      <c r="G2590" s="4"/>
      <c r="H2590" s="4"/>
      <c r="I2590" s="4"/>
      <c r="J2590" s="18"/>
      <c r="K2590" s="4"/>
      <c r="L2590" s="19"/>
      <c r="M2590" s="20"/>
    </row>
    <row r="2591">
      <c r="A2591" s="6"/>
      <c r="B2591" s="6"/>
      <c r="C2591" s="4"/>
      <c r="D2591" s="4"/>
      <c r="E2591" s="4"/>
      <c r="F2591" s="4"/>
      <c r="G2591" s="4"/>
      <c r="H2591" s="4"/>
      <c r="I2591" s="4"/>
      <c r="J2591" s="18"/>
      <c r="K2591" s="4"/>
      <c r="L2591" s="19"/>
      <c r="M2591" s="20"/>
    </row>
    <row r="2592">
      <c r="A2592" s="6"/>
      <c r="B2592" s="6"/>
      <c r="C2592" s="4"/>
      <c r="D2592" s="4"/>
      <c r="E2592" s="4"/>
      <c r="F2592" s="4"/>
      <c r="G2592" s="4"/>
      <c r="H2592" s="4"/>
      <c r="I2592" s="4"/>
      <c r="J2592" s="18"/>
      <c r="K2592" s="4"/>
      <c r="L2592" s="19"/>
      <c r="M2592" s="20"/>
    </row>
    <row r="2593">
      <c r="A2593" s="6"/>
      <c r="B2593" s="6"/>
      <c r="C2593" s="4"/>
      <c r="D2593" s="4"/>
      <c r="E2593" s="4"/>
      <c r="F2593" s="4"/>
      <c r="G2593" s="4"/>
      <c r="H2593" s="4"/>
      <c r="I2593" s="4"/>
      <c r="J2593" s="18"/>
      <c r="K2593" s="4"/>
      <c r="L2593" s="19"/>
      <c r="M2593" s="20"/>
    </row>
    <row r="2594">
      <c r="A2594" s="6"/>
      <c r="B2594" s="6"/>
      <c r="C2594" s="4"/>
      <c r="D2594" s="4"/>
      <c r="E2594" s="4"/>
      <c r="F2594" s="4"/>
      <c r="G2594" s="4"/>
      <c r="H2594" s="4"/>
      <c r="I2594" s="4"/>
      <c r="J2594" s="18"/>
      <c r="K2594" s="4"/>
      <c r="L2594" s="19"/>
      <c r="M2594" s="20"/>
    </row>
    <row r="2595">
      <c r="A2595" s="6"/>
      <c r="B2595" s="6"/>
      <c r="C2595" s="4"/>
      <c r="D2595" s="4"/>
      <c r="E2595" s="4"/>
      <c r="F2595" s="4"/>
      <c r="G2595" s="4"/>
      <c r="H2595" s="4"/>
      <c r="I2595" s="4"/>
      <c r="J2595" s="18"/>
      <c r="K2595" s="4"/>
      <c r="L2595" s="19"/>
      <c r="M2595" s="20"/>
    </row>
    <row r="2596">
      <c r="A2596" s="6"/>
      <c r="B2596" s="6"/>
      <c r="C2596" s="4"/>
      <c r="D2596" s="4"/>
      <c r="E2596" s="4"/>
      <c r="F2596" s="4"/>
      <c r="G2596" s="4"/>
      <c r="H2596" s="4"/>
      <c r="I2596" s="4"/>
      <c r="J2596" s="18"/>
      <c r="K2596" s="4"/>
      <c r="L2596" s="19"/>
      <c r="M2596" s="20"/>
    </row>
    <row r="2597">
      <c r="A2597" s="6"/>
      <c r="B2597" s="6"/>
      <c r="C2597" s="4"/>
      <c r="D2597" s="4"/>
      <c r="E2597" s="4"/>
      <c r="F2597" s="4"/>
      <c r="G2597" s="4"/>
      <c r="H2597" s="4"/>
      <c r="I2597" s="4"/>
      <c r="J2597" s="18"/>
      <c r="K2597" s="4"/>
      <c r="L2597" s="19"/>
      <c r="M2597" s="20"/>
    </row>
    <row r="2598">
      <c r="A2598" s="6"/>
      <c r="B2598" s="6"/>
      <c r="C2598" s="4"/>
      <c r="D2598" s="4"/>
      <c r="E2598" s="4"/>
      <c r="F2598" s="4"/>
      <c r="G2598" s="4"/>
      <c r="H2598" s="4"/>
      <c r="I2598" s="4"/>
      <c r="J2598" s="18"/>
      <c r="K2598" s="4"/>
      <c r="L2598" s="19"/>
      <c r="M2598" s="20"/>
    </row>
    <row r="2599">
      <c r="A2599" s="6"/>
      <c r="B2599" s="6"/>
      <c r="C2599" s="4"/>
      <c r="D2599" s="4"/>
      <c r="E2599" s="4"/>
      <c r="F2599" s="4"/>
      <c r="G2599" s="4"/>
      <c r="H2599" s="4"/>
      <c r="I2599" s="4"/>
      <c r="J2599" s="18"/>
      <c r="K2599" s="4"/>
      <c r="L2599" s="19"/>
      <c r="M2599" s="20"/>
    </row>
    <row r="2600">
      <c r="A2600" s="6"/>
      <c r="B2600" s="6"/>
      <c r="C2600" s="4"/>
      <c r="D2600" s="4"/>
      <c r="E2600" s="4"/>
      <c r="F2600" s="4"/>
      <c r="G2600" s="4"/>
      <c r="H2600" s="4"/>
      <c r="I2600" s="4"/>
      <c r="J2600" s="18"/>
      <c r="K2600" s="4"/>
      <c r="L2600" s="19"/>
      <c r="M2600" s="20"/>
    </row>
    <row r="2601">
      <c r="A2601" s="6"/>
      <c r="B2601" s="6"/>
      <c r="C2601" s="4"/>
      <c r="D2601" s="4"/>
      <c r="E2601" s="4"/>
      <c r="F2601" s="4"/>
      <c r="G2601" s="4"/>
      <c r="H2601" s="4"/>
      <c r="I2601" s="4"/>
      <c r="J2601" s="18"/>
      <c r="K2601" s="4"/>
      <c r="L2601" s="19"/>
      <c r="M2601" s="20"/>
    </row>
    <row r="2602">
      <c r="A2602" s="6"/>
      <c r="B2602" s="6"/>
      <c r="C2602" s="4"/>
      <c r="D2602" s="4"/>
      <c r="E2602" s="4"/>
      <c r="F2602" s="4"/>
      <c r="G2602" s="4"/>
      <c r="H2602" s="4"/>
      <c r="I2602" s="4"/>
      <c r="J2602" s="18"/>
      <c r="K2602" s="4"/>
      <c r="L2602" s="19"/>
      <c r="M2602" s="20"/>
    </row>
    <row r="2603">
      <c r="A2603" s="6"/>
      <c r="B2603" s="6"/>
      <c r="C2603" s="4"/>
      <c r="D2603" s="4"/>
      <c r="E2603" s="4"/>
      <c r="F2603" s="4"/>
      <c r="G2603" s="4"/>
      <c r="H2603" s="4"/>
      <c r="I2603" s="4"/>
      <c r="J2603" s="18"/>
      <c r="K2603" s="4"/>
      <c r="L2603" s="19"/>
      <c r="M2603" s="20"/>
    </row>
    <row r="2604">
      <c r="A2604" s="6"/>
      <c r="B2604" s="6"/>
      <c r="C2604" s="4"/>
      <c r="D2604" s="4"/>
      <c r="E2604" s="4"/>
      <c r="F2604" s="4"/>
      <c r="G2604" s="4"/>
      <c r="H2604" s="4"/>
      <c r="I2604" s="4"/>
      <c r="J2604" s="18"/>
      <c r="K2604" s="4"/>
      <c r="L2604" s="19"/>
      <c r="M2604" s="20"/>
    </row>
    <row r="2605">
      <c r="A2605" s="6"/>
      <c r="B2605" s="6"/>
      <c r="C2605" s="4"/>
      <c r="D2605" s="4"/>
      <c r="E2605" s="4"/>
      <c r="F2605" s="4"/>
      <c r="G2605" s="4"/>
      <c r="H2605" s="4"/>
      <c r="I2605" s="4"/>
      <c r="J2605" s="18"/>
      <c r="K2605" s="4"/>
      <c r="L2605" s="19"/>
      <c r="M2605" s="20"/>
    </row>
    <row r="2606">
      <c r="A2606" s="6"/>
      <c r="B2606" s="6"/>
      <c r="C2606" s="4"/>
      <c r="D2606" s="4"/>
      <c r="E2606" s="4"/>
      <c r="F2606" s="4"/>
      <c r="G2606" s="4"/>
      <c r="H2606" s="4"/>
      <c r="I2606" s="4"/>
      <c r="J2606" s="18"/>
      <c r="K2606" s="4"/>
      <c r="L2606" s="19"/>
      <c r="M2606" s="20"/>
    </row>
    <row r="2607">
      <c r="A2607" s="6"/>
      <c r="B2607" s="6"/>
      <c r="C2607" s="4"/>
      <c r="D2607" s="4"/>
      <c r="E2607" s="4"/>
      <c r="F2607" s="4"/>
      <c r="G2607" s="4"/>
      <c r="H2607" s="4"/>
      <c r="I2607" s="4"/>
      <c r="J2607" s="18"/>
      <c r="K2607" s="4"/>
      <c r="L2607" s="19"/>
      <c r="M2607" s="20"/>
    </row>
    <row r="2608">
      <c r="A2608" s="6"/>
      <c r="B2608" s="6"/>
      <c r="C2608" s="4"/>
      <c r="D2608" s="4"/>
      <c r="E2608" s="4"/>
      <c r="F2608" s="4"/>
      <c r="G2608" s="4"/>
      <c r="H2608" s="4"/>
      <c r="I2608" s="4"/>
      <c r="J2608" s="18"/>
      <c r="K2608" s="4"/>
      <c r="L2608" s="19"/>
      <c r="M2608" s="20"/>
    </row>
    <row r="2609">
      <c r="A2609" s="6"/>
      <c r="B2609" s="6"/>
      <c r="C2609" s="4"/>
      <c r="D2609" s="4"/>
      <c r="E2609" s="4"/>
      <c r="F2609" s="4"/>
      <c r="G2609" s="4"/>
      <c r="H2609" s="4"/>
      <c r="I2609" s="4"/>
      <c r="J2609" s="18"/>
      <c r="K2609" s="4"/>
      <c r="L2609" s="19"/>
      <c r="M2609" s="20"/>
    </row>
    <row r="2610">
      <c r="A2610" s="6"/>
      <c r="B2610" s="6"/>
      <c r="C2610" s="4"/>
      <c r="D2610" s="4"/>
      <c r="E2610" s="4"/>
      <c r="F2610" s="4"/>
      <c r="G2610" s="4"/>
      <c r="H2610" s="4"/>
      <c r="I2610" s="4"/>
      <c r="J2610" s="18"/>
      <c r="K2610" s="4"/>
      <c r="L2610" s="19"/>
      <c r="M2610" s="20"/>
    </row>
    <row r="2611">
      <c r="A2611" s="6"/>
      <c r="B2611" s="6"/>
      <c r="C2611" s="4"/>
      <c r="D2611" s="4"/>
      <c r="E2611" s="4"/>
      <c r="F2611" s="4"/>
      <c r="G2611" s="4"/>
      <c r="H2611" s="4"/>
      <c r="I2611" s="4"/>
      <c r="J2611" s="18"/>
      <c r="K2611" s="4"/>
      <c r="L2611" s="19"/>
      <c r="M2611" s="20"/>
    </row>
    <row r="2612">
      <c r="A2612" s="6"/>
      <c r="B2612" s="6"/>
      <c r="C2612" s="4"/>
      <c r="D2612" s="4"/>
      <c r="E2612" s="4"/>
      <c r="F2612" s="4"/>
      <c r="G2612" s="4"/>
      <c r="H2612" s="4"/>
      <c r="I2612" s="4"/>
      <c r="J2612" s="18"/>
      <c r="K2612" s="4"/>
      <c r="L2612" s="19"/>
      <c r="M2612" s="20"/>
    </row>
    <row r="2613">
      <c r="A2613" s="6"/>
      <c r="B2613" s="6"/>
      <c r="C2613" s="4"/>
      <c r="D2613" s="4"/>
      <c r="E2613" s="4"/>
      <c r="F2613" s="4"/>
      <c r="G2613" s="4"/>
      <c r="H2613" s="4"/>
      <c r="I2613" s="4"/>
      <c r="J2613" s="18"/>
      <c r="K2613" s="4"/>
      <c r="L2613" s="19"/>
      <c r="M2613" s="20"/>
    </row>
    <row r="2614">
      <c r="A2614" s="6"/>
      <c r="B2614" s="6"/>
      <c r="C2614" s="4"/>
      <c r="D2614" s="4"/>
      <c r="E2614" s="4"/>
      <c r="F2614" s="4"/>
      <c r="G2614" s="4"/>
      <c r="H2614" s="4"/>
      <c r="I2614" s="4"/>
      <c r="J2614" s="18"/>
      <c r="K2614" s="4"/>
      <c r="L2614" s="19"/>
      <c r="M2614" s="20"/>
    </row>
    <row r="2615">
      <c r="A2615" s="6"/>
      <c r="B2615" s="6"/>
      <c r="C2615" s="4"/>
      <c r="D2615" s="4"/>
      <c r="E2615" s="4"/>
      <c r="F2615" s="4"/>
      <c r="G2615" s="4"/>
      <c r="H2615" s="4"/>
      <c r="I2615" s="4"/>
      <c r="J2615" s="18"/>
      <c r="K2615" s="4"/>
      <c r="L2615" s="19"/>
      <c r="M2615" s="20"/>
    </row>
    <row r="2616">
      <c r="A2616" s="6"/>
      <c r="B2616" s="6"/>
      <c r="C2616" s="4"/>
      <c r="D2616" s="4"/>
      <c r="E2616" s="4"/>
      <c r="F2616" s="4"/>
      <c r="G2616" s="4"/>
      <c r="H2616" s="4"/>
      <c r="I2616" s="4"/>
      <c r="J2616" s="18"/>
      <c r="K2616" s="4"/>
      <c r="L2616" s="19"/>
      <c r="M2616" s="20"/>
    </row>
    <row r="2617">
      <c r="A2617" s="6"/>
      <c r="B2617" s="6"/>
      <c r="C2617" s="4"/>
      <c r="D2617" s="4"/>
      <c r="E2617" s="4"/>
      <c r="F2617" s="4"/>
      <c r="G2617" s="4"/>
      <c r="H2617" s="4"/>
      <c r="I2617" s="4"/>
      <c r="J2617" s="18"/>
      <c r="K2617" s="4"/>
      <c r="L2617" s="19"/>
      <c r="M2617" s="20"/>
    </row>
    <row r="2618">
      <c r="A2618" s="6"/>
      <c r="B2618" s="6"/>
      <c r="C2618" s="4"/>
      <c r="D2618" s="4"/>
      <c r="E2618" s="4"/>
      <c r="F2618" s="4"/>
      <c r="G2618" s="4"/>
      <c r="H2618" s="4"/>
      <c r="I2618" s="4"/>
      <c r="J2618" s="18"/>
      <c r="K2618" s="4"/>
      <c r="L2618" s="19"/>
      <c r="M2618" s="20"/>
    </row>
    <row r="2619">
      <c r="A2619" s="6"/>
      <c r="B2619" s="6"/>
      <c r="C2619" s="4"/>
      <c r="D2619" s="4"/>
      <c r="E2619" s="4"/>
      <c r="F2619" s="4"/>
      <c r="G2619" s="4"/>
      <c r="H2619" s="4"/>
      <c r="I2619" s="4"/>
      <c r="J2619" s="18"/>
      <c r="K2619" s="4"/>
      <c r="L2619" s="19"/>
      <c r="M2619" s="20"/>
    </row>
    <row r="2620">
      <c r="A2620" s="6"/>
      <c r="B2620" s="6"/>
      <c r="C2620" s="4"/>
      <c r="D2620" s="4"/>
      <c r="E2620" s="4"/>
      <c r="F2620" s="4"/>
      <c r="G2620" s="4"/>
      <c r="H2620" s="4"/>
      <c r="I2620" s="4"/>
      <c r="J2620" s="18"/>
      <c r="K2620" s="4"/>
      <c r="L2620" s="19"/>
      <c r="M2620" s="20"/>
    </row>
    <row r="2621">
      <c r="A2621" s="6"/>
      <c r="B2621" s="6"/>
      <c r="C2621" s="4"/>
      <c r="D2621" s="4"/>
      <c r="E2621" s="4"/>
      <c r="F2621" s="4"/>
      <c r="G2621" s="4"/>
      <c r="H2621" s="4"/>
      <c r="I2621" s="4"/>
      <c r="J2621" s="18"/>
      <c r="K2621" s="4"/>
      <c r="L2621" s="19"/>
      <c r="M2621" s="20"/>
    </row>
    <row r="2622">
      <c r="A2622" s="6"/>
      <c r="B2622" s="6"/>
      <c r="C2622" s="4"/>
      <c r="D2622" s="4"/>
      <c r="E2622" s="4"/>
      <c r="F2622" s="4"/>
      <c r="G2622" s="4"/>
      <c r="H2622" s="4"/>
      <c r="I2622" s="4"/>
      <c r="J2622" s="18"/>
      <c r="K2622" s="4"/>
      <c r="L2622" s="19"/>
      <c r="M2622" s="20"/>
    </row>
    <row r="2623">
      <c r="A2623" s="6"/>
      <c r="B2623" s="6"/>
      <c r="C2623" s="4"/>
      <c r="D2623" s="4"/>
      <c r="E2623" s="4"/>
      <c r="F2623" s="4"/>
      <c r="G2623" s="4"/>
      <c r="H2623" s="4"/>
      <c r="I2623" s="4"/>
      <c r="J2623" s="18"/>
      <c r="K2623" s="4"/>
      <c r="L2623" s="19"/>
      <c r="M2623" s="20"/>
    </row>
    <row r="2624">
      <c r="A2624" s="6"/>
      <c r="B2624" s="6"/>
      <c r="C2624" s="4"/>
      <c r="D2624" s="4"/>
      <c r="E2624" s="4"/>
      <c r="F2624" s="4"/>
      <c r="G2624" s="4"/>
      <c r="H2624" s="4"/>
      <c r="I2624" s="4"/>
      <c r="J2624" s="18"/>
      <c r="K2624" s="4"/>
      <c r="L2624" s="19"/>
      <c r="M2624" s="20"/>
    </row>
    <row r="2625">
      <c r="A2625" s="6"/>
      <c r="B2625" s="6"/>
      <c r="C2625" s="4"/>
      <c r="D2625" s="4"/>
      <c r="E2625" s="4"/>
      <c r="F2625" s="4"/>
      <c r="G2625" s="4"/>
      <c r="H2625" s="4"/>
      <c r="I2625" s="4"/>
      <c r="J2625" s="18"/>
      <c r="K2625" s="4"/>
      <c r="L2625" s="19"/>
      <c r="M2625" s="20"/>
    </row>
    <row r="2626">
      <c r="A2626" s="6"/>
      <c r="B2626" s="6"/>
      <c r="C2626" s="4"/>
      <c r="D2626" s="4"/>
      <c r="E2626" s="4"/>
      <c r="F2626" s="4"/>
      <c r="G2626" s="4"/>
      <c r="H2626" s="4"/>
      <c r="I2626" s="4"/>
      <c r="J2626" s="18"/>
      <c r="K2626" s="4"/>
      <c r="L2626" s="19"/>
      <c r="M2626" s="20"/>
    </row>
    <row r="2627">
      <c r="A2627" s="6"/>
      <c r="B2627" s="6"/>
      <c r="C2627" s="4"/>
      <c r="D2627" s="4"/>
      <c r="E2627" s="4"/>
      <c r="F2627" s="4"/>
      <c r="G2627" s="4"/>
      <c r="H2627" s="4"/>
      <c r="I2627" s="4"/>
      <c r="J2627" s="18"/>
      <c r="K2627" s="4"/>
      <c r="L2627" s="19"/>
      <c r="M2627" s="20"/>
    </row>
    <row r="2628">
      <c r="A2628" s="6"/>
      <c r="B2628" s="6"/>
      <c r="C2628" s="4"/>
      <c r="D2628" s="4"/>
      <c r="E2628" s="4"/>
      <c r="F2628" s="4"/>
      <c r="G2628" s="4"/>
      <c r="H2628" s="4"/>
      <c r="I2628" s="4"/>
      <c r="J2628" s="18"/>
      <c r="K2628" s="4"/>
      <c r="L2628" s="19"/>
      <c r="M2628" s="20"/>
    </row>
    <row r="2629">
      <c r="A2629" s="6"/>
      <c r="B2629" s="6"/>
      <c r="C2629" s="4"/>
      <c r="D2629" s="4"/>
      <c r="E2629" s="4"/>
      <c r="F2629" s="4"/>
      <c r="G2629" s="4"/>
      <c r="H2629" s="4"/>
      <c r="I2629" s="4"/>
      <c r="J2629" s="18"/>
      <c r="K2629" s="4"/>
      <c r="L2629" s="19"/>
      <c r="M2629" s="20"/>
    </row>
    <row r="2630">
      <c r="A2630" s="6"/>
      <c r="B2630" s="6"/>
      <c r="C2630" s="4"/>
      <c r="D2630" s="4"/>
      <c r="E2630" s="4"/>
      <c r="F2630" s="4"/>
      <c r="G2630" s="4"/>
      <c r="H2630" s="4"/>
      <c r="I2630" s="4"/>
      <c r="J2630" s="18"/>
      <c r="K2630" s="4"/>
      <c r="L2630" s="19"/>
      <c r="M2630" s="20"/>
    </row>
    <row r="2631">
      <c r="A2631" s="6"/>
      <c r="B2631" s="6"/>
      <c r="C2631" s="4"/>
      <c r="D2631" s="4"/>
      <c r="E2631" s="4"/>
      <c r="F2631" s="4"/>
      <c r="G2631" s="4"/>
      <c r="H2631" s="4"/>
      <c r="I2631" s="4"/>
      <c r="J2631" s="18"/>
      <c r="K2631" s="4"/>
      <c r="L2631" s="19"/>
      <c r="M2631" s="20"/>
    </row>
    <row r="2632">
      <c r="A2632" s="6"/>
      <c r="B2632" s="6"/>
      <c r="C2632" s="4"/>
      <c r="D2632" s="4"/>
      <c r="E2632" s="4"/>
      <c r="F2632" s="4"/>
      <c r="G2632" s="4"/>
      <c r="H2632" s="4"/>
      <c r="I2632" s="4"/>
      <c r="J2632" s="18"/>
      <c r="K2632" s="4"/>
      <c r="L2632" s="19"/>
      <c r="M2632" s="20"/>
    </row>
    <row r="2633">
      <c r="A2633" s="6"/>
      <c r="B2633" s="6"/>
      <c r="C2633" s="4"/>
      <c r="D2633" s="4"/>
      <c r="E2633" s="4"/>
      <c r="F2633" s="4"/>
      <c r="G2633" s="4"/>
      <c r="H2633" s="4"/>
      <c r="I2633" s="4"/>
      <c r="J2633" s="18"/>
      <c r="K2633" s="4"/>
      <c r="L2633" s="19"/>
      <c r="M2633" s="20"/>
    </row>
    <row r="2634">
      <c r="A2634" s="6"/>
      <c r="B2634" s="6"/>
      <c r="C2634" s="4"/>
      <c r="D2634" s="4"/>
      <c r="E2634" s="4"/>
      <c r="F2634" s="4"/>
      <c r="G2634" s="4"/>
      <c r="H2634" s="4"/>
      <c r="I2634" s="4"/>
      <c r="J2634" s="18"/>
      <c r="K2634" s="4"/>
      <c r="L2634" s="19"/>
      <c r="M2634" s="20"/>
    </row>
    <row r="2635">
      <c r="A2635" s="6"/>
      <c r="B2635" s="6"/>
      <c r="C2635" s="4"/>
      <c r="D2635" s="4"/>
      <c r="E2635" s="4"/>
      <c r="F2635" s="4"/>
      <c r="G2635" s="4"/>
      <c r="H2635" s="4"/>
      <c r="I2635" s="4"/>
      <c r="J2635" s="18"/>
      <c r="K2635" s="4"/>
      <c r="L2635" s="19"/>
      <c r="M2635" s="20"/>
    </row>
    <row r="2636">
      <c r="A2636" s="6"/>
      <c r="B2636" s="6"/>
      <c r="C2636" s="4"/>
      <c r="D2636" s="4"/>
      <c r="E2636" s="4"/>
      <c r="F2636" s="4"/>
      <c r="G2636" s="4"/>
      <c r="H2636" s="4"/>
      <c r="I2636" s="4"/>
      <c r="J2636" s="18"/>
      <c r="K2636" s="4"/>
      <c r="L2636" s="19"/>
      <c r="M2636" s="20"/>
    </row>
    <row r="2637">
      <c r="A2637" s="6"/>
      <c r="B2637" s="6"/>
      <c r="C2637" s="4"/>
      <c r="D2637" s="4"/>
      <c r="E2637" s="4"/>
      <c r="F2637" s="4"/>
      <c r="G2637" s="4"/>
      <c r="H2637" s="4"/>
      <c r="I2637" s="4"/>
      <c r="J2637" s="18"/>
      <c r="K2637" s="4"/>
      <c r="L2637" s="19"/>
      <c r="M2637" s="20"/>
    </row>
    <row r="2638">
      <c r="A2638" s="6"/>
      <c r="B2638" s="6"/>
      <c r="C2638" s="4"/>
      <c r="D2638" s="4"/>
      <c r="E2638" s="4"/>
      <c r="F2638" s="4"/>
      <c r="G2638" s="4"/>
      <c r="H2638" s="4"/>
      <c r="I2638" s="4"/>
      <c r="J2638" s="18"/>
      <c r="K2638" s="4"/>
      <c r="L2638" s="19"/>
      <c r="M2638" s="20"/>
    </row>
    <row r="2639">
      <c r="A2639" s="6"/>
      <c r="B2639" s="6"/>
      <c r="C2639" s="4"/>
      <c r="D2639" s="4"/>
      <c r="E2639" s="4"/>
      <c r="F2639" s="4"/>
      <c r="G2639" s="4"/>
      <c r="H2639" s="4"/>
      <c r="I2639" s="4"/>
      <c r="J2639" s="18"/>
      <c r="K2639" s="4"/>
      <c r="L2639" s="19"/>
      <c r="M2639" s="20"/>
    </row>
    <row r="2640">
      <c r="A2640" s="6"/>
      <c r="B2640" s="6"/>
      <c r="C2640" s="4"/>
      <c r="D2640" s="4"/>
      <c r="E2640" s="4"/>
      <c r="F2640" s="4"/>
      <c r="G2640" s="4"/>
      <c r="H2640" s="4"/>
      <c r="I2640" s="4"/>
      <c r="J2640" s="18"/>
      <c r="K2640" s="4"/>
      <c r="L2640" s="19"/>
      <c r="M2640" s="20"/>
    </row>
    <row r="2641">
      <c r="A2641" s="6"/>
      <c r="B2641" s="6"/>
      <c r="C2641" s="4"/>
      <c r="D2641" s="4"/>
      <c r="E2641" s="4"/>
      <c r="F2641" s="4"/>
      <c r="G2641" s="4"/>
      <c r="H2641" s="4"/>
      <c r="I2641" s="4"/>
      <c r="J2641" s="18"/>
      <c r="K2641" s="4"/>
      <c r="L2641" s="19"/>
      <c r="M2641" s="20"/>
    </row>
    <row r="2642">
      <c r="A2642" s="6"/>
      <c r="B2642" s="6"/>
      <c r="C2642" s="4"/>
      <c r="D2642" s="4"/>
      <c r="E2642" s="4"/>
      <c r="F2642" s="4"/>
      <c r="G2642" s="4"/>
      <c r="H2642" s="4"/>
      <c r="I2642" s="4"/>
      <c r="J2642" s="18"/>
      <c r="K2642" s="4"/>
      <c r="L2642" s="19"/>
      <c r="M2642" s="20"/>
    </row>
    <row r="2643">
      <c r="A2643" s="6"/>
      <c r="B2643" s="6"/>
      <c r="C2643" s="4"/>
      <c r="D2643" s="4"/>
      <c r="E2643" s="4"/>
      <c r="F2643" s="4"/>
      <c r="G2643" s="4"/>
      <c r="H2643" s="4"/>
      <c r="I2643" s="4"/>
      <c r="J2643" s="18"/>
      <c r="K2643" s="4"/>
      <c r="L2643" s="19"/>
      <c r="M2643" s="20"/>
    </row>
    <row r="2644">
      <c r="A2644" s="6"/>
      <c r="B2644" s="6"/>
      <c r="C2644" s="4"/>
      <c r="D2644" s="4"/>
      <c r="E2644" s="4"/>
      <c r="F2644" s="4"/>
      <c r="G2644" s="4"/>
      <c r="H2644" s="4"/>
      <c r="I2644" s="4"/>
      <c r="J2644" s="18"/>
      <c r="K2644" s="4"/>
      <c r="L2644" s="19"/>
      <c r="M2644" s="20"/>
    </row>
    <row r="2645">
      <c r="A2645" s="6"/>
      <c r="B2645" s="6"/>
      <c r="C2645" s="4"/>
      <c r="D2645" s="4"/>
      <c r="E2645" s="4"/>
      <c r="F2645" s="4"/>
      <c r="G2645" s="4"/>
      <c r="H2645" s="4"/>
      <c r="I2645" s="4"/>
      <c r="J2645" s="18"/>
      <c r="K2645" s="4"/>
      <c r="L2645" s="19"/>
      <c r="M2645" s="20"/>
    </row>
    <row r="2646">
      <c r="A2646" s="6"/>
      <c r="B2646" s="6"/>
      <c r="C2646" s="4"/>
      <c r="D2646" s="4"/>
      <c r="E2646" s="4"/>
      <c r="F2646" s="4"/>
      <c r="G2646" s="4"/>
      <c r="H2646" s="4"/>
      <c r="I2646" s="4"/>
      <c r="J2646" s="18"/>
      <c r="K2646" s="4"/>
      <c r="L2646" s="19"/>
      <c r="M2646" s="20"/>
    </row>
    <row r="2647">
      <c r="A2647" s="6"/>
      <c r="B2647" s="6"/>
      <c r="C2647" s="4"/>
      <c r="D2647" s="4"/>
      <c r="E2647" s="4"/>
      <c r="F2647" s="4"/>
      <c r="G2647" s="4"/>
      <c r="H2647" s="4"/>
      <c r="I2647" s="4"/>
      <c r="J2647" s="18"/>
      <c r="K2647" s="4"/>
      <c r="L2647" s="19"/>
      <c r="M2647" s="20"/>
    </row>
    <row r="2648">
      <c r="A2648" s="6"/>
      <c r="B2648" s="6"/>
      <c r="C2648" s="4"/>
      <c r="D2648" s="4"/>
      <c r="E2648" s="4"/>
      <c r="F2648" s="4"/>
      <c r="G2648" s="4"/>
      <c r="H2648" s="4"/>
      <c r="I2648" s="4"/>
      <c r="J2648" s="18"/>
      <c r="K2648" s="4"/>
      <c r="L2648" s="19"/>
      <c r="M2648" s="20"/>
    </row>
    <row r="2649">
      <c r="A2649" s="6"/>
      <c r="B2649" s="6"/>
      <c r="C2649" s="4"/>
      <c r="D2649" s="4"/>
      <c r="E2649" s="4"/>
      <c r="F2649" s="4"/>
      <c r="G2649" s="4"/>
      <c r="H2649" s="4"/>
      <c r="I2649" s="4"/>
      <c r="J2649" s="18"/>
      <c r="K2649" s="4"/>
      <c r="L2649" s="19"/>
      <c r="M2649" s="20"/>
    </row>
    <row r="2650">
      <c r="A2650" s="6"/>
      <c r="B2650" s="6"/>
      <c r="C2650" s="4"/>
      <c r="D2650" s="4"/>
      <c r="E2650" s="4"/>
      <c r="F2650" s="4"/>
      <c r="G2650" s="4"/>
      <c r="H2650" s="4"/>
      <c r="I2650" s="4"/>
      <c r="J2650" s="18"/>
      <c r="K2650" s="4"/>
      <c r="L2650" s="19"/>
      <c r="M2650" s="20"/>
    </row>
    <row r="2651">
      <c r="A2651" s="6"/>
      <c r="B2651" s="6"/>
      <c r="C2651" s="4"/>
      <c r="D2651" s="4"/>
      <c r="E2651" s="4"/>
      <c r="F2651" s="4"/>
      <c r="G2651" s="4"/>
      <c r="H2651" s="4"/>
      <c r="I2651" s="4"/>
      <c r="J2651" s="18"/>
      <c r="K2651" s="4"/>
      <c r="L2651" s="19"/>
      <c r="M2651" s="20"/>
    </row>
    <row r="2652">
      <c r="A2652" s="6"/>
      <c r="B2652" s="6"/>
      <c r="C2652" s="4"/>
      <c r="D2652" s="4"/>
      <c r="E2652" s="4"/>
      <c r="F2652" s="4"/>
      <c r="G2652" s="4"/>
      <c r="H2652" s="4"/>
      <c r="I2652" s="4"/>
      <c r="J2652" s="18"/>
      <c r="K2652" s="4"/>
      <c r="L2652" s="19"/>
      <c r="M2652" s="20"/>
    </row>
    <row r="2653">
      <c r="A2653" s="6"/>
      <c r="B2653" s="6"/>
      <c r="C2653" s="4"/>
      <c r="D2653" s="4"/>
      <c r="E2653" s="4"/>
      <c r="F2653" s="4"/>
      <c r="G2653" s="4"/>
      <c r="H2653" s="4"/>
      <c r="I2653" s="4"/>
      <c r="J2653" s="18"/>
      <c r="K2653" s="4"/>
      <c r="L2653" s="19"/>
      <c r="M2653" s="20"/>
    </row>
    <row r="2654">
      <c r="A2654" s="6"/>
      <c r="B2654" s="6"/>
      <c r="C2654" s="4"/>
      <c r="D2654" s="4"/>
      <c r="E2654" s="4"/>
      <c r="F2654" s="4"/>
      <c r="G2654" s="4"/>
      <c r="H2654" s="4"/>
      <c r="I2654" s="4"/>
      <c r="J2654" s="18"/>
      <c r="K2654" s="4"/>
      <c r="L2654" s="19"/>
      <c r="M2654" s="20"/>
    </row>
    <row r="2655">
      <c r="A2655" s="6"/>
      <c r="B2655" s="6"/>
      <c r="C2655" s="4"/>
      <c r="D2655" s="4"/>
      <c r="E2655" s="4"/>
      <c r="F2655" s="4"/>
      <c r="G2655" s="4"/>
      <c r="H2655" s="4"/>
      <c r="I2655" s="4"/>
      <c r="J2655" s="18"/>
      <c r="K2655" s="4"/>
      <c r="L2655" s="19"/>
      <c r="M2655" s="20"/>
    </row>
    <row r="2656">
      <c r="A2656" s="6"/>
      <c r="B2656" s="6"/>
      <c r="C2656" s="4"/>
      <c r="D2656" s="4"/>
      <c r="E2656" s="4"/>
      <c r="F2656" s="4"/>
      <c r="G2656" s="4"/>
      <c r="H2656" s="4"/>
      <c r="I2656" s="4"/>
      <c r="J2656" s="18"/>
      <c r="K2656" s="4"/>
      <c r="L2656" s="19"/>
      <c r="M2656" s="20"/>
    </row>
    <row r="2657">
      <c r="A2657" s="6"/>
      <c r="B2657" s="6"/>
      <c r="C2657" s="4"/>
      <c r="D2657" s="4"/>
      <c r="E2657" s="4"/>
      <c r="F2657" s="4"/>
      <c r="G2657" s="4"/>
      <c r="H2657" s="4"/>
      <c r="I2657" s="4"/>
      <c r="J2657" s="18"/>
      <c r="K2657" s="4"/>
      <c r="L2657" s="19"/>
      <c r="M2657" s="20"/>
    </row>
    <row r="2658">
      <c r="A2658" s="6"/>
      <c r="B2658" s="6"/>
      <c r="C2658" s="4"/>
      <c r="D2658" s="4"/>
      <c r="E2658" s="4"/>
      <c r="F2658" s="4"/>
      <c r="G2658" s="4"/>
      <c r="H2658" s="4"/>
      <c r="I2658" s="4"/>
      <c r="J2658" s="18"/>
      <c r="K2658" s="4"/>
      <c r="L2658" s="19"/>
      <c r="M2658" s="20"/>
    </row>
    <row r="2659">
      <c r="A2659" s="6"/>
      <c r="B2659" s="6"/>
      <c r="C2659" s="4"/>
      <c r="D2659" s="4"/>
      <c r="E2659" s="4"/>
      <c r="F2659" s="4"/>
      <c r="G2659" s="4"/>
      <c r="H2659" s="4"/>
      <c r="I2659" s="4"/>
      <c r="J2659" s="18"/>
      <c r="K2659" s="4"/>
      <c r="L2659" s="19"/>
      <c r="M2659" s="20"/>
    </row>
    <row r="2660">
      <c r="A2660" s="6"/>
      <c r="B2660" s="6"/>
      <c r="C2660" s="4"/>
      <c r="D2660" s="4"/>
      <c r="E2660" s="4"/>
      <c r="F2660" s="4"/>
      <c r="G2660" s="4"/>
      <c r="H2660" s="4"/>
      <c r="I2660" s="4"/>
      <c r="J2660" s="18"/>
      <c r="K2660" s="4"/>
      <c r="L2660" s="19"/>
      <c r="M2660" s="20"/>
    </row>
    <row r="2661">
      <c r="A2661" s="6"/>
      <c r="B2661" s="6"/>
      <c r="C2661" s="4"/>
      <c r="D2661" s="4"/>
      <c r="E2661" s="4"/>
      <c r="F2661" s="4"/>
      <c r="G2661" s="4"/>
      <c r="H2661" s="4"/>
      <c r="I2661" s="4"/>
      <c r="J2661" s="18"/>
      <c r="K2661" s="4"/>
      <c r="L2661" s="19"/>
      <c r="M2661" s="20"/>
    </row>
    <row r="2662">
      <c r="A2662" s="6"/>
      <c r="B2662" s="6"/>
      <c r="C2662" s="4"/>
      <c r="D2662" s="4"/>
      <c r="E2662" s="4"/>
      <c r="F2662" s="4"/>
      <c r="G2662" s="4"/>
      <c r="H2662" s="4"/>
      <c r="I2662" s="4"/>
      <c r="J2662" s="18"/>
      <c r="K2662" s="4"/>
      <c r="L2662" s="19"/>
      <c r="M2662" s="20"/>
    </row>
    <row r="2663">
      <c r="A2663" s="6"/>
      <c r="B2663" s="6"/>
      <c r="C2663" s="4"/>
      <c r="D2663" s="4"/>
      <c r="E2663" s="4"/>
      <c r="F2663" s="4"/>
      <c r="G2663" s="4"/>
      <c r="H2663" s="4"/>
      <c r="I2663" s="4"/>
      <c r="J2663" s="18"/>
      <c r="K2663" s="4"/>
      <c r="L2663" s="19"/>
      <c r="M2663" s="20"/>
    </row>
    <row r="2664">
      <c r="A2664" s="6"/>
      <c r="B2664" s="6"/>
      <c r="C2664" s="4"/>
      <c r="D2664" s="4"/>
      <c r="E2664" s="4"/>
      <c r="F2664" s="4"/>
      <c r="G2664" s="4"/>
      <c r="H2664" s="4"/>
      <c r="I2664" s="4"/>
      <c r="J2664" s="18"/>
      <c r="K2664" s="4"/>
      <c r="L2664" s="19"/>
      <c r="M2664" s="20"/>
    </row>
    <row r="2665">
      <c r="A2665" s="6"/>
      <c r="B2665" s="6"/>
      <c r="C2665" s="4"/>
      <c r="D2665" s="4"/>
      <c r="E2665" s="4"/>
      <c r="F2665" s="4"/>
      <c r="G2665" s="4"/>
      <c r="H2665" s="4"/>
      <c r="I2665" s="4"/>
      <c r="J2665" s="18"/>
      <c r="K2665" s="4"/>
      <c r="L2665" s="19"/>
      <c r="M2665" s="20"/>
    </row>
    <row r="2666">
      <c r="A2666" s="6"/>
      <c r="B2666" s="6"/>
      <c r="C2666" s="4"/>
      <c r="D2666" s="4"/>
      <c r="E2666" s="4"/>
      <c r="F2666" s="4"/>
      <c r="G2666" s="4"/>
      <c r="H2666" s="4"/>
      <c r="I2666" s="4"/>
      <c r="J2666" s="18"/>
      <c r="K2666" s="4"/>
      <c r="L2666" s="19"/>
      <c r="M2666" s="20"/>
    </row>
    <row r="2667">
      <c r="A2667" s="6"/>
      <c r="B2667" s="6"/>
      <c r="C2667" s="4"/>
      <c r="D2667" s="4"/>
      <c r="E2667" s="4"/>
      <c r="F2667" s="4"/>
      <c r="G2667" s="4"/>
      <c r="H2667" s="4"/>
      <c r="I2667" s="4"/>
      <c r="J2667" s="18"/>
      <c r="K2667" s="4"/>
      <c r="L2667" s="19"/>
      <c r="M2667" s="20"/>
    </row>
    <row r="2668">
      <c r="A2668" s="6"/>
      <c r="B2668" s="6"/>
      <c r="C2668" s="4"/>
      <c r="D2668" s="4"/>
      <c r="E2668" s="4"/>
      <c r="F2668" s="4"/>
      <c r="G2668" s="4"/>
      <c r="H2668" s="4"/>
      <c r="I2668" s="4"/>
      <c r="J2668" s="18"/>
      <c r="K2668" s="4"/>
      <c r="L2668" s="19"/>
      <c r="M2668" s="20"/>
    </row>
    <row r="2669">
      <c r="A2669" s="6"/>
      <c r="B2669" s="6"/>
      <c r="C2669" s="4"/>
      <c r="D2669" s="4"/>
      <c r="E2669" s="4"/>
      <c r="F2669" s="4"/>
      <c r="G2669" s="4"/>
      <c r="H2669" s="4"/>
      <c r="I2669" s="4"/>
      <c r="J2669" s="18"/>
      <c r="K2669" s="4"/>
      <c r="L2669" s="19"/>
      <c r="M2669" s="20"/>
    </row>
    <row r="2670">
      <c r="A2670" s="6"/>
      <c r="B2670" s="6"/>
      <c r="C2670" s="4"/>
      <c r="D2670" s="4"/>
      <c r="E2670" s="4"/>
      <c r="F2670" s="4"/>
      <c r="G2670" s="4"/>
      <c r="H2670" s="4"/>
      <c r="I2670" s="4"/>
      <c r="J2670" s="18"/>
      <c r="K2670" s="4"/>
      <c r="L2670" s="19"/>
      <c r="M2670" s="20"/>
    </row>
    <row r="2671">
      <c r="A2671" s="6"/>
      <c r="B2671" s="6"/>
      <c r="C2671" s="4"/>
      <c r="D2671" s="4"/>
      <c r="E2671" s="4"/>
      <c r="F2671" s="4"/>
      <c r="G2671" s="4"/>
      <c r="H2671" s="4"/>
      <c r="I2671" s="4"/>
      <c r="J2671" s="18"/>
      <c r="K2671" s="4"/>
      <c r="L2671" s="19"/>
      <c r="M2671" s="20"/>
    </row>
    <row r="2672">
      <c r="A2672" s="6"/>
      <c r="B2672" s="6"/>
      <c r="C2672" s="4"/>
      <c r="D2672" s="4"/>
      <c r="E2672" s="4"/>
      <c r="F2672" s="4"/>
      <c r="G2672" s="4"/>
      <c r="H2672" s="4"/>
      <c r="I2672" s="4"/>
      <c r="J2672" s="18"/>
      <c r="K2672" s="4"/>
      <c r="L2672" s="19"/>
      <c r="M2672" s="20"/>
    </row>
    <row r="2673">
      <c r="A2673" s="6"/>
      <c r="B2673" s="6"/>
      <c r="C2673" s="4"/>
      <c r="D2673" s="4"/>
      <c r="E2673" s="4"/>
      <c r="F2673" s="4"/>
      <c r="G2673" s="4"/>
      <c r="H2673" s="4"/>
      <c r="I2673" s="4"/>
      <c r="J2673" s="18"/>
      <c r="K2673" s="4"/>
      <c r="L2673" s="19"/>
      <c r="M2673" s="20"/>
    </row>
    <row r="2674">
      <c r="A2674" s="6"/>
      <c r="B2674" s="6"/>
      <c r="C2674" s="4"/>
      <c r="D2674" s="4"/>
      <c r="E2674" s="4"/>
      <c r="F2674" s="4"/>
      <c r="G2674" s="4"/>
      <c r="H2674" s="4"/>
      <c r="I2674" s="4"/>
      <c r="J2674" s="18"/>
      <c r="K2674" s="4"/>
      <c r="L2674" s="19"/>
      <c r="M2674" s="20"/>
    </row>
    <row r="2675">
      <c r="A2675" s="6"/>
      <c r="B2675" s="6"/>
      <c r="C2675" s="4"/>
      <c r="D2675" s="4"/>
      <c r="E2675" s="4"/>
      <c r="F2675" s="4"/>
      <c r="G2675" s="4"/>
      <c r="H2675" s="4"/>
      <c r="I2675" s="4"/>
      <c r="J2675" s="18"/>
      <c r="K2675" s="4"/>
      <c r="L2675" s="19"/>
      <c r="M2675" s="20"/>
    </row>
    <row r="2676">
      <c r="A2676" s="6"/>
      <c r="B2676" s="6"/>
      <c r="C2676" s="4"/>
      <c r="D2676" s="4"/>
      <c r="E2676" s="4"/>
      <c r="F2676" s="4"/>
      <c r="G2676" s="4"/>
      <c r="H2676" s="4"/>
      <c r="I2676" s="4"/>
      <c r="J2676" s="18"/>
      <c r="K2676" s="4"/>
      <c r="L2676" s="19"/>
      <c r="M2676" s="20"/>
    </row>
    <row r="2677">
      <c r="A2677" s="6"/>
      <c r="B2677" s="6"/>
      <c r="C2677" s="4"/>
      <c r="D2677" s="4"/>
      <c r="E2677" s="4"/>
      <c r="F2677" s="4"/>
      <c r="G2677" s="4"/>
      <c r="H2677" s="4"/>
      <c r="I2677" s="4"/>
      <c r="J2677" s="18"/>
      <c r="K2677" s="4"/>
      <c r="L2677" s="19"/>
      <c r="M2677" s="20"/>
    </row>
    <row r="2678">
      <c r="A2678" s="6"/>
      <c r="B2678" s="6"/>
      <c r="C2678" s="4"/>
      <c r="D2678" s="4"/>
      <c r="E2678" s="4"/>
      <c r="F2678" s="4"/>
      <c r="G2678" s="4"/>
      <c r="H2678" s="4"/>
      <c r="I2678" s="4"/>
      <c r="J2678" s="18"/>
      <c r="K2678" s="4"/>
      <c r="L2678" s="19"/>
      <c r="M2678" s="20"/>
    </row>
    <row r="2679">
      <c r="A2679" s="6"/>
      <c r="B2679" s="6"/>
      <c r="C2679" s="4"/>
      <c r="D2679" s="4"/>
      <c r="E2679" s="4"/>
      <c r="F2679" s="4"/>
      <c r="G2679" s="4"/>
      <c r="H2679" s="4"/>
      <c r="I2679" s="4"/>
      <c r="J2679" s="18"/>
      <c r="K2679" s="4"/>
      <c r="L2679" s="19"/>
      <c r="M2679" s="20"/>
    </row>
    <row r="2680">
      <c r="A2680" s="6"/>
      <c r="B2680" s="6"/>
      <c r="C2680" s="4"/>
      <c r="D2680" s="4"/>
      <c r="E2680" s="4"/>
      <c r="F2680" s="4"/>
      <c r="G2680" s="4"/>
      <c r="H2680" s="4"/>
      <c r="I2680" s="4"/>
      <c r="J2680" s="18"/>
      <c r="K2680" s="4"/>
      <c r="L2680" s="19"/>
      <c r="M2680" s="20"/>
    </row>
    <row r="2681">
      <c r="A2681" s="6"/>
      <c r="B2681" s="6"/>
      <c r="C2681" s="4"/>
      <c r="D2681" s="4"/>
      <c r="E2681" s="4"/>
      <c r="F2681" s="4"/>
      <c r="G2681" s="4"/>
      <c r="H2681" s="4"/>
      <c r="I2681" s="4"/>
      <c r="J2681" s="18"/>
      <c r="K2681" s="4"/>
      <c r="L2681" s="19"/>
      <c r="M2681" s="20"/>
    </row>
    <row r="2682">
      <c r="A2682" s="6"/>
      <c r="B2682" s="6"/>
      <c r="C2682" s="4"/>
      <c r="D2682" s="4"/>
      <c r="E2682" s="4"/>
      <c r="F2682" s="4"/>
      <c r="G2682" s="4"/>
      <c r="H2682" s="4"/>
      <c r="I2682" s="4"/>
      <c r="J2682" s="18"/>
      <c r="K2682" s="4"/>
      <c r="L2682" s="19"/>
      <c r="M2682" s="20"/>
    </row>
    <row r="2683">
      <c r="A2683" s="6"/>
      <c r="B2683" s="6"/>
      <c r="C2683" s="4"/>
      <c r="D2683" s="4"/>
      <c r="E2683" s="4"/>
      <c r="F2683" s="4"/>
      <c r="G2683" s="4"/>
      <c r="H2683" s="4"/>
      <c r="I2683" s="4"/>
      <c r="J2683" s="18"/>
      <c r="K2683" s="4"/>
      <c r="L2683" s="19"/>
      <c r="M2683" s="20"/>
    </row>
    <row r="2684">
      <c r="A2684" s="6"/>
      <c r="B2684" s="6"/>
      <c r="C2684" s="4"/>
      <c r="D2684" s="4"/>
      <c r="E2684" s="4"/>
      <c r="F2684" s="4"/>
      <c r="G2684" s="4"/>
      <c r="H2684" s="4"/>
      <c r="I2684" s="4"/>
      <c r="J2684" s="18"/>
      <c r="K2684" s="4"/>
      <c r="L2684" s="19"/>
      <c r="M2684" s="20"/>
    </row>
    <row r="2685">
      <c r="A2685" s="6"/>
      <c r="B2685" s="6"/>
      <c r="C2685" s="4"/>
      <c r="D2685" s="4"/>
      <c r="E2685" s="4"/>
      <c r="F2685" s="4"/>
      <c r="G2685" s="4"/>
      <c r="H2685" s="4"/>
      <c r="I2685" s="4"/>
      <c r="J2685" s="18"/>
      <c r="K2685" s="4"/>
      <c r="L2685" s="19"/>
      <c r="M2685" s="20"/>
    </row>
    <row r="2686">
      <c r="A2686" s="6"/>
      <c r="B2686" s="6"/>
      <c r="C2686" s="4"/>
      <c r="D2686" s="4"/>
      <c r="E2686" s="4"/>
      <c r="F2686" s="4"/>
      <c r="G2686" s="4"/>
      <c r="H2686" s="4"/>
      <c r="I2686" s="4"/>
      <c r="J2686" s="18"/>
      <c r="K2686" s="4"/>
      <c r="L2686" s="19"/>
      <c r="M2686" s="20"/>
    </row>
    <row r="2687">
      <c r="A2687" s="6"/>
      <c r="B2687" s="6"/>
      <c r="C2687" s="4"/>
      <c r="D2687" s="4"/>
      <c r="E2687" s="4"/>
      <c r="F2687" s="4"/>
      <c r="G2687" s="4"/>
      <c r="H2687" s="4"/>
      <c r="I2687" s="4"/>
      <c r="J2687" s="18"/>
      <c r="K2687" s="4"/>
      <c r="L2687" s="19"/>
      <c r="M2687" s="20"/>
    </row>
    <row r="2688">
      <c r="A2688" s="6"/>
      <c r="B2688" s="6"/>
      <c r="C2688" s="4"/>
      <c r="D2688" s="4"/>
      <c r="E2688" s="4"/>
      <c r="F2688" s="4"/>
      <c r="G2688" s="4"/>
      <c r="H2688" s="4"/>
      <c r="I2688" s="4"/>
      <c r="J2688" s="18"/>
      <c r="K2688" s="4"/>
      <c r="L2688" s="19"/>
      <c r="M2688" s="20"/>
    </row>
    <row r="2689">
      <c r="A2689" s="6"/>
      <c r="B2689" s="6"/>
      <c r="C2689" s="4"/>
      <c r="D2689" s="4"/>
      <c r="E2689" s="4"/>
      <c r="F2689" s="4"/>
      <c r="G2689" s="4"/>
      <c r="H2689" s="4"/>
      <c r="I2689" s="4"/>
      <c r="J2689" s="18"/>
      <c r="K2689" s="4"/>
      <c r="L2689" s="19"/>
      <c r="M2689" s="20"/>
    </row>
    <row r="2690">
      <c r="A2690" s="6"/>
      <c r="B2690" s="6"/>
      <c r="C2690" s="4"/>
      <c r="D2690" s="4"/>
      <c r="E2690" s="4"/>
      <c r="F2690" s="4"/>
      <c r="G2690" s="4"/>
      <c r="H2690" s="4"/>
      <c r="I2690" s="4"/>
      <c r="J2690" s="18"/>
      <c r="K2690" s="4"/>
      <c r="L2690" s="19"/>
      <c r="M2690" s="20"/>
    </row>
    <row r="2691">
      <c r="A2691" s="6"/>
      <c r="B2691" s="6"/>
      <c r="C2691" s="4"/>
      <c r="D2691" s="4"/>
      <c r="E2691" s="4"/>
      <c r="F2691" s="4"/>
      <c r="G2691" s="4"/>
      <c r="H2691" s="4"/>
      <c r="I2691" s="4"/>
      <c r="J2691" s="18"/>
      <c r="K2691" s="4"/>
      <c r="L2691" s="19"/>
      <c r="M2691" s="20"/>
    </row>
    <row r="2692">
      <c r="A2692" s="6"/>
      <c r="B2692" s="6"/>
      <c r="C2692" s="4"/>
      <c r="D2692" s="4"/>
      <c r="E2692" s="4"/>
      <c r="F2692" s="4"/>
      <c r="G2692" s="4"/>
      <c r="H2692" s="4"/>
      <c r="I2692" s="4"/>
      <c r="J2692" s="18"/>
      <c r="K2692" s="4"/>
      <c r="L2692" s="19"/>
      <c r="M2692" s="20"/>
    </row>
    <row r="2693">
      <c r="A2693" s="6"/>
      <c r="B2693" s="6"/>
      <c r="C2693" s="4"/>
      <c r="D2693" s="4"/>
      <c r="E2693" s="4"/>
      <c r="F2693" s="4"/>
      <c r="G2693" s="4"/>
      <c r="H2693" s="4"/>
      <c r="I2693" s="4"/>
      <c r="J2693" s="18"/>
      <c r="K2693" s="4"/>
      <c r="L2693" s="19"/>
      <c r="M2693" s="20"/>
    </row>
    <row r="2694">
      <c r="A2694" s="6"/>
      <c r="B2694" s="6"/>
      <c r="C2694" s="4"/>
      <c r="D2694" s="4"/>
      <c r="E2694" s="4"/>
      <c r="F2694" s="4"/>
      <c r="G2694" s="4"/>
      <c r="H2694" s="4"/>
      <c r="I2694" s="4"/>
      <c r="J2694" s="18"/>
      <c r="K2694" s="4"/>
      <c r="L2694" s="19"/>
      <c r="M2694" s="20"/>
    </row>
    <row r="2695">
      <c r="A2695" s="6"/>
      <c r="B2695" s="6"/>
      <c r="C2695" s="4"/>
      <c r="D2695" s="4"/>
      <c r="E2695" s="4"/>
      <c r="F2695" s="4"/>
      <c r="G2695" s="4"/>
      <c r="H2695" s="4"/>
      <c r="I2695" s="4"/>
      <c r="J2695" s="18"/>
      <c r="K2695" s="4"/>
      <c r="L2695" s="19"/>
      <c r="M2695" s="20"/>
    </row>
    <row r="2696">
      <c r="A2696" s="6"/>
      <c r="B2696" s="6"/>
      <c r="C2696" s="4"/>
      <c r="D2696" s="4"/>
      <c r="E2696" s="4"/>
      <c r="F2696" s="4"/>
      <c r="G2696" s="4"/>
      <c r="H2696" s="4"/>
      <c r="I2696" s="4"/>
      <c r="J2696" s="18"/>
      <c r="K2696" s="4"/>
      <c r="L2696" s="19"/>
      <c r="M2696" s="20"/>
    </row>
    <row r="2697">
      <c r="A2697" s="6"/>
      <c r="B2697" s="6"/>
      <c r="C2697" s="4"/>
      <c r="D2697" s="4"/>
      <c r="E2697" s="4"/>
      <c r="F2697" s="4"/>
      <c r="G2697" s="4"/>
      <c r="H2697" s="4"/>
      <c r="I2697" s="4"/>
      <c r="J2697" s="18"/>
      <c r="K2697" s="4"/>
      <c r="L2697" s="19"/>
      <c r="M2697" s="20"/>
    </row>
    <row r="2698">
      <c r="A2698" s="6"/>
      <c r="B2698" s="6"/>
      <c r="C2698" s="4"/>
      <c r="D2698" s="4"/>
      <c r="E2698" s="4"/>
      <c r="F2698" s="4"/>
      <c r="G2698" s="4"/>
      <c r="H2698" s="4"/>
      <c r="I2698" s="4"/>
      <c r="J2698" s="18"/>
      <c r="K2698" s="4"/>
      <c r="L2698" s="19"/>
      <c r="M2698" s="20"/>
    </row>
    <row r="2699">
      <c r="A2699" s="6"/>
      <c r="B2699" s="6"/>
      <c r="C2699" s="4"/>
      <c r="D2699" s="4"/>
      <c r="E2699" s="4"/>
      <c r="F2699" s="4"/>
      <c r="G2699" s="4"/>
      <c r="H2699" s="4"/>
      <c r="I2699" s="4"/>
      <c r="J2699" s="18"/>
      <c r="K2699" s="4"/>
      <c r="L2699" s="19"/>
      <c r="M2699" s="20"/>
    </row>
    <row r="2700">
      <c r="A2700" s="6"/>
      <c r="B2700" s="6"/>
      <c r="C2700" s="4"/>
      <c r="D2700" s="4"/>
      <c r="E2700" s="4"/>
      <c r="F2700" s="4"/>
      <c r="G2700" s="4"/>
      <c r="H2700" s="4"/>
      <c r="I2700" s="4"/>
      <c r="J2700" s="18"/>
      <c r="K2700" s="4"/>
      <c r="L2700" s="19"/>
      <c r="M2700" s="20"/>
    </row>
    <row r="2701">
      <c r="A2701" s="6"/>
      <c r="B2701" s="6"/>
      <c r="C2701" s="4"/>
      <c r="D2701" s="4"/>
      <c r="E2701" s="4"/>
      <c r="F2701" s="4"/>
      <c r="G2701" s="4"/>
      <c r="H2701" s="4"/>
      <c r="I2701" s="4"/>
      <c r="J2701" s="18"/>
      <c r="K2701" s="4"/>
      <c r="L2701" s="19"/>
      <c r="M2701" s="20"/>
    </row>
    <row r="2702">
      <c r="A2702" s="6"/>
      <c r="B2702" s="6"/>
      <c r="C2702" s="4"/>
      <c r="D2702" s="4"/>
      <c r="E2702" s="4"/>
      <c r="F2702" s="4"/>
      <c r="G2702" s="4"/>
      <c r="H2702" s="4"/>
      <c r="I2702" s="4"/>
      <c r="J2702" s="18"/>
      <c r="K2702" s="4"/>
      <c r="L2702" s="19"/>
      <c r="M2702" s="20"/>
    </row>
    <row r="2703">
      <c r="A2703" s="6"/>
      <c r="B2703" s="6"/>
      <c r="C2703" s="4"/>
      <c r="D2703" s="4"/>
      <c r="E2703" s="4"/>
      <c r="F2703" s="4"/>
      <c r="G2703" s="4"/>
      <c r="H2703" s="4"/>
      <c r="I2703" s="4"/>
      <c r="J2703" s="18"/>
      <c r="K2703" s="4"/>
      <c r="L2703" s="19"/>
      <c r="M2703" s="20"/>
    </row>
    <row r="2704">
      <c r="A2704" s="6"/>
      <c r="B2704" s="6"/>
      <c r="C2704" s="4"/>
      <c r="D2704" s="4"/>
      <c r="E2704" s="4"/>
      <c r="F2704" s="4"/>
      <c r="G2704" s="4"/>
      <c r="H2704" s="4"/>
      <c r="I2704" s="4"/>
      <c r="J2704" s="18"/>
      <c r="K2704" s="4"/>
      <c r="L2704" s="19"/>
      <c r="M2704" s="20"/>
    </row>
    <row r="2705">
      <c r="A2705" s="6"/>
      <c r="B2705" s="6"/>
      <c r="C2705" s="4"/>
      <c r="D2705" s="4"/>
      <c r="E2705" s="4"/>
      <c r="F2705" s="4"/>
      <c r="G2705" s="4"/>
      <c r="H2705" s="4"/>
      <c r="I2705" s="4"/>
      <c r="J2705" s="18"/>
      <c r="K2705" s="4"/>
      <c r="L2705" s="19"/>
      <c r="M2705" s="20"/>
    </row>
    <row r="2706">
      <c r="A2706" s="6"/>
      <c r="B2706" s="6"/>
      <c r="C2706" s="4"/>
      <c r="D2706" s="4"/>
      <c r="E2706" s="4"/>
      <c r="F2706" s="4"/>
      <c r="G2706" s="4"/>
      <c r="H2706" s="4"/>
      <c r="I2706" s="4"/>
      <c r="J2706" s="18"/>
      <c r="K2706" s="4"/>
      <c r="L2706" s="19"/>
      <c r="M2706" s="20"/>
    </row>
    <row r="2707">
      <c r="A2707" s="6"/>
      <c r="B2707" s="6"/>
      <c r="C2707" s="4"/>
      <c r="D2707" s="4"/>
      <c r="E2707" s="4"/>
      <c r="F2707" s="4"/>
      <c r="G2707" s="4"/>
      <c r="H2707" s="4"/>
      <c r="I2707" s="4"/>
      <c r="J2707" s="18"/>
      <c r="K2707" s="4"/>
      <c r="L2707" s="19"/>
      <c r="M2707" s="20"/>
    </row>
    <row r="2708">
      <c r="A2708" s="6"/>
      <c r="B2708" s="6"/>
      <c r="C2708" s="4"/>
      <c r="D2708" s="4"/>
      <c r="E2708" s="4"/>
      <c r="F2708" s="4"/>
      <c r="G2708" s="4"/>
      <c r="H2708" s="4"/>
      <c r="I2708" s="4"/>
      <c r="J2708" s="18"/>
      <c r="K2708" s="4"/>
      <c r="L2708" s="19"/>
      <c r="M2708" s="20"/>
    </row>
    <row r="2709">
      <c r="A2709" s="6"/>
      <c r="B2709" s="6"/>
      <c r="C2709" s="4"/>
      <c r="D2709" s="4"/>
      <c r="E2709" s="4"/>
      <c r="F2709" s="4"/>
      <c r="G2709" s="4"/>
      <c r="H2709" s="4"/>
      <c r="I2709" s="4"/>
      <c r="J2709" s="18"/>
      <c r="K2709" s="4"/>
      <c r="L2709" s="19"/>
      <c r="M2709" s="20"/>
    </row>
    <row r="2710">
      <c r="A2710" s="6"/>
      <c r="B2710" s="6"/>
      <c r="C2710" s="4"/>
      <c r="D2710" s="4"/>
      <c r="E2710" s="4"/>
      <c r="F2710" s="4"/>
      <c r="G2710" s="4"/>
      <c r="H2710" s="4"/>
      <c r="I2710" s="4"/>
      <c r="J2710" s="18"/>
      <c r="K2710" s="4"/>
      <c r="L2710" s="19"/>
      <c r="M2710" s="20"/>
    </row>
    <row r="2711">
      <c r="A2711" s="6"/>
      <c r="B2711" s="6"/>
      <c r="C2711" s="4"/>
      <c r="D2711" s="4"/>
      <c r="E2711" s="4"/>
      <c r="F2711" s="4"/>
      <c r="G2711" s="4"/>
      <c r="H2711" s="4"/>
      <c r="I2711" s="4"/>
      <c r="J2711" s="18"/>
      <c r="K2711" s="4"/>
      <c r="L2711" s="19"/>
      <c r="M2711" s="20"/>
    </row>
    <row r="2712">
      <c r="A2712" s="6"/>
      <c r="B2712" s="6"/>
      <c r="C2712" s="4"/>
      <c r="D2712" s="4"/>
      <c r="E2712" s="4"/>
      <c r="F2712" s="4"/>
      <c r="G2712" s="4"/>
      <c r="H2712" s="4"/>
      <c r="I2712" s="4"/>
      <c r="J2712" s="18"/>
      <c r="K2712" s="4"/>
      <c r="L2712" s="19"/>
      <c r="M2712" s="20"/>
    </row>
    <row r="2713">
      <c r="A2713" s="6"/>
      <c r="B2713" s="6"/>
      <c r="C2713" s="4"/>
      <c r="D2713" s="4"/>
      <c r="E2713" s="4"/>
      <c r="F2713" s="4"/>
      <c r="G2713" s="4"/>
      <c r="H2713" s="4"/>
      <c r="I2713" s="4"/>
      <c r="J2713" s="18"/>
      <c r="K2713" s="4"/>
      <c r="L2713" s="19"/>
      <c r="M2713" s="20"/>
    </row>
    <row r="2714">
      <c r="A2714" s="6"/>
      <c r="B2714" s="6"/>
      <c r="C2714" s="4"/>
      <c r="D2714" s="4"/>
      <c r="E2714" s="4"/>
      <c r="F2714" s="4"/>
      <c r="G2714" s="4"/>
      <c r="H2714" s="4"/>
      <c r="I2714" s="4"/>
      <c r="J2714" s="18"/>
      <c r="K2714" s="4"/>
      <c r="L2714" s="19"/>
      <c r="M2714" s="20"/>
    </row>
    <row r="2715">
      <c r="A2715" s="6"/>
      <c r="B2715" s="6"/>
      <c r="C2715" s="4"/>
      <c r="D2715" s="4"/>
      <c r="E2715" s="4"/>
      <c r="F2715" s="4"/>
      <c r="G2715" s="4"/>
      <c r="H2715" s="4"/>
      <c r="I2715" s="4"/>
      <c r="J2715" s="18"/>
      <c r="K2715" s="4"/>
      <c r="L2715" s="19"/>
      <c r="M2715" s="20"/>
    </row>
    <row r="2716">
      <c r="A2716" s="6"/>
      <c r="B2716" s="6"/>
      <c r="C2716" s="4"/>
      <c r="D2716" s="4"/>
      <c r="E2716" s="4"/>
      <c r="F2716" s="4"/>
      <c r="G2716" s="4"/>
      <c r="H2716" s="4"/>
      <c r="I2716" s="4"/>
      <c r="J2716" s="18"/>
      <c r="K2716" s="4"/>
      <c r="L2716" s="19"/>
      <c r="M2716" s="20"/>
    </row>
    <row r="2717">
      <c r="A2717" s="6"/>
      <c r="B2717" s="6"/>
      <c r="C2717" s="4"/>
      <c r="D2717" s="4"/>
      <c r="E2717" s="4"/>
      <c r="F2717" s="4"/>
      <c r="G2717" s="4"/>
      <c r="H2717" s="4"/>
      <c r="I2717" s="4"/>
      <c r="J2717" s="18"/>
      <c r="K2717" s="4"/>
      <c r="L2717" s="19"/>
      <c r="M2717" s="20"/>
    </row>
    <row r="2718">
      <c r="A2718" s="6"/>
      <c r="B2718" s="6"/>
      <c r="C2718" s="4"/>
      <c r="D2718" s="4"/>
      <c r="E2718" s="4"/>
      <c r="F2718" s="4"/>
      <c r="G2718" s="4"/>
      <c r="H2718" s="4"/>
      <c r="I2718" s="4"/>
      <c r="J2718" s="18"/>
      <c r="K2718" s="4"/>
      <c r="L2718" s="19"/>
      <c r="M2718" s="20"/>
    </row>
    <row r="2719">
      <c r="A2719" s="6"/>
      <c r="B2719" s="6"/>
      <c r="C2719" s="4"/>
      <c r="D2719" s="4"/>
      <c r="E2719" s="4"/>
      <c r="F2719" s="4"/>
      <c r="G2719" s="4"/>
      <c r="H2719" s="4"/>
      <c r="I2719" s="4"/>
      <c r="J2719" s="18"/>
      <c r="K2719" s="4"/>
      <c r="L2719" s="19"/>
      <c r="M2719" s="20"/>
    </row>
    <row r="2720">
      <c r="A2720" s="6"/>
      <c r="B2720" s="6"/>
      <c r="C2720" s="4"/>
      <c r="D2720" s="4"/>
      <c r="E2720" s="4"/>
      <c r="F2720" s="4"/>
      <c r="G2720" s="4"/>
      <c r="H2720" s="4"/>
      <c r="I2720" s="4"/>
      <c r="J2720" s="18"/>
      <c r="K2720" s="4"/>
      <c r="L2720" s="19"/>
      <c r="M2720" s="20"/>
    </row>
    <row r="2721">
      <c r="A2721" s="6"/>
      <c r="B2721" s="6"/>
      <c r="C2721" s="4"/>
      <c r="D2721" s="4"/>
      <c r="E2721" s="4"/>
      <c r="F2721" s="4"/>
      <c r="G2721" s="4"/>
      <c r="H2721" s="4"/>
      <c r="I2721" s="4"/>
      <c r="J2721" s="18"/>
      <c r="K2721" s="4"/>
      <c r="L2721" s="19"/>
      <c r="M2721" s="20"/>
    </row>
    <row r="2722">
      <c r="A2722" s="6"/>
      <c r="B2722" s="6"/>
      <c r="C2722" s="4"/>
      <c r="D2722" s="4"/>
      <c r="E2722" s="4"/>
      <c r="F2722" s="4"/>
      <c r="G2722" s="4"/>
      <c r="H2722" s="4"/>
      <c r="I2722" s="4"/>
      <c r="J2722" s="18"/>
      <c r="K2722" s="4"/>
      <c r="L2722" s="19"/>
      <c r="M2722" s="20"/>
    </row>
    <row r="2723">
      <c r="A2723" s="6"/>
      <c r="B2723" s="6"/>
      <c r="C2723" s="4"/>
      <c r="D2723" s="4"/>
      <c r="E2723" s="4"/>
      <c r="F2723" s="4"/>
      <c r="G2723" s="4"/>
      <c r="H2723" s="4"/>
      <c r="I2723" s="4"/>
      <c r="J2723" s="18"/>
      <c r="K2723" s="4"/>
      <c r="L2723" s="19"/>
      <c r="M2723" s="20"/>
    </row>
    <row r="2724">
      <c r="A2724" s="6"/>
      <c r="B2724" s="6"/>
      <c r="C2724" s="4"/>
      <c r="D2724" s="4"/>
      <c r="E2724" s="4"/>
      <c r="F2724" s="4"/>
      <c r="G2724" s="4"/>
      <c r="H2724" s="4"/>
      <c r="I2724" s="4"/>
      <c r="J2724" s="18"/>
      <c r="K2724" s="4"/>
      <c r="L2724" s="19"/>
      <c r="M2724" s="20"/>
    </row>
    <row r="2725">
      <c r="A2725" s="6"/>
      <c r="B2725" s="6"/>
      <c r="C2725" s="4"/>
      <c r="D2725" s="4"/>
      <c r="E2725" s="4"/>
      <c r="F2725" s="4"/>
      <c r="G2725" s="4"/>
      <c r="H2725" s="4"/>
      <c r="I2725" s="4"/>
      <c r="J2725" s="18"/>
      <c r="K2725" s="4"/>
      <c r="L2725" s="19"/>
      <c r="M2725" s="20"/>
    </row>
    <row r="2726">
      <c r="A2726" s="6"/>
      <c r="B2726" s="6"/>
      <c r="C2726" s="4"/>
      <c r="D2726" s="4"/>
      <c r="E2726" s="4"/>
      <c r="F2726" s="4"/>
      <c r="G2726" s="4"/>
      <c r="H2726" s="4"/>
      <c r="I2726" s="4"/>
      <c r="J2726" s="18"/>
      <c r="K2726" s="4"/>
      <c r="L2726" s="19"/>
      <c r="M2726" s="20"/>
    </row>
    <row r="2727">
      <c r="A2727" s="6"/>
      <c r="B2727" s="6"/>
      <c r="C2727" s="4"/>
      <c r="D2727" s="4"/>
      <c r="E2727" s="4"/>
      <c r="F2727" s="4"/>
      <c r="G2727" s="4"/>
      <c r="H2727" s="4"/>
      <c r="I2727" s="4"/>
      <c r="J2727" s="18"/>
      <c r="K2727" s="4"/>
      <c r="L2727" s="19"/>
      <c r="M2727" s="20"/>
    </row>
    <row r="2728">
      <c r="A2728" s="6"/>
      <c r="B2728" s="6"/>
      <c r="C2728" s="4"/>
      <c r="D2728" s="4"/>
      <c r="E2728" s="4"/>
      <c r="F2728" s="4"/>
      <c r="G2728" s="4"/>
      <c r="H2728" s="4"/>
      <c r="I2728" s="4"/>
      <c r="J2728" s="18"/>
      <c r="K2728" s="4"/>
      <c r="L2728" s="19"/>
      <c r="M2728" s="20"/>
    </row>
    <row r="2729">
      <c r="A2729" s="6"/>
      <c r="B2729" s="6"/>
      <c r="C2729" s="4"/>
      <c r="D2729" s="4"/>
      <c r="E2729" s="4"/>
      <c r="F2729" s="4"/>
      <c r="G2729" s="4"/>
      <c r="H2729" s="4"/>
      <c r="I2729" s="4"/>
      <c r="J2729" s="18"/>
      <c r="K2729" s="4"/>
      <c r="L2729" s="19"/>
      <c r="M2729" s="20"/>
    </row>
    <row r="2730">
      <c r="A2730" s="6"/>
      <c r="B2730" s="6"/>
      <c r="C2730" s="4"/>
      <c r="D2730" s="4"/>
      <c r="E2730" s="4"/>
      <c r="F2730" s="4"/>
      <c r="G2730" s="4"/>
      <c r="H2730" s="4"/>
      <c r="I2730" s="4"/>
      <c r="J2730" s="18"/>
      <c r="K2730" s="4"/>
      <c r="L2730" s="19"/>
      <c r="M2730" s="20"/>
    </row>
    <row r="2731">
      <c r="A2731" s="6"/>
      <c r="B2731" s="6"/>
      <c r="C2731" s="4"/>
      <c r="D2731" s="4"/>
      <c r="E2731" s="4"/>
      <c r="F2731" s="4"/>
      <c r="G2731" s="4"/>
      <c r="H2731" s="4"/>
      <c r="I2731" s="4"/>
      <c r="J2731" s="18"/>
      <c r="K2731" s="4"/>
      <c r="L2731" s="19"/>
      <c r="M2731" s="20"/>
    </row>
    <row r="2732">
      <c r="A2732" s="6"/>
      <c r="B2732" s="6"/>
      <c r="C2732" s="4"/>
      <c r="D2732" s="4"/>
      <c r="E2732" s="4"/>
      <c r="F2732" s="4"/>
      <c r="G2732" s="4"/>
      <c r="H2732" s="4"/>
      <c r="I2732" s="4"/>
      <c r="J2732" s="18"/>
      <c r="K2732" s="4"/>
      <c r="L2732" s="19"/>
      <c r="M2732" s="20"/>
    </row>
    <row r="2733">
      <c r="A2733" s="6"/>
      <c r="B2733" s="6"/>
      <c r="C2733" s="4"/>
      <c r="D2733" s="4"/>
      <c r="E2733" s="4"/>
      <c r="F2733" s="4"/>
      <c r="G2733" s="4"/>
      <c r="H2733" s="4"/>
      <c r="I2733" s="4"/>
      <c r="J2733" s="18"/>
      <c r="K2733" s="4"/>
      <c r="L2733" s="19"/>
      <c r="M2733" s="20"/>
    </row>
    <row r="2734">
      <c r="A2734" s="6"/>
      <c r="B2734" s="6"/>
      <c r="C2734" s="4"/>
      <c r="D2734" s="4"/>
      <c r="E2734" s="4"/>
      <c r="F2734" s="4"/>
      <c r="G2734" s="4"/>
      <c r="H2734" s="4"/>
      <c r="I2734" s="4"/>
      <c r="J2734" s="18"/>
      <c r="K2734" s="4"/>
      <c r="L2734" s="19"/>
      <c r="M2734" s="20"/>
    </row>
    <row r="2735">
      <c r="A2735" s="6"/>
      <c r="B2735" s="6"/>
      <c r="C2735" s="4"/>
      <c r="D2735" s="4"/>
      <c r="E2735" s="4"/>
      <c r="F2735" s="4"/>
      <c r="G2735" s="4"/>
      <c r="H2735" s="4"/>
      <c r="I2735" s="4"/>
      <c r="J2735" s="18"/>
      <c r="K2735" s="4"/>
      <c r="L2735" s="19"/>
      <c r="M2735" s="20"/>
    </row>
    <row r="2736">
      <c r="A2736" s="6"/>
      <c r="B2736" s="6"/>
      <c r="C2736" s="4"/>
      <c r="D2736" s="4"/>
      <c r="E2736" s="4"/>
      <c r="F2736" s="4"/>
      <c r="G2736" s="4"/>
      <c r="H2736" s="4"/>
      <c r="I2736" s="4"/>
      <c r="J2736" s="18"/>
      <c r="K2736" s="4"/>
      <c r="L2736" s="19"/>
      <c r="M2736" s="20"/>
    </row>
    <row r="2737">
      <c r="A2737" s="6"/>
      <c r="B2737" s="6"/>
      <c r="C2737" s="4"/>
      <c r="D2737" s="4"/>
      <c r="E2737" s="4"/>
      <c r="F2737" s="4"/>
      <c r="G2737" s="4"/>
      <c r="H2737" s="4"/>
      <c r="I2737" s="4"/>
      <c r="J2737" s="18"/>
      <c r="K2737" s="4"/>
      <c r="L2737" s="19"/>
      <c r="M2737" s="20"/>
    </row>
    <row r="2738">
      <c r="A2738" s="6"/>
      <c r="B2738" s="6"/>
      <c r="C2738" s="4"/>
      <c r="D2738" s="4"/>
      <c r="E2738" s="4"/>
      <c r="F2738" s="4"/>
      <c r="G2738" s="4"/>
      <c r="H2738" s="4"/>
      <c r="I2738" s="4"/>
      <c r="J2738" s="18"/>
      <c r="K2738" s="4"/>
      <c r="L2738" s="19"/>
      <c r="M2738" s="20"/>
    </row>
    <row r="2739">
      <c r="A2739" s="6"/>
      <c r="B2739" s="6"/>
      <c r="C2739" s="4"/>
      <c r="D2739" s="4"/>
      <c r="E2739" s="4"/>
      <c r="F2739" s="4"/>
      <c r="G2739" s="4"/>
      <c r="H2739" s="4"/>
      <c r="I2739" s="4"/>
      <c r="J2739" s="18"/>
      <c r="K2739" s="4"/>
      <c r="L2739" s="19"/>
      <c r="M2739" s="20"/>
    </row>
    <row r="2740">
      <c r="A2740" s="6"/>
      <c r="B2740" s="6"/>
      <c r="C2740" s="4"/>
      <c r="D2740" s="4"/>
      <c r="E2740" s="4"/>
      <c r="F2740" s="4"/>
      <c r="G2740" s="4"/>
      <c r="H2740" s="4"/>
      <c r="I2740" s="4"/>
      <c r="J2740" s="18"/>
      <c r="K2740" s="4"/>
      <c r="L2740" s="19"/>
      <c r="M2740" s="20"/>
    </row>
    <row r="2741">
      <c r="A2741" s="6"/>
      <c r="B2741" s="6"/>
      <c r="C2741" s="4"/>
      <c r="D2741" s="4"/>
      <c r="E2741" s="4"/>
      <c r="F2741" s="4"/>
      <c r="G2741" s="4"/>
      <c r="H2741" s="4"/>
      <c r="I2741" s="4"/>
      <c r="J2741" s="18"/>
      <c r="K2741" s="4"/>
      <c r="L2741" s="19"/>
      <c r="M2741" s="20"/>
    </row>
    <row r="2742">
      <c r="A2742" s="6"/>
      <c r="B2742" s="6"/>
      <c r="C2742" s="4"/>
      <c r="D2742" s="4"/>
      <c r="E2742" s="4"/>
      <c r="F2742" s="4"/>
      <c r="G2742" s="4"/>
      <c r="H2742" s="4"/>
      <c r="I2742" s="4"/>
      <c r="J2742" s="18"/>
      <c r="K2742" s="4"/>
      <c r="L2742" s="19"/>
      <c r="M2742" s="20"/>
    </row>
    <row r="2743">
      <c r="A2743" s="6"/>
      <c r="B2743" s="6"/>
      <c r="C2743" s="4"/>
      <c r="D2743" s="4"/>
      <c r="E2743" s="4"/>
      <c r="F2743" s="4"/>
      <c r="G2743" s="4"/>
      <c r="H2743" s="4"/>
      <c r="I2743" s="4"/>
      <c r="J2743" s="18"/>
      <c r="K2743" s="4"/>
      <c r="L2743" s="19"/>
      <c r="M2743" s="20"/>
    </row>
    <row r="2744">
      <c r="A2744" s="6"/>
      <c r="B2744" s="6"/>
      <c r="C2744" s="4"/>
      <c r="D2744" s="4"/>
      <c r="E2744" s="4"/>
      <c r="F2744" s="4"/>
      <c r="G2744" s="4"/>
      <c r="H2744" s="4"/>
      <c r="I2744" s="4"/>
      <c r="J2744" s="18"/>
      <c r="K2744" s="4"/>
      <c r="L2744" s="19"/>
      <c r="M2744" s="20"/>
    </row>
    <row r="2745">
      <c r="A2745" s="6"/>
      <c r="B2745" s="6"/>
      <c r="C2745" s="4"/>
      <c r="D2745" s="4"/>
      <c r="E2745" s="4"/>
      <c r="F2745" s="4"/>
      <c r="G2745" s="4"/>
      <c r="H2745" s="4"/>
      <c r="I2745" s="4"/>
      <c r="J2745" s="18"/>
      <c r="K2745" s="4"/>
      <c r="L2745" s="19"/>
      <c r="M2745" s="20"/>
    </row>
    <row r="2746">
      <c r="A2746" s="6"/>
      <c r="B2746" s="6"/>
      <c r="C2746" s="4"/>
      <c r="D2746" s="4"/>
      <c r="E2746" s="4"/>
      <c r="F2746" s="4"/>
      <c r="G2746" s="4"/>
      <c r="H2746" s="4"/>
      <c r="I2746" s="4"/>
      <c r="J2746" s="18"/>
      <c r="K2746" s="4"/>
      <c r="L2746" s="19"/>
      <c r="M2746" s="20"/>
    </row>
    <row r="2747">
      <c r="A2747" s="6"/>
      <c r="B2747" s="6"/>
      <c r="C2747" s="4"/>
      <c r="D2747" s="4"/>
      <c r="E2747" s="4"/>
      <c r="F2747" s="4"/>
      <c r="G2747" s="4"/>
      <c r="H2747" s="4"/>
      <c r="I2747" s="4"/>
      <c r="J2747" s="18"/>
      <c r="K2747" s="4"/>
      <c r="L2747" s="19"/>
      <c r="M2747" s="20"/>
    </row>
    <row r="2748">
      <c r="A2748" s="6"/>
      <c r="B2748" s="6"/>
      <c r="C2748" s="4"/>
      <c r="D2748" s="4"/>
      <c r="E2748" s="4"/>
      <c r="F2748" s="4"/>
      <c r="G2748" s="4"/>
      <c r="H2748" s="4"/>
      <c r="I2748" s="4"/>
      <c r="J2748" s="18"/>
      <c r="K2748" s="4"/>
      <c r="L2748" s="19"/>
      <c r="M2748" s="20"/>
    </row>
    <row r="2749">
      <c r="A2749" s="6"/>
      <c r="B2749" s="6"/>
      <c r="C2749" s="4"/>
      <c r="D2749" s="4"/>
      <c r="E2749" s="4"/>
      <c r="F2749" s="4"/>
      <c r="G2749" s="4"/>
      <c r="H2749" s="4"/>
      <c r="I2749" s="4"/>
      <c r="J2749" s="18"/>
      <c r="K2749" s="4"/>
      <c r="L2749" s="19"/>
      <c r="M2749" s="20"/>
    </row>
    <row r="2750">
      <c r="A2750" s="6"/>
      <c r="B2750" s="6"/>
      <c r="C2750" s="4"/>
      <c r="D2750" s="4"/>
      <c r="E2750" s="4"/>
      <c r="F2750" s="4"/>
      <c r="G2750" s="4"/>
      <c r="H2750" s="4"/>
      <c r="I2750" s="4"/>
      <c r="J2750" s="18"/>
      <c r="K2750" s="4"/>
      <c r="L2750" s="19"/>
      <c r="M2750" s="20"/>
    </row>
    <row r="2751">
      <c r="A2751" s="6"/>
      <c r="B2751" s="6"/>
      <c r="C2751" s="4"/>
      <c r="D2751" s="4"/>
      <c r="E2751" s="4"/>
      <c r="F2751" s="4"/>
      <c r="G2751" s="4"/>
      <c r="H2751" s="4"/>
      <c r="I2751" s="4"/>
      <c r="J2751" s="18"/>
      <c r="K2751" s="4"/>
      <c r="L2751" s="19"/>
      <c r="M2751" s="20"/>
    </row>
    <row r="2752">
      <c r="A2752" s="6"/>
      <c r="B2752" s="6"/>
      <c r="C2752" s="4"/>
      <c r="D2752" s="4"/>
      <c r="E2752" s="4"/>
      <c r="F2752" s="4"/>
      <c r="G2752" s="4"/>
      <c r="H2752" s="4"/>
      <c r="I2752" s="4"/>
      <c r="J2752" s="18"/>
      <c r="K2752" s="4"/>
      <c r="L2752" s="19"/>
      <c r="M2752" s="20"/>
    </row>
    <row r="2753">
      <c r="A2753" s="6"/>
      <c r="B2753" s="6"/>
      <c r="C2753" s="4"/>
      <c r="D2753" s="4"/>
      <c r="E2753" s="4"/>
      <c r="F2753" s="4"/>
      <c r="G2753" s="4"/>
      <c r="H2753" s="4"/>
      <c r="I2753" s="4"/>
      <c r="J2753" s="18"/>
      <c r="K2753" s="4"/>
      <c r="L2753" s="19"/>
      <c r="M2753" s="20"/>
    </row>
    <row r="2754">
      <c r="A2754" s="6"/>
      <c r="B2754" s="6"/>
      <c r="C2754" s="4"/>
      <c r="D2754" s="4"/>
      <c r="E2754" s="4"/>
      <c r="F2754" s="4"/>
      <c r="G2754" s="4"/>
      <c r="H2754" s="4"/>
      <c r="I2754" s="4"/>
      <c r="J2754" s="18"/>
      <c r="K2754" s="4"/>
      <c r="L2754" s="19"/>
      <c r="M2754" s="20"/>
    </row>
    <row r="2755">
      <c r="A2755" s="6"/>
      <c r="B2755" s="6"/>
      <c r="C2755" s="4"/>
      <c r="D2755" s="4"/>
      <c r="E2755" s="4"/>
      <c r="F2755" s="4"/>
      <c r="G2755" s="4"/>
      <c r="H2755" s="4"/>
      <c r="I2755" s="4"/>
      <c r="J2755" s="18"/>
      <c r="K2755" s="4"/>
      <c r="L2755" s="19"/>
      <c r="M2755" s="20"/>
    </row>
    <row r="2756">
      <c r="A2756" s="6"/>
      <c r="B2756" s="6"/>
      <c r="C2756" s="4"/>
      <c r="D2756" s="4"/>
      <c r="E2756" s="4"/>
      <c r="F2756" s="4"/>
      <c r="G2756" s="4"/>
      <c r="H2756" s="4"/>
      <c r="I2756" s="4"/>
      <c r="J2756" s="18"/>
      <c r="K2756" s="4"/>
      <c r="L2756" s="19"/>
      <c r="M2756" s="20"/>
    </row>
    <row r="2757">
      <c r="A2757" s="6"/>
      <c r="B2757" s="6"/>
      <c r="C2757" s="4"/>
      <c r="D2757" s="4"/>
      <c r="E2757" s="4"/>
      <c r="F2757" s="4"/>
      <c r="G2757" s="4"/>
      <c r="H2757" s="4"/>
      <c r="I2757" s="4"/>
      <c r="J2757" s="18"/>
      <c r="K2757" s="4"/>
      <c r="L2757" s="19"/>
      <c r="M2757" s="20"/>
    </row>
    <row r="2758">
      <c r="A2758" s="6"/>
      <c r="B2758" s="6"/>
      <c r="C2758" s="4"/>
      <c r="D2758" s="4"/>
      <c r="E2758" s="4"/>
      <c r="F2758" s="4"/>
      <c r="G2758" s="4"/>
      <c r="H2758" s="4"/>
      <c r="I2758" s="4"/>
      <c r="J2758" s="18"/>
      <c r="K2758" s="4"/>
      <c r="L2758" s="19"/>
      <c r="M2758" s="20"/>
    </row>
    <row r="2759">
      <c r="A2759" s="6"/>
      <c r="B2759" s="6"/>
      <c r="C2759" s="4"/>
      <c r="D2759" s="4"/>
      <c r="E2759" s="4"/>
      <c r="F2759" s="4"/>
      <c r="G2759" s="4"/>
      <c r="H2759" s="4"/>
      <c r="I2759" s="4"/>
      <c r="J2759" s="18"/>
      <c r="K2759" s="4"/>
      <c r="L2759" s="19"/>
      <c r="M2759" s="20"/>
    </row>
    <row r="2760">
      <c r="A2760" s="6"/>
      <c r="B2760" s="6"/>
      <c r="C2760" s="4"/>
      <c r="D2760" s="4"/>
      <c r="E2760" s="4"/>
      <c r="F2760" s="4"/>
      <c r="G2760" s="4"/>
      <c r="H2760" s="4"/>
      <c r="I2760" s="4"/>
      <c r="J2760" s="18"/>
      <c r="K2760" s="4"/>
      <c r="L2760" s="19"/>
      <c r="M2760" s="20"/>
    </row>
    <row r="2761">
      <c r="A2761" s="6"/>
      <c r="B2761" s="6"/>
      <c r="C2761" s="4"/>
      <c r="D2761" s="4"/>
      <c r="E2761" s="4"/>
      <c r="F2761" s="4"/>
      <c r="G2761" s="4"/>
      <c r="H2761" s="4"/>
      <c r="I2761" s="4"/>
      <c r="J2761" s="18"/>
      <c r="K2761" s="4"/>
      <c r="L2761" s="19"/>
      <c r="M2761" s="20"/>
    </row>
    <row r="2762">
      <c r="A2762" s="6"/>
      <c r="B2762" s="6"/>
      <c r="C2762" s="4"/>
      <c r="D2762" s="4"/>
      <c r="E2762" s="4"/>
      <c r="F2762" s="4"/>
      <c r="G2762" s="4"/>
      <c r="H2762" s="4"/>
      <c r="I2762" s="4"/>
      <c r="J2762" s="18"/>
      <c r="K2762" s="4"/>
      <c r="L2762" s="19"/>
      <c r="M2762" s="20"/>
    </row>
    <row r="2763">
      <c r="A2763" s="6"/>
      <c r="B2763" s="6"/>
      <c r="C2763" s="4"/>
      <c r="D2763" s="4"/>
      <c r="E2763" s="4"/>
      <c r="F2763" s="4"/>
      <c r="G2763" s="4"/>
      <c r="H2763" s="4"/>
      <c r="I2763" s="4"/>
      <c r="J2763" s="18"/>
      <c r="K2763" s="4"/>
      <c r="L2763" s="19"/>
      <c r="M2763" s="20"/>
    </row>
    <row r="2764">
      <c r="A2764" s="6"/>
      <c r="B2764" s="6"/>
      <c r="C2764" s="4"/>
      <c r="D2764" s="4"/>
      <c r="E2764" s="4"/>
      <c r="F2764" s="4"/>
      <c r="G2764" s="4"/>
      <c r="H2764" s="4"/>
      <c r="I2764" s="4"/>
      <c r="J2764" s="18"/>
      <c r="K2764" s="4"/>
      <c r="L2764" s="19"/>
      <c r="M2764" s="20"/>
    </row>
    <row r="2765">
      <c r="A2765" s="6"/>
      <c r="B2765" s="6"/>
      <c r="C2765" s="4"/>
      <c r="D2765" s="4"/>
      <c r="E2765" s="4"/>
      <c r="F2765" s="4"/>
      <c r="G2765" s="4"/>
      <c r="H2765" s="4"/>
      <c r="I2765" s="4"/>
      <c r="J2765" s="18"/>
      <c r="K2765" s="4"/>
      <c r="L2765" s="19"/>
      <c r="M2765" s="20"/>
    </row>
    <row r="2766">
      <c r="A2766" s="6"/>
      <c r="B2766" s="6"/>
      <c r="C2766" s="4"/>
      <c r="D2766" s="4"/>
      <c r="E2766" s="4"/>
      <c r="F2766" s="4"/>
      <c r="G2766" s="4"/>
      <c r="H2766" s="4"/>
      <c r="I2766" s="4"/>
      <c r="J2766" s="18"/>
      <c r="K2766" s="4"/>
      <c r="L2766" s="19"/>
      <c r="M2766" s="20"/>
    </row>
    <row r="2767">
      <c r="A2767" s="6"/>
      <c r="B2767" s="6"/>
      <c r="C2767" s="4"/>
      <c r="D2767" s="4"/>
      <c r="E2767" s="4"/>
      <c r="F2767" s="4"/>
      <c r="G2767" s="4"/>
      <c r="H2767" s="4"/>
      <c r="I2767" s="4"/>
      <c r="J2767" s="18"/>
      <c r="K2767" s="4"/>
      <c r="L2767" s="19"/>
      <c r="M2767" s="20"/>
    </row>
    <row r="2768">
      <c r="A2768" s="6"/>
      <c r="B2768" s="6"/>
      <c r="C2768" s="4"/>
      <c r="D2768" s="4"/>
      <c r="E2768" s="4"/>
      <c r="F2768" s="4"/>
      <c r="G2768" s="4"/>
      <c r="H2768" s="4"/>
      <c r="I2768" s="4"/>
      <c r="J2768" s="18"/>
      <c r="K2768" s="4"/>
      <c r="L2768" s="19"/>
      <c r="M2768" s="20"/>
    </row>
    <row r="2769">
      <c r="A2769" s="6"/>
      <c r="B2769" s="6"/>
      <c r="C2769" s="4"/>
      <c r="D2769" s="4"/>
      <c r="E2769" s="4"/>
      <c r="F2769" s="4"/>
      <c r="G2769" s="4"/>
      <c r="H2769" s="4"/>
      <c r="I2769" s="4"/>
      <c r="J2769" s="18"/>
      <c r="K2769" s="4"/>
      <c r="L2769" s="19"/>
      <c r="M2769" s="20"/>
    </row>
    <row r="2770">
      <c r="A2770" s="6"/>
      <c r="B2770" s="6"/>
      <c r="C2770" s="4"/>
      <c r="D2770" s="4"/>
      <c r="E2770" s="4"/>
      <c r="F2770" s="4"/>
      <c r="G2770" s="4"/>
      <c r="H2770" s="4"/>
      <c r="I2770" s="4"/>
      <c r="J2770" s="18"/>
      <c r="K2770" s="4"/>
      <c r="L2770" s="19"/>
      <c r="M2770" s="20"/>
    </row>
    <row r="2771">
      <c r="A2771" s="6"/>
      <c r="B2771" s="6"/>
      <c r="C2771" s="4"/>
      <c r="D2771" s="4"/>
      <c r="E2771" s="4"/>
      <c r="F2771" s="4"/>
      <c r="G2771" s="4"/>
      <c r="H2771" s="4"/>
      <c r="I2771" s="4"/>
      <c r="J2771" s="18"/>
      <c r="K2771" s="4"/>
      <c r="L2771" s="19"/>
      <c r="M2771" s="20"/>
    </row>
    <row r="2772">
      <c r="A2772" s="6"/>
      <c r="B2772" s="6"/>
      <c r="C2772" s="4"/>
      <c r="D2772" s="4"/>
      <c r="E2772" s="4"/>
      <c r="F2772" s="4"/>
      <c r="G2772" s="4"/>
      <c r="H2772" s="4"/>
      <c r="I2772" s="4"/>
      <c r="J2772" s="18"/>
      <c r="K2772" s="4"/>
      <c r="L2772" s="19"/>
      <c r="M2772" s="20"/>
    </row>
    <row r="2773">
      <c r="A2773" s="6"/>
      <c r="B2773" s="6"/>
      <c r="C2773" s="4"/>
      <c r="D2773" s="4"/>
      <c r="E2773" s="4"/>
      <c r="F2773" s="4"/>
      <c r="G2773" s="4"/>
      <c r="H2773" s="4"/>
      <c r="I2773" s="4"/>
      <c r="J2773" s="18"/>
      <c r="K2773" s="4"/>
      <c r="L2773" s="19"/>
      <c r="M2773" s="20"/>
    </row>
    <row r="2774">
      <c r="A2774" s="6"/>
      <c r="B2774" s="6"/>
      <c r="C2774" s="4"/>
      <c r="D2774" s="4"/>
      <c r="E2774" s="4"/>
      <c r="F2774" s="4"/>
      <c r="G2774" s="4"/>
      <c r="H2774" s="4"/>
      <c r="I2774" s="4"/>
      <c r="J2774" s="18"/>
      <c r="K2774" s="4"/>
      <c r="L2774" s="19"/>
      <c r="M2774" s="20"/>
    </row>
    <row r="2775">
      <c r="A2775" s="6"/>
      <c r="B2775" s="6"/>
      <c r="C2775" s="4"/>
      <c r="D2775" s="4"/>
      <c r="E2775" s="4"/>
      <c r="F2775" s="4"/>
      <c r="G2775" s="4"/>
      <c r="H2775" s="4"/>
      <c r="I2775" s="4"/>
      <c r="J2775" s="18"/>
      <c r="K2775" s="4"/>
      <c r="L2775" s="19"/>
      <c r="M2775" s="20"/>
    </row>
    <row r="2776">
      <c r="A2776" s="6"/>
      <c r="B2776" s="6"/>
      <c r="C2776" s="4"/>
      <c r="D2776" s="4"/>
      <c r="E2776" s="4"/>
      <c r="F2776" s="4"/>
      <c r="G2776" s="4"/>
      <c r="H2776" s="4"/>
      <c r="I2776" s="4"/>
      <c r="J2776" s="18"/>
      <c r="K2776" s="4"/>
      <c r="L2776" s="19"/>
      <c r="M2776" s="20"/>
    </row>
    <row r="2777">
      <c r="A2777" s="6"/>
      <c r="B2777" s="6"/>
      <c r="C2777" s="4"/>
      <c r="D2777" s="4"/>
      <c r="E2777" s="4"/>
      <c r="F2777" s="4"/>
      <c r="G2777" s="4"/>
      <c r="H2777" s="4"/>
      <c r="I2777" s="4"/>
      <c r="J2777" s="18"/>
      <c r="K2777" s="4"/>
      <c r="L2777" s="19"/>
      <c r="M2777" s="20"/>
    </row>
    <row r="2778">
      <c r="A2778" s="6"/>
      <c r="B2778" s="6"/>
      <c r="C2778" s="4"/>
      <c r="D2778" s="4"/>
      <c r="E2778" s="4"/>
      <c r="F2778" s="4"/>
      <c r="G2778" s="4"/>
      <c r="H2778" s="4"/>
      <c r="I2778" s="4"/>
      <c r="J2778" s="18"/>
      <c r="K2778" s="4"/>
      <c r="L2778" s="19"/>
      <c r="M2778" s="20"/>
    </row>
    <row r="2779">
      <c r="A2779" s="6"/>
      <c r="B2779" s="6"/>
      <c r="C2779" s="4"/>
      <c r="D2779" s="4"/>
      <c r="E2779" s="4"/>
      <c r="F2779" s="4"/>
      <c r="G2779" s="4"/>
      <c r="H2779" s="4"/>
      <c r="I2779" s="4"/>
      <c r="J2779" s="18"/>
      <c r="K2779" s="4"/>
      <c r="L2779" s="19"/>
      <c r="M2779" s="20"/>
    </row>
    <row r="2780">
      <c r="A2780" s="6"/>
      <c r="B2780" s="6"/>
      <c r="C2780" s="4"/>
      <c r="D2780" s="4"/>
      <c r="E2780" s="4"/>
      <c r="F2780" s="4"/>
      <c r="G2780" s="4"/>
      <c r="H2780" s="4"/>
      <c r="I2780" s="4"/>
      <c r="J2780" s="18"/>
      <c r="K2780" s="4"/>
      <c r="L2780" s="19"/>
      <c r="M2780" s="20"/>
    </row>
    <row r="2781">
      <c r="A2781" s="6"/>
      <c r="B2781" s="6"/>
      <c r="C2781" s="4"/>
      <c r="D2781" s="4"/>
      <c r="E2781" s="4"/>
      <c r="F2781" s="4"/>
      <c r="G2781" s="4"/>
      <c r="H2781" s="4"/>
      <c r="I2781" s="4"/>
      <c r="J2781" s="18"/>
      <c r="K2781" s="4"/>
      <c r="L2781" s="19"/>
      <c r="M2781" s="20"/>
    </row>
    <row r="2782">
      <c r="A2782" s="6"/>
      <c r="B2782" s="6"/>
      <c r="C2782" s="4"/>
      <c r="D2782" s="4"/>
      <c r="E2782" s="4"/>
      <c r="F2782" s="4"/>
      <c r="G2782" s="4"/>
      <c r="H2782" s="4"/>
      <c r="I2782" s="4"/>
      <c r="J2782" s="18"/>
      <c r="K2782" s="4"/>
      <c r="L2782" s="19"/>
      <c r="M2782" s="20"/>
    </row>
    <row r="2783">
      <c r="A2783" s="6"/>
      <c r="B2783" s="6"/>
      <c r="C2783" s="4"/>
      <c r="D2783" s="4"/>
      <c r="E2783" s="4"/>
      <c r="F2783" s="4"/>
      <c r="G2783" s="4"/>
      <c r="H2783" s="4"/>
      <c r="I2783" s="4"/>
      <c r="J2783" s="18"/>
      <c r="K2783" s="4"/>
      <c r="L2783" s="19"/>
      <c r="M2783" s="20"/>
    </row>
    <row r="2784">
      <c r="A2784" s="6"/>
      <c r="B2784" s="6"/>
      <c r="C2784" s="4"/>
      <c r="D2784" s="4"/>
      <c r="E2784" s="4"/>
      <c r="F2784" s="4"/>
      <c r="G2784" s="4"/>
      <c r="H2784" s="4"/>
      <c r="I2784" s="4"/>
      <c r="J2784" s="18"/>
      <c r="K2784" s="4"/>
      <c r="L2784" s="19"/>
      <c r="M2784" s="20"/>
    </row>
    <row r="2785">
      <c r="A2785" s="6"/>
      <c r="B2785" s="6"/>
      <c r="C2785" s="4"/>
      <c r="D2785" s="4"/>
      <c r="E2785" s="4"/>
      <c r="F2785" s="4"/>
      <c r="G2785" s="4"/>
      <c r="H2785" s="4"/>
      <c r="I2785" s="4"/>
      <c r="J2785" s="18"/>
      <c r="K2785" s="4"/>
      <c r="L2785" s="19"/>
      <c r="M2785" s="20"/>
    </row>
    <row r="2786">
      <c r="A2786" s="6"/>
      <c r="B2786" s="6"/>
      <c r="C2786" s="4"/>
      <c r="D2786" s="4"/>
      <c r="E2786" s="4"/>
      <c r="F2786" s="4"/>
      <c r="G2786" s="4"/>
      <c r="H2786" s="4"/>
      <c r="I2786" s="4"/>
      <c r="J2786" s="18"/>
      <c r="K2786" s="4"/>
      <c r="L2786" s="19"/>
      <c r="M2786" s="20"/>
    </row>
    <row r="2787">
      <c r="A2787" s="6"/>
      <c r="B2787" s="6"/>
      <c r="C2787" s="4"/>
      <c r="D2787" s="4"/>
      <c r="E2787" s="4"/>
      <c r="F2787" s="4"/>
      <c r="G2787" s="4"/>
      <c r="H2787" s="4"/>
      <c r="I2787" s="4"/>
      <c r="J2787" s="18"/>
      <c r="K2787" s="4"/>
      <c r="L2787" s="19"/>
      <c r="M2787" s="20"/>
    </row>
    <row r="2788">
      <c r="A2788" s="6"/>
      <c r="B2788" s="6"/>
      <c r="C2788" s="4"/>
      <c r="D2788" s="4"/>
      <c r="E2788" s="4"/>
      <c r="F2788" s="4"/>
      <c r="G2788" s="4"/>
      <c r="H2788" s="4"/>
      <c r="I2788" s="4"/>
      <c r="J2788" s="18"/>
      <c r="K2788" s="4"/>
      <c r="L2788" s="19"/>
      <c r="M2788" s="20"/>
    </row>
    <row r="2789">
      <c r="A2789" s="6"/>
      <c r="B2789" s="6"/>
      <c r="C2789" s="4"/>
      <c r="D2789" s="4"/>
      <c r="E2789" s="4"/>
      <c r="F2789" s="4"/>
      <c r="G2789" s="4"/>
      <c r="H2789" s="4"/>
      <c r="I2789" s="4"/>
      <c r="J2789" s="18"/>
      <c r="K2789" s="4"/>
      <c r="L2789" s="19"/>
      <c r="M2789" s="20"/>
    </row>
    <row r="2790">
      <c r="A2790" s="6"/>
      <c r="B2790" s="6"/>
      <c r="C2790" s="4"/>
      <c r="D2790" s="4"/>
      <c r="E2790" s="4"/>
      <c r="F2790" s="4"/>
      <c r="G2790" s="4"/>
      <c r="H2790" s="4"/>
      <c r="I2790" s="4"/>
      <c r="J2790" s="18"/>
      <c r="K2790" s="4"/>
      <c r="L2790" s="19"/>
      <c r="M2790" s="20"/>
    </row>
    <row r="2791">
      <c r="A2791" s="6"/>
      <c r="B2791" s="6"/>
      <c r="C2791" s="4"/>
      <c r="D2791" s="4"/>
      <c r="E2791" s="4"/>
      <c r="F2791" s="4"/>
      <c r="G2791" s="4"/>
      <c r="H2791" s="4"/>
      <c r="I2791" s="4"/>
      <c r="J2791" s="18"/>
      <c r="K2791" s="4"/>
      <c r="L2791" s="19"/>
      <c r="M2791" s="20"/>
    </row>
    <row r="2792">
      <c r="A2792" s="6"/>
      <c r="B2792" s="6"/>
      <c r="C2792" s="4"/>
      <c r="D2792" s="4"/>
      <c r="E2792" s="4"/>
      <c r="F2792" s="4"/>
      <c r="G2792" s="4"/>
      <c r="H2792" s="4"/>
      <c r="I2792" s="4"/>
      <c r="J2792" s="18"/>
      <c r="K2792" s="4"/>
      <c r="L2792" s="19"/>
      <c r="M2792" s="20"/>
    </row>
    <row r="2793">
      <c r="A2793" s="6"/>
      <c r="B2793" s="6"/>
      <c r="C2793" s="4"/>
      <c r="D2793" s="4"/>
      <c r="E2793" s="4"/>
      <c r="F2793" s="4"/>
      <c r="G2793" s="4"/>
      <c r="H2793" s="4"/>
      <c r="I2793" s="4"/>
      <c r="J2793" s="18"/>
      <c r="K2793" s="4"/>
      <c r="L2793" s="19"/>
      <c r="M2793" s="20"/>
    </row>
    <row r="2794">
      <c r="A2794" s="6"/>
      <c r="B2794" s="6"/>
      <c r="C2794" s="4"/>
      <c r="D2794" s="4"/>
      <c r="E2794" s="4"/>
      <c r="F2794" s="4"/>
      <c r="G2794" s="4"/>
      <c r="H2794" s="4"/>
      <c r="I2794" s="4"/>
      <c r="J2794" s="18"/>
      <c r="K2794" s="4"/>
      <c r="L2794" s="19"/>
      <c r="M2794" s="20"/>
    </row>
    <row r="2795">
      <c r="A2795" s="6"/>
      <c r="B2795" s="6"/>
      <c r="C2795" s="4"/>
      <c r="D2795" s="4"/>
      <c r="E2795" s="4"/>
      <c r="F2795" s="4"/>
      <c r="G2795" s="4"/>
      <c r="H2795" s="4"/>
      <c r="I2795" s="4"/>
      <c r="J2795" s="18"/>
      <c r="K2795" s="4"/>
      <c r="L2795" s="19"/>
      <c r="M2795" s="20"/>
    </row>
    <row r="2796">
      <c r="A2796" s="6"/>
      <c r="B2796" s="6"/>
      <c r="C2796" s="4"/>
      <c r="D2796" s="4"/>
      <c r="E2796" s="4"/>
      <c r="F2796" s="4"/>
      <c r="G2796" s="4"/>
      <c r="H2796" s="4"/>
      <c r="I2796" s="4"/>
      <c r="J2796" s="18"/>
      <c r="K2796" s="4"/>
      <c r="L2796" s="19"/>
      <c r="M2796" s="20"/>
    </row>
    <row r="2797">
      <c r="A2797" s="6"/>
      <c r="B2797" s="6"/>
      <c r="C2797" s="4"/>
      <c r="D2797" s="4"/>
      <c r="E2797" s="4"/>
      <c r="F2797" s="4"/>
      <c r="G2797" s="4"/>
      <c r="H2797" s="4"/>
      <c r="I2797" s="4"/>
      <c r="J2797" s="18"/>
      <c r="K2797" s="4"/>
      <c r="L2797" s="19"/>
      <c r="M2797" s="20"/>
    </row>
    <row r="2798">
      <c r="A2798" s="6"/>
      <c r="B2798" s="6"/>
      <c r="C2798" s="4"/>
      <c r="D2798" s="4"/>
      <c r="E2798" s="4"/>
      <c r="F2798" s="4"/>
      <c r="G2798" s="4"/>
      <c r="H2798" s="4"/>
      <c r="I2798" s="4"/>
      <c r="J2798" s="18"/>
      <c r="K2798" s="4"/>
      <c r="L2798" s="19"/>
      <c r="M2798" s="20"/>
    </row>
    <row r="2799">
      <c r="A2799" s="6"/>
      <c r="B2799" s="6"/>
      <c r="C2799" s="4"/>
      <c r="D2799" s="4"/>
      <c r="E2799" s="4"/>
      <c r="F2799" s="4"/>
      <c r="G2799" s="4"/>
      <c r="H2799" s="4"/>
      <c r="I2799" s="4"/>
      <c r="J2799" s="18"/>
      <c r="K2799" s="4"/>
      <c r="L2799" s="19"/>
      <c r="M2799" s="20"/>
    </row>
    <row r="2800">
      <c r="A2800" s="6"/>
      <c r="B2800" s="6"/>
      <c r="C2800" s="4"/>
      <c r="D2800" s="4"/>
      <c r="E2800" s="4"/>
      <c r="F2800" s="4"/>
      <c r="G2800" s="4"/>
      <c r="H2800" s="4"/>
      <c r="I2800" s="4"/>
      <c r="J2800" s="18"/>
      <c r="K2800" s="4"/>
      <c r="L2800" s="19"/>
      <c r="M2800" s="20"/>
    </row>
    <row r="2801">
      <c r="A2801" s="6"/>
      <c r="B2801" s="6"/>
      <c r="C2801" s="4"/>
      <c r="D2801" s="4"/>
      <c r="E2801" s="4"/>
      <c r="F2801" s="4"/>
      <c r="G2801" s="4"/>
      <c r="H2801" s="4"/>
      <c r="I2801" s="4"/>
      <c r="J2801" s="18"/>
      <c r="K2801" s="4"/>
      <c r="L2801" s="19"/>
      <c r="M2801" s="20"/>
    </row>
    <row r="2802">
      <c r="A2802" s="6"/>
      <c r="B2802" s="6"/>
      <c r="C2802" s="4"/>
      <c r="D2802" s="4"/>
      <c r="E2802" s="4"/>
      <c r="F2802" s="4"/>
      <c r="G2802" s="4"/>
      <c r="H2802" s="4"/>
      <c r="I2802" s="4"/>
      <c r="J2802" s="18"/>
      <c r="K2802" s="4"/>
      <c r="L2802" s="19"/>
      <c r="M2802" s="20"/>
    </row>
    <row r="2803">
      <c r="A2803" s="6"/>
      <c r="B2803" s="6"/>
      <c r="C2803" s="4"/>
      <c r="D2803" s="4"/>
      <c r="E2803" s="4"/>
      <c r="F2803" s="4"/>
      <c r="G2803" s="4"/>
      <c r="H2803" s="4"/>
      <c r="I2803" s="4"/>
      <c r="J2803" s="18"/>
      <c r="K2803" s="4"/>
      <c r="L2803" s="19"/>
      <c r="M2803" s="20"/>
    </row>
    <row r="2804">
      <c r="A2804" s="6"/>
      <c r="B2804" s="6"/>
      <c r="C2804" s="4"/>
      <c r="D2804" s="4"/>
      <c r="E2804" s="4"/>
      <c r="F2804" s="4"/>
      <c r="G2804" s="4"/>
      <c r="H2804" s="4"/>
      <c r="I2804" s="4"/>
      <c r="J2804" s="18"/>
      <c r="K2804" s="4"/>
      <c r="L2804" s="19"/>
      <c r="M2804" s="20"/>
    </row>
    <row r="2805">
      <c r="A2805" s="6"/>
      <c r="B2805" s="6"/>
      <c r="C2805" s="4"/>
      <c r="D2805" s="4"/>
      <c r="E2805" s="4"/>
      <c r="F2805" s="4"/>
      <c r="G2805" s="4"/>
      <c r="H2805" s="4"/>
      <c r="I2805" s="4"/>
      <c r="J2805" s="18"/>
      <c r="K2805" s="4"/>
      <c r="L2805" s="19"/>
      <c r="M2805" s="20"/>
    </row>
    <row r="2806">
      <c r="A2806" s="6"/>
      <c r="B2806" s="6"/>
      <c r="C2806" s="4"/>
      <c r="D2806" s="4"/>
      <c r="E2806" s="4"/>
      <c r="F2806" s="4"/>
      <c r="G2806" s="4"/>
      <c r="H2806" s="4"/>
      <c r="I2806" s="4"/>
      <c r="J2806" s="18"/>
      <c r="K2806" s="4"/>
      <c r="L2806" s="19"/>
      <c r="M2806" s="20"/>
    </row>
    <row r="2807">
      <c r="A2807" s="6"/>
      <c r="B2807" s="6"/>
      <c r="C2807" s="4"/>
      <c r="D2807" s="4"/>
      <c r="E2807" s="4"/>
      <c r="F2807" s="4"/>
      <c r="G2807" s="4"/>
      <c r="H2807" s="4"/>
      <c r="I2807" s="4"/>
      <c r="J2807" s="18"/>
      <c r="K2807" s="4"/>
      <c r="L2807" s="19"/>
      <c r="M2807" s="20"/>
    </row>
    <row r="2808">
      <c r="A2808" s="6"/>
      <c r="B2808" s="6"/>
      <c r="C2808" s="4"/>
      <c r="D2808" s="4"/>
      <c r="E2808" s="4"/>
      <c r="F2808" s="4"/>
      <c r="G2808" s="4"/>
      <c r="H2808" s="4"/>
      <c r="I2808" s="4"/>
      <c r="J2808" s="18"/>
      <c r="K2808" s="4"/>
      <c r="L2808" s="19"/>
      <c r="M2808" s="20"/>
    </row>
    <row r="2809">
      <c r="A2809" s="6"/>
      <c r="B2809" s="6"/>
      <c r="C2809" s="4"/>
      <c r="D2809" s="4"/>
      <c r="E2809" s="4"/>
      <c r="F2809" s="4"/>
      <c r="G2809" s="4"/>
      <c r="H2809" s="4"/>
      <c r="I2809" s="4"/>
      <c r="J2809" s="18"/>
      <c r="K2809" s="4"/>
      <c r="L2809" s="19"/>
      <c r="M2809" s="20"/>
    </row>
    <row r="2810">
      <c r="A2810" s="6"/>
      <c r="B2810" s="6"/>
      <c r="C2810" s="4"/>
      <c r="D2810" s="4"/>
      <c r="E2810" s="4"/>
      <c r="F2810" s="4"/>
      <c r="G2810" s="4"/>
      <c r="H2810" s="4"/>
      <c r="I2810" s="4"/>
      <c r="J2810" s="18"/>
      <c r="K2810" s="4"/>
      <c r="L2810" s="19"/>
      <c r="M2810" s="20"/>
    </row>
    <row r="2811">
      <c r="A2811" s="6"/>
      <c r="B2811" s="6"/>
      <c r="C2811" s="4"/>
      <c r="D2811" s="4"/>
      <c r="E2811" s="4"/>
      <c r="F2811" s="4"/>
      <c r="G2811" s="4"/>
      <c r="H2811" s="4"/>
      <c r="I2811" s="4"/>
      <c r="J2811" s="18"/>
      <c r="K2811" s="4"/>
      <c r="L2811" s="19"/>
      <c r="M2811" s="20"/>
    </row>
    <row r="2812">
      <c r="A2812" s="6"/>
      <c r="B2812" s="6"/>
      <c r="C2812" s="4"/>
      <c r="D2812" s="4"/>
      <c r="E2812" s="4"/>
      <c r="F2812" s="4"/>
      <c r="G2812" s="4"/>
      <c r="H2812" s="4"/>
      <c r="I2812" s="4"/>
      <c r="J2812" s="18"/>
      <c r="K2812" s="4"/>
      <c r="L2812" s="19"/>
      <c r="M2812" s="20"/>
    </row>
    <row r="2813">
      <c r="A2813" s="6"/>
      <c r="B2813" s="6"/>
      <c r="C2813" s="4"/>
      <c r="D2813" s="4"/>
      <c r="E2813" s="4"/>
      <c r="F2813" s="4"/>
      <c r="G2813" s="4"/>
      <c r="H2813" s="4"/>
      <c r="I2813" s="4"/>
      <c r="J2813" s="18"/>
      <c r="K2813" s="4"/>
      <c r="L2813" s="19"/>
      <c r="M2813" s="20"/>
    </row>
    <row r="2814">
      <c r="A2814" s="6"/>
      <c r="B2814" s="6"/>
      <c r="C2814" s="4"/>
      <c r="D2814" s="4"/>
      <c r="E2814" s="4"/>
      <c r="F2814" s="4"/>
      <c r="G2814" s="4"/>
      <c r="H2814" s="4"/>
      <c r="I2814" s="4"/>
      <c r="J2814" s="18"/>
      <c r="K2814" s="4"/>
      <c r="L2814" s="19"/>
      <c r="M2814" s="20"/>
    </row>
    <row r="2815">
      <c r="A2815" s="6"/>
      <c r="B2815" s="6"/>
      <c r="C2815" s="4"/>
      <c r="D2815" s="4"/>
      <c r="E2815" s="4"/>
      <c r="F2815" s="4"/>
      <c r="G2815" s="4"/>
      <c r="H2815" s="4"/>
      <c r="I2815" s="4"/>
      <c r="J2815" s="18"/>
      <c r="K2815" s="4"/>
      <c r="L2815" s="19"/>
      <c r="M2815" s="20"/>
    </row>
    <row r="2816">
      <c r="A2816" s="6"/>
      <c r="B2816" s="6"/>
      <c r="C2816" s="4"/>
      <c r="D2816" s="4"/>
      <c r="E2816" s="4"/>
      <c r="F2816" s="4"/>
      <c r="G2816" s="4"/>
      <c r="H2816" s="4"/>
      <c r="I2816" s="4"/>
      <c r="J2816" s="18"/>
      <c r="K2816" s="4"/>
      <c r="L2816" s="19"/>
      <c r="M2816" s="20"/>
    </row>
    <row r="2817">
      <c r="A2817" s="6"/>
      <c r="B2817" s="6"/>
      <c r="C2817" s="4"/>
      <c r="D2817" s="4"/>
      <c r="E2817" s="4"/>
      <c r="F2817" s="4"/>
      <c r="G2817" s="4"/>
      <c r="H2817" s="4"/>
      <c r="I2817" s="4"/>
      <c r="J2817" s="18"/>
      <c r="K2817" s="4"/>
      <c r="L2817" s="19"/>
      <c r="M2817" s="20"/>
    </row>
    <row r="2818">
      <c r="A2818" s="6"/>
      <c r="B2818" s="6"/>
      <c r="C2818" s="4"/>
      <c r="D2818" s="4"/>
      <c r="E2818" s="4"/>
      <c r="F2818" s="4"/>
      <c r="G2818" s="4"/>
      <c r="H2818" s="4"/>
      <c r="I2818" s="4"/>
      <c r="J2818" s="18"/>
      <c r="K2818" s="4"/>
      <c r="L2818" s="19"/>
      <c r="M2818" s="20"/>
    </row>
    <row r="2819">
      <c r="A2819" s="6"/>
      <c r="B2819" s="6"/>
      <c r="C2819" s="4"/>
      <c r="D2819" s="4"/>
      <c r="E2819" s="4"/>
      <c r="F2819" s="4"/>
      <c r="G2819" s="4"/>
      <c r="H2819" s="4"/>
      <c r="I2819" s="4"/>
      <c r="J2819" s="18"/>
      <c r="K2819" s="4"/>
      <c r="L2819" s="19"/>
      <c r="M2819" s="20"/>
    </row>
    <row r="2820">
      <c r="A2820" s="6"/>
      <c r="B2820" s="6"/>
      <c r="C2820" s="4"/>
      <c r="D2820" s="4"/>
      <c r="E2820" s="4"/>
      <c r="F2820" s="4"/>
      <c r="G2820" s="4"/>
      <c r="H2820" s="4"/>
      <c r="I2820" s="4"/>
      <c r="J2820" s="18"/>
      <c r="K2820" s="4"/>
      <c r="L2820" s="19"/>
      <c r="M2820" s="20"/>
    </row>
    <row r="2821">
      <c r="A2821" s="6"/>
      <c r="B2821" s="6"/>
      <c r="C2821" s="4"/>
      <c r="D2821" s="4"/>
      <c r="E2821" s="4"/>
      <c r="F2821" s="4"/>
      <c r="G2821" s="4"/>
      <c r="H2821" s="4"/>
      <c r="I2821" s="4"/>
      <c r="J2821" s="18"/>
      <c r="K2821" s="4"/>
      <c r="L2821" s="19"/>
      <c r="M2821" s="20"/>
    </row>
    <row r="2822">
      <c r="A2822" s="6"/>
      <c r="B2822" s="6"/>
      <c r="C2822" s="4"/>
      <c r="D2822" s="4"/>
      <c r="E2822" s="4"/>
      <c r="F2822" s="4"/>
      <c r="G2822" s="4"/>
      <c r="H2822" s="4"/>
      <c r="I2822" s="4"/>
      <c r="J2822" s="18"/>
      <c r="K2822" s="4"/>
      <c r="L2822" s="19"/>
      <c r="M2822" s="20"/>
    </row>
    <row r="2823">
      <c r="A2823" s="6"/>
      <c r="B2823" s="6"/>
      <c r="C2823" s="4"/>
      <c r="D2823" s="4"/>
      <c r="E2823" s="4"/>
      <c r="F2823" s="4"/>
      <c r="G2823" s="4"/>
      <c r="H2823" s="4"/>
      <c r="I2823" s="4"/>
      <c r="J2823" s="18"/>
      <c r="K2823" s="4"/>
      <c r="L2823" s="19"/>
      <c r="M2823" s="20"/>
    </row>
    <row r="2824">
      <c r="A2824" s="6"/>
      <c r="B2824" s="6"/>
      <c r="C2824" s="4"/>
      <c r="D2824" s="4"/>
      <c r="E2824" s="4"/>
      <c r="F2824" s="4"/>
      <c r="G2824" s="4"/>
      <c r="H2824" s="4"/>
      <c r="I2824" s="4"/>
      <c r="J2824" s="18"/>
      <c r="K2824" s="4"/>
      <c r="L2824" s="19"/>
      <c r="M2824" s="20"/>
    </row>
    <row r="2825">
      <c r="A2825" s="6"/>
      <c r="B2825" s="6"/>
      <c r="C2825" s="4"/>
      <c r="D2825" s="4"/>
      <c r="E2825" s="4"/>
      <c r="F2825" s="4"/>
      <c r="G2825" s="4"/>
      <c r="H2825" s="4"/>
      <c r="I2825" s="4"/>
      <c r="J2825" s="18"/>
      <c r="K2825" s="4"/>
      <c r="L2825" s="19"/>
      <c r="M2825" s="20"/>
    </row>
    <row r="2826">
      <c r="A2826" s="6"/>
      <c r="B2826" s="6"/>
      <c r="C2826" s="4"/>
      <c r="D2826" s="4"/>
      <c r="E2826" s="4"/>
      <c r="F2826" s="4"/>
      <c r="G2826" s="4"/>
      <c r="H2826" s="4"/>
      <c r="I2826" s="4"/>
      <c r="J2826" s="18"/>
      <c r="K2826" s="4"/>
      <c r="L2826" s="19"/>
      <c r="M2826" s="20"/>
    </row>
    <row r="2827">
      <c r="A2827" s="6"/>
      <c r="B2827" s="6"/>
      <c r="C2827" s="4"/>
      <c r="D2827" s="4"/>
      <c r="E2827" s="4"/>
      <c r="F2827" s="4"/>
      <c r="G2827" s="4"/>
      <c r="H2827" s="4"/>
      <c r="I2827" s="4"/>
      <c r="J2827" s="18"/>
      <c r="K2827" s="4"/>
      <c r="L2827" s="19"/>
      <c r="M2827" s="20"/>
    </row>
    <row r="2828">
      <c r="A2828" s="6"/>
      <c r="B2828" s="6"/>
      <c r="C2828" s="4"/>
      <c r="D2828" s="4"/>
      <c r="E2828" s="4"/>
      <c r="F2828" s="4"/>
      <c r="G2828" s="4"/>
      <c r="H2828" s="4"/>
      <c r="I2828" s="4"/>
      <c r="J2828" s="18"/>
      <c r="K2828" s="4"/>
      <c r="L2828" s="19"/>
      <c r="M2828" s="20"/>
    </row>
    <row r="2829">
      <c r="A2829" s="6"/>
      <c r="B2829" s="6"/>
      <c r="C2829" s="4"/>
      <c r="D2829" s="4"/>
      <c r="E2829" s="4"/>
      <c r="F2829" s="4"/>
      <c r="G2829" s="4"/>
      <c r="H2829" s="4"/>
      <c r="I2829" s="4"/>
      <c r="J2829" s="18"/>
      <c r="K2829" s="4"/>
      <c r="L2829" s="19"/>
      <c r="M2829" s="20"/>
    </row>
    <row r="2830">
      <c r="A2830" s="6"/>
      <c r="B2830" s="6"/>
      <c r="C2830" s="4"/>
      <c r="D2830" s="4"/>
      <c r="E2830" s="4"/>
      <c r="F2830" s="4"/>
      <c r="G2830" s="4"/>
      <c r="H2830" s="4"/>
      <c r="I2830" s="4"/>
      <c r="J2830" s="18"/>
      <c r="K2830" s="4"/>
      <c r="L2830" s="19"/>
      <c r="M2830" s="20"/>
    </row>
    <row r="2831">
      <c r="A2831" s="6"/>
      <c r="B2831" s="6"/>
      <c r="C2831" s="4"/>
      <c r="D2831" s="4"/>
      <c r="E2831" s="4"/>
      <c r="F2831" s="4"/>
      <c r="G2831" s="4"/>
      <c r="H2831" s="4"/>
      <c r="I2831" s="4"/>
      <c r="J2831" s="18"/>
      <c r="K2831" s="4"/>
      <c r="L2831" s="19"/>
      <c r="M2831" s="20"/>
    </row>
    <row r="2832">
      <c r="A2832" s="6"/>
      <c r="B2832" s="6"/>
      <c r="C2832" s="4"/>
      <c r="D2832" s="4"/>
      <c r="E2832" s="4"/>
      <c r="F2832" s="4"/>
      <c r="G2832" s="4"/>
      <c r="H2832" s="4"/>
      <c r="I2832" s="4"/>
      <c r="J2832" s="18"/>
      <c r="K2832" s="4"/>
      <c r="L2832" s="19"/>
      <c r="M2832" s="20"/>
    </row>
    <row r="2833">
      <c r="A2833" s="6"/>
      <c r="B2833" s="6"/>
      <c r="C2833" s="4"/>
      <c r="D2833" s="4"/>
      <c r="E2833" s="4"/>
      <c r="F2833" s="4"/>
      <c r="G2833" s="4"/>
      <c r="H2833" s="4"/>
      <c r="I2833" s="4"/>
      <c r="J2833" s="18"/>
      <c r="K2833" s="4"/>
      <c r="L2833" s="19"/>
      <c r="M2833" s="20"/>
    </row>
    <row r="2834">
      <c r="A2834" s="6"/>
      <c r="B2834" s="6"/>
      <c r="C2834" s="4"/>
      <c r="D2834" s="4"/>
      <c r="E2834" s="4"/>
      <c r="F2834" s="4"/>
      <c r="G2834" s="4"/>
      <c r="H2834" s="4"/>
      <c r="I2834" s="4"/>
      <c r="J2834" s="18"/>
      <c r="K2834" s="4"/>
      <c r="L2834" s="19"/>
      <c r="M2834" s="20"/>
    </row>
    <row r="2835">
      <c r="A2835" s="6"/>
      <c r="B2835" s="6"/>
      <c r="C2835" s="4"/>
      <c r="D2835" s="4"/>
      <c r="E2835" s="4"/>
      <c r="F2835" s="4"/>
      <c r="G2835" s="4"/>
      <c r="H2835" s="4"/>
      <c r="I2835" s="4"/>
      <c r="J2835" s="18"/>
      <c r="K2835" s="4"/>
      <c r="L2835" s="19"/>
      <c r="M2835" s="20"/>
    </row>
    <row r="2836">
      <c r="A2836" s="6"/>
      <c r="B2836" s="6"/>
      <c r="C2836" s="4"/>
      <c r="D2836" s="4"/>
      <c r="E2836" s="4"/>
      <c r="F2836" s="4"/>
      <c r="G2836" s="4"/>
      <c r="H2836" s="4"/>
      <c r="I2836" s="4"/>
      <c r="J2836" s="18"/>
      <c r="K2836" s="4"/>
      <c r="L2836" s="19"/>
      <c r="M2836" s="20"/>
    </row>
    <row r="2837">
      <c r="A2837" s="6"/>
      <c r="B2837" s="6"/>
      <c r="C2837" s="4"/>
      <c r="D2837" s="4"/>
      <c r="E2837" s="4"/>
      <c r="F2837" s="4"/>
      <c r="G2837" s="4"/>
      <c r="H2837" s="4"/>
      <c r="I2837" s="4"/>
      <c r="J2837" s="18"/>
      <c r="K2837" s="4"/>
      <c r="L2837" s="19"/>
      <c r="M2837" s="20"/>
    </row>
    <row r="2838">
      <c r="A2838" s="6"/>
      <c r="B2838" s="6"/>
      <c r="C2838" s="4"/>
      <c r="D2838" s="4"/>
      <c r="E2838" s="4"/>
      <c r="F2838" s="4"/>
      <c r="G2838" s="4"/>
      <c r="H2838" s="4"/>
      <c r="I2838" s="4"/>
      <c r="J2838" s="18"/>
      <c r="K2838" s="4"/>
      <c r="L2838" s="19"/>
      <c r="M2838" s="20"/>
    </row>
    <row r="2839">
      <c r="A2839" s="6"/>
      <c r="B2839" s="6"/>
      <c r="C2839" s="4"/>
      <c r="D2839" s="4"/>
      <c r="E2839" s="4"/>
      <c r="F2839" s="4"/>
      <c r="G2839" s="4"/>
      <c r="H2839" s="4"/>
      <c r="I2839" s="4"/>
      <c r="J2839" s="18"/>
      <c r="K2839" s="4"/>
      <c r="L2839" s="19"/>
      <c r="M2839" s="20"/>
    </row>
    <row r="2840">
      <c r="A2840" s="6"/>
      <c r="B2840" s="6"/>
      <c r="C2840" s="4"/>
      <c r="D2840" s="4"/>
      <c r="E2840" s="4"/>
      <c r="F2840" s="4"/>
      <c r="G2840" s="4"/>
      <c r="H2840" s="4"/>
      <c r="I2840" s="4"/>
      <c r="J2840" s="18"/>
      <c r="K2840" s="4"/>
      <c r="L2840" s="19"/>
      <c r="M2840" s="20"/>
    </row>
    <row r="2841">
      <c r="A2841" s="6"/>
      <c r="B2841" s="6"/>
      <c r="C2841" s="4"/>
      <c r="D2841" s="4"/>
      <c r="E2841" s="4"/>
      <c r="F2841" s="4"/>
      <c r="G2841" s="4"/>
      <c r="H2841" s="4"/>
      <c r="I2841" s="4"/>
      <c r="J2841" s="18"/>
      <c r="K2841" s="4"/>
      <c r="L2841" s="19"/>
      <c r="M2841" s="20"/>
    </row>
    <row r="2842">
      <c r="A2842" s="6"/>
      <c r="B2842" s="6"/>
      <c r="C2842" s="4"/>
      <c r="D2842" s="4"/>
      <c r="E2842" s="4"/>
      <c r="F2842" s="4"/>
      <c r="G2842" s="4"/>
      <c r="H2842" s="4"/>
      <c r="I2842" s="4"/>
      <c r="J2842" s="18"/>
      <c r="K2842" s="4"/>
      <c r="L2842" s="19"/>
      <c r="M2842" s="20"/>
    </row>
    <row r="2843">
      <c r="A2843" s="6"/>
      <c r="B2843" s="6"/>
      <c r="C2843" s="4"/>
      <c r="D2843" s="4"/>
      <c r="E2843" s="4"/>
      <c r="F2843" s="4"/>
      <c r="G2843" s="4"/>
      <c r="H2843" s="4"/>
      <c r="I2843" s="4"/>
      <c r="J2843" s="18"/>
      <c r="K2843" s="4"/>
      <c r="L2843" s="19"/>
      <c r="M2843" s="20"/>
    </row>
    <row r="2844">
      <c r="A2844" s="6"/>
      <c r="B2844" s="6"/>
      <c r="C2844" s="4"/>
      <c r="D2844" s="4"/>
      <c r="E2844" s="4"/>
      <c r="F2844" s="4"/>
      <c r="G2844" s="4"/>
      <c r="H2844" s="4"/>
      <c r="I2844" s="4"/>
      <c r="J2844" s="18"/>
      <c r="K2844" s="4"/>
      <c r="L2844" s="19"/>
      <c r="M2844" s="20"/>
    </row>
    <row r="2845">
      <c r="A2845" s="6"/>
      <c r="B2845" s="6"/>
      <c r="C2845" s="4"/>
      <c r="D2845" s="4"/>
      <c r="E2845" s="4"/>
      <c r="F2845" s="4"/>
      <c r="G2845" s="4"/>
      <c r="H2845" s="4"/>
      <c r="I2845" s="4"/>
      <c r="J2845" s="18"/>
      <c r="K2845" s="4"/>
      <c r="L2845" s="19"/>
      <c r="M2845" s="20"/>
    </row>
    <row r="2846">
      <c r="A2846" s="6"/>
      <c r="B2846" s="6"/>
      <c r="C2846" s="4"/>
      <c r="D2846" s="4"/>
      <c r="E2846" s="4"/>
      <c r="F2846" s="4"/>
      <c r="G2846" s="4"/>
      <c r="H2846" s="4"/>
      <c r="I2846" s="4"/>
      <c r="J2846" s="18"/>
      <c r="K2846" s="4"/>
      <c r="L2846" s="19"/>
      <c r="M2846" s="20"/>
    </row>
    <row r="2847">
      <c r="A2847" s="6"/>
      <c r="B2847" s="6"/>
      <c r="C2847" s="4"/>
      <c r="D2847" s="4"/>
      <c r="E2847" s="4"/>
      <c r="F2847" s="4"/>
      <c r="G2847" s="4"/>
      <c r="H2847" s="4"/>
      <c r="I2847" s="4"/>
      <c r="J2847" s="18"/>
      <c r="K2847" s="4"/>
      <c r="L2847" s="19"/>
      <c r="M2847" s="20"/>
    </row>
    <row r="2848">
      <c r="A2848" s="6"/>
      <c r="B2848" s="6"/>
      <c r="C2848" s="4"/>
      <c r="D2848" s="4"/>
      <c r="E2848" s="4"/>
      <c r="F2848" s="4"/>
      <c r="G2848" s="4"/>
      <c r="H2848" s="4"/>
      <c r="I2848" s="4"/>
      <c r="J2848" s="18"/>
      <c r="K2848" s="4"/>
      <c r="L2848" s="19"/>
      <c r="M2848" s="20"/>
    </row>
    <row r="2849">
      <c r="A2849" s="6"/>
      <c r="B2849" s="6"/>
      <c r="C2849" s="4"/>
      <c r="D2849" s="4"/>
      <c r="E2849" s="4"/>
      <c r="F2849" s="4"/>
      <c r="G2849" s="4"/>
      <c r="H2849" s="4"/>
      <c r="I2849" s="4"/>
      <c r="J2849" s="18"/>
      <c r="K2849" s="4"/>
      <c r="L2849" s="19"/>
      <c r="M2849" s="20"/>
    </row>
    <row r="2850">
      <c r="A2850" s="6"/>
      <c r="B2850" s="6"/>
      <c r="C2850" s="4"/>
      <c r="D2850" s="4"/>
      <c r="E2850" s="4"/>
      <c r="F2850" s="4"/>
      <c r="G2850" s="4"/>
      <c r="H2850" s="4"/>
      <c r="I2850" s="4"/>
      <c r="J2850" s="18"/>
      <c r="K2850" s="4"/>
      <c r="L2850" s="19"/>
      <c r="M2850" s="20"/>
    </row>
    <row r="2851">
      <c r="A2851" s="6"/>
      <c r="B2851" s="6"/>
      <c r="C2851" s="4"/>
      <c r="D2851" s="4"/>
      <c r="E2851" s="4"/>
      <c r="F2851" s="4"/>
      <c r="G2851" s="4"/>
      <c r="H2851" s="4"/>
      <c r="I2851" s="4"/>
      <c r="J2851" s="18"/>
      <c r="K2851" s="4"/>
      <c r="L2851" s="19"/>
      <c r="M2851" s="20"/>
    </row>
    <row r="2852">
      <c r="A2852" s="6"/>
      <c r="B2852" s="6"/>
      <c r="C2852" s="4"/>
      <c r="D2852" s="4"/>
      <c r="E2852" s="4"/>
      <c r="F2852" s="4"/>
      <c r="G2852" s="4"/>
      <c r="H2852" s="4"/>
      <c r="I2852" s="4"/>
      <c r="J2852" s="18"/>
      <c r="K2852" s="4"/>
      <c r="L2852" s="19"/>
      <c r="M2852" s="20"/>
    </row>
    <row r="2853">
      <c r="A2853" s="6"/>
      <c r="B2853" s="6"/>
      <c r="C2853" s="4"/>
      <c r="D2853" s="4"/>
      <c r="E2853" s="4"/>
      <c r="F2853" s="4"/>
      <c r="G2853" s="4"/>
      <c r="H2853" s="4"/>
      <c r="I2853" s="4"/>
      <c r="J2853" s="18"/>
      <c r="K2853" s="4"/>
      <c r="L2853" s="19"/>
      <c r="M2853" s="20"/>
    </row>
    <row r="2854">
      <c r="A2854" s="6"/>
      <c r="B2854" s="6"/>
      <c r="C2854" s="4"/>
      <c r="D2854" s="4"/>
      <c r="E2854" s="4"/>
      <c r="F2854" s="4"/>
      <c r="G2854" s="4"/>
      <c r="H2854" s="4"/>
      <c r="I2854" s="4"/>
      <c r="J2854" s="18"/>
      <c r="K2854" s="4"/>
      <c r="L2854" s="19"/>
      <c r="M2854" s="20"/>
    </row>
    <row r="2855">
      <c r="A2855" s="6"/>
      <c r="B2855" s="6"/>
      <c r="C2855" s="4"/>
      <c r="D2855" s="4"/>
      <c r="E2855" s="4"/>
      <c r="F2855" s="4"/>
      <c r="G2855" s="4"/>
      <c r="H2855" s="4"/>
      <c r="I2855" s="4"/>
      <c r="J2855" s="18"/>
      <c r="K2855" s="4"/>
      <c r="L2855" s="19"/>
      <c r="M2855" s="20"/>
    </row>
    <row r="2856">
      <c r="A2856" s="6"/>
      <c r="B2856" s="6"/>
      <c r="C2856" s="4"/>
      <c r="D2856" s="4"/>
      <c r="E2856" s="4"/>
      <c r="F2856" s="4"/>
      <c r="G2856" s="4"/>
      <c r="H2856" s="4"/>
      <c r="I2856" s="4"/>
      <c r="J2856" s="18"/>
      <c r="K2856" s="4"/>
      <c r="L2856" s="19"/>
      <c r="M2856" s="20"/>
    </row>
    <row r="2857">
      <c r="A2857" s="6"/>
      <c r="B2857" s="6"/>
      <c r="C2857" s="4"/>
      <c r="D2857" s="4"/>
      <c r="E2857" s="4"/>
      <c r="F2857" s="4"/>
      <c r="G2857" s="4"/>
      <c r="H2857" s="4"/>
      <c r="I2857" s="4"/>
      <c r="J2857" s="18"/>
      <c r="K2857" s="4"/>
      <c r="L2857" s="19"/>
      <c r="M2857" s="20"/>
    </row>
    <row r="2858">
      <c r="A2858" s="6"/>
      <c r="B2858" s="6"/>
      <c r="C2858" s="4"/>
      <c r="D2858" s="4"/>
      <c r="E2858" s="4"/>
      <c r="F2858" s="4"/>
      <c r="G2858" s="4"/>
      <c r="H2858" s="4"/>
      <c r="I2858" s="4"/>
      <c r="J2858" s="18"/>
      <c r="K2858" s="4"/>
      <c r="L2858" s="19"/>
      <c r="M2858" s="20"/>
    </row>
    <row r="2859">
      <c r="A2859" s="6"/>
      <c r="B2859" s="6"/>
      <c r="C2859" s="4"/>
      <c r="D2859" s="4"/>
      <c r="E2859" s="4"/>
      <c r="F2859" s="4"/>
      <c r="G2859" s="4"/>
      <c r="H2859" s="4"/>
      <c r="I2859" s="4"/>
      <c r="J2859" s="18"/>
      <c r="K2859" s="4"/>
      <c r="L2859" s="19"/>
      <c r="M2859" s="20"/>
    </row>
    <row r="2860">
      <c r="A2860" s="6"/>
      <c r="B2860" s="6"/>
      <c r="C2860" s="4"/>
      <c r="D2860" s="4"/>
      <c r="E2860" s="4"/>
      <c r="F2860" s="4"/>
      <c r="G2860" s="4"/>
      <c r="H2860" s="4"/>
      <c r="I2860" s="4"/>
      <c r="J2860" s="18"/>
      <c r="K2860" s="4"/>
      <c r="L2860" s="19"/>
      <c r="M2860" s="20"/>
    </row>
    <row r="2861">
      <c r="A2861" s="6"/>
      <c r="B2861" s="6"/>
      <c r="C2861" s="4"/>
      <c r="D2861" s="4"/>
      <c r="E2861" s="4"/>
      <c r="F2861" s="4"/>
      <c r="G2861" s="4"/>
      <c r="H2861" s="4"/>
      <c r="I2861" s="4"/>
      <c r="J2861" s="18"/>
      <c r="K2861" s="4"/>
      <c r="L2861" s="19"/>
      <c r="M2861" s="20"/>
    </row>
    <row r="2862">
      <c r="A2862" s="6"/>
      <c r="B2862" s="6"/>
      <c r="C2862" s="4"/>
      <c r="D2862" s="4"/>
      <c r="E2862" s="4"/>
      <c r="F2862" s="4"/>
      <c r="G2862" s="4"/>
      <c r="H2862" s="4"/>
      <c r="I2862" s="4"/>
      <c r="J2862" s="18"/>
      <c r="K2862" s="4"/>
      <c r="L2862" s="19"/>
      <c r="M2862" s="20"/>
    </row>
    <row r="2863">
      <c r="A2863" s="6"/>
      <c r="B2863" s="6"/>
      <c r="C2863" s="4"/>
      <c r="D2863" s="4"/>
      <c r="E2863" s="4"/>
      <c r="F2863" s="4"/>
      <c r="G2863" s="4"/>
      <c r="H2863" s="4"/>
      <c r="I2863" s="4"/>
      <c r="J2863" s="18"/>
      <c r="K2863" s="4"/>
      <c r="L2863" s="19"/>
      <c r="M2863" s="20"/>
    </row>
    <row r="2864">
      <c r="A2864" s="6"/>
      <c r="B2864" s="6"/>
      <c r="C2864" s="4"/>
      <c r="D2864" s="4"/>
      <c r="E2864" s="4"/>
      <c r="F2864" s="4"/>
      <c r="G2864" s="4"/>
      <c r="H2864" s="4"/>
      <c r="I2864" s="4"/>
      <c r="J2864" s="18"/>
      <c r="K2864" s="4"/>
      <c r="L2864" s="19"/>
      <c r="M2864" s="20"/>
    </row>
    <row r="2865">
      <c r="A2865" s="6"/>
      <c r="B2865" s="6"/>
      <c r="C2865" s="4"/>
      <c r="D2865" s="4"/>
      <c r="E2865" s="4"/>
      <c r="F2865" s="4"/>
      <c r="G2865" s="4"/>
      <c r="H2865" s="4"/>
      <c r="I2865" s="4"/>
      <c r="J2865" s="18"/>
      <c r="K2865" s="4"/>
      <c r="L2865" s="19"/>
      <c r="M2865" s="20"/>
    </row>
    <row r="2866">
      <c r="A2866" s="6"/>
      <c r="B2866" s="6"/>
      <c r="C2866" s="4"/>
      <c r="D2866" s="4"/>
      <c r="E2866" s="4"/>
      <c r="F2866" s="4"/>
      <c r="G2866" s="4"/>
      <c r="H2866" s="4"/>
      <c r="I2866" s="4"/>
      <c r="J2866" s="18"/>
      <c r="K2866" s="4"/>
      <c r="L2866" s="19"/>
      <c r="M2866" s="20"/>
    </row>
    <row r="2867">
      <c r="A2867" s="6"/>
      <c r="B2867" s="6"/>
      <c r="C2867" s="4"/>
      <c r="D2867" s="4"/>
      <c r="E2867" s="4"/>
      <c r="F2867" s="4"/>
      <c r="G2867" s="4"/>
      <c r="H2867" s="4"/>
      <c r="I2867" s="4"/>
      <c r="J2867" s="18"/>
      <c r="K2867" s="4"/>
      <c r="L2867" s="19"/>
      <c r="M2867" s="20"/>
    </row>
    <row r="2868">
      <c r="A2868" s="6"/>
      <c r="B2868" s="6"/>
      <c r="C2868" s="4"/>
      <c r="D2868" s="4"/>
      <c r="E2868" s="4"/>
      <c r="F2868" s="4"/>
      <c r="G2868" s="4"/>
      <c r="H2868" s="4"/>
      <c r="I2868" s="4"/>
      <c r="J2868" s="18"/>
      <c r="K2868" s="4"/>
      <c r="L2868" s="19"/>
      <c r="M2868" s="20"/>
    </row>
    <row r="2869">
      <c r="A2869" s="6"/>
      <c r="B2869" s="6"/>
      <c r="C2869" s="4"/>
      <c r="D2869" s="4"/>
      <c r="E2869" s="4"/>
      <c r="F2869" s="4"/>
      <c r="G2869" s="4"/>
      <c r="H2869" s="4"/>
      <c r="I2869" s="4"/>
      <c r="J2869" s="18"/>
      <c r="K2869" s="4"/>
      <c r="L2869" s="19"/>
      <c r="M2869" s="20"/>
    </row>
    <row r="2870">
      <c r="A2870" s="6"/>
      <c r="B2870" s="6"/>
      <c r="C2870" s="4"/>
      <c r="D2870" s="4"/>
      <c r="E2870" s="4"/>
      <c r="F2870" s="4"/>
      <c r="G2870" s="4"/>
      <c r="H2870" s="4"/>
      <c r="I2870" s="4"/>
      <c r="J2870" s="18"/>
      <c r="K2870" s="4"/>
      <c r="L2870" s="19"/>
      <c r="M2870" s="20"/>
    </row>
    <row r="2871">
      <c r="A2871" s="6"/>
      <c r="B2871" s="6"/>
      <c r="C2871" s="4"/>
      <c r="D2871" s="4"/>
      <c r="E2871" s="4"/>
      <c r="F2871" s="4"/>
      <c r="G2871" s="4"/>
      <c r="H2871" s="4"/>
      <c r="I2871" s="4"/>
      <c r="J2871" s="18"/>
      <c r="K2871" s="4"/>
      <c r="L2871" s="19"/>
      <c r="M2871" s="20"/>
    </row>
    <row r="2872">
      <c r="A2872" s="6"/>
      <c r="B2872" s="6"/>
      <c r="C2872" s="4"/>
      <c r="D2872" s="4"/>
      <c r="E2872" s="4"/>
      <c r="F2872" s="4"/>
      <c r="G2872" s="4"/>
      <c r="H2872" s="4"/>
      <c r="I2872" s="4"/>
      <c r="J2872" s="18"/>
      <c r="K2872" s="4"/>
      <c r="L2872" s="19"/>
      <c r="M2872" s="20"/>
    </row>
    <row r="2873">
      <c r="A2873" s="6"/>
      <c r="B2873" s="6"/>
      <c r="C2873" s="4"/>
      <c r="D2873" s="4"/>
      <c r="E2873" s="4"/>
      <c r="F2873" s="4"/>
      <c r="G2873" s="4"/>
      <c r="H2873" s="4"/>
      <c r="I2873" s="4"/>
      <c r="J2873" s="18"/>
      <c r="K2873" s="4"/>
      <c r="L2873" s="19"/>
      <c r="M2873" s="20"/>
    </row>
    <row r="2874">
      <c r="A2874" s="6"/>
      <c r="B2874" s="6"/>
      <c r="C2874" s="4"/>
      <c r="D2874" s="4"/>
      <c r="E2874" s="4"/>
      <c r="F2874" s="4"/>
      <c r="G2874" s="4"/>
      <c r="H2874" s="4"/>
      <c r="I2874" s="4"/>
      <c r="J2874" s="18"/>
      <c r="K2874" s="4"/>
      <c r="L2874" s="19"/>
      <c r="M2874" s="20"/>
    </row>
    <row r="2875">
      <c r="A2875" s="6"/>
      <c r="B2875" s="6"/>
      <c r="C2875" s="4"/>
      <c r="D2875" s="4"/>
      <c r="E2875" s="4"/>
      <c r="F2875" s="4"/>
      <c r="G2875" s="4"/>
      <c r="H2875" s="4"/>
      <c r="I2875" s="4"/>
      <c r="J2875" s="18"/>
      <c r="K2875" s="4"/>
      <c r="L2875" s="19"/>
      <c r="M2875" s="20"/>
    </row>
    <row r="2876">
      <c r="A2876" s="6"/>
      <c r="B2876" s="6"/>
      <c r="C2876" s="4"/>
      <c r="D2876" s="4"/>
      <c r="E2876" s="4"/>
      <c r="F2876" s="4"/>
      <c r="G2876" s="4"/>
      <c r="H2876" s="4"/>
      <c r="I2876" s="4"/>
      <c r="J2876" s="18"/>
      <c r="K2876" s="4"/>
      <c r="L2876" s="19"/>
      <c r="M2876" s="20"/>
    </row>
    <row r="2877">
      <c r="A2877" s="6"/>
      <c r="B2877" s="6"/>
      <c r="C2877" s="4"/>
      <c r="D2877" s="4"/>
      <c r="E2877" s="4"/>
      <c r="F2877" s="4"/>
      <c r="G2877" s="4"/>
      <c r="H2877" s="4"/>
      <c r="I2877" s="4"/>
      <c r="J2877" s="18"/>
      <c r="K2877" s="4"/>
      <c r="L2877" s="19"/>
      <c r="M2877" s="20"/>
    </row>
    <row r="2878">
      <c r="A2878" s="6"/>
      <c r="B2878" s="6"/>
      <c r="C2878" s="4"/>
      <c r="D2878" s="4"/>
      <c r="E2878" s="4"/>
      <c r="F2878" s="4"/>
      <c r="G2878" s="4"/>
      <c r="H2878" s="4"/>
      <c r="I2878" s="4"/>
      <c r="J2878" s="18"/>
      <c r="K2878" s="4"/>
      <c r="L2878" s="19"/>
      <c r="M2878" s="20"/>
    </row>
    <row r="2879">
      <c r="A2879" s="6"/>
      <c r="B2879" s="6"/>
      <c r="C2879" s="4"/>
      <c r="D2879" s="4"/>
      <c r="E2879" s="4"/>
      <c r="F2879" s="4"/>
      <c r="G2879" s="4"/>
      <c r="H2879" s="4"/>
      <c r="I2879" s="4"/>
      <c r="J2879" s="18"/>
      <c r="K2879" s="4"/>
      <c r="L2879" s="19"/>
      <c r="M2879" s="20"/>
    </row>
    <row r="2880">
      <c r="A2880" s="6"/>
      <c r="B2880" s="6"/>
      <c r="C2880" s="4"/>
      <c r="D2880" s="4"/>
      <c r="E2880" s="4"/>
      <c r="F2880" s="4"/>
      <c r="G2880" s="4"/>
      <c r="H2880" s="4"/>
      <c r="I2880" s="4"/>
      <c r="J2880" s="18"/>
      <c r="K2880" s="4"/>
      <c r="L2880" s="19"/>
      <c r="M2880" s="20"/>
    </row>
    <row r="2881">
      <c r="A2881" s="6"/>
      <c r="B2881" s="6"/>
      <c r="C2881" s="4"/>
      <c r="D2881" s="4"/>
      <c r="E2881" s="4"/>
      <c r="F2881" s="4"/>
      <c r="G2881" s="4"/>
      <c r="H2881" s="4"/>
      <c r="I2881" s="4"/>
      <c r="J2881" s="18"/>
      <c r="K2881" s="4"/>
      <c r="L2881" s="19"/>
      <c r="M2881" s="20"/>
    </row>
    <row r="2882">
      <c r="A2882" s="6"/>
      <c r="B2882" s="6"/>
      <c r="C2882" s="4"/>
      <c r="D2882" s="4"/>
      <c r="E2882" s="4"/>
      <c r="F2882" s="4"/>
      <c r="G2882" s="4"/>
      <c r="H2882" s="4"/>
      <c r="I2882" s="4"/>
      <c r="J2882" s="18"/>
      <c r="K2882" s="4"/>
      <c r="L2882" s="19"/>
      <c r="M2882" s="20"/>
    </row>
    <row r="2883">
      <c r="A2883" s="6"/>
      <c r="B2883" s="6"/>
      <c r="C2883" s="4"/>
      <c r="D2883" s="4"/>
      <c r="E2883" s="4"/>
      <c r="F2883" s="4"/>
      <c r="G2883" s="4"/>
      <c r="H2883" s="4"/>
      <c r="I2883" s="4"/>
      <c r="J2883" s="18"/>
      <c r="K2883" s="4"/>
      <c r="L2883" s="19"/>
      <c r="M2883" s="20"/>
    </row>
    <row r="2884">
      <c r="A2884" s="6"/>
      <c r="B2884" s="6"/>
      <c r="C2884" s="4"/>
      <c r="D2884" s="4"/>
      <c r="E2884" s="4"/>
      <c r="F2884" s="4"/>
      <c r="G2884" s="4"/>
      <c r="H2884" s="4"/>
      <c r="I2884" s="4"/>
      <c r="J2884" s="18"/>
      <c r="K2884" s="4"/>
      <c r="L2884" s="19"/>
      <c r="M2884" s="20"/>
    </row>
    <row r="2885">
      <c r="A2885" s="6"/>
      <c r="B2885" s="6"/>
      <c r="C2885" s="4"/>
      <c r="D2885" s="4"/>
      <c r="E2885" s="4"/>
      <c r="F2885" s="4"/>
      <c r="G2885" s="4"/>
      <c r="H2885" s="4"/>
      <c r="I2885" s="4"/>
      <c r="J2885" s="18"/>
      <c r="K2885" s="4"/>
      <c r="L2885" s="19"/>
      <c r="M2885" s="20"/>
    </row>
    <row r="2886">
      <c r="A2886" s="6"/>
      <c r="B2886" s="6"/>
      <c r="C2886" s="4"/>
      <c r="D2886" s="4"/>
      <c r="E2886" s="4"/>
      <c r="F2886" s="4"/>
      <c r="G2886" s="4"/>
      <c r="H2886" s="4"/>
      <c r="I2886" s="4"/>
      <c r="J2886" s="18"/>
      <c r="K2886" s="4"/>
      <c r="L2886" s="19"/>
      <c r="M2886" s="20"/>
    </row>
    <row r="2887">
      <c r="A2887" s="6"/>
      <c r="B2887" s="6"/>
      <c r="C2887" s="4"/>
      <c r="D2887" s="4"/>
      <c r="E2887" s="4"/>
      <c r="F2887" s="4"/>
      <c r="G2887" s="4"/>
      <c r="H2887" s="4"/>
      <c r="I2887" s="4"/>
      <c r="J2887" s="18"/>
      <c r="K2887" s="4"/>
      <c r="L2887" s="19"/>
      <c r="M2887" s="20"/>
    </row>
    <row r="2888">
      <c r="A2888" s="6"/>
      <c r="B2888" s="6"/>
      <c r="C2888" s="4"/>
      <c r="D2888" s="4"/>
      <c r="E2888" s="4"/>
      <c r="F2888" s="4"/>
      <c r="G2888" s="4"/>
      <c r="H2888" s="4"/>
      <c r="I2888" s="4"/>
      <c r="J2888" s="18"/>
      <c r="K2888" s="4"/>
      <c r="L2888" s="19"/>
      <c r="M2888" s="20"/>
    </row>
    <row r="2889">
      <c r="A2889" s="6"/>
      <c r="B2889" s="6"/>
      <c r="C2889" s="4"/>
      <c r="D2889" s="4"/>
      <c r="E2889" s="4"/>
      <c r="F2889" s="4"/>
      <c r="G2889" s="4"/>
      <c r="H2889" s="4"/>
      <c r="I2889" s="4"/>
      <c r="J2889" s="18"/>
      <c r="K2889" s="4"/>
      <c r="L2889" s="19"/>
      <c r="M2889" s="20"/>
    </row>
    <row r="2890">
      <c r="A2890" s="6"/>
      <c r="B2890" s="6"/>
      <c r="C2890" s="4"/>
      <c r="D2890" s="4"/>
      <c r="E2890" s="4"/>
      <c r="F2890" s="4"/>
      <c r="G2890" s="4"/>
      <c r="H2890" s="4"/>
      <c r="I2890" s="4"/>
      <c r="J2890" s="18"/>
      <c r="K2890" s="4"/>
      <c r="L2890" s="19"/>
      <c r="M2890" s="20"/>
    </row>
    <row r="2891">
      <c r="A2891" s="6"/>
      <c r="B2891" s="6"/>
      <c r="C2891" s="4"/>
      <c r="D2891" s="4"/>
      <c r="E2891" s="4"/>
      <c r="F2891" s="4"/>
      <c r="G2891" s="4"/>
      <c r="H2891" s="4"/>
      <c r="I2891" s="4"/>
      <c r="J2891" s="18"/>
      <c r="K2891" s="4"/>
      <c r="L2891" s="19"/>
      <c r="M2891" s="20"/>
    </row>
    <row r="2892">
      <c r="A2892" s="6"/>
      <c r="B2892" s="6"/>
      <c r="C2892" s="4"/>
      <c r="D2892" s="4"/>
      <c r="E2892" s="4"/>
      <c r="F2892" s="4"/>
      <c r="G2892" s="4"/>
      <c r="H2892" s="4"/>
      <c r="I2892" s="4"/>
      <c r="J2892" s="18"/>
      <c r="K2892" s="4"/>
      <c r="L2892" s="19"/>
      <c r="M2892" s="20"/>
    </row>
    <row r="2893">
      <c r="A2893" s="6"/>
      <c r="B2893" s="6"/>
      <c r="C2893" s="4"/>
      <c r="D2893" s="4"/>
      <c r="E2893" s="4"/>
      <c r="F2893" s="4"/>
      <c r="G2893" s="4"/>
      <c r="H2893" s="4"/>
      <c r="I2893" s="4"/>
      <c r="J2893" s="18"/>
      <c r="K2893" s="4"/>
      <c r="L2893" s="19"/>
      <c r="M2893" s="20"/>
    </row>
    <row r="2894">
      <c r="A2894" s="6"/>
      <c r="B2894" s="6"/>
      <c r="C2894" s="4"/>
      <c r="D2894" s="4"/>
      <c r="E2894" s="4"/>
      <c r="F2894" s="4"/>
      <c r="G2894" s="4"/>
      <c r="H2894" s="4"/>
      <c r="I2894" s="4"/>
      <c r="J2894" s="18"/>
      <c r="K2894" s="4"/>
      <c r="L2894" s="19"/>
      <c r="M2894" s="20"/>
    </row>
    <row r="2895">
      <c r="A2895" s="6"/>
      <c r="B2895" s="6"/>
      <c r="C2895" s="4"/>
      <c r="D2895" s="4"/>
      <c r="E2895" s="4"/>
      <c r="F2895" s="4"/>
      <c r="G2895" s="4"/>
      <c r="H2895" s="4"/>
      <c r="I2895" s="4"/>
      <c r="J2895" s="18"/>
      <c r="K2895" s="4"/>
      <c r="L2895" s="19"/>
      <c r="M2895" s="20"/>
    </row>
    <row r="2896">
      <c r="A2896" s="6"/>
      <c r="B2896" s="6"/>
      <c r="C2896" s="4"/>
      <c r="D2896" s="4"/>
      <c r="E2896" s="4"/>
      <c r="F2896" s="4"/>
      <c r="G2896" s="4"/>
      <c r="H2896" s="4"/>
      <c r="I2896" s="4"/>
      <c r="J2896" s="18"/>
      <c r="K2896" s="4"/>
      <c r="L2896" s="19"/>
      <c r="M2896" s="20"/>
    </row>
    <row r="2897">
      <c r="A2897" s="6"/>
      <c r="B2897" s="6"/>
      <c r="C2897" s="4"/>
      <c r="D2897" s="4"/>
      <c r="E2897" s="4"/>
      <c r="F2897" s="4"/>
      <c r="G2897" s="4"/>
      <c r="H2897" s="4"/>
      <c r="I2897" s="4"/>
      <c r="J2897" s="18"/>
      <c r="K2897" s="4"/>
      <c r="L2897" s="19"/>
      <c r="M2897" s="20"/>
    </row>
    <row r="2898">
      <c r="A2898" s="6"/>
      <c r="B2898" s="6"/>
      <c r="C2898" s="4"/>
      <c r="D2898" s="4"/>
      <c r="E2898" s="4"/>
      <c r="F2898" s="4"/>
      <c r="G2898" s="4"/>
      <c r="H2898" s="4"/>
      <c r="I2898" s="4"/>
      <c r="J2898" s="18"/>
      <c r="K2898" s="4"/>
      <c r="L2898" s="19"/>
      <c r="M2898" s="20"/>
    </row>
    <row r="2899">
      <c r="A2899" s="6"/>
      <c r="B2899" s="6"/>
      <c r="C2899" s="4"/>
      <c r="D2899" s="4"/>
      <c r="E2899" s="4"/>
      <c r="F2899" s="4"/>
      <c r="G2899" s="4"/>
      <c r="H2899" s="4"/>
      <c r="I2899" s="4"/>
      <c r="J2899" s="18"/>
      <c r="K2899" s="4"/>
      <c r="L2899" s="19"/>
      <c r="M2899" s="20"/>
    </row>
    <row r="2900">
      <c r="A2900" s="6"/>
      <c r="B2900" s="6"/>
      <c r="C2900" s="4"/>
      <c r="D2900" s="4"/>
      <c r="E2900" s="4"/>
      <c r="F2900" s="4"/>
      <c r="G2900" s="4"/>
      <c r="H2900" s="4"/>
      <c r="I2900" s="4"/>
      <c r="J2900" s="18"/>
      <c r="K2900" s="4"/>
      <c r="L2900" s="19"/>
      <c r="M2900" s="20"/>
    </row>
    <row r="2901">
      <c r="A2901" s="6"/>
      <c r="B2901" s="6"/>
      <c r="C2901" s="4"/>
      <c r="D2901" s="4"/>
      <c r="E2901" s="4"/>
      <c r="F2901" s="4"/>
      <c r="G2901" s="4"/>
      <c r="H2901" s="4"/>
      <c r="I2901" s="4"/>
      <c r="J2901" s="18"/>
      <c r="K2901" s="4"/>
      <c r="L2901" s="19"/>
      <c r="M2901" s="20"/>
    </row>
    <row r="2902">
      <c r="A2902" s="6"/>
      <c r="B2902" s="6"/>
      <c r="C2902" s="4"/>
      <c r="D2902" s="4"/>
      <c r="E2902" s="4"/>
      <c r="F2902" s="4"/>
      <c r="G2902" s="4"/>
      <c r="H2902" s="4"/>
      <c r="I2902" s="4"/>
      <c r="J2902" s="18"/>
      <c r="K2902" s="4"/>
      <c r="L2902" s="19"/>
      <c r="M2902" s="20"/>
    </row>
    <row r="2903">
      <c r="A2903" s="6"/>
      <c r="B2903" s="6"/>
      <c r="C2903" s="4"/>
      <c r="D2903" s="4"/>
      <c r="E2903" s="4"/>
      <c r="F2903" s="4"/>
      <c r="G2903" s="4"/>
      <c r="H2903" s="4"/>
      <c r="I2903" s="4"/>
      <c r="J2903" s="18"/>
      <c r="K2903" s="4"/>
      <c r="L2903" s="19"/>
      <c r="M2903" s="20"/>
    </row>
    <row r="2904">
      <c r="A2904" s="6"/>
      <c r="B2904" s="6"/>
      <c r="C2904" s="4"/>
      <c r="D2904" s="4"/>
      <c r="E2904" s="4"/>
      <c r="F2904" s="4"/>
      <c r="G2904" s="4"/>
      <c r="H2904" s="4"/>
      <c r="I2904" s="4"/>
      <c r="J2904" s="18"/>
      <c r="K2904" s="4"/>
      <c r="L2904" s="19"/>
      <c r="M2904" s="20"/>
    </row>
    <row r="2905">
      <c r="A2905" s="6"/>
      <c r="B2905" s="6"/>
      <c r="C2905" s="4"/>
      <c r="D2905" s="4"/>
      <c r="E2905" s="4"/>
      <c r="F2905" s="4"/>
      <c r="G2905" s="4"/>
      <c r="H2905" s="4"/>
      <c r="I2905" s="4"/>
      <c r="J2905" s="18"/>
      <c r="K2905" s="4"/>
      <c r="L2905" s="19"/>
      <c r="M2905" s="20"/>
    </row>
    <row r="2906">
      <c r="A2906" s="6"/>
      <c r="B2906" s="6"/>
      <c r="C2906" s="4"/>
      <c r="D2906" s="4"/>
      <c r="E2906" s="4"/>
      <c r="F2906" s="4"/>
      <c r="G2906" s="4"/>
      <c r="H2906" s="4"/>
      <c r="I2906" s="4"/>
      <c r="J2906" s="18"/>
      <c r="K2906" s="4"/>
      <c r="L2906" s="19"/>
      <c r="M2906" s="20"/>
    </row>
    <row r="2907">
      <c r="A2907" s="6"/>
      <c r="B2907" s="6"/>
      <c r="C2907" s="4"/>
      <c r="D2907" s="4"/>
      <c r="E2907" s="4"/>
      <c r="F2907" s="4"/>
      <c r="G2907" s="4"/>
      <c r="H2907" s="4"/>
      <c r="I2907" s="4"/>
      <c r="J2907" s="18"/>
      <c r="K2907" s="4"/>
      <c r="L2907" s="19"/>
      <c r="M2907" s="20"/>
    </row>
    <row r="2908">
      <c r="A2908" s="6"/>
      <c r="B2908" s="6"/>
      <c r="C2908" s="4"/>
      <c r="D2908" s="4"/>
      <c r="E2908" s="4"/>
      <c r="F2908" s="4"/>
      <c r="G2908" s="4"/>
      <c r="H2908" s="4"/>
      <c r="I2908" s="4"/>
      <c r="J2908" s="18"/>
      <c r="K2908" s="4"/>
      <c r="L2908" s="19"/>
      <c r="M2908" s="20"/>
    </row>
    <row r="2909">
      <c r="A2909" s="6"/>
      <c r="B2909" s="6"/>
      <c r="C2909" s="4"/>
      <c r="D2909" s="4"/>
      <c r="E2909" s="4"/>
      <c r="F2909" s="4"/>
      <c r="G2909" s="4"/>
      <c r="H2909" s="4"/>
      <c r="I2909" s="4"/>
      <c r="J2909" s="18"/>
      <c r="K2909" s="4"/>
      <c r="L2909" s="19"/>
      <c r="M2909" s="20"/>
    </row>
    <row r="2910">
      <c r="A2910" s="6"/>
      <c r="B2910" s="6"/>
      <c r="C2910" s="4"/>
      <c r="D2910" s="4"/>
      <c r="E2910" s="4"/>
      <c r="F2910" s="4"/>
      <c r="G2910" s="4"/>
      <c r="H2910" s="4"/>
      <c r="I2910" s="4"/>
      <c r="J2910" s="18"/>
      <c r="K2910" s="4"/>
      <c r="L2910" s="19"/>
      <c r="M2910" s="20"/>
    </row>
    <row r="2911">
      <c r="A2911" s="6"/>
      <c r="B2911" s="6"/>
      <c r="C2911" s="4"/>
      <c r="D2911" s="4"/>
      <c r="E2911" s="4"/>
      <c r="F2911" s="4"/>
      <c r="G2911" s="4"/>
      <c r="H2911" s="4"/>
      <c r="I2911" s="4"/>
      <c r="J2911" s="18"/>
      <c r="K2911" s="4"/>
      <c r="L2911" s="19"/>
      <c r="M2911" s="20"/>
    </row>
    <row r="2912">
      <c r="A2912" s="6"/>
      <c r="B2912" s="6"/>
      <c r="C2912" s="4"/>
      <c r="D2912" s="4"/>
      <c r="E2912" s="4"/>
      <c r="F2912" s="4"/>
      <c r="G2912" s="4"/>
      <c r="H2912" s="4"/>
      <c r="I2912" s="4"/>
      <c r="J2912" s="18"/>
      <c r="K2912" s="4"/>
      <c r="L2912" s="19"/>
      <c r="M2912" s="20"/>
    </row>
    <row r="2913">
      <c r="A2913" s="6"/>
      <c r="B2913" s="6"/>
      <c r="C2913" s="4"/>
      <c r="D2913" s="4"/>
      <c r="E2913" s="4"/>
      <c r="F2913" s="4"/>
      <c r="G2913" s="4"/>
      <c r="H2913" s="4"/>
      <c r="I2913" s="4"/>
      <c r="J2913" s="18"/>
      <c r="K2913" s="4"/>
      <c r="L2913" s="19"/>
      <c r="M2913" s="20"/>
    </row>
    <row r="2914">
      <c r="A2914" s="6"/>
      <c r="B2914" s="6"/>
      <c r="C2914" s="4"/>
      <c r="D2914" s="4"/>
      <c r="E2914" s="4"/>
      <c r="F2914" s="4"/>
      <c r="G2914" s="4"/>
      <c r="H2914" s="4"/>
      <c r="I2914" s="4"/>
      <c r="J2914" s="18"/>
      <c r="K2914" s="4"/>
      <c r="L2914" s="19"/>
      <c r="M2914" s="20"/>
    </row>
    <row r="2915">
      <c r="A2915" s="6"/>
      <c r="B2915" s="6"/>
      <c r="C2915" s="4"/>
      <c r="D2915" s="4"/>
      <c r="E2915" s="4"/>
      <c r="F2915" s="4"/>
      <c r="G2915" s="4"/>
      <c r="H2915" s="4"/>
      <c r="I2915" s="4"/>
      <c r="J2915" s="18"/>
      <c r="K2915" s="4"/>
      <c r="L2915" s="19"/>
      <c r="M2915" s="20"/>
    </row>
    <row r="2916">
      <c r="A2916" s="6"/>
      <c r="B2916" s="6"/>
      <c r="C2916" s="4"/>
      <c r="D2916" s="4"/>
      <c r="E2916" s="4"/>
      <c r="F2916" s="4"/>
      <c r="G2916" s="4"/>
      <c r="H2916" s="4"/>
      <c r="I2916" s="4"/>
      <c r="J2916" s="18"/>
      <c r="K2916" s="4"/>
      <c r="L2916" s="19"/>
      <c r="M2916" s="20"/>
    </row>
    <row r="2917">
      <c r="A2917" s="6"/>
      <c r="B2917" s="6"/>
      <c r="C2917" s="4"/>
      <c r="D2917" s="4"/>
      <c r="E2917" s="4"/>
      <c r="F2917" s="4"/>
      <c r="G2917" s="4"/>
      <c r="H2917" s="4"/>
      <c r="I2917" s="4"/>
      <c r="J2917" s="18"/>
      <c r="K2917" s="4"/>
      <c r="L2917" s="19"/>
      <c r="M2917" s="20"/>
    </row>
    <row r="2918">
      <c r="A2918" s="6"/>
      <c r="B2918" s="6"/>
      <c r="C2918" s="4"/>
      <c r="D2918" s="4"/>
      <c r="E2918" s="4"/>
      <c r="F2918" s="4"/>
      <c r="G2918" s="4"/>
      <c r="H2918" s="4"/>
      <c r="I2918" s="4"/>
      <c r="J2918" s="18"/>
      <c r="K2918" s="4"/>
      <c r="L2918" s="19"/>
      <c r="M2918" s="20"/>
    </row>
    <row r="2919">
      <c r="A2919" s="6"/>
      <c r="B2919" s="6"/>
      <c r="C2919" s="4"/>
      <c r="D2919" s="4"/>
      <c r="E2919" s="4"/>
      <c r="F2919" s="4"/>
      <c r="G2919" s="4"/>
      <c r="H2919" s="4"/>
      <c r="I2919" s="4"/>
      <c r="J2919" s="18"/>
      <c r="K2919" s="4"/>
      <c r="L2919" s="19"/>
      <c r="M2919" s="20"/>
    </row>
    <row r="2920">
      <c r="A2920" s="6"/>
      <c r="B2920" s="6"/>
      <c r="C2920" s="4"/>
      <c r="D2920" s="4"/>
      <c r="E2920" s="4"/>
      <c r="F2920" s="4"/>
      <c r="G2920" s="4"/>
      <c r="H2920" s="4"/>
      <c r="I2920" s="4"/>
      <c r="J2920" s="18"/>
      <c r="K2920" s="4"/>
      <c r="L2920" s="19"/>
      <c r="M2920" s="20"/>
    </row>
    <row r="2921">
      <c r="A2921" s="6"/>
      <c r="B2921" s="6"/>
      <c r="C2921" s="4"/>
      <c r="D2921" s="4"/>
      <c r="E2921" s="4"/>
      <c r="F2921" s="4"/>
      <c r="G2921" s="4"/>
      <c r="H2921" s="4"/>
      <c r="I2921" s="4"/>
      <c r="J2921" s="18"/>
      <c r="K2921" s="4"/>
      <c r="L2921" s="19"/>
      <c r="M2921" s="20"/>
    </row>
    <row r="2922">
      <c r="A2922" s="6"/>
      <c r="B2922" s="6"/>
      <c r="C2922" s="4"/>
      <c r="D2922" s="4"/>
      <c r="E2922" s="4"/>
      <c r="F2922" s="4"/>
      <c r="G2922" s="4"/>
      <c r="H2922" s="4"/>
      <c r="I2922" s="4"/>
      <c r="J2922" s="18"/>
      <c r="K2922" s="4"/>
      <c r="L2922" s="19"/>
      <c r="M2922" s="20"/>
    </row>
    <row r="2923">
      <c r="A2923" s="6"/>
      <c r="B2923" s="6"/>
      <c r="C2923" s="4"/>
      <c r="D2923" s="4"/>
      <c r="E2923" s="4"/>
      <c r="F2923" s="4"/>
      <c r="G2923" s="4"/>
      <c r="H2923" s="4"/>
      <c r="I2923" s="4"/>
      <c r="J2923" s="18"/>
      <c r="K2923" s="4"/>
      <c r="L2923" s="19"/>
      <c r="M2923" s="20"/>
    </row>
    <row r="2924">
      <c r="A2924" s="6"/>
      <c r="B2924" s="6"/>
      <c r="C2924" s="4"/>
      <c r="D2924" s="4"/>
      <c r="E2924" s="4"/>
      <c r="F2924" s="4"/>
      <c r="G2924" s="4"/>
      <c r="H2924" s="4"/>
      <c r="I2924" s="4"/>
      <c r="J2924" s="18"/>
      <c r="K2924" s="4"/>
      <c r="L2924" s="19"/>
      <c r="M2924" s="20"/>
    </row>
    <row r="2925">
      <c r="A2925" s="6"/>
      <c r="B2925" s="6"/>
      <c r="C2925" s="4"/>
      <c r="D2925" s="4"/>
      <c r="E2925" s="4"/>
      <c r="F2925" s="4"/>
      <c r="G2925" s="4"/>
      <c r="H2925" s="4"/>
      <c r="I2925" s="4"/>
      <c r="J2925" s="18"/>
      <c r="K2925" s="4"/>
      <c r="L2925" s="19"/>
      <c r="M2925" s="20"/>
    </row>
    <row r="2926">
      <c r="A2926" s="6"/>
      <c r="B2926" s="6"/>
      <c r="C2926" s="4"/>
      <c r="D2926" s="4"/>
      <c r="E2926" s="4"/>
      <c r="F2926" s="4"/>
      <c r="G2926" s="4"/>
      <c r="H2926" s="4"/>
      <c r="I2926" s="4"/>
      <c r="J2926" s="18"/>
      <c r="K2926" s="4"/>
      <c r="L2926" s="19"/>
      <c r="M2926" s="20"/>
    </row>
    <row r="2927">
      <c r="A2927" s="6"/>
      <c r="B2927" s="6"/>
      <c r="C2927" s="4"/>
      <c r="D2927" s="4"/>
      <c r="E2927" s="4"/>
      <c r="F2927" s="4"/>
      <c r="G2927" s="4"/>
      <c r="H2927" s="4"/>
      <c r="I2927" s="4"/>
      <c r="J2927" s="18"/>
      <c r="K2927" s="4"/>
      <c r="L2927" s="19"/>
      <c r="M2927" s="20"/>
    </row>
    <row r="2928">
      <c r="A2928" s="6"/>
      <c r="B2928" s="6"/>
      <c r="C2928" s="4"/>
      <c r="D2928" s="4"/>
      <c r="E2928" s="4"/>
      <c r="F2928" s="4"/>
      <c r="G2928" s="4"/>
      <c r="H2928" s="4"/>
      <c r="I2928" s="4"/>
      <c r="J2928" s="18"/>
      <c r="K2928" s="4"/>
      <c r="L2928" s="19"/>
      <c r="M2928" s="20"/>
    </row>
    <row r="2929">
      <c r="A2929" s="6"/>
      <c r="B2929" s="6"/>
      <c r="C2929" s="4"/>
      <c r="D2929" s="4"/>
      <c r="E2929" s="4"/>
      <c r="F2929" s="4"/>
      <c r="G2929" s="4"/>
      <c r="H2929" s="4"/>
      <c r="I2929" s="4"/>
      <c r="J2929" s="18"/>
      <c r="K2929" s="4"/>
      <c r="L2929" s="19"/>
      <c r="M2929" s="20"/>
    </row>
    <row r="2930">
      <c r="A2930" s="6"/>
      <c r="B2930" s="6"/>
      <c r="C2930" s="4"/>
      <c r="D2930" s="4"/>
      <c r="E2930" s="4"/>
      <c r="F2930" s="4"/>
      <c r="G2930" s="4"/>
      <c r="H2930" s="4"/>
      <c r="I2930" s="4"/>
      <c r="J2930" s="18"/>
      <c r="K2930" s="4"/>
      <c r="L2930" s="19"/>
      <c r="M2930" s="20"/>
    </row>
    <row r="2931">
      <c r="A2931" s="6"/>
      <c r="B2931" s="6"/>
      <c r="C2931" s="4"/>
      <c r="D2931" s="4"/>
      <c r="E2931" s="4"/>
      <c r="F2931" s="4"/>
      <c r="G2931" s="4"/>
      <c r="H2931" s="4"/>
      <c r="I2931" s="4"/>
      <c r="J2931" s="18"/>
      <c r="K2931" s="4"/>
      <c r="L2931" s="19"/>
      <c r="M2931" s="20"/>
    </row>
    <row r="2932">
      <c r="A2932" s="6"/>
      <c r="B2932" s="6"/>
      <c r="C2932" s="4"/>
      <c r="D2932" s="4"/>
      <c r="E2932" s="4"/>
      <c r="F2932" s="4"/>
      <c r="G2932" s="4"/>
      <c r="H2932" s="4"/>
      <c r="I2932" s="4"/>
      <c r="J2932" s="18"/>
      <c r="K2932" s="4"/>
      <c r="L2932" s="19"/>
      <c r="M2932" s="20"/>
    </row>
    <row r="2933">
      <c r="A2933" s="6"/>
      <c r="B2933" s="6"/>
      <c r="C2933" s="4"/>
      <c r="D2933" s="4"/>
      <c r="E2933" s="4"/>
      <c r="F2933" s="4"/>
      <c r="G2933" s="4"/>
      <c r="H2933" s="4"/>
      <c r="I2933" s="4"/>
      <c r="J2933" s="18"/>
      <c r="K2933" s="4"/>
      <c r="L2933" s="19"/>
      <c r="M2933" s="20"/>
    </row>
    <row r="2934">
      <c r="A2934" s="6"/>
      <c r="B2934" s="6"/>
      <c r="C2934" s="4"/>
      <c r="D2934" s="4"/>
      <c r="E2934" s="4"/>
      <c r="F2934" s="4"/>
      <c r="G2934" s="4"/>
      <c r="H2934" s="4"/>
      <c r="I2934" s="4"/>
      <c r="J2934" s="18"/>
      <c r="K2934" s="4"/>
      <c r="L2934" s="19"/>
      <c r="M2934" s="20"/>
    </row>
    <row r="2935">
      <c r="A2935" s="6"/>
      <c r="B2935" s="6"/>
      <c r="C2935" s="4"/>
      <c r="D2935" s="4"/>
      <c r="E2935" s="4"/>
      <c r="F2935" s="4"/>
      <c r="G2935" s="4"/>
      <c r="H2935" s="4"/>
      <c r="I2935" s="4"/>
      <c r="J2935" s="18"/>
      <c r="K2935" s="4"/>
      <c r="L2935" s="19"/>
      <c r="M2935" s="20"/>
    </row>
    <row r="2936">
      <c r="A2936" s="6"/>
      <c r="B2936" s="6"/>
      <c r="C2936" s="4"/>
      <c r="D2936" s="4"/>
      <c r="E2936" s="4"/>
      <c r="F2936" s="4"/>
      <c r="G2936" s="4"/>
      <c r="H2936" s="4"/>
      <c r="I2936" s="4"/>
      <c r="J2936" s="18"/>
      <c r="K2936" s="4"/>
      <c r="L2936" s="19"/>
      <c r="M2936" s="20"/>
    </row>
    <row r="2937">
      <c r="A2937" s="6"/>
      <c r="B2937" s="6"/>
      <c r="C2937" s="4"/>
      <c r="D2937" s="4"/>
      <c r="E2937" s="4"/>
      <c r="F2937" s="4"/>
      <c r="G2937" s="4"/>
      <c r="H2937" s="4"/>
      <c r="I2937" s="4"/>
      <c r="J2937" s="18"/>
      <c r="K2937" s="4"/>
      <c r="L2937" s="19"/>
      <c r="M2937" s="20"/>
    </row>
    <row r="2938">
      <c r="A2938" s="6"/>
      <c r="B2938" s="6"/>
      <c r="C2938" s="4"/>
      <c r="D2938" s="4"/>
      <c r="E2938" s="4"/>
      <c r="F2938" s="4"/>
      <c r="G2938" s="4"/>
      <c r="H2938" s="4"/>
      <c r="I2938" s="4"/>
      <c r="J2938" s="18"/>
      <c r="K2938" s="4"/>
      <c r="L2938" s="19"/>
      <c r="M2938" s="20"/>
    </row>
    <row r="2939">
      <c r="A2939" s="6"/>
      <c r="B2939" s="6"/>
      <c r="C2939" s="4"/>
      <c r="D2939" s="4"/>
      <c r="E2939" s="4"/>
      <c r="F2939" s="4"/>
      <c r="G2939" s="4"/>
      <c r="H2939" s="4"/>
      <c r="I2939" s="4"/>
      <c r="J2939" s="18"/>
      <c r="K2939" s="4"/>
      <c r="L2939" s="19"/>
      <c r="M2939" s="20"/>
    </row>
    <row r="2940">
      <c r="A2940" s="6"/>
      <c r="B2940" s="6"/>
      <c r="C2940" s="4"/>
      <c r="D2940" s="4"/>
      <c r="E2940" s="4"/>
      <c r="F2940" s="4"/>
      <c r="G2940" s="4"/>
      <c r="H2940" s="4"/>
      <c r="I2940" s="4"/>
      <c r="J2940" s="18"/>
      <c r="K2940" s="4"/>
      <c r="L2940" s="19"/>
      <c r="M2940" s="20"/>
    </row>
    <row r="2941">
      <c r="A2941" s="6"/>
      <c r="B2941" s="6"/>
      <c r="C2941" s="4"/>
      <c r="D2941" s="4"/>
      <c r="E2941" s="4"/>
      <c r="F2941" s="4"/>
      <c r="G2941" s="4"/>
      <c r="H2941" s="4"/>
      <c r="I2941" s="4"/>
      <c r="J2941" s="18"/>
      <c r="K2941" s="4"/>
      <c r="L2941" s="19"/>
      <c r="M2941" s="20"/>
    </row>
    <row r="2942">
      <c r="A2942" s="6"/>
      <c r="B2942" s="6"/>
      <c r="C2942" s="4"/>
      <c r="D2942" s="4"/>
      <c r="E2942" s="4"/>
      <c r="F2942" s="4"/>
      <c r="G2942" s="4"/>
      <c r="H2942" s="4"/>
      <c r="I2942" s="4"/>
      <c r="J2942" s="18"/>
      <c r="K2942" s="4"/>
      <c r="L2942" s="19"/>
      <c r="M2942" s="20"/>
    </row>
    <row r="2943">
      <c r="A2943" s="6"/>
      <c r="B2943" s="6"/>
      <c r="C2943" s="4"/>
      <c r="D2943" s="4"/>
      <c r="E2943" s="4"/>
      <c r="F2943" s="4"/>
      <c r="G2943" s="4"/>
      <c r="H2943" s="4"/>
      <c r="I2943" s="4"/>
      <c r="J2943" s="18"/>
      <c r="K2943" s="4"/>
      <c r="L2943" s="19"/>
      <c r="M2943" s="20"/>
    </row>
    <row r="2944">
      <c r="A2944" s="6"/>
      <c r="B2944" s="6"/>
      <c r="C2944" s="4"/>
      <c r="D2944" s="4"/>
      <c r="E2944" s="4"/>
      <c r="F2944" s="4"/>
      <c r="G2944" s="4"/>
      <c r="H2944" s="4"/>
      <c r="I2944" s="4"/>
      <c r="J2944" s="18"/>
      <c r="K2944" s="4"/>
      <c r="L2944" s="19"/>
      <c r="M2944" s="20"/>
    </row>
    <row r="2945">
      <c r="A2945" s="6"/>
      <c r="B2945" s="6"/>
      <c r="C2945" s="4"/>
      <c r="D2945" s="4"/>
      <c r="E2945" s="4"/>
      <c r="F2945" s="4"/>
      <c r="G2945" s="4"/>
      <c r="H2945" s="4"/>
      <c r="I2945" s="4"/>
      <c r="J2945" s="18"/>
      <c r="K2945" s="4"/>
      <c r="L2945" s="19"/>
      <c r="M2945" s="20"/>
    </row>
    <row r="2946">
      <c r="A2946" s="6"/>
      <c r="B2946" s="6"/>
      <c r="C2946" s="4"/>
      <c r="D2946" s="4"/>
      <c r="E2946" s="4"/>
      <c r="F2946" s="4"/>
      <c r="G2946" s="4"/>
      <c r="H2946" s="4"/>
      <c r="I2946" s="4"/>
      <c r="J2946" s="18"/>
      <c r="K2946" s="4"/>
      <c r="L2946" s="19"/>
      <c r="M2946" s="20"/>
    </row>
    <row r="2947">
      <c r="A2947" s="6"/>
      <c r="B2947" s="6"/>
      <c r="C2947" s="4"/>
      <c r="D2947" s="4"/>
      <c r="E2947" s="4"/>
      <c r="F2947" s="4"/>
      <c r="G2947" s="4"/>
      <c r="H2947" s="4"/>
      <c r="I2947" s="4"/>
      <c r="J2947" s="18"/>
      <c r="K2947" s="4"/>
      <c r="L2947" s="19"/>
      <c r="M2947" s="20"/>
    </row>
    <row r="2948">
      <c r="A2948" s="6"/>
      <c r="B2948" s="6"/>
      <c r="C2948" s="4"/>
      <c r="D2948" s="4"/>
      <c r="E2948" s="4"/>
      <c r="F2948" s="4"/>
      <c r="G2948" s="4"/>
      <c r="H2948" s="4"/>
      <c r="I2948" s="4"/>
      <c r="J2948" s="18"/>
      <c r="K2948" s="4"/>
      <c r="L2948" s="19"/>
      <c r="M2948" s="20"/>
    </row>
    <row r="2949">
      <c r="A2949" s="6"/>
      <c r="B2949" s="6"/>
      <c r="C2949" s="4"/>
      <c r="D2949" s="4"/>
      <c r="E2949" s="4"/>
      <c r="F2949" s="4"/>
      <c r="G2949" s="4"/>
      <c r="H2949" s="4"/>
      <c r="I2949" s="4"/>
      <c r="J2949" s="18"/>
      <c r="K2949" s="4"/>
      <c r="L2949" s="19"/>
      <c r="M2949" s="20"/>
    </row>
    <row r="2950">
      <c r="A2950" s="6"/>
      <c r="B2950" s="6"/>
      <c r="C2950" s="4"/>
      <c r="D2950" s="4"/>
      <c r="E2950" s="4"/>
      <c r="F2950" s="4"/>
      <c r="G2950" s="4"/>
      <c r="H2950" s="4"/>
      <c r="I2950" s="4"/>
      <c r="J2950" s="18"/>
      <c r="K2950" s="4"/>
      <c r="L2950" s="19"/>
      <c r="M2950" s="20"/>
    </row>
    <row r="2951">
      <c r="A2951" s="6"/>
      <c r="B2951" s="6"/>
      <c r="C2951" s="4"/>
      <c r="D2951" s="4"/>
      <c r="E2951" s="4"/>
      <c r="F2951" s="4"/>
      <c r="G2951" s="4"/>
      <c r="H2951" s="4"/>
      <c r="I2951" s="4"/>
      <c r="J2951" s="18"/>
      <c r="K2951" s="4"/>
      <c r="L2951" s="19"/>
      <c r="M2951" s="20"/>
    </row>
    <row r="2952">
      <c r="A2952" s="6"/>
      <c r="B2952" s="6"/>
      <c r="C2952" s="4"/>
      <c r="D2952" s="4"/>
      <c r="E2952" s="4"/>
      <c r="F2952" s="4"/>
      <c r="G2952" s="4"/>
      <c r="H2952" s="4"/>
      <c r="I2952" s="4"/>
      <c r="J2952" s="18"/>
      <c r="K2952" s="4"/>
      <c r="L2952" s="19"/>
      <c r="M2952" s="20"/>
    </row>
    <row r="2953">
      <c r="A2953" s="6"/>
      <c r="B2953" s="6"/>
      <c r="C2953" s="4"/>
      <c r="D2953" s="4"/>
      <c r="E2953" s="4"/>
      <c r="F2953" s="4"/>
      <c r="G2953" s="4"/>
      <c r="H2953" s="4"/>
      <c r="I2953" s="4"/>
      <c r="J2953" s="18"/>
      <c r="K2953" s="4"/>
      <c r="L2953" s="19"/>
      <c r="M2953" s="20"/>
    </row>
    <row r="2954">
      <c r="A2954" s="6"/>
      <c r="B2954" s="6"/>
      <c r="C2954" s="4"/>
      <c r="D2954" s="4"/>
      <c r="E2954" s="4"/>
      <c r="F2954" s="4"/>
      <c r="G2954" s="4"/>
      <c r="H2954" s="4"/>
      <c r="I2954" s="4"/>
      <c r="J2954" s="18"/>
      <c r="K2954" s="4"/>
      <c r="L2954" s="19"/>
      <c r="M2954" s="20"/>
    </row>
    <row r="2955">
      <c r="A2955" s="6"/>
      <c r="B2955" s="6"/>
      <c r="C2955" s="4"/>
      <c r="D2955" s="4"/>
      <c r="E2955" s="4"/>
      <c r="F2955" s="4"/>
      <c r="G2955" s="4"/>
      <c r="H2955" s="4"/>
      <c r="I2955" s="4"/>
      <c r="J2955" s="18"/>
      <c r="K2955" s="4"/>
      <c r="L2955" s="19"/>
      <c r="M2955" s="20"/>
    </row>
    <row r="2956">
      <c r="A2956" s="6"/>
      <c r="B2956" s="6"/>
      <c r="C2956" s="4"/>
      <c r="D2956" s="4"/>
      <c r="E2956" s="4"/>
      <c r="F2956" s="4"/>
      <c r="G2956" s="4"/>
      <c r="H2956" s="4"/>
      <c r="I2956" s="4"/>
      <c r="J2956" s="18"/>
      <c r="K2956" s="4"/>
      <c r="L2956" s="19"/>
      <c r="M2956" s="20"/>
    </row>
    <row r="2957">
      <c r="A2957" s="6"/>
      <c r="B2957" s="6"/>
      <c r="C2957" s="4"/>
      <c r="D2957" s="4"/>
      <c r="E2957" s="4"/>
      <c r="F2957" s="4"/>
      <c r="G2957" s="4"/>
      <c r="H2957" s="4"/>
      <c r="I2957" s="4"/>
      <c r="J2957" s="18"/>
      <c r="K2957" s="4"/>
      <c r="L2957" s="19"/>
      <c r="M2957" s="20"/>
    </row>
    <row r="2958">
      <c r="A2958" s="6"/>
      <c r="B2958" s="6"/>
      <c r="C2958" s="4"/>
      <c r="D2958" s="4"/>
      <c r="E2958" s="4"/>
      <c r="F2958" s="4"/>
      <c r="G2958" s="4"/>
      <c r="H2958" s="4"/>
      <c r="I2958" s="4"/>
      <c r="J2958" s="18"/>
      <c r="K2958" s="4"/>
      <c r="L2958" s="19"/>
      <c r="M2958" s="20"/>
    </row>
    <row r="2959">
      <c r="A2959" s="6"/>
      <c r="B2959" s="6"/>
      <c r="C2959" s="4"/>
      <c r="D2959" s="4"/>
      <c r="E2959" s="4"/>
      <c r="F2959" s="4"/>
      <c r="G2959" s="4"/>
      <c r="H2959" s="4"/>
      <c r="I2959" s="4"/>
      <c r="J2959" s="18"/>
      <c r="K2959" s="4"/>
      <c r="L2959" s="19"/>
      <c r="M2959" s="20"/>
    </row>
    <row r="2960">
      <c r="A2960" s="6"/>
      <c r="B2960" s="6"/>
      <c r="C2960" s="4"/>
      <c r="D2960" s="4"/>
      <c r="E2960" s="4"/>
      <c r="F2960" s="4"/>
      <c r="G2960" s="4"/>
      <c r="H2960" s="4"/>
      <c r="I2960" s="4"/>
      <c r="J2960" s="18"/>
      <c r="K2960" s="4"/>
      <c r="L2960" s="19"/>
      <c r="M2960" s="20"/>
    </row>
    <row r="2961">
      <c r="A2961" s="6"/>
      <c r="B2961" s="6"/>
      <c r="C2961" s="4"/>
      <c r="D2961" s="4"/>
      <c r="E2961" s="4"/>
      <c r="F2961" s="4"/>
      <c r="G2961" s="4"/>
      <c r="H2961" s="4"/>
      <c r="I2961" s="4"/>
      <c r="J2961" s="18"/>
      <c r="K2961" s="4"/>
      <c r="L2961" s="19"/>
      <c r="M2961" s="20"/>
    </row>
    <row r="2962">
      <c r="A2962" s="6"/>
      <c r="B2962" s="6"/>
      <c r="C2962" s="4"/>
      <c r="D2962" s="4"/>
      <c r="E2962" s="4"/>
      <c r="F2962" s="4"/>
      <c r="G2962" s="4"/>
      <c r="H2962" s="4"/>
      <c r="I2962" s="4"/>
      <c r="J2962" s="18"/>
      <c r="K2962" s="4"/>
      <c r="L2962" s="19"/>
      <c r="M2962" s="20"/>
    </row>
    <row r="2963">
      <c r="A2963" s="6"/>
      <c r="B2963" s="6"/>
      <c r="C2963" s="4"/>
      <c r="D2963" s="4"/>
      <c r="E2963" s="4"/>
      <c r="F2963" s="4"/>
      <c r="G2963" s="4"/>
      <c r="H2963" s="4"/>
      <c r="I2963" s="4"/>
      <c r="J2963" s="18"/>
      <c r="K2963" s="4"/>
      <c r="L2963" s="19"/>
      <c r="M2963" s="20"/>
    </row>
    <row r="2964">
      <c r="A2964" s="6"/>
      <c r="B2964" s="6"/>
      <c r="C2964" s="4"/>
      <c r="D2964" s="4"/>
      <c r="E2964" s="4"/>
      <c r="F2964" s="4"/>
      <c r="G2964" s="4"/>
      <c r="H2964" s="4"/>
      <c r="I2964" s="4"/>
      <c r="J2964" s="18"/>
      <c r="K2964" s="4"/>
      <c r="L2964" s="19"/>
      <c r="M2964" s="20"/>
    </row>
    <row r="2965">
      <c r="A2965" s="6"/>
      <c r="B2965" s="6"/>
      <c r="C2965" s="4"/>
      <c r="D2965" s="4"/>
      <c r="E2965" s="4"/>
      <c r="F2965" s="4"/>
      <c r="G2965" s="4"/>
      <c r="H2965" s="4"/>
      <c r="I2965" s="4"/>
      <c r="J2965" s="18"/>
      <c r="K2965" s="4"/>
      <c r="L2965" s="19"/>
      <c r="M2965" s="20"/>
    </row>
    <row r="2966">
      <c r="A2966" s="6"/>
      <c r="B2966" s="6"/>
      <c r="C2966" s="4"/>
      <c r="D2966" s="4"/>
      <c r="E2966" s="4"/>
      <c r="F2966" s="4"/>
      <c r="G2966" s="4"/>
      <c r="H2966" s="4"/>
      <c r="I2966" s="4"/>
      <c r="J2966" s="18"/>
      <c r="K2966" s="4"/>
      <c r="L2966" s="19"/>
      <c r="M2966" s="20"/>
    </row>
    <row r="2967">
      <c r="A2967" s="6"/>
      <c r="B2967" s="6"/>
      <c r="C2967" s="4"/>
      <c r="D2967" s="4"/>
      <c r="E2967" s="4"/>
      <c r="F2967" s="4"/>
      <c r="G2967" s="4"/>
      <c r="H2967" s="4"/>
      <c r="I2967" s="4"/>
      <c r="J2967" s="18"/>
      <c r="K2967" s="4"/>
      <c r="L2967" s="19"/>
      <c r="M2967" s="20"/>
    </row>
    <row r="2968">
      <c r="A2968" s="6"/>
      <c r="B2968" s="6"/>
      <c r="C2968" s="4"/>
      <c r="D2968" s="4"/>
      <c r="E2968" s="4"/>
      <c r="F2968" s="4"/>
      <c r="G2968" s="4"/>
      <c r="H2968" s="4"/>
      <c r="I2968" s="4"/>
      <c r="J2968" s="18"/>
      <c r="K2968" s="4"/>
      <c r="L2968" s="19"/>
      <c r="M2968" s="20"/>
    </row>
    <row r="2969">
      <c r="A2969" s="6"/>
      <c r="B2969" s="6"/>
      <c r="C2969" s="4"/>
      <c r="D2969" s="4"/>
      <c r="E2969" s="4"/>
      <c r="F2969" s="4"/>
      <c r="G2969" s="4"/>
      <c r="H2969" s="4"/>
      <c r="I2969" s="4"/>
      <c r="J2969" s="18"/>
      <c r="K2969" s="4"/>
      <c r="L2969" s="19"/>
      <c r="M2969" s="20"/>
    </row>
    <row r="2970">
      <c r="A2970" s="6"/>
      <c r="B2970" s="6"/>
      <c r="C2970" s="4"/>
      <c r="D2970" s="4"/>
      <c r="E2970" s="4"/>
      <c r="F2970" s="4"/>
      <c r="G2970" s="4"/>
      <c r="H2970" s="4"/>
      <c r="I2970" s="4"/>
      <c r="J2970" s="18"/>
      <c r="K2970" s="4"/>
      <c r="L2970" s="19"/>
      <c r="M2970" s="20"/>
    </row>
    <row r="2971">
      <c r="A2971" s="6"/>
      <c r="B2971" s="6"/>
      <c r="C2971" s="4"/>
      <c r="D2971" s="4"/>
      <c r="E2971" s="4"/>
      <c r="F2971" s="4"/>
      <c r="G2971" s="4"/>
      <c r="H2971" s="4"/>
      <c r="I2971" s="4"/>
      <c r="J2971" s="18"/>
      <c r="K2971" s="4"/>
      <c r="L2971" s="19"/>
      <c r="M2971" s="20"/>
    </row>
    <row r="2972">
      <c r="A2972" s="6"/>
      <c r="B2972" s="6"/>
      <c r="C2972" s="4"/>
      <c r="D2972" s="4"/>
      <c r="E2972" s="4"/>
      <c r="F2972" s="4"/>
      <c r="G2972" s="4"/>
      <c r="H2972" s="4"/>
      <c r="I2972" s="4"/>
      <c r="J2972" s="18"/>
      <c r="K2972" s="4"/>
      <c r="L2972" s="19"/>
      <c r="M2972" s="20"/>
    </row>
    <row r="2973">
      <c r="A2973" s="6"/>
      <c r="B2973" s="6"/>
      <c r="C2973" s="4"/>
      <c r="D2973" s="4"/>
      <c r="E2973" s="4"/>
      <c r="F2973" s="4"/>
      <c r="G2973" s="4"/>
      <c r="H2973" s="4"/>
      <c r="I2973" s="4"/>
      <c r="J2973" s="18"/>
      <c r="K2973" s="4"/>
      <c r="L2973" s="19"/>
      <c r="M2973" s="20"/>
    </row>
    <row r="2974">
      <c r="A2974" s="6"/>
      <c r="B2974" s="6"/>
      <c r="C2974" s="4"/>
      <c r="D2974" s="4"/>
      <c r="E2974" s="4"/>
      <c r="F2974" s="4"/>
      <c r="G2974" s="4"/>
      <c r="H2974" s="4"/>
      <c r="I2974" s="4"/>
      <c r="J2974" s="18"/>
      <c r="K2974" s="4"/>
      <c r="L2974" s="19"/>
      <c r="M2974" s="20"/>
    </row>
    <row r="2975">
      <c r="A2975" s="6"/>
      <c r="B2975" s="6"/>
      <c r="C2975" s="4"/>
      <c r="D2975" s="4"/>
      <c r="E2975" s="4"/>
      <c r="F2975" s="4"/>
      <c r="G2975" s="4"/>
      <c r="H2975" s="4"/>
      <c r="I2975" s="4"/>
      <c r="J2975" s="18"/>
      <c r="K2975" s="4"/>
      <c r="L2975" s="19"/>
      <c r="M2975" s="20"/>
    </row>
    <row r="2976">
      <c r="A2976" s="6"/>
      <c r="B2976" s="6"/>
      <c r="C2976" s="4"/>
      <c r="D2976" s="4"/>
      <c r="E2976" s="4"/>
      <c r="F2976" s="4"/>
      <c r="G2976" s="4"/>
      <c r="H2976" s="4"/>
      <c r="I2976" s="4"/>
      <c r="J2976" s="18"/>
      <c r="K2976" s="4"/>
      <c r="L2976" s="19"/>
      <c r="M2976" s="20"/>
    </row>
    <row r="2977">
      <c r="A2977" s="6"/>
      <c r="B2977" s="6"/>
      <c r="C2977" s="4"/>
      <c r="D2977" s="4"/>
      <c r="E2977" s="4"/>
      <c r="F2977" s="4"/>
      <c r="G2977" s="4"/>
      <c r="H2977" s="4"/>
      <c r="I2977" s="4"/>
      <c r="J2977" s="18"/>
      <c r="K2977" s="4"/>
      <c r="L2977" s="19"/>
      <c r="M2977" s="20"/>
    </row>
    <row r="2978">
      <c r="A2978" s="6"/>
      <c r="B2978" s="6"/>
      <c r="C2978" s="4"/>
      <c r="D2978" s="4"/>
      <c r="E2978" s="4"/>
      <c r="F2978" s="4"/>
      <c r="G2978" s="4"/>
      <c r="H2978" s="4"/>
      <c r="I2978" s="4"/>
      <c r="J2978" s="18"/>
      <c r="K2978" s="4"/>
      <c r="L2978" s="19"/>
      <c r="M2978" s="20"/>
    </row>
    <row r="2979">
      <c r="A2979" s="6"/>
      <c r="B2979" s="6"/>
      <c r="C2979" s="4"/>
      <c r="D2979" s="4"/>
      <c r="E2979" s="4"/>
      <c r="F2979" s="4"/>
      <c r="G2979" s="4"/>
      <c r="H2979" s="4"/>
      <c r="I2979" s="4"/>
      <c r="J2979" s="18"/>
      <c r="K2979" s="4"/>
      <c r="L2979" s="19"/>
      <c r="M2979" s="20"/>
    </row>
    <row r="2980">
      <c r="A2980" s="6"/>
      <c r="B2980" s="6"/>
      <c r="C2980" s="4"/>
      <c r="D2980" s="4"/>
      <c r="E2980" s="4"/>
      <c r="F2980" s="4"/>
      <c r="G2980" s="4"/>
      <c r="H2980" s="4"/>
      <c r="I2980" s="4"/>
      <c r="J2980" s="18"/>
      <c r="K2980" s="4"/>
      <c r="L2980" s="19"/>
      <c r="M2980" s="20"/>
    </row>
    <row r="2981">
      <c r="A2981" s="6"/>
      <c r="B2981" s="6"/>
      <c r="C2981" s="4"/>
      <c r="D2981" s="4"/>
      <c r="E2981" s="4"/>
      <c r="F2981" s="4"/>
      <c r="G2981" s="4"/>
      <c r="H2981" s="4"/>
      <c r="I2981" s="4"/>
      <c r="J2981" s="18"/>
      <c r="K2981" s="4"/>
      <c r="L2981" s="19"/>
      <c r="M2981" s="20"/>
    </row>
    <row r="2982">
      <c r="A2982" s="6"/>
      <c r="B2982" s="6"/>
      <c r="C2982" s="4"/>
      <c r="D2982" s="4"/>
      <c r="E2982" s="4"/>
      <c r="F2982" s="4"/>
      <c r="G2982" s="4"/>
      <c r="H2982" s="4"/>
      <c r="I2982" s="4"/>
      <c r="J2982" s="18"/>
      <c r="K2982" s="4"/>
      <c r="L2982" s="19"/>
      <c r="M2982" s="20"/>
    </row>
    <row r="2983">
      <c r="A2983" s="6"/>
      <c r="B2983" s="6"/>
      <c r="C2983" s="4"/>
      <c r="D2983" s="4"/>
      <c r="E2983" s="4"/>
      <c r="F2983" s="4"/>
      <c r="G2983" s="4"/>
      <c r="H2983" s="4"/>
      <c r="I2983" s="4"/>
      <c r="J2983" s="18"/>
      <c r="K2983" s="4"/>
      <c r="L2983" s="19"/>
      <c r="M2983" s="20"/>
    </row>
    <row r="2984">
      <c r="A2984" s="6"/>
      <c r="B2984" s="6"/>
      <c r="C2984" s="4"/>
      <c r="D2984" s="4"/>
      <c r="E2984" s="4"/>
      <c r="F2984" s="4"/>
      <c r="G2984" s="4"/>
      <c r="H2984" s="4"/>
      <c r="I2984" s="4"/>
      <c r="J2984" s="18"/>
      <c r="K2984" s="4"/>
      <c r="L2984" s="19"/>
      <c r="M2984" s="20"/>
    </row>
    <row r="2985">
      <c r="A2985" s="6"/>
      <c r="B2985" s="6"/>
      <c r="C2985" s="4"/>
      <c r="D2985" s="4"/>
      <c r="E2985" s="4"/>
      <c r="F2985" s="4"/>
      <c r="G2985" s="4"/>
      <c r="H2985" s="4"/>
      <c r="I2985" s="4"/>
      <c r="J2985" s="18"/>
      <c r="K2985" s="4"/>
      <c r="L2985" s="19"/>
      <c r="M2985" s="20"/>
    </row>
    <row r="2986">
      <c r="A2986" s="6"/>
      <c r="B2986" s="6"/>
      <c r="C2986" s="4"/>
      <c r="D2986" s="4"/>
      <c r="E2986" s="4"/>
      <c r="F2986" s="4"/>
      <c r="G2986" s="4"/>
      <c r="H2986" s="4"/>
      <c r="I2986" s="4"/>
      <c r="J2986" s="18"/>
      <c r="K2986" s="4"/>
      <c r="L2986" s="19"/>
      <c r="M2986" s="20"/>
    </row>
    <row r="2987">
      <c r="A2987" s="6"/>
      <c r="B2987" s="6"/>
      <c r="C2987" s="4"/>
      <c r="D2987" s="4"/>
      <c r="E2987" s="4"/>
      <c r="F2987" s="4"/>
      <c r="G2987" s="4"/>
      <c r="H2987" s="4"/>
      <c r="I2987" s="4"/>
      <c r="J2987" s="18"/>
      <c r="K2987" s="4"/>
      <c r="L2987" s="19"/>
      <c r="M2987" s="20"/>
    </row>
    <row r="2988">
      <c r="A2988" s="6"/>
      <c r="B2988" s="6"/>
      <c r="C2988" s="4"/>
      <c r="D2988" s="4"/>
      <c r="E2988" s="4"/>
      <c r="F2988" s="4"/>
      <c r="G2988" s="4"/>
      <c r="H2988" s="4"/>
      <c r="I2988" s="4"/>
      <c r="J2988" s="18"/>
      <c r="K2988" s="4"/>
      <c r="L2988" s="19"/>
      <c r="M2988" s="20"/>
    </row>
    <row r="2989">
      <c r="A2989" s="6"/>
      <c r="B2989" s="6"/>
      <c r="C2989" s="4"/>
      <c r="D2989" s="4"/>
      <c r="E2989" s="4"/>
      <c r="F2989" s="4"/>
      <c r="G2989" s="4"/>
      <c r="H2989" s="4"/>
      <c r="I2989" s="4"/>
      <c r="J2989" s="18"/>
      <c r="K2989" s="4"/>
      <c r="L2989" s="19"/>
      <c r="M2989" s="20"/>
    </row>
    <row r="2990">
      <c r="A2990" s="6"/>
      <c r="B2990" s="6"/>
      <c r="C2990" s="4"/>
      <c r="D2990" s="4"/>
      <c r="E2990" s="4"/>
      <c r="F2990" s="4"/>
      <c r="G2990" s="4"/>
      <c r="H2990" s="4"/>
      <c r="I2990" s="4"/>
      <c r="J2990" s="18"/>
      <c r="K2990" s="4"/>
      <c r="L2990" s="19"/>
      <c r="M2990" s="20"/>
    </row>
    <row r="2991">
      <c r="A2991" s="6"/>
      <c r="B2991" s="6"/>
      <c r="C2991" s="4"/>
      <c r="D2991" s="4"/>
      <c r="E2991" s="4"/>
      <c r="F2991" s="4"/>
      <c r="G2991" s="4"/>
      <c r="H2991" s="4"/>
      <c r="I2991" s="4"/>
      <c r="J2991" s="18"/>
      <c r="K2991" s="4"/>
      <c r="L2991" s="19"/>
      <c r="M2991" s="20"/>
    </row>
    <row r="2992">
      <c r="A2992" s="6"/>
      <c r="B2992" s="6"/>
      <c r="C2992" s="4"/>
      <c r="D2992" s="4"/>
      <c r="E2992" s="4"/>
      <c r="F2992" s="4"/>
      <c r="G2992" s="4"/>
      <c r="H2992" s="4"/>
      <c r="I2992" s="4"/>
      <c r="J2992" s="18"/>
      <c r="K2992" s="4"/>
      <c r="L2992" s="19"/>
      <c r="M2992" s="20"/>
    </row>
    <row r="2993">
      <c r="A2993" s="6"/>
      <c r="B2993" s="6"/>
      <c r="C2993" s="4"/>
      <c r="D2993" s="4"/>
      <c r="E2993" s="4"/>
      <c r="F2993" s="4"/>
      <c r="G2993" s="4"/>
      <c r="H2993" s="4"/>
      <c r="I2993" s="4"/>
      <c r="J2993" s="18"/>
      <c r="K2993" s="4"/>
      <c r="L2993" s="19"/>
      <c r="M2993" s="20"/>
    </row>
    <row r="2994">
      <c r="A2994" s="6"/>
      <c r="B2994" s="6"/>
      <c r="C2994" s="4"/>
      <c r="D2994" s="4"/>
      <c r="E2994" s="4"/>
      <c r="F2994" s="4"/>
      <c r="G2994" s="4"/>
      <c r="H2994" s="4"/>
      <c r="I2994" s="4"/>
      <c r="J2994" s="18"/>
      <c r="K2994" s="4"/>
      <c r="L2994" s="19"/>
      <c r="M2994" s="20"/>
    </row>
    <row r="2995">
      <c r="A2995" s="6"/>
      <c r="B2995" s="6"/>
      <c r="C2995" s="4"/>
      <c r="D2995" s="4"/>
      <c r="E2995" s="4"/>
      <c r="F2995" s="4"/>
      <c r="G2995" s="4"/>
      <c r="H2995" s="4"/>
      <c r="I2995" s="4"/>
      <c r="J2995" s="18"/>
      <c r="K2995" s="4"/>
      <c r="L2995" s="19"/>
      <c r="M2995" s="20"/>
    </row>
    <row r="2996">
      <c r="A2996" s="6"/>
      <c r="B2996" s="6"/>
      <c r="C2996" s="4"/>
      <c r="D2996" s="4"/>
      <c r="E2996" s="4"/>
      <c r="F2996" s="4"/>
      <c r="G2996" s="4"/>
      <c r="H2996" s="4"/>
      <c r="I2996" s="4"/>
      <c r="J2996" s="18"/>
      <c r="K2996" s="4"/>
      <c r="L2996" s="19"/>
      <c r="M2996" s="20"/>
    </row>
    <row r="2997">
      <c r="A2997" s="6"/>
      <c r="B2997" s="6"/>
      <c r="C2997" s="4"/>
      <c r="D2997" s="4"/>
      <c r="E2997" s="4"/>
      <c r="F2997" s="4"/>
      <c r="G2997" s="4"/>
      <c r="H2997" s="4"/>
      <c r="I2997" s="4"/>
      <c r="J2997" s="18"/>
      <c r="K2997" s="4"/>
      <c r="L2997" s="19"/>
      <c r="M2997" s="20"/>
    </row>
    <row r="2998">
      <c r="A2998" s="6"/>
      <c r="B2998" s="6"/>
      <c r="C2998" s="4"/>
      <c r="D2998" s="4"/>
      <c r="E2998" s="4"/>
      <c r="F2998" s="4"/>
      <c r="G2998" s="4"/>
      <c r="H2998" s="4"/>
      <c r="I2998" s="4"/>
      <c r="J2998" s="18"/>
      <c r="K2998" s="4"/>
      <c r="L2998" s="19"/>
      <c r="M2998" s="20"/>
    </row>
    <row r="2999">
      <c r="A2999" s="6"/>
      <c r="B2999" s="6"/>
      <c r="C2999" s="4"/>
      <c r="D2999" s="4"/>
      <c r="E2999" s="4"/>
      <c r="F2999" s="4"/>
      <c r="G2999" s="4"/>
      <c r="H2999" s="4"/>
      <c r="I2999" s="4"/>
      <c r="J2999" s="18"/>
      <c r="K2999" s="4"/>
      <c r="L2999" s="19"/>
      <c r="M2999" s="20"/>
    </row>
    <row r="3000">
      <c r="A3000" s="6"/>
      <c r="B3000" s="6"/>
      <c r="C3000" s="4"/>
      <c r="D3000" s="4"/>
      <c r="E3000" s="4"/>
      <c r="F3000" s="4"/>
      <c r="G3000" s="4"/>
      <c r="H3000" s="4"/>
      <c r="I3000" s="4"/>
      <c r="J3000" s="18"/>
      <c r="K3000" s="4"/>
      <c r="L3000" s="19"/>
      <c r="M3000" s="20"/>
    </row>
    <row r="3001">
      <c r="A3001" s="6"/>
      <c r="B3001" s="6"/>
      <c r="C3001" s="2"/>
      <c r="D3001" s="4"/>
      <c r="E3001" s="4"/>
      <c r="F3001" s="4"/>
      <c r="G3001" s="4"/>
      <c r="H3001" s="4"/>
      <c r="I3001" s="4"/>
      <c r="J3001" s="18"/>
      <c r="K3001" s="4"/>
      <c r="L3001" s="19"/>
      <c r="M3001" s="20"/>
    </row>
    <row r="3002">
      <c r="A3002" s="6"/>
      <c r="B3002" s="6"/>
      <c r="C3002" s="4"/>
      <c r="D3002" s="4"/>
      <c r="E3002" s="4"/>
      <c r="F3002" s="4"/>
      <c r="G3002" s="4"/>
      <c r="H3002" s="4"/>
      <c r="I3002" s="4"/>
      <c r="J3002" s="18"/>
      <c r="K3002" s="4"/>
      <c r="L3002" s="19"/>
      <c r="M3002" s="20"/>
    </row>
    <row r="3003">
      <c r="A3003" s="6"/>
      <c r="B3003" s="6"/>
      <c r="C3003" s="4"/>
      <c r="D3003" s="4"/>
      <c r="E3003" s="4"/>
      <c r="F3003" s="4"/>
      <c r="G3003" s="4"/>
      <c r="H3003" s="4"/>
      <c r="I3003" s="4"/>
      <c r="J3003" s="18"/>
      <c r="K3003" s="4"/>
      <c r="L3003" s="19"/>
      <c r="M3003" s="20"/>
    </row>
    <row r="3004">
      <c r="A3004" s="6"/>
      <c r="B3004" s="6"/>
      <c r="C3004" s="4"/>
      <c r="D3004" s="4"/>
      <c r="E3004" s="4"/>
      <c r="F3004" s="4"/>
      <c r="G3004" s="4"/>
      <c r="H3004" s="4"/>
      <c r="I3004" s="4"/>
      <c r="J3004" s="18"/>
      <c r="K3004" s="4"/>
      <c r="L3004" s="19"/>
      <c r="M3004" s="20"/>
    </row>
    <row r="3005">
      <c r="A3005" s="6"/>
      <c r="B3005" s="6"/>
      <c r="C3005" s="4"/>
      <c r="D3005" s="4"/>
      <c r="E3005" s="4"/>
      <c r="F3005" s="4"/>
      <c r="G3005" s="4"/>
      <c r="H3005" s="4"/>
      <c r="I3005" s="4"/>
      <c r="J3005" s="18"/>
      <c r="K3005" s="4"/>
      <c r="L3005" s="19"/>
      <c r="M3005" s="20"/>
    </row>
    <row r="3006">
      <c r="A3006" s="6"/>
      <c r="B3006" s="6"/>
      <c r="C3006" s="4"/>
      <c r="D3006" s="4"/>
      <c r="E3006" s="4"/>
      <c r="F3006" s="4"/>
      <c r="G3006" s="4"/>
      <c r="H3006" s="4"/>
      <c r="I3006" s="4"/>
      <c r="J3006" s="18"/>
      <c r="K3006" s="4"/>
      <c r="L3006" s="19"/>
      <c r="M3006" s="20"/>
    </row>
    <row r="3007">
      <c r="A3007" s="6"/>
      <c r="B3007" s="6"/>
      <c r="C3007" s="4"/>
      <c r="D3007" s="4"/>
      <c r="E3007" s="4"/>
      <c r="F3007" s="4"/>
      <c r="G3007" s="4"/>
      <c r="H3007" s="4"/>
      <c r="I3007" s="4"/>
      <c r="J3007" s="18"/>
      <c r="K3007" s="4"/>
      <c r="L3007" s="19"/>
      <c r="M3007" s="20"/>
    </row>
    <row r="3008">
      <c r="A3008" s="6"/>
      <c r="B3008" s="6"/>
      <c r="C3008" s="4"/>
      <c r="D3008" s="4"/>
      <c r="E3008" s="4"/>
      <c r="F3008" s="4"/>
      <c r="G3008" s="4"/>
      <c r="H3008" s="4"/>
      <c r="I3008" s="4"/>
      <c r="J3008" s="18"/>
      <c r="K3008" s="4"/>
      <c r="L3008" s="19"/>
      <c r="M3008" s="20"/>
    </row>
    <row r="3009">
      <c r="A3009" s="6"/>
      <c r="B3009" s="6"/>
      <c r="C3009" s="4"/>
      <c r="D3009" s="4"/>
      <c r="E3009" s="4"/>
      <c r="F3009" s="4"/>
      <c r="G3009" s="4"/>
      <c r="H3009" s="4"/>
      <c r="I3009" s="4"/>
      <c r="J3009" s="18"/>
      <c r="K3009" s="4"/>
      <c r="L3009" s="19"/>
      <c r="M3009" s="20"/>
    </row>
    <row r="3010">
      <c r="A3010" s="6"/>
      <c r="B3010" s="6"/>
      <c r="C3010" s="4"/>
      <c r="D3010" s="4"/>
      <c r="E3010" s="4"/>
      <c r="F3010" s="4"/>
      <c r="G3010" s="4"/>
      <c r="H3010" s="4"/>
      <c r="I3010" s="4"/>
      <c r="J3010" s="18"/>
      <c r="K3010" s="4"/>
      <c r="L3010" s="19"/>
      <c r="M3010" s="20"/>
    </row>
    <row r="3011">
      <c r="A3011" s="6"/>
      <c r="B3011" s="6"/>
      <c r="C3011" s="4"/>
      <c r="D3011" s="4"/>
      <c r="E3011" s="4"/>
      <c r="F3011" s="4"/>
      <c r="G3011" s="4"/>
      <c r="H3011" s="4"/>
      <c r="I3011" s="4"/>
      <c r="J3011" s="18"/>
      <c r="K3011" s="4"/>
      <c r="L3011" s="19"/>
      <c r="M3011" s="20"/>
    </row>
    <row r="3012">
      <c r="A3012" s="6"/>
      <c r="B3012" s="6"/>
      <c r="C3012" s="4"/>
      <c r="D3012" s="4"/>
      <c r="E3012" s="4"/>
      <c r="F3012" s="4"/>
      <c r="G3012" s="4"/>
      <c r="H3012" s="4"/>
      <c r="I3012" s="4"/>
      <c r="J3012" s="18"/>
      <c r="K3012" s="4"/>
      <c r="L3012" s="19"/>
      <c r="M3012" s="20"/>
    </row>
    <row r="3013">
      <c r="A3013" s="6"/>
      <c r="B3013" s="6"/>
      <c r="C3013" s="4"/>
      <c r="D3013" s="4"/>
      <c r="E3013" s="4"/>
      <c r="F3013" s="4"/>
      <c r="G3013" s="4"/>
      <c r="H3013" s="4"/>
      <c r="I3013" s="4"/>
      <c r="J3013" s="18"/>
      <c r="K3013" s="4"/>
      <c r="L3013" s="19"/>
      <c r="M3013" s="20"/>
    </row>
    <row r="3014">
      <c r="A3014" s="6"/>
      <c r="B3014" s="6"/>
      <c r="C3014" s="4"/>
      <c r="D3014" s="4"/>
      <c r="E3014" s="4"/>
      <c r="F3014" s="4"/>
      <c r="G3014" s="4"/>
      <c r="H3014" s="4"/>
      <c r="I3014" s="4"/>
      <c r="J3014" s="18"/>
      <c r="K3014" s="4"/>
      <c r="L3014" s="19"/>
      <c r="M3014" s="20"/>
    </row>
    <row r="3015">
      <c r="A3015" s="6"/>
      <c r="B3015" s="6"/>
      <c r="C3015" s="4"/>
      <c r="D3015" s="4"/>
      <c r="E3015" s="4"/>
      <c r="F3015" s="4"/>
      <c r="G3015" s="4"/>
      <c r="H3015" s="4"/>
      <c r="I3015" s="4"/>
      <c r="J3015" s="18"/>
      <c r="K3015" s="4"/>
      <c r="L3015" s="19"/>
      <c r="M3015" s="20"/>
    </row>
    <row r="3016">
      <c r="A3016" s="6"/>
      <c r="B3016" s="6"/>
      <c r="C3016" s="4"/>
      <c r="D3016" s="4"/>
      <c r="E3016" s="4"/>
      <c r="F3016" s="4"/>
      <c r="G3016" s="4"/>
      <c r="H3016" s="4"/>
      <c r="I3016" s="4"/>
      <c r="J3016" s="18"/>
      <c r="K3016" s="4"/>
      <c r="L3016" s="19"/>
      <c r="M3016" s="20"/>
    </row>
    <row r="3017">
      <c r="A3017" s="6"/>
      <c r="B3017" s="6"/>
      <c r="C3017" s="4"/>
      <c r="D3017" s="4"/>
      <c r="E3017" s="4"/>
      <c r="F3017" s="4"/>
      <c r="G3017" s="4"/>
      <c r="H3017" s="4"/>
      <c r="I3017" s="4"/>
      <c r="J3017" s="18"/>
      <c r="K3017" s="4"/>
      <c r="L3017" s="19"/>
      <c r="M3017" s="20"/>
    </row>
    <row r="3018">
      <c r="A3018" s="6"/>
      <c r="B3018" s="6"/>
      <c r="C3018" s="4"/>
      <c r="D3018" s="4"/>
      <c r="E3018" s="4"/>
      <c r="F3018" s="4"/>
      <c r="G3018" s="4"/>
      <c r="H3018" s="4"/>
      <c r="I3018" s="4"/>
      <c r="J3018" s="18"/>
      <c r="K3018" s="4"/>
      <c r="L3018" s="19"/>
      <c r="M3018" s="20"/>
    </row>
    <row r="3019">
      <c r="A3019" s="6"/>
      <c r="B3019" s="6"/>
      <c r="C3019" s="4"/>
      <c r="D3019" s="4"/>
      <c r="E3019" s="4"/>
      <c r="F3019" s="4"/>
      <c r="G3019" s="4"/>
      <c r="H3019" s="4"/>
      <c r="I3019" s="4"/>
      <c r="J3019" s="18"/>
      <c r="K3019" s="4"/>
      <c r="L3019" s="19"/>
      <c r="M3019" s="20"/>
    </row>
    <row r="3020">
      <c r="A3020" s="6"/>
      <c r="B3020" s="6"/>
      <c r="C3020" s="4"/>
      <c r="D3020" s="4"/>
      <c r="E3020" s="4"/>
      <c r="F3020" s="4"/>
      <c r="G3020" s="4"/>
      <c r="H3020" s="4"/>
      <c r="I3020" s="4"/>
      <c r="J3020" s="18"/>
      <c r="K3020" s="4"/>
      <c r="L3020" s="19"/>
      <c r="M3020" s="20"/>
    </row>
    <row r="3021">
      <c r="A3021" s="6"/>
      <c r="B3021" s="6"/>
      <c r="C3021" s="4"/>
      <c r="D3021" s="4"/>
      <c r="E3021" s="4"/>
      <c r="F3021" s="4"/>
      <c r="G3021" s="4"/>
      <c r="H3021" s="4"/>
      <c r="I3021" s="4"/>
      <c r="J3021" s="18"/>
      <c r="K3021" s="4"/>
      <c r="L3021" s="19"/>
      <c r="M3021" s="20"/>
    </row>
    <row r="3022">
      <c r="A3022" s="6"/>
      <c r="B3022" s="6"/>
      <c r="C3022" s="4"/>
      <c r="D3022" s="4"/>
      <c r="E3022" s="4"/>
      <c r="F3022" s="4"/>
      <c r="G3022" s="4"/>
      <c r="H3022" s="4"/>
      <c r="I3022" s="4"/>
      <c r="J3022" s="18"/>
      <c r="K3022" s="4"/>
      <c r="L3022" s="19"/>
      <c r="M3022" s="20"/>
    </row>
    <row r="3023">
      <c r="A3023" s="6"/>
      <c r="B3023" s="6"/>
      <c r="C3023" s="4"/>
      <c r="D3023" s="4"/>
      <c r="E3023" s="4"/>
      <c r="F3023" s="4"/>
      <c r="G3023" s="4"/>
      <c r="H3023" s="4"/>
      <c r="I3023" s="4"/>
      <c r="J3023" s="18"/>
      <c r="K3023" s="4"/>
      <c r="L3023" s="19"/>
      <c r="M3023" s="20"/>
    </row>
    <row r="3024">
      <c r="A3024" s="6"/>
      <c r="B3024" s="6"/>
      <c r="C3024" s="4"/>
      <c r="D3024" s="4"/>
      <c r="E3024" s="4"/>
      <c r="F3024" s="4"/>
      <c r="G3024" s="4"/>
      <c r="H3024" s="4"/>
      <c r="I3024" s="4"/>
      <c r="J3024" s="18"/>
      <c r="K3024" s="4"/>
      <c r="L3024" s="19"/>
      <c r="M3024" s="20"/>
    </row>
    <row r="3025">
      <c r="A3025" s="6"/>
      <c r="B3025" s="6"/>
      <c r="C3025" s="4"/>
      <c r="D3025" s="4"/>
      <c r="E3025" s="4"/>
      <c r="F3025" s="4"/>
      <c r="G3025" s="4"/>
      <c r="H3025" s="4"/>
      <c r="I3025" s="4"/>
      <c r="J3025" s="18"/>
      <c r="K3025" s="4"/>
      <c r="L3025" s="19"/>
      <c r="M3025" s="20"/>
    </row>
    <row r="3026">
      <c r="A3026" s="6"/>
      <c r="B3026" s="6"/>
      <c r="C3026" s="4"/>
      <c r="D3026" s="4"/>
      <c r="E3026" s="4"/>
      <c r="F3026" s="4"/>
      <c r="G3026" s="4"/>
      <c r="H3026" s="4"/>
      <c r="I3026" s="4"/>
      <c r="J3026" s="18"/>
      <c r="K3026" s="4"/>
      <c r="L3026" s="19"/>
      <c r="M3026" s="20"/>
    </row>
    <row r="3027">
      <c r="A3027" s="6"/>
      <c r="B3027" s="6"/>
      <c r="C3027" s="4"/>
      <c r="D3027" s="4"/>
      <c r="E3027" s="4"/>
      <c r="F3027" s="4"/>
      <c r="G3027" s="4"/>
      <c r="H3027" s="4"/>
      <c r="I3027" s="4"/>
      <c r="J3027" s="18"/>
      <c r="K3027" s="4"/>
      <c r="L3027" s="19"/>
      <c r="M3027" s="20"/>
    </row>
    <row r="3028">
      <c r="A3028" s="6"/>
      <c r="B3028" s="6"/>
      <c r="C3028" s="4"/>
      <c r="D3028" s="4"/>
      <c r="E3028" s="4"/>
      <c r="F3028" s="4"/>
      <c r="G3028" s="4"/>
      <c r="H3028" s="4"/>
      <c r="I3028" s="4"/>
      <c r="J3028" s="18"/>
      <c r="K3028" s="4"/>
      <c r="L3028" s="19"/>
      <c r="M3028" s="20"/>
    </row>
    <row r="3029">
      <c r="A3029" s="6"/>
      <c r="B3029" s="6"/>
      <c r="C3029" s="4"/>
      <c r="D3029" s="4"/>
      <c r="E3029" s="4"/>
      <c r="F3029" s="4"/>
      <c r="G3029" s="4"/>
      <c r="H3029" s="4"/>
      <c r="I3029" s="4"/>
      <c r="J3029" s="18"/>
      <c r="K3029" s="4"/>
      <c r="L3029" s="19"/>
      <c r="M3029" s="20"/>
    </row>
    <row r="3030">
      <c r="A3030" s="6"/>
      <c r="B3030" s="6"/>
      <c r="C3030" s="4"/>
      <c r="D3030" s="4"/>
      <c r="E3030" s="4"/>
      <c r="F3030" s="4"/>
      <c r="G3030" s="4"/>
      <c r="H3030" s="4"/>
      <c r="I3030" s="4"/>
      <c r="J3030" s="18"/>
      <c r="K3030" s="4"/>
      <c r="L3030" s="19"/>
      <c r="M3030" s="20"/>
    </row>
    <row r="3031">
      <c r="A3031" s="6"/>
      <c r="B3031" s="6"/>
      <c r="C3031" s="4"/>
      <c r="D3031" s="4"/>
      <c r="E3031" s="4"/>
      <c r="F3031" s="4"/>
      <c r="G3031" s="4"/>
      <c r="H3031" s="4"/>
      <c r="I3031" s="4"/>
      <c r="J3031" s="18"/>
      <c r="K3031" s="4"/>
      <c r="L3031" s="19"/>
      <c r="M3031" s="20"/>
    </row>
    <row r="3032">
      <c r="A3032" s="6"/>
      <c r="B3032" s="6"/>
      <c r="C3032" s="4"/>
      <c r="D3032" s="4"/>
      <c r="E3032" s="4"/>
      <c r="F3032" s="4"/>
      <c r="G3032" s="4"/>
      <c r="H3032" s="4"/>
      <c r="I3032" s="4"/>
      <c r="J3032" s="18"/>
      <c r="K3032" s="4"/>
      <c r="L3032" s="19"/>
      <c r="M3032" s="20"/>
    </row>
    <row r="3033">
      <c r="A3033" s="6"/>
      <c r="B3033" s="6"/>
      <c r="C3033" s="4"/>
      <c r="D3033" s="4"/>
      <c r="E3033" s="4"/>
      <c r="F3033" s="4"/>
      <c r="G3033" s="4"/>
      <c r="H3033" s="4"/>
      <c r="I3033" s="4"/>
      <c r="J3033" s="18"/>
      <c r="K3033" s="4"/>
      <c r="L3033" s="19"/>
      <c r="M3033" s="20"/>
    </row>
    <row r="3034">
      <c r="A3034" s="6"/>
      <c r="B3034" s="6"/>
      <c r="C3034" s="4"/>
      <c r="D3034" s="4"/>
      <c r="E3034" s="4"/>
      <c r="F3034" s="4"/>
      <c r="G3034" s="4"/>
      <c r="H3034" s="4"/>
      <c r="I3034" s="4"/>
      <c r="J3034" s="18"/>
      <c r="K3034" s="4"/>
      <c r="L3034" s="19"/>
      <c r="M3034" s="20"/>
    </row>
    <row r="3035">
      <c r="A3035" s="6"/>
      <c r="B3035" s="6"/>
      <c r="C3035" s="4"/>
      <c r="D3035" s="4"/>
      <c r="E3035" s="4"/>
      <c r="F3035" s="4"/>
      <c r="G3035" s="4"/>
      <c r="H3035" s="4"/>
      <c r="I3035" s="4"/>
      <c r="J3035" s="18"/>
      <c r="K3035" s="4"/>
      <c r="L3035" s="19"/>
      <c r="M3035" s="20"/>
    </row>
    <row r="3036">
      <c r="A3036" s="6"/>
      <c r="B3036" s="6"/>
      <c r="C3036" s="4"/>
      <c r="D3036" s="4"/>
      <c r="E3036" s="4"/>
      <c r="F3036" s="4"/>
      <c r="G3036" s="4"/>
      <c r="H3036" s="4"/>
      <c r="I3036" s="4"/>
      <c r="J3036" s="18"/>
      <c r="K3036" s="4"/>
      <c r="L3036" s="19"/>
      <c r="M3036" s="20"/>
    </row>
    <row r="3037">
      <c r="A3037" s="6"/>
      <c r="B3037" s="6"/>
      <c r="C3037" s="4"/>
      <c r="D3037" s="4"/>
      <c r="E3037" s="4"/>
      <c r="F3037" s="4"/>
      <c r="G3037" s="4"/>
      <c r="H3037" s="4"/>
      <c r="I3037" s="4"/>
      <c r="J3037" s="18"/>
      <c r="K3037" s="4"/>
      <c r="L3037" s="19"/>
      <c r="M3037" s="20"/>
    </row>
    <row r="3038">
      <c r="A3038" s="6"/>
      <c r="B3038" s="6"/>
      <c r="C3038" s="4"/>
      <c r="D3038" s="4"/>
      <c r="E3038" s="4"/>
      <c r="F3038" s="4"/>
      <c r="G3038" s="4"/>
      <c r="H3038" s="4"/>
      <c r="I3038" s="4"/>
      <c r="J3038" s="18"/>
      <c r="K3038" s="4"/>
      <c r="L3038" s="19"/>
      <c r="M3038" s="20"/>
    </row>
    <row r="3039">
      <c r="A3039" s="6"/>
      <c r="B3039" s="6"/>
      <c r="C3039" s="4"/>
      <c r="D3039" s="4"/>
      <c r="E3039" s="4"/>
      <c r="F3039" s="4"/>
      <c r="G3039" s="4"/>
      <c r="H3039" s="4"/>
      <c r="I3039" s="4"/>
      <c r="J3039" s="18"/>
      <c r="K3039" s="4"/>
      <c r="L3039" s="19"/>
      <c r="M3039" s="20"/>
    </row>
    <row r="3040">
      <c r="A3040" s="6"/>
      <c r="B3040" s="6"/>
      <c r="C3040" s="4"/>
      <c r="D3040" s="4"/>
      <c r="E3040" s="4"/>
      <c r="F3040" s="4"/>
      <c r="G3040" s="4"/>
      <c r="H3040" s="4"/>
      <c r="I3040" s="4"/>
      <c r="J3040" s="18"/>
      <c r="K3040" s="4"/>
      <c r="L3040" s="19"/>
      <c r="M3040" s="20"/>
    </row>
    <row r="3041">
      <c r="A3041" s="6"/>
      <c r="B3041" s="6"/>
      <c r="C3041" s="4"/>
      <c r="D3041" s="4"/>
      <c r="E3041" s="4"/>
      <c r="F3041" s="4"/>
      <c r="G3041" s="4"/>
      <c r="H3041" s="4"/>
      <c r="I3041" s="4"/>
      <c r="J3041" s="18"/>
      <c r="K3041" s="4"/>
      <c r="L3041" s="19"/>
      <c r="M3041" s="20"/>
    </row>
    <row r="3042">
      <c r="A3042" s="6"/>
      <c r="B3042" s="6"/>
      <c r="C3042" s="4"/>
      <c r="D3042" s="4"/>
      <c r="E3042" s="4"/>
      <c r="F3042" s="4"/>
      <c r="G3042" s="4"/>
      <c r="H3042" s="4"/>
      <c r="I3042" s="4"/>
      <c r="J3042" s="18"/>
      <c r="K3042" s="4"/>
      <c r="L3042" s="19"/>
      <c r="M3042" s="20"/>
    </row>
    <row r="3043">
      <c r="A3043" s="6"/>
      <c r="B3043" s="6"/>
      <c r="C3043" s="4"/>
      <c r="D3043" s="4"/>
      <c r="E3043" s="4"/>
      <c r="F3043" s="4"/>
      <c r="G3043" s="4"/>
      <c r="H3043" s="4"/>
      <c r="I3043" s="4"/>
      <c r="J3043" s="18"/>
      <c r="K3043" s="4"/>
      <c r="L3043" s="19"/>
      <c r="M3043" s="20"/>
    </row>
    <row r="3044">
      <c r="A3044" s="6"/>
      <c r="B3044" s="6"/>
      <c r="C3044" s="4"/>
      <c r="D3044" s="4"/>
      <c r="E3044" s="4"/>
      <c r="F3044" s="4"/>
      <c r="G3044" s="4"/>
      <c r="H3044" s="4"/>
      <c r="I3044" s="4"/>
      <c r="J3044" s="18"/>
      <c r="K3044" s="4"/>
      <c r="L3044" s="19"/>
      <c r="M3044" s="20"/>
    </row>
    <row r="3045">
      <c r="A3045" s="6"/>
      <c r="B3045" s="6"/>
      <c r="C3045" s="4"/>
      <c r="D3045" s="4"/>
      <c r="E3045" s="4"/>
      <c r="F3045" s="4"/>
      <c r="G3045" s="4"/>
      <c r="H3045" s="4"/>
      <c r="I3045" s="4"/>
      <c r="J3045" s="18"/>
      <c r="K3045" s="4"/>
      <c r="L3045" s="19"/>
      <c r="M3045" s="20"/>
    </row>
    <row r="3046">
      <c r="A3046" s="6"/>
      <c r="B3046" s="6"/>
      <c r="C3046" s="4"/>
      <c r="D3046" s="4"/>
      <c r="E3046" s="4"/>
      <c r="F3046" s="4"/>
      <c r="G3046" s="4"/>
      <c r="H3046" s="4"/>
      <c r="I3046" s="4"/>
      <c r="J3046" s="18"/>
      <c r="K3046" s="4"/>
      <c r="L3046" s="19"/>
      <c r="M3046" s="20"/>
    </row>
    <row r="3047">
      <c r="A3047" s="6"/>
      <c r="B3047" s="6"/>
      <c r="C3047" s="4"/>
      <c r="D3047" s="4"/>
      <c r="E3047" s="4"/>
      <c r="F3047" s="4"/>
      <c r="G3047" s="4"/>
      <c r="H3047" s="4"/>
      <c r="I3047" s="4"/>
      <c r="J3047" s="18"/>
      <c r="K3047" s="4"/>
      <c r="L3047" s="19"/>
      <c r="M3047" s="20"/>
    </row>
    <row r="3048">
      <c r="A3048" s="6"/>
      <c r="B3048" s="6"/>
      <c r="C3048" s="4"/>
      <c r="D3048" s="4"/>
      <c r="E3048" s="4"/>
      <c r="F3048" s="4"/>
      <c r="G3048" s="4"/>
      <c r="H3048" s="4"/>
      <c r="I3048" s="4"/>
      <c r="J3048" s="18"/>
      <c r="K3048" s="4"/>
      <c r="L3048" s="19"/>
      <c r="M3048" s="20"/>
    </row>
    <row r="3049">
      <c r="A3049" s="6"/>
      <c r="B3049" s="6"/>
      <c r="C3049" s="4"/>
      <c r="D3049" s="4"/>
      <c r="E3049" s="4"/>
      <c r="F3049" s="4"/>
      <c r="G3049" s="4"/>
      <c r="H3049" s="4"/>
      <c r="I3049" s="4"/>
      <c r="J3049" s="18"/>
      <c r="K3049" s="4"/>
      <c r="L3049" s="19"/>
      <c r="M3049" s="20"/>
    </row>
    <row r="3050">
      <c r="A3050" s="6"/>
      <c r="B3050" s="6"/>
      <c r="C3050" s="4"/>
      <c r="D3050" s="4"/>
      <c r="E3050" s="4"/>
      <c r="F3050" s="4"/>
      <c r="G3050" s="4"/>
      <c r="H3050" s="4"/>
      <c r="I3050" s="4"/>
      <c r="J3050" s="18"/>
      <c r="K3050" s="4"/>
      <c r="L3050" s="19"/>
      <c r="M3050" s="20"/>
    </row>
    <row r="3051">
      <c r="A3051" s="6"/>
      <c r="B3051" s="6"/>
      <c r="C3051" s="4"/>
      <c r="D3051" s="4"/>
      <c r="E3051" s="4"/>
      <c r="F3051" s="4"/>
      <c r="G3051" s="4"/>
      <c r="H3051" s="4"/>
      <c r="I3051" s="4"/>
      <c r="J3051" s="18"/>
      <c r="K3051" s="4"/>
      <c r="L3051" s="19"/>
      <c r="M3051" s="20"/>
    </row>
    <row r="3052">
      <c r="A3052" s="6"/>
      <c r="B3052" s="6"/>
      <c r="C3052" s="4"/>
      <c r="D3052" s="4"/>
      <c r="E3052" s="4"/>
      <c r="F3052" s="4"/>
      <c r="G3052" s="4"/>
      <c r="H3052" s="4"/>
      <c r="I3052" s="4"/>
      <c r="J3052" s="18"/>
      <c r="K3052" s="4"/>
      <c r="L3052" s="19"/>
      <c r="M3052" s="20"/>
    </row>
    <row r="3053">
      <c r="A3053" s="6"/>
      <c r="B3053" s="6"/>
      <c r="C3053" s="4"/>
      <c r="D3053" s="4"/>
      <c r="E3053" s="4"/>
      <c r="F3053" s="4"/>
      <c r="G3053" s="4"/>
      <c r="H3053" s="4"/>
      <c r="I3053" s="4"/>
      <c r="J3053" s="18"/>
      <c r="K3053" s="4"/>
      <c r="L3053" s="19"/>
      <c r="M3053" s="20"/>
    </row>
    <row r="3054">
      <c r="A3054" s="6"/>
      <c r="B3054" s="6"/>
      <c r="C3054" s="4"/>
      <c r="D3054" s="4"/>
      <c r="E3054" s="4"/>
      <c r="F3054" s="4"/>
      <c r="G3054" s="4"/>
      <c r="H3054" s="4"/>
      <c r="I3054" s="4"/>
      <c r="J3054" s="18"/>
      <c r="K3054" s="4"/>
      <c r="L3054" s="19"/>
      <c r="M3054" s="20"/>
    </row>
    <row r="3055">
      <c r="A3055" s="6"/>
      <c r="B3055" s="6"/>
      <c r="C3055" s="4"/>
      <c r="D3055" s="4"/>
      <c r="E3055" s="4"/>
      <c r="F3055" s="4"/>
      <c r="G3055" s="4"/>
      <c r="H3055" s="4"/>
      <c r="I3055" s="4"/>
      <c r="J3055" s="18"/>
      <c r="K3055" s="4"/>
      <c r="L3055" s="19"/>
      <c r="M3055" s="20"/>
    </row>
    <row r="3056">
      <c r="A3056" s="6"/>
      <c r="B3056" s="6"/>
      <c r="C3056" s="4"/>
      <c r="D3056" s="4"/>
      <c r="E3056" s="4"/>
      <c r="F3056" s="4"/>
      <c r="G3056" s="4"/>
      <c r="H3056" s="4"/>
      <c r="I3056" s="4"/>
      <c r="J3056" s="18"/>
      <c r="K3056" s="4"/>
      <c r="L3056" s="19"/>
      <c r="M3056" s="20"/>
    </row>
    <row r="3057">
      <c r="A3057" s="6"/>
      <c r="B3057" s="6"/>
      <c r="C3057" s="4"/>
      <c r="D3057" s="4"/>
      <c r="E3057" s="4"/>
      <c r="F3057" s="4"/>
      <c r="G3057" s="4"/>
      <c r="H3057" s="4"/>
      <c r="I3057" s="4"/>
      <c r="J3057" s="18"/>
      <c r="K3057" s="4"/>
      <c r="L3057" s="19"/>
      <c r="M3057" s="20"/>
    </row>
    <row r="3058">
      <c r="A3058" s="6"/>
      <c r="B3058" s="6"/>
      <c r="C3058" s="4"/>
      <c r="D3058" s="4"/>
      <c r="E3058" s="4"/>
      <c r="F3058" s="4"/>
      <c r="G3058" s="4"/>
      <c r="H3058" s="4"/>
      <c r="I3058" s="4"/>
      <c r="J3058" s="18"/>
      <c r="K3058" s="4"/>
      <c r="L3058" s="19"/>
      <c r="M3058" s="20"/>
    </row>
    <row r="3059">
      <c r="A3059" s="6"/>
      <c r="B3059" s="6"/>
      <c r="C3059" s="4"/>
      <c r="D3059" s="4"/>
      <c r="E3059" s="4"/>
      <c r="F3059" s="4"/>
      <c r="G3059" s="4"/>
      <c r="H3059" s="4"/>
      <c r="I3059" s="4"/>
      <c r="J3059" s="18"/>
      <c r="K3059" s="4"/>
      <c r="L3059" s="19"/>
      <c r="M3059" s="20"/>
    </row>
    <row r="3060">
      <c r="A3060" s="6"/>
      <c r="B3060" s="6"/>
      <c r="C3060" s="4"/>
      <c r="D3060" s="4"/>
      <c r="E3060" s="4"/>
      <c r="F3060" s="4"/>
      <c r="G3060" s="4"/>
      <c r="H3060" s="4"/>
      <c r="I3060" s="4"/>
      <c r="J3060" s="18"/>
      <c r="K3060" s="4"/>
      <c r="L3060" s="19"/>
      <c r="M3060" s="20"/>
    </row>
    <row r="3061">
      <c r="A3061" s="6"/>
      <c r="B3061" s="6"/>
      <c r="C3061" s="4"/>
      <c r="D3061" s="4"/>
      <c r="E3061" s="4"/>
      <c r="F3061" s="4"/>
      <c r="G3061" s="4"/>
      <c r="H3061" s="4"/>
      <c r="I3061" s="4"/>
      <c r="J3061" s="18"/>
      <c r="K3061" s="4"/>
      <c r="L3061" s="19"/>
      <c r="M3061" s="20"/>
    </row>
    <row r="3062">
      <c r="A3062" s="6"/>
      <c r="B3062" s="6"/>
      <c r="C3062" s="4"/>
      <c r="D3062" s="4"/>
      <c r="E3062" s="4"/>
      <c r="F3062" s="4"/>
      <c r="G3062" s="4"/>
      <c r="H3062" s="4"/>
      <c r="I3062" s="4"/>
      <c r="J3062" s="18"/>
      <c r="K3062" s="4"/>
      <c r="L3062" s="19"/>
      <c r="M3062" s="20"/>
    </row>
    <row r="3063">
      <c r="A3063" s="6"/>
      <c r="B3063" s="6"/>
      <c r="C3063" s="4"/>
      <c r="D3063" s="4"/>
      <c r="E3063" s="4"/>
      <c r="F3063" s="4"/>
      <c r="G3063" s="4"/>
      <c r="H3063" s="4"/>
      <c r="I3063" s="4"/>
      <c r="J3063" s="18"/>
      <c r="K3063" s="4"/>
      <c r="L3063" s="19"/>
      <c r="M3063" s="20"/>
    </row>
    <row r="3064">
      <c r="A3064" s="6"/>
      <c r="B3064" s="6"/>
      <c r="C3064" s="4"/>
      <c r="D3064" s="4"/>
      <c r="E3064" s="4"/>
      <c r="F3064" s="4"/>
      <c r="G3064" s="4"/>
      <c r="H3064" s="4"/>
      <c r="I3064" s="4"/>
      <c r="J3064" s="18"/>
      <c r="K3064" s="4"/>
      <c r="L3064" s="19"/>
      <c r="M3064" s="20"/>
    </row>
    <row r="3065">
      <c r="A3065" s="6"/>
      <c r="B3065" s="6"/>
      <c r="C3065" s="4"/>
      <c r="D3065" s="4"/>
      <c r="E3065" s="4"/>
      <c r="F3065" s="4"/>
      <c r="G3065" s="4"/>
      <c r="H3065" s="4"/>
      <c r="I3065" s="4"/>
      <c r="J3065" s="18"/>
      <c r="K3065" s="4"/>
      <c r="L3065" s="19"/>
      <c r="M3065" s="20"/>
    </row>
    <row r="3066">
      <c r="A3066" s="6"/>
      <c r="B3066" s="6"/>
      <c r="C3066" s="4"/>
      <c r="D3066" s="4"/>
      <c r="E3066" s="4"/>
      <c r="F3066" s="4"/>
      <c r="G3066" s="4"/>
      <c r="H3066" s="4"/>
      <c r="I3066" s="4"/>
      <c r="J3066" s="18"/>
      <c r="K3066" s="4"/>
      <c r="L3066" s="19"/>
      <c r="M3066" s="20"/>
    </row>
    <row r="3067">
      <c r="A3067" s="6"/>
      <c r="B3067" s="6"/>
      <c r="C3067" s="4"/>
      <c r="D3067" s="4"/>
      <c r="E3067" s="4"/>
      <c r="F3067" s="4"/>
      <c r="G3067" s="4"/>
      <c r="H3067" s="4"/>
      <c r="I3067" s="4"/>
      <c r="J3067" s="18"/>
      <c r="K3067" s="4"/>
      <c r="L3067" s="19"/>
      <c r="M3067" s="20"/>
    </row>
    <row r="3068">
      <c r="A3068" s="6"/>
      <c r="B3068" s="6"/>
      <c r="C3068" s="4"/>
      <c r="D3068" s="4"/>
      <c r="E3068" s="4"/>
      <c r="F3068" s="4"/>
      <c r="G3068" s="4"/>
      <c r="H3068" s="4"/>
      <c r="I3068" s="4"/>
      <c r="J3068" s="18"/>
      <c r="K3068" s="4"/>
      <c r="L3068" s="19"/>
      <c r="M3068" s="20"/>
    </row>
    <row r="3069">
      <c r="A3069" s="6"/>
      <c r="B3069" s="6"/>
      <c r="C3069" s="4"/>
      <c r="D3069" s="4"/>
      <c r="E3069" s="4"/>
      <c r="F3069" s="4"/>
      <c r="G3069" s="4"/>
      <c r="H3069" s="4"/>
      <c r="I3069" s="4"/>
      <c r="J3069" s="18"/>
      <c r="K3069" s="4"/>
      <c r="L3069" s="19"/>
      <c r="M3069" s="20"/>
    </row>
    <row r="3070">
      <c r="A3070" s="6"/>
      <c r="B3070" s="6"/>
      <c r="C3070" s="4"/>
      <c r="D3070" s="4"/>
      <c r="E3070" s="4"/>
      <c r="F3070" s="4"/>
      <c r="G3070" s="4"/>
      <c r="H3070" s="4"/>
      <c r="I3070" s="4"/>
      <c r="J3070" s="18"/>
      <c r="K3070" s="4"/>
      <c r="L3070" s="19"/>
      <c r="M3070" s="20"/>
    </row>
    <row r="3071">
      <c r="A3071" s="6"/>
      <c r="B3071" s="6"/>
      <c r="C3071" s="4"/>
      <c r="D3071" s="4"/>
      <c r="E3071" s="4"/>
      <c r="F3071" s="4"/>
      <c r="G3071" s="4"/>
      <c r="H3071" s="4"/>
      <c r="I3071" s="4"/>
      <c r="J3071" s="18"/>
      <c r="K3071" s="4"/>
      <c r="L3071" s="19"/>
      <c r="M3071" s="20"/>
    </row>
    <row r="3072">
      <c r="A3072" s="6"/>
      <c r="B3072" s="6"/>
      <c r="C3072" s="4"/>
      <c r="D3072" s="4"/>
      <c r="E3072" s="4"/>
      <c r="F3072" s="4"/>
      <c r="G3072" s="4"/>
      <c r="H3072" s="4"/>
      <c r="I3072" s="4"/>
      <c r="J3072" s="18"/>
      <c r="K3072" s="4"/>
      <c r="L3072" s="19"/>
      <c r="M3072" s="20"/>
    </row>
    <row r="3073">
      <c r="A3073" s="6"/>
      <c r="B3073" s="6"/>
      <c r="C3073" s="4"/>
      <c r="D3073" s="4"/>
      <c r="E3073" s="4"/>
      <c r="F3073" s="4"/>
      <c r="G3073" s="4"/>
      <c r="H3073" s="4"/>
      <c r="I3073" s="4"/>
      <c r="J3073" s="18"/>
      <c r="K3073" s="4"/>
      <c r="L3073" s="19"/>
      <c r="M3073" s="20"/>
    </row>
    <row r="3074">
      <c r="A3074" s="6"/>
      <c r="B3074" s="6"/>
      <c r="C3074" s="4"/>
      <c r="D3074" s="4"/>
      <c r="E3074" s="4"/>
      <c r="F3074" s="4"/>
      <c r="G3074" s="4"/>
      <c r="H3074" s="4"/>
      <c r="I3074" s="4"/>
      <c r="J3074" s="18"/>
      <c r="K3074" s="4"/>
      <c r="L3074" s="19"/>
      <c r="M3074" s="20"/>
    </row>
    <row r="3075">
      <c r="A3075" s="6"/>
      <c r="B3075" s="6"/>
      <c r="C3075" s="4"/>
      <c r="D3075" s="4"/>
      <c r="E3075" s="4"/>
      <c r="F3075" s="4"/>
      <c r="G3075" s="4"/>
      <c r="H3075" s="4"/>
      <c r="I3075" s="4"/>
      <c r="J3075" s="18"/>
      <c r="K3075" s="4"/>
      <c r="L3075" s="19"/>
      <c r="M3075" s="20"/>
    </row>
    <row r="3076">
      <c r="A3076" s="6"/>
      <c r="B3076" s="6"/>
      <c r="C3076" s="4"/>
      <c r="D3076" s="4"/>
      <c r="E3076" s="4"/>
      <c r="F3076" s="4"/>
      <c r="G3076" s="4"/>
      <c r="H3076" s="4"/>
      <c r="I3076" s="4"/>
      <c r="J3076" s="18"/>
      <c r="K3076" s="4"/>
      <c r="L3076" s="19"/>
      <c r="M3076" s="20"/>
    </row>
    <row r="3077">
      <c r="A3077" s="6"/>
      <c r="B3077" s="6"/>
      <c r="C3077" s="4"/>
      <c r="D3077" s="4"/>
      <c r="E3077" s="4"/>
      <c r="F3077" s="4"/>
      <c r="G3077" s="4"/>
      <c r="H3077" s="4"/>
      <c r="I3077" s="4"/>
      <c r="J3077" s="18"/>
      <c r="K3077" s="4"/>
      <c r="L3077" s="19"/>
      <c r="M3077" s="20"/>
    </row>
    <row r="3078">
      <c r="A3078" s="6"/>
      <c r="B3078" s="6"/>
      <c r="C3078" s="4"/>
      <c r="D3078" s="4"/>
      <c r="E3078" s="4"/>
      <c r="F3078" s="4"/>
      <c r="G3078" s="4"/>
      <c r="H3078" s="4"/>
      <c r="I3078" s="4"/>
      <c r="J3078" s="18"/>
      <c r="K3078" s="4"/>
      <c r="L3078" s="19"/>
      <c r="M3078" s="20"/>
    </row>
    <row r="3079">
      <c r="A3079" s="6"/>
      <c r="B3079" s="6"/>
      <c r="C3079" s="4"/>
      <c r="D3079" s="4"/>
      <c r="E3079" s="4"/>
      <c r="F3079" s="4"/>
      <c r="G3079" s="4"/>
      <c r="H3079" s="4"/>
      <c r="I3079" s="4"/>
      <c r="J3079" s="18"/>
      <c r="K3079" s="4"/>
      <c r="L3079" s="19"/>
      <c r="M3079" s="20"/>
    </row>
    <row r="3080">
      <c r="A3080" s="6"/>
      <c r="B3080" s="6"/>
      <c r="C3080" s="4"/>
      <c r="D3080" s="4"/>
      <c r="E3080" s="4"/>
      <c r="F3080" s="4"/>
      <c r="G3080" s="4"/>
      <c r="H3080" s="4"/>
      <c r="I3080" s="4"/>
      <c r="J3080" s="18"/>
      <c r="K3080" s="4"/>
      <c r="L3080" s="19"/>
      <c r="M3080" s="20"/>
    </row>
    <row r="3081">
      <c r="A3081" s="6"/>
      <c r="B3081" s="6"/>
      <c r="C3081" s="4"/>
      <c r="D3081" s="4"/>
      <c r="E3081" s="4"/>
      <c r="F3081" s="4"/>
      <c r="G3081" s="4"/>
      <c r="H3081" s="4"/>
      <c r="I3081" s="4"/>
      <c r="J3081" s="18"/>
      <c r="K3081" s="4"/>
      <c r="L3081" s="19"/>
      <c r="M3081" s="20"/>
    </row>
    <row r="3082">
      <c r="A3082" s="6"/>
      <c r="B3082" s="6"/>
      <c r="C3082" s="4"/>
      <c r="D3082" s="4"/>
      <c r="E3082" s="4"/>
      <c r="F3082" s="4"/>
      <c r="G3082" s="4"/>
      <c r="H3082" s="4"/>
      <c r="I3082" s="4"/>
      <c r="J3082" s="18"/>
      <c r="K3082" s="4"/>
      <c r="L3082" s="19"/>
      <c r="M3082" s="20"/>
    </row>
    <row r="3083">
      <c r="A3083" s="6"/>
      <c r="B3083" s="6"/>
      <c r="C3083" s="4"/>
      <c r="D3083" s="4"/>
      <c r="E3083" s="4"/>
      <c r="F3083" s="4"/>
      <c r="G3083" s="4"/>
      <c r="H3083" s="4"/>
      <c r="I3083" s="4"/>
      <c r="J3083" s="18"/>
      <c r="K3083" s="4"/>
      <c r="L3083" s="19"/>
      <c r="M3083" s="20"/>
    </row>
    <row r="3084">
      <c r="A3084" s="6"/>
      <c r="B3084" s="6"/>
      <c r="C3084" s="4"/>
      <c r="D3084" s="4"/>
      <c r="E3084" s="4"/>
      <c r="F3084" s="4"/>
      <c r="G3084" s="4"/>
      <c r="H3084" s="4"/>
      <c r="I3084" s="4"/>
      <c r="J3084" s="18"/>
      <c r="K3084" s="4"/>
      <c r="L3084" s="19"/>
      <c r="M3084" s="20"/>
    </row>
    <row r="3085">
      <c r="A3085" s="6"/>
      <c r="B3085" s="6"/>
      <c r="C3085" s="4"/>
      <c r="D3085" s="4"/>
      <c r="E3085" s="4"/>
      <c r="F3085" s="4"/>
      <c r="G3085" s="4"/>
      <c r="H3085" s="4"/>
      <c r="I3085" s="4"/>
      <c r="J3085" s="18"/>
      <c r="K3085" s="4"/>
      <c r="L3085" s="19"/>
      <c r="M3085" s="20"/>
    </row>
    <row r="3086">
      <c r="A3086" s="6"/>
      <c r="B3086" s="6"/>
      <c r="C3086" s="4"/>
      <c r="D3086" s="4"/>
      <c r="E3086" s="4"/>
      <c r="F3086" s="4"/>
      <c r="G3086" s="4"/>
      <c r="H3086" s="4"/>
      <c r="I3086" s="4"/>
      <c r="J3086" s="18"/>
      <c r="K3086" s="4"/>
      <c r="L3086" s="19"/>
      <c r="M3086" s="20"/>
    </row>
    <row r="3087">
      <c r="A3087" s="6"/>
      <c r="B3087" s="6"/>
      <c r="C3087" s="4"/>
      <c r="D3087" s="4"/>
      <c r="E3087" s="4"/>
      <c r="F3087" s="4"/>
      <c r="G3087" s="4"/>
      <c r="H3087" s="4"/>
      <c r="I3087" s="4"/>
      <c r="J3087" s="18"/>
      <c r="K3087" s="4"/>
      <c r="L3087" s="19"/>
      <c r="M3087" s="20"/>
    </row>
    <row r="3088">
      <c r="A3088" s="6"/>
      <c r="B3088" s="6"/>
      <c r="C3088" s="4"/>
      <c r="D3088" s="4"/>
      <c r="E3088" s="4"/>
      <c r="F3088" s="4"/>
      <c r="G3088" s="4"/>
      <c r="H3088" s="4"/>
      <c r="I3088" s="4"/>
      <c r="J3088" s="18"/>
      <c r="K3088" s="4"/>
      <c r="L3088" s="19"/>
      <c r="M3088" s="20"/>
    </row>
    <row r="3089">
      <c r="A3089" s="6"/>
      <c r="B3089" s="6"/>
      <c r="C3089" s="4"/>
      <c r="D3089" s="4"/>
      <c r="E3089" s="4"/>
      <c r="F3089" s="4"/>
      <c r="G3089" s="4"/>
      <c r="H3089" s="4"/>
      <c r="I3089" s="4"/>
      <c r="J3089" s="18"/>
      <c r="K3089" s="4"/>
      <c r="L3089" s="19"/>
      <c r="M3089" s="20"/>
    </row>
    <row r="3090">
      <c r="A3090" s="6"/>
      <c r="B3090" s="6"/>
      <c r="C3090" s="4"/>
      <c r="D3090" s="4"/>
      <c r="E3090" s="4"/>
      <c r="F3090" s="4"/>
      <c r="G3090" s="4"/>
      <c r="H3090" s="4"/>
      <c r="I3090" s="4"/>
      <c r="J3090" s="18"/>
      <c r="K3090" s="4"/>
      <c r="L3090" s="19"/>
      <c r="M3090" s="20"/>
    </row>
    <row r="3091">
      <c r="A3091" s="6"/>
      <c r="B3091" s="6"/>
      <c r="C3091" s="4"/>
      <c r="D3091" s="4"/>
      <c r="E3091" s="4"/>
      <c r="F3091" s="4"/>
      <c r="G3091" s="4"/>
      <c r="H3091" s="4"/>
      <c r="I3091" s="4"/>
      <c r="J3091" s="18"/>
      <c r="K3091" s="4"/>
      <c r="L3091" s="19"/>
      <c r="M3091" s="20"/>
    </row>
    <row r="3092">
      <c r="A3092" s="6"/>
      <c r="B3092" s="6"/>
      <c r="C3092" s="4"/>
      <c r="D3092" s="4"/>
      <c r="E3092" s="4"/>
      <c r="F3092" s="4"/>
      <c r="G3092" s="4"/>
      <c r="H3092" s="4"/>
      <c r="I3092" s="4"/>
      <c r="J3092" s="18"/>
      <c r="K3092" s="4"/>
      <c r="L3092" s="19"/>
      <c r="M3092" s="20"/>
    </row>
    <row r="3093">
      <c r="A3093" s="6"/>
      <c r="B3093" s="6"/>
      <c r="C3093" s="4"/>
      <c r="D3093" s="4"/>
      <c r="E3093" s="4"/>
      <c r="F3093" s="4"/>
      <c r="G3093" s="4"/>
      <c r="H3093" s="4"/>
      <c r="I3093" s="4"/>
      <c r="J3093" s="18"/>
      <c r="K3093" s="4"/>
      <c r="L3093" s="19"/>
      <c r="M3093" s="20"/>
    </row>
    <row r="3094">
      <c r="A3094" s="6"/>
      <c r="B3094" s="6"/>
      <c r="C3094" s="4"/>
      <c r="D3094" s="4"/>
      <c r="E3094" s="4"/>
      <c r="F3094" s="4"/>
      <c r="G3094" s="4"/>
      <c r="H3094" s="4"/>
      <c r="I3094" s="4"/>
      <c r="J3094" s="18"/>
      <c r="K3094" s="4"/>
      <c r="L3094" s="19"/>
      <c r="M3094" s="20"/>
    </row>
    <row r="3095">
      <c r="A3095" s="6"/>
      <c r="B3095" s="6"/>
      <c r="C3095" s="4"/>
      <c r="D3095" s="4"/>
      <c r="E3095" s="4"/>
      <c r="F3095" s="4"/>
      <c r="G3095" s="4"/>
      <c r="H3095" s="4"/>
      <c r="I3095" s="4"/>
      <c r="J3095" s="18"/>
      <c r="K3095" s="4"/>
      <c r="L3095" s="19"/>
      <c r="M3095" s="20"/>
    </row>
    <row r="3096">
      <c r="A3096" s="6"/>
      <c r="B3096" s="6"/>
      <c r="C3096" s="4"/>
      <c r="D3096" s="4"/>
      <c r="E3096" s="4"/>
      <c r="F3096" s="4"/>
      <c r="G3096" s="4"/>
      <c r="H3096" s="4"/>
      <c r="I3096" s="4"/>
      <c r="J3096" s="18"/>
      <c r="K3096" s="4"/>
      <c r="L3096" s="19"/>
      <c r="M3096" s="20"/>
    </row>
    <row r="3097">
      <c r="A3097" s="6"/>
      <c r="B3097" s="6"/>
      <c r="C3097" s="4"/>
      <c r="D3097" s="4"/>
      <c r="E3097" s="4"/>
      <c r="F3097" s="4"/>
      <c r="G3097" s="4"/>
      <c r="H3097" s="4"/>
      <c r="I3097" s="4"/>
      <c r="J3097" s="18"/>
      <c r="K3097" s="4"/>
      <c r="L3097" s="19"/>
      <c r="M3097" s="20"/>
    </row>
    <row r="3098">
      <c r="A3098" s="6"/>
      <c r="B3098" s="6"/>
      <c r="C3098" s="4"/>
      <c r="D3098" s="4"/>
      <c r="E3098" s="4"/>
      <c r="F3098" s="4"/>
      <c r="G3098" s="4"/>
      <c r="H3098" s="4"/>
      <c r="I3098" s="4"/>
      <c r="J3098" s="18"/>
      <c r="K3098" s="4"/>
      <c r="L3098" s="19"/>
      <c r="M3098" s="20"/>
    </row>
    <row r="3099">
      <c r="A3099" s="6"/>
      <c r="B3099" s="6"/>
      <c r="C3099" s="4"/>
      <c r="D3099" s="4"/>
      <c r="E3099" s="4"/>
      <c r="F3099" s="4"/>
      <c r="G3099" s="4"/>
      <c r="H3099" s="4"/>
      <c r="I3099" s="4"/>
      <c r="J3099" s="18"/>
      <c r="K3099" s="4"/>
      <c r="L3099" s="19"/>
      <c r="M3099" s="20"/>
    </row>
    <row r="3100">
      <c r="A3100" s="6"/>
      <c r="B3100" s="6"/>
      <c r="C3100" s="4"/>
      <c r="D3100" s="4"/>
      <c r="E3100" s="4"/>
      <c r="F3100" s="4"/>
      <c r="G3100" s="4"/>
      <c r="H3100" s="4"/>
      <c r="I3100" s="4"/>
      <c r="J3100" s="18"/>
      <c r="K3100" s="4"/>
      <c r="L3100" s="19"/>
      <c r="M3100" s="20"/>
    </row>
    <row r="3101">
      <c r="A3101" s="6"/>
      <c r="B3101" s="6"/>
      <c r="C3101" s="4"/>
      <c r="D3101" s="4"/>
      <c r="E3101" s="4"/>
      <c r="F3101" s="4"/>
      <c r="G3101" s="4"/>
      <c r="H3101" s="4"/>
      <c r="I3101" s="4"/>
      <c r="J3101" s="18"/>
      <c r="K3101" s="4"/>
      <c r="L3101" s="19"/>
      <c r="M3101" s="20"/>
    </row>
    <row r="3102">
      <c r="A3102" s="6"/>
      <c r="B3102" s="6"/>
      <c r="C3102" s="4"/>
      <c r="D3102" s="4"/>
      <c r="E3102" s="4"/>
      <c r="F3102" s="4"/>
      <c r="G3102" s="4"/>
      <c r="H3102" s="4"/>
      <c r="I3102" s="4"/>
      <c r="J3102" s="18"/>
      <c r="K3102" s="4"/>
      <c r="L3102" s="19"/>
      <c r="M3102" s="20"/>
    </row>
    <row r="3103">
      <c r="A3103" s="6"/>
      <c r="B3103" s="6"/>
      <c r="C3103" s="4"/>
      <c r="D3103" s="4"/>
      <c r="E3103" s="4"/>
      <c r="F3103" s="4"/>
      <c r="G3103" s="4"/>
      <c r="H3103" s="4"/>
      <c r="I3103" s="4"/>
      <c r="J3103" s="18"/>
      <c r="K3103" s="4"/>
      <c r="L3103" s="19"/>
      <c r="M3103" s="20"/>
    </row>
    <row r="3104">
      <c r="A3104" s="6"/>
      <c r="B3104" s="6"/>
      <c r="C3104" s="4"/>
      <c r="D3104" s="4"/>
      <c r="E3104" s="4"/>
      <c r="F3104" s="4"/>
      <c r="G3104" s="4"/>
      <c r="H3104" s="4"/>
      <c r="I3104" s="4"/>
      <c r="J3104" s="18"/>
      <c r="K3104" s="4"/>
      <c r="L3104" s="19"/>
      <c r="M3104" s="20"/>
    </row>
    <row r="3105">
      <c r="A3105" s="6"/>
      <c r="B3105" s="6"/>
      <c r="C3105" s="4"/>
      <c r="D3105" s="4"/>
      <c r="E3105" s="4"/>
      <c r="F3105" s="4"/>
      <c r="G3105" s="4"/>
      <c r="H3105" s="4"/>
      <c r="I3105" s="4"/>
      <c r="J3105" s="18"/>
      <c r="K3105" s="4"/>
      <c r="L3105" s="19"/>
      <c r="M3105" s="20"/>
    </row>
    <row r="3106">
      <c r="A3106" s="6"/>
      <c r="B3106" s="6"/>
      <c r="C3106" s="4"/>
      <c r="D3106" s="4"/>
      <c r="E3106" s="4"/>
      <c r="F3106" s="4"/>
      <c r="G3106" s="4"/>
      <c r="H3106" s="4"/>
      <c r="I3106" s="4"/>
      <c r="J3106" s="18"/>
      <c r="K3106" s="4"/>
      <c r="L3106" s="19"/>
      <c r="M3106" s="20"/>
    </row>
    <row r="3107">
      <c r="A3107" s="6"/>
      <c r="B3107" s="6"/>
      <c r="C3107" s="4"/>
      <c r="D3107" s="4"/>
      <c r="E3107" s="4"/>
      <c r="F3107" s="4"/>
      <c r="G3107" s="4"/>
      <c r="H3107" s="4"/>
      <c r="I3107" s="4"/>
      <c r="J3107" s="18"/>
      <c r="K3107" s="4"/>
      <c r="L3107" s="19"/>
      <c r="M3107" s="20"/>
    </row>
    <row r="3108">
      <c r="A3108" s="6"/>
      <c r="B3108" s="6"/>
      <c r="C3108" s="4"/>
      <c r="D3108" s="4"/>
      <c r="E3108" s="4"/>
      <c r="F3108" s="4"/>
      <c r="G3108" s="4"/>
      <c r="H3108" s="4"/>
      <c r="I3108" s="4"/>
      <c r="J3108" s="18"/>
      <c r="K3108" s="4"/>
      <c r="L3108" s="19"/>
      <c r="M3108" s="20"/>
    </row>
    <row r="3109">
      <c r="A3109" s="6"/>
      <c r="B3109" s="6"/>
      <c r="C3109" s="4"/>
      <c r="D3109" s="4"/>
      <c r="E3109" s="4"/>
      <c r="F3109" s="4"/>
      <c r="G3109" s="4"/>
      <c r="H3109" s="4"/>
      <c r="I3109" s="4"/>
      <c r="J3109" s="18"/>
      <c r="K3109" s="4"/>
      <c r="L3109" s="19"/>
      <c r="M3109" s="20"/>
    </row>
    <row r="3110">
      <c r="A3110" s="6"/>
      <c r="B3110" s="6"/>
      <c r="C3110" s="4"/>
      <c r="D3110" s="4"/>
      <c r="E3110" s="4"/>
      <c r="F3110" s="4"/>
      <c r="G3110" s="4"/>
      <c r="H3110" s="4"/>
      <c r="I3110" s="4"/>
      <c r="J3110" s="18"/>
      <c r="K3110" s="4"/>
      <c r="L3110" s="19"/>
      <c r="M3110" s="20"/>
    </row>
    <row r="3111">
      <c r="A3111" s="6"/>
      <c r="B3111" s="6"/>
      <c r="C3111" s="4"/>
      <c r="D3111" s="4"/>
      <c r="E3111" s="4"/>
      <c r="F3111" s="4"/>
      <c r="G3111" s="4"/>
      <c r="H3111" s="4"/>
      <c r="I3111" s="4"/>
      <c r="J3111" s="18"/>
      <c r="K3111" s="4"/>
      <c r="L3111" s="19"/>
      <c r="M3111" s="20"/>
    </row>
    <row r="3112">
      <c r="A3112" s="6"/>
      <c r="B3112" s="6"/>
      <c r="C3112" s="4"/>
      <c r="D3112" s="4"/>
      <c r="E3112" s="4"/>
      <c r="F3112" s="4"/>
      <c r="G3112" s="4"/>
      <c r="H3112" s="4"/>
      <c r="I3112" s="4"/>
      <c r="J3112" s="18"/>
      <c r="K3112" s="4"/>
      <c r="L3112" s="19"/>
      <c r="M3112" s="20"/>
    </row>
    <row r="3113">
      <c r="A3113" s="6"/>
      <c r="B3113" s="6"/>
      <c r="C3113" s="4"/>
      <c r="D3113" s="4"/>
      <c r="E3113" s="4"/>
      <c r="F3113" s="4"/>
      <c r="G3113" s="4"/>
      <c r="H3113" s="4"/>
      <c r="I3113" s="4"/>
      <c r="J3113" s="18"/>
      <c r="K3113" s="4"/>
      <c r="L3113" s="19"/>
      <c r="M3113" s="20"/>
    </row>
    <row r="3114">
      <c r="A3114" s="6"/>
      <c r="B3114" s="6"/>
      <c r="C3114" s="4"/>
      <c r="D3114" s="4"/>
      <c r="E3114" s="4"/>
      <c r="F3114" s="4"/>
      <c r="G3114" s="4"/>
      <c r="H3114" s="4"/>
      <c r="I3114" s="4"/>
      <c r="J3114" s="18"/>
      <c r="K3114" s="4"/>
      <c r="L3114" s="19"/>
      <c r="M3114" s="20"/>
    </row>
    <row r="3115">
      <c r="A3115" s="6"/>
      <c r="B3115" s="6"/>
      <c r="C3115" s="4"/>
      <c r="D3115" s="4"/>
      <c r="E3115" s="4"/>
      <c r="F3115" s="4"/>
      <c r="G3115" s="4"/>
      <c r="H3115" s="4"/>
      <c r="I3115" s="4"/>
      <c r="J3115" s="18"/>
      <c r="K3115" s="4"/>
      <c r="L3115" s="19"/>
      <c r="M3115" s="20"/>
    </row>
    <row r="3116">
      <c r="A3116" s="6"/>
      <c r="B3116" s="6"/>
      <c r="C3116" s="4"/>
      <c r="D3116" s="4"/>
      <c r="E3116" s="4"/>
      <c r="F3116" s="4"/>
      <c r="G3116" s="4"/>
      <c r="H3116" s="4"/>
      <c r="I3116" s="4"/>
      <c r="J3116" s="18"/>
      <c r="K3116" s="4"/>
      <c r="L3116" s="19"/>
      <c r="M3116" s="20"/>
    </row>
    <row r="3117">
      <c r="A3117" s="6"/>
      <c r="B3117" s="6"/>
      <c r="C3117" s="4"/>
      <c r="D3117" s="4"/>
      <c r="E3117" s="4"/>
      <c r="F3117" s="4"/>
      <c r="G3117" s="4"/>
      <c r="H3117" s="4"/>
      <c r="I3117" s="4"/>
      <c r="J3117" s="18"/>
      <c r="K3117" s="4"/>
      <c r="L3117" s="19"/>
      <c r="M3117" s="20"/>
    </row>
    <row r="3118">
      <c r="A3118" s="6"/>
      <c r="B3118" s="6"/>
      <c r="C3118" s="4"/>
      <c r="D3118" s="4"/>
      <c r="E3118" s="4"/>
      <c r="F3118" s="4"/>
      <c r="G3118" s="4"/>
      <c r="H3118" s="4"/>
      <c r="I3118" s="4"/>
      <c r="J3118" s="18"/>
      <c r="K3118" s="4"/>
      <c r="L3118" s="19"/>
      <c r="M3118" s="20"/>
    </row>
    <row r="3119">
      <c r="A3119" s="6"/>
      <c r="B3119" s="6"/>
      <c r="C3119" s="4"/>
      <c r="D3119" s="4"/>
      <c r="E3119" s="4"/>
      <c r="F3119" s="4"/>
      <c r="G3119" s="4"/>
      <c r="H3119" s="4"/>
      <c r="I3119" s="4"/>
      <c r="J3119" s="18"/>
      <c r="K3119" s="4"/>
      <c r="L3119" s="19"/>
      <c r="M3119" s="20"/>
    </row>
    <row r="3120">
      <c r="A3120" s="6"/>
      <c r="B3120" s="6"/>
      <c r="C3120" s="4"/>
      <c r="D3120" s="4"/>
      <c r="E3120" s="4"/>
      <c r="F3120" s="4"/>
      <c r="G3120" s="4"/>
      <c r="H3120" s="4"/>
      <c r="I3120" s="4"/>
      <c r="J3120" s="18"/>
      <c r="K3120" s="4"/>
      <c r="L3120" s="19"/>
      <c r="M3120" s="20"/>
    </row>
    <row r="3121">
      <c r="A3121" s="6"/>
      <c r="B3121" s="6"/>
      <c r="C3121" s="4"/>
      <c r="D3121" s="4"/>
      <c r="E3121" s="4"/>
      <c r="F3121" s="4"/>
      <c r="G3121" s="4"/>
      <c r="H3121" s="4"/>
      <c r="I3121" s="4"/>
      <c r="J3121" s="18"/>
      <c r="K3121" s="4"/>
      <c r="L3121" s="19"/>
      <c r="M3121" s="20"/>
    </row>
    <row r="3122">
      <c r="A3122" s="6"/>
      <c r="B3122" s="6"/>
      <c r="C3122" s="4"/>
      <c r="D3122" s="4"/>
      <c r="E3122" s="4"/>
      <c r="F3122" s="4"/>
      <c r="G3122" s="4"/>
      <c r="H3122" s="4"/>
      <c r="I3122" s="4"/>
      <c r="J3122" s="18"/>
      <c r="K3122" s="4"/>
      <c r="L3122" s="19"/>
      <c r="M3122" s="20"/>
    </row>
    <row r="3123">
      <c r="A3123" s="6"/>
      <c r="B3123" s="6"/>
      <c r="C3123" s="4"/>
      <c r="D3123" s="4"/>
      <c r="E3123" s="4"/>
      <c r="F3123" s="4"/>
      <c r="G3123" s="4"/>
      <c r="H3123" s="4"/>
      <c r="I3123" s="4"/>
      <c r="J3123" s="18"/>
      <c r="K3123" s="4"/>
      <c r="L3123" s="19"/>
      <c r="M3123" s="20"/>
    </row>
    <row r="3124">
      <c r="A3124" s="6"/>
      <c r="B3124" s="6"/>
      <c r="C3124" s="4"/>
      <c r="D3124" s="4"/>
      <c r="E3124" s="4"/>
      <c r="F3124" s="4"/>
      <c r="G3124" s="4"/>
      <c r="H3124" s="4"/>
      <c r="I3124" s="4"/>
      <c r="J3124" s="18"/>
      <c r="K3124" s="4"/>
      <c r="L3124" s="19"/>
      <c r="M3124" s="20"/>
    </row>
    <row r="3125">
      <c r="A3125" s="6"/>
      <c r="B3125" s="6"/>
      <c r="C3125" s="4"/>
      <c r="D3125" s="4"/>
      <c r="E3125" s="4"/>
      <c r="F3125" s="4"/>
      <c r="G3125" s="4"/>
      <c r="H3125" s="4"/>
      <c r="I3125" s="4"/>
      <c r="J3125" s="18"/>
      <c r="K3125" s="4"/>
      <c r="L3125" s="19"/>
      <c r="M3125" s="20"/>
    </row>
    <row r="3126">
      <c r="A3126" s="6"/>
      <c r="B3126" s="6"/>
      <c r="C3126" s="4"/>
      <c r="D3126" s="4"/>
      <c r="E3126" s="4"/>
      <c r="F3126" s="4"/>
      <c r="G3126" s="4"/>
      <c r="H3126" s="4"/>
      <c r="I3126" s="4"/>
      <c r="J3126" s="18"/>
      <c r="K3126" s="4"/>
      <c r="L3126" s="19"/>
      <c r="M3126" s="20"/>
    </row>
    <row r="3127">
      <c r="A3127" s="6"/>
      <c r="B3127" s="6"/>
      <c r="C3127" s="4"/>
      <c r="D3127" s="4"/>
      <c r="E3127" s="4"/>
      <c r="F3127" s="4"/>
      <c r="G3127" s="4"/>
      <c r="H3127" s="4"/>
      <c r="I3127" s="4"/>
      <c r="J3127" s="18"/>
      <c r="K3127" s="4"/>
      <c r="L3127" s="19"/>
      <c r="M3127" s="20"/>
    </row>
    <row r="3128">
      <c r="A3128" s="6"/>
      <c r="B3128" s="6"/>
      <c r="C3128" s="4"/>
      <c r="D3128" s="4"/>
      <c r="E3128" s="4"/>
      <c r="F3128" s="4"/>
      <c r="G3128" s="4"/>
      <c r="H3128" s="4"/>
      <c r="I3128" s="4"/>
      <c r="J3128" s="18"/>
      <c r="K3128" s="4"/>
      <c r="L3128" s="19"/>
      <c r="M3128" s="20"/>
    </row>
    <row r="3129">
      <c r="A3129" s="6"/>
      <c r="B3129" s="6"/>
      <c r="C3129" s="4"/>
      <c r="D3129" s="4"/>
      <c r="E3129" s="4"/>
      <c r="F3129" s="4"/>
      <c r="G3129" s="4"/>
      <c r="H3129" s="4"/>
      <c r="I3129" s="4"/>
      <c r="J3129" s="18"/>
      <c r="K3129" s="4"/>
      <c r="L3129" s="19"/>
      <c r="M3129" s="20"/>
    </row>
    <row r="3130">
      <c r="A3130" s="6"/>
      <c r="B3130" s="6"/>
      <c r="C3130" s="4"/>
      <c r="D3130" s="4"/>
      <c r="E3130" s="4"/>
      <c r="F3130" s="4"/>
      <c r="G3130" s="4"/>
      <c r="H3130" s="4"/>
      <c r="I3130" s="4"/>
      <c r="J3130" s="18"/>
      <c r="K3130" s="4"/>
      <c r="L3130" s="19"/>
      <c r="M3130" s="20"/>
    </row>
    <row r="3131">
      <c r="A3131" s="6"/>
      <c r="B3131" s="6"/>
      <c r="C3131" s="4"/>
      <c r="D3131" s="4"/>
      <c r="E3131" s="4"/>
      <c r="F3131" s="4"/>
      <c r="G3131" s="4"/>
      <c r="H3131" s="4"/>
      <c r="I3131" s="4"/>
      <c r="J3131" s="18"/>
      <c r="K3131" s="4"/>
      <c r="L3131" s="19"/>
      <c r="M3131" s="20"/>
    </row>
    <row r="3132">
      <c r="A3132" s="6"/>
      <c r="B3132" s="6"/>
      <c r="C3132" s="4"/>
      <c r="D3132" s="4"/>
      <c r="E3132" s="4"/>
      <c r="F3132" s="4"/>
      <c r="G3132" s="4"/>
      <c r="H3132" s="4"/>
      <c r="I3132" s="4"/>
      <c r="J3132" s="18"/>
      <c r="K3132" s="4"/>
      <c r="L3132" s="19"/>
      <c r="M3132" s="20"/>
    </row>
    <row r="3133">
      <c r="A3133" s="6"/>
      <c r="B3133" s="6"/>
      <c r="C3133" s="4"/>
      <c r="D3133" s="4"/>
      <c r="E3133" s="4"/>
      <c r="F3133" s="4"/>
      <c r="G3133" s="4"/>
      <c r="H3133" s="4"/>
      <c r="I3133" s="4"/>
      <c r="J3133" s="18"/>
      <c r="K3133" s="4"/>
      <c r="L3133" s="19"/>
      <c r="M3133" s="20"/>
    </row>
    <row r="3134">
      <c r="A3134" s="6"/>
      <c r="B3134" s="6"/>
      <c r="C3134" s="4"/>
      <c r="D3134" s="4"/>
      <c r="E3134" s="4"/>
      <c r="F3134" s="4"/>
      <c r="G3134" s="4"/>
      <c r="H3134" s="4"/>
      <c r="I3134" s="4"/>
      <c r="J3134" s="18"/>
      <c r="K3134" s="4"/>
      <c r="L3134" s="19"/>
      <c r="M3134" s="20"/>
    </row>
    <row r="3135">
      <c r="A3135" s="6"/>
      <c r="B3135" s="6"/>
      <c r="C3135" s="4"/>
      <c r="D3135" s="4"/>
      <c r="E3135" s="4"/>
      <c r="F3135" s="4"/>
      <c r="G3135" s="4"/>
      <c r="H3135" s="4"/>
      <c r="I3135" s="4"/>
      <c r="J3135" s="18"/>
      <c r="K3135" s="4"/>
      <c r="L3135" s="19"/>
      <c r="M3135" s="20"/>
    </row>
    <row r="3136">
      <c r="A3136" s="6"/>
      <c r="B3136" s="6"/>
      <c r="C3136" s="4"/>
      <c r="D3136" s="4"/>
      <c r="E3136" s="4"/>
      <c r="F3136" s="4"/>
      <c r="G3136" s="4"/>
      <c r="H3136" s="4"/>
      <c r="I3136" s="4"/>
      <c r="J3136" s="18"/>
      <c r="K3136" s="4"/>
      <c r="L3136" s="19"/>
      <c r="M3136" s="20"/>
    </row>
    <row r="3137">
      <c r="A3137" s="6"/>
      <c r="B3137" s="6"/>
      <c r="C3137" s="4"/>
      <c r="D3137" s="4"/>
      <c r="E3137" s="4"/>
      <c r="F3137" s="4"/>
      <c r="G3137" s="4"/>
      <c r="H3137" s="4"/>
      <c r="I3137" s="4"/>
      <c r="J3137" s="18"/>
      <c r="K3137" s="4"/>
      <c r="L3137" s="19"/>
      <c r="M3137" s="20"/>
    </row>
    <row r="3138">
      <c r="A3138" s="6"/>
      <c r="B3138" s="6"/>
      <c r="C3138" s="4"/>
      <c r="D3138" s="4"/>
      <c r="E3138" s="4"/>
      <c r="F3138" s="4"/>
      <c r="G3138" s="4"/>
      <c r="H3138" s="4"/>
      <c r="I3138" s="4"/>
      <c r="J3138" s="18"/>
      <c r="K3138" s="4"/>
      <c r="L3138" s="19"/>
      <c r="M3138" s="20"/>
    </row>
    <row r="3139">
      <c r="A3139" s="6"/>
      <c r="B3139" s="6"/>
      <c r="C3139" s="4"/>
      <c r="D3139" s="4"/>
      <c r="E3139" s="4"/>
      <c r="F3139" s="4"/>
      <c r="G3139" s="4"/>
      <c r="H3139" s="4"/>
      <c r="I3139" s="4"/>
      <c r="J3139" s="18"/>
      <c r="K3139" s="4"/>
      <c r="L3139" s="19"/>
      <c r="M3139" s="20"/>
    </row>
    <row r="3140">
      <c r="A3140" s="6"/>
      <c r="B3140" s="6"/>
      <c r="C3140" s="4"/>
      <c r="D3140" s="4"/>
      <c r="E3140" s="4"/>
      <c r="F3140" s="4"/>
      <c r="G3140" s="4"/>
      <c r="H3140" s="4"/>
      <c r="I3140" s="4"/>
      <c r="J3140" s="18"/>
      <c r="K3140" s="4"/>
      <c r="L3140" s="19"/>
      <c r="M3140" s="20"/>
    </row>
    <row r="3141">
      <c r="A3141" s="6"/>
      <c r="B3141" s="6"/>
      <c r="C3141" s="4"/>
      <c r="D3141" s="4"/>
      <c r="E3141" s="4"/>
      <c r="F3141" s="4"/>
      <c r="G3141" s="4"/>
      <c r="H3141" s="4"/>
      <c r="I3141" s="4"/>
      <c r="J3141" s="18"/>
      <c r="K3141" s="4"/>
      <c r="L3141" s="19"/>
      <c r="M3141" s="20"/>
    </row>
    <row r="3142">
      <c r="A3142" s="6"/>
      <c r="B3142" s="6"/>
      <c r="C3142" s="4"/>
      <c r="D3142" s="4"/>
      <c r="E3142" s="4"/>
      <c r="F3142" s="4"/>
      <c r="G3142" s="4"/>
      <c r="H3142" s="4"/>
      <c r="I3142" s="4"/>
      <c r="J3142" s="18"/>
      <c r="K3142" s="4"/>
      <c r="L3142" s="19"/>
      <c r="M3142" s="20"/>
    </row>
    <row r="3143">
      <c r="A3143" s="6"/>
      <c r="B3143" s="6"/>
      <c r="C3143" s="4"/>
      <c r="D3143" s="4"/>
      <c r="E3143" s="4"/>
      <c r="F3143" s="4"/>
      <c r="G3143" s="4"/>
      <c r="H3143" s="4"/>
      <c r="I3143" s="4"/>
      <c r="J3143" s="18"/>
      <c r="K3143" s="4"/>
      <c r="L3143" s="19"/>
      <c r="M3143" s="20"/>
    </row>
    <row r="3144">
      <c r="A3144" s="6"/>
      <c r="B3144" s="6"/>
      <c r="C3144" s="4"/>
      <c r="D3144" s="4"/>
      <c r="E3144" s="4"/>
      <c r="F3144" s="4"/>
      <c r="G3144" s="4"/>
      <c r="H3144" s="4"/>
      <c r="I3144" s="4"/>
      <c r="J3144" s="18"/>
      <c r="K3144" s="4"/>
      <c r="L3144" s="19"/>
      <c r="M3144" s="20"/>
    </row>
    <row r="3145">
      <c r="A3145" s="6"/>
      <c r="B3145" s="6"/>
      <c r="C3145" s="4"/>
      <c r="D3145" s="4"/>
      <c r="E3145" s="4"/>
      <c r="F3145" s="4"/>
      <c r="G3145" s="4"/>
      <c r="H3145" s="4"/>
      <c r="I3145" s="4"/>
      <c r="J3145" s="18"/>
      <c r="K3145" s="4"/>
      <c r="L3145" s="19"/>
      <c r="M3145" s="20"/>
    </row>
    <row r="3146">
      <c r="A3146" s="6"/>
      <c r="B3146" s="6"/>
      <c r="C3146" s="4"/>
      <c r="D3146" s="4"/>
      <c r="E3146" s="4"/>
      <c r="F3146" s="4"/>
      <c r="G3146" s="4"/>
      <c r="H3146" s="4"/>
      <c r="I3146" s="4"/>
      <c r="J3146" s="18"/>
      <c r="K3146" s="4"/>
      <c r="L3146" s="19"/>
      <c r="M3146" s="20"/>
    </row>
    <row r="3147">
      <c r="A3147" s="6"/>
      <c r="B3147" s="6"/>
      <c r="C3147" s="4"/>
      <c r="D3147" s="4"/>
      <c r="E3147" s="4"/>
      <c r="F3147" s="4"/>
      <c r="G3147" s="4"/>
      <c r="H3147" s="4"/>
      <c r="I3147" s="4"/>
      <c r="J3147" s="18"/>
      <c r="K3147" s="4"/>
      <c r="L3147" s="19"/>
      <c r="M3147" s="20"/>
    </row>
    <row r="3148">
      <c r="A3148" s="6"/>
      <c r="B3148" s="6"/>
      <c r="C3148" s="4"/>
      <c r="D3148" s="4"/>
      <c r="E3148" s="4"/>
      <c r="F3148" s="4"/>
      <c r="G3148" s="4"/>
      <c r="H3148" s="4"/>
      <c r="I3148" s="4"/>
      <c r="J3148" s="18"/>
      <c r="K3148" s="4"/>
      <c r="L3148" s="19"/>
      <c r="M3148" s="20"/>
    </row>
    <row r="3149">
      <c r="A3149" s="6"/>
      <c r="B3149" s="6"/>
      <c r="C3149" s="4"/>
      <c r="D3149" s="4"/>
      <c r="E3149" s="4"/>
      <c r="F3149" s="4"/>
      <c r="G3149" s="4"/>
      <c r="H3149" s="4"/>
      <c r="I3149" s="4"/>
      <c r="J3149" s="18"/>
      <c r="K3149" s="4"/>
      <c r="L3149" s="19"/>
      <c r="M3149" s="20"/>
    </row>
    <row r="3150">
      <c r="A3150" s="6"/>
      <c r="B3150" s="6"/>
      <c r="C3150" s="4"/>
      <c r="D3150" s="4"/>
      <c r="E3150" s="4"/>
      <c r="F3150" s="4"/>
      <c r="G3150" s="4"/>
      <c r="H3150" s="4"/>
      <c r="I3150" s="4"/>
      <c r="J3150" s="18"/>
      <c r="K3150" s="4"/>
      <c r="L3150" s="19"/>
      <c r="M3150" s="20"/>
    </row>
    <row r="3151">
      <c r="A3151" s="6"/>
      <c r="B3151" s="6"/>
      <c r="C3151" s="4"/>
      <c r="D3151" s="4"/>
      <c r="E3151" s="4"/>
      <c r="F3151" s="4"/>
      <c r="G3151" s="4"/>
      <c r="H3151" s="4"/>
      <c r="I3151" s="4"/>
      <c r="J3151" s="18"/>
      <c r="K3151" s="4"/>
      <c r="L3151" s="19"/>
      <c r="M3151" s="20"/>
    </row>
    <row r="3152">
      <c r="A3152" s="6"/>
      <c r="B3152" s="6"/>
      <c r="C3152" s="4"/>
      <c r="D3152" s="4"/>
      <c r="E3152" s="4"/>
      <c r="F3152" s="4"/>
      <c r="G3152" s="4"/>
      <c r="H3152" s="4"/>
      <c r="I3152" s="4"/>
      <c r="J3152" s="18"/>
      <c r="K3152" s="4"/>
      <c r="L3152" s="19"/>
      <c r="M3152" s="20"/>
    </row>
    <row r="3153">
      <c r="A3153" s="6"/>
      <c r="B3153" s="6"/>
      <c r="C3153" s="4"/>
      <c r="D3153" s="4"/>
      <c r="E3153" s="4"/>
      <c r="F3153" s="4"/>
      <c r="G3153" s="4"/>
      <c r="H3153" s="4"/>
      <c r="I3153" s="4"/>
      <c r="J3153" s="18"/>
      <c r="K3153" s="4"/>
      <c r="L3153" s="19"/>
      <c r="M3153" s="20"/>
    </row>
    <row r="3154">
      <c r="A3154" s="6"/>
      <c r="B3154" s="6"/>
      <c r="C3154" s="4"/>
      <c r="D3154" s="4"/>
      <c r="E3154" s="4"/>
      <c r="F3154" s="4"/>
      <c r="G3154" s="4"/>
      <c r="H3154" s="4"/>
      <c r="I3154" s="4"/>
      <c r="J3154" s="18"/>
      <c r="K3154" s="4"/>
      <c r="L3154" s="19"/>
      <c r="M3154" s="20"/>
    </row>
    <row r="3155">
      <c r="A3155" s="6"/>
      <c r="B3155" s="6"/>
      <c r="C3155" s="4"/>
      <c r="D3155" s="4"/>
      <c r="E3155" s="4"/>
      <c r="F3155" s="4"/>
      <c r="G3155" s="4"/>
      <c r="H3155" s="4"/>
      <c r="I3155" s="4"/>
      <c r="J3155" s="18"/>
      <c r="K3155" s="4"/>
      <c r="L3155" s="19"/>
      <c r="M3155" s="20"/>
    </row>
    <row r="3156">
      <c r="A3156" s="6"/>
      <c r="B3156" s="6"/>
      <c r="C3156" s="4"/>
      <c r="D3156" s="4"/>
      <c r="E3156" s="4"/>
      <c r="F3156" s="4"/>
      <c r="G3156" s="4"/>
      <c r="H3156" s="4"/>
      <c r="I3156" s="4"/>
      <c r="J3156" s="18"/>
      <c r="K3156" s="4"/>
      <c r="L3156" s="19"/>
      <c r="M3156" s="20"/>
    </row>
    <row r="3157">
      <c r="A3157" s="6"/>
      <c r="B3157" s="6"/>
      <c r="C3157" s="4"/>
      <c r="D3157" s="4"/>
      <c r="E3157" s="4"/>
      <c r="F3157" s="4"/>
      <c r="G3157" s="4"/>
      <c r="H3157" s="4"/>
      <c r="I3157" s="4"/>
      <c r="J3157" s="18"/>
      <c r="K3157" s="4"/>
      <c r="L3157" s="19"/>
      <c r="M3157" s="20"/>
    </row>
    <row r="3158">
      <c r="A3158" s="6"/>
      <c r="B3158" s="6"/>
      <c r="C3158" s="4"/>
      <c r="D3158" s="4"/>
      <c r="E3158" s="4"/>
      <c r="F3158" s="4"/>
      <c r="G3158" s="4"/>
      <c r="H3158" s="4"/>
      <c r="I3158" s="4"/>
      <c r="J3158" s="18"/>
      <c r="K3158" s="4"/>
      <c r="L3158" s="19"/>
      <c r="M3158" s="20"/>
    </row>
    <row r="3159">
      <c r="A3159" s="6"/>
      <c r="B3159" s="6"/>
      <c r="C3159" s="4"/>
      <c r="D3159" s="4"/>
      <c r="E3159" s="4"/>
      <c r="F3159" s="4"/>
      <c r="G3159" s="4"/>
      <c r="H3159" s="4"/>
      <c r="I3159" s="4"/>
      <c r="J3159" s="18"/>
      <c r="K3159" s="4"/>
      <c r="L3159" s="19"/>
      <c r="M3159" s="20"/>
    </row>
    <row r="3160">
      <c r="A3160" s="6"/>
      <c r="B3160" s="6"/>
      <c r="C3160" s="4"/>
      <c r="D3160" s="4"/>
      <c r="E3160" s="4"/>
      <c r="F3160" s="4"/>
      <c r="G3160" s="4"/>
      <c r="H3160" s="4"/>
      <c r="I3160" s="4"/>
      <c r="J3160" s="18"/>
      <c r="K3160" s="4"/>
      <c r="L3160" s="19"/>
      <c r="M3160" s="20"/>
    </row>
    <row r="3161">
      <c r="A3161" s="6"/>
      <c r="B3161" s="6"/>
      <c r="C3161" s="4"/>
      <c r="D3161" s="4"/>
      <c r="E3161" s="4"/>
      <c r="F3161" s="4"/>
      <c r="G3161" s="4"/>
      <c r="H3161" s="4"/>
      <c r="I3161" s="4"/>
      <c r="J3161" s="18"/>
      <c r="K3161" s="4"/>
      <c r="L3161" s="19"/>
      <c r="M3161" s="20"/>
    </row>
    <row r="3162">
      <c r="A3162" s="6"/>
      <c r="B3162" s="6"/>
      <c r="C3162" s="4"/>
      <c r="D3162" s="4"/>
      <c r="E3162" s="4"/>
      <c r="F3162" s="4"/>
      <c r="G3162" s="4"/>
      <c r="H3162" s="4"/>
      <c r="I3162" s="4"/>
      <c r="J3162" s="18"/>
      <c r="K3162" s="4"/>
      <c r="L3162" s="19"/>
      <c r="M3162" s="20"/>
    </row>
    <row r="3163">
      <c r="A3163" s="6"/>
      <c r="B3163" s="6"/>
      <c r="C3163" s="4"/>
      <c r="D3163" s="4"/>
      <c r="E3163" s="4"/>
      <c r="F3163" s="4"/>
      <c r="G3163" s="4"/>
      <c r="H3163" s="4"/>
      <c r="I3163" s="4"/>
      <c r="J3163" s="18"/>
      <c r="K3163" s="4"/>
      <c r="L3163" s="19"/>
      <c r="M3163" s="20"/>
    </row>
    <row r="3164">
      <c r="A3164" s="6"/>
      <c r="B3164" s="6"/>
      <c r="C3164" s="4"/>
      <c r="D3164" s="4"/>
      <c r="E3164" s="4"/>
      <c r="F3164" s="4"/>
      <c r="G3164" s="4"/>
      <c r="H3164" s="4"/>
      <c r="I3164" s="4"/>
      <c r="J3164" s="18"/>
      <c r="K3164" s="4"/>
      <c r="L3164" s="19"/>
      <c r="M3164" s="20"/>
    </row>
    <row r="3165">
      <c r="A3165" s="6"/>
      <c r="B3165" s="6"/>
      <c r="C3165" s="4"/>
      <c r="D3165" s="4"/>
      <c r="E3165" s="4"/>
      <c r="F3165" s="4"/>
      <c r="G3165" s="4"/>
      <c r="H3165" s="4"/>
      <c r="I3165" s="4"/>
      <c r="J3165" s="18"/>
      <c r="K3165" s="4"/>
      <c r="L3165" s="19"/>
      <c r="M3165" s="20"/>
    </row>
    <row r="3166">
      <c r="A3166" s="6"/>
      <c r="B3166" s="6"/>
      <c r="C3166" s="4"/>
      <c r="D3166" s="4"/>
      <c r="E3166" s="4"/>
      <c r="F3166" s="4"/>
      <c r="G3166" s="4"/>
      <c r="H3166" s="4"/>
      <c r="I3166" s="4"/>
      <c r="J3166" s="18"/>
      <c r="K3166" s="4"/>
      <c r="L3166" s="19"/>
      <c r="M3166" s="20"/>
    </row>
    <row r="3167">
      <c r="A3167" s="6"/>
      <c r="B3167" s="6"/>
      <c r="C3167" s="4"/>
      <c r="D3167" s="4"/>
      <c r="E3167" s="4"/>
      <c r="F3167" s="4"/>
      <c r="G3167" s="4"/>
      <c r="H3167" s="4"/>
      <c r="I3167" s="4"/>
      <c r="J3167" s="18"/>
      <c r="K3167" s="4"/>
      <c r="L3167" s="19"/>
      <c r="M3167" s="20"/>
    </row>
    <row r="3168">
      <c r="A3168" s="6"/>
      <c r="B3168" s="6"/>
      <c r="C3168" s="4"/>
      <c r="D3168" s="4"/>
      <c r="E3168" s="4"/>
      <c r="F3168" s="4"/>
      <c r="G3168" s="4"/>
      <c r="H3168" s="4"/>
      <c r="I3168" s="4"/>
      <c r="J3168" s="18"/>
      <c r="K3168" s="4"/>
      <c r="L3168" s="19"/>
      <c r="M3168" s="20"/>
    </row>
    <row r="3169">
      <c r="A3169" s="6"/>
      <c r="B3169" s="6"/>
      <c r="C3169" s="4"/>
      <c r="D3169" s="4"/>
      <c r="E3169" s="4"/>
      <c r="F3169" s="4"/>
      <c r="G3169" s="4"/>
      <c r="H3169" s="4"/>
      <c r="I3169" s="4"/>
      <c r="J3169" s="18"/>
      <c r="K3169" s="4"/>
      <c r="L3169" s="19"/>
      <c r="M3169" s="20"/>
    </row>
    <row r="3170">
      <c r="A3170" s="6"/>
      <c r="B3170" s="6"/>
      <c r="C3170" s="4"/>
      <c r="D3170" s="4"/>
      <c r="E3170" s="4"/>
      <c r="F3170" s="4"/>
      <c r="G3170" s="4"/>
      <c r="H3170" s="4"/>
      <c r="I3170" s="4"/>
      <c r="J3170" s="18"/>
      <c r="K3170" s="4"/>
      <c r="L3170" s="19"/>
      <c r="M3170" s="20"/>
    </row>
    <row r="3171">
      <c r="A3171" s="6"/>
      <c r="B3171" s="6"/>
      <c r="C3171" s="4"/>
      <c r="D3171" s="4"/>
      <c r="E3171" s="4"/>
      <c r="F3171" s="4"/>
      <c r="G3171" s="4"/>
      <c r="H3171" s="4"/>
      <c r="I3171" s="4"/>
      <c r="J3171" s="18"/>
      <c r="K3171" s="4"/>
      <c r="L3171" s="19"/>
      <c r="M3171" s="20"/>
    </row>
    <row r="3172">
      <c r="A3172" s="6"/>
      <c r="B3172" s="6"/>
      <c r="C3172" s="4"/>
      <c r="D3172" s="4"/>
      <c r="E3172" s="4"/>
      <c r="F3172" s="4"/>
      <c r="G3172" s="4"/>
      <c r="H3172" s="4"/>
      <c r="I3172" s="4"/>
      <c r="J3172" s="18"/>
      <c r="K3172" s="4"/>
      <c r="L3172" s="19"/>
      <c r="M3172" s="20"/>
    </row>
    <row r="3173">
      <c r="A3173" s="6"/>
      <c r="B3173" s="6"/>
      <c r="C3173" s="4"/>
      <c r="D3173" s="4"/>
      <c r="E3173" s="4"/>
      <c r="F3173" s="4"/>
      <c r="G3173" s="4"/>
      <c r="H3173" s="4"/>
      <c r="I3173" s="4"/>
      <c r="J3173" s="18"/>
      <c r="K3173" s="4"/>
      <c r="L3173" s="19"/>
      <c r="M3173" s="20"/>
    </row>
    <row r="3174">
      <c r="A3174" s="6"/>
      <c r="B3174" s="6"/>
      <c r="C3174" s="4"/>
      <c r="D3174" s="4"/>
      <c r="E3174" s="4"/>
      <c r="F3174" s="4"/>
      <c r="G3174" s="4"/>
      <c r="H3174" s="4"/>
      <c r="I3174" s="4"/>
      <c r="J3174" s="18"/>
      <c r="K3174" s="4"/>
      <c r="L3174" s="19"/>
      <c r="M3174" s="20"/>
    </row>
    <row r="3175">
      <c r="A3175" s="6"/>
      <c r="B3175" s="6"/>
      <c r="C3175" s="4"/>
      <c r="D3175" s="4"/>
      <c r="E3175" s="4"/>
      <c r="F3175" s="4"/>
      <c r="G3175" s="4"/>
      <c r="H3175" s="4"/>
      <c r="I3175" s="4"/>
      <c r="J3175" s="18"/>
      <c r="K3175" s="4"/>
      <c r="L3175" s="19"/>
      <c r="M3175" s="20"/>
    </row>
    <row r="3176">
      <c r="A3176" s="6"/>
      <c r="B3176" s="6"/>
      <c r="C3176" s="4"/>
      <c r="D3176" s="4"/>
      <c r="E3176" s="4"/>
      <c r="F3176" s="4"/>
      <c r="G3176" s="4"/>
      <c r="H3176" s="4"/>
      <c r="I3176" s="4"/>
      <c r="J3176" s="18"/>
      <c r="K3176" s="4"/>
      <c r="L3176" s="19"/>
      <c r="M3176" s="20"/>
    </row>
    <row r="3177">
      <c r="A3177" s="6"/>
      <c r="B3177" s="6"/>
      <c r="C3177" s="4"/>
      <c r="D3177" s="4"/>
      <c r="E3177" s="4"/>
      <c r="F3177" s="4"/>
      <c r="G3177" s="4"/>
      <c r="H3177" s="4"/>
      <c r="I3177" s="4"/>
      <c r="J3177" s="18"/>
      <c r="K3177" s="4"/>
      <c r="L3177" s="19"/>
      <c r="M3177" s="20"/>
    </row>
    <row r="3178">
      <c r="A3178" s="6"/>
      <c r="B3178" s="6"/>
      <c r="C3178" s="4"/>
      <c r="D3178" s="4"/>
      <c r="E3178" s="4"/>
      <c r="F3178" s="4"/>
      <c r="G3178" s="4"/>
      <c r="H3178" s="4"/>
      <c r="I3178" s="4"/>
      <c r="J3178" s="18"/>
      <c r="K3178" s="4"/>
      <c r="L3178" s="19"/>
      <c r="M3178" s="20"/>
    </row>
    <row r="3179">
      <c r="A3179" s="6"/>
      <c r="B3179" s="6"/>
      <c r="C3179" s="4"/>
      <c r="D3179" s="4"/>
      <c r="E3179" s="4"/>
      <c r="F3179" s="4"/>
      <c r="G3179" s="4"/>
      <c r="H3179" s="4"/>
      <c r="I3179" s="4"/>
      <c r="J3179" s="18"/>
      <c r="K3179" s="4"/>
      <c r="L3179" s="19"/>
      <c r="M3179" s="20"/>
    </row>
    <row r="3180">
      <c r="A3180" s="6"/>
      <c r="B3180" s="6"/>
      <c r="C3180" s="4"/>
      <c r="D3180" s="4"/>
      <c r="E3180" s="4"/>
      <c r="F3180" s="4"/>
      <c r="G3180" s="4"/>
      <c r="H3180" s="4"/>
      <c r="I3180" s="4"/>
      <c r="J3180" s="18"/>
      <c r="K3180" s="4"/>
      <c r="L3180" s="19"/>
      <c r="M3180" s="20"/>
    </row>
    <row r="3181">
      <c r="A3181" s="6"/>
      <c r="B3181" s="6"/>
      <c r="C3181" s="4"/>
      <c r="D3181" s="4"/>
      <c r="E3181" s="4"/>
      <c r="F3181" s="4"/>
      <c r="G3181" s="4"/>
      <c r="H3181" s="4"/>
      <c r="I3181" s="4"/>
      <c r="J3181" s="18"/>
      <c r="K3181" s="4"/>
      <c r="L3181" s="19"/>
      <c r="M3181" s="20"/>
    </row>
    <row r="3182">
      <c r="A3182" s="6"/>
      <c r="B3182" s="6"/>
      <c r="C3182" s="4"/>
      <c r="D3182" s="4"/>
      <c r="E3182" s="4"/>
      <c r="F3182" s="4"/>
      <c r="G3182" s="4"/>
      <c r="H3182" s="4"/>
      <c r="I3182" s="4"/>
      <c r="J3182" s="18"/>
      <c r="K3182" s="4"/>
      <c r="L3182" s="19"/>
      <c r="M3182" s="20"/>
    </row>
    <row r="3183">
      <c r="A3183" s="6"/>
      <c r="B3183" s="6"/>
      <c r="C3183" s="4"/>
      <c r="D3183" s="4"/>
      <c r="E3183" s="4"/>
      <c r="F3183" s="4"/>
      <c r="G3183" s="4"/>
      <c r="H3183" s="4"/>
      <c r="I3183" s="4"/>
      <c r="J3183" s="18"/>
      <c r="K3183" s="4"/>
      <c r="L3183" s="19"/>
      <c r="M3183" s="20"/>
    </row>
    <row r="3184">
      <c r="A3184" s="6"/>
      <c r="B3184" s="6"/>
      <c r="C3184" s="4"/>
      <c r="D3184" s="4"/>
      <c r="E3184" s="4"/>
      <c r="F3184" s="4"/>
      <c r="G3184" s="4"/>
      <c r="H3184" s="4"/>
      <c r="I3184" s="4"/>
      <c r="J3184" s="18"/>
      <c r="K3184" s="4"/>
      <c r="L3184" s="19"/>
      <c r="M3184" s="20"/>
    </row>
    <row r="3185">
      <c r="A3185" s="6"/>
      <c r="B3185" s="6"/>
      <c r="C3185" s="4"/>
      <c r="D3185" s="4"/>
      <c r="E3185" s="4"/>
      <c r="F3185" s="4"/>
      <c r="G3185" s="4"/>
      <c r="H3185" s="4"/>
      <c r="I3185" s="4"/>
      <c r="J3185" s="18"/>
      <c r="K3185" s="4"/>
      <c r="L3185" s="19"/>
      <c r="M3185" s="20"/>
    </row>
    <row r="3186">
      <c r="A3186" s="6"/>
      <c r="B3186" s="6"/>
      <c r="C3186" s="4"/>
      <c r="D3186" s="4"/>
      <c r="E3186" s="4"/>
      <c r="F3186" s="4"/>
      <c r="G3186" s="4"/>
      <c r="H3186" s="4"/>
      <c r="I3186" s="4"/>
      <c r="J3186" s="18"/>
      <c r="K3186" s="4"/>
      <c r="L3186" s="19"/>
      <c r="M3186" s="20"/>
    </row>
    <row r="3187">
      <c r="A3187" s="6"/>
      <c r="B3187" s="6"/>
      <c r="C3187" s="4"/>
      <c r="D3187" s="4"/>
      <c r="E3187" s="4"/>
      <c r="F3187" s="4"/>
      <c r="G3187" s="4"/>
      <c r="H3187" s="4"/>
      <c r="I3187" s="4"/>
      <c r="J3187" s="18"/>
      <c r="K3187" s="4"/>
      <c r="L3187" s="19"/>
      <c r="M3187" s="20"/>
    </row>
    <row r="3188">
      <c r="A3188" s="6"/>
      <c r="B3188" s="6"/>
      <c r="C3188" s="4"/>
      <c r="D3188" s="4"/>
      <c r="E3188" s="4"/>
      <c r="F3188" s="4"/>
      <c r="G3188" s="4"/>
      <c r="H3188" s="4"/>
      <c r="I3188" s="4"/>
      <c r="J3188" s="18"/>
      <c r="K3188" s="4"/>
      <c r="L3188" s="19"/>
      <c r="M3188" s="20"/>
    </row>
    <row r="3189">
      <c r="A3189" s="6"/>
      <c r="B3189" s="6"/>
      <c r="C3189" s="4"/>
      <c r="D3189" s="4"/>
      <c r="E3189" s="4"/>
      <c r="F3189" s="4"/>
      <c r="G3189" s="4"/>
      <c r="H3189" s="4"/>
      <c r="I3189" s="4"/>
      <c r="J3189" s="18"/>
      <c r="K3189" s="4"/>
      <c r="L3189" s="19"/>
      <c r="M3189" s="20"/>
    </row>
    <row r="3190">
      <c r="A3190" s="6"/>
      <c r="B3190" s="6"/>
      <c r="C3190" s="4"/>
      <c r="D3190" s="4"/>
      <c r="E3190" s="4"/>
      <c r="F3190" s="4"/>
      <c r="G3190" s="4"/>
      <c r="H3190" s="4"/>
      <c r="I3190" s="4"/>
      <c r="J3190" s="18"/>
      <c r="K3190" s="4"/>
      <c r="L3190" s="19"/>
      <c r="M3190" s="20"/>
    </row>
    <row r="3191">
      <c r="A3191" s="6"/>
      <c r="B3191" s="6"/>
      <c r="C3191" s="4"/>
      <c r="D3191" s="4"/>
      <c r="E3191" s="4"/>
      <c r="F3191" s="4"/>
      <c r="G3191" s="4"/>
      <c r="H3191" s="4"/>
      <c r="I3191" s="4"/>
      <c r="J3191" s="18"/>
      <c r="K3191" s="4"/>
      <c r="L3191" s="19"/>
      <c r="M3191" s="20"/>
    </row>
    <row r="3192">
      <c r="A3192" s="6"/>
      <c r="B3192" s="6"/>
      <c r="C3192" s="4"/>
      <c r="D3192" s="4"/>
      <c r="E3192" s="4"/>
      <c r="F3192" s="4"/>
      <c r="G3192" s="4"/>
      <c r="H3192" s="4"/>
      <c r="I3192" s="4"/>
      <c r="J3192" s="18"/>
      <c r="K3192" s="4"/>
      <c r="L3192" s="19"/>
      <c r="M3192" s="20"/>
    </row>
    <row r="3193">
      <c r="A3193" s="6"/>
      <c r="B3193" s="6"/>
      <c r="C3193" s="4"/>
      <c r="D3193" s="4"/>
      <c r="E3193" s="4"/>
      <c r="F3193" s="4"/>
      <c r="G3193" s="4"/>
      <c r="H3193" s="4"/>
      <c r="I3193" s="4"/>
      <c r="J3193" s="18"/>
      <c r="K3193" s="4"/>
      <c r="L3193" s="19"/>
      <c r="M3193" s="20"/>
    </row>
    <row r="3194">
      <c r="A3194" s="6"/>
      <c r="B3194" s="6"/>
      <c r="C3194" s="4"/>
      <c r="D3194" s="4"/>
      <c r="E3194" s="4"/>
      <c r="F3194" s="4"/>
      <c r="G3194" s="4"/>
      <c r="H3194" s="4"/>
      <c r="I3194" s="4"/>
      <c r="J3194" s="18"/>
      <c r="K3194" s="4"/>
      <c r="L3194" s="19"/>
      <c r="M3194" s="20"/>
    </row>
    <row r="3195">
      <c r="A3195" s="6"/>
      <c r="B3195" s="6"/>
      <c r="C3195" s="4"/>
      <c r="D3195" s="4"/>
      <c r="E3195" s="4"/>
      <c r="F3195" s="4"/>
      <c r="G3195" s="4"/>
      <c r="H3195" s="4"/>
      <c r="I3195" s="4"/>
      <c r="J3195" s="18"/>
      <c r="K3195" s="4"/>
      <c r="L3195" s="19"/>
      <c r="M3195" s="20"/>
    </row>
    <row r="3196">
      <c r="A3196" s="6"/>
      <c r="B3196" s="6"/>
      <c r="C3196" s="4"/>
      <c r="D3196" s="4"/>
      <c r="E3196" s="4"/>
      <c r="F3196" s="4"/>
      <c r="G3196" s="4"/>
      <c r="H3196" s="4"/>
      <c r="I3196" s="4"/>
      <c r="J3196" s="18"/>
      <c r="K3196" s="4"/>
      <c r="L3196" s="19"/>
      <c r="M3196" s="20"/>
    </row>
    <row r="3197">
      <c r="A3197" s="6"/>
      <c r="B3197" s="6"/>
      <c r="C3197" s="4"/>
      <c r="D3197" s="4"/>
      <c r="E3197" s="4"/>
      <c r="F3197" s="4"/>
      <c r="G3197" s="4"/>
      <c r="H3197" s="4"/>
      <c r="I3197" s="4"/>
      <c r="J3197" s="18"/>
      <c r="K3197" s="4"/>
      <c r="L3197" s="19"/>
      <c r="M3197" s="20"/>
    </row>
    <row r="3198">
      <c r="A3198" s="6"/>
      <c r="B3198" s="6"/>
      <c r="C3198" s="4"/>
      <c r="D3198" s="4"/>
      <c r="E3198" s="4"/>
      <c r="F3198" s="4"/>
      <c r="G3198" s="4"/>
      <c r="H3198" s="4"/>
      <c r="I3198" s="4"/>
      <c r="J3198" s="18"/>
      <c r="K3198" s="4"/>
      <c r="L3198" s="19"/>
      <c r="M3198" s="20"/>
    </row>
    <row r="3199">
      <c r="A3199" s="6"/>
      <c r="B3199" s="6"/>
      <c r="C3199" s="4"/>
      <c r="D3199" s="4"/>
      <c r="E3199" s="4"/>
      <c r="F3199" s="4"/>
      <c r="G3199" s="4"/>
      <c r="H3199" s="4"/>
      <c r="I3199" s="4"/>
      <c r="J3199" s="18"/>
      <c r="K3199" s="4"/>
      <c r="L3199" s="19"/>
      <c r="M3199" s="20"/>
    </row>
    <row r="3200">
      <c r="A3200" s="6"/>
      <c r="B3200" s="6"/>
      <c r="C3200" s="4"/>
      <c r="D3200" s="4"/>
      <c r="E3200" s="4"/>
      <c r="F3200" s="4"/>
      <c r="G3200" s="4"/>
      <c r="H3200" s="4"/>
      <c r="I3200" s="4"/>
      <c r="J3200" s="18"/>
      <c r="K3200" s="4"/>
      <c r="L3200" s="19"/>
      <c r="M3200" s="20"/>
    </row>
    <row r="3201">
      <c r="A3201" s="6"/>
      <c r="B3201" s="6"/>
      <c r="C3201" s="4"/>
      <c r="D3201" s="4"/>
      <c r="E3201" s="4"/>
      <c r="F3201" s="4"/>
      <c r="G3201" s="4"/>
      <c r="H3201" s="4"/>
      <c r="I3201" s="4"/>
      <c r="J3201" s="18"/>
      <c r="K3201" s="4"/>
      <c r="L3201" s="19"/>
      <c r="M3201" s="20"/>
    </row>
    <row r="3202">
      <c r="A3202" s="6"/>
      <c r="B3202" s="6"/>
      <c r="C3202" s="4"/>
      <c r="D3202" s="4"/>
      <c r="E3202" s="4"/>
      <c r="F3202" s="4"/>
      <c r="G3202" s="4"/>
      <c r="H3202" s="4"/>
      <c r="I3202" s="4"/>
      <c r="J3202" s="18"/>
      <c r="K3202" s="4"/>
      <c r="L3202" s="19"/>
      <c r="M3202" s="20"/>
    </row>
    <row r="3203">
      <c r="A3203" s="6"/>
      <c r="B3203" s="6"/>
      <c r="C3203" s="4"/>
      <c r="D3203" s="4"/>
      <c r="E3203" s="4"/>
      <c r="F3203" s="4"/>
      <c r="G3203" s="4"/>
      <c r="H3203" s="4"/>
      <c r="I3203" s="4"/>
      <c r="J3203" s="18"/>
      <c r="K3203" s="4"/>
      <c r="L3203" s="19"/>
      <c r="M3203" s="20"/>
    </row>
    <row r="3204">
      <c r="A3204" s="6"/>
      <c r="B3204" s="6"/>
      <c r="C3204" s="4"/>
      <c r="D3204" s="4"/>
      <c r="E3204" s="4"/>
      <c r="F3204" s="4"/>
      <c r="G3204" s="4"/>
      <c r="H3204" s="4"/>
      <c r="I3204" s="4"/>
      <c r="J3204" s="18"/>
      <c r="K3204" s="4"/>
      <c r="L3204" s="19"/>
      <c r="M3204" s="20"/>
    </row>
    <row r="3205">
      <c r="A3205" s="6"/>
      <c r="B3205" s="6"/>
      <c r="C3205" s="4"/>
      <c r="D3205" s="4"/>
      <c r="E3205" s="4"/>
      <c r="F3205" s="4"/>
      <c r="G3205" s="4"/>
      <c r="H3205" s="4"/>
      <c r="I3205" s="4"/>
      <c r="J3205" s="18"/>
      <c r="K3205" s="4"/>
      <c r="L3205" s="19"/>
      <c r="M3205" s="20"/>
    </row>
    <row r="3206">
      <c r="A3206" s="6"/>
      <c r="B3206" s="6"/>
      <c r="C3206" s="4"/>
      <c r="D3206" s="4"/>
      <c r="E3206" s="4"/>
      <c r="F3206" s="4"/>
      <c r="G3206" s="4"/>
      <c r="H3206" s="4"/>
      <c r="I3206" s="4"/>
      <c r="J3206" s="18"/>
      <c r="K3206" s="4"/>
      <c r="L3206" s="19"/>
      <c r="M3206" s="20"/>
    </row>
    <row r="3207">
      <c r="A3207" s="6"/>
      <c r="B3207" s="6"/>
      <c r="C3207" s="4"/>
      <c r="D3207" s="4"/>
      <c r="E3207" s="4"/>
      <c r="F3207" s="4"/>
      <c r="G3207" s="4"/>
      <c r="H3207" s="4"/>
      <c r="I3207" s="4"/>
      <c r="J3207" s="18"/>
      <c r="K3207" s="4"/>
      <c r="L3207" s="19"/>
      <c r="M3207" s="20"/>
    </row>
    <row r="3208">
      <c r="A3208" s="6"/>
      <c r="B3208" s="6"/>
      <c r="C3208" s="4"/>
      <c r="D3208" s="4"/>
      <c r="E3208" s="4"/>
      <c r="F3208" s="4"/>
      <c r="G3208" s="4"/>
      <c r="H3208" s="4"/>
      <c r="I3208" s="4"/>
      <c r="J3208" s="18"/>
      <c r="K3208" s="4"/>
      <c r="L3208" s="19"/>
      <c r="M3208" s="20"/>
    </row>
    <row r="3209">
      <c r="A3209" s="6"/>
      <c r="B3209" s="6"/>
      <c r="C3209" s="4"/>
      <c r="D3209" s="4"/>
      <c r="E3209" s="4"/>
      <c r="F3209" s="4"/>
      <c r="G3209" s="4"/>
      <c r="H3209" s="4"/>
      <c r="I3209" s="4"/>
      <c r="J3209" s="18"/>
      <c r="K3209" s="4"/>
      <c r="L3209" s="19"/>
      <c r="M3209" s="20"/>
    </row>
    <row r="3210">
      <c r="A3210" s="6"/>
      <c r="B3210" s="6"/>
      <c r="C3210" s="4"/>
      <c r="D3210" s="4"/>
      <c r="E3210" s="4"/>
      <c r="F3210" s="4"/>
      <c r="G3210" s="4"/>
      <c r="H3210" s="4"/>
      <c r="I3210" s="4"/>
      <c r="J3210" s="18"/>
      <c r="K3210" s="4"/>
      <c r="L3210" s="19"/>
      <c r="M3210" s="20"/>
    </row>
    <row r="3211">
      <c r="A3211" s="6"/>
      <c r="B3211" s="6"/>
      <c r="C3211" s="4"/>
      <c r="D3211" s="4"/>
      <c r="E3211" s="4"/>
      <c r="F3211" s="4"/>
      <c r="G3211" s="4"/>
      <c r="H3211" s="4"/>
      <c r="I3211" s="4"/>
      <c r="J3211" s="18"/>
      <c r="K3211" s="4"/>
      <c r="L3211" s="19"/>
      <c r="M3211" s="20"/>
    </row>
    <row r="3212">
      <c r="A3212" s="6"/>
      <c r="B3212" s="6"/>
      <c r="C3212" s="4"/>
      <c r="D3212" s="4"/>
      <c r="E3212" s="4"/>
      <c r="F3212" s="4"/>
      <c r="G3212" s="4"/>
      <c r="H3212" s="4"/>
      <c r="I3212" s="4"/>
      <c r="J3212" s="18"/>
      <c r="K3212" s="4"/>
      <c r="L3212" s="19"/>
      <c r="M3212" s="20"/>
    </row>
    <row r="3213">
      <c r="A3213" s="6"/>
      <c r="B3213" s="6"/>
      <c r="C3213" s="4"/>
      <c r="D3213" s="4"/>
      <c r="E3213" s="4"/>
      <c r="F3213" s="4"/>
      <c r="G3213" s="4"/>
      <c r="H3213" s="4"/>
      <c r="I3213" s="4"/>
      <c r="J3213" s="18"/>
      <c r="K3213" s="4"/>
      <c r="L3213" s="19"/>
      <c r="M3213" s="20"/>
    </row>
    <row r="3214">
      <c r="A3214" s="6"/>
      <c r="B3214" s="6"/>
      <c r="C3214" s="4"/>
      <c r="D3214" s="4"/>
      <c r="E3214" s="4"/>
      <c r="F3214" s="4"/>
      <c r="G3214" s="4"/>
      <c r="H3214" s="4"/>
      <c r="I3214" s="4"/>
      <c r="J3214" s="18"/>
      <c r="K3214" s="4"/>
      <c r="L3214" s="19"/>
      <c r="M3214" s="20"/>
    </row>
    <row r="3215">
      <c r="A3215" s="6"/>
      <c r="B3215" s="6"/>
      <c r="C3215" s="4"/>
      <c r="D3215" s="4"/>
      <c r="E3215" s="4"/>
      <c r="F3215" s="4"/>
      <c r="G3215" s="4"/>
      <c r="H3215" s="4"/>
      <c r="I3215" s="4"/>
      <c r="J3215" s="18"/>
      <c r="K3215" s="4"/>
      <c r="L3215" s="19"/>
      <c r="M3215" s="20"/>
    </row>
    <row r="3216">
      <c r="A3216" s="6"/>
      <c r="B3216" s="6"/>
      <c r="C3216" s="4"/>
      <c r="D3216" s="4"/>
      <c r="E3216" s="4"/>
      <c r="F3216" s="4"/>
      <c r="G3216" s="4"/>
      <c r="H3216" s="4"/>
      <c r="I3216" s="4"/>
      <c r="J3216" s="18"/>
      <c r="K3216" s="4"/>
      <c r="L3216" s="19"/>
      <c r="M3216" s="20"/>
    </row>
    <row r="3217">
      <c r="A3217" s="6"/>
      <c r="B3217" s="6"/>
      <c r="C3217" s="4"/>
      <c r="D3217" s="4"/>
      <c r="E3217" s="4"/>
      <c r="F3217" s="4"/>
      <c r="G3217" s="4"/>
      <c r="H3217" s="4"/>
      <c r="I3217" s="4"/>
      <c r="J3217" s="18"/>
      <c r="K3217" s="4"/>
      <c r="L3217" s="19"/>
      <c r="M3217" s="20"/>
    </row>
    <row r="3218">
      <c r="A3218" s="6"/>
      <c r="B3218" s="6"/>
      <c r="C3218" s="4"/>
      <c r="D3218" s="4"/>
      <c r="E3218" s="4"/>
      <c r="F3218" s="4"/>
      <c r="G3218" s="4"/>
      <c r="H3218" s="4"/>
      <c r="I3218" s="4"/>
      <c r="J3218" s="18"/>
      <c r="K3218" s="4"/>
      <c r="L3218" s="19"/>
      <c r="M3218" s="20"/>
    </row>
    <row r="3219">
      <c r="A3219" s="6"/>
      <c r="B3219" s="6"/>
      <c r="C3219" s="4"/>
      <c r="D3219" s="4"/>
      <c r="E3219" s="4"/>
      <c r="F3219" s="4"/>
      <c r="G3219" s="4"/>
      <c r="H3219" s="4"/>
      <c r="I3219" s="4"/>
      <c r="J3219" s="18"/>
      <c r="K3219" s="4"/>
      <c r="L3219" s="19"/>
      <c r="M3219" s="20"/>
    </row>
    <row r="3220">
      <c r="A3220" s="6"/>
      <c r="B3220" s="6"/>
      <c r="C3220" s="4"/>
      <c r="D3220" s="4"/>
      <c r="E3220" s="4"/>
      <c r="F3220" s="4"/>
      <c r="G3220" s="4"/>
      <c r="H3220" s="4"/>
      <c r="I3220" s="4"/>
      <c r="J3220" s="18"/>
      <c r="K3220" s="4"/>
      <c r="L3220" s="19"/>
      <c r="M3220" s="20"/>
    </row>
    <row r="3221">
      <c r="A3221" s="6"/>
      <c r="B3221" s="6"/>
      <c r="C3221" s="4"/>
      <c r="D3221" s="4"/>
      <c r="E3221" s="4"/>
      <c r="F3221" s="4"/>
      <c r="G3221" s="4"/>
      <c r="H3221" s="4"/>
      <c r="I3221" s="4"/>
      <c r="J3221" s="18"/>
      <c r="K3221" s="4"/>
      <c r="L3221" s="19"/>
      <c r="M3221" s="20"/>
    </row>
    <row r="3222">
      <c r="A3222" s="6"/>
      <c r="B3222" s="6"/>
      <c r="C3222" s="4"/>
      <c r="D3222" s="4"/>
      <c r="E3222" s="4"/>
      <c r="F3222" s="4"/>
      <c r="G3222" s="4"/>
      <c r="H3222" s="4"/>
      <c r="I3222" s="4"/>
      <c r="J3222" s="18"/>
      <c r="K3222" s="4"/>
      <c r="L3222" s="19"/>
      <c r="M3222" s="20"/>
    </row>
    <row r="3223">
      <c r="A3223" s="6"/>
      <c r="B3223" s="6"/>
      <c r="C3223" s="4"/>
      <c r="D3223" s="4"/>
      <c r="E3223" s="4"/>
      <c r="F3223" s="4"/>
      <c r="G3223" s="4"/>
      <c r="H3223" s="4"/>
      <c r="I3223" s="4"/>
      <c r="J3223" s="18"/>
      <c r="K3223" s="4"/>
      <c r="L3223" s="19"/>
      <c r="M3223" s="20"/>
    </row>
    <row r="3224">
      <c r="A3224" s="6"/>
      <c r="B3224" s="6"/>
      <c r="C3224" s="4"/>
      <c r="D3224" s="4"/>
      <c r="E3224" s="4"/>
      <c r="F3224" s="4"/>
      <c r="G3224" s="4"/>
      <c r="H3224" s="4"/>
      <c r="I3224" s="4"/>
      <c r="J3224" s="18"/>
      <c r="K3224" s="4"/>
      <c r="L3224" s="19"/>
      <c r="M3224" s="20"/>
    </row>
    <row r="3225">
      <c r="A3225" s="6"/>
      <c r="B3225" s="6"/>
      <c r="C3225" s="4"/>
      <c r="D3225" s="4"/>
      <c r="E3225" s="4"/>
      <c r="F3225" s="4"/>
      <c r="G3225" s="4"/>
      <c r="H3225" s="4"/>
      <c r="I3225" s="4"/>
      <c r="J3225" s="18"/>
      <c r="K3225" s="4"/>
      <c r="L3225" s="19"/>
      <c r="M3225" s="20"/>
    </row>
    <row r="3226">
      <c r="A3226" s="6"/>
      <c r="B3226" s="6"/>
      <c r="C3226" s="4"/>
      <c r="D3226" s="4"/>
      <c r="E3226" s="4"/>
      <c r="F3226" s="4"/>
      <c r="G3226" s="4"/>
      <c r="H3226" s="4"/>
      <c r="I3226" s="4"/>
      <c r="J3226" s="18"/>
      <c r="K3226" s="4"/>
      <c r="L3226" s="19"/>
      <c r="M3226" s="20"/>
    </row>
    <row r="3227">
      <c r="A3227" s="6"/>
      <c r="B3227" s="6"/>
      <c r="C3227" s="4"/>
      <c r="D3227" s="4"/>
      <c r="E3227" s="4"/>
      <c r="F3227" s="4"/>
      <c r="G3227" s="4"/>
      <c r="H3227" s="4"/>
      <c r="I3227" s="4"/>
      <c r="J3227" s="18"/>
      <c r="K3227" s="4"/>
      <c r="L3227" s="19"/>
      <c r="M3227" s="20"/>
    </row>
    <row r="3228">
      <c r="A3228" s="6"/>
      <c r="B3228" s="6"/>
      <c r="C3228" s="4"/>
      <c r="D3228" s="4"/>
      <c r="E3228" s="4"/>
      <c r="F3228" s="4"/>
      <c r="G3228" s="4"/>
      <c r="H3228" s="4"/>
      <c r="I3228" s="4"/>
      <c r="J3228" s="18"/>
      <c r="K3228" s="4"/>
      <c r="L3228" s="19"/>
      <c r="M3228" s="20"/>
    </row>
    <row r="3229">
      <c r="A3229" s="6"/>
      <c r="B3229" s="6"/>
      <c r="C3229" s="4"/>
      <c r="D3229" s="4"/>
      <c r="E3229" s="4"/>
      <c r="F3229" s="4"/>
      <c r="G3229" s="4"/>
      <c r="H3229" s="4"/>
      <c r="I3229" s="4"/>
      <c r="J3229" s="18"/>
      <c r="K3229" s="4"/>
      <c r="L3229" s="19"/>
      <c r="M3229" s="20"/>
    </row>
    <row r="3230">
      <c r="A3230" s="6"/>
      <c r="B3230" s="6"/>
      <c r="C3230" s="4"/>
      <c r="D3230" s="4"/>
      <c r="E3230" s="4"/>
      <c r="F3230" s="4"/>
      <c r="G3230" s="4"/>
      <c r="H3230" s="4"/>
      <c r="I3230" s="4"/>
      <c r="J3230" s="18"/>
      <c r="K3230" s="4"/>
      <c r="L3230" s="19"/>
      <c r="M3230" s="20"/>
    </row>
    <row r="3231">
      <c r="A3231" s="6"/>
      <c r="B3231" s="6"/>
      <c r="C3231" s="4"/>
      <c r="D3231" s="4"/>
      <c r="E3231" s="4"/>
      <c r="F3231" s="4"/>
      <c r="G3231" s="4"/>
      <c r="H3231" s="4"/>
      <c r="I3231" s="4"/>
      <c r="J3231" s="18"/>
      <c r="K3231" s="4"/>
      <c r="L3231" s="19"/>
      <c r="M3231" s="20"/>
    </row>
    <row r="3232">
      <c r="A3232" s="6"/>
      <c r="B3232" s="6"/>
      <c r="C3232" s="4"/>
      <c r="D3232" s="4"/>
      <c r="E3232" s="4"/>
      <c r="F3232" s="4"/>
      <c r="G3232" s="4"/>
      <c r="H3232" s="4"/>
      <c r="I3232" s="4"/>
      <c r="J3232" s="18"/>
      <c r="K3232" s="4"/>
      <c r="L3232" s="19"/>
      <c r="M3232" s="20"/>
    </row>
    <row r="3233">
      <c r="A3233" s="6"/>
      <c r="B3233" s="6"/>
      <c r="C3233" s="4"/>
      <c r="D3233" s="4"/>
      <c r="E3233" s="4"/>
      <c r="F3233" s="4"/>
      <c r="G3233" s="4"/>
      <c r="H3233" s="4"/>
      <c r="I3233" s="4"/>
      <c r="J3233" s="18"/>
      <c r="K3233" s="4"/>
      <c r="L3233" s="19"/>
      <c r="M3233" s="20"/>
    </row>
    <row r="3234">
      <c r="A3234" s="6"/>
      <c r="B3234" s="6"/>
      <c r="C3234" s="4"/>
      <c r="D3234" s="4"/>
      <c r="E3234" s="4"/>
      <c r="F3234" s="4"/>
      <c r="G3234" s="4"/>
      <c r="H3234" s="4"/>
      <c r="I3234" s="4"/>
      <c r="J3234" s="18"/>
      <c r="K3234" s="4"/>
      <c r="L3234" s="19"/>
      <c r="M3234" s="20"/>
    </row>
    <row r="3235">
      <c r="A3235" s="6"/>
      <c r="B3235" s="6"/>
      <c r="C3235" s="4"/>
      <c r="D3235" s="4"/>
      <c r="E3235" s="4"/>
      <c r="F3235" s="4"/>
      <c r="G3235" s="4"/>
      <c r="H3235" s="4"/>
      <c r="I3235" s="4"/>
      <c r="J3235" s="18"/>
      <c r="K3235" s="4"/>
      <c r="L3235" s="19"/>
      <c r="M3235" s="20"/>
    </row>
    <row r="3236">
      <c r="A3236" s="6"/>
      <c r="B3236" s="6"/>
      <c r="C3236" s="4"/>
      <c r="D3236" s="4"/>
      <c r="E3236" s="4"/>
      <c r="F3236" s="4"/>
      <c r="G3236" s="4"/>
      <c r="H3236" s="4"/>
      <c r="I3236" s="4"/>
      <c r="J3236" s="18"/>
      <c r="K3236" s="4"/>
      <c r="L3236" s="19"/>
      <c r="M3236" s="20"/>
    </row>
    <row r="3237">
      <c r="A3237" s="6"/>
      <c r="B3237" s="6"/>
      <c r="C3237" s="4"/>
      <c r="D3237" s="4"/>
      <c r="E3237" s="4"/>
      <c r="F3237" s="4"/>
      <c r="G3237" s="4"/>
      <c r="H3237" s="4"/>
      <c r="I3237" s="4"/>
      <c r="J3237" s="18"/>
      <c r="K3237" s="4"/>
      <c r="L3237" s="19"/>
      <c r="M3237" s="20"/>
    </row>
    <row r="3238">
      <c r="A3238" s="6"/>
      <c r="B3238" s="6"/>
      <c r="C3238" s="4"/>
      <c r="D3238" s="4"/>
      <c r="E3238" s="4"/>
      <c r="F3238" s="4"/>
      <c r="G3238" s="4"/>
      <c r="H3238" s="4"/>
      <c r="I3238" s="4"/>
      <c r="J3238" s="18"/>
      <c r="K3238" s="4"/>
      <c r="L3238" s="19"/>
      <c r="M3238" s="20"/>
    </row>
    <row r="3239">
      <c r="A3239" s="6"/>
      <c r="B3239" s="6"/>
      <c r="C3239" s="4"/>
      <c r="D3239" s="4"/>
      <c r="E3239" s="4"/>
      <c r="F3239" s="4"/>
      <c r="G3239" s="4"/>
      <c r="H3239" s="4"/>
      <c r="I3239" s="4"/>
      <c r="J3239" s="18"/>
      <c r="K3239" s="4"/>
      <c r="L3239" s="19"/>
      <c r="M3239" s="20"/>
    </row>
    <row r="3240">
      <c r="A3240" s="6"/>
      <c r="B3240" s="6"/>
      <c r="C3240" s="4"/>
      <c r="D3240" s="4"/>
      <c r="E3240" s="4"/>
      <c r="F3240" s="4"/>
      <c r="G3240" s="4"/>
      <c r="H3240" s="4"/>
      <c r="I3240" s="4"/>
      <c r="J3240" s="18"/>
      <c r="K3240" s="4"/>
      <c r="L3240" s="19"/>
      <c r="M3240" s="20"/>
    </row>
    <row r="3241">
      <c r="A3241" s="6"/>
      <c r="B3241" s="6"/>
      <c r="C3241" s="4"/>
      <c r="D3241" s="4"/>
      <c r="E3241" s="4"/>
      <c r="F3241" s="4"/>
      <c r="G3241" s="4"/>
      <c r="H3241" s="4"/>
      <c r="I3241" s="4"/>
      <c r="J3241" s="18"/>
      <c r="K3241" s="4"/>
      <c r="L3241" s="19"/>
      <c r="M3241" s="20"/>
    </row>
    <row r="3242">
      <c r="A3242" s="6"/>
      <c r="B3242" s="6"/>
      <c r="C3242" s="4"/>
      <c r="D3242" s="4"/>
      <c r="E3242" s="4"/>
      <c r="F3242" s="4"/>
      <c r="G3242" s="4"/>
      <c r="H3242" s="4"/>
      <c r="I3242" s="4"/>
      <c r="J3242" s="18"/>
      <c r="K3242" s="4"/>
      <c r="L3242" s="19"/>
      <c r="M3242" s="20"/>
    </row>
    <row r="3243">
      <c r="A3243" s="6"/>
      <c r="B3243" s="6"/>
      <c r="C3243" s="4"/>
      <c r="D3243" s="4"/>
      <c r="E3243" s="4"/>
      <c r="F3243" s="4"/>
      <c r="G3243" s="4"/>
      <c r="H3243" s="4"/>
      <c r="I3243" s="4"/>
      <c r="J3243" s="18"/>
      <c r="K3243" s="4"/>
      <c r="L3243" s="19"/>
      <c r="M3243" s="20"/>
    </row>
    <row r="3244">
      <c r="A3244" s="6"/>
      <c r="B3244" s="6"/>
      <c r="C3244" s="4"/>
      <c r="D3244" s="4"/>
      <c r="E3244" s="4"/>
      <c r="F3244" s="4"/>
      <c r="G3244" s="4"/>
      <c r="H3244" s="4"/>
      <c r="I3244" s="4"/>
      <c r="J3244" s="18"/>
      <c r="K3244" s="4"/>
      <c r="L3244" s="19"/>
      <c r="M3244" s="20"/>
    </row>
    <row r="3245">
      <c r="A3245" s="6"/>
      <c r="B3245" s="6"/>
      <c r="C3245" s="4"/>
      <c r="D3245" s="4"/>
      <c r="E3245" s="4"/>
      <c r="F3245" s="4"/>
      <c r="G3245" s="4"/>
      <c r="H3245" s="4"/>
      <c r="I3245" s="4"/>
      <c r="J3245" s="18"/>
      <c r="K3245" s="4"/>
      <c r="L3245" s="19"/>
      <c r="M3245" s="20"/>
    </row>
    <row r="3246">
      <c r="A3246" s="6"/>
      <c r="B3246" s="6"/>
      <c r="C3246" s="4"/>
      <c r="D3246" s="4"/>
      <c r="E3246" s="4"/>
      <c r="F3246" s="4"/>
      <c r="G3246" s="4"/>
      <c r="H3246" s="4"/>
      <c r="I3246" s="4"/>
      <c r="J3246" s="18"/>
      <c r="K3246" s="4"/>
      <c r="L3246" s="19"/>
      <c r="M3246" s="20"/>
    </row>
    <row r="3247">
      <c r="A3247" s="6"/>
      <c r="B3247" s="6"/>
      <c r="C3247" s="4"/>
      <c r="D3247" s="4"/>
      <c r="E3247" s="4"/>
      <c r="F3247" s="4"/>
      <c r="G3247" s="4"/>
      <c r="H3247" s="4"/>
      <c r="I3247" s="4"/>
      <c r="J3247" s="18"/>
      <c r="K3247" s="4"/>
      <c r="L3247" s="19"/>
      <c r="M3247" s="20"/>
    </row>
    <row r="3248">
      <c r="A3248" s="6"/>
      <c r="B3248" s="6"/>
      <c r="C3248" s="4"/>
      <c r="D3248" s="4"/>
      <c r="E3248" s="4"/>
      <c r="F3248" s="4"/>
      <c r="G3248" s="4"/>
      <c r="H3248" s="4"/>
      <c r="I3248" s="4"/>
      <c r="J3248" s="18"/>
      <c r="K3248" s="4"/>
      <c r="L3248" s="19"/>
      <c r="M3248" s="20"/>
    </row>
    <row r="3249">
      <c r="A3249" s="6"/>
      <c r="B3249" s="6"/>
      <c r="C3249" s="4"/>
      <c r="D3249" s="4"/>
      <c r="E3249" s="4"/>
      <c r="F3249" s="4"/>
      <c r="G3249" s="4"/>
      <c r="H3249" s="4"/>
      <c r="I3249" s="4"/>
      <c r="J3249" s="18"/>
      <c r="K3249" s="4"/>
      <c r="L3249" s="19"/>
      <c r="M3249" s="20"/>
    </row>
    <row r="3250">
      <c r="A3250" s="6"/>
      <c r="B3250" s="6"/>
      <c r="C3250" s="4"/>
      <c r="D3250" s="4"/>
      <c r="E3250" s="4"/>
      <c r="F3250" s="4"/>
      <c r="G3250" s="4"/>
      <c r="H3250" s="4"/>
      <c r="I3250" s="4"/>
      <c r="J3250" s="18"/>
      <c r="K3250" s="4"/>
      <c r="L3250" s="19"/>
      <c r="M3250" s="20"/>
    </row>
    <row r="3251">
      <c r="A3251" s="6"/>
      <c r="B3251" s="6"/>
      <c r="C3251" s="4"/>
      <c r="D3251" s="4"/>
      <c r="E3251" s="4"/>
      <c r="F3251" s="4"/>
      <c r="G3251" s="4"/>
      <c r="H3251" s="4"/>
      <c r="I3251" s="4"/>
      <c r="J3251" s="18"/>
      <c r="K3251" s="4"/>
      <c r="L3251" s="19"/>
      <c r="M3251" s="20"/>
    </row>
    <row r="3252">
      <c r="A3252" s="6"/>
      <c r="B3252" s="6"/>
      <c r="C3252" s="4"/>
      <c r="D3252" s="4"/>
      <c r="E3252" s="4"/>
      <c r="F3252" s="4"/>
      <c r="G3252" s="4"/>
      <c r="H3252" s="4"/>
      <c r="I3252" s="4"/>
      <c r="J3252" s="18"/>
      <c r="K3252" s="4"/>
      <c r="L3252" s="19"/>
      <c r="M3252" s="20"/>
    </row>
    <row r="3253">
      <c r="A3253" s="6"/>
      <c r="B3253" s="6"/>
      <c r="C3253" s="4"/>
      <c r="D3253" s="4"/>
      <c r="E3253" s="4"/>
      <c r="F3253" s="4"/>
      <c r="G3253" s="4"/>
      <c r="H3253" s="4"/>
      <c r="I3253" s="4"/>
      <c r="J3253" s="18"/>
      <c r="K3253" s="4"/>
      <c r="L3253" s="19"/>
      <c r="M3253" s="20"/>
    </row>
    <row r="3254">
      <c r="A3254" s="6"/>
      <c r="B3254" s="6"/>
      <c r="C3254" s="4"/>
      <c r="D3254" s="4"/>
      <c r="E3254" s="4"/>
      <c r="F3254" s="4"/>
      <c r="G3254" s="4"/>
      <c r="H3254" s="4"/>
      <c r="I3254" s="4"/>
      <c r="J3254" s="18"/>
      <c r="K3254" s="4"/>
      <c r="L3254" s="19"/>
      <c r="M3254" s="20"/>
    </row>
    <row r="3255">
      <c r="A3255" s="6"/>
      <c r="B3255" s="6"/>
      <c r="C3255" s="4"/>
      <c r="D3255" s="4"/>
      <c r="E3255" s="4"/>
      <c r="F3255" s="4"/>
      <c r="G3255" s="4"/>
      <c r="H3255" s="4"/>
      <c r="I3255" s="4"/>
      <c r="J3255" s="18"/>
      <c r="K3255" s="4"/>
      <c r="L3255" s="19"/>
      <c r="M3255" s="20"/>
    </row>
    <row r="3256">
      <c r="A3256" s="6"/>
      <c r="B3256" s="6"/>
      <c r="C3256" s="4"/>
      <c r="D3256" s="4"/>
      <c r="E3256" s="4"/>
      <c r="F3256" s="4"/>
      <c r="G3256" s="4"/>
      <c r="H3256" s="4"/>
      <c r="I3256" s="4"/>
      <c r="J3256" s="18"/>
      <c r="K3256" s="4"/>
      <c r="L3256" s="19"/>
      <c r="M3256" s="20"/>
    </row>
    <row r="3257">
      <c r="A3257" s="6"/>
      <c r="B3257" s="6"/>
      <c r="C3257" s="4"/>
      <c r="D3257" s="4"/>
      <c r="E3257" s="4"/>
      <c r="F3257" s="4"/>
      <c r="G3257" s="4"/>
      <c r="H3257" s="4"/>
      <c r="I3257" s="4"/>
      <c r="J3257" s="18"/>
      <c r="K3257" s="4"/>
      <c r="L3257" s="19"/>
      <c r="M3257" s="20"/>
    </row>
    <row r="3258">
      <c r="A3258" s="6"/>
      <c r="B3258" s="6"/>
      <c r="C3258" s="4"/>
      <c r="D3258" s="4"/>
      <c r="E3258" s="4"/>
      <c r="F3258" s="4"/>
      <c r="G3258" s="4"/>
      <c r="H3258" s="4"/>
      <c r="I3258" s="4"/>
      <c r="J3258" s="18"/>
      <c r="K3258" s="4"/>
      <c r="L3258" s="19"/>
      <c r="M3258" s="20"/>
    </row>
    <row r="3259">
      <c r="A3259" s="6"/>
      <c r="B3259" s="6"/>
      <c r="C3259" s="4"/>
      <c r="D3259" s="4"/>
      <c r="E3259" s="4"/>
      <c r="F3259" s="4"/>
      <c r="G3259" s="4"/>
      <c r="H3259" s="4"/>
      <c r="I3259" s="4"/>
      <c r="J3259" s="18"/>
      <c r="K3259" s="4"/>
      <c r="L3259" s="19"/>
      <c r="M3259" s="20"/>
    </row>
    <row r="3260">
      <c r="A3260" s="6"/>
      <c r="B3260" s="6"/>
      <c r="C3260" s="4"/>
      <c r="D3260" s="4"/>
      <c r="E3260" s="4"/>
      <c r="F3260" s="4"/>
      <c r="G3260" s="4"/>
      <c r="H3260" s="4"/>
      <c r="I3260" s="4"/>
      <c r="J3260" s="18"/>
      <c r="K3260" s="4"/>
      <c r="L3260" s="19"/>
      <c r="M3260" s="20"/>
    </row>
    <row r="3261">
      <c r="A3261" s="6"/>
      <c r="B3261" s="6"/>
      <c r="C3261" s="4"/>
      <c r="D3261" s="4"/>
      <c r="E3261" s="4"/>
      <c r="F3261" s="4"/>
      <c r="G3261" s="4"/>
      <c r="H3261" s="4"/>
      <c r="I3261" s="4"/>
      <c r="J3261" s="18"/>
      <c r="K3261" s="4"/>
      <c r="L3261" s="19"/>
      <c r="M3261" s="20"/>
    </row>
    <row r="3262">
      <c r="A3262" s="6"/>
      <c r="B3262" s="6"/>
      <c r="C3262" s="4"/>
      <c r="D3262" s="4"/>
      <c r="E3262" s="4"/>
      <c r="F3262" s="4"/>
      <c r="G3262" s="4"/>
      <c r="H3262" s="4"/>
      <c r="I3262" s="4"/>
      <c r="J3262" s="18"/>
      <c r="K3262" s="4"/>
      <c r="L3262" s="19"/>
      <c r="M3262" s="20"/>
    </row>
    <row r="3263">
      <c r="A3263" s="6"/>
      <c r="B3263" s="6"/>
      <c r="C3263" s="4"/>
      <c r="D3263" s="4"/>
      <c r="E3263" s="4"/>
      <c r="F3263" s="4"/>
      <c r="G3263" s="4"/>
      <c r="H3263" s="4"/>
      <c r="I3263" s="4"/>
      <c r="J3263" s="18"/>
      <c r="K3263" s="4"/>
      <c r="L3263" s="19"/>
      <c r="M3263" s="20"/>
    </row>
    <row r="3264">
      <c r="A3264" s="6"/>
      <c r="B3264" s="6"/>
      <c r="C3264" s="4"/>
      <c r="D3264" s="4"/>
      <c r="E3264" s="4"/>
      <c r="F3264" s="4"/>
      <c r="G3264" s="4"/>
      <c r="H3264" s="4"/>
      <c r="I3264" s="4"/>
      <c r="J3264" s="18"/>
      <c r="K3264" s="4"/>
      <c r="L3264" s="19"/>
      <c r="M3264" s="20"/>
    </row>
    <row r="3265">
      <c r="A3265" s="6"/>
      <c r="B3265" s="6"/>
      <c r="C3265" s="4"/>
      <c r="D3265" s="4"/>
      <c r="E3265" s="4"/>
      <c r="F3265" s="4"/>
      <c r="G3265" s="4"/>
      <c r="H3265" s="4"/>
      <c r="I3265" s="4"/>
      <c r="J3265" s="18"/>
      <c r="K3265" s="4"/>
      <c r="L3265" s="19"/>
      <c r="M3265" s="20"/>
    </row>
    <row r="3266">
      <c r="A3266" s="6"/>
      <c r="B3266" s="6"/>
      <c r="C3266" s="4"/>
      <c r="D3266" s="4"/>
      <c r="E3266" s="4"/>
      <c r="F3266" s="4"/>
      <c r="G3266" s="4"/>
      <c r="H3266" s="4"/>
      <c r="I3266" s="4"/>
      <c r="J3266" s="18"/>
      <c r="K3266" s="4"/>
      <c r="L3266" s="19"/>
      <c r="M3266" s="20"/>
    </row>
    <row r="3267">
      <c r="A3267" s="6"/>
      <c r="B3267" s="6"/>
      <c r="C3267" s="4"/>
      <c r="D3267" s="4"/>
      <c r="E3267" s="4"/>
      <c r="F3267" s="4"/>
      <c r="G3267" s="4"/>
      <c r="H3267" s="4"/>
      <c r="I3267" s="4"/>
      <c r="J3267" s="18"/>
      <c r="K3267" s="4"/>
      <c r="L3267" s="19"/>
      <c r="M3267" s="20"/>
    </row>
    <row r="3268">
      <c r="A3268" s="6"/>
      <c r="B3268" s="6"/>
      <c r="C3268" s="4"/>
      <c r="D3268" s="4"/>
      <c r="E3268" s="4"/>
      <c r="F3268" s="4"/>
      <c r="G3268" s="4"/>
      <c r="H3268" s="4"/>
      <c r="I3268" s="4"/>
      <c r="J3268" s="18"/>
      <c r="K3268" s="4"/>
      <c r="L3268" s="19"/>
      <c r="M3268" s="20"/>
    </row>
    <row r="3269">
      <c r="A3269" s="6"/>
      <c r="B3269" s="6"/>
      <c r="C3269" s="4"/>
      <c r="D3269" s="4"/>
      <c r="E3269" s="4"/>
      <c r="F3269" s="4"/>
      <c r="G3269" s="4"/>
      <c r="H3269" s="4"/>
      <c r="I3269" s="4"/>
      <c r="J3269" s="18"/>
      <c r="K3269" s="4"/>
      <c r="L3269" s="19"/>
      <c r="M3269" s="20"/>
    </row>
    <row r="3270">
      <c r="A3270" s="6"/>
      <c r="B3270" s="6"/>
      <c r="C3270" s="4"/>
      <c r="D3270" s="4"/>
      <c r="E3270" s="4"/>
      <c r="F3270" s="4"/>
      <c r="G3270" s="4"/>
      <c r="H3270" s="4"/>
      <c r="I3270" s="4"/>
      <c r="J3270" s="18"/>
      <c r="K3270" s="4"/>
      <c r="L3270" s="19"/>
      <c r="M3270" s="20"/>
    </row>
    <row r="3271">
      <c r="A3271" s="6"/>
      <c r="B3271" s="6"/>
      <c r="C3271" s="4"/>
      <c r="D3271" s="4"/>
      <c r="E3271" s="4"/>
      <c r="F3271" s="4"/>
      <c r="G3271" s="4"/>
      <c r="H3271" s="4"/>
      <c r="I3271" s="4"/>
      <c r="J3271" s="18"/>
      <c r="K3271" s="4"/>
      <c r="L3271" s="19"/>
      <c r="M3271" s="20"/>
    </row>
    <row r="3272">
      <c r="A3272" s="6"/>
      <c r="B3272" s="6"/>
      <c r="C3272" s="4"/>
      <c r="D3272" s="4"/>
      <c r="E3272" s="4"/>
      <c r="F3272" s="4"/>
      <c r="G3272" s="4"/>
      <c r="H3272" s="4"/>
      <c r="I3272" s="4"/>
      <c r="J3272" s="18"/>
      <c r="K3272" s="4"/>
      <c r="L3272" s="19"/>
      <c r="M3272" s="20"/>
    </row>
    <row r="3273">
      <c r="A3273" s="6"/>
      <c r="B3273" s="6"/>
      <c r="C3273" s="4"/>
      <c r="D3273" s="4"/>
      <c r="E3273" s="4"/>
      <c r="F3273" s="4"/>
      <c r="G3273" s="4"/>
      <c r="H3273" s="4"/>
      <c r="I3273" s="4"/>
      <c r="J3273" s="18"/>
      <c r="K3273" s="4"/>
      <c r="L3273" s="19"/>
      <c r="M3273" s="20"/>
    </row>
    <row r="3274">
      <c r="A3274" s="6"/>
      <c r="B3274" s="6"/>
      <c r="C3274" s="4"/>
      <c r="D3274" s="4"/>
      <c r="E3274" s="4"/>
      <c r="F3274" s="4"/>
      <c r="G3274" s="4"/>
      <c r="H3274" s="4"/>
      <c r="I3274" s="4"/>
      <c r="J3274" s="18"/>
      <c r="K3274" s="4"/>
      <c r="L3274" s="19"/>
      <c r="M3274" s="20"/>
    </row>
    <row r="3275">
      <c r="A3275" s="6"/>
      <c r="B3275" s="6"/>
      <c r="C3275" s="4"/>
      <c r="D3275" s="4"/>
      <c r="E3275" s="4"/>
      <c r="F3275" s="4"/>
      <c r="G3275" s="4"/>
      <c r="H3275" s="4"/>
      <c r="I3275" s="4"/>
      <c r="J3275" s="18"/>
      <c r="K3275" s="4"/>
      <c r="L3275" s="19"/>
      <c r="M3275" s="20"/>
    </row>
    <row r="3276">
      <c r="A3276" s="6"/>
      <c r="B3276" s="6"/>
      <c r="C3276" s="4"/>
      <c r="D3276" s="4"/>
      <c r="E3276" s="4"/>
      <c r="F3276" s="4"/>
      <c r="G3276" s="4"/>
      <c r="H3276" s="4"/>
      <c r="I3276" s="4"/>
      <c r="J3276" s="18"/>
      <c r="K3276" s="4"/>
      <c r="L3276" s="19"/>
      <c r="M3276" s="20"/>
    </row>
    <row r="3277">
      <c r="A3277" s="6"/>
      <c r="B3277" s="6"/>
      <c r="C3277" s="4"/>
      <c r="D3277" s="4"/>
      <c r="E3277" s="4"/>
      <c r="F3277" s="4"/>
      <c r="G3277" s="4"/>
      <c r="H3277" s="4"/>
      <c r="I3277" s="4"/>
      <c r="J3277" s="18"/>
      <c r="K3277" s="4"/>
      <c r="L3277" s="19"/>
      <c r="M3277" s="20"/>
    </row>
    <row r="3278">
      <c r="A3278" s="6"/>
      <c r="B3278" s="6"/>
      <c r="C3278" s="4"/>
      <c r="D3278" s="4"/>
      <c r="E3278" s="4"/>
      <c r="F3278" s="4"/>
      <c r="G3278" s="4"/>
      <c r="H3278" s="4"/>
      <c r="I3278" s="4"/>
      <c r="J3278" s="18"/>
      <c r="K3278" s="4"/>
      <c r="L3278" s="19"/>
      <c r="M3278" s="20"/>
    </row>
    <row r="3279">
      <c r="A3279" s="6"/>
      <c r="B3279" s="6"/>
      <c r="C3279" s="4"/>
      <c r="D3279" s="4"/>
      <c r="E3279" s="4"/>
      <c r="F3279" s="4"/>
      <c r="G3279" s="4"/>
      <c r="H3279" s="4"/>
      <c r="I3279" s="4"/>
      <c r="J3279" s="18"/>
      <c r="K3279" s="4"/>
      <c r="L3279" s="19"/>
      <c r="M3279" s="20"/>
    </row>
    <row r="3280">
      <c r="A3280" s="6"/>
      <c r="B3280" s="6"/>
      <c r="C3280" s="4"/>
      <c r="D3280" s="4"/>
      <c r="E3280" s="4"/>
      <c r="F3280" s="4"/>
      <c r="G3280" s="4"/>
      <c r="H3280" s="4"/>
      <c r="I3280" s="4"/>
      <c r="J3280" s="18"/>
      <c r="K3280" s="4"/>
      <c r="L3280" s="19"/>
      <c r="M3280" s="20"/>
    </row>
    <row r="3281">
      <c r="A3281" s="6"/>
      <c r="B3281" s="6"/>
      <c r="C3281" s="4"/>
      <c r="D3281" s="4"/>
      <c r="E3281" s="4"/>
      <c r="F3281" s="4"/>
      <c r="G3281" s="4"/>
      <c r="H3281" s="4"/>
      <c r="I3281" s="4"/>
      <c r="J3281" s="18"/>
      <c r="K3281" s="4"/>
      <c r="L3281" s="19"/>
      <c r="M3281" s="20"/>
    </row>
    <row r="3282">
      <c r="A3282" s="6"/>
      <c r="B3282" s="6"/>
      <c r="C3282" s="4"/>
      <c r="D3282" s="4"/>
      <c r="E3282" s="4"/>
      <c r="F3282" s="4"/>
      <c r="G3282" s="4"/>
      <c r="H3282" s="4"/>
      <c r="I3282" s="4"/>
      <c r="J3282" s="18"/>
      <c r="K3282" s="4"/>
      <c r="L3282" s="19"/>
      <c r="M3282" s="20"/>
    </row>
    <row r="3283">
      <c r="A3283" s="6"/>
      <c r="B3283" s="6"/>
      <c r="C3283" s="4"/>
      <c r="D3283" s="4"/>
      <c r="E3283" s="4"/>
      <c r="F3283" s="4"/>
      <c r="G3283" s="4"/>
      <c r="H3283" s="4"/>
      <c r="I3283" s="4"/>
      <c r="J3283" s="18"/>
      <c r="K3283" s="4"/>
      <c r="L3283" s="19"/>
      <c r="M3283" s="20"/>
    </row>
    <row r="3284">
      <c r="A3284" s="6"/>
      <c r="B3284" s="6"/>
      <c r="C3284" s="4"/>
      <c r="D3284" s="4"/>
      <c r="E3284" s="4"/>
      <c r="F3284" s="4"/>
      <c r="G3284" s="4"/>
      <c r="H3284" s="4"/>
      <c r="I3284" s="4"/>
      <c r="J3284" s="18"/>
      <c r="K3284" s="4"/>
      <c r="L3284" s="19"/>
      <c r="M3284" s="20"/>
    </row>
    <row r="3285">
      <c r="A3285" s="6"/>
      <c r="B3285" s="6"/>
      <c r="C3285" s="4"/>
      <c r="D3285" s="4"/>
      <c r="E3285" s="4"/>
      <c r="F3285" s="4"/>
      <c r="G3285" s="4"/>
      <c r="H3285" s="4"/>
      <c r="I3285" s="4"/>
      <c r="J3285" s="18"/>
      <c r="K3285" s="4"/>
      <c r="L3285" s="19"/>
      <c r="M3285" s="20"/>
    </row>
    <row r="3286">
      <c r="A3286" s="6"/>
      <c r="B3286" s="6"/>
      <c r="C3286" s="4"/>
      <c r="D3286" s="4"/>
      <c r="E3286" s="4"/>
      <c r="F3286" s="4"/>
      <c r="G3286" s="4"/>
      <c r="H3286" s="4"/>
      <c r="I3286" s="4"/>
      <c r="J3286" s="18"/>
      <c r="K3286" s="4"/>
      <c r="L3286" s="19"/>
      <c r="M3286" s="20"/>
    </row>
    <row r="3287">
      <c r="A3287" s="6"/>
      <c r="B3287" s="6"/>
      <c r="C3287" s="4"/>
      <c r="D3287" s="4"/>
      <c r="E3287" s="4"/>
      <c r="F3287" s="4"/>
      <c r="G3287" s="4"/>
      <c r="H3287" s="4"/>
      <c r="I3287" s="4"/>
      <c r="J3287" s="18"/>
      <c r="K3287" s="4"/>
      <c r="L3287" s="19"/>
      <c r="M3287" s="20"/>
    </row>
    <row r="3288">
      <c r="A3288" s="6"/>
      <c r="B3288" s="6"/>
      <c r="C3288" s="4"/>
      <c r="D3288" s="4"/>
      <c r="E3288" s="4"/>
      <c r="F3288" s="4"/>
      <c r="G3288" s="4"/>
      <c r="H3288" s="4"/>
      <c r="I3288" s="4"/>
      <c r="J3288" s="18"/>
      <c r="K3288" s="4"/>
      <c r="L3288" s="19"/>
      <c r="M3288" s="20"/>
    </row>
    <row r="3289">
      <c r="A3289" s="6"/>
      <c r="B3289" s="6"/>
      <c r="C3289" s="4"/>
      <c r="D3289" s="4"/>
      <c r="E3289" s="4"/>
      <c r="F3289" s="4"/>
      <c r="G3289" s="4"/>
      <c r="H3289" s="4"/>
      <c r="I3289" s="4"/>
      <c r="J3289" s="18"/>
      <c r="K3289" s="4"/>
      <c r="L3289" s="19"/>
      <c r="M3289" s="20"/>
    </row>
    <row r="3290">
      <c r="A3290" s="6"/>
      <c r="B3290" s="6"/>
      <c r="C3290" s="4"/>
      <c r="D3290" s="4"/>
      <c r="E3290" s="4"/>
      <c r="F3290" s="4"/>
      <c r="G3290" s="4"/>
      <c r="H3290" s="4"/>
      <c r="I3290" s="4"/>
      <c r="J3290" s="18"/>
      <c r="K3290" s="4"/>
      <c r="L3290" s="19"/>
      <c r="M3290" s="20"/>
    </row>
    <row r="3291">
      <c r="A3291" s="6"/>
      <c r="B3291" s="6"/>
      <c r="C3291" s="4"/>
      <c r="D3291" s="4"/>
      <c r="E3291" s="4"/>
      <c r="F3291" s="4"/>
      <c r="G3291" s="4"/>
      <c r="H3291" s="4"/>
      <c r="I3291" s="4"/>
      <c r="J3291" s="18"/>
      <c r="K3291" s="4"/>
      <c r="L3291" s="19"/>
      <c r="M3291" s="20"/>
    </row>
    <row r="3292">
      <c r="A3292" s="6"/>
      <c r="B3292" s="6"/>
      <c r="C3292" s="4"/>
      <c r="D3292" s="4"/>
      <c r="E3292" s="4"/>
      <c r="F3292" s="4"/>
      <c r="G3292" s="4"/>
      <c r="H3292" s="4"/>
      <c r="I3292" s="4"/>
      <c r="J3292" s="18"/>
      <c r="K3292" s="4"/>
      <c r="L3292" s="19"/>
      <c r="M3292" s="20"/>
    </row>
    <row r="3293">
      <c r="A3293" s="6"/>
      <c r="B3293" s="6"/>
      <c r="C3293" s="4"/>
      <c r="D3293" s="4"/>
      <c r="E3293" s="4"/>
      <c r="F3293" s="4"/>
      <c r="G3293" s="4"/>
      <c r="H3293" s="4"/>
      <c r="I3293" s="4"/>
      <c r="J3293" s="18"/>
      <c r="K3293" s="4"/>
      <c r="L3293" s="19"/>
      <c r="M3293" s="20"/>
    </row>
    <row r="3294">
      <c r="A3294" s="6"/>
      <c r="B3294" s="6"/>
      <c r="C3294" s="4"/>
      <c r="D3294" s="4"/>
      <c r="E3294" s="4"/>
      <c r="F3294" s="4"/>
      <c r="G3294" s="4"/>
      <c r="H3294" s="4"/>
      <c r="I3294" s="4"/>
      <c r="J3294" s="18"/>
      <c r="K3294" s="4"/>
      <c r="L3294" s="19"/>
      <c r="M3294" s="20"/>
    </row>
    <row r="3295">
      <c r="A3295" s="6"/>
      <c r="B3295" s="6"/>
      <c r="C3295" s="4"/>
      <c r="D3295" s="4"/>
      <c r="E3295" s="4"/>
      <c r="F3295" s="4"/>
      <c r="G3295" s="4"/>
      <c r="H3295" s="4"/>
      <c r="I3295" s="4"/>
      <c r="J3295" s="18"/>
      <c r="K3295" s="4"/>
      <c r="L3295" s="19"/>
      <c r="M3295" s="20"/>
    </row>
    <row r="3296">
      <c r="A3296" s="6"/>
      <c r="B3296" s="6"/>
      <c r="C3296" s="4"/>
      <c r="D3296" s="4"/>
      <c r="E3296" s="4"/>
      <c r="F3296" s="4"/>
      <c r="G3296" s="4"/>
      <c r="H3296" s="4"/>
      <c r="I3296" s="4"/>
      <c r="J3296" s="18"/>
      <c r="K3296" s="4"/>
      <c r="L3296" s="19"/>
      <c r="M3296" s="20"/>
    </row>
    <row r="3297">
      <c r="A3297" s="6"/>
      <c r="B3297" s="6"/>
      <c r="C3297" s="4"/>
      <c r="D3297" s="4"/>
      <c r="E3297" s="4"/>
      <c r="F3297" s="4"/>
      <c r="G3297" s="4"/>
      <c r="H3297" s="4"/>
      <c r="I3297" s="4"/>
      <c r="J3297" s="18"/>
      <c r="K3297" s="4"/>
      <c r="L3297" s="19"/>
      <c r="M3297" s="20"/>
    </row>
    <row r="3298">
      <c r="A3298" s="6"/>
      <c r="B3298" s="6"/>
      <c r="C3298" s="4"/>
      <c r="D3298" s="4"/>
      <c r="E3298" s="4"/>
      <c r="F3298" s="4"/>
      <c r="G3298" s="4"/>
      <c r="H3298" s="4"/>
      <c r="I3298" s="4"/>
      <c r="J3298" s="18"/>
      <c r="K3298" s="4"/>
      <c r="L3298" s="19"/>
      <c r="M3298" s="20"/>
    </row>
    <row r="3299">
      <c r="A3299" s="6"/>
      <c r="B3299" s="6"/>
      <c r="C3299" s="4"/>
      <c r="D3299" s="4"/>
      <c r="E3299" s="4"/>
      <c r="F3299" s="4"/>
      <c r="G3299" s="4"/>
      <c r="H3299" s="4"/>
      <c r="I3299" s="4"/>
      <c r="J3299" s="18"/>
      <c r="K3299" s="30"/>
      <c r="L3299" s="19"/>
      <c r="M3299" s="20"/>
    </row>
    <row r="3300">
      <c r="A3300" s="6"/>
      <c r="B3300" s="6"/>
      <c r="C3300" s="4"/>
      <c r="D3300" s="4"/>
      <c r="E3300" s="4"/>
      <c r="F3300" s="4"/>
      <c r="G3300" s="4"/>
      <c r="H3300" s="4"/>
      <c r="I3300" s="4"/>
      <c r="J3300" s="18"/>
      <c r="K3300" s="4"/>
      <c r="L3300" s="19"/>
      <c r="M3300" s="20"/>
    </row>
    <row r="3301">
      <c r="A3301" s="6"/>
      <c r="B3301" s="6"/>
      <c r="C3301" s="4"/>
      <c r="D3301" s="4"/>
      <c r="E3301" s="4"/>
      <c r="F3301" s="4"/>
      <c r="G3301" s="4"/>
      <c r="H3301" s="4"/>
      <c r="I3301" s="4"/>
      <c r="J3301" s="18"/>
      <c r="K3301" s="4"/>
      <c r="L3301" s="19"/>
      <c r="M3301" s="20"/>
    </row>
    <row r="3302">
      <c r="A3302" s="6"/>
      <c r="B3302" s="6"/>
      <c r="C3302" s="4"/>
      <c r="D3302" s="4"/>
      <c r="E3302" s="4"/>
      <c r="F3302" s="4"/>
      <c r="G3302" s="4"/>
      <c r="H3302" s="4"/>
      <c r="I3302" s="4"/>
      <c r="J3302" s="18"/>
      <c r="K3302" s="4"/>
      <c r="L3302" s="19"/>
      <c r="M3302" s="20"/>
    </row>
    <row r="3303">
      <c r="A3303" s="6"/>
      <c r="B3303" s="6"/>
      <c r="C3303" s="4"/>
      <c r="D3303" s="4"/>
      <c r="E3303" s="4"/>
      <c r="F3303" s="4"/>
      <c r="G3303" s="4"/>
      <c r="H3303" s="4"/>
      <c r="I3303" s="4"/>
      <c r="J3303" s="18"/>
      <c r="K3303" s="4"/>
      <c r="L3303" s="19"/>
      <c r="M3303" s="20"/>
    </row>
    <row r="3304">
      <c r="A3304" s="6"/>
      <c r="B3304" s="6"/>
      <c r="C3304" s="4"/>
      <c r="D3304" s="4"/>
      <c r="E3304" s="4"/>
      <c r="F3304" s="4"/>
      <c r="G3304" s="4"/>
      <c r="H3304" s="4"/>
      <c r="I3304" s="4"/>
      <c r="J3304" s="18"/>
      <c r="K3304" s="4"/>
      <c r="L3304" s="19"/>
      <c r="M3304" s="20"/>
    </row>
    <row r="3305">
      <c r="A3305" s="6"/>
      <c r="B3305" s="6"/>
      <c r="C3305" s="4"/>
      <c r="D3305" s="4"/>
      <c r="E3305" s="4"/>
      <c r="F3305" s="4"/>
      <c r="G3305" s="4"/>
      <c r="H3305" s="4"/>
      <c r="I3305" s="4"/>
      <c r="J3305" s="18"/>
      <c r="K3305" s="4"/>
      <c r="L3305" s="19"/>
      <c r="M3305" s="20"/>
    </row>
    <row r="3306">
      <c r="A3306" s="6"/>
      <c r="B3306" s="6"/>
      <c r="C3306" s="4"/>
      <c r="D3306" s="4"/>
      <c r="E3306" s="4"/>
      <c r="F3306" s="4"/>
      <c r="G3306" s="4"/>
      <c r="H3306" s="4"/>
      <c r="I3306" s="4"/>
      <c r="J3306" s="18"/>
      <c r="K3306" s="4"/>
      <c r="L3306" s="19"/>
      <c r="M3306" s="20"/>
    </row>
    <row r="3307">
      <c r="A3307" s="6"/>
      <c r="B3307" s="6"/>
      <c r="C3307" s="4"/>
      <c r="D3307" s="4"/>
      <c r="E3307" s="4"/>
      <c r="F3307" s="4"/>
      <c r="G3307" s="4"/>
      <c r="H3307" s="4"/>
      <c r="I3307" s="4"/>
      <c r="J3307" s="18"/>
      <c r="K3307" s="4"/>
      <c r="L3307" s="19"/>
      <c r="M3307" s="20"/>
    </row>
    <row r="3308">
      <c r="A3308" s="6"/>
      <c r="B3308" s="6"/>
      <c r="C3308" s="4"/>
      <c r="D3308" s="4"/>
      <c r="E3308" s="4"/>
      <c r="F3308" s="4"/>
      <c r="G3308" s="4"/>
      <c r="H3308" s="4"/>
      <c r="I3308" s="4"/>
      <c r="J3308" s="18"/>
      <c r="K3308" s="4"/>
      <c r="L3308" s="19"/>
      <c r="M3308" s="20"/>
    </row>
    <row r="3309">
      <c r="A3309" s="6"/>
      <c r="B3309" s="6"/>
      <c r="C3309" s="4"/>
      <c r="D3309" s="4"/>
      <c r="E3309" s="4"/>
      <c r="F3309" s="4"/>
      <c r="G3309" s="4"/>
      <c r="H3309" s="4"/>
      <c r="I3309" s="4"/>
      <c r="J3309" s="18"/>
      <c r="K3309" s="4"/>
      <c r="L3309" s="19"/>
      <c r="M3309" s="20"/>
    </row>
    <row r="3310">
      <c r="A3310" s="6"/>
      <c r="B3310" s="6"/>
      <c r="C3310" s="4"/>
      <c r="D3310" s="4"/>
      <c r="E3310" s="4"/>
      <c r="F3310" s="4"/>
      <c r="G3310" s="4"/>
      <c r="H3310" s="4"/>
      <c r="I3310" s="4"/>
      <c r="J3310" s="18"/>
      <c r="K3310" s="4"/>
      <c r="L3310" s="19"/>
      <c r="M3310" s="20"/>
    </row>
    <row r="3311">
      <c r="A3311" s="6"/>
      <c r="B3311" s="6"/>
      <c r="C3311" s="4"/>
      <c r="D3311" s="4"/>
      <c r="E3311" s="4"/>
      <c r="F3311" s="4"/>
      <c r="G3311" s="4"/>
      <c r="H3311" s="4"/>
      <c r="I3311" s="4"/>
      <c r="J3311" s="18"/>
      <c r="K3311" s="4"/>
      <c r="L3311" s="19"/>
      <c r="M3311" s="20"/>
    </row>
    <row r="3312">
      <c r="A3312" s="6"/>
      <c r="B3312" s="6"/>
      <c r="C3312" s="4"/>
      <c r="D3312" s="4"/>
      <c r="E3312" s="4"/>
      <c r="F3312" s="4"/>
      <c r="G3312" s="4"/>
      <c r="H3312" s="4"/>
      <c r="I3312" s="4"/>
      <c r="J3312" s="18"/>
      <c r="K3312" s="4"/>
      <c r="L3312" s="19"/>
      <c r="M3312" s="20"/>
    </row>
    <row r="3313">
      <c r="A3313" s="6"/>
      <c r="B3313" s="6"/>
      <c r="C3313" s="4"/>
      <c r="D3313" s="4"/>
      <c r="E3313" s="4"/>
      <c r="F3313" s="4"/>
      <c r="G3313" s="4"/>
      <c r="H3313" s="4"/>
      <c r="I3313" s="4"/>
      <c r="J3313" s="18"/>
      <c r="K3313" s="4"/>
      <c r="L3313" s="19"/>
      <c r="M3313" s="20"/>
    </row>
    <row r="3314">
      <c r="A3314" s="6"/>
      <c r="B3314" s="6"/>
      <c r="C3314" s="4"/>
      <c r="D3314" s="4"/>
      <c r="E3314" s="4"/>
      <c r="F3314" s="4"/>
      <c r="G3314" s="4"/>
      <c r="H3314" s="4"/>
      <c r="I3314" s="4"/>
      <c r="J3314" s="18"/>
      <c r="K3314" s="4"/>
      <c r="L3314" s="19"/>
      <c r="M3314" s="20"/>
    </row>
    <row r="3315">
      <c r="A3315" s="6"/>
      <c r="B3315" s="6"/>
      <c r="C3315" s="4"/>
      <c r="D3315" s="4"/>
      <c r="E3315" s="4"/>
      <c r="F3315" s="4"/>
      <c r="G3315" s="4"/>
      <c r="H3315" s="4"/>
      <c r="I3315" s="4"/>
      <c r="J3315" s="18"/>
      <c r="K3315" s="4"/>
      <c r="L3315" s="19"/>
      <c r="M3315" s="20"/>
    </row>
    <row r="3316">
      <c r="A3316" s="6"/>
      <c r="B3316" s="6"/>
      <c r="C3316" s="4"/>
      <c r="D3316" s="4"/>
      <c r="E3316" s="4"/>
      <c r="F3316" s="4"/>
      <c r="G3316" s="4"/>
      <c r="H3316" s="4"/>
      <c r="I3316" s="4"/>
      <c r="J3316" s="18"/>
      <c r="K3316" s="4"/>
      <c r="L3316" s="19"/>
      <c r="M3316" s="20"/>
    </row>
    <row r="3317">
      <c r="A3317" s="6"/>
      <c r="B3317" s="6"/>
      <c r="C3317" s="4"/>
      <c r="D3317" s="4"/>
      <c r="E3317" s="4"/>
      <c r="F3317" s="4"/>
      <c r="G3317" s="4"/>
      <c r="H3317" s="4"/>
      <c r="I3317" s="4"/>
      <c r="J3317" s="18"/>
      <c r="K3317" s="4"/>
      <c r="L3317" s="19"/>
      <c r="M3317" s="20"/>
    </row>
    <row r="3318">
      <c r="A3318" s="6"/>
      <c r="B3318" s="6"/>
      <c r="C3318" s="4"/>
      <c r="D3318" s="4"/>
      <c r="E3318" s="4"/>
      <c r="F3318" s="4"/>
      <c r="G3318" s="4"/>
      <c r="H3318" s="4"/>
      <c r="I3318" s="4"/>
      <c r="J3318" s="18"/>
      <c r="K3318" s="4"/>
      <c r="L3318" s="19"/>
      <c r="M3318" s="20"/>
    </row>
    <row r="3319">
      <c r="A3319" s="6"/>
      <c r="B3319" s="6"/>
      <c r="C3319" s="4"/>
      <c r="D3319" s="4"/>
      <c r="E3319" s="4"/>
      <c r="F3319" s="4"/>
      <c r="G3319" s="4"/>
      <c r="H3319" s="4"/>
      <c r="I3319" s="4"/>
      <c r="J3319" s="18"/>
      <c r="K3319" s="4"/>
      <c r="L3319" s="19"/>
      <c r="M3319" s="20"/>
    </row>
    <row r="3320">
      <c r="A3320" s="6"/>
      <c r="B3320" s="6"/>
      <c r="C3320" s="4"/>
      <c r="D3320" s="4"/>
      <c r="E3320" s="4"/>
      <c r="F3320" s="4"/>
      <c r="G3320" s="4"/>
      <c r="H3320" s="4"/>
      <c r="I3320" s="4"/>
      <c r="J3320" s="18"/>
      <c r="K3320" s="4"/>
      <c r="L3320" s="19"/>
      <c r="M3320" s="20"/>
    </row>
    <row r="3321">
      <c r="A3321" s="6"/>
      <c r="B3321" s="6"/>
      <c r="C3321" s="4"/>
      <c r="D3321" s="4"/>
      <c r="E3321" s="4"/>
      <c r="F3321" s="4"/>
      <c r="G3321" s="4"/>
      <c r="H3321" s="4"/>
      <c r="I3321" s="4"/>
      <c r="J3321" s="18"/>
      <c r="K3321" s="4"/>
      <c r="L3321" s="19"/>
      <c r="M3321" s="20"/>
    </row>
    <row r="3322">
      <c r="A3322" s="6"/>
      <c r="B3322" s="6"/>
      <c r="C3322" s="4"/>
      <c r="D3322" s="4"/>
      <c r="E3322" s="4"/>
      <c r="F3322" s="4"/>
      <c r="G3322" s="4"/>
      <c r="H3322" s="4"/>
      <c r="I3322" s="4"/>
      <c r="J3322" s="18"/>
      <c r="K3322" s="4"/>
      <c r="L3322" s="19"/>
      <c r="M3322" s="20"/>
    </row>
    <row r="3323">
      <c r="A3323" s="6"/>
      <c r="B3323" s="6"/>
      <c r="C3323" s="4"/>
      <c r="D3323" s="4"/>
      <c r="E3323" s="4"/>
      <c r="F3323" s="4"/>
      <c r="G3323" s="4"/>
      <c r="H3323" s="4"/>
      <c r="I3323" s="4"/>
      <c r="J3323" s="18"/>
      <c r="K3323" s="4"/>
      <c r="L3323" s="19"/>
      <c r="M3323" s="20"/>
    </row>
    <row r="3324">
      <c r="A3324" s="6"/>
      <c r="B3324" s="6"/>
      <c r="C3324" s="4"/>
      <c r="D3324" s="4"/>
      <c r="E3324" s="4"/>
      <c r="F3324" s="4"/>
      <c r="G3324" s="4"/>
      <c r="H3324" s="4"/>
      <c r="I3324" s="4"/>
      <c r="J3324" s="18"/>
      <c r="K3324" s="4"/>
      <c r="L3324" s="19"/>
      <c r="M3324" s="20"/>
    </row>
    <row r="3325">
      <c r="A3325" s="6"/>
      <c r="B3325" s="6"/>
      <c r="C3325" s="4"/>
      <c r="D3325" s="4"/>
      <c r="E3325" s="4"/>
      <c r="F3325" s="4"/>
      <c r="G3325" s="4"/>
      <c r="H3325" s="4"/>
      <c r="I3325" s="4"/>
      <c r="J3325" s="18"/>
      <c r="K3325" s="4"/>
      <c r="L3325" s="19"/>
      <c r="M3325" s="20"/>
    </row>
    <row r="3326">
      <c r="A3326" s="6"/>
      <c r="B3326" s="6"/>
      <c r="C3326" s="4"/>
      <c r="D3326" s="4"/>
      <c r="E3326" s="4"/>
      <c r="F3326" s="4"/>
      <c r="G3326" s="4"/>
      <c r="H3326" s="4"/>
      <c r="I3326" s="4"/>
      <c r="J3326" s="18"/>
      <c r="K3326" s="4"/>
      <c r="L3326" s="19"/>
      <c r="M3326" s="20"/>
    </row>
    <row r="3327">
      <c r="A3327" s="6"/>
      <c r="B3327" s="6"/>
      <c r="C3327" s="4"/>
      <c r="D3327" s="4"/>
      <c r="E3327" s="4"/>
      <c r="F3327" s="4"/>
      <c r="G3327" s="4"/>
      <c r="H3327" s="4"/>
      <c r="I3327" s="4"/>
      <c r="J3327" s="18"/>
      <c r="K3327" s="4"/>
      <c r="L3327" s="19"/>
      <c r="M3327" s="20"/>
    </row>
    <row r="3328">
      <c r="A3328" s="6"/>
      <c r="B3328" s="6"/>
      <c r="C3328" s="4"/>
      <c r="D3328" s="4"/>
      <c r="E3328" s="4"/>
      <c r="F3328" s="4"/>
      <c r="G3328" s="4"/>
      <c r="H3328" s="4"/>
      <c r="I3328" s="4"/>
      <c r="J3328" s="18"/>
      <c r="K3328" s="4"/>
      <c r="L3328" s="19"/>
      <c r="M3328" s="20"/>
    </row>
    <row r="3329">
      <c r="A3329" s="6"/>
      <c r="B3329" s="6"/>
      <c r="C3329" s="4"/>
      <c r="D3329" s="4"/>
      <c r="E3329" s="4"/>
      <c r="F3329" s="4"/>
      <c r="G3329" s="4"/>
      <c r="H3329" s="4"/>
      <c r="I3329" s="4"/>
      <c r="J3329" s="18"/>
      <c r="K3329" s="4"/>
      <c r="L3329" s="19"/>
      <c r="M3329" s="20"/>
    </row>
    <row r="3330">
      <c r="A3330" s="6"/>
      <c r="B3330" s="6"/>
      <c r="C3330" s="4"/>
      <c r="D3330" s="4"/>
      <c r="E3330" s="4"/>
      <c r="F3330" s="4"/>
      <c r="G3330" s="4"/>
      <c r="H3330" s="4"/>
      <c r="I3330" s="4"/>
      <c r="J3330" s="18"/>
      <c r="K3330" s="4"/>
      <c r="L3330" s="19"/>
      <c r="M3330" s="20"/>
    </row>
    <row r="3331">
      <c r="A3331" s="6"/>
      <c r="B3331" s="6"/>
      <c r="C3331" s="4"/>
      <c r="D3331" s="4"/>
      <c r="E3331" s="4"/>
      <c r="F3331" s="4"/>
      <c r="G3331" s="4"/>
      <c r="H3331" s="4"/>
      <c r="I3331" s="4"/>
      <c r="J3331" s="18"/>
      <c r="K3331" s="4"/>
      <c r="L3331" s="19"/>
      <c r="M3331" s="20"/>
    </row>
    <row r="3332">
      <c r="A3332" s="6"/>
      <c r="B3332" s="6"/>
      <c r="C3332" s="4"/>
      <c r="D3332" s="4"/>
      <c r="E3332" s="4"/>
      <c r="F3332" s="4"/>
      <c r="G3332" s="4"/>
      <c r="H3332" s="4"/>
      <c r="I3332" s="4"/>
      <c r="J3332" s="18"/>
      <c r="K3332" s="4"/>
      <c r="L3332" s="19"/>
      <c r="M3332" s="20"/>
    </row>
    <row r="3333">
      <c r="A3333" s="6"/>
      <c r="B3333" s="6"/>
      <c r="C3333" s="4"/>
      <c r="D3333" s="4"/>
      <c r="E3333" s="4"/>
      <c r="F3333" s="4"/>
      <c r="G3333" s="4"/>
      <c r="H3333" s="4"/>
      <c r="I3333" s="4"/>
      <c r="J3333" s="18"/>
      <c r="K3333" s="4"/>
      <c r="L3333" s="19"/>
      <c r="M3333" s="20"/>
    </row>
    <row r="3334">
      <c r="A3334" s="6"/>
      <c r="B3334" s="6"/>
      <c r="C3334" s="4"/>
      <c r="D3334" s="4"/>
      <c r="E3334" s="4"/>
      <c r="F3334" s="4"/>
      <c r="G3334" s="4"/>
      <c r="H3334" s="4"/>
      <c r="I3334" s="4"/>
      <c r="J3334" s="18"/>
      <c r="K3334" s="4"/>
      <c r="L3334" s="19"/>
      <c r="M3334" s="20"/>
    </row>
    <row r="3335">
      <c r="A3335" s="6"/>
      <c r="B3335" s="6"/>
      <c r="C3335" s="4"/>
      <c r="D3335" s="4"/>
      <c r="E3335" s="4"/>
      <c r="F3335" s="4"/>
      <c r="G3335" s="4"/>
      <c r="H3335" s="4"/>
      <c r="I3335" s="4"/>
      <c r="J3335" s="18"/>
      <c r="K3335" s="4"/>
      <c r="L3335" s="19"/>
      <c r="M3335" s="20"/>
    </row>
    <row r="3336">
      <c r="A3336" s="6"/>
      <c r="B3336" s="6"/>
      <c r="C3336" s="4"/>
      <c r="D3336" s="4"/>
      <c r="E3336" s="4"/>
      <c r="F3336" s="4"/>
      <c r="G3336" s="4"/>
      <c r="H3336" s="4"/>
      <c r="I3336" s="4"/>
      <c r="J3336" s="18"/>
      <c r="K3336" s="4"/>
      <c r="L3336" s="19"/>
      <c r="M3336" s="20"/>
    </row>
    <row r="3337">
      <c r="A3337" s="6"/>
      <c r="B3337" s="6"/>
      <c r="C3337" s="4"/>
      <c r="D3337" s="4"/>
      <c r="E3337" s="4"/>
      <c r="F3337" s="4"/>
      <c r="G3337" s="4"/>
      <c r="H3337" s="4"/>
      <c r="I3337" s="4"/>
      <c r="J3337" s="18"/>
      <c r="K3337" s="4"/>
      <c r="L3337" s="19"/>
      <c r="M3337" s="20"/>
    </row>
    <row r="3338">
      <c r="A3338" s="6"/>
      <c r="B3338" s="6"/>
      <c r="C3338" s="4"/>
      <c r="D3338" s="4"/>
      <c r="E3338" s="4"/>
      <c r="F3338" s="4"/>
      <c r="G3338" s="4"/>
      <c r="H3338" s="4"/>
      <c r="I3338" s="4"/>
      <c r="J3338" s="18"/>
      <c r="K3338" s="4"/>
      <c r="L3338" s="19"/>
      <c r="M3338" s="20"/>
    </row>
    <row r="3339">
      <c r="A3339" s="6"/>
      <c r="B3339" s="6"/>
      <c r="C3339" s="4"/>
      <c r="D3339" s="4"/>
      <c r="E3339" s="4"/>
      <c r="F3339" s="4"/>
      <c r="G3339" s="4"/>
      <c r="H3339" s="4"/>
      <c r="I3339" s="4"/>
      <c r="J3339" s="18"/>
      <c r="K3339" s="4"/>
      <c r="L3339" s="19"/>
      <c r="M3339" s="20"/>
    </row>
    <row r="3340">
      <c r="A3340" s="6"/>
      <c r="B3340" s="6"/>
      <c r="C3340" s="4"/>
      <c r="D3340" s="4"/>
      <c r="E3340" s="4"/>
      <c r="F3340" s="4"/>
      <c r="G3340" s="4"/>
      <c r="H3340" s="4"/>
      <c r="I3340" s="4"/>
      <c r="J3340" s="18"/>
      <c r="K3340" s="4"/>
      <c r="L3340" s="19"/>
      <c r="M3340" s="20"/>
    </row>
    <row r="3341">
      <c r="A3341" s="6"/>
      <c r="B3341" s="6"/>
      <c r="C3341" s="4"/>
      <c r="D3341" s="4"/>
      <c r="E3341" s="4"/>
      <c r="F3341" s="4"/>
      <c r="G3341" s="4"/>
      <c r="H3341" s="4"/>
      <c r="I3341" s="4"/>
      <c r="J3341" s="18"/>
      <c r="K3341" s="4"/>
      <c r="L3341" s="19"/>
      <c r="M3341" s="20"/>
    </row>
    <row r="3342">
      <c r="A3342" s="6"/>
      <c r="B3342" s="6"/>
      <c r="C3342" s="4"/>
      <c r="D3342" s="4"/>
      <c r="E3342" s="4"/>
      <c r="F3342" s="4"/>
      <c r="G3342" s="4"/>
      <c r="H3342" s="4"/>
      <c r="I3342" s="4"/>
      <c r="J3342" s="18"/>
      <c r="K3342" s="4"/>
      <c r="L3342" s="19"/>
      <c r="M3342" s="20"/>
    </row>
    <row r="3343">
      <c r="A3343" s="6"/>
      <c r="B3343" s="6"/>
      <c r="C3343" s="4"/>
      <c r="D3343" s="4"/>
      <c r="E3343" s="4"/>
      <c r="F3343" s="4"/>
      <c r="G3343" s="4"/>
      <c r="H3343" s="4"/>
      <c r="I3343" s="4"/>
      <c r="J3343" s="18"/>
      <c r="K3343" s="4"/>
      <c r="L3343" s="19"/>
      <c r="M3343" s="20"/>
    </row>
    <row r="3344">
      <c r="A3344" s="6"/>
      <c r="B3344" s="6"/>
      <c r="C3344" s="4"/>
      <c r="D3344" s="4"/>
      <c r="E3344" s="4"/>
      <c r="F3344" s="4"/>
      <c r="G3344" s="4"/>
      <c r="H3344" s="4"/>
      <c r="I3344" s="4"/>
      <c r="J3344" s="18"/>
      <c r="K3344" s="4"/>
      <c r="L3344" s="19"/>
      <c r="M3344" s="20"/>
    </row>
    <row r="3345">
      <c r="A3345" s="6"/>
      <c r="B3345" s="6"/>
      <c r="C3345" s="4"/>
      <c r="D3345" s="4"/>
      <c r="E3345" s="4"/>
      <c r="F3345" s="4"/>
      <c r="G3345" s="4"/>
      <c r="H3345" s="4"/>
      <c r="I3345" s="4"/>
      <c r="J3345" s="18"/>
      <c r="K3345" s="4"/>
      <c r="L3345" s="19"/>
      <c r="M3345" s="20"/>
    </row>
    <row r="3346">
      <c r="A3346" s="6"/>
      <c r="B3346" s="6"/>
      <c r="C3346" s="4"/>
      <c r="D3346" s="4"/>
      <c r="E3346" s="4"/>
      <c r="F3346" s="4"/>
      <c r="G3346" s="4"/>
      <c r="H3346" s="4"/>
      <c r="I3346" s="4"/>
      <c r="J3346" s="18"/>
      <c r="K3346" s="4"/>
      <c r="L3346" s="19"/>
      <c r="M3346" s="20"/>
    </row>
    <row r="3347">
      <c r="A3347" s="6"/>
      <c r="B3347" s="6"/>
      <c r="C3347" s="4"/>
      <c r="D3347" s="4"/>
      <c r="E3347" s="4"/>
      <c r="F3347" s="4"/>
      <c r="G3347" s="4"/>
      <c r="H3347" s="4"/>
      <c r="I3347" s="4"/>
      <c r="J3347" s="18"/>
      <c r="K3347" s="4"/>
      <c r="L3347" s="19"/>
      <c r="M3347" s="20"/>
    </row>
    <row r="3348">
      <c r="A3348" s="6"/>
      <c r="B3348" s="6"/>
      <c r="C3348" s="4"/>
      <c r="D3348" s="4"/>
      <c r="E3348" s="4"/>
      <c r="F3348" s="4"/>
      <c r="G3348" s="4"/>
      <c r="H3348" s="4"/>
      <c r="I3348" s="4"/>
      <c r="J3348" s="18"/>
      <c r="K3348" s="4"/>
      <c r="L3348" s="19"/>
      <c r="M3348" s="20"/>
    </row>
    <row r="3349">
      <c r="A3349" s="6"/>
      <c r="B3349" s="6"/>
      <c r="C3349" s="4"/>
      <c r="D3349" s="4"/>
      <c r="E3349" s="4"/>
      <c r="F3349" s="4"/>
      <c r="G3349" s="4"/>
      <c r="H3349" s="4"/>
      <c r="I3349" s="4"/>
      <c r="J3349" s="18"/>
      <c r="K3349" s="4"/>
      <c r="L3349" s="19"/>
      <c r="M3349" s="20"/>
    </row>
    <row r="3350">
      <c r="A3350" s="6"/>
      <c r="B3350" s="6"/>
      <c r="C3350" s="4"/>
      <c r="D3350" s="4"/>
      <c r="E3350" s="4"/>
      <c r="F3350" s="4"/>
      <c r="G3350" s="4"/>
      <c r="H3350" s="4"/>
      <c r="I3350" s="4"/>
      <c r="J3350" s="18"/>
      <c r="K3350" s="4"/>
      <c r="L3350" s="19"/>
      <c r="M3350" s="20"/>
    </row>
    <row r="3351">
      <c r="A3351" s="6"/>
      <c r="B3351" s="6"/>
      <c r="C3351" s="4"/>
      <c r="D3351" s="4"/>
      <c r="E3351" s="4"/>
      <c r="F3351" s="4"/>
      <c r="G3351" s="4"/>
      <c r="H3351" s="4"/>
      <c r="I3351" s="4"/>
      <c r="J3351" s="18"/>
      <c r="K3351" s="4"/>
      <c r="L3351" s="19"/>
      <c r="M3351" s="20"/>
    </row>
    <row r="3352">
      <c r="A3352" s="6"/>
      <c r="B3352" s="6"/>
      <c r="C3352" s="4"/>
      <c r="D3352" s="4"/>
      <c r="E3352" s="4"/>
      <c r="F3352" s="4"/>
      <c r="G3352" s="4"/>
      <c r="H3352" s="4"/>
      <c r="I3352" s="4"/>
      <c r="J3352" s="18"/>
      <c r="K3352" s="4"/>
      <c r="L3352" s="19"/>
      <c r="M3352" s="20"/>
    </row>
    <row r="3353">
      <c r="A3353" s="6"/>
      <c r="B3353" s="6"/>
      <c r="C3353" s="4"/>
      <c r="D3353" s="4"/>
      <c r="E3353" s="4"/>
      <c r="F3353" s="4"/>
      <c r="G3353" s="4"/>
      <c r="H3353" s="4"/>
      <c r="I3353" s="4"/>
      <c r="J3353" s="18"/>
      <c r="K3353" s="4"/>
      <c r="L3353" s="19"/>
      <c r="M3353" s="20"/>
    </row>
    <row r="3354">
      <c r="A3354" s="6"/>
      <c r="B3354" s="6"/>
      <c r="C3354" s="4"/>
      <c r="D3354" s="4"/>
      <c r="E3354" s="4"/>
      <c r="F3354" s="4"/>
      <c r="G3354" s="4"/>
      <c r="H3354" s="4"/>
      <c r="I3354" s="4"/>
      <c r="J3354" s="18"/>
      <c r="K3354" s="4"/>
      <c r="L3354" s="19"/>
      <c r="M3354" s="20"/>
    </row>
    <row r="3355">
      <c r="A3355" s="6"/>
      <c r="B3355" s="6"/>
      <c r="C3355" s="4"/>
      <c r="D3355" s="4"/>
      <c r="E3355" s="4"/>
      <c r="F3355" s="4"/>
      <c r="G3355" s="4"/>
      <c r="H3355" s="4"/>
      <c r="I3355" s="4"/>
      <c r="J3355" s="18"/>
      <c r="K3355" s="4"/>
      <c r="L3355" s="19"/>
      <c r="M3355" s="20"/>
    </row>
    <row r="3356">
      <c r="A3356" s="6"/>
      <c r="B3356" s="6"/>
      <c r="C3356" s="4"/>
      <c r="D3356" s="4"/>
      <c r="E3356" s="4"/>
      <c r="F3356" s="4"/>
      <c r="G3356" s="4"/>
      <c r="H3356" s="4"/>
      <c r="I3356" s="4"/>
      <c r="J3356" s="18"/>
      <c r="K3356" s="4"/>
      <c r="L3356" s="19"/>
      <c r="M3356" s="20"/>
    </row>
    <row r="3357">
      <c r="A3357" s="6"/>
      <c r="B3357" s="6"/>
      <c r="C3357" s="4"/>
      <c r="D3357" s="4"/>
      <c r="E3357" s="4"/>
      <c r="F3357" s="4"/>
      <c r="G3357" s="4"/>
      <c r="H3357" s="4"/>
      <c r="I3357" s="4"/>
      <c r="J3357" s="18"/>
      <c r="K3357" s="4"/>
      <c r="L3357" s="19"/>
      <c r="M3357" s="20"/>
    </row>
    <row r="3358">
      <c r="A3358" s="6"/>
      <c r="B3358" s="6"/>
      <c r="C3358" s="4"/>
      <c r="D3358" s="4"/>
      <c r="E3358" s="4"/>
      <c r="F3358" s="4"/>
      <c r="G3358" s="4"/>
      <c r="H3358" s="4"/>
      <c r="I3358" s="4"/>
      <c r="J3358" s="18"/>
      <c r="K3358" s="4"/>
      <c r="L3358" s="19"/>
      <c r="M3358" s="20"/>
    </row>
    <row r="3359">
      <c r="A3359" s="6"/>
      <c r="B3359" s="6"/>
      <c r="C3359" s="4"/>
      <c r="D3359" s="4"/>
      <c r="E3359" s="4"/>
      <c r="F3359" s="4"/>
      <c r="G3359" s="4"/>
      <c r="H3359" s="4"/>
      <c r="I3359" s="4"/>
      <c r="J3359" s="18"/>
      <c r="K3359" s="4"/>
      <c r="L3359" s="19"/>
      <c r="M3359" s="20"/>
    </row>
    <row r="3360">
      <c r="A3360" s="6"/>
      <c r="B3360" s="6"/>
      <c r="C3360" s="4"/>
      <c r="D3360" s="4"/>
      <c r="E3360" s="4"/>
      <c r="F3360" s="4"/>
      <c r="G3360" s="4"/>
      <c r="H3360" s="4"/>
      <c r="I3360" s="4"/>
      <c r="J3360" s="18"/>
      <c r="K3360" s="4"/>
      <c r="L3360" s="19"/>
      <c r="M3360" s="20"/>
    </row>
    <row r="3361">
      <c r="A3361" s="6"/>
      <c r="B3361" s="6"/>
      <c r="C3361" s="4"/>
      <c r="D3361" s="4"/>
      <c r="E3361" s="4"/>
      <c r="F3361" s="4"/>
      <c r="G3361" s="4"/>
      <c r="H3361" s="4"/>
      <c r="I3361" s="4"/>
      <c r="J3361" s="18"/>
      <c r="K3361" s="4"/>
      <c r="L3361" s="19"/>
      <c r="M3361" s="20"/>
    </row>
    <row r="3362">
      <c r="A3362" s="6"/>
      <c r="B3362" s="6"/>
      <c r="C3362" s="4"/>
      <c r="D3362" s="4"/>
      <c r="E3362" s="4"/>
      <c r="F3362" s="4"/>
      <c r="G3362" s="4"/>
      <c r="H3362" s="4"/>
      <c r="I3362" s="4"/>
      <c r="J3362" s="18"/>
      <c r="K3362" s="4"/>
      <c r="L3362" s="19"/>
      <c r="M3362" s="20"/>
    </row>
    <row r="3363">
      <c r="A3363" s="6"/>
      <c r="B3363" s="6"/>
      <c r="C3363" s="4"/>
      <c r="D3363" s="4"/>
      <c r="E3363" s="4"/>
      <c r="F3363" s="4"/>
      <c r="G3363" s="4"/>
      <c r="H3363" s="4"/>
      <c r="I3363" s="4"/>
      <c r="J3363" s="18"/>
      <c r="K3363" s="4"/>
      <c r="L3363" s="19"/>
      <c r="M3363" s="20"/>
    </row>
    <row r="3364">
      <c r="A3364" s="6"/>
      <c r="B3364" s="6"/>
      <c r="C3364" s="4"/>
      <c r="D3364" s="4"/>
      <c r="E3364" s="4"/>
      <c r="F3364" s="4"/>
      <c r="G3364" s="4"/>
      <c r="H3364" s="4"/>
      <c r="I3364" s="4"/>
      <c r="J3364" s="18"/>
      <c r="K3364" s="4"/>
      <c r="L3364" s="19"/>
      <c r="M3364" s="20"/>
    </row>
    <row r="3365">
      <c r="A3365" s="6"/>
      <c r="B3365" s="6"/>
      <c r="C3365" s="4"/>
      <c r="D3365" s="4"/>
      <c r="E3365" s="4"/>
      <c r="F3365" s="4"/>
      <c r="G3365" s="4"/>
      <c r="H3365" s="4"/>
      <c r="I3365" s="4"/>
      <c r="J3365" s="18"/>
      <c r="K3365" s="4"/>
      <c r="L3365" s="19"/>
      <c r="M3365" s="20"/>
    </row>
    <row r="3366">
      <c r="A3366" s="6"/>
      <c r="B3366" s="6"/>
      <c r="C3366" s="4"/>
      <c r="D3366" s="4"/>
      <c r="E3366" s="4"/>
      <c r="F3366" s="4"/>
      <c r="G3366" s="4"/>
      <c r="H3366" s="4"/>
      <c r="I3366" s="4"/>
      <c r="J3366" s="18"/>
      <c r="K3366" s="4"/>
      <c r="L3366" s="19"/>
      <c r="M3366" s="20"/>
    </row>
    <row r="3367">
      <c r="A3367" s="6"/>
      <c r="B3367" s="6"/>
      <c r="C3367" s="4"/>
      <c r="D3367" s="4"/>
      <c r="E3367" s="4"/>
      <c r="F3367" s="4"/>
      <c r="G3367" s="4"/>
      <c r="H3367" s="4"/>
      <c r="I3367" s="4"/>
      <c r="J3367" s="18"/>
      <c r="K3367" s="4"/>
      <c r="L3367" s="19"/>
      <c r="M3367" s="20"/>
    </row>
    <row r="3368">
      <c r="A3368" s="6"/>
      <c r="B3368" s="6"/>
      <c r="C3368" s="4"/>
      <c r="D3368" s="4"/>
      <c r="E3368" s="4"/>
      <c r="F3368" s="4"/>
      <c r="G3368" s="4"/>
      <c r="H3368" s="4"/>
      <c r="I3368" s="4"/>
      <c r="J3368" s="18"/>
      <c r="K3368" s="4"/>
      <c r="L3368" s="19"/>
      <c r="M3368" s="20"/>
    </row>
    <row r="3369">
      <c r="A3369" s="6"/>
      <c r="B3369" s="6"/>
      <c r="C3369" s="4"/>
      <c r="D3369" s="4"/>
      <c r="E3369" s="4"/>
      <c r="F3369" s="4"/>
      <c r="G3369" s="4"/>
      <c r="H3369" s="4"/>
      <c r="I3369" s="4"/>
      <c r="J3369" s="18"/>
      <c r="K3369" s="4"/>
      <c r="L3369" s="19"/>
      <c r="M3369" s="20"/>
    </row>
    <row r="3370">
      <c r="A3370" s="6"/>
      <c r="B3370" s="6"/>
      <c r="C3370" s="4"/>
      <c r="D3370" s="4"/>
      <c r="E3370" s="4"/>
      <c r="F3370" s="4"/>
      <c r="G3370" s="4"/>
      <c r="H3370" s="4"/>
      <c r="I3370" s="4"/>
      <c r="J3370" s="18"/>
      <c r="K3370" s="4"/>
      <c r="L3370" s="19"/>
      <c r="M3370" s="20"/>
    </row>
    <row r="3371">
      <c r="A3371" s="6"/>
      <c r="B3371" s="6"/>
      <c r="C3371" s="4"/>
      <c r="D3371" s="4"/>
      <c r="E3371" s="4"/>
      <c r="F3371" s="4"/>
      <c r="G3371" s="4"/>
      <c r="H3371" s="4"/>
      <c r="I3371" s="4"/>
      <c r="J3371" s="18"/>
      <c r="K3371" s="4"/>
      <c r="L3371" s="19"/>
      <c r="M3371" s="20"/>
    </row>
    <row r="3372">
      <c r="A3372" s="6"/>
      <c r="B3372" s="6"/>
      <c r="C3372" s="4"/>
      <c r="D3372" s="4"/>
      <c r="E3372" s="4"/>
      <c r="F3372" s="4"/>
      <c r="G3372" s="4"/>
      <c r="H3372" s="4"/>
      <c r="I3372" s="4"/>
      <c r="J3372" s="18"/>
      <c r="K3372" s="4"/>
      <c r="L3372" s="19"/>
      <c r="M3372" s="20"/>
    </row>
    <row r="3373">
      <c r="A3373" s="6"/>
      <c r="B3373" s="6"/>
      <c r="C3373" s="4"/>
      <c r="D3373" s="4"/>
      <c r="E3373" s="4"/>
      <c r="F3373" s="4"/>
      <c r="G3373" s="4"/>
      <c r="H3373" s="4"/>
      <c r="I3373" s="4"/>
      <c r="J3373" s="18"/>
      <c r="K3373" s="4"/>
      <c r="L3373" s="19"/>
      <c r="M3373" s="20"/>
    </row>
    <row r="3374">
      <c r="A3374" s="6"/>
      <c r="B3374" s="6"/>
      <c r="C3374" s="4"/>
      <c r="D3374" s="4"/>
      <c r="E3374" s="4"/>
      <c r="F3374" s="4"/>
      <c r="G3374" s="4"/>
      <c r="H3374" s="4"/>
      <c r="I3374" s="4"/>
      <c r="J3374" s="18"/>
      <c r="K3374" s="4"/>
      <c r="L3374" s="19"/>
      <c r="M3374" s="20"/>
    </row>
    <row r="3375">
      <c r="A3375" s="6"/>
      <c r="B3375" s="6"/>
      <c r="C3375" s="4"/>
      <c r="D3375" s="4"/>
      <c r="E3375" s="4"/>
      <c r="F3375" s="4"/>
      <c r="G3375" s="4"/>
      <c r="H3375" s="4"/>
      <c r="I3375" s="4"/>
      <c r="J3375" s="18"/>
      <c r="K3375" s="4"/>
      <c r="L3375" s="19"/>
      <c r="M3375" s="20"/>
    </row>
    <row r="3376">
      <c r="A3376" s="6"/>
      <c r="B3376" s="6"/>
      <c r="C3376" s="4"/>
      <c r="D3376" s="4"/>
      <c r="E3376" s="4"/>
      <c r="F3376" s="4"/>
      <c r="G3376" s="4"/>
      <c r="H3376" s="4"/>
      <c r="I3376" s="4"/>
      <c r="J3376" s="18"/>
      <c r="K3376" s="4"/>
      <c r="L3376" s="19"/>
      <c r="M3376" s="20"/>
    </row>
    <row r="3377">
      <c r="A3377" s="6"/>
      <c r="B3377" s="6"/>
      <c r="C3377" s="4"/>
      <c r="D3377" s="4"/>
      <c r="E3377" s="4"/>
      <c r="F3377" s="4"/>
      <c r="G3377" s="4"/>
      <c r="H3377" s="4"/>
      <c r="I3377" s="4"/>
      <c r="J3377" s="18"/>
      <c r="K3377" s="4"/>
      <c r="L3377" s="19"/>
      <c r="M3377" s="20"/>
    </row>
    <row r="3378">
      <c r="A3378" s="6"/>
      <c r="B3378" s="6"/>
      <c r="C3378" s="4"/>
      <c r="D3378" s="4"/>
      <c r="E3378" s="4"/>
      <c r="F3378" s="4"/>
      <c r="G3378" s="4"/>
      <c r="H3378" s="4"/>
      <c r="I3378" s="4"/>
      <c r="J3378" s="18"/>
      <c r="K3378" s="4"/>
      <c r="L3378" s="19"/>
      <c r="M3378" s="20"/>
    </row>
    <row r="3379">
      <c r="A3379" s="6"/>
      <c r="B3379" s="6"/>
      <c r="C3379" s="4"/>
      <c r="D3379" s="4"/>
      <c r="E3379" s="4"/>
      <c r="F3379" s="4"/>
      <c r="G3379" s="4"/>
      <c r="H3379" s="4"/>
      <c r="I3379" s="4"/>
      <c r="J3379" s="18"/>
      <c r="K3379" s="4"/>
      <c r="L3379" s="19"/>
      <c r="M3379" s="20"/>
    </row>
    <row r="3380">
      <c r="A3380" s="6"/>
      <c r="B3380" s="6"/>
      <c r="C3380" s="4"/>
      <c r="D3380" s="4"/>
      <c r="E3380" s="4"/>
      <c r="F3380" s="4"/>
      <c r="G3380" s="4"/>
      <c r="H3380" s="4"/>
      <c r="I3380" s="4"/>
      <c r="J3380" s="18"/>
      <c r="K3380" s="4"/>
      <c r="L3380" s="19"/>
      <c r="M3380" s="20"/>
    </row>
    <row r="3381">
      <c r="A3381" s="6"/>
      <c r="B3381" s="6"/>
      <c r="C3381" s="4"/>
      <c r="D3381" s="4"/>
      <c r="E3381" s="4"/>
      <c r="F3381" s="4"/>
      <c r="G3381" s="4"/>
      <c r="H3381" s="4"/>
      <c r="I3381" s="4"/>
      <c r="J3381" s="18"/>
      <c r="K3381" s="4"/>
      <c r="L3381" s="19"/>
      <c r="M3381" s="20"/>
    </row>
    <row r="3382">
      <c r="A3382" s="6"/>
      <c r="B3382" s="6"/>
      <c r="C3382" s="4"/>
      <c r="D3382" s="4"/>
      <c r="E3382" s="4"/>
      <c r="F3382" s="4"/>
      <c r="G3382" s="4"/>
      <c r="H3382" s="4"/>
      <c r="I3382" s="4"/>
      <c r="J3382" s="18"/>
      <c r="K3382" s="4"/>
      <c r="L3382" s="19"/>
      <c r="M3382" s="20"/>
    </row>
    <row r="3383">
      <c r="A3383" s="6"/>
      <c r="B3383" s="6"/>
      <c r="C3383" s="4"/>
      <c r="D3383" s="4"/>
      <c r="E3383" s="4"/>
      <c r="F3383" s="4"/>
      <c r="G3383" s="4"/>
      <c r="H3383" s="4"/>
      <c r="I3383" s="4"/>
      <c r="J3383" s="18"/>
      <c r="K3383" s="4"/>
      <c r="L3383" s="19"/>
      <c r="M3383" s="20"/>
    </row>
    <row r="3384">
      <c r="A3384" s="6"/>
      <c r="B3384" s="6"/>
      <c r="C3384" s="4"/>
      <c r="D3384" s="4"/>
      <c r="E3384" s="4"/>
      <c r="F3384" s="4"/>
      <c r="G3384" s="4"/>
      <c r="H3384" s="4"/>
      <c r="I3384" s="4"/>
      <c r="J3384" s="18"/>
      <c r="K3384" s="4"/>
      <c r="L3384" s="19"/>
      <c r="M3384" s="20"/>
    </row>
    <row r="3385">
      <c r="A3385" s="6"/>
      <c r="B3385" s="6"/>
      <c r="C3385" s="4"/>
      <c r="D3385" s="4"/>
      <c r="E3385" s="4"/>
      <c r="F3385" s="4"/>
      <c r="G3385" s="4"/>
      <c r="H3385" s="4"/>
      <c r="I3385" s="4"/>
      <c r="J3385" s="18"/>
      <c r="K3385" s="4"/>
      <c r="L3385" s="19"/>
      <c r="M3385" s="20"/>
    </row>
    <row r="3386">
      <c r="A3386" s="6"/>
      <c r="B3386" s="6"/>
      <c r="C3386" s="4"/>
      <c r="D3386" s="4"/>
      <c r="E3386" s="4"/>
      <c r="F3386" s="4"/>
      <c r="G3386" s="4"/>
      <c r="H3386" s="4"/>
      <c r="I3386" s="4"/>
      <c r="J3386" s="18"/>
      <c r="K3386" s="4"/>
      <c r="L3386" s="19"/>
      <c r="M3386" s="20"/>
    </row>
    <row r="3387">
      <c r="A3387" s="6"/>
      <c r="B3387" s="6"/>
      <c r="C3387" s="4"/>
      <c r="D3387" s="4"/>
      <c r="E3387" s="4"/>
      <c r="F3387" s="4"/>
      <c r="G3387" s="4"/>
      <c r="H3387" s="4"/>
      <c r="I3387" s="4"/>
      <c r="J3387" s="18"/>
      <c r="K3387" s="4"/>
      <c r="L3387" s="19"/>
      <c r="M3387" s="20"/>
    </row>
    <row r="3388">
      <c r="A3388" s="6"/>
      <c r="B3388" s="6"/>
      <c r="C3388" s="4"/>
      <c r="D3388" s="4"/>
      <c r="E3388" s="4"/>
      <c r="F3388" s="4"/>
      <c r="G3388" s="4"/>
      <c r="H3388" s="4"/>
      <c r="I3388" s="4"/>
      <c r="J3388" s="18"/>
      <c r="K3388" s="4"/>
      <c r="L3388" s="19"/>
      <c r="M3388" s="20"/>
    </row>
    <row r="3389">
      <c r="A3389" s="6"/>
      <c r="B3389" s="6"/>
      <c r="C3389" s="4"/>
      <c r="D3389" s="4"/>
      <c r="E3389" s="4"/>
      <c r="F3389" s="4"/>
      <c r="G3389" s="4"/>
      <c r="H3389" s="4"/>
      <c r="I3389" s="4"/>
      <c r="J3389" s="18"/>
      <c r="K3389" s="4"/>
      <c r="L3389" s="19"/>
      <c r="M3389" s="20"/>
    </row>
    <row r="3390">
      <c r="A3390" s="6"/>
      <c r="B3390" s="6"/>
      <c r="C3390" s="4"/>
      <c r="D3390" s="4"/>
      <c r="E3390" s="4"/>
      <c r="F3390" s="4"/>
      <c r="G3390" s="4"/>
      <c r="H3390" s="4"/>
      <c r="I3390" s="4"/>
      <c r="J3390" s="18"/>
      <c r="K3390" s="4"/>
      <c r="L3390" s="19"/>
      <c r="M3390" s="20"/>
    </row>
    <row r="3391">
      <c r="A3391" s="6"/>
      <c r="B3391" s="6"/>
      <c r="C3391" s="4"/>
      <c r="D3391" s="4"/>
      <c r="E3391" s="4"/>
      <c r="F3391" s="4"/>
      <c r="G3391" s="4"/>
      <c r="H3391" s="4"/>
      <c r="I3391" s="4"/>
      <c r="J3391" s="18"/>
      <c r="K3391" s="4"/>
      <c r="L3391" s="19"/>
      <c r="M3391" s="20"/>
    </row>
    <row r="3392">
      <c r="A3392" s="6"/>
      <c r="B3392" s="6"/>
      <c r="C3392" s="4"/>
      <c r="D3392" s="4"/>
      <c r="E3392" s="4"/>
      <c r="F3392" s="4"/>
      <c r="G3392" s="4"/>
      <c r="H3392" s="4"/>
      <c r="I3392" s="4"/>
      <c r="J3392" s="18"/>
      <c r="K3392" s="4"/>
      <c r="L3392" s="19"/>
      <c r="M3392" s="20"/>
    </row>
    <row r="3393">
      <c r="A3393" s="6"/>
      <c r="B3393" s="6"/>
      <c r="C3393" s="4"/>
      <c r="D3393" s="4"/>
      <c r="E3393" s="4"/>
      <c r="F3393" s="4"/>
      <c r="G3393" s="4"/>
      <c r="H3393" s="4"/>
      <c r="I3393" s="4"/>
      <c r="J3393" s="18"/>
      <c r="K3393" s="4"/>
      <c r="L3393" s="19"/>
      <c r="M3393" s="20"/>
    </row>
    <row r="3394">
      <c r="A3394" s="6"/>
      <c r="B3394" s="6"/>
      <c r="C3394" s="4"/>
      <c r="D3394" s="4"/>
      <c r="E3394" s="4"/>
      <c r="F3394" s="4"/>
      <c r="G3394" s="4"/>
      <c r="H3394" s="4"/>
      <c r="I3394" s="4"/>
      <c r="J3394" s="18"/>
      <c r="K3394" s="4"/>
      <c r="L3394" s="19"/>
      <c r="M3394" s="20"/>
    </row>
    <row r="3395">
      <c r="A3395" s="6"/>
      <c r="B3395" s="6"/>
      <c r="C3395" s="4"/>
      <c r="D3395" s="4"/>
      <c r="E3395" s="4"/>
      <c r="F3395" s="4"/>
      <c r="G3395" s="4"/>
      <c r="H3395" s="4"/>
      <c r="I3395" s="4"/>
      <c r="J3395" s="18"/>
      <c r="K3395" s="4"/>
      <c r="L3395" s="19"/>
      <c r="M3395" s="20"/>
    </row>
    <row r="3396">
      <c r="A3396" s="6"/>
      <c r="B3396" s="6"/>
      <c r="C3396" s="4"/>
      <c r="D3396" s="4"/>
      <c r="E3396" s="4"/>
      <c r="F3396" s="4"/>
      <c r="G3396" s="4"/>
      <c r="H3396" s="4"/>
      <c r="I3396" s="4"/>
      <c r="J3396" s="18"/>
      <c r="K3396" s="4"/>
      <c r="L3396" s="19"/>
      <c r="M3396" s="20"/>
    </row>
    <row r="3397">
      <c r="A3397" s="6"/>
      <c r="B3397" s="6"/>
      <c r="C3397" s="4"/>
      <c r="D3397" s="4"/>
      <c r="E3397" s="4"/>
      <c r="F3397" s="4"/>
      <c r="G3397" s="4"/>
      <c r="H3397" s="4"/>
      <c r="I3397" s="4"/>
      <c r="J3397" s="18"/>
      <c r="K3397" s="4"/>
      <c r="L3397" s="19"/>
      <c r="M3397" s="20"/>
    </row>
    <row r="3398">
      <c r="A3398" s="6"/>
      <c r="B3398" s="6"/>
      <c r="C3398" s="4"/>
      <c r="D3398" s="4"/>
      <c r="E3398" s="4"/>
      <c r="F3398" s="4"/>
      <c r="G3398" s="4"/>
      <c r="H3398" s="4"/>
      <c r="I3398" s="4"/>
      <c r="J3398" s="18"/>
      <c r="K3398" s="4"/>
      <c r="L3398" s="19"/>
      <c r="M3398" s="20"/>
    </row>
    <row r="3399">
      <c r="A3399" s="6"/>
      <c r="B3399" s="6"/>
      <c r="C3399" s="4"/>
      <c r="D3399" s="4"/>
      <c r="E3399" s="4"/>
      <c r="F3399" s="4"/>
      <c r="G3399" s="4"/>
      <c r="H3399" s="4"/>
      <c r="I3399" s="4"/>
      <c r="J3399" s="18"/>
      <c r="K3399" s="4"/>
      <c r="L3399" s="19"/>
      <c r="M3399" s="20"/>
    </row>
    <row r="3400">
      <c r="A3400" s="6"/>
      <c r="B3400" s="6"/>
      <c r="C3400" s="4"/>
      <c r="D3400" s="4"/>
      <c r="E3400" s="4"/>
      <c r="F3400" s="4"/>
      <c r="G3400" s="4"/>
      <c r="H3400" s="4"/>
      <c r="I3400" s="4"/>
      <c r="J3400" s="18"/>
      <c r="K3400" s="4"/>
      <c r="L3400" s="19"/>
      <c r="M3400" s="20"/>
    </row>
    <row r="3401">
      <c r="A3401" s="6"/>
      <c r="B3401" s="6"/>
      <c r="C3401" s="4"/>
      <c r="D3401" s="4"/>
      <c r="E3401" s="4"/>
      <c r="F3401" s="4"/>
      <c r="G3401" s="4"/>
      <c r="H3401" s="4"/>
      <c r="I3401" s="4"/>
      <c r="J3401" s="18"/>
      <c r="K3401" s="4"/>
      <c r="L3401" s="19"/>
      <c r="M3401" s="20"/>
    </row>
    <row r="3402">
      <c r="A3402" s="6"/>
      <c r="B3402" s="6"/>
      <c r="C3402" s="4"/>
      <c r="D3402" s="4"/>
      <c r="E3402" s="4"/>
      <c r="F3402" s="4"/>
      <c r="G3402" s="4"/>
      <c r="H3402" s="4"/>
      <c r="I3402" s="4"/>
      <c r="J3402" s="18"/>
      <c r="K3402" s="4"/>
      <c r="L3402" s="19"/>
      <c r="M3402" s="20"/>
    </row>
    <row r="3403">
      <c r="A3403" s="6"/>
      <c r="B3403" s="6"/>
      <c r="C3403" s="4"/>
      <c r="D3403" s="4"/>
      <c r="E3403" s="4"/>
      <c r="F3403" s="4"/>
      <c r="G3403" s="4"/>
      <c r="H3403" s="4"/>
      <c r="I3403" s="4"/>
      <c r="J3403" s="18"/>
      <c r="K3403" s="4"/>
      <c r="L3403" s="19"/>
      <c r="M3403" s="20"/>
    </row>
    <row r="3404">
      <c r="A3404" s="6"/>
      <c r="B3404" s="6"/>
      <c r="C3404" s="4"/>
      <c r="D3404" s="4"/>
      <c r="E3404" s="4"/>
      <c r="F3404" s="4"/>
      <c r="G3404" s="4"/>
      <c r="H3404" s="4"/>
      <c r="I3404" s="4"/>
      <c r="J3404" s="18"/>
      <c r="K3404" s="4"/>
      <c r="L3404" s="19"/>
      <c r="M3404" s="20"/>
    </row>
    <row r="3405">
      <c r="A3405" s="6"/>
      <c r="B3405" s="6"/>
      <c r="C3405" s="4"/>
      <c r="D3405" s="4"/>
      <c r="E3405" s="4"/>
      <c r="F3405" s="4"/>
      <c r="G3405" s="4"/>
      <c r="H3405" s="4"/>
      <c r="I3405" s="4"/>
      <c r="J3405" s="18"/>
      <c r="K3405" s="4"/>
      <c r="L3405" s="19"/>
      <c r="M3405" s="20"/>
    </row>
    <row r="3406">
      <c r="A3406" s="6"/>
      <c r="B3406" s="6"/>
      <c r="C3406" s="4"/>
      <c r="D3406" s="4"/>
      <c r="E3406" s="4"/>
      <c r="F3406" s="4"/>
      <c r="G3406" s="4"/>
      <c r="H3406" s="4"/>
      <c r="I3406" s="4"/>
      <c r="J3406" s="18"/>
      <c r="K3406" s="4"/>
      <c r="L3406" s="19"/>
      <c r="M3406" s="20"/>
    </row>
    <row r="3407">
      <c r="A3407" s="6"/>
      <c r="B3407" s="6"/>
      <c r="C3407" s="4"/>
      <c r="D3407" s="4"/>
      <c r="E3407" s="4"/>
      <c r="F3407" s="4"/>
      <c r="G3407" s="4"/>
      <c r="H3407" s="4"/>
      <c r="I3407" s="4"/>
      <c r="J3407" s="18"/>
      <c r="K3407" s="4"/>
      <c r="L3407" s="19"/>
      <c r="M3407" s="20"/>
    </row>
    <row r="3408">
      <c r="A3408" s="6"/>
      <c r="B3408" s="6"/>
      <c r="C3408" s="4"/>
      <c r="D3408" s="4"/>
      <c r="E3408" s="4"/>
      <c r="F3408" s="4"/>
      <c r="G3408" s="4"/>
      <c r="H3408" s="4"/>
      <c r="I3408" s="4"/>
      <c r="J3408" s="18"/>
      <c r="K3408" s="4"/>
      <c r="L3408" s="19"/>
      <c r="M3408" s="20"/>
    </row>
    <row r="3409">
      <c r="A3409" s="6"/>
      <c r="B3409" s="6"/>
      <c r="C3409" s="4"/>
      <c r="D3409" s="4"/>
      <c r="E3409" s="4"/>
      <c r="F3409" s="4"/>
      <c r="G3409" s="4"/>
      <c r="H3409" s="4"/>
      <c r="I3409" s="4"/>
      <c r="J3409" s="18"/>
      <c r="K3409" s="4"/>
      <c r="L3409" s="19"/>
      <c r="M3409" s="20"/>
    </row>
    <row r="3410">
      <c r="A3410" s="6"/>
      <c r="B3410" s="6"/>
      <c r="C3410" s="4"/>
      <c r="D3410" s="4"/>
      <c r="E3410" s="4"/>
      <c r="F3410" s="4"/>
      <c r="G3410" s="4"/>
      <c r="H3410" s="4"/>
      <c r="I3410" s="4"/>
      <c r="J3410" s="18"/>
      <c r="K3410" s="4"/>
      <c r="L3410" s="19"/>
      <c r="M3410" s="20"/>
    </row>
    <row r="3411">
      <c r="A3411" s="6"/>
      <c r="B3411" s="6"/>
      <c r="C3411" s="4"/>
      <c r="D3411" s="4"/>
      <c r="E3411" s="4"/>
      <c r="F3411" s="4"/>
      <c r="G3411" s="4"/>
      <c r="H3411" s="4"/>
      <c r="I3411" s="4"/>
      <c r="J3411" s="18"/>
      <c r="K3411" s="4"/>
      <c r="L3411" s="19"/>
      <c r="M3411" s="20"/>
    </row>
    <row r="3412">
      <c r="A3412" s="6"/>
      <c r="B3412" s="6"/>
      <c r="C3412" s="4"/>
      <c r="D3412" s="4"/>
      <c r="E3412" s="4"/>
      <c r="F3412" s="4"/>
      <c r="G3412" s="4"/>
      <c r="H3412" s="4"/>
      <c r="I3412" s="4"/>
      <c r="J3412" s="18"/>
      <c r="K3412" s="4"/>
      <c r="L3412" s="19"/>
      <c r="M3412" s="20"/>
    </row>
    <row r="3413">
      <c r="A3413" s="6"/>
      <c r="B3413" s="6"/>
      <c r="C3413" s="4"/>
      <c r="D3413" s="4"/>
      <c r="E3413" s="4"/>
      <c r="F3413" s="4"/>
      <c r="G3413" s="4"/>
      <c r="H3413" s="4"/>
      <c r="I3413" s="4"/>
      <c r="J3413" s="18"/>
      <c r="K3413" s="4"/>
      <c r="L3413" s="19"/>
      <c r="M3413" s="20"/>
    </row>
    <row r="3414">
      <c r="A3414" s="6"/>
      <c r="B3414" s="6"/>
      <c r="C3414" s="4"/>
      <c r="D3414" s="4"/>
      <c r="E3414" s="4"/>
      <c r="F3414" s="4"/>
      <c r="G3414" s="4"/>
      <c r="H3414" s="4"/>
      <c r="I3414" s="4"/>
      <c r="J3414" s="18"/>
      <c r="K3414" s="4"/>
      <c r="L3414" s="19"/>
      <c r="M3414" s="20"/>
    </row>
    <row r="3415">
      <c r="A3415" s="6"/>
      <c r="B3415" s="6"/>
      <c r="C3415" s="4"/>
      <c r="D3415" s="4"/>
      <c r="E3415" s="4"/>
      <c r="F3415" s="4"/>
      <c r="G3415" s="4"/>
      <c r="H3415" s="4"/>
      <c r="I3415" s="4"/>
      <c r="J3415" s="18"/>
      <c r="K3415" s="4"/>
      <c r="L3415" s="19"/>
      <c r="M3415" s="20"/>
    </row>
    <row r="3416">
      <c r="A3416" s="6"/>
      <c r="B3416" s="6"/>
      <c r="C3416" s="4"/>
      <c r="D3416" s="4"/>
      <c r="E3416" s="4"/>
      <c r="F3416" s="4"/>
      <c r="G3416" s="4"/>
      <c r="H3416" s="4"/>
      <c r="I3416" s="4"/>
      <c r="J3416" s="18"/>
      <c r="K3416" s="4"/>
      <c r="L3416" s="19"/>
      <c r="M3416" s="20"/>
    </row>
    <row r="3417">
      <c r="A3417" s="6"/>
      <c r="B3417" s="6"/>
      <c r="C3417" s="4"/>
      <c r="D3417" s="4"/>
      <c r="E3417" s="4"/>
      <c r="F3417" s="4"/>
      <c r="G3417" s="4"/>
      <c r="H3417" s="4"/>
      <c r="I3417" s="4"/>
      <c r="J3417" s="18"/>
      <c r="K3417" s="4"/>
      <c r="L3417" s="19"/>
      <c r="M3417" s="20"/>
    </row>
    <row r="3418">
      <c r="A3418" s="6"/>
      <c r="B3418" s="6"/>
      <c r="C3418" s="4"/>
      <c r="D3418" s="4"/>
      <c r="E3418" s="4"/>
      <c r="F3418" s="4"/>
      <c r="G3418" s="4"/>
      <c r="H3418" s="4"/>
      <c r="I3418" s="4"/>
      <c r="J3418" s="18"/>
      <c r="K3418" s="4"/>
      <c r="L3418" s="19"/>
      <c r="M3418" s="20"/>
    </row>
    <row r="3419">
      <c r="A3419" s="6"/>
      <c r="B3419" s="6"/>
      <c r="C3419" s="4"/>
      <c r="D3419" s="4"/>
      <c r="E3419" s="4"/>
      <c r="F3419" s="4"/>
      <c r="G3419" s="4"/>
      <c r="H3419" s="4"/>
      <c r="I3419" s="4"/>
      <c r="J3419" s="18"/>
      <c r="K3419" s="4"/>
      <c r="L3419" s="19"/>
      <c r="M3419" s="20"/>
    </row>
    <row r="3420">
      <c r="A3420" s="6"/>
      <c r="B3420" s="6"/>
      <c r="C3420" s="4"/>
      <c r="D3420" s="4"/>
      <c r="E3420" s="4"/>
      <c r="F3420" s="4"/>
      <c r="G3420" s="4"/>
      <c r="H3420" s="4"/>
      <c r="I3420" s="4"/>
      <c r="J3420" s="18"/>
      <c r="K3420" s="4"/>
      <c r="L3420" s="19"/>
      <c r="M3420" s="20"/>
    </row>
    <row r="3421">
      <c r="A3421" s="6"/>
      <c r="B3421" s="6"/>
      <c r="C3421" s="4"/>
      <c r="D3421" s="4"/>
      <c r="E3421" s="4"/>
      <c r="F3421" s="4"/>
      <c r="G3421" s="4"/>
      <c r="H3421" s="4"/>
      <c r="I3421" s="4"/>
      <c r="J3421" s="18"/>
      <c r="K3421" s="4"/>
      <c r="L3421" s="19"/>
      <c r="M3421" s="20"/>
    </row>
    <row r="3422">
      <c r="A3422" s="6"/>
      <c r="B3422" s="6"/>
      <c r="C3422" s="4"/>
      <c r="D3422" s="4"/>
      <c r="E3422" s="4"/>
      <c r="F3422" s="4"/>
      <c r="G3422" s="4"/>
      <c r="H3422" s="4"/>
      <c r="I3422" s="4"/>
      <c r="J3422" s="18"/>
      <c r="K3422" s="4"/>
      <c r="L3422" s="19"/>
      <c r="M3422" s="20"/>
    </row>
    <row r="3423">
      <c r="A3423" s="6"/>
      <c r="B3423" s="6"/>
      <c r="C3423" s="4"/>
      <c r="D3423" s="4"/>
      <c r="E3423" s="4"/>
      <c r="F3423" s="4"/>
      <c r="G3423" s="4"/>
      <c r="H3423" s="4"/>
      <c r="I3423" s="4"/>
      <c r="J3423" s="18"/>
      <c r="K3423" s="4"/>
      <c r="L3423" s="19"/>
      <c r="M3423" s="20"/>
    </row>
    <row r="3424">
      <c r="A3424" s="6"/>
      <c r="B3424" s="6"/>
      <c r="C3424" s="4"/>
      <c r="D3424" s="4"/>
      <c r="E3424" s="4"/>
      <c r="F3424" s="4"/>
      <c r="G3424" s="4"/>
      <c r="H3424" s="4"/>
      <c r="I3424" s="4"/>
      <c r="J3424" s="18"/>
      <c r="K3424" s="4"/>
      <c r="L3424" s="19"/>
      <c r="M3424" s="20"/>
    </row>
    <row r="3425">
      <c r="A3425" s="6"/>
      <c r="B3425" s="6"/>
      <c r="C3425" s="4"/>
      <c r="D3425" s="4"/>
      <c r="E3425" s="4"/>
      <c r="F3425" s="4"/>
      <c r="G3425" s="4"/>
      <c r="H3425" s="4"/>
      <c r="I3425" s="4"/>
      <c r="J3425" s="18"/>
      <c r="K3425" s="4"/>
      <c r="L3425" s="19"/>
      <c r="M3425" s="20"/>
    </row>
    <row r="3426">
      <c r="A3426" s="6"/>
      <c r="B3426" s="6"/>
      <c r="C3426" s="4"/>
      <c r="D3426" s="4"/>
      <c r="E3426" s="4"/>
      <c r="F3426" s="4"/>
      <c r="G3426" s="4"/>
      <c r="H3426" s="4"/>
      <c r="I3426" s="4"/>
      <c r="J3426" s="18"/>
      <c r="K3426" s="4"/>
      <c r="L3426" s="19"/>
      <c r="M3426" s="20"/>
    </row>
    <row r="3427">
      <c r="A3427" s="6"/>
      <c r="B3427" s="6"/>
      <c r="C3427" s="4"/>
      <c r="D3427" s="4"/>
      <c r="E3427" s="4"/>
      <c r="F3427" s="4"/>
      <c r="G3427" s="4"/>
      <c r="H3427" s="4"/>
      <c r="I3427" s="4"/>
      <c r="J3427" s="18"/>
      <c r="K3427" s="4"/>
      <c r="L3427" s="19"/>
      <c r="M3427" s="20"/>
    </row>
    <row r="3428">
      <c r="A3428" s="6"/>
      <c r="B3428" s="6"/>
      <c r="C3428" s="4"/>
      <c r="D3428" s="4"/>
      <c r="E3428" s="4"/>
      <c r="F3428" s="4"/>
      <c r="G3428" s="4"/>
      <c r="H3428" s="4"/>
      <c r="I3428" s="4"/>
      <c r="J3428" s="18"/>
      <c r="K3428" s="4"/>
      <c r="L3428" s="19"/>
      <c r="M3428" s="20"/>
    </row>
    <row r="3429">
      <c r="A3429" s="6"/>
      <c r="B3429" s="6"/>
      <c r="C3429" s="4"/>
      <c r="D3429" s="4"/>
      <c r="E3429" s="4"/>
      <c r="F3429" s="4"/>
      <c r="G3429" s="4"/>
      <c r="H3429" s="4"/>
      <c r="I3429" s="4"/>
      <c r="J3429" s="18"/>
      <c r="K3429" s="4"/>
      <c r="L3429" s="19"/>
      <c r="M3429" s="20"/>
    </row>
    <row r="3430">
      <c r="A3430" s="6"/>
      <c r="B3430" s="6"/>
      <c r="C3430" s="4"/>
      <c r="D3430" s="4"/>
      <c r="E3430" s="4"/>
      <c r="F3430" s="4"/>
      <c r="G3430" s="4"/>
      <c r="H3430" s="4"/>
      <c r="I3430" s="4"/>
      <c r="J3430" s="18"/>
      <c r="K3430" s="4"/>
      <c r="L3430" s="19"/>
      <c r="M3430" s="20"/>
    </row>
    <row r="3431">
      <c r="A3431" s="6"/>
      <c r="B3431" s="6"/>
      <c r="C3431" s="4"/>
      <c r="D3431" s="4"/>
      <c r="E3431" s="4"/>
      <c r="F3431" s="4"/>
      <c r="G3431" s="4"/>
      <c r="H3431" s="4"/>
      <c r="I3431" s="4"/>
      <c r="J3431" s="18"/>
      <c r="K3431" s="4"/>
      <c r="L3431" s="19"/>
      <c r="M3431" s="20"/>
    </row>
    <row r="3432">
      <c r="A3432" s="6"/>
      <c r="B3432" s="6"/>
      <c r="C3432" s="4"/>
      <c r="D3432" s="4"/>
      <c r="E3432" s="4"/>
      <c r="F3432" s="4"/>
      <c r="G3432" s="4"/>
      <c r="H3432" s="4"/>
      <c r="I3432" s="4"/>
      <c r="J3432" s="18"/>
      <c r="K3432" s="4"/>
      <c r="L3432" s="19"/>
      <c r="M3432" s="20"/>
    </row>
    <row r="3433">
      <c r="A3433" s="6"/>
      <c r="B3433" s="6"/>
      <c r="C3433" s="4"/>
      <c r="D3433" s="4"/>
      <c r="E3433" s="4"/>
      <c r="F3433" s="4"/>
      <c r="G3433" s="4"/>
      <c r="H3433" s="4"/>
      <c r="I3433" s="4"/>
      <c r="J3433" s="18"/>
      <c r="K3433" s="4"/>
      <c r="L3433" s="19"/>
      <c r="M3433" s="20"/>
    </row>
    <row r="3434">
      <c r="A3434" s="6"/>
      <c r="B3434" s="6"/>
      <c r="C3434" s="4"/>
      <c r="D3434" s="4"/>
      <c r="E3434" s="4"/>
      <c r="F3434" s="4"/>
      <c r="G3434" s="4"/>
      <c r="H3434" s="4"/>
      <c r="I3434" s="4"/>
      <c r="J3434" s="18"/>
      <c r="K3434" s="4"/>
      <c r="L3434" s="19"/>
      <c r="M3434" s="20"/>
    </row>
    <row r="3435">
      <c r="A3435" s="6"/>
      <c r="B3435" s="6"/>
      <c r="C3435" s="4"/>
      <c r="D3435" s="4"/>
      <c r="E3435" s="4"/>
      <c r="F3435" s="4"/>
      <c r="G3435" s="4"/>
      <c r="H3435" s="4"/>
      <c r="I3435" s="4"/>
      <c r="J3435" s="18"/>
      <c r="K3435" s="4"/>
      <c r="L3435" s="19"/>
      <c r="M3435" s="20"/>
    </row>
    <row r="3436">
      <c r="A3436" s="6"/>
      <c r="B3436" s="6"/>
      <c r="C3436" s="4"/>
      <c r="D3436" s="4"/>
      <c r="E3436" s="4"/>
      <c r="F3436" s="4"/>
      <c r="G3436" s="4"/>
      <c r="H3436" s="4"/>
      <c r="I3436" s="4"/>
      <c r="J3436" s="18"/>
      <c r="K3436" s="4"/>
      <c r="L3436" s="19"/>
      <c r="M3436" s="20"/>
    </row>
    <row r="3437">
      <c r="A3437" s="6"/>
      <c r="B3437" s="6"/>
      <c r="C3437" s="4"/>
      <c r="D3437" s="4"/>
      <c r="E3437" s="4"/>
      <c r="F3437" s="4"/>
      <c r="G3437" s="4"/>
      <c r="H3437" s="4"/>
      <c r="I3437" s="4"/>
      <c r="J3437" s="18"/>
      <c r="K3437" s="4"/>
      <c r="L3437" s="19"/>
      <c r="M3437" s="20"/>
    </row>
    <row r="3438">
      <c r="A3438" s="6"/>
      <c r="B3438" s="6"/>
      <c r="C3438" s="4"/>
      <c r="D3438" s="4"/>
      <c r="E3438" s="4"/>
      <c r="F3438" s="4"/>
      <c r="G3438" s="4"/>
      <c r="H3438" s="4"/>
      <c r="I3438" s="4"/>
      <c r="J3438" s="18"/>
      <c r="K3438" s="4"/>
      <c r="L3438" s="19"/>
      <c r="M3438" s="20"/>
    </row>
    <row r="3439">
      <c r="A3439" s="6"/>
      <c r="B3439" s="6"/>
      <c r="C3439" s="4"/>
      <c r="D3439" s="4"/>
      <c r="E3439" s="4"/>
      <c r="F3439" s="4"/>
      <c r="G3439" s="4"/>
      <c r="H3439" s="4"/>
      <c r="I3439" s="4"/>
      <c r="J3439" s="18"/>
      <c r="K3439" s="4"/>
      <c r="L3439" s="19"/>
      <c r="M3439" s="20"/>
    </row>
    <row r="3440">
      <c r="A3440" s="6"/>
      <c r="B3440" s="6"/>
      <c r="C3440" s="4"/>
      <c r="D3440" s="4"/>
      <c r="E3440" s="4"/>
      <c r="F3440" s="4"/>
      <c r="G3440" s="4"/>
      <c r="H3440" s="4"/>
      <c r="I3440" s="4"/>
      <c r="J3440" s="18"/>
      <c r="K3440" s="4"/>
      <c r="L3440" s="19"/>
      <c r="M3440" s="20"/>
    </row>
    <row r="3441">
      <c r="A3441" s="6"/>
      <c r="B3441" s="6"/>
      <c r="C3441" s="4"/>
      <c r="D3441" s="4"/>
      <c r="E3441" s="4"/>
      <c r="F3441" s="4"/>
      <c r="G3441" s="4"/>
      <c r="H3441" s="4"/>
      <c r="I3441" s="4"/>
      <c r="J3441" s="18"/>
      <c r="K3441" s="4"/>
      <c r="L3441" s="19"/>
      <c r="M3441" s="20"/>
    </row>
    <row r="3442">
      <c r="A3442" s="6"/>
      <c r="B3442" s="6"/>
      <c r="C3442" s="4"/>
      <c r="D3442" s="4"/>
      <c r="E3442" s="4"/>
      <c r="F3442" s="4"/>
      <c r="G3442" s="4"/>
      <c r="H3442" s="4"/>
      <c r="I3442" s="4"/>
      <c r="J3442" s="18"/>
      <c r="K3442" s="4"/>
      <c r="L3442" s="19"/>
      <c r="M3442" s="20"/>
    </row>
    <row r="3443">
      <c r="A3443" s="6"/>
      <c r="B3443" s="6"/>
      <c r="C3443" s="4"/>
      <c r="D3443" s="4"/>
      <c r="E3443" s="4"/>
      <c r="F3443" s="4"/>
      <c r="G3443" s="4"/>
      <c r="H3443" s="4"/>
      <c r="I3443" s="4"/>
      <c r="J3443" s="18"/>
      <c r="K3443" s="4"/>
      <c r="L3443" s="19"/>
      <c r="M3443" s="20"/>
    </row>
    <row r="3444">
      <c r="A3444" s="6"/>
      <c r="B3444" s="6"/>
      <c r="C3444" s="4"/>
      <c r="D3444" s="4"/>
      <c r="E3444" s="4"/>
      <c r="F3444" s="4"/>
      <c r="G3444" s="4"/>
      <c r="H3444" s="4"/>
      <c r="I3444" s="4"/>
      <c r="J3444" s="18"/>
      <c r="K3444" s="4"/>
      <c r="L3444" s="19"/>
      <c r="M3444" s="20"/>
    </row>
    <row r="3445">
      <c r="A3445" s="6"/>
      <c r="B3445" s="6"/>
      <c r="C3445" s="4"/>
      <c r="D3445" s="4"/>
      <c r="E3445" s="4"/>
      <c r="F3445" s="4"/>
      <c r="G3445" s="4"/>
      <c r="H3445" s="4"/>
      <c r="I3445" s="4"/>
      <c r="J3445" s="18"/>
      <c r="K3445" s="4"/>
      <c r="L3445" s="19"/>
      <c r="M3445" s="20"/>
    </row>
    <row r="3446">
      <c r="A3446" s="6"/>
      <c r="B3446" s="6"/>
      <c r="C3446" s="4"/>
      <c r="D3446" s="4"/>
      <c r="E3446" s="4"/>
      <c r="F3446" s="4"/>
      <c r="G3446" s="4"/>
      <c r="H3446" s="4"/>
      <c r="I3446" s="4"/>
      <c r="J3446" s="18"/>
      <c r="K3446" s="4"/>
      <c r="L3446" s="19"/>
      <c r="M3446" s="20"/>
    </row>
    <row r="3447">
      <c r="A3447" s="6"/>
      <c r="B3447" s="6"/>
      <c r="C3447" s="4"/>
      <c r="D3447" s="4"/>
      <c r="E3447" s="4"/>
      <c r="F3447" s="4"/>
      <c r="G3447" s="4"/>
      <c r="H3447" s="4"/>
      <c r="I3447" s="4"/>
      <c r="J3447" s="18"/>
      <c r="K3447" s="4"/>
      <c r="L3447" s="19"/>
      <c r="M3447" s="20"/>
    </row>
    <row r="3448">
      <c r="A3448" s="6"/>
      <c r="B3448" s="6"/>
      <c r="C3448" s="4"/>
      <c r="D3448" s="4"/>
      <c r="E3448" s="4"/>
      <c r="F3448" s="4"/>
      <c r="G3448" s="4"/>
      <c r="H3448" s="4"/>
      <c r="I3448" s="4"/>
      <c r="J3448" s="18"/>
      <c r="K3448" s="4"/>
      <c r="L3448" s="19"/>
      <c r="M3448" s="20"/>
    </row>
    <row r="3449">
      <c r="A3449" s="6"/>
      <c r="B3449" s="6"/>
      <c r="C3449" s="4"/>
      <c r="D3449" s="4"/>
      <c r="E3449" s="4"/>
      <c r="F3449" s="4"/>
      <c r="G3449" s="4"/>
      <c r="H3449" s="4"/>
      <c r="I3449" s="4"/>
      <c r="J3449" s="18"/>
      <c r="K3449" s="4"/>
      <c r="L3449" s="19"/>
      <c r="M3449" s="20"/>
    </row>
    <row r="3450">
      <c r="A3450" s="6"/>
      <c r="B3450" s="6"/>
      <c r="C3450" s="4"/>
      <c r="D3450" s="4"/>
      <c r="E3450" s="4"/>
      <c r="F3450" s="4"/>
      <c r="G3450" s="4"/>
      <c r="H3450" s="4"/>
      <c r="I3450" s="4"/>
      <c r="J3450" s="18"/>
      <c r="K3450" s="4"/>
      <c r="L3450" s="19"/>
      <c r="M3450" s="20"/>
    </row>
    <row r="3451">
      <c r="A3451" s="6"/>
      <c r="B3451" s="6"/>
      <c r="C3451" s="4"/>
      <c r="D3451" s="4"/>
      <c r="E3451" s="4"/>
      <c r="F3451" s="4"/>
      <c r="G3451" s="4"/>
      <c r="H3451" s="4"/>
      <c r="I3451" s="4"/>
      <c r="J3451" s="18"/>
      <c r="K3451" s="4"/>
      <c r="L3451" s="19"/>
      <c r="M3451" s="20"/>
    </row>
    <row r="3452">
      <c r="A3452" s="6"/>
      <c r="B3452" s="6"/>
      <c r="C3452" s="4"/>
      <c r="D3452" s="4"/>
      <c r="E3452" s="4"/>
      <c r="F3452" s="4"/>
      <c r="G3452" s="4"/>
      <c r="H3452" s="4"/>
      <c r="I3452" s="4"/>
      <c r="J3452" s="18"/>
      <c r="K3452" s="4"/>
      <c r="L3452" s="19"/>
      <c r="M3452" s="20"/>
    </row>
    <row r="3453">
      <c r="A3453" s="6"/>
      <c r="B3453" s="6"/>
      <c r="C3453" s="4"/>
      <c r="D3453" s="4"/>
      <c r="E3453" s="4"/>
      <c r="F3453" s="4"/>
      <c r="G3453" s="4"/>
      <c r="H3453" s="4"/>
      <c r="I3453" s="4"/>
      <c r="J3453" s="18"/>
      <c r="K3453" s="4"/>
      <c r="L3453" s="19"/>
      <c r="M3453" s="20"/>
    </row>
    <row r="3454">
      <c r="A3454" s="6"/>
      <c r="B3454" s="6"/>
      <c r="C3454" s="4"/>
      <c r="D3454" s="4"/>
      <c r="E3454" s="4"/>
      <c r="F3454" s="4"/>
      <c r="G3454" s="4"/>
      <c r="H3454" s="4"/>
      <c r="I3454" s="4"/>
      <c r="J3454" s="18"/>
      <c r="K3454" s="4"/>
      <c r="L3454" s="19"/>
      <c r="M3454" s="20"/>
    </row>
    <row r="3455">
      <c r="A3455" s="6"/>
      <c r="B3455" s="6"/>
      <c r="C3455" s="4"/>
      <c r="D3455" s="4"/>
      <c r="E3455" s="4"/>
      <c r="F3455" s="4"/>
      <c r="G3455" s="4"/>
      <c r="H3455" s="4"/>
      <c r="I3455" s="4"/>
      <c r="J3455" s="18"/>
      <c r="K3455" s="4"/>
      <c r="L3455" s="19"/>
      <c r="M3455" s="20"/>
    </row>
    <row r="3456">
      <c r="A3456" s="6"/>
      <c r="B3456" s="6"/>
      <c r="C3456" s="4"/>
      <c r="D3456" s="4"/>
      <c r="E3456" s="4"/>
      <c r="F3456" s="4"/>
      <c r="G3456" s="4"/>
      <c r="H3456" s="4"/>
      <c r="I3456" s="4"/>
      <c r="J3456" s="18"/>
      <c r="K3456" s="4"/>
      <c r="L3456" s="19"/>
      <c r="M3456" s="20"/>
    </row>
    <row r="3457">
      <c r="A3457" s="6"/>
      <c r="B3457" s="6"/>
      <c r="C3457" s="4"/>
      <c r="D3457" s="4"/>
      <c r="E3457" s="4"/>
      <c r="F3457" s="4"/>
      <c r="G3457" s="4"/>
      <c r="H3457" s="4"/>
      <c r="I3457" s="4"/>
      <c r="J3457" s="18"/>
      <c r="K3457" s="4"/>
      <c r="L3457" s="19"/>
      <c r="M3457" s="20"/>
    </row>
    <row r="3458">
      <c r="A3458" s="6"/>
      <c r="B3458" s="6"/>
      <c r="C3458" s="4"/>
      <c r="D3458" s="4"/>
      <c r="E3458" s="4"/>
      <c r="F3458" s="4"/>
      <c r="G3458" s="4"/>
      <c r="H3458" s="4"/>
      <c r="I3458" s="4"/>
      <c r="J3458" s="18"/>
      <c r="K3458" s="4"/>
      <c r="L3458" s="19"/>
      <c r="M3458" s="20"/>
    </row>
    <row r="3459">
      <c r="A3459" s="6"/>
      <c r="B3459" s="6"/>
      <c r="C3459" s="4"/>
      <c r="D3459" s="4"/>
      <c r="E3459" s="4"/>
      <c r="F3459" s="4"/>
      <c r="G3459" s="4"/>
      <c r="H3459" s="4"/>
      <c r="I3459" s="4"/>
      <c r="J3459" s="18"/>
      <c r="K3459" s="4"/>
      <c r="L3459" s="19"/>
      <c r="M3459" s="20"/>
    </row>
    <row r="3460">
      <c r="A3460" s="6"/>
      <c r="B3460" s="6"/>
      <c r="C3460" s="4"/>
      <c r="D3460" s="4"/>
      <c r="E3460" s="4"/>
      <c r="F3460" s="4"/>
      <c r="G3460" s="4"/>
      <c r="H3460" s="4"/>
      <c r="I3460" s="4"/>
      <c r="J3460" s="18"/>
      <c r="K3460" s="4"/>
      <c r="L3460" s="19"/>
      <c r="M3460" s="20"/>
    </row>
    <row r="3461">
      <c r="A3461" s="6"/>
      <c r="B3461" s="6"/>
      <c r="C3461" s="4"/>
      <c r="D3461" s="4"/>
      <c r="E3461" s="4"/>
      <c r="F3461" s="4"/>
      <c r="G3461" s="4"/>
      <c r="H3461" s="4"/>
      <c r="I3461" s="4"/>
      <c r="J3461" s="18"/>
      <c r="K3461" s="4"/>
      <c r="L3461" s="19"/>
      <c r="M3461" s="20"/>
    </row>
    <row r="3462">
      <c r="A3462" s="6"/>
      <c r="B3462" s="6"/>
      <c r="C3462" s="4"/>
      <c r="D3462" s="4"/>
      <c r="E3462" s="4"/>
      <c r="F3462" s="4"/>
      <c r="G3462" s="4"/>
      <c r="H3462" s="4"/>
      <c r="I3462" s="4"/>
      <c r="J3462" s="18"/>
      <c r="K3462" s="4"/>
      <c r="L3462" s="19"/>
      <c r="M3462" s="20"/>
    </row>
    <row r="3463">
      <c r="A3463" s="6"/>
      <c r="B3463" s="6"/>
      <c r="C3463" s="4"/>
      <c r="D3463" s="4"/>
      <c r="E3463" s="4"/>
      <c r="F3463" s="4"/>
      <c r="G3463" s="4"/>
      <c r="H3463" s="4"/>
      <c r="I3463" s="4"/>
      <c r="J3463" s="18"/>
      <c r="K3463" s="4"/>
      <c r="L3463" s="19"/>
      <c r="M3463" s="20"/>
    </row>
    <row r="3464">
      <c r="A3464" s="6"/>
      <c r="B3464" s="6"/>
      <c r="C3464" s="4"/>
      <c r="D3464" s="4"/>
      <c r="E3464" s="4"/>
      <c r="F3464" s="4"/>
      <c r="G3464" s="4"/>
      <c r="H3464" s="4"/>
      <c r="I3464" s="4"/>
      <c r="J3464" s="18"/>
      <c r="K3464" s="4"/>
      <c r="L3464" s="19"/>
      <c r="M3464" s="20"/>
    </row>
    <row r="3465">
      <c r="A3465" s="6"/>
      <c r="B3465" s="6"/>
      <c r="C3465" s="4"/>
      <c r="D3465" s="4"/>
      <c r="E3465" s="4"/>
      <c r="F3465" s="4"/>
      <c r="G3465" s="4"/>
      <c r="H3465" s="4"/>
      <c r="I3465" s="4"/>
      <c r="J3465" s="18"/>
      <c r="K3465" s="4"/>
      <c r="L3465" s="19"/>
      <c r="M3465" s="20"/>
    </row>
    <row r="3466">
      <c r="A3466" s="6"/>
      <c r="B3466" s="6"/>
      <c r="C3466" s="4"/>
      <c r="D3466" s="4"/>
      <c r="E3466" s="4"/>
      <c r="F3466" s="4"/>
      <c r="G3466" s="4"/>
      <c r="H3466" s="4"/>
      <c r="I3466" s="4"/>
      <c r="J3466" s="18"/>
      <c r="K3466" s="4"/>
      <c r="L3466" s="19"/>
      <c r="M3466" s="20"/>
    </row>
    <row r="3467">
      <c r="A3467" s="6"/>
      <c r="B3467" s="6"/>
      <c r="C3467" s="4"/>
      <c r="D3467" s="4"/>
      <c r="E3467" s="4"/>
      <c r="F3467" s="4"/>
      <c r="G3467" s="4"/>
      <c r="H3467" s="4"/>
      <c r="I3467" s="4"/>
      <c r="J3467" s="18"/>
      <c r="K3467" s="4"/>
      <c r="L3467" s="19"/>
      <c r="M3467" s="20"/>
    </row>
    <row r="3468">
      <c r="A3468" s="6"/>
      <c r="B3468" s="6"/>
      <c r="C3468" s="4"/>
      <c r="D3468" s="4"/>
      <c r="E3468" s="4"/>
      <c r="F3468" s="4"/>
      <c r="G3468" s="4"/>
      <c r="H3468" s="4"/>
      <c r="I3468" s="4"/>
      <c r="J3468" s="18"/>
      <c r="K3468" s="4"/>
      <c r="L3468" s="19"/>
      <c r="M3468" s="20"/>
    </row>
    <row r="3469">
      <c r="A3469" s="6"/>
      <c r="B3469" s="6"/>
      <c r="C3469" s="4"/>
      <c r="D3469" s="4"/>
      <c r="E3469" s="4"/>
      <c r="F3469" s="4"/>
      <c r="G3469" s="4"/>
      <c r="H3469" s="4"/>
      <c r="I3469" s="4"/>
      <c r="J3469" s="18"/>
      <c r="K3469" s="4"/>
      <c r="L3469" s="19"/>
      <c r="M3469" s="20"/>
    </row>
    <row r="3470">
      <c r="A3470" s="6"/>
      <c r="B3470" s="6"/>
      <c r="C3470" s="4"/>
      <c r="D3470" s="4"/>
      <c r="E3470" s="4"/>
      <c r="F3470" s="4"/>
      <c r="G3470" s="4"/>
      <c r="H3470" s="4"/>
      <c r="I3470" s="4"/>
      <c r="J3470" s="18"/>
      <c r="K3470" s="4"/>
      <c r="L3470" s="19"/>
      <c r="M3470" s="20"/>
    </row>
    <row r="3471">
      <c r="A3471" s="6"/>
      <c r="B3471" s="6"/>
      <c r="C3471" s="4"/>
      <c r="D3471" s="4"/>
      <c r="E3471" s="4"/>
      <c r="F3471" s="4"/>
      <c r="G3471" s="4"/>
      <c r="H3471" s="4"/>
      <c r="I3471" s="4"/>
      <c r="J3471" s="18"/>
      <c r="K3471" s="4"/>
      <c r="L3471" s="19"/>
      <c r="M3471" s="20"/>
    </row>
    <row r="3472">
      <c r="A3472" s="6"/>
      <c r="B3472" s="6"/>
      <c r="C3472" s="4"/>
      <c r="D3472" s="4"/>
      <c r="E3472" s="4"/>
      <c r="F3472" s="4"/>
      <c r="G3472" s="4"/>
      <c r="H3472" s="4"/>
      <c r="I3472" s="4"/>
      <c r="J3472" s="18"/>
      <c r="K3472" s="4"/>
      <c r="L3472" s="19"/>
      <c r="M3472" s="20"/>
    </row>
    <row r="3473">
      <c r="A3473" s="6"/>
      <c r="B3473" s="6"/>
      <c r="C3473" s="4"/>
      <c r="D3473" s="4"/>
      <c r="E3473" s="4"/>
      <c r="F3473" s="4"/>
      <c r="G3473" s="4"/>
      <c r="H3473" s="4"/>
      <c r="I3473" s="4"/>
      <c r="J3473" s="18"/>
      <c r="K3473" s="4"/>
      <c r="L3473" s="19"/>
      <c r="M3473" s="20"/>
    </row>
    <row r="3474">
      <c r="A3474" s="6"/>
      <c r="B3474" s="6"/>
      <c r="C3474" s="4"/>
      <c r="D3474" s="4"/>
      <c r="E3474" s="4"/>
      <c r="F3474" s="4"/>
      <c r="G3474" s="4"/>
      <c r="H3474" s="4"/>
      <c r="I3474" s="4"/>
      <c r="J3474" s="18"/>
      <c r="K3474" s="4"/>
      <c r="L3474" s="19"/>
      <c r="M3474" s="20"/>
    </row>
    <row r="3475">
      <c r="A3475" s="6"/>
      <c r="B3475" s="6"/>
      <c r="C3475" s="4"/>
      <c r="D3475" s="4"/>
      <c r="E3475" s="4"/>
      <c r="F3475" s="4"/>
      <c r="G3475" s="4"/>
      <c r="H3475" s="4"/>
      <c r="I3475" s="4"/>
      <c r="J3475" s="18"/>
      <c r="K3475" s="4"/>
      <c r="L3475" s="19"/>
      <c r="M3475" s="20"/>
    </row>
    <row r="3476">
      <c r="A3476" s="6"/>
      <c r="B3476" s="6"/>
      <c r="C3476" s="4"/>
      <c r="D3476" s="4"/>
      <c r="E3476" s="4"/>
      <c r="F3476" s="4"/>
      <c r="G3476" s="4"/>
      <c r="H3476" s="4"/>
      <c r="I3476" s="4"/>
      <c r="J3476" s="18"/>
      <c r="K3476" s="4"/>
      <c r="L3476" s="19"/>
      <c r="M3476" s="20"/>
    </row>
    <row r="3477">
      <c r="A3477" s="6"/>
      <c r="B3477" s="6"/>
      <c r="C3477" s="4"/>
      <c r="D3477" s="4"/>
      <c r="E3477" s="4"/>
      <c r="F3477" s="4"/>
      <c r="G3477" s="4"/>
      <c r="H3477" s="4"/>
      <c r="I3477" s="4"/>
      <c r="J3477" s="18"/>
      <c r="K3477" s="4"/>
      <c r="L3477" s="19"/>
      <c r="M3477" s="20"/>
    </row>
    <row r="3478">
      <c r="A3478" s="6"/>
      <c r="B3478" s="6"/>
      <c r="C3478" s="4"/>
      <c r="D3478" s="4"/>
      <c r="E3478" s="4"/>
      <c r="F3478" s="4"/>
      <c r="G3478" s="4"/>
      <c r="H3478" s="4"/>
      <c r="I3478" s="4"/>
      <c r="J3478" s="18"/>
      <c r="K3478" s="4"/>
      <c r="L3478" s="19"/>
      <c r="M3478" s="20"/>
    </row>
    <row r="3479">
      <c r="A3479" s="6"/>
      <c r="B3479" s="6"/>
      <c r="C3479" s="4"/>
      <c r="D3479" s="4"/>
      <c r="E3479" s="4"/>
      <c r="F3479" s="4"/>
      <c r="G3479" s="4"/>
      <c r="H3479" s="4"/>
      <c r="I3479" s="4"/>
      <c r="J3479" s="18"/>
      <c r="K3479" s="4"/>
      <c r="L3479" s="19"/>
      <c r="M3479" s="20"/>
    </row>
    <row r="3480">
      <c r="A3480" s="6"/>
      <c r="B3480" s="6"/>
      <c r="C3480" s="4"/>
      <c r="D3480" s="4"/>
      <c r="E3480" s="4"/>
      <c r="F3480" s="4"/>
      <c r="G3480" s="4"/>
      <c r="H3480" s="4"/>
      <c r="I3480" s="4"/>
      <c r="J3480" s="18"/>
      <c r="K3480" s="4"/>
      <c r="L3480" s="19"/>
      <c r="M3480" s="20"/>
    </row>
    <row r="3481">
      <c r="A3481" s="6"/>
      <c r="B3481" s="6"/>
      <c r="C3481" s="4"/>
      <c r="D3481" s="4"/>
      <c r="E3481" s="4"/>
      <c r="F3481" s="4"/>
      <c r="G3481" s="4"/>
      <c r="H3481" s="4"/>
      <c r="I3481" s="4"/>
      <c r="J3481" s="18"/>
      <c r="K3481" s="4"/>
      <c r="L3481" s="19"/>
      <c r="M3481" s="20"/>
    </row>
    <row r="3482">
      <c r="A3482" s="6"/>
      <c r="B3482" s="6"/>
      <c r="C3482" s="4"/>
      <c r="D3482" s="4"/>
      <c r="E3482" s="4"/>
      <c r="F3482" s="4"/>
      <c r="G3482" s="4"/>
      <c r="H3482" s="4"/>
      <c r="I3482" s="4"/>
      <c r="J3482" s="18"/>
      <c r="K3482" s="4"/>
      <c r="L3482" s="19"/>
      <c r="M3482" s="20"/>
    </row>
    <row r="3483">
      <c r="A3483" s="6"/>
      <c r="B3483" s="6"/>
      <c r="C3483" s="4"/>
      <c r="D3483" s="4"/>
      <c r="E3483" s="4"/>
      <c r="F3483" s="4"/>
      <c r="G3483" s="4"/>
      <c r="H3483" s="4"/>
      <c r="I3483" s="4"/>
      <c r="J3483" s="18"/>
      <c r="K3483" s="4"/>
      <c r="L3483" s="19"/>
      <c r="M3483" s="20"/>
    </row>
    <row r="3484">
      <c r="A3484" s="6"/>
      <c r="B3484" s="6"/>
      <c r="C3484" s="4"/>
      <c r="D3484" s="4"/>
      <c r="E3484" s="4"/>
      <c r="F3484" s="4"/>
      <c r="G3484" s="4"/>
      <c r="H3484" s="4"/>
      <c r="I3484" s="4"/>
      <c r="J3484" s="18"/>
      <c r="K3484" s="4"/>
      <c r="L3484" s="19"/>
      <c r="M3484" s="20"/>
    </row>
    <row r="3485">
      <c r="A3485" s="6"/>
      <c r="B3485" s="6"/>
      <c r="C3485" s="4"/>
      <c r="D3485" s="4"/>
      <c r="E3485" s="4"/>
      <c r="F3485" s="4"/>
      <c r="G3485" s="4"/>
      <c r="H3485" s="4"/>
      <c r="I3485" s="4"/>
      <c r="J3485" s="18"/>
      <c r="K3485" s="4"/>
      <c r="L3485" s="19"/>
      <c r="M3485" s="20"/>
    </row>
    <row r="3486">
      <c r="A3486" s="6"/>
      <c r="B3486" s="6"/>
      <c r="C3486" s="4"/>
      <c r="D3486" s="4"/>
      <c r="E3486" s="4"/>
      <c r="F3486" s="4"/>
      <c r="G3486" s="4"/>
      <c r="H3486" s="4"/>
      <c r="I3486" s="4"/>
      <c r="J3486" s="18"/>
      <c r="K3486" s="4"/>
      <c r="L3486" s="19"/>
      <c r="M3486" s="20"/>
    </row>
    <row r="3487">
      <c r="A3487" s="6"/>
      <c r="B3487" s="6"/>
      <c r="C3487" s="4"/>
      <c r="D3487" s="4"/>
      <c r="E3487" s="4"/>
      <c r="F3487" s="4"/>
      <c r="G3487" s="4"/>
      <c r="H3487" s="4"/>
      <c r="I3487" s="4"/>
      <c r="J3487" s="18"/>
      <c r="K3487" s="4"/>
      <c r="L3487" s="19"/>
      <c r="M3487" s="20"/>
    </row>
    <row r="3488">
      <c r="A3488" s="6"/>
      <c r="B3488" s="6"/>
      <c r="C3488" s="4"/>
      <c r="D3488" s="4"/>
      <c r="E3488" s="4"/>
      <c r="F3488" s="4"/>
      <c r="G3488" s="4"/>
      <c r="H3488" s="4"/>
      <c r="I3488" s="4"/>
      <c r="J3488" s="18"/>
      <c r="K3488" s="4"/>
      <c r="L3488" s="19"/>
      <c r="M3488" s="20"/>
    </row>
    <row r="3489">
      <c r="A3489" s="6"/>
      <c r="B3489" s="6"/>
      <c r="C3489" s="4"/>
      <c r="D3489" s="4"/>
      <c r="E3489" s="4"/>
      <c r="F3489" s="4"/>
      <c r="G3489" s="4"/>
      <c r="H3489" s="4"/>
      <c r="I3489" s="4"/>
      <c r="J3489" s="18"/>
      <c r="K3489" s="4"/>
      <c r="L3489" s="19"/>
      <c r="M3489" s="20"/>
    </row>
    <row r="3490">
      <c r="A3490" s="6"/>
      <c r="B3490" s="6"/>
      <c r="C3490" s="4"/>
      <c r="D3490" s="4"/>
      <c r="E3490" s="4"/>
      <c r="F3490" s="4"/>
      <c r="G3490" s="4"/>
      <c r="H3490" s="4"/>
      <c r="I3490" s="4"/>
      <c r="J3490" s="18"/>
      <c r="K3490" s="4"/>
      <c r="L3490" s="19"/>
      <c r="M3490" s="20"/>
    </row>
    <row r="3491">
      <c r="A3491" s="6"/>
      <c r="B3491" s="6"/>
      <c r="C3491" s="4"/>
      <c r="D3491" s="4"/>
      <c r="E3491" s="4"/>
      <c r="F3491" s="4"/>
      <c r="G3491" s="4"/>
      <c r="H3491" s="4"/>
      <c r="I3491" s="4"/>
      <c r="J3491" s="18"/>
      <c r="K3491" s="4"/>
      <c r="L3491" s="19"/>
      <c r="M3491" s="20"/>
    </row>
    <row r="3492">
      <c r="A3492" s="6"/>
      <c r="B3492" s="6"/>
      <c r="C3492" s="4"/>
      <c r="D3492" s="4"/>
      <c r="E3492" s="4"/>
      <c r="F3492" s="4"/>
      <c r="G3492" s="4"/>
      <c r="H3492" s="4"/>
      <c r="I3492" s="4"/>
      <c r="J3492" s="18"/>
      <c r="K3492" s="4"/>
      <c r="L3492" s="19"/>
      <c r="M3492" s="20"/>
    </row>
    <row r="3493">
      <c r="A3493" s="6"/>
      <c r="B3493" s="6"/>
      <c r="C3493" s="4"/>
      <c r="D3493" s="4"/>
      <c r="E3493" s="4"/>
      <c r="F3493" s="4"/>
      <c r="G3493" s="4"/>
      <c r="H3493" s="4"/>
      <c r="I3493" s="4"/>
      <c r="J3493" s="18"/>
      <c r="K3493" s="4"/>
      <c r="L3493" s="19"/>
      <c r="M3493" s="20"/>
    </row>
    <row r="3494">
      <c r="A3494" s="6"/>
      <c r="B3494" s="6"/>
      <c r="C3494" s="4"/>
      <c r="D3494" s="4"/>
      <c r="E3494" s="4"/>
      <c r="F3494" s="4"/>
      <c r="G3494" s="4"/>
      <c r="H3494" s="4"/>
      <c r="I3494" s="4"/>
      <c r="J3494" s="18"/>
      <c r="K3494" s="4"/>
      <c r="L3494" s="19"/>
      <c r="M3494" s="20"/>
    </row>
    <row r="3495">
      <c r="A3495" s="6"/>
      <c r="B3495" s="6"/>
      <c r="C3495" s="4"/>
      <c r="D3495" s="4"/>
      <c r="E3495" s="4"/>
      <c r="F3495" s="4"/>
      <c r="G3495" s="4"/>
      <c r="H3495" s="4"/>
      <c r="I3495" s="4"/>
      <c r="J3495" s="18"/>
      <c r="K3495" s="4"/>
      <c r="L3495" s="19"/>
      <c r="M3495" s="20"/>
    </row>
    <row r="3496">
      <c r="A3496" s="6"/>
      <c r="B3496" s="6"/>
      <c r="C3496" s="4"/>
      <c r="D3496" s="4"/>
      <c r="E3496" s="4"/>
      <c r="F3496" s="4"/>
      <c r="G3496" s="4"/>
      <c r="H3496" s="4"/>
      <c r="I3496" s="4"/>
      <c r="J3496" s="18"/>
      <c r="K3496" s="4"/>
      <c r="L3496" s="19"/>
      <c r="M3496" s="20"/>
    </row>
    <row r="3497">
      <c r="A3497" s="6"/>
      <c r="B3497" s="6"/>
      <c r="C3497" s="4"/>
      <c r="D3497" s="4"/>
      <c r="E3497" s="4"/>
      <c r="F3497" s="4"/>
      <c r="G3497" s="4"/>
      <c r="H3497" s="4"/>
      <c r="I3497" s="4"/>
      <c r="J3497" s="18"/>
      <c r="K3497" s="4"/>
      <c r="L3497" s="19"/>
      <c r="M3497" s="20"/>
    </row>
    <row r="3498">
      <c r="A3498" s="6"/>
      <c r="B3498" s="6"/>
      <c r="C3498" s="4"/>
      <c r="D3498" s="4"/>
      <c r="E3498" s="4"/>
      <c r="F3498" s="4"/>
      <c r="G3498" s="4"/>
      <c r="H3498" s="4"/>
      <c r="I3498" s="4"/>
      <c r="J3498" s="18"/>
      <c r="K3498" s="4"/>
      <c r="L3498" s="19"/>
      <c r="M3498" s="20"/>
    </row>
    <row r="3499">
      <c r="A3499" s="6"/>
      <c r="B3499" s="6"/>
      <c r="C3499" s="4"/>
      <c r="D3499" s="4"/>
      <c r="E3499" s="4"/>
      <c r="F3499" s="4"/>
      <c r="G3499" s="4"/>
      <c r="H3499" s="4"/>
      <c r="I3499" s="4"/>
      <c r="J3499" s="18"/>
      <c r="K3499" s="4"/>
      <c r="L3499" s="19"/>
      <c r="M3499" s="20"/>
    </row>
    <row r="3500">
      <c r="A3500" s="6"/>
      <c r="B3500" s="6"/>
      <c r="C3500" s="4"/>
      <c r="D3500" s="4"/>
      <c r="E3500" s="4"/>
      <c r="F3500" s="4"/>
      <c r="G3500" s="4"/>
      <c r="H3500" s="4"/>
      <c r="I3500" s="4"/>
      <c r="J3500" s="18"/>
      <c r="K3500" s="4"/>
      <c r="L3500" s="19"/>
      <c r="M3500" s="20"/>
    </row>
    <row r="3501">
      <c r="A3501" s="6"/>
      <c r="B3501" s="6"/>
      <c r="C3501" s="4"/>
      <c r="D3501" s="4"/>
      <c r="E3501" s="4"/>
      <c r="F3501" s="4"/>
      <c r="G3501" s="4"/>
      <c r="H3501" s="4"/>
      <c r="I3501" s="4"/>
      <c r="J3501" s="18"/>
      <c r="K3501" s="4"/>
      <c r="L3501" s="19"/>
      <c r="M3501" s="20"/>
    </row>
    <row r="3502">
      <c r="A3502" s="6"/>
      <c r="B3502" s="6"/>
      <c r="C3502" s="4"/>
      <c r="D3502" s="4"/>
      <c r="E3502" s="4"/>
      <c r="F3502" s="4"/>
      <c r="G3502" s="4"/>
      <c r="H3502" s="4"/>
      <c r="I3502" s="4"/>
      <c r="J3502" s="18"/>
      <c r="K3502" s="4"/>
      <c r="L3502" s="19"/>
      <c r="M3502" s="20"/>
    </row>
    <row r="3503">
      <c r="A3503" s="6"/>
      <c r="B3503" s="6"/>
      <c r="C3503" s="4"/>
      <c r="D3503" s="4"/>
      <c r="E3503" s="4"/>
      <c r="F3503" s="4"/>
      <c r="G3503" s="4"/>
      <c r="H3503" s="4"/>
      <c r="I3503" s="4"/>
      <c r="J3503" s="18"/>
      <c r="K3503" s="4"/>
      <c r="L3503" s="19"/>
      <c r="M3503" s="20"/>
    </row>
    <row r="3504">
      <c r="A3504" s="6"/>
      <c r="B3504" s="6"/>
      <c r="C3504" s="4"/>
      <c r="D3504" s="4"/>
      <c r="E3504" s="4"/>
      <c r="F3504" s="4"/>
      <c r="G3504" s="4"/>
      <c r="H3504" s="4"/>
      <c r="I3504" s="4"/>
      <c r="J3504" s="18"/>
      <c r="K3504" s="4"/>
      <c r="L3504" s="19"/>
      <c r="M3504" s="20"/>
    </row>
    <row r="3505">
      <c r="A3505" s="6"/>
      <c r="B3505" s="6"/>
      <c r="C3505" s="4"/>
      <c r="D3505" s="4"/>
      <c r="E3505" s="4"/>
      <c r="F3505" s="4"/>
      <c r="G3505" s="4"/>
      <c r="H3505" s="4"/>
      <c r="I3505" s="4"/>
      <c r="J3505" s="18"/>
      <c r="K3505" s="4"/>
      <c r="L3505" s="19"/>
      <c r="M3505" s="20"/>
    </row>
    <row r="3506">
      <c r="A3506" s="6"/>
      <c r="B3506" s="6"/>
      <c r="C3506" s="4"/>
      <c r="D3506" s="4"/>
      <c r="E3506" s="4"/>
      <c r="F3506" s="4"/>
      <c r="G3506" s="4"/>
      <c r="H3506" s="4"/>
      <c r="I3506" s="4"/>
      <c r="J3506" s="18"/>
      <c r="K3506" s="4"/>
      <c r="L3506" s="19"/>
      <c r="M3506" s="20"/>
    </row>
    <row r="3507">
      <c r="A3507" s="6"/>
      <c r="B3507" s="6"/>
      <c r="C3507" s="4"/>
      <c r="D3507" s="4"/>
      <c r="E3507" s="4"/>
      <c r="F3507" s="4"/>
      <c r="G3507" s="4"/>
      <c r="H3507" s="4"/>
      <c r="I3507" s="4"/>
      <c r="J3507" s="18"/>
      <c r="K3507" s="4"/>
      <c r="L3507" s="19"/>
      <c r="M3507" s="20"/>
    </row>
    <row r="3508">
      <c r="A3508" s="6"/>
      <c r="B3508" s="6"/>
      <c r="C3508" s="4"/>
      <c r="D3508" s="4"/>
      <c r="E3508" s="4"/>
      <c r="F3508" s="4"/>
      <c r="G3508" s="4"/>
      <c r="H3508" s="4"/>
      <c r="I3508" s="4"/>
      <c r="J3508" s="18"/>
      <c r="K3508" s="4"/>
      <c r="L3508" s="19"/>
      <c r="M3508" s="20"/>
    </row>
    <row r="3509">
      <c r="A3509" s="6"/>
      <c r="B3509" s="6"/>
      <c r="C3509" s="4"/>
      <c r="D3509" s="4"/>
      <c r="E3509" s="4"/>
      <c r="F3509" s="4"/>
      <c r="G3509" s="4"/>
      <c r="H3509" s="4"/>
      <c r="I3509" s="4"/>
      <c r="J3509" s="18"/>
      <c r="K3509" s="4"/>
      <c r="L3509" s="19"/>
      <c r="M3509" s="20"/>
    </row>
    <row r="3510">
      <c r="A3510" s="6"/>
      <c r="B3510" s="6"/>
      <c r="C3510" s="4"/>
      <c r="D3510" s="4"/>
      <c r="E3510" s="4"/>
      <c r="F3510" s="4"/>
      <c r="G3510" s="4"/>
      <c r="H3510" s="4"/>
      <c r="I3510" s="4"/>
      <c r="J3510" s="18"/>
      <c r="K3510" s="4"/>
      <c r="L3510" s="19"/>
      <c r="M3510" s="20"/>
    </row>
    <row r="3511">
      <c r="A3511" s="6"/>
      <c r="B3511" s="6"/>
      <c r="C3511" s="4"/>
      <c r="D3511" s="4"/>
      <c r="E3511" s="4"/>
      <c r="F3511" s="4"/>
      <c r="G3511" s="4"/>
      <c r="H3511" s="4"/>
      <c r="I3511" s="4"/>
      <c r="J3511" s="18"/>
      <c r="K3511" s="4"/>
      <c r="L3511" s="19"/>
      <c r="M3511" s="20"/>
    </row>
    <row r="3512">
      <c r="A3512" s="6"/>
      <c r="B3512" s="6"/>
      <c r="C3512" s="4"/>
      <c r="D3512" s="4"/>
      <c r="E3512" s="4"/>
      <c r="F3512" s="4"/>
      <c r="G3512" s="4"/>
      <c r="H3512" s="4"/>
      <c r="I3512" s="4"/>
      <c r="J3512" s="18"/>
      <c r="K3512" s="4"/>
      <c r="L3512" s="19"/>
      <c r="M3512" s="20"/>
    </row>
    <row r="3513">
      <c r="A3513" s="6"/>
      <c r="B3513" s="6"/>
      <c r="C3513" s="4"/>
      <c r="D3513" s="4"/>
      <c r="E3513" s="4"/>
      <c r="F3513" s="4"/>
      <c r="G3513" s="4"/>
      <c r="H3513" s="4"/>
      <c r="I3513" s="4"/>
      <c r="J3513" s="18"/>
      <c r="K3513" s="4"/>
      <c r="L3513" s="19"/>
      <c r="M3513" s="20"/>
    </row>
    <row r="3514">
      <c r="A3514" s="6"/>
      <c r="B3514" s="6"/>
      <c r="C3514" s="4"/>
      <c r="D3514" s="4"/>
      <c r="E3514" s="4"/>
      <c r="F3514" s="4"/>
      <c r="G3514" s="4"/>
      <c r="H3514" s="4"/>
      <c r="I3514" s="4"/>
      <c r="J3514" s="18"/>
      <c r="K3514" s="4"/>
      <c r="L3514" s="19"/>
      <c r="M3514" s="20"/>
    </row>
    <row r="3515">
      <c r="A3515" s="6"/>
      <c r="B3515" s="6"/>
      <c r="C3515" s="4"/>
      <c r="D3515" s="4"/>
      <c r="E3515" s="4"/>
      <c r="F3515" s="4"/>
      <c r="G3515" s="4"/>
      <c r="H3515" s="4"/>
      <c r="I3515" s="4"/>
      <c r="J3515" s="18"/>
      <c r="K3515" s="4"/>
      <c r="L3515" s="19"/>
      <c r="M3515" s="20"/>
    </row>
    <row r="3516">
      <c r="A3516" s="6"/>
      <c r="B3516" s="6"/>
      <c r="C3516" s="4"/>
      <c r="D3516" s="4"/>
      <c r="E3516" s="4"/>
      <c r="F3516" s="4"/>
      <c r="G3516" s="4"/>
      <c r="H3516" s="4"/>
      <c r="I3516" s="4"/>
      <c r="J3516" s="18"/>
      <c r="K3516" s="4"/>
      <c r="L3516" s="19"/>
      <c r="M3516" s="20"/>
    </row>
    <row r="3517">
      <c r="A3517" s="6"/>
      <c r="B3517" s="6"/>
      <c r="C3517" s="4"/>
      <c r="D3517" s="4"/>
      <c r="E3517" s="4"/>
      <c r="F3517" s="4"/>
      <c r="G3517" s="4"/>
      <c r="H3517" s="4"/>
      <c r="I3517" s="4"/>
      <c r="J3517" s="18"/>
      <c r="K3517" s="4"/>
      <c r="L3517" s="19"/>
      <c r="M3517" s="20"/>
    </row>
    <row r="3518">
      <c r="A3518" s="6"/>
      <c r="B3518" s="6"/>
      <c r="C3518" s="4"/>
      <c r="D3518" s="4"/>
      <c r="E3518" s="4"/>
      <c r="F3518" s="4"/>
      <c r="G3518" s="4"/>
      <c r="H3518" s="4"/>
      <c r="I3518" s="4"/>
      <c r="J3518" s="18"/>
      <c r="K3518" s="4"/>
      <c r="L3518" s="19"/>
      <c r="M3518" s="20"/>
    </row>
    <row r="3519">
      <c r="A3519" s="6"/>
      <c r="B3519" s="6"/>
      <c r="C3519" s="4"/>
      <c r="D3519" s="4"/>
      <c r="E3519" s="4"/>
      <c r="F3519" s="4"/>
      <c r="G3519" s="4"/>
      <c r="H3519" s="4"/>
      <c r="I3519" s="4"/>
      <c r="J3519" s="18"/>
      <c r="K3519" s="4"/>
      <c r="L3519" s="19"/>
      <c r="M3519" s="20"/>
    </row>
    <row r="3520">
      <c r="A3520" s="6"/>
      <c r="B3520" s="6"/>
      <c r="C3520" s="4"/>
      <c r="D3520" s="4"/>
      <c r="E3520" s="4"/>
      <c r="F3520" s="4"/>
      <c r="G3520" s="4"/>
      <c r="H3520" s="4"/>
      <c r="I3520" s="4"/>
      <c r="J3520" s="18"/>
      <c r="K3520" s="4"/>
      <c r="L3520" s="19"/>
      <c r="M3520" s="20"/>
    </row>
    <row r="3521">
      <c r="A3521" s="6"/>
      <c r="B3521" s="6"/>
      <c r="C3521" s="4"/>
      <c r="D3521" s="4"/>
      <c r="E3521" s="4"/>
      <c r="F3521" s="4"/>
      <c r="G3521" s="4"/>
      <c r="H3521" s="4"/>
      <c r="I3521" s="4"/>
      <c r="J3521" s="18"/>
      <c r="K3521" s="4"/>
      <c r="L3521" s="19"/>
      <c r="M3521" s="20"/>
    </row>
    <row r="3522">
      <c r="A3522" s="6"/>
      <c r="B3522" s="6"/>
      <c r="C3522" s="4"/>
      <c r="D3522" s="4"/>
      <c r="E3522" s="4"/>
      <c r="F3522" s="4"/>
      <c r="G3522" s="4"/>
      <c r="H3522" s="4"/>
      <c r="I3522" s="4"/>
      <c r="J3522" s="18"/>
      <c r="K3522" s="4"/>
      <c r="L3522" s="19"/>
      <c r="M3522" s="20"/>
    </row>
    <row r="3523">
      <c r="A3523" s="6"/>
      <c r="B3523" s="6"/>
      <c r="C3523" s="4"/>
      <c r="D3523" s="4"/>
      <c r="E3523" s="4"/>
      <c r="F3523" s="4"/>
      <c r="G3523" s="4"/>
      <c r="H3523" s="4"/>
      <c r="I3523" s="4"/>
      <c r="J3523" s="18"/>
      <c r="K3523" s="4"/>
      <c r="L3523" s="19"/>
      <c r="M3523" s="20"/>
    </row>
    <row r="3524">
      <c r="A3524" s="6"/>
      <c r="B3524" s="6"/>
      <c r="C3524" s="4"/>
      <c r="D3524" s="4"/>
      <c r="E3524" s="4"/>
      <c r="F3524" s="4"/>
      <c r="G3524" s="4"/>
      <c r="H3524" s="4"/>
      <c r="I3524" s="4"/>
      <c r="J3524" s="18"/>
      <c r="K3524" s="4"/>
      <c r="L3524" s="19"/>
      <c r="M3524" s="20"/>
    </row>
    <row r="3525">
      <c r="A3525" s="6"/>
      <c r="B3525" s="6"/>
      <c r="C3525" s="4"/>
      <c r="D3525" s="4"/>
      <c r="E3525" s="4"/>
      <c r="F3525" s="4"/>
      <c r="G3525" s="4"/>
      <c r="H3525" s="4"/>
      <c r="I3525" s="4"/>
      <c r="J3525" s="18"/>
      <c r="K3525" s="4"/>
      <c r="L3525" s="19"/>
      <c r="M3525" s="20"/>
    </row>
    <row r="3526">
      <c r="A3526" s="6"/>
      <c r="B3526" s="6"/>
      <c r="C3526" s="4"/>
      <c r="D3526" s="4"/>
      <c r="E3526" s="4"/>
      <c r="F3526" s="4"/>
      <c r="G3526" s="4"/>
      <c r="H3526" s="4"/>
      <c r="I3526" s="4"/>
      <c r="J3526" s="18"/>
      <c r="K3526" s="4"/>
      <c r="L3526" s="19"/>
      <c r="M3526" s="20"/>
    </row>
    <row r="3527">
      <c r="A3527" s="6"/>
      <c r="B3527" s="6"/>
      <c r="C3527" s="4"/>
      <c r="D3527" s="4"/>
      <c r="E3527" s="4"/>
      <c r="F3527" s="4"/>
      <c r="G3527" s="4"/>
      <c r="H3527" s="4"/>
      <c r="I3527" s="4"/>
      <c r="J3527" s="18"/>
      <c r="K3527" s="4"/>
      <c r="L3527" s="19"/>
      <c r="M3527" s="20"/>
    </row>
    <row r="3528">
      <c r="A3528" s="6"/>
      <c r="B3528" s="6"/>
      <c r="C3528" s="4"/>
      <c r="D3528" s="4"/>
      <c r="E3528" s="4"/>
      <c r="F3528" s="4"/>
      <c r="G3528" s="4"/>
      <c r="H3528" s="4"/>
      <c r="I3528" s="4"/>
      <c r="J3528" s="18"/>
      <c r="K3528" s="4"/>
      <c r="L3528" s="19"/>
      <c r="M3528" s="20"/>
    </row>
    <row r="3529">
      <c r="A3529" s="6"/>
      <c r="B3529" s="6"/>
      <c r="C3529" s="4"/>
      <c r="D3529" s="4"/>
      <c r="E3529" s="4"/>
      <c r="F3529" s="4"/>
      <c r="G3529" s="4"/>
      <c r="H3529" s="4"/>
      <c r="I3529" s="4"/>
      <c r="J3529" s="18"/>
      <c r="K3529" s="4"/>
      <c r="L3529" s="19"/>
      <c r="M3529" s="20"/>
    </row>
    <row r="3530">
      <c r="A3530" s="6"/>
      <c r="B3530" s="6"/>
      <c r="C3530" s="4"/>
      <c r="D3530" s="4"/>
      <c r="E3530" s="4"/>
      <c r="F3530" s="4"/>
      <c r="G3530" s="4"/>
      <c r="H3530" s="4"/>
      <c r="I3530" s="4"/>
      <c r="J3530" s="18"/>
      <c r="K3530" s="4"/>
      <c r="L3530" s="19"/>
      <c r="M3530" s="20"/>
    </row>
    <row r="3531">
      <c r="A3531" s="6"/>
      <c r="B3531" s="6"/>
      <c r="C3531" s="4"/>
      <c r="D3531" s="4"/>
      <c r="E3531" s="4"/>
      <c r="F3531" s="4"/>
      <c r="G3531" s="4"/>
      <c r="H3531" s="4"/>
      <c r="I3531" s="4"/>
      <c r="J3531" s="18"/>
      <c r="K3531" s="4"/>
      <c r="L3531" s="19"/>
      <c r="M3531" s="20"/>
    </row>
    <row r="3532">
      <c r="A3532" s="6"/>
      <c r="B3532" s="6"/>
      <c r="C3532" s="4"/>
      <c r="D3532" s="4"/>
      <c r="E3532" s="4"/>
      <c r="F3532" s="4"/>
      <c r="G3532" s="4"/>
      <c r="H3532" s="4"/>
      <c r="I3532" s="4"/>
      <c r="J3532" s="18"/>
      <c r="K3532" s="4"/>
      <c r="L3532" s="19"/>
      <c r="M3532" s="20"/>
    </row>
    <row r="3533">
      <c r="A3533" s="6"/>
      <c r="B3533" s="6"/>
      <c r="C3533" s="4"/>
      <c r="D3533" s="4"/>
      <c r="E3533" s="4"/>
      <c r="F3533" s="4"/>
      <c r="G3533" s="4"/>
      <c r="H3533" s="4"/>
      <c r="I3533" s="4"/>
      <c r="J3533" s="18"/>
      <c r="K3533" s="4"/>
      <c r="L3533" s="19"/>
      <c r="M3533" s="20"/>
    </row>
    <row r="3534">
      <c r="A3534" s="6"/>
      <c r="B3534" s="6"/>
      <c r="C3534" s="4"/>
      <c r="D3534" s="4"/>
      <c r="E3534" s="4"/>
      <c r="F3534" s="4"/>
      <c r="G3534" s="4"/>
      <c r="H3534" s="4"/>
      <c r="I3534" s="4"/>
      <c r="J3534" s="18"/>
      <c r="K3534" s="4"/>
      <c r="L3534" s="19"/>
      <c r="M3534" s="20"/>
    </row>
    <row r="3535">
      <c r="A3535" s="6"/>
      <c r="B3535" s="6"/>
      <c r="C3535" s="4"/>
      <c r="D3535" s="4"/>
      <c r="E3535" s="4"/>
      <c r="F3535" s="4"/>
      <c r="G3535" s="4"/>
      <c r="H3535" s="4"/>
      <c r="I3535" s="4"/>
      <c r="J3535" s="18"/>
      <c r="K3535" s="4"/>
      <c r="L3535" s="19"/>
      <c r="M3535" s="20"/>
    </row>
    <row r="3536">
      <c r="A3536" s="6"/>
      <c r="B3536" s="6"/>
      <c r="C3536" s="4"/>
      <c r="D3536" s="4"/>
      <c r="E3536" s="4"/>
      <c r="F3536" s="4"/>
      <c r="G3536" s="4"/>
      <c r="H3536" s="4"/>
      <c r="I3536" s="4"/>
      <c r="J3536" s="18"/>
      <c r="K3536" s="4"/>
      <c r="L3536" s="19"/>
      <c r="M3536" s="20"/>
    </row>
    <row r="3537">
      <c r="A3537" s="6"/>
      <c r="B3537" s="6"/>
      <c r="C3537" s="4"/>
      <c r="D3537" s="4"/>
      <c r="E3537" s="4"/>
      <c r="F3537" s="4"/>
      <c r="G3537" s="4"/>
      <c r="H3537" s="4"/>
      <c r="I3537" s="4"/>
      <c r="J3537" s="18"/>
      <c r="K3537" s="4"/>
      <c r="L3537" s="19"/>
      <c r="M3537" s="20"/>
    </row>
    <row r="3538">
      <c r="A3538" s="6"/>
      <c r="B3538" s="6"/>
      <c r="C3538" s="4"/>
      <c r="D3538" s="4"/>
      <c r="E3538" s="4"/>
      <c r="F3538" s="4"/>
      <c r="G3538" s="4"/>
      <c r="H3538" s="4"/>
      <c r="I3538" s="4"/>
      <c r="J3538" s="18"/>
      <c r="K3538" s="4"/>
      <c r="L3538" s="19"/>
      <c r="M3538" s="20"/>
    </row>
    <row r="3539">
      <c r="A3539" s="6"/>
      <c r="B3539" s="6"/>
      <c r="C3539" s="4"/>
      <c r="D3539" s="4"/>
      <c r="E3539" s="4"/>
      <c r="F3539" s="4"/>
      <c r="G3539" s="4"/>
      <c r="H3539" s="4"/>
      <c r="I3539" s="4"/>
      <c r="J3539" s="18"/>
      <c r="K3539" s="4"/>
      <c r="L3539" s="19"/>
      <c r="M3539" s="20"/>
    </row>
    <row r="3540">
      <c r="A3540" s="6"/>
      <c r="B3540" s="6"/>
      <c r="C3540" s="4"/>
      <c r="D3540" s="4"/>
      <c r="E3540" s="4"/>
      <c r="F3540" s="4"/>
      <c r="G3540" s="4"/>
      <c r="H3540" s="4"/>
      <c r="I3540" s="4"/>
      <c r="J3540" s="18"/>
      <c r="K3540" s="4"/>
      <c r="L3540" s="19"/>
      <c r="M3540" s="20"/>
    </row>
    <row r="3541">
      <c r="A3541" s="6"/>
      <c r="B3541" s="6"/>
      <c r="C3541" s="4"/>
      <c r="D3541" s="4"/>
      <c r="E3541" s="4"/>
      <c r="F3541" s="4"/>
      <c r="G3541" s="4"/>
      <c r="H3541" s="4"/>
      <c r="I3541" s="4"/>
      <c r="J3541" s="18"/>
      <c r="K3541" s="4"/>
      <c r="L3541" s="19"/>
      <c r="M3541" s="20"/>
    </row>
    <row r="3542">
      <c r="A3542" s="6"/>
      <c r="B3542" s="6"/>
      <c r="C3542" s="4"/>
      <c r="D3542" s="4"/>
      <c r="E3542" s="4"/>
      <c r="F3542" s="4"/>
      <c r="G3542" s="4"/>
      <c r="H3542" s="4"/>
      <c r="I3542" s="4"/>
      <c r="J3542" s="18"/>
      <c r="K3542" s="4"/>
      <c r="L3542" s="19"/>
      <c r="M3542" s="20"/>
    </row>
    <row r="3543">
      <c r="A3543" s="6"/>
      <c r="B3543" s="6"/>
      <c r="C3543" s="4"/>
      <c r="D3543" s="4"/>
      <c r="E3543" s="4"/>
      <c r="F3543" s="4"/>
      <c r="G3543" s="4"/>
      <c r="H3543" s="4"/>
      <c r="I3543" s="4"/>
      <c r="J3543" s="18"/>
      <c r="K3543" s="4"/>
      <c r="L3543" s="19"/>
      <c r="M3543" s="20"/>
    </row>
    <row r="3544">
      <c r="A3544" s="6"/>
      <c r="B3544" s="6"/>
      <c r="C3544" s="4"/>
      <c r="D3544" s="4"/>
      <c r="E3544" s="4"/>
      <c r="F3544" s="4"/>
      <c r="G3544" s="4"/>
      <c r="H3544" s="4"/>
      <c r="I3544" s="4"/>
      <c r="J3544" s="18"/>
      <c r="K3544" s="4"/>
      <c r="L3544" s="19"/>
      <c r="M3544" s="20"/>
    </row>
    <row r="3545">
      <c r="A3545" s="6"/>
      <c r="B3545" s="6"/>
      <c r="C3545" s="4"/>
      <c r="D3545" s="4"/>
      <c r="E3545" s="4"/>
      <c r="F3545" s="4"/>
      <c r="G3545" s="4"/>
      <c r="H3545" s="4"/>
      <c r="I3545" s="4"/>
      <c r="J3545" s="18"/>
      <c r="K3545" s="4"/>
      <c r="L3545" s="19"/>
      <c r="M3545" s="20"/>
    </row>
    <row r="3546">
      <c r="A3546" s="6"/>
      <c r="B3546" s="6"/>
      <c r="C3546" s="4"/>
      <c r="D3546" s="4"/>
      <c r="E3546" s="4"/>
      <c r="F3546" s="4"/>
      <c r="G3546" s="4"/>
      <c r="H3546" s="4"/>
      <c r="I3546" s="4"/>
      <c r="J3546" s="18"/>
      <c r="K3546" s="4"/>
      <c r="L3546" s="19"/>
      <c r="M3546" s="20"/>
    </row>
    <row r="3547">
      <c r="A3547" s="6"/>
      <c r="B3547" s="6"/>
      <c r="C3547" s="4"/>
      <c r="D3547" s="4"/>
      <c r="E3547" s="4"/>
      <c r="F3547" s="4"/>
      <c r="G3547" s="4"/>
      <c r="H3547" s="4"/>
      <c r="I3547" s="4"/>
      <c r="J3547" s="18"/>
      <c r="K3547" s="4"/>
      <c r="L3547" s="19"/>
      <c r="M3547" s="20"/>
    </row>
    <row r="3548">
      <c r="A3548" s="6"/>
      <c r="B3548" s="6"/>
      <c r="C3548" s="4"/>
      <c r="D3548" s="4"/>
      <c r="E3548" s="4"/>
      <c r="F3548" s="4"/>
      <c r="G3548" s="4"/>
      <c r="H3548" s="4"/>
      <c r="I3548" s="4"/>
      <c r="J3548" s="18"/>
      <c r="K3548" s="4"/>
      <c r="L3548" s="19"/>
      <c r="M3548" s="20"/>
    </row>
    <row r="3549">
      <c r="A3549" s="6"/>
      <c r="B3549" s="6"/>
      <c r="C3549" s="4"/>
      <c r="D3549" s="4"/>
      <c r="E3549" s="4"/>
      <c r="F3549" s="4"/>
      <c r="G3549" s="4"/>
      <c r="H3549" s="4"/>
      <c r="I3549" s="4"/>
      <c r="J3549" s="18"/>
      <c r="K3549" s="4"/>
      <c r="L3549" s="19"/>
      <c r="M3549" s="20"/>
    </row>
    <row r="3550">
      <c r="A3550" s="6"/>
      <c r="B3550" s="6"/>
      <c r="C3550" s="4"/>
      <c r="D3550" s="4"/>
      <c r="E3550" s="4"/>
      <c r="F3550" s="4"/>
      <c r="G3550" s="4"/>
      <c r="H3550" s="4"/>
      <c r="I3550" s="4"/>
      <c r="J3550" s="18"/>
      <c r="K3550" s="4"/>
      <c r="L3550" s="19"/>
      <c r="M3550" s="20"/>
    </row>
    <row r="3551">
      <c r="A3551" s="6"/>
      <c r="B3551" s="6"/>
      <c r="C3551" s="4"/>
      <c r="D3551" s="4"/>
      <c r="E3551" s="4"/>
      <c r="F3551" s="4"/>
      <c r="G3551" s="4"/>
      <c r="H3551" s="4"/>
      <c r="I3551" s="4"/>
      <c r="J3551" s="18"/>
      <c r="K3551" s="4"/>
      <c r="L3551" s="19"/>
      <c r="M3551" s="20"/>
    </row>
    <row r="3552">
      <c r="A3552" s="6"/>
      <c r="B3552" s="6"/>
      <c r="C3552" s="4"/>
      <c r="D3552" s="4"/>
      <c r="E3552" s="4"/>
      <c r="F3552" s="4"/>
      <c r="G3552" s="4"/>
      <c r="H3552" s="4"/>
      <c r="I3552" s="4"/>
      <c r="J3552" s="18"/>
      <c r="K3552" s="4"/>
      <c r="L3552" s="19"/>
      <c r="M3552" s="20"/>
    </row>
    <row r="3553">
      <c r="A3553" s="6"/>
      <c r="B3553" s="6"/>
      <c r="C3553" s="4"/>
      <c r="D3553" s="4"/>
      <c r="E3553" s="4"/>
      <c r="F3553" s="4"/>
      <c r="G3553" s="4"/>
      <c r="H3553" s="4"/>
      <c r="I3553" s="4"/>
      <c r="J3553" s="18"/>
      <c r="K3553" s="4"/>
      <c r="L3553" s="19"/>
      <c r="M3553" s="20"/>
    </row>
    <row r="3554">
      <c r="A3554" s="6"/>
      <c r="B3554" s="6"/>
      <c r="C3554" s="4"/>
      <c r="D3554" s="4"/>
      <c r="E3554" s="4"/>
      <c r="F3554" s="4"/>
      <c r="G3554" s="4"/>
      <c r="H3554" s="4"/>
      <c r="I3554" s="4"/>
      <c r="J3554" s="18"/>
      <c r="K3554" s="4"/>
      <c r="L3554" s="19"/>
      <c r="M3554" s="20"/>
    </row>
    <row r="3555">
      <c r="A3555" s="6"/>
      <c r="B3555" s="6"/>
      <c r="C3555" s="4"/>
      <c r="D3555" s="4"/>
      <c r="E3555" s="4"/>
      <c r="F3555" s="4"/>
      <c r="G3555" s="4"/>
      <c r="H3555" s="4"/>
      <c r="I3555" s="4"/>
      <c r="J3555" s="18"/>
      <c r="K3555" s="4"/>
      <c r="L3555" s="19"/>
      <c r="M3555" s="20"/>
    </row>
    <row r="3556">
      <c r="A3556" s="6"/>
      <c r="B3556" s="6"/>
      <c r="C3556" s="4"/>
      <c r="D3556" s="4"/>
      <c r="E3556" s="4"/>
      <c r="F3556" s="4"/>
      <c r="G3556" s="4"/>
      <c r="H3556" s="4"/>
      <c r="I3556" s="4"/>
      <c r="J3556" s="18"/>
      <c r="K3556" s="4"/>
      <c r="L3556" s="19"/>
      <c r="M3556" s="20"/>
    </row>
    <row r="3557">
      <c r="A3557" s="6"/>
      <c r="B3557" s="6"/>
      <c r="C3557" s="4"/>
      <c r="D3557" s="4"/>
      <c r="E3557" s="4"/>
      <c r="F3557" s="4"/>
      <c r="G3557" s="4"/>
      <c r="H3557" s="4"/>
      <c r="I3557" s="4"/>
      <c r="J3557" s="18"/>
      <c r="K3557" s="4"/>
      <c r="L3557" s="19"/>
      <c r="M3557" s="20"/>
    </row>
    <row r="3558">
      <c r="A3558" s="6"/>
      <c r="B3558" s="6"/>
      <c r="C3558" s="4"/>
      <c r="D3558" s="4"/>
      <c r="E3558" s="4"/>
      <c r="F3558" s="4"/>
      <c r="G3558" s="4"/>
      <c r="H3558" s="4"/>
      <c r="I3558" s="4"/>
      <c r="J3558" s="18"/>
      <c r="K3558" s="4"/>
      <c r="L3558" s="19"/>
      <c r="M3558" s="20"/>
    </row>
    <row r="3559">
      <c r="A3559" s="6"/>
      <c r="B3559" s="6"/>
      <c r="C3559" s="4"/>
      <c r="D3559" s="4"/>
      <c r="E3559" s="4"/>
      <c r="F3559" s="4"/>
      <c r="G3559" s="4"/>
      <c r="H3559" s="4"/>
      <c r="I3559" s="4"/>
      <c r="J3559" s="18"/>
      <c r="K3559" s="4"/>
      <c r="L3559" s="19"/>
      <c r="M3559" s="20"/>
    </row>
    <row r="3560">
      <c r="A3560" s="6"/>
      <c r="B3560" s="6"/>
      <c r="C3560" s="4"/>
      <c r="D3560" s="4"/>
      <c r="E3560" s="4"/>
      <c r="F3560" s="4"/>
      <c r="G3560" s="4"/>
      <c r="H3560" s="4"/>
      <c r="I3560" s="4"/>
      <c r="J3560" s="18"/>
      <c r="K3560" s="4"/>
      <c r="L3560" s="19"/>
      <c r="M3560" s="20"/>
    </row>
    <row r="3561">
      <c r="A3561" s="6"/>
      <c r="B3561" s="6"/>
      <c r="C3561" s="4"/>
      <c r="D3561" s="4"/>
      <c r="E3561" s="4"/>
      <c r="F3561" s="4"/>
      <c r="G3561" s="4"/>
      <c r="H3561" s="4"/>
      <c r="I3561" s="4"/>
      <c r="J3561" s="18"/>
      <c r="K3561" s="4"/>
      <c r="L3561" s="19"/>
      <c r="M3561" s="20"/>
    </row>
    <row r="3562">
      <c r="A3562" s="6"/>
      <c r="B3562" s="6"/>
      <c r="C3562" s="4"/>
      <c r="D3562" s="4"/>
      <c r="E3562" s="4"/>
      <c r="F3562" s="4"/>
      <c r="G3562" s="4"/>
      <c r="H3562" s="4"/>
      <c r="I3562" s="4"/>
      <c r="J3562" s="18"/>
      <c r="K3562" s="4"/>
      <c r="L3562" s="19"/>
      <c r="M3562" s="20"/>
    </row>
    <row r="3563">
      <c r="A3563" s="6"/>
      <c r="B3563" s="6"/>
      <c r="C3563" s="4"/>
      <c r="D3563" s="4"/>
      <c r="E3563" s="4"/>
      <c r="F3563" s="4"/>
      <c r="G3563" s="4"/>
      <c r="H3563" s="4"/>
      <c r="I3563" s="4"/>
      <c r="J3563" s="18"/>
      <c r="K3563" s="4"/>
      <c r="L3563" s="19"/>
      <c r="M3563" s="20"/>
    </row>
    <row r="3564">
      <c r="A3564" s="6"/>
      <c r="B3564" s="6"/>
      <c r="C3564" s="4"/>
      <c r="D3564" s="4"/>
      <c r="E3564" s="4"/>
      <c r="F3564" s="4"/>
      <c r="G3564" s="4"/>
      <c r="H3564" s="4"/>
      <c r="I3564" s="4"/>
      <c r="J3564" s="18"/>
      <c r="K3564" s="4"/>
      <c r="L3564" s="19"/>
      <c r="M3564" s="20"/>
    </row>
    <row r="3565">
      <c r="A3565" s="6"/>
      <c r="B3565" s="6"/>
      <c r="C3565" s="4"/>
      <c r="D3565" s="4"/>
      <c r="E3565" s="4"/>
      <c r="F3565" s="4"/>
      <c r="G3565" s="4"/>
      <c r="H3565" s="4"/>
      <c r="I3565" s="4"/>
      <c r="J3565" s="18"/>
      <c r="K3565" s="4"/>
      <c r="L3565" s="19"/>
      <c r="M3565" s="20"/>
    </row>
    <row r="3566">
      <c r="A3566" s="6"/>
      <c r="B3566" s="6"/>
      <c r="C3566" s="4"/>
      <c r="D3566" s="4"/>
      <c r="E3566" s="4"/>
      <c r="F3566" s="4"/>
      <c r="G3566" s="4"/>
      <c r="H3566" s="4"/>
      <c r="I3566" s="4"/>
      <c r="J3566" s="18"/>
      <c r="K3566" s="4"/>
      <c r="L3566" s="19"/>
      <c r="M3566" s="20"/>
    </row>
    <row r="3567">
      <c r="A3567" s="6"/>
      <c r="B3567" s="6"/>
      <c r="C3567" s="4"/>
      <c r="D3567" s="4"/>
      <c r="E3567" s="4"/>
      <c r="F3567" s="4"/>
      <c r="G3567" s="4"/>
      <c r="H3567" s="4"/>
      <c r="I3567" s="4"/>
      <c r="J3567" s="18"/>
      <c r="K3567" s="4"/>
      <c r="L3567" s="19"/>
      <c r="M3567" s="20"/>
    </row>
    <row r="3568">
      <c r="A3568" s="6"/>
      <c r="B3568" s="6"/>
      <c r="C3568" s="4"/>
      <c r="D3568" s="4"/>
      <c r="E3568" s="4"/>
      <c r="F3568" s="4"/>
      <c r="G3568" s="4"/>
      <c r="H3568" s="4"/>
      <c r="I3568" s="4"/>
      <c r="J3568" s="18"/>
      <c r="K3568" s="4"/>
      <c r="L3568" s="19"/>
      <c r="M3568" s="20"/>
    </row>
    <row r="3569">
      <c r="A3569" s="6"/>
      <c r="B3569" s="6"/>
      <c r="C3569" s="4"/>
      <c r="D3569" s="4"/>
      <c r="E3569" s="4"/>
      <c r="F3569" s="4"/>
      <c r="G3569" s="4"/>
      <c r="H3569" s="4"/>
      <c r="I3569" s="4"/>
      <c r="J3569" s="18"/>
      <c r="K3569" s="4"/>
      <c r="L3569" s="19"/>
      <c r="M3569" s="20"/>
    </row>
    <row r="3570">
      <c r="A3570" s="6"/>
      <c r="B3570" s="6"/>
      <c r="C3570" s="4"/>
      <c r="D3570" s="4"/>
      <c r="E3570" s="4"/>
      <c r="F3570" s="4"/>
      <c r="G3570" s="4"/>
      <c r="H3570" s="4"/>
      <c r="I3570" s="4"/>
      <c r="J3570" s="18"/>
      <c r="K3570" s="4"/>
      <c r="L3570" s="19"/>
      <c r="M3570" s="20"/>
    </row>
    <row r="3571">
      <c r="A3571" s="6"/>
      <c r="B3571" s="6"/>
      <c r="C3571" s="4"/>
      <c r="D3571" s="4"/>
      <c r="E3571" s="4"/>
      <c r="F3571" s="4"/>
      <c r="G3571" s="4"/>
      <c r="H3571" s="4"/>
      <c r="I3571" s="4"/>
      <c r="J3571" s="18"/>
      <c r="K3571" s="4"/>
      <c r="L3571" s="19"/>
      <c r="M3571" s="20"/>
    </row>
    <row r="3572">
      <c r="A3572" s="6"/>
      <c r="B3572" s="6"/>
      <c r="C3572" s="4"/>
      <c r="D3572" s="4"/>
      <c r="E3572" s="4"/>
      <c r="F3572" s="4"/>
      <c r="G3572" s="4"/>
      <c r="H3572" s="4"/>
      <c r="I3572" s="4"/>
      <c r="J3572" s="18"/>
      <c r="K3572" s="4"/>
      <c r="L3572" s="19"/>
      <c r="M3572" s="20"/>
    </row>
    <row r="3573">
      <c r="A3573" s="6"/>
      <c r="B3573" s="6"/>
      <c r="C3573" s="4"/>
      <c r="D3573" s="4"/>
      <c r="E3573" s="4"/>
      <c r="F3573" s="4"/>
      <c r="G3573" s="4"/>
      <c r="H3573" s="4"/>
      <c r="I3573" s="4"/>
      <c r="J3573" s="18"/>
      <c r="K3573" s="4"/>
      <c r="L3573" s="19"/>
      <c r="M3573" s="20"/>
    </row>
    <row r="3574">
      <c r="A3574" s="6"/>
      <c r="B3574" s="6"/>
      <c r="C3574" s="4"/>
      <c r="D3574" s="4"/>
      <c r="E3574" s="4"/>
      <c r="F3574" s="4"/>
      <c r="G3574" s="4"/>
      <c r="H3574" s="4"/>
      <c r="I3574" s="4"/>
      <c r="J3574" s="18"/>
      <c r="K3574" s="4"/>
      <c r="L3574" s="19"/>
      <c r="M3574" s="20"/>
    </row>
    <row r="3575">
      <c r="A3575" s="6"/>
      <c r="B3575" s="6"/>
      <c r="C3575" s="4"/>
      <c r="D3575" s="4"/>
      <c r="E3575" s="4"/>
      <c r="F3575" s="4"/>
      <c r="G3575" s="4"/>
      <c r="H3575" s="4"/>
      <c r="I3575" s="4"/>
      <c r="J3575" s="18"/>
      <c r="K3575" s="4"/>
      <c r="L3575" s="19"/>
      <c r="M3575" s="20"/>
    </row>
    <row r="3576">
      <c r="A3576" s="6"/>
      <c r="B3576" s="6"/>
      <c r="C3576" s="4"/>
      <c r="D3576" s="4"/>
      <c r="E3576" s="4"/>
      <c r="F3576" s="4"/>
      <c r="G3576" s="4"/>
      <c r="H3576" s="4"/>
      <c r="I3576" s="4"/>
      <c r="J3576" s="18"/>
      <c r="K3576" s="4"/>
      <c r="L3576" s="19"/>
      <c r="M3576" s="20"/>
    </row>
    <row r="3577">
      <c r="A3577" s="6"/>
      <c r="B3577" s="6"/>
      <c r="C3577" s="4"/>
      <c r="D3577" s="4"/>
      <c r="E3577" s="4"/>
      <c r="F3577" s="4"/>
      <c r="G3577" s="4"/>
      <c r="H3577" s="4"/>
      <c r="I3577" s="4"/>
      <c r="J3577" s="18"/>
      <c r="K3577" s="4"/>
      <c r="L3577" s="19"/>
      <c r="M3577" s="20"/>
    </row>
    <row r="3578">
      <c r="A3578" s="6"/>
      <c r="B3578" s="6"/>
      <c r="C3578" s="4"/>
      <c r="D3578" s="4"/>
      <c r="E3578" s="4"/>
      <c r="F3578" s="4"/>
      <c r="G3578" s="4"/>
      <c r="H3578" s="4"/>
      <c r="I3578" s="4"/>
      <c r="J3578" s="18"/>
      <c r="K3578" s="4"/>
      <c r="L3578" s="19"/>
      <c r="M3578" s="20"/>
    </row>
    <row r="3579">
      <c r="A3579" s="6"/>
      <c r="B3579" s="6"/>
      <c r="C3579" s="4"/>
      <c r="D3579" s="4"/>
      <c r="E3579" s="4"/>
      <c r="F3579" s="4"/>
      <c r="G3579" s="4"/>
      <c r="H3579" s="4"/>
      <c r="I3579" s="4"/>
      <c r="J3579" s="18"/>
      <c r="K3579" s="4"/>
      <c r="L3579" s="19"/>
      <c r="M3579" s="20"/>
    </row>
    <row r="3580">
      <c r="A3580" s="6"/>
      <c r="B3580" s="6"/>
      <c r="C3580" s="4"/>
      <c r="D3580" s="4"/>
      <c r="E3580" s="4"/>
      <c r="F3580" s="4"/>
      <c r="G3580" s="4"/>
      <c r="H3580" s="4"/>
      <c r="I3580" s="4"/>
      <c r="J3580" s="18"/>
      <c r="K3580" s="4"/>
      <c r="L3580" s="19"/>
      <c r="M3580" s="20"/>
    </row>
    <row r="3581">
      <c r="A3581" s="6"/>
      <c r="B3581" s="6"/>
      <c r="C3581" s="4"/>
      <c r="D3581" s="4"/>
      <c r="E3581" s="4"/>
      <c r="F3581" s="4"/>
      <c r="G3581" s="4"/>
      <c r="H3581" s="4"/>
      <c r="I3581" s="4"/>
      <c r="J3581" s="18"/>
      <c r="K3581" s="4"/>
      <c r="L3581" s="19"/>
      <c r="M3581" s="20"/>
    </row>
    <row r="3582">
      <c r="A3582" s="6"/>
      <c r="B3582" s="6"/>
      <c r="C3582" s="4"/>
      <c r="D3582" s="4"/>
      <c r="E3582" s="4"/>
      <c r="F3582" s="4"/>
      <c r="G3582" s="4"/>
      <c r="H3582" s="4"/>
      <c r="I3582" s="4"/>
      <c r="J3582" s="18"/>
      <c r="K3582" s="4"/>
      <c r="L3582" s="19"/>
      <c r="M3582" s="20"/>
    </row>
    <row r="3583">
      <c r="A3583" s="6"/>
      <c r="B3583" s="6"/>
      <c r="C3583" s="4"/>
      <c r="D3583" s="4"/>
      <c r="E3583" s="4"/>
      <c r="F3583" s="4"/>
      <c r="G3583" s="4"/>
      <c r="H3583" s="4"/>
      <c r="I3583" s="4"/>
      <c r="J3583" s="18"/>
      <c r="K3583" s="4"/>
      <c r="L3583" s="19"/>
      <c r="M3583" s="20"/>
    </row>
    <row r="3584">
      <c r="A3584" s="6"/>
      <c r="B3584" s="6"/>
      <c r="C3584" s="4"/>
      <c r="D3584" s="4"/>
      <c r="E3584" s="4"/>
      <c r="F3584" s="4"/>
      <c r="G3584" s="4"/>
      <c r="H3584" s="4"/>
      <c r="I3584" s="4"/>
      <c r="J3584" s="18"/>
      <c r="K3584" s="4"/>
      <c r="L3584" s="19"/>
      <c r="M3584" s="20"/>
    </row>
    <row r="3585">
      <c r="A3585" s="6"/>
      <c r="B3585" s="6"/>
      <c r="C3585" s="4"/>
      <c r="D3585" s="4"/>
      <c r="E3585" s="4"/>
      <c r="F3585" s="4"/>
      <c r="G3585" s="4"/>
      <c r="H3585" s="4"/>
      <c r="I3585" s="4"/>
      <c r="J3585" s="18"/>
      <c r="K3585" s="4"/>
      <c r="L3585" s="19"/>
      <c r="M3585" s="20"/>
    </row>
    <row r="3586">
      <c r="A3586" s="6"/>
      <c r="B3586" s="6"/>
      <c r="C3586" s="4"/>
      <c r="D3586" s="4"/>
      <c r="E3586" s="4"/>
      <c r="F3586" s="4"/>
      <c r="G3586" s="4"/>
      <c r="H3586" s="4"/>
      <c r="I3586" s="4"/>
      <c r="J3586" s="18"/>
      <c r="K3586" s="4"/>
      <c r="L3586" s="19"/>
      <c r="M3586" s="20"/>
    </row>
    <row r="3587">
      <c r="A3587" s="6"/>
      <c r="B3587" s="6"/>
      <c r="C3587" s="4"/>
      <c r="D3587" s="4"/>
      <c r="E3587" s="4"/>
      <c r="F3587" s="4"/>
      <c r="G3587" s="4"/>
      <c r="H3587" s="4"/>
      <c r="I3587" s="4"/>
      <c r="J3587" s="18"/>
      <c r="K3587" s="4"/>
      <c r="L3587" s="19"/>
      <c r="M3587" s="20"/>
    </row>
    <row r="3588">
      <c r="A3588" s="6"/>
      <c r="B3588" s="6"/>
      <c r="C3588" s="4"/>
      <c r="D3588" s="4"/>
      <c r="E3588" s="4"/>
      <c r="F3588" s="4"/>
      <c r="G3588" s="4"/>
      <c r="H3588" s="4"/>
      <c r="I3588" s="4"/>
      <c r="J3588" s="18"/>
      <c r="K3588" s="4"/>
      <c r="L3588" s="19"/>
      <c r="M3588" s="20"/>
    </row>
    <row r="3589">
      <c r="A3589" s="6"/>
      <c r="B3589" s="6"/>
      <c r="C3589" s="4"/>
      <c r="D3589" s="4"/>
      <c r="E3589" s="4"/>
      <c r="F3589" s="4"/>
      <c r="G3589" s="4"/>
      <c r="H3589" s="4"/>
      <c r="I3589" s="4"/>
      <c r="J3589" s="18"/>
      <c r="K3589" s="4"/>
      <c r="L3589" s="19"/>
      <c r="M3589" s="20"/>
    </row>
    <row r="3590">
      <c r="A3590" s="6"/>
      <c r="B3590" s="6"/>
      <c r="C3590" s="4"/>
      <c r="D3590" s="4"/>
      <c r="E3590" s="4"/>
      <c r="F3590" s="4"/>
      <c r="G3590" s="4"/>
      <c r="H3590" s="4"/>
      <c r="I3590" s="4"/>
      <c r="J3590" s="18"/>
      <c r="K3590" s="4"/>
      <c r="L3590" s="19"/>
      <c r="M3590" s="20"/>
    </row>
    <row r="3591">
      <c r="A3591" s="6"/>
      <c r="B3591" s="6"/>
      <c r="C3591" s="4"/>
      <c r="D3591" s="4"/>
      <c r="E3591" s="4"/>
      <c r="F3591" s="4"/>
      <c r="G3591" s="4"/>
      <c r="H3591" s="4"/>
      <c r="I3591" s="4"/>
      <c r="J3591" s="18"/>
      <c r="K3591" s="4"/>
      <c r="L3591" s="19"/>
      <c r="M3591" s="20"/>
    </row>
    <row r="3592">
      <c r="A3592" s="6"/>
      <c r="B3592" s="6"/>
      <c r="C3592" s="4"/>
      <c r="D3592" s="4"/>
      <c r="E3592" s="4"/>
      <c r="F3592" s="4"/>
      <c r="G3592" s="4"/>
      <c r="H3592" s="4"/>
      <c r="I3592" s="4"/>
      <c r="J3592" s="18"/>
      <c r="K3592" s="4"/>
      <c r="L3592" s="19"/>
      <c r="M3592" s="20"/>
    </row>
    <row r="3593">
      <c r="A3593" s="6"/>
      <c r="B3593" s="6"/>
      <c r="C3593" s="4"/>
      <c r="D3593" s="4"/>
      <c r="E3593" s="4"/>
      <c r="F3593" s="4"/>
      <c r="G3593" s="4"/>
      <c r="H3593" s="4"/>
      <c r="I3593" s="4"/>
      <c r="J3593" s="18"/>
      <c r="K3593" s="4"/>
      <c r="L3593" s="19"/>
      <c r="M3593" s="20"/>
    </row>
    <row r="3594">
      <c r="A3594" s="6"/>
      <c r="B3594" s="6"/>
      <c r="C3594" s="4"/>
      <c r="D3594" s="4"/>
      <c r="E3594" s="4"/>
      <c r="F3594" s="4"/>
      <c r="G3594" s="4"/>
      <c r="H3594" s="4"/>
      <c r="I3594" s="4"/>
      <c r="J3594" s="18"/>
      <c r="K3594" s="4"/>
      <c r="L3594" s="19"/>
      <c r="M3594" s="20"/>
    </row>
    <row r="3595">
      <c r="A3595" s="6"/>
      <c r="B3595" s="6"/>
      <c r="C3595" s="4"/>
      <c r="D3595" s="4"/>
      <c r="E3595" s="4"/>
      <c r="F3595" s="4"/>
      <c r="G3595" s="4"/>
      <c r="H3595" s="4"/>
      <c r="I3595" s="4"/>
      <c r="J3595" s="18"/>
      <c r="K3595" s="4"/>
      <c r="L3595" s="19"/>
      <c r="M3595" s="20"/>
    </row>
    <row r="3596">
      <c r="A3596" s="6"/>
      <c r="B3596" s="6"/>
      <c r="C3596" s="4"/>
      <c r="D3596" s="4"/>
      <c r="E3596" s="4"/>
      <c r="F3596" s="4"/>
      <c r="G3596" s="4"/>
      <c r="H3596" s="4"/>
      <c r="I3596" s="4"/>
      <c r="J3596" s="18"/>
      <c r="K3596" s="4"/>
      <c r="L3596" s="19"/>
      <c r="M3596" s="20"/>
    </row>
    <row r="3597">
      <c r="A3597" s="6"/>
      <c r="B3597" s="6"/>
      <c r="C3597" s="4"/>
      <c r="D3597" s="4"/>
      <c r="E3597" s="4"/>
      <c r="F3597" s="4"/>
      <c r="G3597" s="4"/>
      <c r="H3597" s="4"/>
      <c r="I3597" s="4"/>
      <c r="J3597" s="18"/>
      <c r="K3597" s="4"/>
      <c r="L3597" s="19"/>
      <c r="M3597" s="20"/>
    </row>
    <row r="3598">
      <c r="A3598" s="6"/>
      <c r="B3598" s="6"/>
      <c r="C3598" s="4"/>
      <c r="D3598" s="4"/>
      <c r="E3598" s="4"/>
      <c r="F3598" s="4"/>
      <c r="G3598" s="4"/>
      <c r="H3598" s="4"/>
      <c r="I3598" s="4"/>
      <c r="J3598" s="18"/>
      <c r="K3598" s="4"/>
      <c r="L3598" s="19"/>
      <c r="M3598" s="20"/>
    </row>
    <row r="3599">
      <c r="A3599" s="6"/>
      <c r="B3599" s="6"/>
      <c r="C3599" s="4"/>
      <c r="D3599" s="4"/>
      <c r="E3599" s="4"/>
      <c r="F3599" s="4"/>
      <c r="G3599" s="4"/>
      <c r="H3599" s="4"/>
      <c r="I3599" s="4"/>
      <c r="J3599" s="18"/>
      <c r="K3599" s="4"/>
      <c r="L3599" s="19"/>
      <c r="M3599" s="20"/>
    </row>
    <row r="3600">
      <c r="A3600" s="6"/>
      <c r="B3600" s="6"/>
      <c r="C3600" s="4"/>
      <c r="D3600" s="4"/>
      <c r="E3600" s="4"/>
      <c r="F3600" s="4"/>
      <c r="G3600" s="4"/>
      <c r="H3600" s="4"/>
      <c r="I3600" s="4"/>
      <c r="J3600" s="18"/>
      <c r="K3600" s="4"/>
      <c r="L3600" s="19"/>
      <c r="M3600" s="20"/>
    </row>
    <row r="3601">
      <c r="A3601" s="6"/>
      <c r="B3601" s="6"/>
      <c r="C3601" s="4"/>
      <c r="D3601" s="4"/>
      <c r="E3601" s="4"/>
      <c r="F3601" s="4"/>
      <c r="G3601" s="4"/>
      <c r="H3601" s="4"/>
      <c r="I3601" s="4"/>
      <c r="J3601" s="18"/>
      <c r="K3601" s="4"/>
      <c r="L3601" s="19"/>
      <c r="M3601" s="20"/>
    </row>
    <row r="3602">
      <c r="A3602" s="6"/>
      <c r="B3602" s="6"/>
      <c r="C3602" s="4"/>
      <c r="D3602" s="4"/>
      <c r="E3602" s="4"/>
      <c r="F3602" s="4"/>
      <c r="G3602" s="4"/>
      <c r="H3602" s="4"/>
      <c r="I3602" s="4"/>
      <c r="J3602" s="18"/>
      <c r="K3602" s="4"/>
      <c r="L3602" s="19"/>
      <c r="M3602" s="20"/>
    </row>
    <row r="3603">
      <c r="A3603" s="6"/>
      <c r="B3603" s="6"/>
      <c r="C3603" s="4"/>
      <c r="D3603" s="4"/>
      <c r="E3603" s="4"/>
      <c r="F3603" s="4"/>
      <c r="G3603" s="4"/>
      <c r="H3603" s="4"/>
      <c r="I3603" s="4"/>
      <c r="J3603" s="18"/>
      <c r="K3603" s="4"/>
      <c r="L3603" s="19"/>
      <c r="M3603" s="20"/>
    </row>
    <row r="3604">
      <c r="A3604" s="6"/>
      <c r="B3604" s="6"/>
      <c r="C3604" s="4"/>
      <c r="D3604" s="4"/>
      <c r="E3604" s="4"/>
      <c r="F3604" s="4"/>
      <c r="G3604" s="4"/>
      <c r="H3604" s="4"/>
      <c r="I3604" s="4"/>
      <c r="J3604" s="18"/>
      <c r="K3604" s="4"/>
      <c r="L3604" s="19"/>
      <c r="M3604" s="20"/>
    </row>
    <row r="3605">
      <c r="A3605" s="6"/>
      <c r="B3605" s="6"/>
      <c r="C3605" s="4"/>
      <c r="D3605" s="4"/>
      <c r="E3605" s="4"/>
      <c r="F3605" s="4"/>
      <c r="G3605" s="4"/>
      <c r="H3605" s="4"/>
      <c r="I3605" s="4"/>
      <c r="J3605" s="18"/>
      <c r="K3605" s="4"/>
      <c r="L3605" s="19"/>
      <c r="M3605" s="20"/>
    </row>
    <row r="3606">
      <c r="A3606" s="6"/>
      <c r="B3606" s="6"/>
      <c r="C3606" s="4"/>
      <c r="D3606" s="4"/>
      <c r="E3606" s="4"/>
      <c r="F3606" s="4"/>
      <c r="G3606" s="4"/>
      <c r="H3606" s="4"/>
      <c r="I3606" s="4"/>
      <c r="J3606" s="18"/>
      <c r="K3606" s="4"/>
      <c r="L3606" s="19"/>
      <c r="M3606" s="20"/>
    </row>
    <row r="3607">
      <c r="A3607" s="6"/>
      <c r="B3607" s="6"/>
      <c r="C3607" s="4"/>
      <c r="D3607" s="4"/>
      <c r="E3607" s="4"/>
      <c r="F3607" s="4"/>
      <c r="G3607" s="4"/>
      <c r="H3607" s="4"/>
      <c r="I3607" s="4"/>
      <c r="J3607" s="18"/>
      <c r="K3607" s="4"/>
      <c r="L3607" s="19"/>
      <c r="M3607" s="20"/>
    </row>
    <row r="3608">
      <c r="A3608" s="6"/>
      <c r="B3608" s="6"/>
      <c r="C3608" s="4"/>
      <c r="D3608" s="4"/>
      <c r="E3608" s="4"/>
      <c r="F3608" s="4"/>
      <c r="G3608" s="4"/>
      <c r="H3608" s="4"/>
      <c r="I3608" s="4"/>
      <c r="J3608" s="18"/>
      <c r="K3608" s="4"/>
      <c r="L3608" s="19"/>
      <c r="M3608" s="20"/>
    </row>
    <row r="3609">
      <c r="A3609" s="6"/>
      <c r="B3609" s="6"/>
      <c r="C3609" s="4"/>
      <c r="D3609" s="4"/>
      <c r="E3609" s="4"/>
      <c r="F3609" s="4"/>
      <c r="G3609" s="4"/>
      <c r="H3609" s="4"/>
      <c r="I3609" s="4"/>
      <c r="J3609" s="18"/>
      <c r="K3609" s="4"/>
      <c r="L3609" s="19"/>
      <c r="M3609" s="20"/>
    </row>
    <row r="3610">
      <c r="A3610" s="6"/>
      <c r="B3610" s="6"/>
      <c r="C3610" s="4"/>
      <c r="D3610" s="4"/>
      <c r="E3610" s="4"/>
      <c r="F3610" s="4"/>
      <c r="G3610" s="4"/>
      <c r="H3610" s="4"/>
      <c r="I3610" s="4"/>
      <c r="J3610" s="18"/>
      <c r="K3610" s="4"/>
      <c r="L3610" s="19"/>
      <c r="M3610" s="20"/>
    </row>
    <row r="3611">
      <c r="A3611" s="6"/>
      <c r="B3611" s="6"/>
      <c r="C3611" s="4"/>
      <c r="D3611" s="4"/>
      <c r="E3611" s="4"/>
      <c r="F3611" s="4"/>
      <c r="G3611" s="4"/>
      <c r="H3611" s="4"/>
      <c r="I3611" s="4"/>
      <c r="J3611" s="18"/>
      <c r="K3611" s="4"/>
      <c r="L3611" s="19"/>
      <c r="M3611" s="20"/>
    </row>
    <row r="3612">
      <c r="A3612" s="6"/>
      <c r="B3612" s="6"/>
      <c r="C3612" s="4"/>
      <c r="D3612" s="4"/>
      <c r="E3612" s="4"/>
      <c r="F3612" s="4"/>
      <c r="G3612" s="4"/>
      <c r="H3612" s="4"/>
      <c r="I3612" s="4"/>
      <c r="J3612" s="18"/>
      <c r="K3612" s="4"/>
      <c r="L3612" s="19"/>
      <c r="M3612" s="20"/>
    </row>
    <row r="3613">
      <c r="A3613" s="6"/>
      <c r="B3613" s="6"/>
      <c r="C3613" s="4"/>
      <c r="D3613" s="4"/>
      <c r="E3613" s="4"/>
      <c r="F3613" s="4"/>
      <c r="G3613" s="4"/>
      <c r="H3613" s="4"/>
      <c r="I3613" s="4"/>
      <c r="J3613" s="18"/>
      <c r="K3613" s="4"/>
      <c r="L3613" s="19"/>
      <c r="M3613" s="20"/>
    </row>
    <row r="3614">
      <c r="A3614" s="6"/>
      <c r="B3614" s="6"/>
      <c r="C3614" s="4"/>
      <c r="D3614" s="4"/>
      <c r="E3614" s="4"/>
      <c r="F3614" s="4"/>
      <c r="G3614" s="4"/>
      <c r="H3614" s="4"/>
      <c r="I3614" s="4"/>
      <c r="J3614" s="18"/>
      <c r="K3614" s="4"/>
      <c r="L3614" s="19"/>
      <c r="M3614" s="20"/>
    </row>
    <row r="3615">
      <c r="A3615" s="6"/>
      <c r="B3615" s="6"/>
      <c r="C3615" s="4"/>
      <c r="D3615" s="4"/>
      <c r="E3615" s="4"/>
      <c r="F3615" s="4"/>
      <c r="G3615" s="4"/>
      <c r="H3615" s="4"/>
      <c r="I3615" s="4"/>
      <c r="J3615" s="18"/>
      <c r="K3615" s="4"/>
      <c r="L3615" s="19"/>
      <c r="M3615" s="20"/>
    </row>
    <row r="3616">
      <c r="A3616" s="6"/>
      <c r="B3616" s="6"/>
      <c r="C3616" s="4"/>
      <c r="D3616" s="4"/>
      <c r="E3616" s="4"/>
      <c r="F3616" s="4"/>
      <c r="G3616" s="4"/>
      <c r="H3616" s="4"/>
      <c r="I3616" s="4"/>
      <c r="J3616" s="18"/>
      <c r="K3616" s="4"/>
      <c r="L3616" s="19"/>
      <c r="M3616" s="20"/>
    </row>
    <row r="3617">
      <c r="A3617" s="6"/>
      <c r="B3617" s="6"/>
      <c r="C3617" s="4"/>
      <c r="D3617" s="4"/>
      <c r="E3617" s="4"/>
      <c r="F3617" s="4"/>
      <c r="G3617" s="4"/>
      <c r="H3617" s="4"/>
      <c r="I3617" s="4"/>
      <c r="J3617" s="18"/>
      <c r="K3617" s="4"/>
      <c r="L3617" s="19"/>
      <c r="M3617" s="20"/>
    </row>
    <row r="3618">
      <c r="A3618" s="6"/>
      <c r="B3618" s="6"/>
      <c r="C3618" s="4"/>
      <c r="D3618" s="4"/>
      <c r="E3618" s="4"/>
      <c r="F3618" s="4"/>
      <c r="G3618" s="4"/>
      <c r="H3618" s="4"/>
      <c r="I3618" s="4"/>
      <c r="J3618" s="18"/>
      <c r="K3618" s="4"/>
      <c r="L3618" s="19"/>
      <c r="M3618" s="20"/>
    </row>
    <row r="3619">
      <c r="A3619" s="6"/>
      <c r="B3619" s="6"/>
      <c r="C3619" s="4"/>
      <c r="D3619" s="4"/>
      <c r="E3619" s="4"/>
      <c r="F3619" s="4"/>
      <c r="G3619" s="4"/>
      <c r="H3619" s="4"/>
      <c r="I3619" s="4"/>
      <c r="J3619" s="18"/>
      <c r="K3619" s="4"/>
      <c r="L3619" s="19"/>
      <c r="M3619" s="20"/>
    </row>
    <row r="3620">
      <c r="A3620" s="6"/>
      <c r="B3620" s="6"/>
      <c r="C3620" s="4"/>
      <c r="D3620" s="4"/>
      <c r="E3620" s="4"/>
      <c r="F3620" s="4"/>
      <c r="G3620" s="4"/>
      <c r="H3620" s="4"/>
      <c r="I3620" s="4"/>
      <c r="J3620" s="18"/>
      <c r="K3620" s="4"/>
      <c r="L3620" s="19"/>
      <c r="M3620" s="20"/>
    </row>
    <row r="3621">
      <c r="A3621" s="6"/>
      <c r="B3621" s="6"/>
      <c r="C3621" s="4"/>
      <c r="D3621" s="4"/>
      <c r="E3621" s="4"/>
      <c r="F3621" s="4"/>
      <c r="G3621" s="4"/>
      <c r="H3621" s="4"/>
      <c r="I3621" s="4"/>
      <c r="J3621" s="18"/>
      <c r="K3621" s="4"/>
      <c r="L3621" s="19"/>
      <c r="M3621" s="20"/>
    </row>
    <row r="3622">
      <c r="A3622" s="6"/>
      <c r="B3622" s="6"/>
      <c r="C3622" s="4"/>
      <c r="D3622" s="4"/>
      <c r="E3622" s="4"/>
      <c r="F3622" s="4"/>
      <c r="G3622" s="4"/>
      <c r="H3622" s="4"/>
      <c r="I3622" s="4"/>
      <c r="J3622" s="18"/>
      <c r="K3622" s="4"/>
      <c r="L3622" s="19"/>
      <c r="M3622" s="20"/>
    </row>
    <row r="3623">
      <c r="A3623" s="6"/>
      <c r="B3623" s="6"/>
      <c r="C3623" s="4"/>
      <c r="D3623" s="4"/>
      <c r="E3623" s="4"/>
      <c r="F3623" s="4"/>
      <c r="G3623" s="4"/>
      <c r="H3623" s="4"/>
      <c r="I3623" s="4"/>
      <c r="J3623" s="18"/>
      <c r="K3623" s="4"/>
      <c r="L3623" s="19"/>
      <c r="M3623" s="20"/>
    </row>
    <row r="3624">
      <c r="A3624" s="6"/>
      <c r="B3624" s="6"/>
      <c r="C3624" s="4"/>
      <c r="D3624" s="4"/>
      <c r="E3624" s="4"/>
      <c r="F3624" s="4"/>
      <c r="G3624" s="4"/>
      <c r="H3624" s="4"/>
      <c r="I3624" s="4"/>
      <c r="J3624" s="18"/>
      <c r="K3624" s="4"/>
      <c r="L3624" s="19"/>
      <c r="M3624" s="20"/>
    </row>
    <row r="3625">
      <c r="A3625" s="6"/>
      <c r="B3625" s="6"/>
      <c r="C3625" s="4"/>
      <c r="D3625" s="4"/>
      <c r="E3625" s="4"/>
      <c r="F3625" s="4"/>
      <c r="G3625" s="4"/>
      <c r="H3625" s="4"/>
      <c r="I3625" s="4"/>
      <c r="J3625" s="18"/>
      <c r="K3625" s="4"/>
      <c r="L3625" s="19"/>
      <c r="M3625" s="20"/>
    </row>
    <row r="3626">
      <c r="A3626" s="6"/>
      <c r="B3626" s="6"/>
      <c r="C3626" s="4"/>
      <c r="D3626" s="4"/>
      <c r="E3626" s="4"/>
      <c r="F3626" s="4"/>
      <c r="G3626" s="4"/>
      <c r="H3626" s="4"/>
      <c r="I3626" s="4"/>
      <c r="J3626" s="18"/>
      <c r="K3626" s="4"/>
      <c r="L3626" s="19"/>
      <c r="M3626" s="20"/>
    </row>
    <row r="3627">
      <c r="A3627" s="6"/>
      <c r="B3627" s="6"/>
      <c r="C3627" s="4"/>
      <c r="D3627" s="4"/>
      <c r="E3627" s="4"/>
      <c r="F3627" s="4"/>
      <c r="G3627" s="4"/>
      <c r="H3627" s="4"/>
      <c r="I3627" s="4"/>
      <c r="J3627" s="18"/>
      <c r="K3627" s="4"/>
      <c r="L3627" s="19"/>
      <c r="M3627" s="20"/>
    </row>
    <row r="3628">
      <c r="A3628" s="6"/>
      <c r="B3628" s="6"/>
      <c r="C3628" s="4"/>
      <c r="D3628" s="4"/>
      <c r="E3628" s="4"/>
      <c r="F3628" s="4"/>
      <c r="G3628" s="4"/>
      <c r="H3628" s="4"/>
      <c r="I3628" s="4"/>
      <c r="J3628" s="18"/>
      <c r="K3628" s="4"/>
      <c r="L3628" s="19"/>
      <c r="M3628" s="20"/>
    </row>
    <row r="3629">
      <c r="A3629" s="6"/>
      <c r="B3629" s="6"/>
      <c r="C3629" s="4"/>
      <c r="D3629" s="4"/>
      <c r="E3629" s="4"/>
      <c r="F3629" s="4"/>
      <c r="G3629" s="4"/>
      <c r="H3629" s="4"/>
      <c r="I3629" s="4"/>
      <c r="J3629" s="18"/>
      <c r="K3629" s="4"/>
      <c r="L3629" s="19"/>
      <c r="M3629" s="20"/>
    </row>
    <row r="3630">
      <c r="A3630" s="6"/>
      <c r="B3630" s="6"/>
      <c r="C3630" s="4"/>
      <c r="D3630" s="4"/>
      <c r="E3630" s="4"/>
      <c r="F3630" s="4"/>
      <c r="G3630" s="4"/>
      <c r="H3630" s="4"/>
      <c r="I3630" s="4"/>
      <c r="J3630" s="18"/>
      <c r="K3630" s="4"/>
      <c r="L3630" s="19"/>
      <c r="M3630" s="20"/>
    </row>
    <row r="3631">
      <c r="A3631" s="6"/>
      <c r="B3631" s="6"/>
      <c r="C3631" s="4"/>
      <c r="D3631" s="4"/>
      <c r="E3631" s="4"/>
      <c r="F3631" s="4"/>
      <c r="G3631" s="4"/>
      <c r="H3631" s="4"/>
      <c r="I3631" s="4"/>
      <c r="J3631" s="18"/>
      <c r="K3631" s="4"/>
      <c r="L3631" s="19"/>
      <c r="M3631" s="20"/>
    </row>
    <row r="3632">
      <c r="A3632" s="6"/>
      <c r="B3632" s="6"/>
      <c r="C3632" s="4"/>
      <c r="D3632" s="4"/>
      <c r="E3632" s="4"/>
      <c r="F3632" s="4"/>
      <c r="G3632" s="4"/>
      <c r="H3632" s="4"/>
      <c r="I3632" s="4"/>
      <c r="J3632" s="18"/>
      <c r="K3632" s="4"/>
      <c r="L3632" s="19"/>
      <c r="M3632" s="20"/>
    </row>
    <row r="3633">
      <c r="A3633" s="6"/>
      <c r="B3633" s="6"/>
      <c r="C3633" s="4"/>
      <c r="D3633" s="4"/>
      <c r="E3633" s="4"/>
      <c r="F3633" s="4"/>
      <c r="G3633" s="4"/>
      <c r="H3633" s="4"/>
      <c r="I3633" s="4"/>
      <c r="J3633" s="18"/>
      <c r="K3633" s="4"/>
      <c r="L3633" s="19"/>
      <c r="M3633" s="20"/>
    </row>
    <row r="3634">
      <c r="A3634" s="6"/>
      <c r="B3634" s="6"/>
      <c r="C3634" s="4"/>
      <c r="D3634" s="4"/>
      <c r="E3634" s="4"/>
      <c r="F3634" s="4"/>
      <c r="G3634" s="4"/>
      <c r="H3634" s="4"/>
      <c r="I3634" s="4"/>
      <c r="J3634" s="18"/>
      <c r="K3634" s="4"/>
      <c r="L3634" s="19"/>
      <c r="M3634" s="20"/>
    </row>
    <row r="3635">
      <c r="A3635" s="6"/>
      <c r="B3635" s="6"/>
      <c r="C3635" s="4"/>
      <c r="D3635" s="4"/>
      <c r="E3635" s="4"/>
      <c r="F3635" s="4"/>
      <c r="G3635" s="4"/>
      <c r="H3635" s="4"/>
      <c r="I3635" s="4"/>
      <c r="J3635" s="18"/>
      <c r="K3635" s="4"/>
      <c r="L3635" s="19"/>
      <c r="M3635" s="20"/>
    </row>
    <row r="3636">
      <c r="A3636" s="6"/>
      <c r="B3636" s="6"/>
      <c r="C3636" s="4"/>
      <c r="D3636" s="4"/>
      <c r="E3636" s="4"/>
      <c r="F3636" s="4"/>
      <c r="G3636" s="4"/>
      <c r="H3636" s="4"/>
      <c r="I3636" s="4"/>
      <c r="J3636" s="18"/>
      <c r="K3636" s="4"/>
      <c r="L3636" s="19"/>
      <c r="M3636" s="20"/>
    </row>
    <row r="3637">
      <c r="A3637" s="6"/>
      <c r="B3637" s="6"/>
      <c r="C3637" s="4"/>
      <c r="D3637" s="4"/>
      <c r="E3637" s="4"/>
      <c r="F3637" s="4"/>
      <c r="G3637" s="4"/>
      <c r="H3637" s="4"/>
      <c r="I3637" s="4"/>
      <c r="J3637" s="18"/>
      <c r="K3637" s="4"/>
      <c r="L3637" s="19"/>
      <c r="M3637" s="20"/>
    </row>
    <row r="3638">
      <c r="A3638" s="6"/>
      <c r="B3638" s="6"/>
      <c r="C3638" s="4"/>
      <c r="D3638" s="4"/>
      <c r="E3638" s="4"/>
      <c r="F3638" s="4"/>
      <c r="G3638" s="4"/>
      <c r="H3638" s="4"/>
      <c r="I3638" s="4"/>
      <c r="J3638" s="18"/>
      <c r="K3638" s="4"/>
      <c r="L3638" s="19"/>
      <c r="M3638" s="20"/>
    </row>
    <row r="3639">
      <c r="A3639" s="6"/>
      <c r="B3639" s="6"/>
      <c r="C3639" s="4"/>
      <c r="D3639" s="4"/>
      <c r="E3639" s="4"/>
      <c r="F3639" s="4"/>
      <c r="G3639" s="4"/>
      <c r="H3639" s="4"/>
      <c r="I3639" s="4"/>
      <c r="J3639" s="18"/>
      <c r="K3639" s="4"/>
      <c r="L3639" s="19"/>
      <c r="M3639" s="20"/>
    </row>
    <row r="3640">
      <c r="A3640" s="6"/>
      <c r="B3640" s="6"/>
      <c r="C3640" s="4"/>
      <c r="D3640" s="4"/>
      <c r="E3640" s="4"/>
      <c r="F3640" s="4"/>
      <c r="G3640" s="4"/>
      <c r="H3640" s="4"/>
      <c r="I3640" s="4"/>
      <c r="J3640" s="18"/>
      <c r="K3640" s="4"/>
      <c r="L3640" s="19"/>
      <c r="M3640" s="20"/>
    </row>
    <row r="3641">
      <c r="A3641" s="6"/>
      <c r="B3641" s="6"/>
      <c r="C3641" s="4"/>
      <c r="D3641" s="4"/>
      <c r="E3641" s="4"/>
      <c r="F3641" s="4"/>
      <c r="G3641" s="4"/>
      <c r="H3641" s="4"/>
      <c r="I3641" s="4"/>
      <c r="J3641" s="18"/>
      <c r="K3641" s="4"/>
      <c r="L3641" s="19"/>
      <c r="M3641" s="20"/>
    </row>
    <row r="3642">
      <c r="A3642" s="6"/>
      <c r="B3642" s="6"/>
      <c r="C3642" s="4"/>
      <c r="D3642" s="4"/>
      <c r="E3642" s="4"/>
      <c r="F3642" s="4"/>
      <c r="G3642" s="4"/>
      <c r="H3642" s="4"/>
      <c r="I3642" s="4"/>
      <c r="J3642" s="18"/>
      <c r="K3642" s="4"/>
      <c r="L3642" s="19"/>
      <c r="M3642" s="20"/>
    </row>
    <row r="3643">
      <c r="A3643" s="6"/>
      <c r="B3643" s="6"/>
      <c r="C3643" s="4"/>
      <c r="D3643" s="4"/>
      <c r="E3643" s="4"/>
      <c r="F3643" s="4"/>
      <c r="G3643" s="4"/>
      <c r="H3643" s="4"/>
      <c r="I3643" s="4"/>
      <c r="J3643" s="18"/>
      <c r="K3643" s="4"/>
      <c r="L3643" s="19"/>
      <c r="M3643" s="20"/>
    </row>
    <row r="3644">
      <c r="A3644" s="6"/>
      <c r="B3644" s="6"/>
      <c r="C3644" s="4"/>
      <c r="D3644" s="4"/>
      <c r="E3644" s="4"/>
      <c r="F3644" s="4"/>
      <c r="G3644" s="4"/>
      <c r="H3644" s="4"/>
      <c r="I3644" s="4"/>
      <c r="J3644" s="18"/>
      <c r="K3644" s="4"/>
      <c r="L3644" s="19"/>
      <c r="M3644" s="20"/>
    </row>
    <row r="3645">
      <c r="A3645" s="6"/>
      <c r="B3645" s="6"/>
      <c r="C3645" s="4"/>
      <c r="D3645" s="4"/>
      <c r="E3645" s="4"/>
      <c r="F3645" s="4"/>
      <c r="G3645" s="4"/>
      <c r="H3645" s="4"/>
      <c r="I3645" s="4"/>
      <c r="J3645" s="18"/>
      <c r="K3645" s="4"/>
      <c r="L3645" s="19"/>
      <c r="M3645" s="20"/>
    </row>
    <row r="3646">
      <c r="A3646" s="6"/>
      <c r="B3646" s="6"/>
      <c r="C3646" s="4"/>
      <c r="D3646" s="4"/>
      <c r="E3646" s="4"/>
      <c r="F3646" s="4"/>
      <c r="G3646" s="4"/>
      <c r="H3646" s="4"/>
      <c r="I3646" s="4"/>
      <c r="J3646" s="18"/>
      <c r="K3646" s="4"/>
      <c r="L3646" s="19"/>
      <c r="M3646" s="20"/>
    </row>
    <row r="3647">
      <c r="A3647" s="6"/>
      <c r="B3647" s="6"/>
      <c r="C3647" s="4"/>
      <c r="D3647" s="4"/>
      <c r="E3647" s="4"/>
      <c r="F3647" s="4"/>
      <c r="G3647" s="4"/>
      <c r="H3647" s="4"/>
      <c r="I3647" s="4"/>
      <c r="J3647" s="18"/>
      <c r="K3647" s="4"/>
      <c r="L3647" s="19"/>
      <c r="M3647" s="20"/>
    </row>
    <row r="3648">
      <c r="A3648" s="6"/>
      <c r="B3648" s="6"/>
      <c r="C3648" s="4"/>
      <c r="D3648" s="4"/>
      <c r="E3648" s="4"/>
      <c r="F3648" s="4"/>
      <c r="G3648" s="4"/>
      <c r="H3648" s="4"/>
      <c r="I3648" s="4"/>
      <c r="J3648" s="18"/>
      <c r="K3648" s="4"/>
      <c r="L3648" s="19"/>
      <c r="M3648" s="20"/>
    </row>
    <row r="3649">
      <c r="A3649" s="6"/>
      <c r="B3649" s="6"/>
      <c r="C3649" s="4"/>
      <c r="D3649" s="4"/>
      <c r="E3649" s="4"/>
      <c r="F3649" s="4"/>
      <c r="G3649" s="4"/>
      <c r="H3649" s="4"/>
      <c r="I3649" s="4"/>
      <c r="J3649" s="18"/>
      <c r="K3649" s="4"/>
      <c r="L3649" s="19"/>
      <c r="M3649" s="20"/>
    </row>
    <row r="3650">
      <c r="A3650" s="6"/>
      <c r="B3650" s="6"/>
      <c r="C3650" s="4"/>
      <c r="D3650" s="4"/>
      <c r="E3650" s="4"/>
      <c r="F3650" s="4"/>
      <c r="G3650" s="4"/>
      <c r="H3650" s="4"/>
      <c r="I3650" s="4"/>
      <c r="J3650" s="18"/>
      <c r="K3650" s="4"/>
      <c r="L3650" s="19"/>
      <c r="M3650" s="20"/>
    </row>
    <row r="3651">
      <c r="A3651" s="6"/>
      <c r="B3651" s="6"/>
      <c r="C3651" s="4"/>
      <c r="D3651" s="4"/>
      <c r="E3651" s="4"/>
      <c r="F3651" s="4"/>
      <c r="G3651" s="4"/>
      <c r="H3651" s="4"/>
      <c r="I3651" s="4"/>
      <c r="J3651" s="18"/>
      <c r="K3651" s="4"/>
      <c r="L3651" s="19"/>
      <c r="M3651" s="20"/>
    </row>
    <row r="3652">
      <c r="A3652" s="6"/>
      <c r="B3652" s="6"/>
      <c r="C3652" s="4"/>
      <c r="D3652" s="4"/>
      <c r="E3652" s="4"/>
      <c r="F3652" s="4"/>
      <c r="G3652" s="4"/>
      <c r="H3652" s="4"/>
      <c r="I3652" s="4"/>
      <c r="J3652" s="18"/>
      <c r="K3652" s="4"/>
      <c r="L3652" s="19"/>
      <c r="M3652" s="20"/>
    </row>
    <row r="3653">
      <c r="A3653" s="6"/>
      <c r="B3653" s="6"/>
      <c r="C3653" s="4"/>
      <c r="D3653" s="4"/>
      <c r="E3653" s="4"/>
      <c r="F3653" s="4"/>
      <c r="G3653" s="4"/>
      <c r="H3653" s="4"/>
      <c r="I3653" s="4"/>
      <c r="J3653" s="18"/>
      <c r="K3653" s="4"/>
      <c r="L3653" s="19"/>
      <c r="M3653" s="20"/>
    </row>
    <row r="3654">
      <c r="A3654" s="6"/>
      <c r="B3654" s="6"/>
      <c r="C3654" s="4"/>
      <c r="D3654" s="4"/>
      <c r="E3654" s="4"/>
      <c r="F3654" s="4"/>
      <c r="G3654" s="4"/>
      <c r="H3654" s="4"/>
      <c r="I3654" s="4"/>
      <c r="J3654" s="18"/>
      <c r="K3654" s="4"/>
      <c r="L3654" s="19"/>
      <c r="M3654" s="20"/>
    </row>
    <row r="3655">
      <c r="A3655" s="6"/>
      <c r="B3655" s="6"/>
      <c r="C3655" s="4"/>
      <c r="D3655" s="4"/>
      <c r="E3655" s="4"/>
      <c r="F3655" s="4"/>
      <c r="G3655" s="4"/>
      <c r="H3655" s="4"/>
      <c r="I3655" s="4"/>
      <c r="J3655" s="18"/>
      <c r="K3655" s="4"/>
      <c r="L3655" s="19"/>
      <c r="M3655" s="20"/>
    </row>
    <row r="3656">
      <c r="A3656" s="6"/>
      <c r="B3656" s="6"/>
      <c r="C3656" s="4"/>
      <c r="D3656" s="4"/>
      <c r="E3656" s="4"/>
      <c r="F3656" s="4"/>
      <c r="G3656" s="4"/>
      <c r="H3656" s="4"/>
      <c r="I3656" s="4"/>
      <c r="J3656" s="18"/>
      <c r="K3656" s="4"/>
      <c r="L3656" s="19"/>
      <c r="M3656" s="20"/>
    </row>
    <row r="3657">
      <c r="A3657" s="6"/>
      <c r="B3657" s="6"/>
      <c r="C3657" s="4"/>
      <c r="D3657" s="4"/>
      <c r="E3657" s="4"/>
      <c r="F3657" s="4"/>
      <c r="G3657" s="4"/>
      <c r="H3657" s="4"/>
      <c r="I3657" s="4"/>
      <c r="J3657" s="18"/>
      <c r="K3657" s="4"/>
      <c r="L3657" s="19"/>
      <c r="M3657" s="20"/>
    </row>
    <row r="3658">
      <c r="A3658" s="6"/>
      <c r="B3658" s="6"/>
      <c r="C3658" s="4"/>
      <c r="D3658" s="4"/>
      <c r="E3658" s="4"/>
      <c r="F3658" s="4"/>
      <c r="G3658" s="4"/>
      <c r="H3658" s="4"/>
      <c r="I3658" s="4"/>
      <c r="J3658" s="18"/>
      <c r="K3658" s="4"/>
      <c r="L3658" s="19"/>
      <c r="M3658" s="20"/>
    </row>
    <row r="3659">
      <c r="A3659" s="6"/>
      <c r="B3659" s="6"/>
      <c r="C3659" s="4"/>
      <c r="D3659" s="4"/>
      <c r="E3659" s="4"/>
      <c r="F3659" s="4"/>
      <c r="G3659" s="4"/>
      <c r="H3659" s="4"/>
      <c r="I3659" s="4"/>
      <c r="J3659" s="18"/>
      <c r="K3659" s="4"/>
      <c r="L3659" s="19"/>
      <c r="M3659" s="20"/>
    </row>
    <row r="3660">
      <c r="A3660" s="6"/>
      <c r="B3660" s="6"/>
      <c r="C3660" s="4"/>
      <c r="D3660" s="4"/>
      <c r="E3660" s="4"/>
      <c r="F3660" s="4"/>
      <c r="G3660" s="4"/>
      <c r="H3660" s="4"/>
      <c r="I3660" s="4"/>
      <c r="J3660" s="18"/>
      <c r="K3660" s="4"/>
      <c r="L3660" s="19"/>
      <c r="M3660" s="20"/>
    </row>
    <row r="3661">
      <c r="A3661" s="6"/>
      <c r="B3661" s="6"/>
      <c r="C3661" s="4"/>
      <c r="D3661" s="4"/>
      <c r="E3661" s="4"/>
      <c r="F3661" s="4"/>
      <c r="G3661" s="4"/>
      <c r="H3661" s="4"/>
      <c r="I3661" s="4"/>
      <c r="J3661" s="18"/>
      <c r="K3661" s="4"/>
      <c r="L3661" s="19"/>
      <c r="M3661" s="20"/>
    </row>
    <row r="3662">
      <c r="A3662" s="6"/>
      <c r="B3662" s="6"/>
      <c r="C3662" s="4"/>
      <c r="D3662" s="4"/>
      <c r="E3662" s="4"/>
      <c r="F3662" s="4"/>
      <c r="G3662" s="4"/>
      <c r="H3662" s="4"/>
      <c r="I3662" s="4"/>
      <c r="J3662" s="18"/>
      <c r="K3662" s="4"/>
      <c r="L3662" s="19"/>
      <c r="M3662" s="20"/>
    </row>
    <row r="3663">
      <c r="A3663" s="6"/>
      <c r="B3663" s="6"/>
      <c r="C3663" s="4"/>
      <c r="D3663" s="4"/>
      <c r="E3663" s="4"/>
      <c r="F3663" s="4"/>
      <c r="G3663" s="4"/>
      <c r="H3663" s="4"/>
      <c r="I3663" s="4"/>
      <c r="J3663" s="18"/>
      <c r="K3663" s="4"/>
      <c r="L3663" s="19"/>
      <c r="M3663" s="20"/>
    </row>
    <row r="3664">
      <c r="A3664" s="6"/>
      <c r="B3664" s="6"/>
      <c r="C3664" s="4"/>
      <c r="D3664" s="4"/>
      <c r="E3664" s="4"/>
      <c r="F3664" s="4"/>
      <c r="G3664" s="4"/>
      <c r="H3664" s="4"/>
      <c r="I3664" s="4"/>
      <c r="J3664" s="18"/>
      <c r="K3664" s="4"/>
      <c r="L3664" s="19"/>
      <c r="M3664" s="20"/>
    </row>
    <row r="3665">
      <c r="A3665" s="6"/>
      <c r="B3665" s="6"/>
      <c r="C3665" s="4"/>
      <c r="D3665" s="4"/>
      <c r="E3665" s="4"/>
      <c r="F3665" s="4"/>
      <c r="G3665" s="4"/>
      <c r="H3665" s="4"/>
      <c r="I3665" s="4"/>
      <c r="J3665" s="18"/>
      <c r="K3665" s="4"/>
      <c r="L3665" s="19"/>
      <c r="M3665" s="20"/>
    </row>
    <row r="3666">
      <c r="A3666" s="6"/>
      <c r="B3666" s="6"/>
      <c r="C3666" s="4"/>
      <c r="D3666" s="4"/>
      <c r="E3666" s="4"/>
      <c r="F3666" s="4"/>
      <c r="G3666" s="4"/>
      <c r="H3666" s="4"/>
      <c r="I3666" s="4"/>
      <c r="J3666" s="18"/>
      <c r="K3666" s="4"/>
      <c r="L3666" s="19"/>
      <c r="M3666" s="20"/>
    </row>
    <row r="3667">
      <c r="A3667" s="6"/>
      <c r="B3667" s="6"/>
      <c r="C3667" s="4"/>
      <c r="D3667" s="4"/>
      <c r="E3667" s="4"/>
      <c r="F3667" s="4"/>
      <c r="G3667" s="4"/>
      <c r="H3667" s="4"/>
      <c r="I3667" s="4"/>
      <c r="J3667" s="18"/>
      <c r="K3667" s="4"/>
      <c r="L3667" s="19"/>
      <c r="M3667" s="20"/>
    </row>
    <row r="3668">
      <c r="A3668" s="6"/>
      <c r="B3668" s="6"/>
      <c r="C3668" s="4"/>
      <c r="D3668" s="4"/>
      <c r="E3668" s="4"/>
      <c r="F3668" s="4"/>
      <c r="G3668" s="4"/>
      <c r="H3668" s="4"/>
      <c r="I3668" s="4"/>
      <c r="J3668" s="18"/>
      <c r="K3668" s="4"/>
      <c r="L3668" s="19"/>
      <c r="M3668" s="20"/>
    </row>
    <row r="3669">
      <c r="A3669" s="6"/>
      <c r="B3669" s="6"/>
      <c r="C3669" s="4"/>
      <c r="D3669" s="4"/>
      <c r="E3669" s="4"/>
      <c r="F3669" s="4"/>
      <c r="G3669" s="4"/>
      <c r="H3669" s="4"/>
      <c r="I3669" s="4"/>
      <c r="J3669" s="18"/>
      <c r="K3669" s="4"/>
      <c r="L3669" s="19"/>
      <c r="M3669" s="20"/>
    </row>
    <row r="3670">
      <c r="A3670" s="6"/>
      <c r="B3670" s="6"/>
      <c r="C3670" s="4"/>
      <c r="D3670" s="4"/>
      <c r="E3670" s="4"/>
      <c r="F3670" s="4"/>
      <c r="G3670" s="4"/>
      <c r="H3670" s="4"/>
      <c r="I3670" s="4"/>
      <c r="J3670" s="18"/>
      <c r="K3670" s="4"/>
      <c r="L3670" s="19"/>
      <c r="M3670" s="20"/>
    </row>
    <row r="3671">
      <c r="A3671" s="6"/>
      <c r="B3671" s="6"/>
      <c r="C3671" s="4"/>
      <c r="D3671" s="4"/>
      <c r="E3671" s="4"/>
      <c r="F3671" s="4"/>
      <c r="G3671" s="4"/>
      <c r="H3671" s="4"/>
      <c r="I3671" s="4"/>
      <c r="J3671" s="18"/>
      <c r="K3671" s="4"/>
      <c r="L3671" s="19"/>
      <c r="M3671" s="20"/>
    </row>
    <row r="3672">
      <c r="A3672" s="6"/>
      <c r="B3672" s="6"/>
      <c r="C3672" s="4"/>
      <c r="D3672" s="4"/>
      <c r="E3672" s="4"/>
      <c r="F3672" s="4"/>
      <c r="G3672" s="4"/>
      <c r="H3672" s="4"/>
      <c r="I3672" s="4"/>
      <c r="J3672" s="18"/>
      <c r="K3672" s="4"/>
      <c r="L3672" s="19"/>
      <c r="M3672" s="20"/>
    </row>
    <row r="3673">
      <c r="A3673" s="6"/>
      <c r="B3673" s="6"/>
      <c r="C3673" s="4"/>
      <c r="D3673" s="4"/>
      <c r="E3673" s="4"/>
      <c r="F3673" s="4"/>
      <c r="G3673" s="4"/>
      <c r="H3673" s="4"/>
      <c r="I3673" s="4"/>
      <c r="J3673" s="18"/>
      <c r="K3673" s="4"/>
      <c r="L3673" s="19"/>
      <c r="M3673" s="20"/>
    </row>
    <row r="3674">
      <c r="A3674" s="6"/>
      <c r="B3674" s="6"/>
      <c r="C3674" s="4"/>
      <c r="D3674" s="4"/>
      <c r="E3674" s="4"/>
      <c r="F3674" s="4"/>
      <c r="G3674" s="4"/>
      <c r="H3674" s="4"/>
      <c r="I3674" s="4"/>
      <c r="J3674" s="18"/>
      <c r="K3674" s="4"/>
      <c r="L3674" s="19"/>
      <c r="M3674" s="20"/>
    </row>
    <row r="3675">
      <c r="A3675" s="6"/>
      <c r="B3675" s="6"/>
      <c r="C3675" s="4"/>
      <c r="D3675" s="4"/>
      <c r="E3675" s="4"/>
      <c r="F3675" s="4"/>
      <c r="G3675" s="4"/>
      <c r="H3675" s="4"/>
      <c r="I3675" s="4"/>
      <c r="J3675" s="18"/>
      <c r="K3675" s="4"/>
      <c r="L3675" s="19"/>
      <c r="M3675" s="20"/>
    </row>
    <row r="3676">
      <c r="A3676" s="6"/>
      <c r="B3676" s="6"/>
      <c r="C3676" s="4"/>
      <c r="D3676" s="4"/>
      <c r="E3676" s="4"/>
      <c r="F3676" s="4"/>
      <c r="G3676" s="4"/>
      <c r="H3676" s="4"/>
      <c r="I3676" s="4"/>
      <c r="J3676" s="18"/>
      <c r="K3676" s="4"/>
      <c r="L3676" s="19"/>
      <c r="M3676" s="20"/>
    </row>
    <row r="3677">
      <c r="A3677" s="6"/>
      <c r="B3677" s="6"/>
      <c r="C3677" s="4"/>
      <c r="D3677" s="4"/>
      <c r="E3677" s="4"/>
      <c r="F3677" s="4"/>
      <c r="G3677" s="4"/>
      <c r="H3677" s="4"/>
      <c r="I3677" s="4"/>
      <c r="J3677" s="18"/>
      <c r="K3677" s="4"/>
      <c r="L3677" s="19"/>
      <c r="M3677" s="20"/>
    </row>
    <row r="3678">
      <c r="A3678" s="6"/>
      <c r="B3678" s="6"/>
      <c r="C3678" s="4"/>
      <c r="D3678" s="4"/>
      <c r="E3678" s="4"/>
      <c r="F3678" s="4"/>
      <c r="G3678" s="4"/>
      <c r="H3678" s="4"/>
      <c r="I3678" s="4"/>
      <c r="J3678" s="18"/>
      <c r="K3678" s="4"/>
      <c r="L3678" s="19"/>
      <c r="M3678" s="20"/>
    </row>
    <row r="3679">
      <c r="A3679" s="6"/>
      <c r="B3679" s="6"/>
      <c r="C3679" s="4"/>
      <c r="D3679" s="4"/>
      <c r="E3679" s="4"/>
      <c r="F3679" s="4"/>
      <c r="G3679" s="4"/>
      <c r="H3679" s="4"/>
      <c r="I3679" s="4"/>
      <c r="J3679" s="18"/>
      <c r="K3679" s="4"/>
      <c r="L3679" s="19"/>
      <c r="M3679" s="20"/>
    </row>
    <row r="3680">
      <c r="A3680" s="6"/>
      <c r="B3680" s="6"/>
      <c r="C3680" s="4"/>
      <c r="D3680" s="4"/>
      <c r="E3680" s="4"/>
      <c r="F3680" s="4"/>
      <c r="G3680" s="4"/>
      <c r="H3680" s="4"/>
      <c r="I3680" s="4"/>
      <c r="J3680" s="18"/>
      <c r="K3680" s="4"/>
      <c r="L3680" s="19"/>
      <c r="M3680" s="20"/>
    </row>
    <row r="3681">
      <c r="A3681" s="6"/>
      <c r="B3681" s="6"/>
      <c r="C3681" s="4"/>
      <c r="D3681" s="4"/>
      <c r="E3681" s="4"/>
      <c r="F3681" s="4"/>
      <c r="G3681" s="4"/>
      <c r="H3681" s="4"/>
      <c r="I3681" s="4"/>
      <c r="J3681" s="18"/>
      <c r="K3681" s="4"/>
      <c r="L3681" s="19"/>
      <c r="M3681" s="20"/>
    </row>
    <row r="3682">
      <c r="A3682" s="6"/>
      <c r="B3682" s="6"/>
      <c r="C3682" s="4"/>
      <c r="D3682" s="4"/>
      <c r="E3682" s="4"/>
      <c r="F3682" s="4"/>
      <c r="G3682" s="4"/>
      <c r="H3682" s="4"/>
      <c r="I3682" s="4"/>
      <c r="J3682" s="18"/>
      <c r="K3682" s="4"/>
      <c r="L3682" s="19"/>
      <c r="M3682" s="20"/>
    </row>
    <row r="3683">
      <c r="A3683" s="6"/>
      <c r="B3683" s="6"/>
      <c r="C3683" s="4"/>
      <c r="D3683" s="4"/>
      <c r="E3683" s="4"/>
      <c r="F3683" s="4"/>
      <c r="G3683" s="4"/>
      <c r="H3683" s="4"/>
      <c r="I3683" s="4"/>
      <c r="J3683" s="18"/>
      <c r="K3683" s="4"/>
      <c r="L3683" s="19"/>
      <c r="M3683" s="20"/>
    </row>
    <row r="3684">
      <c r="A3684" s="6"/>
      <c r="B3684" s="6"/>
      <c r="C3684" s="4"/>
      <c r="D3684" s="4"/>
      <c r="E3684" s="4"/>
      <c r="F3684" s="4"/>
      <c r="G3684" s="4"/>
      <c r="H3684" s="4"/>
      <c r="I3684" s="4"/>
      <c r="J3684" s="18"/>
      <c r="K3684" s="4"/>
      <c r="L3684" s="19"/>
      <c r="M3684" s="20"/>
    </row>
    <row r="3685">
      <c r="A3685" s="6"/>
      <c r="B3685" s="6"/>
      <c r="C3685" s="4"/>
      <c r="D3685" s="4"/>
      <c r="E3685" s="4"/>
      <c r="F3685" s="4"/>
      <c r="G3685" s="4"/>
      <c r="H3685" s="4"/>
      <c r="I3685" s="4"/>
      <c r="J3685" s="18"/>
      <c r="K3685" s="4"/>
      <c r="L3685" s="19"/>
      <c r="M3685" s="20"/>
    </row>
    <row r="3686">
      <c r="A3686" s="6"/>
      <c r="B3686" s="6"/>
      <c r="C3686" s="4"/>
      <c r="D3686" s="4"/>
      <c r="E3686" s="4"/>
      <c r="F3686" s="4"/>
      <c r="G3686" s="4"/>
      <c r="H3686" s="4"/>
      <c r="I3686" s="4"/>
      <c r="J3686" s="18"/>
      <c r="K3686" s="4"/>
      <c r="L3686" s="19"/>
      <c r="M3686" s="20"/>
    </row>
    <row r="3687">
      <c r="A3687" s="6"/>
      <c r="B3687" s="6"/>
      <c r="C3687" s="4"/>
      <c r="D3687" s="4"/>
      <c r="E3687" s="4"/>
      <c r="F3687" s="4"/>
      <c r="G3687" s="4"/>
      <c r="H3687" s="4"/>
      <c r="I3687" s="4"/>
      <c r="J3687" s="18"/>
      <c r="K3687" s="4"/>
      <c r="L3687" s="19"/>
      <c r="M3687" s="20"/>
    </row>
    <row r="3688">
      <c r="A3688" s="6"/>
      <c r="B3688" s="6"/>
      <c r="C3688" s="4"/>
      <c r="D3688" s="4"/>
      <c r="E3688" s="4"/>
      <c r="F3688" s="4"/>
      <c r="G3688" s="4"/>
      <c r="H3688" s="4"/>
      <c r="I3688" s="4"/>
      <c r="J3688" s="18"/>
      <c r="K3688" s="4"/>
      <c r="L3688" s="19"/>
      <c r="M3688" s="20"/>
    </row>
    <row r="3689">
      <c r="A3689" s="6"/>
      <c r="B3689" s="6"/>
      <c r="C3689" s="4"/>
      <c r="D3689" s="4"/>
      <c r="E3689" s="4"/>
      <c r="F3689" s="4"/>
      <c r="G3689" s="4"/>
      <c r="H3689" s="4"/>
      <c r="I3689" s="4"/>
      <c r="J3689" s="18"/>
      <c r="K3689" s="4"/>
      <c r="L3689" s="19"/>
      <c r="M3689" s="20"/>
    </row>
    <row r="3690">
      <c r="A3690" s="6"/>
      <c r="B3690" s="6"/>
      <c r="C3690" s="4"/>
      <c r="D3690" s="4"/>
      <c r="E3690" s="4"/>
      <c r="F3690" s="4"/>
      <c r="G3690" s="4"/>
      <c r="H3690" s="4"/>
      <c r="I3690" s="4"/>
      <c r="J3690" s="18"/>
      <c r="K3690" s="4"/>
      <c r="L3690" s="19"/>
      <c r="M3690" s="20"/>
    </row>
    <row r="3691">
      <c r="A3691" s="6"/>
      <c r="B3691" s="6"/>
      <c r="C3691" s="4"/>
      <c r="D3691" s="4"/>
      <c r="E3691" s="4"/>
      <c r="F3691" s="4"/>
      <c r="G3691" s="4"/>
      <c r="H3691" s="4"/>
      <c r="I3691" s="4"/>
      <c r="J3691" s="18"/>
      <c r="K3691" s="4"/>
      <c r="L3691" s="19"/>
      <c r="M3691" s="20"/>
    </row>
    <row r="3692">
      <c r="A3692" s="6"/>
      <c r="B3692" s="6"/>
      <c r="C3692" s="4"/>
      <c r="D3692" s="4"/>
      <c r="E3692" s="4"/>
      <c r="F3692" s="4"/>
      <c r="G3692" s="4"/>
      <c r="H3692" s="4"/>
      <c r="I3692" s="4"/>
      <c r="J3692" s="18"/>
      <c r="K3692" s="4"/>
      <c r="L3692" s="19"/>
      <c r="M3692" s="20"/>
    </row>
    <row r="3693">
      <c r="A3693" s="6"/>
      <c r="B3693" s="6"/>
      <c r="C3693" s="4"/>
      <c r="D3693" s="4"/>
      <c r="E3693" s="4"/>
      <c r="F3693" s="4"/>
      <c r="G3693" s="4"/>
      <c r="H3693" s="4"/>
      <c r="I3693" s="4"/>
      <c r="J3693" s="18"/>
      <c r="K3693" s="4"/>
      <c r="L3693" s="19"/>
      <c r="M3693" s="20"/>
    </row>
    <row r="3694">
      <c r="A3694" s="6"/>
      <c r="B3694" s="6"/>
      <c r="C3694" s="4"/>
      <c r="D3694" s="4"/>
      <c r="E3694" s="4"/>
      <c r="F3694" s="4"/>
      <c r="G3694" s="4"/>
      <c r="H3694" s="4"/>
      <c r="I3694" s="4"/>
      <c r="J3694" s="18"/>
      <c r="K3694" s="4"/>
      <c r="L3694" s="19"/>
      <c r="M3694" s="20"/>
    </row>
    <row r="3695">
      <c r="A3695" s="6"/>
      <c r="B3695" s="6"/>
      <c r="C3695" s="4"/>
      <c r="D3695" s="4"/>
      <c r="E3695" s="4"/>
      <c r="F3695" s="4"/>
      <c r="G3695" s="4"/>
      <c r="H3695" s="4"/>
      <c r="I3695" s="4"/>
      <c r="J3695" s="18"/>
      <c r="K3695" s="4"/>
      <c r="L3695" s="19"/>
      <c r="M3695" s="20"/>
    </row>
    <row r="3696">
      <c r="A3696" s="6"/>
      <c r="B3696" s="6"/>
      <c r="C3696" s="4"/>
      <c r="D3696" s="4"/>
      <c r="E3696" s="4"/>
      <c r="F3696" s="4"/>
      <c r="G3696" s="4"/>
      <c r="H3696" s="4"/>
      <c r="I3696" s="4"/>
      <c r="J3696" s="18"/>
      <c r="K3696" s="4"/>
      <c r="L3696" s="19"/>
      <c r="M3696" s="20"/>
    </row>
    <row r="3697">
      <c r="A3697" s="6"/>
      <c r="B3697" s="6"/>
      <c r="C3697" s="4"/>
      <c r="D3697" s="4"/>
      <c r="E3697" s="4"/>
      <c r="F3697" s="4"/>
      <c r="G3697" s="4"/>
      <c r="H3697" s="4"/>
      <c r="I3697" s="4"/>
      <c r="J3697" s="18"/>
      <c r="K3697" s="4"/>
      <c r="L3697" s="19"/>
      <c r="M3697" s="20"/>
    </row>
    <row r="3698">
      <c r="A3698" s="6"/>
      <c r="B3698" s="6"/>
      <c r="C3698" s="4"/>
      <c r="D3698" s="4"/>
      <c r="E3698" s="4"/>
      <c r="F3698" s="4"/>
      <c r="G3698" s="4"/>
      <c r="H3698" s="4"/>
      <c r="I3698" s="4"/>
      <c r="J3698" s="18"/>
      <c r="K3698" s="4"/>
      <c r="L3698" s="19"/>
      <c r="M3698" s="20"/>
    </row>
    <row r="3699">
      <c r="A3699" s="6"/>
      <c r="B3699" s="6"/>
      <c r="C3699" s="4"/>
      <c r="D3699" s="4"/>
      <c r="E3699" s="4"/>
      <c r="F3699" s="4"/>
      <c r="G3699" s="4"/>
      <c r="H3699" s="4"/>
      <c r="I3699" s="4"/>
      <c r="J3699" s="18"/>
      <c r="K3699" s="4"/>
      <c r="L3699" s="19"/>
      <c r="M3699" s="20"/>
    </row>
    <row r="3700">
      <c r="A3700" s="6"/>
      <c r="B3700" s="6"/>
      <c r="C3700" s="4"/>
      <c r="D3700" s="4"/>
      <c r="E3700" s="4"/>
      <c r="F3700" s="4"/>
      <c r="G3700" s="4"/>
      <c r="H3700" s="4"/>
      <c r="I3700" s="4"/>
      <c r="J3700" s="18"/>
      <c r="K3700" s="4"/>
      <c r="L3700" s="19"/>
      <c r="M3700" s="20"/>
    </row>
    <row r="3701">
      <c r="A3701" s="6"/>
      <c r="B3701" s="6"/>
      <c r="C3701" s="4"/>
      <c r="D3701" s="4"/>
      <c r="E3701" s="4"/>
      <c r="F3701" s="4"/>
      <c r="G3701" s="4"/>
      <c r="H3701" s="4"/>
      <c r="I3701" s="4"/>
      <c r="J3701" s="18"/>
      <c r="K3701" s="4"/>
      <c r="L3701" s="19"/>
      <c r="M3701" s="20"/>
    </row>
    <row r="3702">
      <c r="A3702" s="6"/>
      <c r="B3702" s="6"/>
      <c r="C3702" s="4"/>
      <c r="D3702" s="4"/>
      <c r="E3702" s="4"/>
      <c r="F3702" s="4"/>
      <c r="G3702" s="4"/>
      <c r="H3702" s="4"/>
      <c r="I3702" s="4"/>
      <c r="J3702" s="18"/>
      <c r="K3702" s="4"/>
      <c r="L3702" s="19"/>
      <c r="M3702" s="20"/>
    </row>
    <row r="3703">
      <c r="A3703" s="6"/>
      <c r="B3703" s="6"/>
      <c r="C3703" s="4"/>
      <c r="D3703" s="4"/>
      <c r="E3703" s="4"/>
      <c r="F3703" s="4"/>
      <c r="G3703" s="4"/>
      <c r="H3703" s="4"/>
      <c r="I3703" s="4"/>
      <c r="J3703" s="18"/>
      <c r="K3703" s="4"/>
      <c r="L3703" s="19"/>
      <c r="M3703" s="20"/>
    </row>
    <row r="3704">
      <c r="A3704" s="6"/>
      <c r="B3704" s="6"/>
      <c r="C3704" s="4"/>
      <c r="D3704" s="4"/>
      <c r="E3704" s="4"/>
      <c r="F3704" s="4"/>
      <c r="G3704" s="4"/>
      <c r="H3704" s="4"/>
      <c r="I3704" s="4"/>
      <c r="J3704" s="18"/>
      <c r="K3704" s="4"/>
      <c r="L3704" s="19"/>
      <c r="M3704" s="20"/>
    </row>
    <row r="3705">
      <c r="A3705" s="6"/>
      <c r="B3705" s="6"/>
      <c r="C3705" s="4"/>
      <c r="D3705" s="4"/>
      <c r="E3705" s="4"/>
      <c r="F3705" s="4"/>
      <c r="G3705" s="4"/>
      <c r="H3705" s="4"/>
      <c r="I3705" s="4"/>
      <c r="J3705" s="18"/>
      <c r="K3705" s="4"/>
      <c r="L3705" s="19"/>
      <c r="M3705" s="20"/>
    </row>
    <row r="3706">
      <c r="A3706" s="6"/>
      <c r="B3706" s="6"/>
      <c r="C3706" s="4"/>
      <c r="D3706" s="4"/>
      <c r="E3706" s="4"/>
      <c r="F3706" s="4"/>
      <c r="G3706" s="4"/>
      <c r="H3706" s="4"/>
      <c r="I3706" s="4"/>
      <c r="J3706" s="18"/>
      <c r="K3706" s="4"/>
      <c r="L3706" s="19"/>
      <c r="M3706" s="20"/>
    </row>
    <row r="3707">
      <c r="A3707" s="6"/>
      <c r="B3707" s="6"/>
      <c r="C3707" s="4"/>
      <c r="D3707" s="4"/>
      <c r="E3707" s="4"/>
      <c r="F3707" s="4"/>
      <c r="G3707" s="4"/>
      <c r="H3707" s="4"/>
      <c r="I3707" s="4"/>
      <c r="J3707" s="18"/>
      <c r="K3707" s="4"/>
      <c r="L3707" s="19"/>
      <c r="M3707" s="20"/>
    </row>
    <row r="3708">
      <c r="A3708" s="6"/>
      <c r="B3708" s="6"/>
      <c r="C3708" s="4"/>
      <c r="D3708" s="4"/>
      <c r="E3708" s="4"/>
      <c r="F3708" s="4"/>
      <c r="G3708" s="4"/>
      <c r="H3708" s="4"/>
      <c r="I3708" s="4"/>
      <c r="J3708" s="18"/>
      <c r="K3708" s="4"/>
      <c r="L3708" s="19"/>
      <c r="M3708" s="20"/>
    </row>
    <row r="3709">
      <c r="A3709" s="6"/>
      <c r="B3709" s="6"/>
      <c r="C3709" s="4"/>
      <c r="D3709" s="4"/>
      <c r="E3709" s="4"/>
      <c r="F3709" s="4"/>
      <c r="G3709" s="4"/>
      <c r="H3709" s="4"/>
      <c r="I3709" s="4"/>
      <c r="J3709" s="18"/>
      <c r="K3709" s="4"/>
      <c r="L3709" s="19"/>
      <c r="M3709" s="20"/>
    </row>
    <row r="3710">
      <c r="A3710" s="6"/>
      <c r="B3710" s="6"/>
      <c r="C3710" s="4"/>
      <c r="D3710" s="4"/>
      <c r="E3710" s="4"/>
      <c r="F3710" s="4"/>
      <c r="G3710" s="4"/>
      <c r="H3710" s="4"/>
      <c r="I3710" s="4"/>
      <c r="J3710" s="18"/>
      <c r="K3710" s="4"/>
      <c r="L3710" s="19"/>
      <c r="M3710" s="20"/>
    </row>
    <row r="3711">
      <c r="A3711" s="6"/>
      <c r="B3711" s="6"/>
      <c r="C3711" s="4"/>
      <c r="D3711" s="4"/>
      <c r="E3711" s="4"/>
      <c r="F3711" s="4"/>
      <c r="G3711" s="4"/>
      <c r="H3711" s="4"/>
      <c r="I3711" s="4"/>
      <c r="J3711" s="18"/>
      <c r="K3711" s="4"/>
      <c r="L3711" s="19"/>
      <c r="M3711" s="20"/>
    </row>
    <row r="3712">
      <c r="A3712" s="6"/>
      <c r="B3712" s="6"/>
      <c r="C3712" s="4"/>
      <c r="D3712" s="4"/>
      <c r="E3712" s="4"/>
      <c r="F3712" s="4"/>
      <c r="G3712" s="4"/>
      <c r="H3712" s="4"/>
      <c r="I3712" s="4"/>
      <c r="J3712" s="18"/>
      <c r="K3712" s="4"/>
      <c r="L3712" s="19"/>
      <c r="M3712" s="20"/>
    </row>
    <row r="3713">
      <c r="A3713" s="6"/>
      <c r="B3713" s="6"/>
      <c r="C3713" s="4"/>
      <c r="D3713" s="4"/>
      <c r="E3713" s="4"/>
      <c r="F3713" s="4"/>
      <c r="G3713" s="4"/>
      <c r="H3713" s="4"/>
      <c r="I3713" s="4"/>
      <c r="J3713" s="18"/>
      <c r="K3713" s="4"/>
      <c r="L3713" s="19"/>
      <c r="M3713" s="20"/>
    </row>
    <row r="3714">
      <c r="A3714" s="6"/>
      <c r="B3714" s="6"/>
      <c r="C3714" s="4"/>
      <c r="D3714" s="4"/>
      <c r="E3714" s="4"/>
      <c r="F3714" s="4"/>
      <c r="G3714" s="4"/>
      <c r="H3714" s="4"/>
      <c r="I3714" s="4"/>
      <c r="J3714" s="18"/>
      <c r="K3714" s="4"/>
      <c r="L3714" s="19"/>
      <c r="M3714" s="20"/>
    </row>
    <row r="3715">
      <c r="A3715" s="6"/>
      <c r="B3715" s="6"/>
      <c r="C3715" s="4"/>
      <c r="D3715" s="4"/>
      <c r="E3715" s="4"/>
      <c r="F3715" s="4"/>
      <c r="G3715" s="4"/>
      <c r="H3715" s="4"/>
      <c r="I3715" s="4"/>
      <c r="J3715" s="18"/>
      <c r="K3715" s="4"/>
      <c r="L3715" s="19"/>
      <c r="M3715" s="20"/>
    </row>
    <row r="3716">
      <c r="A3716" s="6"/>
      <c r="B3716" s="6"/>
      <c r="C3716" s="4"/>
      <c r="D3716" s="4"/>
      <c r="E3716" s="4"/>
      <c r="F3716" s="4"/>
      <c r="G3716" s="4"/>
      <c r="H3716" s="4"/>
      <c r="I3716" s="4"/>
      <c r="J3716" s="18"/>
      <c r="K3716" s="4"/>
      <c r="L3716" s="19"/>
      <c r="M3716" s="20"/>
    </row>
    <row r="3717">
      <c r="A3717" s="6"/>
      <c r="B3717" s="6"/>
      <c r="C3717" s="4"/>
      <c r="D3717" s="4"/>
      <c r="E3717" s="4"/>
      <c r="F3717" s="4"/>
      <c r="G3717" s="4"/>
      <c r="H3717" s="4"/>
      <c r="I3717" s="4"/>
      <c r="J3717" s="18"/>
      <c r="K3717" s="4"/>
      <c r="L3717" s="19"/>
      <c r="M3717" s="20"/>
    </row>
    <row r="3718">
      <c r="A3718" s="6"/>
      <c r="B3718" s="6"/>
      <c r="C3718" s="4"/>
      <c r="D3718" s="4"/>
      <c r="E3718" s="4"/>
      <c r="F3718" s="4"/>
      <c r="G3718" s="4"/>
      <c r="H3718" s="4"/>
      <c r="I3718" s="4"/>
      <c r="J3718" s="18"/>
      <c r="K3718" s="4"/>
      <c r="L3718" s="19"/>
      <c r="M3718" s="20"/>
    </row>
    <row r="3719">
      <c r="A3719" s="6"/>
      <c r="B3719" s="6"/>
      <c r="C3719" s="4"/>
      <c r="D3719" s="4"/>
      <c r="E3719" s="4"/>
      <c r="F3719" s="4"/>
      <c r="G3719" s="4"/>
      <c r="H3719" s="4"/>
      <c r="I3719" s="4"/>
      <c r="J3719" s="18"/>
      <c r="K3719" s="4"/>
      <c r="L3719" s="19"/>
      <c r="M3719" s="20"/>
    </row>
    <row r="3720">
      <c r="A3720" s="6"/>
      <c r="B3720" s="6"/>
      <c r="C3720" s="4"/>
      <c r="D3720" s="4"/>
      <c r="E3720" s="4"/>
      <c r="F3720" s="4"/>
      <c r="G3720" s="4"/>
      <c r="H3720" s="4"/>
      <c r="I3720" s="4"/>
      <c r="J3720" s="18"/>
      <c r="K3720" s="4"/>
      <c r="L3720" s="19"/>
      <c r="M3720" s="20"/>
    </row>
    <row r="3721">
      <c r="A3721" s="6"/>
      <c r="B3721" s="6"/>
      <c r="C3721" s="4"/>
      <c r="D3721" s="4"/>
      <c r="E3721" s="4"/>
      <c r="F3721" s="4"/>
      <c r="G3721" s="4"/>
      <c r="H3721" s="4"/>
      <c r="I3721" s="4"/>
      <c r="J3721" s="18"/>
      <c r="K3721" s="4"/>
      <c r="L3721" s="19"/>
      <c r="M3721" s="20"/>
    </row>
    <row r="3722">
      <c r="A3722" s="6"/>
      <c r="B3722" s="6"/>
      <c r="C3722" s="4"/>
      <c r="D3722" s="4"/>
      <c r="E3722" s="4"/>
      <c r="F3722" s="4"/>
      <c r="G3722" s="4"/>
      <c r="H3722" s="4"/>
      <c r="I3722" s="4"/>
      <c r="J3722" s="18"/>
      <c r="K3722" s="4"/>
      <c r="L3722" s="19"/>
      <c r="M3722" s="20"/>
    </row>
    <row r="3723">
      <c r="A3723" s="6"/>
      <c r="B3723" s="6"/>
      <c r="C3723" s="4"/>
      <c r="D3723" s="4"/>
      <c r="E3723" s="4"/>
      <c r="F3723" s="4"/>
      <c r="G3723" s="4"/>
      <c r="H3723" s="4"/>
      <c r="I3723" s="4"/>
      <c r="J3723" s="18"/>
      <c r="K3723" s="4"/>
      <c r="L3723" s="19"/>
      <c r="M3723" s="20"/>
    </row>
    <row r="3724">
      <c r="A3724" s="6"/>
      <c r="B3724" s="6"/>
      <c r="C3724" s="4"/>
      <c r="D3724" s="4"/>
      <c r="E3724" s="4"/>
      <c r="F3724" s="4"/>
      <c r="G3724" s="4"/>
      <c r="H3724" s="4"/>
      <c r="I3724" s="4"/>
      <c r="J3724" s="18"/>
      <c r="K3724" s="4"/>
      <c r="L3724" s="19"/>
      <c r="M3724" s="20"/>
    </row>
    <row r="3725">
      <c r="A3725" s="6"/>
      <c r="B3725" s="6"/>
      <c r="C3725" s="4"/>
      <c r="D3725" s="4"/>
      <c r="E3725" s="4"/>
      <c r="F3725" s="4"/>
      <c r="G3725" s="4"/>
      <c r="H3725" s="4"/>
      <c r="I3725" s="4"/>
      <c r="J3725" s="18"/>
      <c r="K3725" s="4"/>
      <c r="L3725" s="19"/>
      <c r="M3725" s="20"/>
    </row>
    <row r="3726">
      <c r="A3726" s="6"/>
      <c r="B3726" s="6"/>
      <c r="C3726" s="4"/>
      <c r="D3726" s="4"/>
      <c r="E3726" s="4"/>
      <c r="F3726" s="4"/>
      <c r="G3726" s="4"/>
      <c r="H3726" s="4"/>
      <c r="I3726" s="4"/>
      <c r="J3726" s="18"/>
      <c r="K3726" s="4"/>
      <c r="L3726" s="19"/>
      <c r="M3726" s="20"/>
    </row>
    <row r="3727">
      <c r="A3727" s="6"/>
      <c r="B3727" s="6"/>
      <c r="C3727" s="4"/>
      <c r="D3727" s="4"/>
      <c r="E3727" s="4"/>
      <c r="F3727" s="4"/>
      <c r="G3727" s="4"/>
      <c r="H3727" s="4"/>
      <c r="I3727" s="4"/>
      <c r="J3727" s="18"/>
      <c r="K3727" s="4"/>
      <c r="L3727" s="19"/>
      <c r="M3727" s="20"/>
    </row>
    <row r="3728">
      <c r="A3728" s="6"/>
      <c r="B3728" s="6"/>
      <c r="C3728" s="4"/>
      <c r="D3728" s="4"/>
      <c r="E3728" s="4"/>
      <c r="F3728" s="4"/>
      <c r="G3728" s="4"/>
      <c r="H3728" s="4"/>
      <c r="I3728" s="4"/>
      <c r="J3728" s="18"/>
      <c r="K3728" s="4"/>
      <c r="L3728" s="19"/>
      <c r="M3728" s="20"/>
    </row>
    <row r="3729">
      <c r="A3729" s="6"/>
      <c r="B3729" s="6"/>
      <c r="C3729" s="4"/>
      <c r="D3729" s="4"/>
      <c r="E3729" s="4"/>
      <c r="F3729" s="4"/>
      <c r="G3729" s="4"/>
      <c r="H3729" s="4"/>
      <c r="I3729" s="4"/>
      <c r="J3729" s="18"/>
      <c r="K3729" s="4"/>
      <c r="L3729" s="19"/>
      <c r="M3729" s="20"/>
    </row>
    <row r="3730">
      <c r="A3730" s="6"/>
      <c r="B3730" s="6"/>
      <c r="C3730" s="4"/>
      <c r="D3730" s="4"/>
      <c r="E3730" s="4"/>
      <c r="F3730" s="4"/>
      <c r="G3730" s="4"/>
      <c r="H3730" s="4"/>
      <c r="I3730" s="4"/>
      <c r="J3730" s="18"/>
      <c r="K3730" s="4"/>
      <c r="L3730" s="19"/>
      <c r="M3730" s="20"/>
    </row>
    <row r="3731">
      <c r="A3731" s="6"/>
      <c r="B3731" s="6"/>
      <c r="C3731" s="4"/>
      <c r="D3731" s="4"/>
      <c r="E3731" s="4"/>
      <c r="F3731" s="4"/>
      <c r="G3731" s="4"/>
      <c r="H3731" s="4"/>
      <c r="I3731" s="4"/>
      <c r="J3731" s="18"/>
      <c r="K3731" s="4"/>
      <c r="L3731" s="19"/>
      <c r="M3731" s="20"/>
    </row>
    <row r="3732">
      <c r="A3732" s="6"/>
      <c r="B3732" s="6"/>
      <c r="C3732" s="4"/>
      <c r="D3732" s="4"/>
      <c r="E3732" s="4"/>
      <c r="F3732" s="4"/>
      <c r="G3732" s="4"/>
      <c r="H3732" s="4"/>
      <c r="I3732" s="4"/>
      <c r="J3732" s="18"/>
      <c r="K3732" s="4"/>
      <c r="L3732" s="19"/>
      <c r="M3732" s="20"/>
    </row>
    <row r="3733">
      <c r="A3733" s="6"/>
      <c r="B3733" s="6"/>
      <c r="C3733" s="4"/>
      <c r="D3733" s="4"/>
      <c r="E3733" s="4"/>
      <c r="F3733" s="4"/>
      <c r="G3733" s="4"/>
      <c r="H3733" s="4"/>
      <c r="I3733" s="4"/>
      <c r="J3733" s="18"/>
      <c r="K3733" s="4"/>
      <c r="L3733" s="19"/>
      <c r="M3733" s="20"/>
    </row>
    <row r="3734">
      <c r="A3734" s="6"/>
      <c r="B3734" s="6"/>
      <c r="C3734" s="4"/>
      <c r="D3734" s="4"/>
      <c r="E3734" s="4"/>
      <c r="F3734" s="4"/>
      <c r="G3734" s="4"/>
      <c r="H3734" s="4"/>
      <c r="I3734" s="4"/>
      <c r="J3734" s="18"/>
      <c r="K3734" s="4"/>
      <c r="L3734" s="19"/>
      <c r="M3734" s="20"/>
    </row>
    <row r="3735">
      <c r="A3735" s="6"/>
      <c r="B3735" s="6"/>
      <c r="C3735" s="4"/>
      <c r="D3735" s="4"/>
      <c r="E3735" s="4"/>
      <c r="F3735" s="4"/>
      <c r="G3735" s="4"/>
      <c r="H3735" s="4"/>
      <c r="I3735" s="4"/>
      <c r="J3735" s="18"/>
      <c r="K3735" s="4"/>
      <c r="L3735" s="19"/>
      <c r="M3735" s="20"/>
    </row>
    <row r="3736">
      <c r="A3736" s="6"/>
      <c r="B3736" s="6"/>
      <c r="C3736" s="4"/>
      <c r="D3736" s="4"/>
      <c r="E3736" s="4"/>
      <c r="F3736" s="4"/>
      <c r="G3736" s="4"/>
      <c r="H3736" s="4"/>
      <c r="I3736" s="4"/>
      <c r="J3736" s="18"/>
      <c r="K3736" s="4"/>
      <c r="L3736" s="19"/>
      <c r="M3736" s="20"/>
    </row>
    <row r="3737">
      <c r="A3737" s="6"/>
      <c r="B3737" s="6"/>
      <c r="C3737" s="4"/>
      <c r="D3737" s="4"/>
      <c r="E3737" s="4"/>
      <c r="F3737" s="4"/>
      <c r="G3737" s="4"/>
      <c r="H3737" s="4"/>
      <c r="I3737" s="4"/>
      <c r="J3737" s="18"/>
      <c r="K3737" s="4"/>
      <c r="L3737" s="19"/>
      <c r="M3737" s="20"/>
    </row>
    <row r="3738">
      <c r="A3738" s="6"/>
      <c r="B3738" s="6"/>
      <c r="C3738" s="4"/>
      <c r="D3738" s="4"/>
      <c r="E3738" s="4"/>
      <c r="F3738" s="4"/>
      <c r="G3738" s="4"/>
      <c r="H3738" s="4"/>
      <c r="I3738" s="4"/>
      <c r="J3738" s="18"/>
      <c r="K3738" s="4"/>
      <c r="L3738" s="19"/>
      <c r="M3738" s="20"/>
    </row>
    <row r="3739">
      <c r="A3739" s="6"/>
      <c r="B3739" s="6"/>
      <c r="C3739" s="4"/>
      <c r="D3739" s="4"/>
      <c r="E3739" s="4"/>
      <c r="F3739" s="4"/>
      <c r="G3739" s="4"/>
      <c r="H3739" s="4"/>
      <c r="I3739" s="4"/>
      <c r="J3739" s="18"/>
      <c r="K3739" s="4"/>
      <c r="L3739" s="19"/>
      <c r="M3739" s="20"/>
    </row>
    <row r="3740">
      <c r="A3740" s="6"/>
      <c r="B3740" s="6"/>
      <c r="C3740" s="4"/>
      <c r="D3740" s="4"/>
      <c r="E3740" s="4"/>
      <c r="F3740" s="4"/>
      <c r="G3740" s="4"/>
      <c r="H3740" s="4"/>
      <c r="I3740" s="4"/>
      <c r="J3740" s="18"/>
      <c r="K3740" s="4"/>
      <c r="L3740" s="19"/>
      <c r="M3740" s="20"/>
    </row>
    <row r="3741">
      <c r="A3741" s="6"/>
      <c r="B3741" s="6"/>
      <c r="C3741" s="4"/>
      <c r="D3741" s="4"/>
      <c r="E3741" s="4"/>
      <c r="F3741" s="4"/>
      <c r="G3741" s="4"/>
      <c r="H3741" s="4"/>
      <c r="I3741" s="4"/>
      <c r="J3741" s="18"/>
      <c r="K3741" s="4"/>
      <c r="L3741" s="19"/>
      <c r="M3741" s="20"/>
    </row>
    <row r="3742">
      <c r="A3742" s="6"/>
      <c r="B3742" s="6"/>
      <c r="C3742" s="4"/>
      <c r="D3742" s="4"/>
      <c r="E3742" s="4"/>
      <c r="F3742" s="4"/>
      <c r="G3742" s="4"/>
      <c r="H3742" s="4"/>
      <c r="I3742" s="4"/>
      <c r="J3742" s="18"/>
      <c r="K3742" s="4"/>
      <c r="L3742" s="19"/>
      <c r="M3742" s="20"/>
    </row>
    <row r="3743">
      <c r="A3743" s="6"/>
      <c r="B3743" s="6"/>
      <c r="C3743" s="4"/>
      <c r="D3743" s="4"/>
      <c r="E3743" s="4"/>
      <c r="F3743" s="4"/>
      <c r="G3743" s="4"/>
      <c r="H3743" s="4"/>
      <c r="I3743" s="4"/>
      <c r="J3743" s="18"/>
      <c r="K3743" s="4"/>
      <c r="L3743" s="19"/>
      <c r="M3743" s="20"/>
    </row>
    <row r="3744">
      <c r="A3744" s="6"/>
      <c r="B3744" s="6"/>
      <c r="C3744" s="4"/>
      <c r="D3744" s="4"/>
      <c r="E3744" s="4"/>
      <c r="F3744" s="4"/>
      <c r="G3744" s="4"/>
      <c r="H3744" s="4"/>
      <c r="I3744" s="4"/>
      <c r="J3744" s="18"/>
      <c r="K3744" s="4"/>
      <c r="L3744" s="19"/>
      <c r="M3744" s="20"/>
    </row>
    <row r="3745">
      <c r="A3745" s="6"/>
      <c r="B3745" s="6"/>
      <c r="C3745" s="4"/>
      <c r="D3745" s="4"/>
      <c r="E3745" s="4"/>
      <c r="F3745" s="4"/>
      <c r="G3745" s="4"/>
      <c r="H3745" s="4"/>
      <c r="I3745" s="4"/>
      <c r="J3745" s="18"/>
      <c r="K3745" s="4"/>
      <c r="L3745" s="19"/>
      <c r="M3745" s="20"/>
    </row>
    <row r="3746">
      <c r="A3746" s="6"/>
      <c r="B3746" s="6"/>
      <c r="C3746" s="4"/>
      <c r="D3746" s="4"/>
      <c r="E3746" s="4"/>
      <c r="F3746" s="4"/>
      <c r="G3746" s="4"/>
      <c r="H3746" s="4"/>
      <c r="I3746" s="4"/>
      <c r="J3746" s="18"/>
      <c r="K3746" s="4"/>
      <c r="L3746" s="19"/>
      <c r="M3746" s="20"/>
    </row>
    <row r="3747">
      <c r="A3747" s="6"/>
      <c r="B3747" s="6"/>
      <c r="C3747" s="4"/>
      <c r="D3747" s="4"/>
      <c r="E3747" s="4"/>
      <c r="F3747" s="4"/>
      <c r="G3747" s="4"/>
      <c r="H3747" s="4"/>
      <c r="I3747" s="4"/>
      <c r="J3747" s="18"/>
      <c r="K3747" s="4"/>
      <c r="L3747" s="19"/>
      <c r="M3747" s="20"/>
    </row>
    <row r="3748">
      <c r="A3748" s="6"/>
      <c r="B3748" s="6"/>
      <c r="C3748" s="4"/>
      <c r="D3748" s="4"/>
      <c r="E3748" s="4"/>
      <c r="F3748" s="4"/>
      <c r="G3748" s="4"/>
      <c r="H3748" s="4"/>
      <c r="I3748" s="4"/>
      <c r="J3748" s="18"/>
      <c r="K3748" s="4"/>
      <c r="L3748" s="19"/>
      <c r="M3748" s="20"/>
    </row>
    <row r="3749">
      <c r="A3749" s="6"/>
      <c r="B3749" s="6"/>
      <c r="C3749" s="4"/>
      <c r="D3749" s="4"/>
      <c r="E3749" s="4"/>
      <c r="F3749" s="4"/>
      <c r="G3749" s="4"/>
      <c r="H3749" s="4"/>
      <c r="I3749" s="4"/>
      <c r="J3749" s="18"/>
      <c r="K3749" s="4"/>
      <c r="L3749" s="19"/>
      <c r="M3749" s="20"/>
    </row>
    <row r="3750">
      <c r="A3750" s="6"/>
      <c r="B3750" s="6"/>
      <c r="C3750" s="4"/>
      <c r="D3750" s="4"/>
      <c r="E3750" s="4"/>
      <c r="F3750" s="4"/>
      <c r="G3750" s="4"/>
      <c r="H3750" s="4"/>
      <c r="I3750" s="4"/>
      <c r="J3750" s="18"/>
      <c r="K3750" s="4"/>
      <c r="L3750" s="19"/>
      <c r="M3750" s="20"/>
    </row>
    <row r="3751">
      <c r="A3751" s="6"/>
      <c r="B3751" s="6"/>
      <c r="C3751" s="4"/>
      <c r="D3751" s="4"/>
      <c r="E3751" s="4"/>
      <c r="F3751" s="4"/>
      <c r="G3751" s="4"/>
      <c r="H3751" s="4"/>
      <c r="I3751" s="4"/>
      <c r="J3751" s="18"/>
      <c r="K3751" s="4"/>
      <c r="L3751" s="19"/>
      <c r="M3751" s="20"/>
    </row>
    <row r="3752">
      <c r="A3752" s="6"/>
      <c r="B3752" s="6"/>
      <c r="C3752" s="4"/>
      <c r="D3752" s="4"/>
      <c r="E3752" s="4"/>
      <c r="F3752" s="4"/>
      <c r="G3752" s="4"/>
      <c r="H3752" s="4"/>
      <c r="I3752" s="4"/>
      <c r="J3752" s="18"/>
      <c r="K3752" s="4"/>
      <c r="L3752" s="19"/>
      <c r="M3752" s="20"/>
    </row>
    <row r="3753">
      <c r="A3753" s="6"/>
      <c r="B3753" s="6"/>
      <c r="C3753" s="4"/>
      <c r="D3753" s="4"/>
      <c r="E3753" s="4"/>
      <c r="F3753" s="4"/>
      <c r="G3753" s="4"/>
      <c r="H3753" s="4"/>
      <c r="I3753" s="4"/>
      <c r="J3753" s="18"/>
      <c r="K3753" s="4"/>
      <c r="L3753" s="19"/>
      <c r="M3753" s="20"/>
    </row>
    <row r="3754">
      <c r="A3754" s="6"/>
      <c r="B3754" s="6"/>
      <c r="C3754" s="4"/>
      <c r="D3754" s="4"/>
      <c r="E3754" s="4"/>
      <c r="F3754" s="4"/>
      <c r="G3754" s="4"/>
      <c r="H3754" s="4"/>
      <c r="I3754" s="4"/>
      <c r="J3754" s="18"/>
      <c r="K3754" s="4"/>
      <c r="L3754" s="19"/>
      <c r="M3754" s="20"/>
    </row>
    <row r="3755">
      <c r="A3755" s="6"/>
      <c r="B3755" s="6"/>
      <c r="C3755" s="4"/>
      <c r="D3755" s="4"/>
      <c r="E3755" s="4"/>
      <c r="F3755" s="4"/>
      <c r="G3755" s="4"/>
      <c r="H3755" s="4"/>
      <c r="I3755" s="4"/>
      <c r="J3755" s="18"/>
      <c r="K3755" s="4"/>
      <c r="L3755" s="19"/>
      <c r="M3755" s="20"/>
    </row>
    <row r="3756">
      <c r="A3756" s="6"/>
      <c r="B3756" s="6"/>
      <c r="C3756" s="4"/>
      <c r="D3756" s="4"/>
      <c r="E3756" s="4"/>
      <c r="F3756" s="4"/>
      <c r="G3756" s="4"/>
      <c r="H3756" s="4"/>
      <c r="I3756" s="4"/>
      <c r="J3756" s="18"/>
      <c r="K3756" s="4"/>
      <c r="L3756" s="19"/>
      <c r="M3756" s="20"/>
    </row>
    <row r="3757">
      <c r="A3757" s="6"/>
      <c r="B3757" s="6"/>
      <c r="C3757" s="4"/>
      <c r="D3757" s="4"/>
      <c r="E3757" s="4"/>
      <c r="F3757" s="4"/>
      <c r="G3757" s="4"/>
      <c r="H3757" s="4"/>
      <c r="I3757" s="4"/>
      <c r="J3757" s="18"/>
      <c r="K3757" s="4"/>
      <c r="L3757" s="19"/>
      <c r="M3757" s="20"/>
    </row>
    <row r="3758">
      <c r="A3758" s="6"/>
      <c r="B3758" s="6"/>
      <c r="C3758" s="4"/>
      <c r="D3758" s="4"/>
      <c r="E3758" s="4"/>
      <c r="F3758" s="4"/>
      <c r="G3758" s="4"/>
      <c r="H3758" s="4"/>
      <c r="I3758" s="4"/>
      <c r="J3758" s="18"/>
      <c r="K3758" s="4"/>
      <c r="L3758" s="19"/>
      <c r="M3758" s="20"/>
    </row>
    <row r="3759">
      <c r="A3759" s="6"/>
      <c r="B3759" s="6"/>
      <c r="C3759" s="4"/>
      <c r="D3759" s="4"/>
      <c r="E3759" s="4"/>
      <c r="F3759" s="4"/>
      <c r="G3759" s="4"/>
      <c r="H3759" s="4"/>
      <c r="I3759" s="4"/>
      <c r="J3759" s="18"/>
      <c r="K3759" s="4"/>
      <c r="L3759" s="19"/>
      <c r="M3759" s="20"/>
    </row>
    <row r="3760">
      <c r="A3760" s="6"/>
      <c r="B3760" s="6"/>
      <c r="C3760" s="4"/>
      <c r="D3760" s="4"/>
      <c r="E3760" s="4"/>
      <c r="F3760" s="4"/>
      <c r="G3760" s="4"/>
      <c r="H3760" s="4"/>
      <c r="I3760" s="4"/>
      <c r="J3760" s="18"/>
      <c r="K3760" s="4"/>
      <c r="L3760" s="19"/>
      <c r="M3760" s="20"/>
    </row>
    <row r="3761">
      <c r="A3761" s="6"/>
      <c r="B3761" s="6"/>
      <c r="C3761" s="4"/>
      <c r="D3761" s="4"/>
      <c r="E3761" s="4"/>
      <c r="F3761" s="4"/>
      <c r="G3761" s="4"/>
      <c r="H3761" s="4"/>
      <c r="I3761" s="4"/>
      <c r="J3761" s="18"/>
      <c r="K3761" s="4"/>
      <c r="L3761" s="19"/>
      <c r="M3761" s="20"/>
    </row>
    <row r="3762">
      <c r="A3762" s="6"/>
      <c r="B3762" s="6"/>
      <c r="C3762" s="4"/>
      <c r="D3762" s="4"/>
      <c r="E3762" s="4"/>
      <c r="F3762" s="4"/>
      <c r="G3762" s="4"/>
      <c r="H3762" s="4"/>
      <c r="I3762" s="4"/>
      <c r="J3762" s="18"/>
      <c r="K3762" s="4"/>
      <c r="L3762" s="19"/>
      <c r="M3762" s="20"/>
    </row>
    <row r="3763">
      <c r="A3763" s="6"/>
      <c r="B3763" s="6"/>
      <c r="C3763" s="4"/>
      <c r="D3763" s="4"/>
      <c r="E3763" s="4"/>
      <c r="F3763" s="4"/>
      <c r="G3763" s="4"/>
      <c r="H3763" s="4"/>
      <c r="I3763" s="4"/>
      <c r="J3763" s="18"/>
      <c r="K3763" s="4"/>
      <c r="L3763" s="19"/>
      <c r="M3763" s="20"/>
    </row>
    <row r="3764">
      <c r="A3764" s="6"/>
      <c r="B3764" s="6"/>
      <c r="C3764" s="4"/>
      <c r="D3764" s="4"/>
      <c r="E3764" s="4"/>
      <c r="F3764" s="4"/>
      <c r="G3764" s="4"/>
      <c r="H3764" s="4"/>
      <c r="I3764" s="4"/>
      <c r="J3764" s="18"/>
      <c r="K3764" s="4"/>
      <c r="L3764" s="19"/>
      <c r="M3764" s="20"/>
    </row>
    <row r="3765">
      <c r="A3765" s="6"/>
      <c r="B3765" s="6"/>
      <c r="C3765" s="4"/>
      <c r="D3765" s="4"/>
      <c r="E3765" s="4"/>
      <c r="F3765" s="4"/>
      <c r="G3765" s="4"/>
      <c r="H3765" s="4"/>
      <c r="I3765" s="4"/>
      <c r="J3765" s="18"/>
      <c r="K3765" s="4"/>
      <c r="L3765" s="19"/>
      <c r="M3765" s="20"/>
    </row>
    <row r="3766">
      <c r="A3766" s="6"/>
      <c r="B3766" s="6"/>
      <c r="C3766" s="4"/>
      <c r="D3766" s="4"/>
      <c r="E3766" s="4"/>
      <c r="F3766" s="4"/>
      <c r="G3766" s="4"/>
      <c r="H3766" s="4"/>
      <c r="I3766" s="4"/>
      <c r="J3766" s="18"/>
      <c r="K3766" s="4"/>
      <c r="L3766" s="19"/>
      <c r="M3766" s="20"/>
    </row>
    <row r="3767">
      <c r="A3767" s="6"/>
      <c r="B3767" s="6"/>
      <c r="C3767" s="4"/>
      <c r="D3767" s="4"/>
      <c r="E3767" s="4"/>
      <c r="F3767" s="4"/>
      <c r="G3767" s="4"/>
      <c r="H3767" s="4"/>
      <c r="I3767" s="4"/>
      <c r="J3767" s="18"/>
      <c r="K3767" s="4"/>
      <c r="L3767" s="19"/>
      <c r="M3767" s="20"/>
    </row>
    <row r="3768">
      <c r="A3768" s="6"/>
      <c r="B3768" s="6"/>
      <c r="C3768" s="4"/>
      <c r="D3768" s="4"/>
      <c r="E3768" s="4"/>
      <c r="F3768" s="4"/>
      <c r="G3768" s="4"/>
      <c r="H3768" s="4"/>
      <c r="I3768" s="4"/>
      <c r="J3768" s="18"/>
      <c r="K3768" s="4"/>
      <c r="L3768" s="19"/>
      <c r="M3768" s="20"/>
    </row>
    <row r="3769">
      <c r="A3769" s="6"/>
      <c r="B3769" s="6"/>
      <c r="C3769" s="4"/>
      <c r="D3769" s="4"/>
      <c r="E3769" s="4"/>
      <c r="F3769" s="4"/>
      <c r="G3769" s="4"/>
      <c r="H3769" s="4"/>
      <c r="I3769" s="4"/>
      <c r="J3769" s="18"/>
      <c r="K3769" s="4"/>
      <c r="L3769" s="19"/>
      <c r="M3769" s="20"/>
    </row>
    <row r="3770">
      <c r="A3770" s="6"/>
      <c r="B3770" s="6"/>
      <c r="C3770" s="4"/>
      <c r="D3770" s="4"/>
      <c r="E3770" s="4"/>
      <c r="F3770" s="4"/>
      <c r="G3770" s="4"/>
      <c r="H3770" s="4"/>
      <c r="I3770" s="4"/>
      <c r="J3770" s="18"/>
      <c r="K3770" s="4"/>
      <c r="L3770" s="19"/>
      <c r="M3770" s="20"/>
    </row>
    <row r="3771">
      <c r="A3771" s="6"/>
      <c r="B3771" s="6"/>
      <c r="C3771" s="4"/>
      <c r="D3771" s="4"/>
      <c r="E3771" s="4"/>
      <c r="F3771" s="4"/>
      <c r="G3771" s="4"/>
      <c r="H3771" s="4"/>
      <c r="I3771" s="4"/>
      <c r="J3771" s="18"/>
      <c r="K3771" s="4"/>
      <c r="L3771" s="19"/>
      <c r="M3771" s="20"/>
    </row>
    <row r="3772">
      <c r="A3772" s="6"/>
      <c r="B3772" s="6"/>
      <c r="C3772" s="4"/>
      <c r="D3772" s="4"/>
      <c r="E3772" s="4"/>
      <c r="F3772" s="4"/>
      <c r="G3772" s="4"/>
      <c r="H3772" s="4"/>
      <c r="I3772" s="4"/>
      <c r="J3772" s="18"/>
      <c r="K3772" s="4"/>
      <c r="L3772" s="19"/>
      <c r="M3772" s="20"/>
    </row>
    <row r="3773">
      <c r="A3773" s="6"/>
      <c r="B3773" s="6"/>
      <c r="C3773" s="4"/>
      <c r="D3773" s="4"/>
      <c r="E3773" s="4"/>
      <c r="F3773" s="4"/>
      <c r="G3773" s="4"/>
      <c r="H3773" s="4"/>
      <c r="I3773" s="4"/>
      <c r="J3773" s="18"/>
      <c r="K3773" s="4"/>
      <c r="L3773" s="19"/>
      <c r="M3773" s="20"/>
    </row>
    <row r="3774">
      <c r="A3774" s="6"/>
      <c r="B3774" s="6"/>
      <c r="C3774" s="4"/>
      <c r="D3774" s="4"/>
      <c r="E3774" s="4"/>
      <c r="F3774" s="4"/>
      <c r="G3774" s="4"/>
      <c r="H3774" s="4"/>
      <c r="I3774" s="4"/>
      <c r="J3774" s="18"/>
      <c r="K3774" s="4"/>
      <c r="L3774" s="19"/>
      <c r="M3774" s="20"/>
    </row>
    <row r="3775">
      <c r="A3775" s="6"/>
      <c r="B3775" s="6"/>
      <c r="C3775" s="4"/>
      <c r="D3775" s="4"/>
      <c r="E3775" s="4"/>
      <c r="F3775" s="4"/>
      <c r="G3775" s="4"/>
      <c r="H3775" s="4"/>
      <c r="I3775" s="4"/>
      <c r="J3775" s="18"/>
      <c r="K3775" s="4"/>
      <c r="L3775" s="19"/>
      <c r="M3775" s="20"/>
    </row>
    <row r="3776">
      <c r="A3776" s="6"/>
      <c r="B3776" s="6"/>
      <c r="C3776" s="4"/>
      <c r="D3776" s="4"/>
      <c r="E3776" s="4"/>
      <c r="F3776" s="4"/>
      <c r="G3776" s="4"/>
      <c r="H3776" s="4"/>
      <c r="I3776" s="4"/>
      <c r="J3776" s="18"/>
      <c r="K3776" s="4"/>
      <c r="L3776" s="19"/>
      <c r="M3776" s="20"/>
    </row>
    <row r="3777">
      <c r="A3777" s="6"/>
      <c r="B3777" s="6"/>
      <c r="C3777" s="4"/>
      <c r="D3777" s="4"/>
      <c r="E3777" s="4"/>
      <c r="F3777" s="4"/>
      <c r="G3777" s="4"/>
      <c r="H3777" s="4"/>
      <c r="I3777" s="4"/>
      <c r="J3777" s="18"/>
      <c r="K3777" s="4"/>
      <c r="L3777" s="19"/>
      <c r="M3777" s="20"/>
    </row>
    <row r="3778">
      <c r="A3778" s="6"/>
      <c r="B3778" s="6"/>
      <c r="C3778" s="4"/>
      <c r="D3778" s="4"/>
      <c r="E3778" s="4"/>
      <c r="F3778" s="4"/>
      <c r="G3778" s="4"/>
      <c r="H3778" s="4"/>
      <c r="I3778" s="4"/>
      <c r="J3778" s="18"/>
      <c r="K3778" s="4"/>
      <c r="L3778" s="19"/>
      <c r="M3778" s="20"/>
    </row>
    <row r="3779">
      <c r="A3779" s="6"/>
      <c r="B3779" s="6"/>
      <c r="C3779" s="4"/>
      <c r="D3779" s="4"/>
      <c r="E3779" s="4"/>
      <c r="F3779" s="4"/>
      <c r="G3779" s="4"/>
      <c r="H3779" s="4"/>
      <c r="I3779" s="4"/>
      <c r="J3779" s="18"/>
      <c r="K3779" s="4"/>
      <c r="L3779" s="19"/>
      <c r="M3779" s="20"/>
    </row>
    <row r="3780">
      <c r="A3780" s="6"/>
      <c r="B3780" s="6"/>
      <c r="C3780" s="4"/>
      <c r="D3780" s="4"/>
      <c r="E3780" s="4"/>
      <c r="F3780" s="4"/>
      <c r="G3780" s="4"/>
      <c r="H3780" s="4"/>
      <c r="I3780" s="4"/>
      <c r="J3780" s="18"/>
      <c r="K3780" s="4"/>
      <c r="L3780" s="19"/>
      <c r="M3780" s="20"/>
    </row>
    <row r="3781">
      <c r="A3781" s="6"/>
      <c r="B3781" s="6"/>
      <c r="C3781" s="4"/>
      <c r="D3781" s="4"/>
      <c r="E3781" s="4"/>
      <c r="F3781" s="4"/>
      <c r="G3781" s="4"/>
      <c r="H3781" s="4"/>
      <c r="I3781" s="4"/>
      <c r="J3781" s="18"/>
      <c r="K3781" s="4"/>
      <c r="L3781" s="19"/>
      <c r="M3781" s="20"/>
    </row>
    <row r="3782">
      <c r="A3782" s="6"/>
      <c r="B3782" s="6"/>
      <c r="C3782" s="4"/>
      <c r="D3782" s="4"/>
      <c r="E3782" s="4"/>
      <c r="F3782" s="4"/>
      <c r="G3782" s="4"/>
      <c r="H3782" s="4"/>
      <c r="I3782" s="4"/>
      <c r="J3782" s="18"/>
      <c r="K3782" s="4"/>
      <c r="L3782" s="19"/>
      <c r="M3782" s="20"/>
    </row>
    <row r="3783">
      <c r="A3783" s="6"/>
      <c r="B3783" s="6"/>
      <c r="C3783" s="4"/>
      <c r="D3783" s="4"/>
      <c r="E3783" s="4"/>
      <c r="F3783" s="4"/>
      <c r="G3783" s="4"/>
      <c r="H3783" s="4"/>
      <c r="I3783" s="4"/>
      <c r="J3783" s="18"/>
      <c r="K3783" s="4"/>
      <c r="L3783" s="19"/>
      <c r="M3783" s="20"/>
    </row>
    <row r="3784">
      <c r="A3784" s="6"/>
      <c r="B3784" s="6"/>
      <c r="C3784" s="4"/>
      <c r="D3784" s="4"/>
      <c r="E3784" s="4"/>
      <c r="F3784" s="4"/>
      <c r="G3784" s="4"/>
      <c r="H3784" s="4"/>
      <c r="I3784" s="4"/>
      <c r="J3784" s="18"/>
      <c r="K3784" s="4"/>
      <c r="L3784" s="19"/>
      <c r="M3784" s="20"/>
    </row>
    <row r="3785">
      <c r="A3785" s="6"/>
      <c r="B3785" s="6"/>
      <c r="C3785" s="4"/>
      <c r="D3785" s="4"/>
      <c r="E3785" s="4"/>
      <c r="F3785" s="4"/>
      <c r="G3785" s="4"/>
      <c r="H3785" s="4"/>
      <c r="I3785" s="4"/>
      <c r="J3785" s="18"/>
      <c r="K3785" s="4"/>
      <c r="L3785" s="19"/>
      <c r="M3785" s="20"/>
    </row>
    <row r="3786">
      <c r="A3786" s="6"/>
      <c r="B3786" s="6"/>
      <c r="C3786" s="4"/>
      <c r="D3786" s="4"/>
      <c r="E3786" s="4"/>
      <c r="F3786" s="4"/>
      <c r="G3786" s="4"/>
      <c r="H3786" s="4"/>
      <c r="I3786" s="4"/>
      <c r="J3786" s="18"/>
      <c r="K3786" s="4"/>
      <c r="L3786" s="19"/>
      <c r="M3786" s="20"/>
    </row>
    <row r="3787">
      <c r="A3787" s="6"/>
      <c r="B3787" s="6"/>
      <c r="C3787" s="4"/>
      <c r="D3787" s="4"/>
      <c r="E3787" s="4"/>
      <c r="F3787" s="4"/>
      <c r="G3787" s="4"/>
      <c r="H3787" s="4"/>
      <c r="I3787" s="4"/>
      <c r="J3787" s="18"/>
      <c r="K3787" s="4"/>
      <c r="L3787" s="19"/>
      <c r="M3787" s="20"/>
    </row>
    <row r="3788">
      <c r="A3788" s="6"/>
      <c r="B3788" s="6"/>
      <c r="C3788" s="4"/>
      <c r="D3788" s="4"/>
      <c r="E3788" s="4"/>
      <c r="F3788" s="4"/>
      <c r="G3788" s="4"/>
      <c r="H3788" s="4"/>
      <c r="I3788" s="4"/>
      <c r="J3788" s="18"/>
      <c r="K3788" s="4"/>
      <c r="L3788" s="19"/>
      <c r="M3788" s="20"/>
    </row>
    <row r="3789">
      <c r="A3789" s="6"/>
      <c r="B3789" s="6"/>
      <c r="C3789" s="4"/>
      <c r="D3789" s="4"/>
      <c r="E3789" s="4"/>
      <c r="F3789" s="4"/>
      <c r="G3789" s="4"/>
      <c r="H3789" s="4"/>
      <c r="I3789" s="4"/>
      <c r="J3789" s="18"/>
      <c r="K3789" s="4"/>
      <c r="L3789" s="19"/>
      <c r="M3789" s="20"/>
    </row>
    <row r="3790">
      <c r="A3790" s="6"/>
      <c r="B3790" s="6"/>
      <c r="C3790" s="4"/>
      <c r="D3790" s="4"/>
      <c r="E3790" s="4"/>
      <c r="F3790" s="4"/>
      <c r="G3790" s="4"/>
      <c r="H3790" s="4"/>
      <c r="I3790" s="4"/>
      <c r="J3790" s="18"/>
      <c r="K3790" s="4"/>
      <c r="L3790" s="19"/>
      <c r="M3790" s="20"/>
    </row>
    <row r="3791">
      <c r="A3791" s="6"/>
      <c r="B3791" s="6"/>
      <c r="C3791" s="4"/>
      <c r="D3791" s="4"/>
      <c r="E3791" s="4"/>
      <c r="F3791" s="4"/>
      <c r="G3791" s="4"/>
      <c r="H3791" s="4"/>
      <c r="I3791" s="4"/>
      <c r="J3791" s="18"/>
      <c r="K3791" s="4"/>
      <c r="L3791" s="19"/>
      <c r="M3791" s="20"/>
    </row>
    <row r="3792">
      <c r="A3792" s="6"/>
      <c r="B3792" s="6"/>
      <c r="C3792" s="4"/>
      <c r="D3792" s="4"/>
      <c r="E3792" s="4"/>
      <c r="F3792" s="4"/>
      <c r="G3792" s="4"/>
      <c r="H3792" s="4"/>
      <c r="I3792" s="4"/>
      <c r="J3792" s="18"/>
      <c r="K3792" s="4"/>
      <c r="L3792" s="19"/>
      <c r="M3792" s="20"/>
    </row>
    <row r="3793">
      <c r="A3793" s="6"/>
      <c r="B3793" s="6"/>
      <c r="C3793" s="4"/>
      <c r="D3793" s="4"/>
      <c r="E3793" s="4"/>
      <c r="F3793" s="4"/>
      <c r="G3793" s="4"/>
      <c r="H3793" s="4"/>
      <c r="I3793" s="4"/>
      <c r="J3793" s="18"/>
      <c r="K3793" s="4"/>
      <c r="L3793" s="19"/>
      <c r="M3793" s="20"/>
    </row>
    <row r="3794">
      <c r="A3794" s="6"/>
      <c r="B3794" s="6"/>
      <c r="C3794" s="4"/>
      <c r="D3794" s="4"/>
      <c r="E3794" s="4"/>
      <c r="F3794" s="4"/>
      <c r="G3794" s="4"/>
      <c r="H3794" s="4"/>
      <c r="I3794" s="4"/>
      <c r="J3794" s="18"/>
      <c r="K3794" s="4"/>
      <c r="L3794" s="19"/>
      <c r="M3794" s="20"/>
    </row>
    <row r="3795">
      <c r="A3795" s="6"/>
      <c r="B3795" s="6"/>
      <c r="C3795" s="4"/>
      <c r="D3795" s="4"/>
      <c r="E3795" s="4"/>
      <c r="F3795" s="4"/>
      <c r="G3795" s="4"/>
      <c r="H3795" s="4"/>
      <c r="I3795" s="4"/>
      <c r="J3795" s="18"/>
      <c r="K3795" s="4"/>
      <c r="L3795" s="19"/>
      <c r="M3795" s="20"/>
    </row>
    <row r="3796">
      <c r="A3796" s="6"/>
      <c r="B3796" s="6"/>
      <c r="C3796" s="4"/>
      <c r="D3796" s="4"/>
      <c r="E3796" s="4"/>
      <c r="F3796" s="4"/>
      <c r="G3796" s="4"/>
      <c r="H3796" s="4"/>
      <c r="I3796" s="4"/>
      <c r="J3796" s="18"/>
      <c r="K3796" s="4"/>
      <c r="L3796" s="19"/>
      <c r="M3796" s="20"/>
    </row>
    <row r="3797">
      <c r="A3797" s="6"/>
      <c r="B3797" s="6"/>
      <c r="C3797" s="4"/>
      <c r="D3797" s="4"/>
      <c r="E3797" s="4"/>
      <c r="F3797" s="4"/>
      <c r="G3797" s="4"/>
      <c r="H3797" s="4"/>
      <c r="I3797" s="4"/>
      <c r="J3797" s="18"/>
      <c r="K3797" s="4"/>
      <c r="L3797" s="19"/>
      <c r="M3797" s="20"/>
    </row>
    <row r="3798">
      <c r="A3798" s="6"/>
      <c r="B3798" s="6"/>
      <c r="C3798" s="4"/>
      <c r="D3798" s="4"/>
      <c r="E3798" s="4"/>
      <c r="F3798" s="4"/>
      <c r="G3798" s="4"/>
      <c r="H3798" s="4"/>
      <c r="I3798" s="4"/>
      <c r="J3798" s="18"/>
      <c r="K3798" s="4"/>
      <c r="L3798" s="19"/>
      <c r="M3798" s="20"/>
    </row>
    <row r="3799">
      <c r="A3799" s="6"/>
      <c r="B3799" s="6"/>
      <c r="C3799" s="4"/>
      <c r="D3799" s="4"/>
      <c r="E3799" s="4"/>
      <c r="F3799" s="4"/>
      <c r="G3799" s="4"/>
      <c r="H3799" s="4"/>
      <c r="I3799" s="4"/>
      <c r="J3799" s="18"/>
      <c r="K3799" s="4"/>
      <c r="L3799" s="19"/>
      <c r="M3799" s="20"/>
    </row>
    <row r="3800">
      <c r="A3800" s="6"/>
      <c r="B3800" s="6"/>
      <c r="C3800" s="4"/>
      <c r="D3800" s="4"/>
      <c r="E3800" s="4"/>
      <c r="F3800" s="4"/>
      <c r="G3800" s="4"/>
      <c r="H3800" s="4"/>
      <c r="I3800" s="4"/>
      <c r="J3800" s="18"/>
      <c r="K3800" s="4"/>
      <c r="L3800" s="19"/>
      <c r="M3800" s="20"/>
    </row>
    <row r="3801">
      <c r="A3801" s="6"/>
      <c r="B3801" s="6"/>
      <c r="C3801" s="4"/>
      <c r="D3801" s="4"/>
      <c r="E3801" s="4"/>
      <c r="F3801" s="4"/>
      <c r="G3801" s="4"/>
      <c r="H3801" s="4"/>
      <c r="I3801" s="4"/>
      <c r="J3801" s="18"/>
      <c r="K3801" s="4"/>
      <c r="L3801" s="19"/>
      <c r="M3801" s="20"/>
    </row>
    <row r="3802">
      <c r="A3802" s="6"/>
      <c r="B3802" s="6"/>
      <c r="C3802" s="4"/>
      <c r="D3802" s="4"/>
      <c r="E3802" s="4"/>
      <c r="F3802" s="4"/>
      <c r="G3802" s="4"/>
      <c r="H3802" s="4"/>
      <c r="I3802" s="4"/>
      <c r="J3802" s="18"/>
      <c r="K3802" s="4"/>
      <c r="L3802" s="19"/>
      <c r="M3802" s="20"/>
    </row>
    <row r="3803">
      <c r="A3803" s="6"/>
      <c r="B3803" s="6"/>
      <c r="C3803" s="4"/>
      <c r="D3803" s="4"/>
      <c r="E3803" s="4"/>
      <c r="F3803" s="4"/>
      <c r="G3803" s="4"/>
      <c r="H3803" s="4"/>
      <c r="I3803" s="4"/>
      <c r="J3803" s="18"/>
      <c r="K3803" s="4"/>
      <c r="L3803" s="19"/>
      <c r="M3803" s="20"/>
    </row>
    <row r="3804">
      <c r="A3804" s="6"/>
      <c r="B3804" s="6"/>
      <c r="C3804" s="4"/>
      <c r="D3804" s="4"/>
      <c r="E3804" s="4"/>
      <c r="F3804" s="4"/>
      <c r="G3804" s="4"/>
      <c r="H3804" s="4"/>
      <c r="I3804" s="4"/>
      <c r="J3804" s="18"/>
      <c r="K3804" s="4"/>
      <c r="L3804" s="19"/>
      <c r="M3804" s="20"/>
    </row>
    <row r="3805">
      <c r="A3805" s="6"/>
      <c r="B3805" s="6"/>
      <c r="C3805" s="4"/>
      <c r="D3805" s="4"/>
      <c r="E3805" s="4"/>
      <c r="F3805" s="4"/>
      <c r="G3805" s="4"/>
      <c r="H3805" s="4"/>
      <c r="I3805" s="4"/>
      <c r="J3805" s="18"/>
      <c r="K3805" s="4"/>
      <c r="L3805" s="19"/>
      <c r="M3805" s="20"/>
    </row>
    <row r="3806">
      <c r="A3806" s="6"/>
      <c r="B3806" s="6"/>
      <c r="C3806" s="4"/>
      <c r="D3806" s="4"/>
      <c r="E3806" s="4"/>
      <c r="F3806" s="4"/>
      <c r="G3806" s="4"/>
      <c r="H3806" s="4"/>
      <c r="I3806" s="4"/>
      <c r="J3806" s="18"/>
      <c r="K3806" s="4"/>
      <c r="L3806" s="19"/>
      <c r="M3806" s="20"/>
    </row>
    <row r="3807">
      <c r="A3807" s="6"/>
      <c r="B3807" s="6"/>
      <c r="C3807" s="4"/>
      <c r="D3807" s="4"/>
      <c r="E3807" s="4"/>
      <c r="F3807" s="4"/>
      <c r="G3807" s="4"/>
      <c r="H3807" s="4"/>
      <c r="I3807" s="4"/>
      <c r="J3807" s="18"/>
      <c r="K3807" s="4"/>
      <c r="L3807" s="19"/>
      <c r="M3807" s="20"/>
    </row>
    <row r="3808">
      <c r="A3808" s="6"/>
      <c r="B3808" s="6"/>
      <c r="C3808" s="4"/>
      <c r="D3808" s="4"/>
      <c r="E3808" s="4"/>
      <c r="F3808" s="4"/>
      <c r="G3808" s="4"/>
      <c r="H3808" s="4"/>
      <c r="I3808" s="4"/>
      <c r="J3808" s="18"/>
      <c r="K3808" s="4"/>
      <c r="L3808" s="19"/>
      <c r="M3808" s="20"/>
    </row>
    <row r="3809">
      <c r="A3809" s="6"/>
      <c r="B3809" s="6"/>
      <c r="C3809" s="4"/>
      <c r="D3809" s="4"/>
      <c r="E3809" s="4"/>
      <c r="F3809" s="4"/>
      <c r="G3809" s="4"/>
      <c r="H3809" s="4"/>
      <c r="I3809" s="4"/>
      <c r="J3809" s="18"/>
      <c r="K3809" s="4"/>
      <c r="L3809" s="19"/>
      <c r="M3809" s="20"/>
    </row>
    <row r="3810">
      <c r="A3810" s="6"/>
      <c r="B3810" s="6"/>
      <c r="C3810" s="4"/>
      <c r="D3810" s="4"/>
      <c r="E3810" s="4"/>
      <c r="F3810" s="4"/>
      <c r="G3810" s="4"/>
      <c r="H3810" s="4"/>
      <c r="I3810" s="4"/>
      <c r="J3810" s="18"/>
      <c r="K3810" s="4"/>
      <c r="L3810" s="19"/>
      <c r="M3810" s="20"/>
    </row>
    <row r="3811">
      <c r="A3811" s="6"/>
      <c r="B3811" s="6"/>
      <c r="C3811" s="4"/>
      <c r="D3811" s="4"/>
      <c r="E3811" s="4"/>
      <c r="F3811" s="4"/>
      <c r="G3811" s="4"/>
      <c r="H3811" s="4"/>
      <c r="I3811" s="4"/>
      <c r="J3811" s="18"/>
      <c r="K3811" s="4"/>
      <c r="L3811" s="19"/>
      <c r="M3811" s="20"/>
    </row>
    <row r="3812">
      <c r="A3812" s="6"/>
      <c r="B3812" s="6"/>
      <c r="C3812" s="4"/>
      <c r="D3812" s="4"/>
      <c r="E3812" s="4"/>
      <c r="F3812" s="4"/>
      <c r="G3812" s="4"/>
      <c r="H3812" s="4"/>
      <c r="I3812" s="4"/>
      <c r="J3812" s="18"/>
      <c r="K3812" s="4"/>
      <c r="L3812" s="19"/>
      <c r="M3812" s="20"/>
    </row>
    <row r="3813">
      <c r="A3813" s="6"/>
      <c r="B3813" s="6"/>
      <c r="C3813" s="4"/>
      <c r="D3813" s="4"/>
      <c r="E3813" s="4"/>
      <c r="F3813" s="4"/>
      <c r="G3813" s="4"/>
      <c r="H3813" s="4"/>
      <c r="I3813" s="4"/>
      <c r="J3813" s="18"/>
      <c r="K3813" s="4"/>
      <c r="L3813" s="19"/>
      <c r="M3813" s="20"/>
    </row>
    <row r="3814">
      <c r="A3814" s="6"/>
      <c r="B3814" s="6"/>
      <c r="C3814" s="4"/>
      <c r="D3814" s="4"/>
      <c r="E3814" s="4"/>
      <c r="F3814" s="4"/>
      <c r="G3814" s="4"/>
      <c r="H3814" s="4"/>
      <c r="I3814" s="4"/>
      <c r="J3814" s="18"/>
      <c r="K3814" s="4"/>
      <c r="L3814" s="19"/>
      <c r="M3814" s="20"/>
    </row>
    <row r="3815">
      <c r="A3815" s="6"/>
      <c r="B3815" s="6"/>
      <c r="C3815" s="4"/>
      <c r="D3815" s="4"/>
      <c r="E3815" s="4"/>
      <c r="F3815" s="4"/>
      <c r="G3815" s="4"/>
      <c r="H3815" s="4"/>
      <c r="I3815" s="4"/>
      <c r="J3815" s="18"/>
      <c r="K3815" s="4"/>
      <c r="L3815" s="19"/>
      <c r="M3815" s="20"/>
    </row>
    <row r="3816">
      <c r="A3816" s="6"/>
      <c r="B3816" s="6"/>
      <c r="C3816" s="4"/>
      <c r="D3816" s="4"/>
      <c r="E3816" s="4"/>
      <c r="F3816" s="4"/>
      <c r="G3816" s="4"/>
      <c r="H3816" s="4"/>
      <c r="I3816" s="4"/>
      <c r="J3816" s="18"/>
      <c r="K3816" s="4"/>
      <c r="L3816" s="19"/>
      <c r="M3816" s="20"/>
    </row>
    <row r="3817">
      <c r="A3817" s="6"/>
      <c r="B3817" s="6"/>
      <c r="C3817" s="4"/>
      <c r="D3817" s="4"/>
      <c r="E3817" s="4"/>
      <c r="F3817" s="4"/>
      <c r="G3817" s="4"/>
      <c r="H3817" s="4"/>
      <c r="I3817" s="4"/>
      <c r="J3817" s="18"/>
      <c r="K3817" s="4"/>
      <c r="L3817" s="19"/>
      <c r="M3817" s="20"/>
    </row>
    <row r="3818">
      <c r="A3818" s="6"/>
      <c r="B3818" s="6"/>
      <c r="C3818" s="4"/>
      <c r="D3818" s="4"/>
      <c r="E3818" s="4"/>
      <c r="F3818" s="4"/>
      <c r="G3818" s="4"/>
      <c r="H3818" s="4"/>
      <c r="I3818" s="4"/>
      <c r="J3818" s="18"/>
      <c r="K3818" s="4"/>
      <c r="L3818" s="19"/>
      <c r="M3818" s="20"/>
    </row>
    <row r="3819">
      <c r="A3819" s="6"/>
      <c r="B3819" s="6"/>
      <c r="C3819" s="4"/>
      <c r="D3819" s="4"/>
      <c r="E3819" s="4"/>
      <c r="F3819" s="4"/>
      <c r="G3819" s="4"/>
      <c r="H3819" s="4"/>
      <c r="I3819" s="4"/>
      <c r="J3819" s="18"/>
      <c r="K3819" s="4"/>
      <c r="L3819" s="19"/>
      <c r="M3819" s="20"/>
    </row>
    <row r="3820">
      <c r="A3820" s="6"/>
      <c r="B3820" s="6"/>
      <c r="C3820" s="4"/>
      <c r="D3820" s="4"/>
      <c r="E3820" s="4"/>
      <c r="F3820" s="4"/>
      <c r="G3820" s="4"/>
      <c r="H3820" s="4"/>
      <c r="I3820" s="4"/>
      <c r="J3820" s="18"/>
      <c r="K3820" s="4"/>
      <c r="L3820" s="19"/>
      <c r="M3820" s="20"/>
    </row>
    <row r="3821">
      <c r="A3821" s="6"/>
      <c r="B3821" s="6"/>
      <c r="C3821" s="4"/>
      <c r="D3821" s="4"/>
      <c r="E3821" s="4"/>
      <c r="F3821" s="4"/>
      <c r="G3821" s="4"/>
      <c r="H3821" s="4"/>
      <c r="I3821" s="4"/>
      <c r="J3821" s="18"/>
      <c r="K3821" s="4"/>
      <c r="L3821" s="19"/>
      <c r="M3821" s="20"/>
    </row>
    <row r="3822">
      <c r="A3822" s="6"/>
      <c r="B3822" s="6"/>
      <c r="C3822" s="4"/>
      <c r="D3822" s="4"/>
      <c r="E3822" s="4"/>
      <c r="F3822" s="4"/>
      <c r="G3822" s="4"/>
      <c r="H3822" s="4"/>
      <c r="I3822" s="4"/>
      <c r="J3822" s="18"/>
      <c r="K3822" s="4"/>
      <c r="L3822" s="19"/>
      <c r="M3822" s="20"/>
    </row>
    <row r="3823">
      <c r="A3823" s="6"/>
      <c r="B3823" s="6"/>
      <c r="C3823" s="4"/>
      <c r="D3823" s="4"/>
      <c r="E3823" s="4"/>
      <c r="F3823" s="4"/>
      <c r="G3823" s="4"/>
      <c r="H3823" s="4"/>
      <c r="I3823" s="4"/>
      <c r="J3823" s="18"/>
      <c r="K3823" s="4"/>
      <c r="L3823" s="19"/>
      <c r="M3823" s="20"/>
    </row>
    <row r="3824">
      <c r="A3824" s="6"/>
      <c r="B3824" s="6"/>
      <c r="C3824" s="4"/>
      <c r="D3824" s="4"/>
      <c r="E3824" s="4"/>
      <c r="F3824" s="4"/>
      <c r="G3824" s="4"/>
      <c r="H3824" s="4"/>
      <c r="I3824" s="4"/>
      <c r="J3824" s="18"/>
      <c r="K3824" s="4"/>
      <c r="L3824" s="19"/>
      <c r="M3824" s="20"/>
    </row>
    <row r="3825">
      <c r="A3825" s="6"/>
      <c r="B3825" s="6"/>
      <c r="C3825" s="4"/>
      <c r="D3825" s="4"/>
      <c r="E3825" s="4"/>
      <c r="F3825" s="4"/>
      <c r="G3825" s="4"/>
      <c r="H3825" s="4"/>
      <c r="I3825" s="4"/>
      <c r="J3825" s="18"/>
      <c r="K3825" s="4"/>
      <c r="L3825" s="19"/>
      <c r="M3825" s="20"/>
    </row>
    <row r="3826">
      <c r="A3826" s="6"/>
      <c r="B3826" s="6"/>
      <c r="C3826" s="4"/>
      <c r="D3826" s="4"/>
      <c r="E3826" s="4"/>
      <c r="F3826" s="4"/>
      <c r="G3826" s="4"/>
      <c r="H3826" s="4"/>
      <c r="I3826" s="4"/>
      <c r="J3826" s="18"/>
      <c r="K3826" s="4"/>
      <c r="L3826" s="19"/>
      <c r="M3826" s="20"/>
    </row>
    <row r="3827">
      <c r="A3827" s="6"/>
      <c r="B3827" s="6"/>
      <c r="C3827" s="4"/>
      <c r="D3827" s="4"/>
      <c r="E3827" s="4"/>
      <c r="F3827" s="4"/>
      <c r="G3827" s="4"/>
      <c r="H3827" s="4"/>
      <c r="I3827" s="4"/>
      <c r="J3827" s="18"/>
      <c r="K3827" s="4"/>
      <c r="L3827" s="19"/>
      <c r="M3827" s="20"/>
    </row>
    <row r="3828">
      <c r="A3828" s="6"/>
      <c r="B3828" s="6"/>
      <c r="C3828" s="4"/>
      <c r="D3828" s="4"/>
      <c r="E3828" s="4"/>
      <c r="F3828" s="4"/>
      <c r="G3828" s="4"/>
      <c r="H3828" s="4"/>
      <c r="I3828" s="4"/>
      <c r="J3828" s="18"/>
      <c r="K3828" s="4"/>
      <c r="L3828" s="19"/>
      <c r="M3828" s="20"/>
    </row>
    <row r="3829">
      <c r="A3829" s="6"/>
      <c r="B3829" s="6"/>
      <c r="C3829" s="4"/>
      <c r="D3829" s="4"/>
      <c r="E3829" s="4"/>
      <c r="F3829" s="4"/>
      <c r="G3829" s="4"/>
      <c r="H3829" s="4"/>
      <c r="I3829" s="4"/>
      <c r="J3829" s="18"/>
      <c r="K3829" s="4"/>
      <c r="L3829" s="19"/>
      <c r="M3829" s="20"/>
    </row>
    <row r="3830">
      <c r="A3830" s="6"/>
      <c r="B3830" s="6"/>
      <c r="C3830" s="4"/>
      <c r="D3830" s="4"/>
      <c r="E3830" s="4"/>
      <c r="F3830" s="4"/>
      <c r="G3830" s="4"/>
      <c r="H3830" s="4"/>
      <c r="I3830" s="4"/>
      <c r="J3830" s="18"/>
      <c r="K3830" s="4"/>
      <c r="L3830" s="19"/>
      <c r="M3830" s="20"/>
    </row>
    <row r="3831">
      <c r="A3831" s="6"/>
      <c r="B3831" s="6"/>
      <c r="C3831" s="4"/>
      <c r="D3831" s="4"/>
      <c r="E3831" s="4"/>
      <c r="F3831" s="4"/>
      <c r="G3831" s="4"/>
      <c r="H3831" s="4"/>
      <c r="I3831" s="4"/>
      <c r="J3831" s="18"/>
      <c r="K3831" s="4"/>
      <c r="L3831" s="19"/>
      <c r="M3831" s="20"/>
    </row>
    <row r="3832">
      <c r="A3832" s="6"/>
      <c r="B3832" s="6"/>
      <c r="C3832" s="4"/>
      <c r="D3832" s="4"/>
      <c r="E3832" s="4"/>
      <c r="F3832" s="4"/>
      <c r="G3832" s="4"/>
      <c r="H3832" s="4"/>
      <c r="I3832" s="4"/>
      <c r="J3832" s="18"/>
      <c r="K3832" s="4"/>
      <c r="L3832" s="19"/>
      <c r="M3832" s="20"/>
    </row>
    <row r="3833">
      <c r="A3833" s="6"/>
      <c r="B3833" s="6"/>
      <c r="C3833" s="4"/>
      <c r="D3833" s="4"/>
      <c r="E3833" s="4"/>
      <c r="F3833" s="4"/>
      <c r="G3833" s="4"/>
      <c r="H3833" s="4"/>
      <c r="I3833" s="4"/>
      <c r="J3833" s="18"/>
      <c r="K3833" s="4"/>
      <c r="L3833" s="19"/>
      <c r="M3833" s="20"/>
    </row>
    <row r="3834">
      <c r="A3834" s="6"/>
      <c r="B3834" s="6"/>
      <c r="C3834" s="4"/>
      <c r="D3834" s="4"/>
      <c r="E3834" s="4"/>
      <c r="F3834" s="4"/>
      <c r="G3834" s="4"/>
      <c r="H3834" s="4"/>
      <c r="I3834" s="4"/>
      <c r="J3834" s="18"/>
      <c r="K3834" s="4"/>
      <c r="L3834" s="19"/>
      <c r="M3834" s="20"/>
    </row>
    <row r="3835">
      <c r="A3835" s="6"/>
      <c r="B3835" s="6"/>
      <c r="C3835" s="4"/>
      <c r="D3835" s="4"/>
      <c r="E3835" s="4"/>
      <c r="F3835" s="4"/>
      <c r="G3835" s="4"/>
      <c r="H3835" s="4"/>
      <c r="I3835" s="4"/>
      <c r="J3835" s="18"/>
      <c r="K3835" s="4"/>
      <c r="L3835" s="19"/>
      <c r="M3835" s="20"/>
    </row>
    <row r="3836">
      <c r="A3836" s="6"/>
      <c r="B3836" s="6"/>
      <c r="C3836" s="4"/>
      <c r="D3836" s="4"/>
      <c r="E3836" s="4"/>
      <c r="F3836" s="4"/>
      <c r="G3836" s="4"/>
      <c r="H3836" s="4"/>
      <c r="I3836" s="4"/>
      <c r="J3836" s="18"/>
      <c r="K3836" s="4"/>
      <c r="L3836" s="19"/>
      <c r="M3836" s="20"/>
    </row>
    <row r="3837">
      <c r="A3837" s="6"/>
      <c r="B3837" s="6"/>
      <c r="C3837" s="4"/>
      <c r="D3837" s="4"/>
      <c r="E3837" s="4"/>
      <c r="F3837" s="4"/>
      <c r="G3837" s="4"/>
      <c r="H3837" s="4"/>
      <c r="I3837" s="4"/>
      <c r="J3837" s="18"/>
      <c r="K3837" s="4"/>
      <c r="L3837" s="19"/>
      <c r="M3837" s="20"/>
    </row>
    <row r="3838">
      <c r="A3838" s="6"/>
      <c r="B3838" s="6"/>
      <c r="C3838" s="4"/>
      <c r="D3838" s="4"/>
      <c r="E3838" s="4"/>
      <c r="F3838" s="4"/>
      <c r="G3838" s="4"/>
      <c r="H3838" s="4"/>
      <c r="I3838" s="4"/>
      <c r="J3838" s="18"/>
      <c r="K3838" s="4"/>
      <c r="L3838" s="19"/>
      <c r="M3838" s="20"/>
    </row>
    <row r="3839">
      <c r="A3839" s="6"/>
      <c r="B3839" s="6"/>
      <c r="C3839" s="4"/>
      <c r="D3839" s="4"/>
      <c r="E3839" s="4"/>
      <c r="F3839" s="4"/>
      <c r="G3839" s="4"/>
      <c r="H3839" s="4"/>
      <c r="I3839" s="4"/>
      <c r="J3839" s="18"/>
      <c r="K3839" s="4"/>
      <c r="L3839" s="19"/>
      <c r="M3839" s="20"/>
    </row>
    <row r="3840">
      <c r="A3840" s="6"/>
      <c r="B3840" s="6"/>
      <c r="C3840" s="4"/>
      <c r="D3840" s="4"/>
      <c r="E3840" s="4"/>
      <c r="F3840" s="4"/>
      <c r="G3840" s="4"/>
      <c r="H3840" s="4"/>
      <c r="I3840" s="4"/>
      <c r="J3840" s="18"/>
      <c r="K3840" s="4"/>
      <c r="L3840" s="19"/>
      <c r="M3840" s="20"/>
    </row>
    <row r="3841">
      <c r="A3841" s="6"/>
      <c r="B3841" s="6"/>
      <c r="C3841" s="4"/>
      <c r="D3841" s="4"/>
      <c r="E3841" s="4"/>
      <c r="F3841" s="4"/>
      <c r="G3841" s="4"/>
      <c r="H3841" s="4"/>
      <c r="I3841" s="4"/>
      <c r="J3841" s="18"/>
      <c r="K3841" s="4"/>
      <c r="L3841" s="19"/>
      <c r="M3841" s="20"/>
    </row>
    <row r="3842">
      <c r="A3842" s="6"/>
      <c r="B3842" s="6"/>
      <c r="C3842" s="4"/>
      <c r="D3842" s="4"/>
      <c r="E3842" s="4"/>
      <c r="F3842" s="4"/>
      <c r="G3842" s="4"/>
      <c r="H3842" s="4"/>
      <c r="I3842" s="4"/>
      <c r="J3842" s="18"/>
      <c r="K3842" s="4"/>
      <c r="L3842" s="19"/>
      <c r="M3842" s="20"/>
    </row>
    <row r="3843">
      <c r="A3843" s="6"/>
      <c r="B3843" s="6"/>
      <c r="C3843" s="4"/>
      <c r="D3843" s="4"/>
      <c r="E3843" s="4"/>
      <c r="F3843" s="4"/>
      <c r="G3843" s="4"/>
      <c r="H3843" s="4"/>
      <c r="I3843" s="4"/>
      <c r="J3843" s="18"/>
      <c r="K3843" s="4"/>
      <c r="L3843" s="19"/>
      <c r="M3843" s="20"/>
    </row>
    <row r="3844">
      <c r="A3844" s="6"/>
      <c r="B3844" s="6"/>
      <c r="C3844" s="4"/>
      <c r="D3844" s="4"/>
      <c r="E3844" s="4"/>
      <c r="F3844" s="4"/>
      <c r="G3844" s="4"/>
      <c r="H3844" s="4"/>
      <c r="I3844" s="4"/>
      <c r="J3844" s="18"/>
      <c r="K3844" s="4"/>
      <c r="L3844" s="19"/>
      <c r="M3844" s="20"/>
    </row>
    <row r="3845">
      <c r="A3845" s="6"/>
      <c r="B3845" s="6"/>
      <c r="C3845" s="4"/>
      <c r="D3845" s="4"/>
      <c r="E3845" s="4"/>
      <c r="F3845" s="4"/>
      <c r="G3845" s="4"/>
      <c r="H3845" s="4"/>
      <c r="I3845" s="4"/>
      <c r="J3845" s="18"/>
      <c r="K3845" s="4"/>
      <c r="L3845" s="19"/>
      <c r="M3845" s="20"/>
    </row>
    <row r="3846">
      <c r="A3846" s="6"/>
      <c r="B3846" s="6"/>
      <c r="C3846" s="4"/>
      <c r="D3846" s="4"/>
      <c r="E3846" s="4"/>
      <c r="F3846" s="4"/>
      <c r="G3846" s="4"/>
      <c r="H3846" s="4"/>
      <c r="I3846" s="4"/>
      <c r="J3846" s="18"/>
      <c r="K3846" s="4"/>
      <c r="L3846" s="19"/>
      <c r="M3846" s="20"/>
    </row>
    <row r="3847">
      <c r="A3847" s="6"/>
      <c r="B3847" s="6"/>
      <c r="C3847" s="4"/>
      <c r="D3847" s="4"/>
      <c r="E3847" s="4"/>
      <c r="F3847" s="4"/>
      <c r="G3847" s="4"/>
      <c r="H3847" s="4"/>
      <c r="I3847" s="4"/>
      <c r="J3847" s="18"/>
      <c r="K3847" s="4"/>
      <c r="L3847" s="19"/>
      <c r="M3847" s="20"/>
    </row>
    <row r="3848">
      <c r="A3848" s="6"/>
      <c r="B3848" s="6"/>
      <c r="C3848" s="4"/>
      <c r="D3848" s="4"/>
      <c r="E3848" s="4"/>
      <c r="F3848" s="4"/>
      <c r="G3848" s="4"/>
      <c r="H3848" s="4"/>
      <c r="I3848" s="4"/>
      <c r="J3848" s="18"/>
      <c r="K3848" s="4"/>
      <c r="L3848" s="19"/>
      <c r="M3848" s="20"/>
    </row>
    <row r="3849">
      <c r="A3849" s="6"/>
      <c r="B3849" s="6"/>
      <c r="C3849" s="4"/>
      <c r="D3849" s="4"/>
      <c r="E3849" s="4"/>
      <c r="F3849" s="4"/>
      <c r="G3849" s="4"/>
      <c r="H3849" s="4"/>
      <c r="I3849" s="4"/>
      <c r="J3849" s="18"/>
      <c r="K3849" s="4"/>
      <c r="L3849" s="19"/>
      <c r="M3849" s="20"/>
    </row>
    <row r="3850">
      <c r="A3850" s="6"/>
      <c r="B3850" s="6"/>
      <c r="C3850" s="4"/>
      <c r="D3850" s="4"/>
      <c r="E3850" s="4"/>
      <c r="F3850" s="4"/>
      <c r="G3850" s="4"/>
      <c r="H3850" s="4"/>
      <c r="I3850" s="4"/>
      <c r="J3850" s="18"/>
      <c r="K3850" s="4"/>
      <c r="L3850" s="19"/>
      <c r="M3850" s="20"/>
    </row>
    <row r="3851">
      <c r="A3851" s="6"/>
      <c r="B3851" s="6"/>
      <c r="C3851" s="4"/>
      <c r="D3851" s="4"/>
      <c r="E3851" s="4"/>
      <c r="F3851" s="4"/>
      <c r="G3851" s="4"/>
      <c r="H3851" s="4"/>
      <c r="I3851" s="4"/>
      <c r="J3851" s="18"/>
      <c r="K3851" s="4"/>
      <c r="L3851" s="19"/>
      <c r="M3851" s="20"/>
    </row>
    <row r="3852">
      <c r="A3852" s="6"/>
      <c r="B3852" s="6"/>
      <c r="C3852" s="4"/>
      <c r="D3852" s="4"/>
      <c r="E3852" s="4"/>
      <c r="F3852" s="4"/>
      <c r="G3852" s="4"/>
      <c r="H3852" s="4"/>
      <c r="I3852" s="4"/>
      <c r="J3852" s="18"/>
      <c r="K3852" s="4"/>
      <c r="L3852" s="19"/>
      <c r="M3852" s="20"/>
    </row>
    <row r="3853">
      <c r="A3853" s="6"/>
      <c r="B3853" s="6"/>
      <c r="C3853" s="4"/>
      <c r="D3853" s="4"/>
      <c r="E3853" s="4"/>
      <c r="F3853" s="4"/>
      <c r="G3853" s="4"/>
      <c r="H3853" s="4"/>
      <c r="I3853" s="4"/>
      <c r="J3853" s="18"/>
      <c r="K3853" s="4"/>
      <c r="L3853" s="19"/>
      <c r="M3853" s="20"/>
    </row>
    <row r="3854">
      <c r="A3854" s="6"/>
      <c r="B3854" s="6"/>
      <c r="C3854" s="4"/>
      <c r="D3854" s="4"/>
      <c r="E3854" s="4"/>
      <c r="F3854" s="4"/>
      <c r="G3854" s="4"/>
      <c r="H3854" s="4"/>
      <c r="I3854" s="4"/>
      <c r="J3854" s="18"/>
      <c r="K3854" s="4"/>
      <c r="L3854" s="19"/>
      <c r="M3854" s="20"/>
    </row>
    <row r="3855">
      <c r="A3855" s="6"/>
      <c r="B3855" s="6"/>
      <c r="C3855" s="4"/>
      <c r="D3855" s="4"/>
      <c r="E3855" s="4"/>
      <c r="F3855" s="4"/>
      <c r="G3855" s="4"/>
      <c r="H3855" s="4"/>
      <c r="I3855" s="4"/>
      <c r="J3855" s="18"/>
      <c r="K3855" s="4"/>
      <c r="L3855" s="19"/>
      <c r="M3855" s="20"/>
    </row>
    <row r="3856">
      <c r="A3856" s="6"/>
      <c r="B3856" s="6"/>
      <c r="C3856" s="4"/>
      <c r="D3856" s="4"/>
      <c r="E3856" s="4"/>
      <c r="F3856" s="4"/>
      <c r="G3856" s="4"/>
      <c r="H3856" s="4"/>
      <c r="I3856" s="4"/>
      <c r="J3856" s="18"/>
      <c r="K3856" s="4"/>
      <c r="L3856" s="19"/>
      <c r="M3856" s="20"/>
    </row>
    <row r="3857">
      <c r="A3857" s="6"/>
      <c r="B3857" s="6"/>
      <c r="C3857" s="4"/>
      <c r="D3857" s="4"/>
      <c r="E3857" s="4"/>
      <c r="F3857" s="4"/>
      <c r="G3857" s="4"/>
      <c r="H3857" s="4"/>
      <c r="I3857" s="4"/>
      <c r="J3857" s="18"/>
      <c r="K3857" s="4"/>
      <c r="L3857" s="19"/>
      <c r="M3857" s="20"/>
    </row>
    <row r="3858">
      <c r="A3858" s="6"/>
      <c r="B3858" s="6"/>
      <c r="C3858" s="4"/>
      <c r="D3858" s="4"/>
      <c r="E3858" s="4"/>
      <c r="F3858" s="4"/>
      <c r="G3858" s="4"/>
      <c r="H3858" s="4"/>
      <c r="I3858" s="4"/>
      <c r="J3858" s="18"/>
      <c r="K3858" s="4"/>
      <c r="L3858" s="19"/>
      <c r="M3858" s="20"/>
    </row>
    <row r="3859">
      <c r="A3859" s="6"/>
      <c r="B3859" s="6"/>
      <c r="C3859" s="4"/>
      <c r="D3859" s="4"/>
      <c r="E3859" s="4"/>
      <c r="F3859" s="4"/>
      <c r="G3859" s="4"/>
      <c r="H3859" s="4"/>
      <c r="I3859" s="4"/>
      <c r="J3859" s="18"/>
      <c r="K3859" s="4"/>
      <c r="L3859" s="19"/>
      <c r="M3859" s="20"/>
    </row>
    <row r="3860">
      <c r="A3860" s="6"/>
      <c r="B3860" s="6"/>
      <c r="C3860" s="4"/>
      <c r="D3860" s="4"/>
      <c r="E3860" s="4"/>
      <c r="F3860" s="4"/>
      <c r="G3860" s="4"/>
      <c r="H3860" s="4"/>
      <c r="I3860" s="4"/>
      <c r="J3860" s="18"/>
      <c r="K3860" s="4"/>
      <c r="L3860" s="19"/>
      <c r="M3860" s="20"/>
    </row>
    <row r="3861">
      <c r="A3861" s="6"/>
      <c r="B3861" s="6"/>
      <c r="C3861" s="4"/>
      <c r="D3861" s="4"/>
      <c r="E3861" s="4"/>
      <c r="F3861" s="4"/>
      <c r="G3861" s="4"/>
      <c r="H3861" s="4"/>
      <c r="I3861" s="4"/>
      <c r="J3861" s="18"/>
      <c r="K3861" s="4"/>
      <c r="L3861" s="19"/>
      <c r="M3861" s="20"/>
    </row>
    <row r="3862">
      <c r="A3862" s="6"/>
      <c r="B3862" s="6"/>
      <c r="C3862" s="4"/>
      <c r="D3862" s="4"/>
      <c r="E3862" s="4"/>
      <c r="F3862" s="4"/>
      <c r="G3862" s="4"/>
      <c r="H3862" s="4"/>
      <c r="I3862" s="4"/>
      <c r="J3862" s="18"/>
      <c r="K3862" s="4"/>
      <c r="L3862" s="19"/>
      <c r="M3862" s="20"/>
    </row>
    <row r="3863">
      <c r="A3863" s="6"/>
      <c r="B3863" s="6"/>
      <c r="C3863" s="4"/>
      <c r="D3863" s="4"/>
      <c r="E3863" s="4"/>
      <c r="F3863" s="4"/>
      <c r="G3863" s="4"/>
      <c r="H3863" s="4"/>
      <c r="I3863" s="4"/>
      <c r="J3863" s="18"/>
      <c r="K3863" s="4"/>
      <c r="L3863" s="19"/>
      <c r="M3863" s="20"/>
    </row>
    <row r="3864">
      <c r="A3864" s="6"/>
      <c r="B3864" s="6"/>
      <c r="C3864" s="4"/>
      <c r="D3864" s="4"/>
      <c r="E3864" s="4"/>
      <c r="F3864" s="4"/>
      <c r="G3864" s="4"/>
      <c r="H3864" s="4"/>
      <c r="I3864" s="4"/>
      <c r="J3864" s="18"/>
      <c r="K3864" s="4"/>
      <c r="L3864" s="19"/>
      <c r="M3864" s="20"/>
    </row>
    <row r="3865">
      <c r="A3865" s="6"/>
      <c r="B3865" s="6"/>
      <c r="C3865" s="4"/>
      <c r="D3865" s="4"/>
      <c r="E3865" s="4"/>
      <c r="F3865" s="4"/>
      <c r="G3865" s="4"/>
      <c r="H3865" s="4"/>
      <c r="I3865" s="4"/>
      <c r="J3865" s="18"/>
      <c r="K3865" s="4"/>
      <c r="L3865" s="19"/>
      <c r="M3865" s="20"/>
    </row>
    <row r="3866">
      <c r="A3866" s="6"/>
      <c r="B3866" s="6"/>
      <c r="C3866" s="4"/>
      <c r="D3866" s="4"/>
      <c r="E3866" s="4"/>
      <c r="F3866" s="4"/>
      <c r="G3866" s="4"/>
      <c r="H3866" s="4"/>
      <c r="I3866" s="4"/>
      <c r="J3866" s="18"/>
      <c r="K3866" s="4"/>
      <c r="L3866" s="19"/>
      <c r="M3866" s="20"/>
    </row>
    <row r="3867">
      <c r="A3867" s="6"/>
      <c r="B3867" s="6"/>
      <c r="C3867" s="4"/>
      <c r="D3867" s="4"/>
      <c r="E3867" s="4"/>
      <c r="F3867" s="4"/>
      <c r="G3867" s="4"/>
      <c r="H3867" s="4"/>
      <c r="I3867" s="4"/>
      <c r="J3867" s="18"/>
      <c r="K3867" s="4"/>
      <c r="L3867" s="19"/>
      <c r="M3867" s="20"/>
    </row>
    <row r="3868">
      <c r="A3868" s="6"/>
      <c r="B3868" s="6"/>
      <c r="C3868" s="4"/>
      <c r="D3868" s="4"/>
      <c r="E3868" s="4"/>
      <c r="F3868" s="4"/>
      <c r="G3868" s="4"/>
      <c r="H3868" s="4"/>
      <c r="I3868" s="4"/>
      <c r="J3868" s="18"/>
      <c r="K3868" s="4"/>
      <c r="L3868" s="19"/>
      <c r="M3868" s="20"/>
    </row>
    <row r="3869">
      <c r="A3869" s="6"/>
      <c r="B3869" s="6"/>
      <c r="C3869" s="4"/>
      <c r="D3869" s="4"/>
      <c r="E3869" s="4"/>
      <c r="F3869" s="4"/>
      <c r="G3869" s="4"/>
      <c r="H3869" s="4"/>
      <c r="I3869" s="4"/>
      <c r="J3869" s="18"/>
      <c r="K3869" s="4"/>
      <c r="L3869" s="19"/>
      <c r="M3869" s="20"/>
    </row>
    <row r="3870">
      <c r="A3870" s="6"/>
      <c r="B3870" s="6"/>
      <c r="C3870" s="4"/>
      <c r="D3870" s="4"/>
      <c r="E3870" s="4"/>
      <c r="F3870" s="4"/>
      <c r="G3870" s="4"/>
      <c r="H3870" s="4"/>
      <c r="I3870" s="4"/>
      <c r="J3870" s="18"/>
      <c r="K3870" s="4"/>
      <c r="L3870" s="19"/>
      <c r="M3870" s="20"/>
    </row>
    <row r="3871">
      <c r="A3871" s="6"/>
      <c r="B3871" s="6"/>
      <c r="C3871" s="4"/>
      <c r="D3871" s="4"/>
      <c r="E3871" s="4"/>
      <c r="F3871" s="4"/>
      <c r="G3871" s="4"/>
      <c r="H3871" s="4"/>
      <c r="I3871" s="4"/>
      <c r="J3871" s="18"/>
      <c r="K3871" s="4"/>
      <c r="L3871" s="19"/>
      <c r="M3871" s="20"/>
    </row>
    <row r="3872">
      <c r="A3872" s="6"/>
      <c r="B3872" s="6"/>
      <c r="C3872" s="4"/>
      <c r="D3872" s="4"/>
      <c r="E3872" s="4"/>
      <c r="F3872" s="4"/>
      <c r="G3872" s="4"/>
      <c r="H3872" s="4"/>
      <c r="I3872" s="4"/>
      <c r="J3872" s="18"/>
      <c r="K3872" s="4"/>
      <c r="L3872" s="19"/>
      <c r="M3872" s="20"/>
    </row>
    <row r="3873">
      <c r="A3873" s="6"/>
      <c r="B3873" s="6"/>
      <c r="C3873" s="4"/>
      <c r="D3873" s="4"/>
      <c r="E3873" s="4"/>
      <c r="F3873" s="4"/>
      <c r="G3873" s="4"/>
      <c r="H3873" s="4"/>
      <c r="I3873" s="4"/>
      <c r="J3873" s="18"/>
      <c r="K3873" s="4"/>
      <c r="L3873" s="19"/>
      <c r="M3873" s="20"/>
    </row>
    <row r="3874">
      <c r="A3874" s="6"/>
      <c r="B3874" s="6"/>
      <c r="C3874" s="4"/>
      <c r="D3874" s="4"/>
      <c r="E3874" s="4"/>
      <c r="F3874" s="4"/>
      <c r="G3874" s="4"/>
      <c r="H3874" s="4"/>
      <c r="I3874" s="4"/>
      <c r="J3874" s="18"/>
      <c r="K3874" s="4"/>
      <c r="L3874" s="19"/>
      <c r="M3874" s="20"/>
    </row>
    <row r="3875">
      <c r="A3875" s="6"/>
      <c r="B3875" s="6"/>
      <c r="C3875" s="4"/>
      <c r="D3875" s="4"/>
      <c r="E3875" s="4"/>
      <c r="F3875" s="4"/>
      <c r="G3875" s="4"/>
      <c r="H3875" s="4"/>
      <c r="I3875" s="4"/>
      <c r="J3875" s="18"/>
      <c r="K3875" s="4"/>
      <c r="L3875" s="19"/>
      <c r="M3875" s="20"/>
    </row>
    <row r="3876">
      <c r="A3876" s="6"/>
      <c r="B3876" s="6"/>
      <c r="C3876" s="4"/>
      <c r="D3876" s="4"/>
      <c r="E3876" s="4"/>
      <c r="F3876" s="4"/>
      <c r="G3876" s="4"/>
      <c r="H3876" s="4"/>
      <c r="I3876" s="4"/>
      <c r="J3876" s="18"/>
      <c r="K3876" s="4"/>
      <c r="L3876" s="19"/>
      <c r="M3876" s="20"/>
    </row>
    <row r="3877">
      <c r="A3877" s="6"/>
      <c r="B3877" s="6"/>
      <c r="C3877" s="4"/>
      <c r="D3877" s="4"/>
      <c r="E3877" s="4"/>
      <c r="F3877" s="4"/>
      <c r="G3877" s="4"/>
      <c r="H3877" s="4"/>
      <c r="I3877" s="4"/>
      <c r="J3877" s="18"/>
      <c r="K3877" s="4"/>
      <c r="L3877" s="19"/>
      <c r="M3877" s="20"/>
    </row>
    <row r="3878">
      <c r="A3878" s="6"/>
      <c r="B3878" s="6"/>
      <c r="C3878" s="4"/>
      <c r="D3878" s="4"/>
      <c r="E3878" s="4"/>
      <c r="F3878" s="4"/>
      <c r="G3878" s="4"/>
      <c r="H3878" s="4"/>
      <c r="I3878" s="4"/>
      <c r="J3878" s="18"/>
      <c r="K3878" s="4"/>
      <c r="L3878" s="19"/>
      <c r="M3878" s="20"/>
    </row>
    <row r="3879">
      <c r="A3879" s="6"/>
      <c r="B3879" s="6"/>
      <c r="C3879" s="4"/>
      <c r="D3879" s="4"/>
      <c r="E3879" s="4"/>
      <c r="F3879" s="4"/>
      <c r="G3879" s="4"/>
      <c r="H3879" s="4"/>
      <c r="I3879" s="4"/>
      <c r="J3879" s="18"/>
      <c r="K3879" s="4"/>
      <c r="L3879" s="19"/>
      <c r="M3879" s="20"/>
    </row>
    <row r="3880">
      <c r="A3880" s="6"/>
      <c r="B3880" s="6"/>
      <c r="C3880" s="4"/>
      <c r="D3880" s="4"/>
      <c r="E3880" s="4"/>
      <c r="F3880" s="4"/>
      <c r="G3880" s="4"/>
      <c r="H3880" s="4"/>
      <c r="I3880" s="4"/>
      <c r="J3880" s="18"/>
      <c r="K3880" s="4"/>
      <c r="L3880" s="19"/>
      <c r="M3880" s="20"/>
    </row>
    <row r="3881">
      <c r="A3881" s="6"/>
      <c r="B3881" s="6"/>
      <c r="C3881" s="4"/>
      <c r="D3881" s="4"/>
      <c r="E3881" s="4"/>
      <c r="F3881" s="4"/>
      <c r="G3881" s="4"/>
      <c r="H3881" s="4"/>
      <c r="I3881" s="4"/>
      <c r="J3881" s="18"/>
      <c r="K3881" s="4"/>
      <c r="L3881" s="19"/>
      <c r="M3881" s="20"/>
    </row>
    <row r="3882">
      <c r="A3882" s="6"/>
      <c r="B3882" s="6"/>
      <c r="C3882" s="4"/>
      <c r="D3882" s="4"/>
      <c r="E3882" s="4"/>
      <c r="F3882" s="4"/>
      <c r="G3882" s="4"/>
      <c r="H3882" s="4"/>
      <c r="I3882" s="4"/>
      <c r="J3882" s="18"/>
      <c r="K3882" s="4"/>
      <c r="L3882" s="19"/>
      <c r="M3882" s="20"/>
    </row>
    <row r="3883">
      <c r="A3883" s="6"/>
      <c r="B3883" s="6"/>
      <c r="C3883" s="4"/>
      <c r="D3883" s="4"/>
      <c r="E3883" s="4"/>
      <c r="F3883" s="4"/>
      <c r="G3883" s="4"/>
      <c r="H3883" s="4"/>
      <c r="I3883" s="4"/>
      <c r="J3883" s="18"/>
      <c r="K3883" s="4"/>
      <c r="L3883" s="19"/>
      <c r="M3883" s="20"/>
    </row>
    <row r="3884">
      <c r="A3884" s="6"/>
      <c r="B3884" s="6"/>
      <c r="C3884" s="4"/>
      <c r="D3884" s="4"/>
      <c r="E3884" s="4"/>
      <c r="F3884" s="4"/>
      <c r="G3884" s="4"/>
      <c r="H3884" s="4"/>
      <c r="I3884" s="4"/>
      <c r="J3884" s="18"/>
      <c r="K3884" s="4"/>
      <c r="L3884" s="19"/>
      <c r="M3884" s="20"/>
    </row>
    <row r="3885">
      <c r="A3885" s="6"/>
      <c r="B3885" s="6"/>
      <c r="C3885" s="4"/>
      <c r="D3885" s="4"/>
      <c r="E3885" s="4"/>
      <c r="F3885" s="4"/>
      <c r="G3885" s="4"/>
      <c r="H3885" s="4"/>
      <c r="I3885" s="4"/>
      <c r="J3885" s="18"/>
      <c r="K3885" s="4"/>
      <c r="L3885" s="19"/>
      <c r="M3885" s="20"/>
    </row>
    <row r="3886">
      <c r="A3886" s="6"/>
      <c r="B3886" s="6"/>
      <c r="C3886" s="4"/>
      <c r="D3886" s="4"/>
      <c r="E3886" s="4"/>
      <c r="F3886" s="4"/>
      <c r="G3886" s="4"/>
      <c r="H3886" s="4"/>
      <c r="I3886" s="4"/>
      <c r="J3886" s="18"/>
      <c r="K3886" s="4"/>
      <c r="L3886" s="19"/>
      <c r="M3886" s="20"/>
    </row>
    <row r="3887">
      <c r="A3887" s="6"/>
      <c r="B3887" s="6"/>
      <c r="C3887" s="4"/>
      <c r="D3887" s="4"/>
      <c r="E3887" s="4"/>
      <c r="F3887" s="4"/>
      <c r="G3887" s="4"/>
      <c r="H3887" s="4"/>
      <c r="I3887" s="4"/>
      <c r="J3887" s="18"/>
      <c r="K3887" s="4"/>
      <c r="L3887" s="19"/>
      <c r="M3887" s="20"/>
    </row>
    <row r="3888">
      <c r="A3888" s="6"/>
      <c r="B3888" s="6"/>
      <c r="C3888" s="4"/>
      <c r="D3888" s="4"/>
      <c r="E3888" s="4"/>
      <c r="F3888" s="4"/>
      <c r="G3888" s="4"/>
      <c r="H3888" s="4"/>
      <c r="I3888" s="4"/>
      <c r="J3888" s="18"/>
      <c r="K3888" s="4"/>
      <c r="L3888" s="19"/>
      <c r="M3888" s="20"/>
    </row>
    <row r="3889">
      <c r="A3889" s="6"/>
      <c r="B3889" s="6"/>
      <c r="C3889" s="4"/>
      <c r="D3889" s="4"/>
      <c r="E3889" s="4"/>
      <c r="F3889" s="4"/>
      <c r="G3889" s="4"/>
      <c r="H3889" s="4"/>
      <c r="I3889" s="4"/>
      <c r="J3889" s="18"/>
      <c r="K3889" s="4"/>
      <c r="L3889" s="19"/>
      <c r="M3889" s="20"/>
    </row>
    <row r="3890">
      <c r="A3890" s="6"/>
      <c r="B3890" s="6"/>
      <c r="C3890" s="4"/>
      <c r="D3890" s="4"/>
      <c r="E3890" s="4"/>
      <c r="F3890" s="4"/>
      <c r="G3890" s="4"/>
      <c r="H3890" s="4"/>
      <c r="I3890" s="4"/>
      <c r="J3890" s="18"/>
      <c r="K3890" s="4"/>
      <c r="L3890" s="19"/>
      <c r="M3890" s="20"/>
    </row>
    <row r="3891">
      <c r="A3891" s="6"/>
      <c r="B3891" s="6"/>
      <c r="C3891" s="4"/>
      <c r="D3891" s="4"/>
      <c r="E3891" s="4"/>
      <c r="F3891" s="4"/>
      <c r="G3891" s="4"/>
      <c r="H3891" s="4"/>
      <c r="I3891" s="4"/>
      <c r="J3891" s="18"/>
      <c r="K3891" s="4"/>
      <c r="L3891" s="19"/>
      <c r="M3891" s="20"/>
    </row>
    <row r="3892">
      <c r="A3892" s="6"/>
      <c r="B3892" s="6"/>
      <c r="C3892" s="4"/>
      <c r="D3892" s="4"/>
      <c r="E3892" s="4"/>
      <c r="F3892" s="4"/>
      <c r="G3892" s="4"/>
      <c r="H3892" s="4"/>
      <c r="I3892" s="4"/>
      <c r="J3892" s="18"/>
      <c r="K3892" s="4"/>
      <c r="L3892" s="19"/>
      <c r="M3892" s="20"/>
    </row>
    <row r="3893">
      <c r="A3893" s="6"/>
      <c r="B3893" s="6"/>
      <c r="C3893" s="4"/>
      <c r="D3893" s="4"/>
      <c r="E3893" s="4"/>
      <c r="F3893" s="4"/>
      <c r="G3893" s="4"/>
      <c r="H3893" s="4"/>
      <c r="I3893" s="4"/>
      <c r="J3893" s="18"/>
      <c r="K3893" s="4"/>
      <c r="L3893" s="19"/>
      <c r="M3893" s="20"/>
    </row>
    <row r="3894">
      <c r="A3894" s="6"/>
      <c r="B3894" s="6"/>
      <c r="C3894" s="4"/>
      <c r="D3894" s="4"/>
      <c r="E3894" s="4"/>
      <c r="F3894" s="4"/>
      <c r="G3894" s="4"/>
      <c r="H3894" s="4"/>
      <c r="I3894" s="4"/>
      <c r="J3894" s="18"/>
      <c r="K3894" s="4"/>
      <c r="L3894" s="19"/>
      <c r="M3894" s="20"/>
    </row>
    <row r="3895">
      <c r="A3895" s="6"/>
      <c r="B3895" s="6"/>
      <c r="C3895" s="4"/>
      <c r="D3895" s="4"/>
      <c r="E3895" s="4"/>
      <c r="F3895" s="4"/>
      <c r="G3895" s="4"/>
      <c r="H3895" s="4"/>
      <c r="I3895" s="4"/>
      <c r="J3895" s="18"/>
      <c r="K3895" s="4"/>
      <c r="L3895" s="19"/>
      <c r="M3895" s="20"/>
    </row>
    <row r="3896">
      <c r="A3896" s="6"/>
      <c r="B3896" s="6"/>
      <c r="C3896" s="4"/>
      <c r="D3896" s="4"/>
      <c r="E3896" s="4"/>
      <c r="F3896" s="4"/>
      <c r="G3896" s="4"/>
      <c r="H3896" s="4"/>
      <c r="I3896" s="4"/>
      <c r="J3896" s="18"/>
      <c r="K3896" s="4"/>
      <c r="L3896" s="19"/>
      <c r="M3896" s="20"/>
    </row>
    <row r="3897">
      <c r="A3897" s="6"/>
      <c r="B3897" s="6"/>
      <c r="C3897" s="4"/>
      <c r="D3897" s="4"/>
      <c r="E3897" s="4"/>
      <c r="F3897" s="4"/>
      <c r="G3897" s="4"/>
      <c r="H3897" s="4"/>
      <c r="I3897" s="4"/>
      <c r="J3897" s="18"/>
      <c r="K3897" s="4"/>
      <c r="L3897" s="19"/>
      <c r="M3897" s="20"/>
    </row>
    <row r="3898">
      <c r="A3898" s="6"/>
      <c r="B3898" s="6"/>
      <c r="C3898" s="4"/>
      <c r="D3898" s="4"/>
      <c r="E3898" s="4"/>
      <c r="F3898" s="4"/>
      <c r="G3898" s="4"/>
      <c r="H3898" s="4"/>
      <c r="I3898" s="4"/>
      <c r="J3898" s="18"/>
      <c r="K3898" s="4"/>
      <c r="L3898" s="19"/>
      <c r="M3898" s="20"/>
    </row>
    <row r="3899">
      <c r="A3899" s="6"/>
      <c r="B3899" s="6"/>
      <c r="C3899" s="4"/>
      <c r="D3899" s="4"/>
      <c r="E3899" s="4"/>
      <c r="F3899" s="4"/>
      <c r="G3899" s="4"/>
      <c r="H3899" s="4"/>
      <c r="I3899" s="4"/>
      <c r="J3899" s="18"/>
      <c r="K3899" s="4"/>
      <c r="L3899" s="19"/>
      <c r="M3899" s="20"/>
    </row>
    <row r="3900">
      <c r="A3900" s="6"/>
      <c r="B3900" s="6"/>
      <c r="C3900" s="4"/>
      <c r="D3900" s="4"/>
      <c r="E3900" s="4"/>
      <c r="F3900" s="4"/>
      <c r="G3900" s="4"/>
      <c r="H3900" s="4"/>
      <c r="I3900" s="4"/>
      <c r="J3900" s="18"/>
      <c r="K3900" s="4"/>
      <c r="L3900" s="19"/>
      <c r="M3900" s="20"/>
    </row>
    <row r="3901">
      <c r="A3901" s="6"/>
      <c r="B3901" s="6"/>
      <c r="C3901" s="4"/>
      <c r="D3901" s="4"/>
      <c r="E3901" s="4"/>
      <c r="F3901" s="4"/>
      <c r="G3901" s="4"/>
      <c r="H3901" s="4"/>
      <c r="I3901" s="4"/>
      <c r="J3901" s="18"/>
      <c r="K3901" s="4"/>
      <c r="L3901" s="19"/>
      <c r="M3901" s="20"/>
    </row>
    <row r="3902">
      <c r="A3902" s="6"/>
      <c r="B3902" s="6"/>
      <c r="C3902" s="4"/>
      <c r="D3902" s="4"/>
      <c r="E3902" s="4"/>
      <c r="F3902" s="4"/>
      <c r="G3902" s="4"/>
      <c r="H3902" s="4"/>
      <c r="I3902" s="4"/>
      <c r="J3902" s="18"/>
      <c r="K3902" s="4"/>
      <c r="L3902" s="19"/>
      <c r="M3902" s="20"/>
    </row>
    <row r="3903">
      <c r="A3903" s="6"/>
      <c r="B3903" s="6"/>
      <c r="C3903" s="4"/>
      <c r="D3903" s="4"/>
      <c r="E3903" s="4"/>
      <c r="F3903" s="4"/>
      <c r="G3903" s="4"/>
      <c r="H3903" s="4"/>
      <c r="I3903" s="4"/>
      <c r="J3903" s="18"/>
      <c r="K3903" s="4"/>
      <c r="L3903" s="19"/>
      <c r="M3903" s="20"/>
    </row>
    <row r="3904">
      <c r="A3904" s="6"/>
      <c r="B3904" s="6"/>
      <c r="C3904" s="4"/>
      <c r="D3904" s="4"/>
      <c r="E3904" s="4"/>
      <c r="F3904" s="4"/>
      <c r="G3904" s="4"/>
      <c r="H3904" s="4"/>
      <c r="I3904" s="4"/>
      <c r="J3904" s="18"/>
      <c r="K3904" s="4"/>
      <c r="L3904" s="19"/>
      <c r="M3904" s="20"/>
    </row>
    <row r="3905">
      <c r="A3905" s="6"/>
      <c r="B3905" s="6"/>
      <c r="C3905" s="4"/>
      <c r="D3905" s="4"/>
      <c r="E3905" s="4"/>
      <c r="F3905" s="4"/>
      <c r="G3905" s="4"/>
      <c r="H3905" s="4"/>
      <c r="I3905" s="4"/>
      <c r="J3905" s="18"/>
      <c r="K3905" s="4"/>
      <c r="L3905" s="19"/>
      <c r="M3905" s="20"/>
    </row>
    <row r="3906">
      <c r="A3906" s="6"/>
      <c r="B3906" s="6"/>
      <c r="C3906" s="4"/>
      <c r="D3906" s="4"/>
      <c r="E3906" s="4"/>
      <c r="F3906" s="4"/>
      <c r="G3906" s="4"/>
      <c r="H3906" s="4"/>
      <c r="I3906" s="4"/>
      <c r="J3906" s="18"/>
      <c r="K3906" s="4"/>
      <c r="L3906" s="19"/>
      <c r="M3906" s="20"/>
    </row>
    <row r="3907">
      <c r="A3907" s="6"/>
      <c r="B3907" s="6"/>
      <c r="C3907" s="4"/>
      <c r="D3907" s="4"/>
      <c r="E3907" s="4"/>
      <c r="F3907" s="4"/>
      <c r="G3907" s="4"/>
      <c r="H3907" s="4"/>
      <c r="I3907" s="4"/>
      <c r="J3907" s="18"/>
      <c r="K3907" s="4"/>
      <c r="L3907" s="19"/>
      <c r="M3907" s="20"/>
    </row>
    <row r="3908">
      <c r="A3908" s="6"/>
      <c r="B3908" s="6"/>
      <c r="C3908" s="4"/>
      <c r="D3908" s="4"/>
      <c r="E3908" s="4"/>
      <c r="F3908" s="4"/>
      <c r="G3908" s="4"/>
      <c r="H3908" s="4"/>
      <c r="I3908" s="4"/>
      <c r="J3908" s="18"/>
      <c r="K3908" s="4"/>
      <c r="L3908" s="19"/>
      <c r="M3908" s="20"/>
    </row>
    <row r="3909">
      <c r="A3909" s="6"/>
      <c r="B3909" s="6"/>
      <c r="C3909" s="4"/>
      <c r="D3909" s="4"/>
      <c r="E3909" s="4"/>
      <c r="F3909" s="4"/>
      <c r="G3909" s="4"/>
      <c r="H3909" s="4"/>
      <c r="I3909" s="4"/>
      <c r="J3909" s="18"/>
      <c r="K3909" s="4"/>
      <c r="L3909" s="19"/>
      <c r="M3909" s="20"/>
    </row>
    <row r="3910">
      <c r="A3910" s="6"/>
      <c r="B3910" s="6"/>
      <c r="C3910" s="4"/>
      <c r="D3910" s="4"/>
      <c r="E3910" s="4"/>
      <c r="F3910" s="4"/>
      <c r="G3910" s="4"/>
      <c r="H3910" s="4"/>
      <c r="I3910" s="4"/>
      <c r="J3910" s="18"/>
      <c r="K3910" s="4"/>
      <c r="L3910" s="19"/>
      <c r="M3910" s="20"/>
    </row>
    <row r="3911">
      <c r="A3911" s="6"/>
      <c r="B3911" s="6"/>
      <c r="C3911" s="4"/>
      <c r="D3911" s="4"/>
      <c r="E3911" s="4"/>
      <c r="F3911" s="4"/>
      <c r="G3911" s="4"/>
      <c r="H3911" s="4"/>
      <c r="I3911" s="4"/>
      <c r="J3911" s="18"/>
      <c r="K3911" s="4"/>
      <c r="L3911" s="19"/>
      <c r="M3911" s="20"/>
    </row>
    <row r="3912">
      <c r="A3912" s="6"/>
      <c r="B3912" s="6"/>
      <c r="C3912" s="4"/>
      <c r="D3912" s="4"/>
      <c r="E3912" s="4"/>
      <c r="F3912" s="4"/>
      <c r="G3912" s="4"/>
      <c r="H3912" s="4"/>
      <c r="I3912" s="4"/>
      <c r="J3912" s="18"/>
      <c r="K3912" s="4"/>
      <c r="L3912" s="19"/>
      <c r="M3912" s="20"/>
    </row>
    <row r="3913">
      <c r="A3913" s="6"/>
      <c r="B3913" s="6"/>
      <c r="C3913" s="4"/>
      <c r="D3913" s="4"/>
      <c r="E3913" s="4"/>
      <c r="F3913" s="4"/>
      <c r="G3913" s="4"/>
      <c r="H3913" s="4"/>
      <c r="I3913" s="4"/>
      <c r="J3913" s="18"/>
      <c r="K3913" s="4"/>
      <c r="L3913" s="19"/>
      <c r="M3913" s="20"/>
    </row>
    <row r="3914">
      <c r="A3914" s="6"/>
      <c r="B3914" s="6"/>
      <c r="C3914" s="4"/>
      <c r="D3914" s="4"/>
      <c r="E3914" s="4"/>
      <c r="F3914" s="4"/>
      <c r="G3914" s="4"/>
      <c r="H3914" s="4"/>
      <c r="I3914" s="4"/>
      <c r="J3914" s="18"/>
      <c r="K3914" s="4"/>
      <c r="L3914" s="19"/>
      <c r="M3914" s="20"/>
    </row>
    <row r="3915">
      <c r="A3915" s="6"/>
      <c r="B3915" s="6"/>
      <c r="C3915" s="4"/>
      <c r="D3915" s="4"/>
      <c r="E3915" s="4"/>
      <c r="F3915" s="4"/>
      <c r="G3915" s="4"/>
      <c r="H3915" s="4"/>
      <c r="I3915" s="4"/>
      <c r="J3915" s="18"/>
      <c r="K3915" s="4"/>
      <c r="L3915" s="19"/>
      <c r="M3915" s="20"/>
    </row>
    <row r="3916">
      <c r="A3916" s="6"/>
      <c r="B3916" s="6"/>
      <c r="C3916" s="4"/>
      <c r="D3916" s="4"/>
      <c r="E3916" s="4"/>
      <c r="F3916" s="4"/>
      <c r="G3916" s="4"/>
      <c r="H3916" s="4"/>
      <c r="I3916" s="4"/>
      <c r="J3916" s="18"/>
      <c r="K3916" s="4"/>
      <c r="L3916" s="19"/>
      <c r="M3916" s="20"/>
    </row>
    <row r="3917">
      <c r="A3917" s="6"/>
      <c r="B3917" s="6"/>
      <c r="C3917" s="4"/>
      <c r="D3917" s="4"/>
      <c r="E3917" s="4"/>
      <c r="F3917" s="4"/>
      <c r="G3917" s="4"/>
      <c r="H3917" s="4"/>
      <c r="I3917" s="4"/>
      <c r="J3917" s="18"/>
      <c r="K3917" s="4"/>
      <c r="L3917" s="19"/>
      <c r="M3917" s="20"/>
    </row>
    <row r="3918">
      <c r="A3918" s="6"/>
      <c r="B3918" s="6"/>
      <c r="C3918" s="4"/>
      <c r="D3918" s="4"/>
      <c r="E3918" s="4"/>
      <c r="F3918" s="4"/>
      <c r="G3918" s="4"/>
      <c r="H3918" s="4"/>
      <c r="I3918" s="4"/>
      <c r="J3918" s="18"/>
      <c r="K3918" s="4"/>
      <c r="L3918" s="19"/>
      <c r="M3918" s="20"/>
    </row>
    <row r="3919">
      <c r="A3919" s="6"/>
      <c r="B3919" s="6"/>
      <c r="C3919" s="4"/>
      <c r="D3919" s="4"/>
      <c r="E3919" s="4"/>
      <c r="F3919" s="4"/>
      <c r="G3919" s="4"/>
      <c r="H3919" s="4"/>
      <c r="I3919" s="4"/>
      <c r="J3919" s="18"/>
      <c r="K3919" s="4"/>
      <c r="L3919" s="19"/>
      <c r="M3919" s="20"/>
    </row>
    <row r="3920">
      <c r="A3920" s="6"/>
      <c r="B3920" s="6"/>
      <c r="C3920" s="4"/>
      <c r="D3920" s="4"/>
      <c r="E3920" s="4"/>
      <c r="F3920" s="4"/>
      <c r="G3920" s="4"/>
      <c r="H3920" s="4"/>
      <c r="I3920" s="4"/>
      <c r="J3920" s="18"/>
      <c r="K3920" s="4"/>
      <c r="L3920" s="19"/>
      <c r="M3920" s="20"/>
    </row>
    <row r="3921">
      <c r="A3921" s="6"/>
      <c r="B3921" s="6"/>
      <c r="C3921" s="4"/>
      <c r="D3921" s="4"/>
      <c r="E3921" s="4"/>
      <c r="F3921" s="4"/>
      <c r="G3921" s="4"/>
      <c r="H3921" s="4"/>
      <c r="I3921" s="4"/>
      <c r="J3921" s="18"/>
      <c r="K3921" s="4"/>
      <c r="L3921" s="19"/>
      <c r="M3921" s="20"/>
    </row>
    <row r="3922">
      <c r="A3922" s="6"/>
      <c r="B3922" s="6"/>
      <c r="C3922" s="4"/>
      <c r="D3922" s="4"/>
      <c r="E3922" s="4"/>
      <c r="F3922" s="4"/>
      <c r="G3922" s="4"/>
      <c r="H3922" s="4"/>
      <c r="I3922" s="4"/>
      <c r="J3922" s="18"/>
      <c r="K3922" s="4"/>
      <c r="L3922" s="19"/>
      <c r="M3922" s="20"/>
    </row>
    <row r="3923">
      <c r="A3923" s="6"/>
      <c r="B3923" s="6"/>
      <c r="C3923" s="4"/>
      <c r="D3923" s="4"/>
      <c r="E3923" s="4"/>
      <c r="F3923" s="4"/>
      <c r="G3923" s="4"/>
      <c r="H3923" s="4"/>
      <c r="I3923" s="4"/>
      <c r="J3923" s="18"/>
      <c r="K3923" s="4"/>
      <c r="L3923" s="19"/>
      <c r="M3923" s="20"/>
    </row>
    <row r="3924">
      <c r="A3924" s="6"/>
      <c r="B3924" s="6"/>
      <c r="C3924" s="4"/>
      <c r="D3924" s="4"/>
      <c r="E3924" s="4"/>
      <c r="F3924" s="4"/>
      <c r="G3924" s="4"/>
      <c r="H3924" s="4"/>
      <c r="I3924" s="4"/>
      <c r="J3924" s="18"/>
      <c r="K3924" s="4"/>
      <c r="L3924" s="19"/>
      <c r="M3924" s="20"/>
    </row>
    <row r="3925">
      <c r="A3925" s="6"/>
      <c r="B3925" s="6"/>
      <c r="C3925" s="4"/>
      <c r="D3925" s="4"/>
      <c r="E3925" s="4"/>
      <c r="F3925" s="4"/>
      <c r="G3925" s="4"/>
      <c r="H3925" s="4"/>
      <c r="I3925" s="4"/>
      <c r="J3925" s="18"/>
      <c r="K3925" s="4"/>
      <c r="L3925" s="19"/>
      <c r="M3925" s="20"/>
    </row>
    <row r="3926">
      <c r="A3926" s="6"/>
      <c r="B3926" s="6"/>
      <c r="C3926" s="4"/>
      <c r="D3926" s="4"/>
      <c r="E3926" s="4"/>
      <c r="F3926" s="4"/>
      <c r="G3926" s="4"/>
      <c r="H3926" s="4"/>
      <c r="I3926" s="4"/>
      <c r="J3926" s="18"/>
      <c r="K3926" s="4"/>
      <c r="L3926" s="19"/>
      <c r="M3926" s="20"/>
    </row>
    <row r="3927">
      <c r="A3927" s="6"/>
      <c r="B3927" s="6"/>
      <c r="C3927" s="4"/>
      <c r="D3927" s="4"/>
      <c r="E3927" s="4"/>
      <c r="F3927" s="4"/>
      <c r="G3927" s="4"/>
      <c r="H3927" s="4"/>
      <c r="I3927" s="4"/>
      <c r="J3927" s="18"/>
      <c r="K3927" s="4"/>
      <c r="L3927" s="19"/>
      <c r="M3927" s="20"/>
    </row>
    <row r="3928">
      <c r="A3928" s="6"/>
      <c r="B3928" s="6"/>
      <c r="C3928" s="4"/>
      <c r="D3928" s="4"/>
      <c r="E3928" s="4"/>
      <c r="F3928" s="4"/>
      <c r="G3928" s="4"/>
      <c r="H3928" s="4"/>
      <c r="I3928" s="4"/>
      <c r="J3928" s="18"/>
      <c r="K3928" s="4"/>
      <c r="L3928" s="19"/>
      <c r="M3928" s="20"/>
    </row>
    <row r="3929">
      <c r="A3929" s="6"/>
      <c r="B3929" s="6"/>
      <c r="C3929" s="4"/>
      <c r="D3929" s="4"/>
      <c r="E3929" s="4"/>
      <c r="F3929" s="4"/>
      <c r="G3929" s="4"/>
      <c r="H3929" s="4"/>
      <c r="I3929" s="4"/>
      <c r="J3929" s="18"/>
      <c r="K3929" s="4"/>
      <c r="L3929" s="19"/>
      <c r="M3929" s="20"/>
    </row>
    <row r="3930">
      <c r="A3930" s="6"/>
      <c r="B3930" s="6"/>
      <c r="C3930" s="4"/>
      <c r="D3930" s="4"/>
      <c r="E3930" s="4"/>
      <c r="F3930" s="4"/>
      <c r="G3930" s="4"/>
      <c r="H3930" s="4"/>
      <c r="I3930" s="4"/>
      <c r="J3930" s="18"/>
      <c r="K3930" s="4"/>
      <c r="L3930" s="19"/>
      <c r="M3930" s="20"/>
    </row>
    <row r="3931">
      <c r="A3931" s="6"/>
      <c r="B3931" s="6"/>
      <c r="C3931" s="4"/>
      <c r="D3931" s="4"/>
      <c r="E3931" s="4"/>
      <c r="F3931" s="4"/>
      <c r="G3931" s="4"/>
      <c r="H3931" s="4"/>
      <c r="I3931" s="4"/>
      <c r="J3931" s="18"/>
      <c r="K3931" s="4"/>
      <c r="L3931" s="19"/>
      <c r="M3931" s="20"/>
    </row>
    <row r="3932">
      <c r="A3932" s="6"/>
      <c r="B3932" s="6"/>
      <c r="C3932" s="4"/>
      <c r="D3932" s="4"/>
      <c r="E3932" s="4"/>
      <c r="F3932" s="4"/>
      <c r="G3932" s="4"/>
      <c r="H3932" s="4"/>
      <c r="I3932" s="4"/>
      <c r="J3932" s="18"/>
      <c r="K3932" s="4"/>
      <c r="L3932" s="19"/>
      <c r="M3932" s="20"/>
    </row>
    <row r="3933">
      <c r="A3933" s="6"/>
      <c r="B3933" s="6"/>
      <c r="C3933" s="4"/>
      <c r="D3933" s="4"/>
      <c r="E3933" s="4"/>
      <c r="F3933" s="4"/>
      <c r="G3933" s="4"/>
      <c r="H3933" s="4"/>
      <c r="I3933" s="4"/>
      <c r="J3933" s="18"/>
      <c r="K3933" s="4"/>
      <c r="L3933" s="19"/>
      <c r="M3933" s="20"/>
    </row>
    <row r="3934">
      <c r="A3934" s="6"/>
      <c r="B3934" s="6"/>
      <c r="C3934" s="4"/>
      <c r="D3934" s="4"/>
      <c r="E3934" s="4"/>
      <c r="F3934" s="4"/>
      <c r="G3934" s="4"/>
      <c r="H3934" s="4"/>
      <c r="I3934" s="4"/>
      <c r="J3934" s="18"/>
      <c r="K3934" s="4"/>
      <c r="L3934" s="19"/>
      <c r="M3934" s="20"/>
    </row>
    <row r="3935">
      <c r="A3935" s="6"/>
      <c r="B3935" s="6"/>
      <c r="C3935" s="4"/>
      <c r="D3935" s="4"/>
      <c r="E3935" s="4"/>
      <c r="F3935" s="4"/>
      <c r="G3935" s="4"/>
      <c r="H3935" s="4"/>
      <c r="I3935" s="4"/>
      <c r="J3935" s="18"/>
      <c r="K3935" s="4"/>
      <c r="L3935" s="19"/>
      <c r="M3935" s="20"/>
    </row>
    <row r="3936">
      <c r="A3936" s="6"/>
      <c r="B3936" s="6"/>
      <c r="C3936" s="4"/>
      <c r="D3936" s="4"/>
      <c r="E3936" s="4"/>
      <c r="F3936" s="4"/>
      <c r="G3936" s="4"/>
      <c r="H3936" s="4"/>
      <c r="I3936" s="4"/>
      <c r="J3936" s="18"/>
      <c r="K3936" s="4"/>
      <c r="L3936" s="19"/>
      <c r="M3936" s="20"/>
    </row>
    <row r="3937">
      <c r="A3937" s="6"/>
      <c r="B3937" s="6"/>
      <c r="C3937" s="4"/>
      <c r="D3937" s="4"/>
      <c r="E3937" s="4"/>
      <c r="F3937" s="4"/>
      <c r="G3937" s="4"/>
      <c r="H3937" s="4"/>
      <c r="I3937" s="4"/>
      <c r="J3937" s="18"/>
      <c r="K3937" s="4"/>
      <c r="L3937" s="19"/>
      <c r="M3937" s="20"/>
    </row>
    <row r="3938">
      <c r="A3938" s="6"/>
      <c r="B3938" s="6"/>
      <c r="C3938" s="4"/>
      <c r="D3938" s="4"/>
      <c r="E3938" s="4"/>
      <c r="F3938" s="4"/>
      <c r="G3938" s="4"/>
      <c r="H3938" s="4"/>
      <c r="I3938" s="4"/>
      <c r="J3938" s="18"/>
      <c r="K3938" s="4"/>
      <c r="L3938" s="19"/>
      <c r="M3938" s="20"/>
    </row>
    <row r="3939">
      <c r="A3939" s="6"/>
      <c r="B3939" s="6"/>
      <c r="C3939" s="4"/>
      <c r="D3939" s="4"/>
      <c r="E3939" s="4"/>
      <c r="F3939" s="4"/>
      <c r="G3939" s="4"/>
      <c r="H3939" s="4"/>
      <c r="I3939" s="4"/>
      <c r="J3939" s="18"/>
      <c r="K3939" s="4"/>
      <c r="L3939" s="19"/>
      <c r="M3939" s="20"/>
    </row>
    <row r="3940">
      <c r="A3940" s="6"/>
      <c r="B3940" s="6"/>
      <c r="C3940" s="4"/>
      <c r="D3940" s="4"/>
      <c r="E3940" s="4"/>
      <c r="F3940" s="4"/>
      <c r="G3940" s="4"/>
      <c r="H3940" s="4"/>
      <c r="I3940" s="4"/>
      <c r="J3940" s="18"/>
      <c r="K3940" s="4"/>
      <c r="L3940" s="19"/>
      <c r="M3940" s="20"/>
    </row>
    <row r="3941">
      <c r="A3941" s="6"/>
      <c r="B3941" s="6"/>
      <c r="C3941" s="4"/>
      <c r="D3941" s="4"/>
      <c r="E3941" s="4"/>
      <c r="F3941" s="4"/>
      <c r="G3941" s="4"/>
      <c r="H3941" s="4"/>
      <c r="I3941" s="4"/>
      <c r="J3941" s="18"/>
      <c r="K3941" s="4"/>
      <c r="L3941" s="19"/>
      <c r="M3941" s="20"/>
    </row>
    <row r="3942">
      <c r="A3942" s="6"/>
      <c r="B3942" s="6"/>
      <c r="C3942" s="4"/>
      <c r="D3942" s="4"/>
      <c r="E3942" s="4"/>
      <c r="F3942" s="4"/>
      <c r="G3942" s="4"/>
      <c r="H3942" s="4"/>
      <c r="I3942" s="4"/>
      <c r="J3942" s="18"/>
      <c r="K3942" s="4"/>
      <c r="L3942" s="19"/>
      <c r="M3942" s="20"/>
    </row>
    <row r="3943">
      <c r="A3943" s="6"/>
      <c r="B3943" s="6"/>
      <c r="C3943" s="4"/>
      <c r="D3943" s="4"/>
      <c r="E3943" s="4"/>
      <c r="F3943" s="4"/>
      <c r="G3943" s="4"/>
      <c r="H3943" s="4"/>
      <c r="I3943" s="4"/>
      <c r="J3943" s="18"/>
      <c r="K3943" s="4"/>
      <c r="L3943" s="19"/>
      <c r="M3943" s="20"/>
    </row>
    <row r="3944">
      <c r="A3944" s="6"/>
      <c r="B3944" s="6"/>
      <c r="C3944" s="4"/>
      <c r="D3944" s="4"/>
      <c r="E3944" s="4"/>
      <c r="F3944" s="4"/>
      <c r="G3944" s="4"/>
      <c r="H3944" s="4"/>
      <c r="I3944" s="4"/>
      <c r="J3944" s="18"/>
      <c r="K3944" s="4"/>
      <c r="L3944" s="19"/>
      <c r="M3944" s="20"/>
    </row>
    <row r="3945">
      <c r="A3945" s="6"/>
      <c r="B3945" s="6"/>
      <c r="C3945" s="4"/>
      <c r="D3945" s="4"/>
      <c r="E3945" s="4"/>
      <c r="F3945" s="4"/>
      <c r="G3945" s="4"/>
      <c r="H3945" s="4"/>
      <c r="I3945" s="4"/>
      <c r="J3945" s="18"/>
      <c r="K3945" s="4"/>
      <c r="L3945" s="19"/>
      <c r="M3945" s="20"/>
    </row>
    <row r="3946">
      <c r="A3946" s="6"/>
      <c r="B3946" s="6"/>
      <c r="C3946" s="4"/>
      <c r="D3946" s="4"/>
      <c r="E3946" s="4"/>
      <c r="F3946" s="4"/>
      <c r="G3946" s="4"/>
      <c r="H3946" s="4"/>
      <c r="I3946" s="4"/>
      <c r="J3946" s="18"/>
      <c r="K3946" s="4"/>
      <c r="L3946" s="19"/>
      <c r="M3946" s="20"/>
    </row>
    <row r="3947">
      <c r="A3947" s="6"/>
      <c r="B3947" s="6"/>
      <c r="C3947" s="4"/>
      <c r="D3947" s="4"/>
      <c r="E3947" s="4"/>
      <c r="F3947" s="4"/>
      <c r="G3947" s="4"/>
      <c r="H3947" s="4"/>
      <c r="I3947" s="4"/>
      <c r="J3947" s="18"/>
      <c r="K3947" s="4"/>
      <c r="L3947" s="19"/>
      <c r="M3947" s="20"/>
    </row>
    <row r="3948">
      <c r="A3948" s="6"/>
      <c r="B3948" s="6"/>
      <c r="C3948" s="4"/>
      <c r="D3948" s="4"/>
      <c r="E3948" s="4"/>
      <c r="F3948" s="4"/>
      <c r="G3948" s="4"/>
      <c r="H3948" s="4"/>
      <c r="I3948" s="4"/>
      <c r="J3948" s="18"/>
      <c r="K3948" s="4"/>
      <c r="L3948" s="19"/>
      <c r="M3948" s="20"/>
    </row>
    <row r="3949">
      <c r="A3949" s="6"/>
      <c r="B3949" s="6"/>
      <c r="C3949" s="4"/>
      <c r="D3949" s="4"/>
      <c r="E3949" s="4"/>
      <c r="F3949" s="4"/>
      <c r="G3949" s="4"/>
      <c r="H3949" s="4"/>
      <c r="I3949" s="4"/>
      <c r="J3949" s="18"/>
      <c r="K3949" s="4"/>
      <c r="L3949" s="19"/>
      <c r="M3949" s="20"/>
    </row>
    <row r="3950">
      <c r="A3950" s="6"/>
      <c r="B3950" s="6"/>
      <c r="C3950" s="4"/>
      <c r="D3950" s="4"/>
      <c r="E3950" s="4"/>
      <c r="F3950" s="4"/>
      <c r="G3950" s="4"/>
      <c r="H3950" s="4"/>
      <c r="I3950" s="4"/>
      <c r="J3950" s="18"/>
      <c r="K3950" s="4"/>
      <c r="L3950" s="19"/>
      <c r="M3950" s="20"/>
    </row>
    <row r="3951">
      <c r="A3951" s="6"/>
      <c r="B3951" s="6"/>
      <c r="C3951" s="4"/>
      <c r="D3951" s="4"/>
      <c r="E3951" s="4"/>
      <c r="F3951" s="4"/>
      <c r="G3951" s="4"/>
      <c r="H3951" s="4"/>
      <c r="I3951" s="4"/>
      <c r="J3951" s="18"/>
      <c r="K3951" s="4"/>
      <c r="L3951" s="19"/>
      <c r="M3951" s="20"/>
    </row>
    <row r="3952">
      <c r="A3952" s="6"/>
      <c r="B3952" s="6"/>
      <c r="C3952" s="4"/>
      <c r="D3952" s="4"/>
      <c r="E3952" s="4"/>
      <c r="F3952" s="4"/>
      <c r="G3952" s="4"/>
      <c r="H3952" s="4"/>
      <c r="I3952" s="4"/>
      <c r="J3952" s="18"/>
      <c r="K3952" s="4"/>
      <c r="L3952" s="19"/>
      <c r="M3952" s="20"/>
    </row>
    <row r="3953">
      <c r="A3953" s="6"/>
      <c r="B3953" s="6"/>
      <c r="C3953" s="4"/>
      <c r="D3953" s="4"/>
      <c r="E3953" s="4"/>
      <c r="F3953" s="4"/>
      <c r="G3953" s="4"/>
      <c r="H3953" s="4"/>
      <c r="I3953" s="4"/>
      <c r="J3953" s="18"/>
      <c r="K3953" s="4"/>
      <c r="L3953" s="19"/>
      <c r="M3953" s="20"/>
    </row>
    <row r="3954">
      <c r="A3954" s="6"/>
      <c r="B3954" s="6"/>
      <c r="C3954" s="4"/>
      <c r="D3954" s="4"/>
      <c r="E3954" s="4"/>
      <c r="F3954" s="4"/>
      <c r="G3954" s="4"/>
      <c r="H3954" s="4"/>
      <c r="I3954" s="4"/>
      <c r="J3954" s="18"/>
      <c r="K3954" s="4"/>
      <c r="L3954" s="19"/>
      <c r="M3954" s="20"/>
    </row>
    <row r="3955">
      <c r="A3955" s="6"/>
      <c r="B3955" s="6"/>
      <c r="C3955" s="4"/>
      <c r="D3955" s="4"/>
      <c r="E3955" s="4"/>
      <c r="F3955" s="4"/>
      <c r="G3955" s="4"/>
      <c r="H3955" s="4"/>
      <c r="I3955" s="4"/>
      <c r="J3955" s="18"/>
      <c r="K3955" s="4"/>
      <c r="L3955" s="19"/>
      <c r="M3955" s="20"/>
    </row>
    <row r="3956">
      <c r="A3956" s="6"/>
      <c r="B3956" s="6"/>
      <c r="C3956" s="4"/>
      <c r="D3956" s="4"/>
      <c r="E3956" s="4"/>
      <c r="F3956" s="4"/>
      <c r="G3956" s="4"/>
      <c r="H3956" s="4"/>
      <c r="I3956" s="4"/>
      <c r="J3956" s="18"/>
      <c r="K3956" s="4"/>
      <c r="L3956" s="19"/>
      <c r="M3956" s="20"/>
    </row>
    <row r="3957">
      <c r="A3957" s="6"/>
      <c r="B3957" s="6"/>
      <c r="C3957" s="4"/>
      <c r="D3957" s="4"/>
      <c r="E3957" s="4"/>
      <c r="F3957" s="4"/>
      <c r="G3957" s="4"/>
      <c r="H3957" s="4"/>
      <c r="I3957" s="4"/>
      <c r="J3957" s="18"/>
      <c r="K3957" s="4"/>
      <c r="L3957" s="19"/>
      <c r="M3957" s="20"/>
    </row>
    <row r="3958">
      <c r="A3958" s="6"/>
      <c r="B3958" s="6"/>
      <c r="C3958" s="4"/>
      <c r="D3958" s="4"/>
      <c r="E3958" s="4"/>
      <c r="F3958" s="4"/>
      <c r="G3958" s="4"/>
      <c r="H3958" s="4"/>
      <c r="I3958" s="4"/>
      <c r="J3958" s="18"/>
      <c r="K3958" s="4"/>
      <c r="L3958" s="19"/>
      <c r="M3958" s="20"/>
    </row>
    <row r="3959">
      <c r="A3959" s="6"/>
      <c r="B3959" s="6"/>
      <c r="C3959" s="4"/>
      <c r="D3959" s="4"/>
      <c r="E3959" s="4"/>
      <c r="F3959" s="4"/>
      <c r="G3959" s="4"/>
      <c r="H3959" s="4"/>
      <c r="I3959" s="4"/>
      <c r="J3959" s="18"/>
      <c r="K3959" s="4"/>
      <c r="L3959" s="19"/>
      <c r="M3959" s="20"/>
    </row>
    <row r="3960">
      <c r="A3960" s="6"/>
      <c r="B3960" s="6"/>
      <c r="C3960" s="4"/>
      <c r="D3960" s="4"/>
      <c r="E3960" s="4"/>
      <c r="F3960" s="4"/>
      <c r="G3960" s="4"/>
      <c r="H3960" s="4"/>
      <c r="I3960" s="4"/>
      <c r="J3960" s="18"/>
      <c r="K3960" s="4"/>
      <c r="L3960" s="19"/>
      <c r="M3960" s="20"/>
    </row>
    <row r="3961">
      <c r="A3961" s="6"/>
      <c r="B3961" s="6"/>
      <c r="C3961" s="4"/>
      <c r="D3961" s="4"/>
      <c r="E3961" s="4"/>
      <c r="F3961" s="4"/>
      <c r="G3961" s="4"/>
      <c r="H3961" s="4"/>
      <c r="I3961" s="4"/>
      <c r="J3961" s="18"/>
      <c r="K3961" s="4"/>
      <c r="L3961" s="19"/>
      <c r="M3961" s="20"/>
    </row>
    <row r="3962">
      <c r="A3962" s="6"/>
      <c r="B3962" s="6"/>
      <c r="C3962" s="4"/>
      <c r="D3962" s="4"/>
      <c r="E3962" s="4"/>
      <c r="F3962" s="4"/>
      <c r="G3962" s="4"/>
      <c r="H3962" s="4"/>
      <c r="I3962" s="4"/>
      <c r="J3962" s="18"/>
      <c r="K3962" s="4"/>
      <c r="L3962" s="19"/>
      <c r="M3962" s="20"/>
    </row>
    <row r="3963">
      <c r="A3963" s="6"/>
      <c r="B3963" s="6"/>
      <c r="C3963" s="4"/>
      <c r="D3963" s="4"/>
      <c r="E3963" s="4"/>
      <c r="F3963" s="4"/>
      <c r="G3963" s="4"/>
      <c r="H3963" s="4"/>
      <c r="I3963" s="4"/>
      <c r="J3963" s="18"/>
      <c r="K3963" s="4"/>
      <c r="L3963" s="19"/>
      <c r="M3963" s="20"/>
    </row>
    <row r="3964">
      <c r="A3964" s="6"/>
      <c r="B3964" s="6"/>
      <c r="C3964" s="4"/>
      <c r="D3964" s="4"/>
      <c r="E3964" s="4"/>
      <c r="F3964" s="4"/>
      <c r="G3964" s="4"/>
      <c r="H3964" s="4"/>
      <c r="I3964" s="4"/>
      <c r="J3964" s="18"/>
      <c r="K3964" s="4"/>
      <c r="L3964" s="19"/>
      <c r="M3964" s="20"/>
    </row>
    <row r="3965">
      <c r="A3965" s="6"/>
      <c r="B3965" s="6"/>
      <c r="C3965" s="4"/>
      <c r="D3965" s="4"/>
      <c r="E3965" s="4"/>
      <c r="F3965" s="4"/>
      <c r="G3965" s="4"/>
      <c r="H3965" s="4"/>
      <c r="I3965" s="4"/>
      <c r="J3965" s="18"/>
      <c r="K3965" s="4"/>
      <c r="L3965" s="19"/>
      <c r="M3965" s="20"/>
    </row>
    <row r="3966">
      <c r="A3966" s="6"/>
      <c r="B3966" s="6"/>
      <c r="C3966" s="4"/>
      <c r="D3966" s="4"/>
      <c r="E3966" s="4"/>
      <c r="F3966" s="4"/>
      <c r="G3966" s="4"/>
      <c r="H3966" s="4"/>
      <c r="I3966" s="4"/>
      <c r="J3966" s="18"/>
      <c r="K3966" s="4"/>
      <c r="L3966" s="19"/>
      <c r="M3966" s="20"/>
    </row>
    <row r="3967">
      <c r="A3967" s="6"/>
      <c r="B3967" s="6"/>
      <c r="C3967" s="4"/>
      <c r="D3967" s="4"/>
      <c r="E3967" s="4"/>
      <c r="F3967" s="4"/>
      <c r="G3967" s="4"/>
      <c r="H3967" s="4"/>
      <c r="I3967" s="4"/>
      <c r="J3967" s="18"/>
      <c r="K3967" s="4"/>
      <c r="L3967" s="19"/>
      <c r="M3967" s="20"/>
    </row>
    <row r="3968">
      <c r="A3968" s="6"/>
      <c r="B3968" s="6"/>
      <c r="C3968" s="4"/>
      <c r="D3968" s="4"/>
      <c r="E3968" s="4"/>
      <c r="F3968" s="4"/>
      <c r="G3968" s="4"/>
      <c r="H3968" s="4"/>
      <c r="I3968" s="4"/>
      <c r="J3968" s="18"/>
      <c r="K3968" s="4"/>
      <c r="L3968" s="19"/>
      <c r="M3968" s="20"/>
    </row>
    <row r="3969">
      <c r="A3969" s="6"/>
      <c r="B3969" s="6"/>
      <c r="C3969" s="4"/>
      <c r="D3969" s="4"/>
      <c r="E3969" s="4"/>
      <c r="F3969" s="4"/>
      <c r="G3969" s="4"/>
      <c r="H3969" s="4"/>
      <c r="I3969" s="4"/>
      <c r="J3969" s="18"/>
      <c r="K3969" s="4"/>
      <c r="L3969" s="19"/>
      <c r="M3969" s="20"/>
    </row>
    <row r="3970">
      <c r="A3970" s="6"/>
      <c r="B3970" s="6"/>
      <c r="C3970" s="4"/>
      <c r="D3970" s="4"/>
      <c r="E3970" s="4"/>
      <c r="F3970" s="4"/>
      <c r="G3970" s="4"/>
      <c r="H3970" s="4"/>
      <c r="I3970" s="4"/>
      <c r="J3970" s="18"/>
      <c r="K3970" s="4"/>
      <c r="L3970" s="19"/>
      <c r="M3970" s="20"/>
    </row>
    <row r="3971">
      <c r="A3971" s="6"/>
      <c r="B3971" s="6"/>
      <c r="C3971" s="4"/>
      <c r="D3971" s="4"/>
      <c r="E3971" s="4"/>
      <c r="F3971" s="4"/>
      <c r="G3971" s="4"/>
      <c r="H3971" s="4"/>
      <c r="I3971" s="4"/>
      <c r="J3971" s="18"/>
      <c r="K3971" s="4"/>
      <c r="L3971" s="19"/>
      <c r="M3971" s="20"/>
    </row>
    <row r="3972">
      <c r="A3972" s="6"/>
      <c r="B3972" s="6"/>
      <c r="C3972" s="4"/>
      <c r="D3972" s="4"/>
      <c r="E3972" s="4"/>
      <c r="F3972" s="4"/>
      <c r="G3972" s="4"/>
      <c r="H3972" s="4"/>
      <c r="I3972" s="4"/>
      <c r="J3972" s="18"/>
      <c r="K3972" s="4"/>
      <c r="L3972" s="19"/>
      <c r="M3972" s="20"/>
    </row>
    <row r="3973">
      <c r="A3973" s="6"/>
      <c r="B3973" s="6"/>
      <c r="C3973" s="4"/>
      <c r="D3973" s="4"/>
      <c r="E3973" s="4"/>
      <c r="F3973" s="4"/>
      <c r="G3973" s="4"/>
      <c r="H3973" s="4"/>
      <c r="I3973" s="4"/>
      <c r="J3973" s="18"/>
      <c r="K3973" s="4"/>
      <c r="L3973" s="19"/>
      <c r="M3973" s="20"/>
    </row>
    <row r="3974">
      <c r="A3974" s="6"/>
      <c r="B3974" s="6"/>
      <c r="C3974" s="4"/>
      <c r="D3974" s="4"/>
      <c r="E3974" s="4"/>
      <c r="F3974" s="4"/>
      <c r="G3974" s="4"/>
      <c r="H3974" s="4"/>
      <c r="I3974" s="4"/>
      <c r="J3974" s="18"/>
      <c r="K3974" s="4"/>
      <c r="L3974" s="19"/>
      <c r="M3974" s="20"/>
    </row>
    <row r="3975">
      <c r="A3975" s="6"/>
      <c r="B3975" s="6"/>
      <c r="C3975" s="4"/>
      <c r="D3975" s="4"/>
      <c r="E3975" s="4"/>
      <c r="F3975" s="4"/>
      <c r="G3975" s="4"/>
      <c r="H3975" s="4"/>
      <c r="I3975" s="4"/>
      <c r="J3975" s="18"/>
      <c r="K3975" s="4"/>
      <c r="L3975" s="19"/>
      <c r="M3975" s="20"/>
    </row>
    <row r="3976">
      <c r="A3976" s="6"/>
      <c r="B3976" s="6"/>
      <c r="C3976" s="4"/>
      <c r="D3976" s="4"/>
      <c r="E3976" s="4"/>
      <c r="F3976" s="4"/>
      <c r="G3976" s="4"/>
      <c r="H3976" s="4"/>
      <c r="I3976" s="4"/>
      <c r="J3976" s="18"/>
      <c r="K3976" s="4"/>
      <c r="L3976" s="19"/>
      <c r="M3976" s="20"/>
    </row>
    <row r="3977">
      <c r="A3977" s="6"/>
      <c r="B3977" s="6"/>
      <c r="C3977" s="4"/>
      <c r="D3977" s="4"/>
      <c r="E3977" s="4"/>
      <c r="F3977" s="4"/>
      <c r="G3977" s="4"/>
      <c r="H3977" s="4"/>
      <c r="I3977" s="4"/>
      <c r="J3977" s="18"/>
      <c r="K3977" s="4"/>
      <c r="L3977" s="19"/>
      <c r="M3977" s="20"/>
    </row>
    <row r="3978">
      <c r="A3978" s="6"/>
      <c r="B3978" s="6"/>
      <c r="C3978" s="4"/>
      <c r="D3978" s="4"/>
      <c r="E3978" s="4"/>
      <c r="F3978" s="4"/>
      <c r="G3978" s="4"/>
      <c r="H3978" s="4"/>
      <c r="I3978" s="4"/>
      <c r="J3978" s="18"/>
      <c r="K3978" s="4"/>
      <c r="L3978" s="19"/>
      <c r="M3978" s="20"/>
    </row>
    <row r="3979">
      <c r="A3979" s="6"/>
      <c r="B3979" s="6"/>
      <c r="C3979" s="4"/>
      <c r="D3979" s="4"/>
      <c r="E3979" s="4"/>
      <c r="F3979" s="4"/>
      <c r="G3979" s="4"/>
      <c r="H3979" s="4"/>
      <c r="I3979" s="4"/>
      <c r="J3979" s="18"/>
      <c r="K3979" s="4"/>
      <c r="L3979" s="19"/>
      <c r="M3979" s="20"/>
    </row>
    <row r="3980">
      <c r="A3980" s="6"/>
      <c r="B3980" s="6"/>
      <c r="C3980" s="4"/>
      <c r="D3980" s="4"/>
      <c r="E3980" s="4"/>
      <c r="F3980" s="4"/>
      <c r="G3980" s="4"/>
      <c r="H3980" s="4"/>
      <c r="I3980" s="4"/>
      <c r="J3980" s="18"/>
      <c r="K3980" s="4"/>
      <c r="L3980" s="19"/>
      <c r="M3980" s="20"/>
    </row>
    <row r="3981">
      <c r="A3981" s="6"/>
      <c r="B3981" s="6"/>
      <c r="C3981" s="4"/>
      <c r="D3981" s="4"/>
      <c r="E3981" s="4"/>
      <c r="F3981" s="4"/>
      <c r="G3981" s="4"/>
      <c r="H3981" s="4"/>
      <c r="I3981" s="4"/>
      <c r="J3981" s="18"/>
      <c r="K3981" s="4"/>
      <c r="L3981" s="19"/>
      <c r="M3981" s="20"/>
    </row>
    <row r="3982">
      <c r="A3982" s="6"/>
      <c r="B3982" s="6"/>
      <c r="C3982" s="4"/>
      <c r="D3982" s="4"/>
      <c r="E3982" s="4"/>
      <c r="F3982" s="4"/>
      <c r="G3982" s="4"/>
      <c r="H3982" s="4"/>
      <c r="I3982" s="4"/>
      <c r="J3982" s="18"/>
      <c r="K3982" s="4"/>
      <c r="L3982" s="19"/>
      <c r="M3982" s="20"/>
    </row>
    <row r="3983">
      <c r="A3983" s="6"/>
      <c r="B3983" s="6"/>
      <c r="C3983" s="4"/>
      <c r="D3983" s="4"/>
      <c r="E3983" s="4"/>
      <c r="F3983" s="4"/>
      <c r="G3983" s="4"/>
      <c r="H3983" s="4"/>
      <c r="I3983" s="4"/>
      <c r="J3983" s="18"/>
      <c r="K3983" s="4"/>
      <c r="L3983" s="19"/>
      <c r="M3983" s="20"/>
    </row>
    <row r="3984">
      <c r="A3984" s="6"/>
      <c r="B3984" s="6"/>
      <c r="C3984" s="4"/>
      <c r="D3984" s="4"/>
      <c r="E3984" s="4"/>
      <c r="F3984" s="4"/>
      <c r="G3984" s="4"/>
      <c r="H3984" s="4"/>
      <c r="I3984" s="4"/>
      <c r="J3984" s="18"/>
      <c r="K3984" s="4"/>
      <c r="L3984" s="19"/>
      <c r="M3984" s="20"/>
    </row>
    <row r="3985">
      <c r="A3985" s="6"/>
      <c r="B3985" s="6"/>
      <c r="C3985" s="4"/>
      <c r="D3985" s="4"/>
      <c r="E3985" s="4"/>
      <c r="F3985" s="4"/>
      <c r="G3985" s="4"/>
      <c r="H3985" s="4"/>
      <c r="I3985" s="4"/>
      <c r="J3985" s="18"/>
      <c r="K3985" s="4"/>
      <c r="L3985" s="19"/>
      <c r="M3985" s="20"/>
    </row>
    <row r="3986">
      <c r="A3986" s="6"/>
      <c r="B3986" s="6"/>
      <c r="C3986" s="4"/>
      <c r="D3986" s="4"/>
      <c r="E3986" s="4"/>
      <c r="F3986" s="4"/>
      <c r="G3986" s="4"/>
      <c r="H3986" s="4"/>
      <c r="I3986" s="4"/>
      <c r="J3986" s="18"/>
      <c r="K3986" s="4"/>
      <c r="L3986" s="19"/>
      <c r="M3986" s="20"/>
    </row>
    <row r="3987">
      <c r="A3987" s="6"/>
      <c r="B3987" s="6"/>
      <c r="C3987" s="4"/>
      <c r="D3987" s="4"/>
      <c r="E3987" s="4"/>
      <c r="F3987" s="4"/>
      <c r="G3987" s="4"/>
      <c r="H3987" s="4"/>
      <c r="I3987" s="4"/>
      <c r="J3987" s="18"/>
      <c r="K3987" s="4"/>
      <c r="L3987" s="19"/>
      <c r="M3987" s="20"/>
    </row>
    <row r="3988">
      <c r="A3988" s="6"/>
      <c r="B3988" s="6"/>
      <c r="C3988" s="4"/>
      <c r="D3988" s="4"/>
      <c r="E3988" s="4"/>
      <c r="F3988" s="4"/>
      <c r="G3988" s="4"/>
      <c r="H3988" s="4"/>
      <c r="I3988" s="4"/>
      <c r="J3988" s="18"/>
      <c r="K3988" s="4"/>
      <c r="L3988" s="19"/>
      <c r="M3988" s="20"/>
    </row>
    <row r="3989">
      <c r="A3989" s="6"/>
      <c r="B3989" s="6"/>
      <c r="C3989" s="4"/>
      <c r="D3989" s="4"/>
      <c r="E3989" s="4"/>
      <c r="F3989" s="4"/>
      <c r="G3989" s="4"/>
      <c r="H3989" s="4"/>
      <c r="I3989" s="4"/>
      <c r="J3989" s="18"/>
      <c r="K3989" s="4"/>
      <c r="L3989" s="19"/>
      <c r="M3989" s="20"/>
    </row>
    <row r="3990">
      <c r="A3990" s="6"/>
      <c r="B3990" s="6"/>
      <c r="C3990" s="4"/>
      <c r="D3990" s="4"/>
      <c r="E3990" s="4"/>
      <c r="F3990" s="4"/>
      <c r="G3990" s="4"/>
      <c r="H3990" s="4"/>
      <c r="I3990" s="4"/>
      <c r="J3990" s="18"/>
      <c r="K3990" s="4"/>
      <c r="L3990" s="19"/>
      <c r="M3990" s="20"/>
    </row>
    <row r="3991">
      <c r="A3991" s="6"/>
      <c r="B3991" s="6"/>
      <c r="C3991" s="4"/>
      <c r="D3991" s="4"/>
      <c r="E3991" s="4"/>
      <c r="F3991" s="4"/>
      <c r="G3991" s="4"/>
      <c r="H3991" s="4"/>
      <c r="I3991" s="4"/>
      <c r="J3991" s="18"/>
      <c r="K3991" s="4"/>
      <c r="L3991" s="19"/>
      <c r="M3991" s="20"/>
    </row>
    <row r="3992">
      <c r="A3992" s="6"/>
      <c r="B3992" s="6"/>
      <c r="C3992" s="4"/>
      <c r="D3992" s="4"/>
      <c r="E3992" s="4"/>
      <c r="F3992" s="4"/>
      <c r="G3992" s="4"/>
      <c r="H3992" s="4"/>
      <c r="I3992" s="4"/>
      <c r="J3992" s="18"/>
      <c r="K3992" s="4"/>
      <c r="L3992" s="19"/>
      <c r="M3992" s="20"/>
    </row>
    <row r="3993">
      <c r="A3993" s="6"/>
      <c r="B3993" s="6"/>
      <c r="C3993" s="4"/>
      <c r="D3993" s="4"/>
      <c r="E3993" s="4"/>
      <c r="F3993" s="4"/>
      <c r="G3993" s="4"/>
      <c r="H3993" s="4"/>
      <c r="I3993" s="4"/>
      <c r="J3993" s="18"/>
      <c r="K3993" s="4"/>
      <c r="L3993" s="19"/>
      <c r="M3993" s="20"/>
    </row>
    <row r="3994">
      <c r="A3994" s="6"/>
      <c r="B3994" s="6"/>
      <c r="C3994" s="4"/>
      <c r="D3994" s="4"/>
      <c r="E3994" s="4"/>
      <c r="F3994" s="4"/>
      <c r="G3994" s="4"/>
      <c r="H3994" s="4"/>
      <c r="I3994" s="4"/>
      <c r="J3994" s="18"/>
      <c r="K3994" s="4"/>
      <c r="L3994" s="19"/>
      <c r="M3994" s="20"/>
    </row>
    <row r="3995">
      <c r="A3995" s="6"/>
      <c r="B3995" s="6"/>
      <c r="C3995" s="4"/>
      <c r="D3995" s="4"/>
      <c r="E3995" s="4"/>
      <c r="F3995" s="4"/>
      <c r="G3995" s="4"/>
      <c r="H3995" s="4"/>
      <c r="I3995" s="4"/>
      <c r="J3995" s="18"/>
      <c r="K3995" s="4"/>
      <c r="L3995" s="19"/>
      <c r="M3995" s="20"/>
    </row>
    <row r="3996">
      <c r="A3996" s="6"/>
      <c r="B3996" s="6"/>
      <c r="C3996" s="4"/>
      <c r="D3996" s="4"/>
      <c r="E3996" s="4"/>
      <c r="F3996" s="4"/>
      <c r="G3996" s="4"/>
      <c r="H3996" s="4"/>
      <c r="I3996" s="4"/>
      <c r="J3996" s="18"/>
      <c r="K3996" s="4"/>
      <c r="L3996" s="19"/>
      <c r="M3996" s="20"/>
    </row>
    <row r="3997">
      <c r="A3997" s="6"/>
      <c r="B3997" s="6"/>
      <c r="C3997" s="4"/>
      <c r="D3997" s="4"/>
      <c r="E3997" s="4"/>
      <c r="F3997" s="4"/>
      <c r="G3997" s="4"/>
      <c r="H3997" s="4"/>
      <c r="I3997" s="4"/>
      <c r="J3997" s="18"/>
      <c r="K3997" s="4"/>
      <c r="L3997" s="19"/>
      <c r="M3997" s="20"/>
    </row>
    <row r="3998">
      <c r="A3998" s="6"/>
      <c r="B3998" s="6"/>
      <c r="C3998" s="4"/>
      <c r="D3998" s="4"/>
      <c r="E3998" s="4"/>
      <c r="F3998" s="4"/>
      <c r="G3998" s="4"/>
      <c r="H3998" s="4"/>
      <c r="I3998" s="4"/>
      <c r="J3998" s="18"/>
      <c r="K3998" s="4"/>
      <c r="L3998" s="19"/>
      <c r="M3998" s="20"/>
    </row>
    <row r="3999">
      <c r="A3999" s="6"/>
      <c r="B3999" s="6"/>
      <c r="C3999" s="4"/>
      <c r="D3999" s="4"/>
      <c r="E3999" s="4"/>
      <c r="F3999" s="4"/>
      <c r="G3999" s="4"/>
      <c r="H3999" s="4"/>
      <c r="I3999" s="4"/>
      <c r="J3999" s="18"/>
      <c r="K3999" s="4"/>
      <c r="L3999" s="19"/>
      <c r="M3999" s="20"/>
    </row>
    <row r="4000">
      <c r="A4000" s="6"/>
      <c r="B4000" s="6"/>
      <c r="C4000" s="4"/>
      <c r="D4000" s="4"/>
      <c r="E4000" s="4"/>
      <c r="F4000" s="4"/>
      <c r="G4000" s="4"/>
      <c r="H4000" s="4"/>
      <c r="I4000" s="4"/>
      <c r="J4000" s="18"/>
      <c r="K4000" s="4"/>
      <c r="L4000" s="19"/>
      <c r="M4000" s="20"/>
    </row>
    <row r="4001">
      <c r="A4001" s="6"/>
      <c r="B4001" s="6"/>
      <c r="C4001" s="2"/>
      <c r="D4001" s="4"/>
      <c r="E4001" s="4"/>
      <c r="F4001" s="4"/>
      <c r="G4001" s="4"/>
      <c r="H4001" s="4"/>
      <c r="I4001" s="4"/>
      <c r="J4001" s="18"/>
      <c r="K4001" s="4"/>
      <c r="L4001" s="19"/>
      <c r="M4001" s="20"/>
    </row>
    <row r="4002">
      <c r="A4002" s="6"/>
      <c r="B4002" s="6"/>
      <c r="C4002" s="4"/>
      <c r="D4002" s="4"/>
      <c r="E4002" s="4"/>
      <c r="F4002" s="4"/>
      <c r="G4002" s="4"/>
      <c r="H4002" s="4"/>
      <c r="I4002" s="4"/>
      <c r="J4002" s="18"/>
      <c r="K4002" s="4"/>
      <c r="L4002" s="19"/>
      <c r="M4002" s="20"/>
    </row>
    <row r="4003">
      <c r="A4003" s="6"/>
      <c r="B4003" s="6"/>
      <c r="C4003" s="4"/>
      <c r="D4003" s="4"/>
      <c r="E4003" s="4"/>
      <c r="F4003" s="4"/>
      <c r="G4003" s="4"/>
      <c r="H4003" s="4"/>
      <c r="I4003" s="4"/>
      <c r="J4003" s="18"/>
      <c r="K4003" s="4"/>
      <c r="L4003" s="19"/>
      <c r="M4003" s="20"/>
    </row>
    <row r="4004">
      <c r="A4004" s="6"/>
      <c r="B4004" s="6"/>
      <c r="C4004" s="4"/>
      <c r="D4004" s="4"/>
      <c r="E4004" s="4"/>
      <c r="F4004" s="4"/>
      <c r="G4004" s="4"/>
      <c r="H4004" s="4"/>
      <c r="I4004" s="4"/>
      <c r="J4004" s="18"/>
      <c r="K4004" s="4"/>
      <c r="L4004" s="19"/>
      <c r="M4004" s="20"/>
    </row>
    <row r="4005">
      <c r="A4005" s="6"/>
      <c r="B4005" s="6"/>
      <c r="C4005" s="4"/>
      <c r="D4005" s="4"/>
      <c r="E4005" s="4"/>
      <c r="F4005" s="4"/>
      <c r="G4005" s="4"/>
      <c r="H4005" s="4"/>
      <c r="I4005" s="4"/>
      <c r="J4005" s="18"/>
      <c r="K4005" s="4"/>
      <c r="L4005" s="19"/>
      <c r="M4005" s="20"/>
    </row>
    <row r="4006">
      <c r="A4006" s="6"/>
      <c r="B4006" s="6"/>
      <c r="C4006" s="4"/>
      <c r="D4006" s="4"/>
      <c r="E4006" s="4"/>
      <c r="F4006" s="4"/>
      <c r="G4006" s="4"/>
      <c r="H4006" s="4"/>
      <c r="I4006" s="4"/>
      <c r="J4006" s="18"/>
      <c r="K4006" s="4"/>
      <c r="L4006" s="19"/>
      <c r="M4006" s="20"/>
    </row>
    <row r="4007">
      <c r="A4007" s="6"/>
      <c r="B4007" s="6"/>
      <c r="C4007" s="4"/>
      <c r="D4007" s="4"/>
      <c r="E4007" s="4"/>
      <c r="F4007" s="4"/>
      <c r="G4007" s="4"/>
      <c r="H4007" s="4"/>
      <c r="I4007" s="4"/>
      <c r="J4007" s="18"/>
      <c r="K4007" s="4"/>
      <c r="L4007" s="19"/>
      <c r="M4007" s="20"/>
    </row>
    <row r="4008">
      <c r="A4008" s="6"/>
      <c r="B4008" s="6"/>
      <c r="C4008" s="4"/>
      <c r="D4008" s="4"/>
      <c r="E4008" s="4"/>
      <c r="F4008" s="4"/>
      <c r="G4008" s="4"/>
      <c r="H4008" s="4"/>
      <c r="I4008" s="4"/>
      <c r="J4008" s="18"/>
      <c r="K4008" s="4"/>
      <c r="L4008" s="19"/>
      <c r="M4008" s="20"/>
    </row>
    <row r="4009">
      <c r="A4009" s="6"/>
      <c r="B4009" s="6"/>
      <c r="C4009" s="4"/>
      <c r="D4009" s="4"/>
      <c r="E4009" s="4"/>
      <c r="F4009" s="4"/>
      <c r="G4009" s="4"/>
      <c r="H4009" s="4"/>
      <c r="I4009" s="4"/>
      <c r="J4009" s="18"/>
      <c r="K4009" s="4"/>
      <c r="L4009" s="19"/>
      <c r="M4009" s="20"/>
    </row>
    <row r="4010">
      <c r="A4010" s="6"/>
      <c r="B4010" s="6"/>
      <c r="C4010" s="4"/>
      <c r="D4010" s="4"/>
      <c r="E4010" s="4"/>
      <c r="F4010" s="4"/>
      <c r="G4010" s="4"/>
      <c r="H4010" s="4"/>
      <c r="I4010" s="4"/>
      <c r="J4010" s="18"/>
      <c r="K4010" s="4"/>
      <c r="L4010" s="19"/>
      <c r="M4010" s="20"/>
    </row>
    <row r="4011">
      <c r="A4011" s="6"/>
      <c r="B4011" s="6"/>
      <c r="C4011" s="4"/>
      <c r="D4011" s="4"/>
      <c r="E4011" s="4"/>
      <c r="F4011" s="4"/>
      <c r="G4011" s="4"/>
      <c r="H4011" s="4"/>
      <c r="I4011" s="4"/>
      <c r="J4011" s="18"/>
      <c r="K4011" s="4"/>
      <c r="L4011" s="19"/>
      <c r="M4011" s="20"/>
    </row>
    <row r="4012">
      <c r="A4012" s="6"/>
      <c r="B4012" s="6"/>
      <c r="C4012" s="4"/>
      <c r="D4012" s="4"/>
      <c r="E4012" s="4"/>
      <c r="F4012" s="4"/>
      <c r="G4012" s="4"/>
      <c r="H4012" s="4"/>
      <c r="I4012" s="4"/>
      <c r="J4012" s="18"/>
      <c r="K4012" s="4"/>
      <c r="L4012" s="19"/>
      <c r="M4012" s="20"/>
    </row>
    <row r="4013">
      <c r="A4013" s="6"/>
      <c r="B4013" s="6"/>
      <c r="C4013" s="4"/>
      <c r="D4013" s="4"/>
      <c r="E4013" s="4"/>
      <c r="F4013" s="4"/>
      <c r="G4013" s="4"/>
      <c r="H4013" s="4"/>
      <c r="I4013" s="4"/>
      <c r="J4013" s="18"/>
      <c r="K4013" s="4"/>
      <c r="L4013" s="19"/>
      <c r="M4013" s="20"/>
    </row>
    <row r="4014">
      <c r="A4014" s="6"/>
      <c r="B4014" s="6"/>
      <c r="C4014" s="4"/>
      <c r="D4014" s="4"/>
      <c r="E4014" s="4"/>
      <c r="F4014" s="4"/>
      <c r="G4014" s="4"/>
      <c r="H4014" s="4"/>
      <c r="I4014" s="4"/>
      <c r="J4014" s="18"/>
      <c r="K4014" s="4"/>
      <c r="L4014" s="19"/>
      <c r="M4014" s="20"/>
    </row>
    <row r="4015">
      <c r="A4015" s="6"/>
      <c r="B4015" s="6"/>
      <c r="C4015" s="4"/>
      <c r="D4015" s="4"/>
      <c r="E4015" s="4"/>
      <c r="F4015" s="4"/>
      <c r="G4015" s="4"/>
      <c r="H4015" s="4"/>
      <c r="I4015" s="4"/>
      <c r="J4015" s="18"/>
      <c r="K4015" s="4"/>
      <c r="L4015" s="19"/>
      <c r="M4015" s="20"/>
    </row>
    <row r="4016">
      <c r="A4016" s="6"/>
      <c r="B4016" s="6"/>
      <c r="C4016" s="4"/>
      <c r="D4016" s="4"/>
      <c r="E4016" s="4"/>
      <c r="F4016" s="4"/>
      <c r="G4016" s="4"/>
      <c r="H4016" s="4"/>
      <c r="I4016" s="4"/>
      <c r="J4016" s="18"/>
      <c r="K4016" s="4"/>
      <c r="L4016" s="19"/>
      <c r="M4016" s="20"/>
    </row>
    <row r="4017">
      <c r="A4017" s="6"/>
      <c r="B4017" s="6"/>
      <c r="C4017" s="4"/>
      <c r="D4017" s="4"/>
      <c r="E4017" s="4"/>
      <c r="F4017" s="4"/>
      <c r="G4017" s="4"/>
      <c r="H4017" s="4"/>
      <c r="I4017" s="4"/>
      <c r="J4017" s="18"/>
      <c r="K4017" s="4"/>
      <c r="L4017" s="19"/>
      <c r="M4017" s="20"/>
    </row>
    <row r="4018">
      <c r="A4018" s="6"/>
      <c r="B4018" s="6"/>
      <c r="C4018" s="4"/>
      <c r="D4018" s="4"/>
      <c r="E4018" s="4"/>
      <c r="F4018" s="4"/>
      <c r="G4018" s="4"/>
      <c r="H4018" s="4"/>
      <c r="I4018" s="4"/>
      <c r="J4018" s="18"/>
      <c r="K4018" s="4"/>
      <c r="L4018" s="19"/>
      <c r="M4018" s="20"/>
    </row>
    <row r="4019">
      <c r="A4019" s="6"/>
      <c r="B4019" s="6"/>
      <c r="C4019" s="4"/>
      <c r="D4019" s="4"/>
      <c r="E4019" s="4"/>
      <c r="F4019" s="4"/>
      <c r="G4019" s="4"/>
      <c r="H4019" s="4"/>
      <c r="I4019" s="4"/>
      <c r="J4019" s="18"/>
      <c r="K4019" s="4"/>
      <c r="L4019" s="19"/>
      <c r="M4019" s="20"/>
    </row>
    <row r="4020">
      <c r="A4020" s="6"/>
      <c r="B4020" s="6"/>
      <c r="C4020" s="4"/>
      <c r="D4020" s="4"/>
      <c r="E4020" s="4"/>
      <c r="F4020" s="4"/>
      <c r="G4020" s="4"/>
      <c r="H4020" s="4"/>
      <c r="I4020" s="4"/>
      <c r="J4020" s="18"/>
      <c r="K4020" s="4"/>
      <c r="L4020" s="19"/>
      <c r="M4020" s="20"/>
    </row>
    <row r="4021">
      <c r="A4021" s="6"/>
      <c r="B4021" s="6"/>
      <c r="C4021" s="4"/>
      <c r="D4021" s="4"/>
      <c r="E4021" s="4"/>
      <c r="F4021" s="4"/>
      <c r="G4021" s="4"/>
      <c r="H4021" s="4"/>
      <c r="I4021" s="4"/>
      <c r="J4021" s="18"/>
      <c r="K4021" s="4"/>
      <c r="L4021" s="19"/>
      <c r="M4021" s="20"/>
    </row>
    <row r="4022">
      <c r="A4022" s="6"/>
      <c r="B4022" s="6"/>
      <c r="C4022" s="4"/>
      <c r="D4022" s="4"/>
      <c r="E4022" s="4"/>
      <c r="F4022" s="4"/>
      <c r="G4022" s="4"/>
      <c r="H4022" s="4"/>
      <c r="I4022" s="4"/>
      <c r="J4022" s="18"/>
      <c r="K4022" s="4"/>
      <c r="L4022" s="19"/>
      <c r="M4022" s="20"/>
    </row>
    <row r="4023">
      <c r="A4023" s="6"/>
      <c r="B4023" s="6"/>
      <c r="C4023" s="4"/>
      <c r="D4023" s="4"/>
      <c r="E4023" s="4"/>
      <c r="F4023" s="4"/>
      <c r="G4023" s="4"/>
      <c r="H4023" s="4"/>
      <c r="I4023" s="4"/>
      <c r="J4023" s="18"/>
      <c r="K4023" s="4"/>
      <c r="L4023" s="19"/>
      <c r="M4023" s="20"/>
    </row>
    <row r="4024">
      <c r="A4024" s="6"/>
      <c r="B4024" s="6"/>
      <c r="C4024" s="4"/>
      <c r="D4024" s="4"/>
      <c r="E4024" s="4"/>
      <c r="F4024" s="4"/>
      <c r="G4024" s="4"/>
      <c r="H4024" s="4"/>
      <c r="I4024" s="4"/>
      <c r="J4024" s="18"/>
      <c r="K4024" s="4"/>
      <c r="L4024" s="19"/>
      <c r="M4024" s="20"/>
    </row>
    <row r="4025">
      <c r="A4025" s="6"/>
      <c r="B4025" s="6"/>
      <c r="C4025" s="4"/>
      <c r="D4025" s="4"/>
      <c r="E4025" s="4"/>
      <c r="F4025" s="4"/>
      <c r="G4025" s="4"/>
      <c r="H4025" s="4"/>
      <c r="I4025" s="4"/>
      <c r="J4025" s="18"/>
      <c r="K4025" s="4"/>
      <c r="L4025" s="19"/>
      <c r="M4025" s="20"/>
    </row>
    <row r="4026">
      <c r="A4026" s="6"/>
      <c r="B4026" s="6"/>
      <c r="C4026" s="4"/>
      <c r="D4026" s="4"/>
      <c r="E4026" s="4"/>
      <c r="F4026" s="4"/>
      <c r="G4026" s="4"/>
      <c r="H4026" s="4"/>
      <c r="I4026" s="4"/>
      <c r="J4026" s="18"/>
      <c r="K4026" s="4"/>
      <c r="L4026" s="19"/>
      <c r="M4026" s="20"/>
    </row>
    <row r="4027">
      <c r="A4027" s="6"/>
      <c r="B4027" s="6"/>
      <c r="C4027" s="4"/>
      <c r="D4027" s="4"/>
      <c r="E4027" s="4"/>
      <c r="F4027" s="4"/>
      <c r="G4027" s="4"/>
      <c r="H4027" s="4"/>
      <c r="I4027" s="4"/>
      <c r="J4027" s="18"/>
      <c r="K4027" s="4"/>
      <c r="L4027" s="19"/>
      <c r="M4027" s="20"/>
    </row>
    <row r="4028">
      <c r="A4028" s="6"/>
      <c r="B4028" s="6"/>
      <c r="C4028" s="4"/>
      <c r="D4028" s="4"/>
      <c r="E4028" s="4"/>
      <c r="F4028" s="4"/>
      <c r="G4028" s="4"/>
      <c r="H4028" s="4"/>
      <c r="I4028" s="4"/>
      <c r="J4028" s="18"/>
      <c r="K4028" s="4"/>
      <c r="L4028" s="19"/>
      <c r="M4028" s="20"/>
    </row>
    <row r="4029">
      <c r="A4029" s="6"/>
      <c r="B4029" s="6"/>
      <c r="C4029" s="4"/>
      <c r="D4029" s="4"/>
      <c r="E4029" s="4"/>
      <c r="F4029" s="4"/>
      <c r="G4029" s="4"/>
      <c r="H4029" s="4"/>
      <c r="I4029" s="4"/>
      <c r="J4029" s="18"/>
      <c r="K4029" s="4"/>
      <c r="L4029" s="19"/>
      <c r="M4029" s="20"/>
    </row>
    <row r="4030">
      <c r="A4030" s="6"/>
      <c r="B4030" s="6"/>
      <c r="C4030" s="4"/>
      <c r="D4030" s="4"/>
      <c r="E4030" s="4"/>
      <c r="F4030" s="4"/>
      <c r="G4030" s="4"/>
      <c r="H4030" s="4"/>
      <c r="I4030" s="4"/>
      <c r="J4030" s="18"/>
      <c r="K4030" s="4"/>
      <c r="L4030" s="19"/>
      <c r="M4030" s="20"/>
    </row>
    <row r="4031">
      <c r="A4031" s="6"/>
      <c r="B4031" s="6"/>
      <c r="C4031" s="4"/>
      <c r="D4031" s="4"/>
      <c r="E4031" s="4"/>
      <c r="F4031" s="4"/>
      <c r="G4031" s="4"/>
      <c r="H4031" s="4"/>
      <c r="I4031" s="4"/>
      <c r="J4031" s="18"/>
      <c r="K4031" s="4"/>
      <c r="L4031" s="19"/>
      <c r="M4031" s="20"/>
    </row>
    <row r="4032">
      <c r="A4032" s="6"/>
      <c r="B4032" s="6"/>
      <c r="C4032" s="4"/>
      <c r="D4032" s="4"/>
      <c r="E4032" s="4"/>
      <c r="F4032" s="4"/>
      <c r="G4032" s="4"/>
      <c r="H4032" s="4"/>
      <c r="I4032" s="4"/>
      <c r="J4032" s="18"/>
      <c r="K4032" s="4"/>
      <c r="L4032" s="19"/>
      <c r="M4032" s="20"/>
    </row>
    <row r="4033">
      <c r="A4033" s="6"/>
      <c r="B4033" s="6"/>
      <c r="C4033" s="4"/>
      <c r="D4033" s="4"/>
      <c r="E4033" s="4"/>
      <c r="F4033" s="4"/>
      <c r="G4033" s="4"/>
      <c r="H4033" s="4"/>
      <c r="I4033" s="4"/>
      <c r="J4033" s="18"/>
      <c r="K4033" s="4"/>
      <c r="L4033" s="19"/>
      <c r="M4033" s="20"/>
    </row>
    <row r="4034">
      <c r="A4034" s="6"/>
      <c r="B4034" s="6"/>
      <c r="C4034" s="4"/>
      <c r="D4034" s="4"/>
      <c r="E4034" s="4"/>
      <c r="F4034" s="4"/>
      <c r="G4034" s="4"/>
      <c r="H4034" s="4"/>
      <c r="I4034" s="4"/>
      <c r="J4034" s="18"/>
      <c r="K4034" s="4"/>
      <c r="L4034" s="19"/>
      <c r="M4034" s="20"/>
    </row>
    <row r="4035">
      <c r="A4035" s="6"/>
      <c r="B4035" s="6"/>
      <c r="C4035" s="4"/>
      <c r="D4035" s="4"/>
      <c r="E4035" s="4"/>
      <c r="F4035" s="4"/>
      <c r="G4035" s="4"/>
      <c r="H4035" s="4"/>
      <c r="I4035" s="4"/>
      <c r="J4035" s="18"/>
      <c r="K4035" s="4"/>
      <c r="L4035" s="19"/>
      <c r="M4035" s="20"/>
    </row>
    <row r="4036">
      <c r="A4036" s="6"/>
      <c r="B4036" s="6"/>
      <c r="C4036" s="4"/>
      <c r="D4036" s="4"/>
      <c r="E4036" s="4"/>
      <c r="F4036" s="4"/>
      <c r="G4036" s="4"/>
      <c r="H4036" s="4"/>
      <c r="I4036" s="4"/>
      <c r="J4036" s="18"/>
      <c r="K4036" s="4"/>
      <c r="L4036" s="19"/>
      <c r="M4036" s="20"/>
    </row>
    <row r="4037">
      <c r="A4037" s="6"/>
      <c r="B4037" s="6"/>
      <c r="C4037" s="4"/>
      <c r="D4037" s="4"/>
      <c r="E4037" s="4"/>
      <c r="F4037" s="4"/>
      <c r="G4037" s="4"/>
      <c r="H4037" s="4"/>
      <c r="I4037" s="4"/>
      <c r="J4037" s="18"/>
      <c r="K4037" s="4"/>
      <c r="L4037" s="19"/>
      <c r="M4037" s="20"/>
    </row>
    <row r="4038">
      <c r="A4038" s="6"/>
      <c r="B4038" s="6"/>
      <c r="C4038" s="4"/>
      <c r="D4038" s="4"/>
      <c r="E4038" s="4"/>
      <c r="F4038" s="4"/>
      <c r="G4038" s="4"/>
      <c r="H4038" s="4"/>
      <c r="I4038" s="4"/>
      <c r="J4038" s="18"/>
      <c r="K4038" s="4"/>
      <c r="L4038" s="19"/>
      <c r="M4038" s="20"/>
    </row>
    <row r="4039">
      <c r="A4039" s="6"/>
      <c r="B4039" s="6"/>
      <c r="C4039" s="4"/>
      <c r="D4039" s="4"/>
      <c r="E4039" s="4"/>
      <c r="F4039" s="4"/>
      <c r="G4039" s="4"/>
      <c r="H4039" s="4"/>
      <c r="I4039" s="4"/>
      <c r="J4039" s="18"/>
      <c r="K4039" s="4"/>
      <c r="L4039" s="19"/>
      <c r="M4039" s="20"/>
    </row>
    <row r="4040">
      <c r="A4040" s="6"/>
      <c r="B4040" s="6"/>
      <c r="C4040" s="4"/>
      <c r="D4040" s="4"/>
      <c r="E4040" s="4"/>
      <c r="F4040" s="4"/>
      <c r="G4040" s="4"/>
      <c r="H4040" s="4"/>
      <c r="I4040" s="4"/>
      <c r="J4040" s="18"/>
      <c r="K4040" s="4"/>
      <c r="L4040" s="19"/>
      <c r="M4040" s="20"/>
    </row>
    <row r="4041">
      <c r="A4041" s="6"/>
      <c r="B4041" s="6"/>
      <c r="C4041" s="4"/>
      <c r="D4041" s="4"/>
      <c r="E4041" s="4"/>
      <c r="F4041" s="4"/>
      <c r="G4041" s="4"/>
      <c r="H4041" s="4"/>
      <c r="I4041" s="4"/>
      <c r="J4041" s="18"/>
      <c r="K4041" s="4"/>
      <c r="L4041" s="19"/>
      <c r="M4041" s="20"/>
    </row>
    <row r="4042">
      <c r="A4042" s="6"/>
      <c r="B4042" s="6"/>
      <c r="C4042" s="4"/>
      <c r="D4042" s="4"/>
      <c r="E4042" s="4"/>
      <c r="F4042" s="4"/>
      <c r="G4042" s="4"/>
      <c r="H4042" s="4"/>
      <c r="I4042" s="4"/>
      <c r="J4042" s="18"/>
      <c r="K4042" s="4"/>
      <c r="L4042" s="19"/>
      <c r="M4042" s="20"/>
    </row>
    <row r="4043">
      <c r="A4043" s="6"/>
      <c r="B4043" s="6"/>
      <c r="C4043" s="4"/>
      <c r="D4043" s="4"/>
      <c r="E4043" s="4"/>
      <c r="F4043" s="4"/>
      <c r="G4043" s="4"/>
      <c r="H4043" s="4"/>
      <c r="I4043" s="4"/>
      <c r="J4043" s="18"/>
      <c r="K4043" s="4"/>
      <c r="L4043" s="19"/>
      <c r="M4043" s="20"/>
    </row>
    <row r="4044">
      <c r="A4044" s="6"/>
      <c r="B4044" s="6"/>
      <c r="C4044" s="4"/>
      <c r="D4044" s="4"/>
      <c r="E4044" s="4"/>
      <c r="F4044" s="4"/>
      <c r="G4044" s="4"/>
      <c r="H4044" s="4"/>
      <c r="I4044" s="4"/>
      <c r="J4044" s="18"/>
      <c r="K4044" s="4"/>
      <c r="L4044" s="19"/>
      <c r="M4044" s="20"/>
    </row>
    <row r="4045">
      <c r="A4045" s="6"/>
      <c r="B4045" s="6"/>
      <c r="C4045" s="4"/>
      <c r="D4045" s="4"/>
      <c r="E4045" s="4"/>
      <c r="F4045" s="4"/>
      <c r="G4045" s="4"/>
      <c r="H4045" s="4"/>
      <c r="I4045" s="4"/>
      <c r="J4045" s="18"/>
      <c r="K4045" s="4"/>
      <c r="L4045" s="19"/>
      <c r="M4045" s="20"/>
    </row>
    <row r="4046">
      <c r="A4046" s="6"/>
      <c r="B4046" s="6"/>
      <c r="C4046" s="4"/>
      <c r="D4046" s="4"/>
      <c r="E4046" s="4"/>
      <c r="F4046" s="4"/>
      <c r="G4046" s="4"/>
      <c r="H4046" s="4"/>
      <c r="I4046" s="4"/>
      <c r="J4046" s="18"/>
      <c r="K4046" s="4"/>
      <c r="L4046" s="19"/>
      <c r="M4046" s="20"/>
    </row>
    <row r="4047">
      <c r="A4047" s="6"/>
      <c r="B4047" s="6"/>
      <c r="C4047" s="4"/>
      <c r="D4047" s="4"/>
      <c r="E4047" s="4"/>
      <c r="F4047" s="4"/>
      <c r="G4047" s="4"/>
      <c r="H4047" s="4"/>
      <c r="I4047" s="4"/>
      <c r="J4047" s="18"/>
      <c r="K4047" s="4"/>
      <c r="L4047" s="19"/>
      <c r="M4047" s="20"/>
    </row>
    <row r="4048">
      <c r="A4048" s="6"/>
      <c r="B4048" s="6"/>
      <c r="C4048" s="4"/>
      <c r="D4048" s="4"/>
      <c r="E4048" s="4"/>
      <c r="F4048" s="4"/>
      <c r="G4048" s="4"/>
      <c r="H4048" s="4"/>
      <c r="I4048" s="4"/>
      <c r="J4048" s="18"/>
      <c r="K4048" s="4"/>
      <c r="L4048" s="19"/>
      <c r="M4048" s="20"/>
    </row>
    <row r="4049">
      <c r="A4049" s="6"/>
      <c r="B4049" s="6"/>
      <c r="C4049" s="4"/>
      <c r="D4049" s="4"/>
      <c r="E4049" s="4"/>
      <c r="F4049" s="4"/>
      <c r="G4049" s="4"/>
      <c r="H4049" s="4"/>
      <c r="I4049" s="4"/>
      <c r="J4049" s="18"/>
      <c r="K4049" s="4"/>
      <c r="L4049" s="19"/>
      <c r="M4049" s="20"/>
    </row>
    <row r="4050">
      <c r="A4050" s="6"/>
      <c r="B4050" s="6"/>
      <c r="C4050" s="4"/>
      <c r="D4050" s="4"/>
      <c r="E4050" s="4"/>
      <c r="F4050" s="4"/>
      <c r="G4050" s="4"/>
      <c r="H4050" s="4"/>
      <c r="I4050" s="4"/>
      <c r="J4050" s="18"/>
      <c r="K4050" s="4"/>
      <c r="L4050" s="19"/>
      <c r="M4050" s="20"/>
    </row>
    <row r="4051">
      <c r="A4051" s="6"/>
      <c r="B4051" s="6"/>
      <c r="C4051" s="4"/>
      <c r="D4051" s="4"/>
      <c r="E4051" s="4"/>
      <c r="F4051" s="4"/>
      <c r="G4051" s="4"/>
      <c r="H4051" s="4"/>
      <c r="I4051" s="4"/>
      <c r="J4051" s="18"/>
      <c r="K4051" s="4"/>
      <c r="L4051" s="19"/>
      <c r="M4051" s="20"/>
    </row>
    <row r="4052">
      <c r="A4052" s="6"/>
      <c r="B4052" s="6"/>
      <c r="C4052" s="4"/>
      <c r="D4052" s="4"/>
      <c r="E4052" s="4"/>
      <c r="F4052" s="4"/>
      <c r="G4052" s="4"/>
      <c r="H4052" s="4"/>
      <c r="I4052" s="4"/>
      <c r="J4052" s="18"/>
      <c r="K4052" s="4"/>
      <c r="L4052" s="19"/>
      <c r="M4052" s="20"/>
    </row>
    <row r="4053">
      <c r="A4053" s="6"/>
      <c r="B4053" s="6"/>
      <c r="C4053" s="4"/>
      <c r="D4053" s="4"/>
      <c r="E4053" s="4"/>
      <c r="F4053" s="4"/>
      <c r="G4053" s="4"/>
      <c r="H4053" s="4"/>
      <c r="I4053" s="4"/>
      <c r="J4053" s="18"/>
      <c r="K4053" s="4"/>
      <c r="L4053" s="19"/>
      <c r="M4053" s="20"/>
    </row>
    <row r="4054">
      <c r="A4054" s="6"/>
      <c r="B4054" s="6"/>
      <c r="C4054" s="4"/>
      <c r="D4054" s="4"/>
      <c r="E4054" s="4"/>
      <c r="F4054" s="4"/>
      <c r="G4054" s="4"/>
      <c r="H4054" s="4"/>
      <c r="I4054" s="4"/>
      <c r="J4054" s="18"/>
      <c r="K4054" s="4"/>
      <c r="L4054" s="19"/>
      <c r="M4054" s="20"/>
    </row>
    <row r="4055">
      <c r="A4055" s="6"/>
      <c r="B4055" s="6"/>
      <c r="C4055" s="4"/>
      <c r="D4055" s="4"/>
      <c r="E4055" s="4"/>
      <c r="F4055" s="4"/>
      <c r="G4055" s="4"/>
      <c r="H4055" s="4"/>
      <c r="I4055" s="4"/>
      <c r="J4055" s="18"/>
      <c r="K4055" s="4"/>
      <c r="L4055" s="19"/>
      <c r="M4055" s="20"/>
    </row>
    <row r="4056">
      <c r="A4056" s="6"/>
      <c r="B4056" s="6"/>
      <c r="C4056" s="4"/>
      <c r="D4056" s="4"/>
      <c r="E4056" s="4"/>
      <c r="F4056" s="4"/>
      <c r="G4056" s="4"/>
      <c r="H4056" s="4"/>
      <c r="I4056" s="4"/>
      <c r="J4056" s="18"/>
      <c r="K4056" s="4"/>
      <c r="L4056" s="19"/>
      <c r="M4056" s="20"/>
    </row>
    <row r="4057">
      <c r="A4057" s="6"/>
      <c r="B4057" s="6"/>
      <c r="C4057" s="4"/>
      <c r="D4057" s="4"/>
      <c r="E4057" s="4"/>
      <c r="F4057" s="4"/>
      <c r="G4057" s="4"/>
      <c r="H4057" s="4"/>
      <c r="I4057" s="4"/>
      <c r="J4057" s="18"/>
      <c r="K4057" s="4"/>
      <c r="L4057" s="19"/>
      <c r="M4057" s="20"/>
    </row>
    <row r="4058">
      <c r="A4058" s="6"/>
      <c r="B4058" s="6"/>
      <c r="C4058" s="4"/>
      <c r="D4058" s="4"/>
      <c r="E4058" s="4"/>
      <c r="F4058" s="4"/>
      <c r="G4058" s="4"/>
      <c r="H4058" s="4"/>
      <c r="I4058" s="4"/>
      <c r="J4058" s="18"/>
      <c r="K4058" s="4"/>
      <c r="L4058" s="19"/>
      <c r="M4058" s="20"/>
    </row>
    <row r="4059">
      <c r="A4059" s="6"/>
      <c r="B4059" s="6"/>
      <c r="C4059" s="4"/>
      <c r="D4059" s="4"/>
      <c r="E4059" s="4"/>
      <c r="F4059" s="4"/>
      <c r="G4059" s="4"/>
      <c r="H4059" s="4"/>
      <c r="I4059" s="4"/>
      <c r="J4059" s="18"/>
      <c r="K4059" s="4"/>
      <c r="L4059" s="19"/>
      <c r="M4059" s="20"/>
    </row>
    <row r="4060">
      <c r="A4060" s="6"/>
      <c r="B4060" s="6"/>
      <c r="C4060" s="4"/>
      <c r="D4060" s="4"/>
      <c r="E4060" s="4"/>
      <c r="F4060" s="4"/>
      <c r="G4060" s="4"/>
      <c r="H4060" s="4"/>
      <c r="I4060" s="4"/>
      <c r="J4060" s="18"/>
      <c r="K4060" s="4"/>
      <c r="L4060" s="19"/>
      <c r="M4060" s="20"/>
    </row>
    <row r="4061">
      <c r="A4061" s="6"/>
      <c r="B4061" s="6"/>
      <c r="C4061" s="4"/>
      <c r="D4061" s="4"/>
      <c r="E4061" s="4"/>
      <c r="F4061" s="4"/>
      <c r="G4061" s="4"/>
      <c r="H4061" s="4"/>
      <c r="I4061" s="4"/>
      <c r="J4061" s="18"/>
      <c r="K4061" s="4"/>
      <c r="L4061" s="19"/>
      <c r="M4061" s="20"/>
    </row>
    <row r="4062">
      <c r="A4062" s="6"/>
      <c r="B4062" s="6"/>
      <c r="C4062" s="4"/>
      <c r="D4062" s="4"/>
      <c r="E4062" s="4"/>
      <c r="F4062" s="4"/>
      <c r="G4062" s="4"/>
      <c r="H4062" s="4"/>
      <c r="I4062" s="4"/>
      <c r="J4062" s="18"/>
      <c r="K4062" s="4"/>
      <c r="L4062" s="19"/>
      <c r="M4062" s="20"/>
    </row>
    <row r="4063">
      <c r="A4063" s="6"/>
      <c r="B4063" s="6"/>
      <c r="C4063" s="4"/>
      <c r="D4063" s="4"/>
      <c r="E4063" s="4"/>
      <c r="F4063" s="4"/>
      <c r="G4063" s="4"/>
      <c r="H4063" s="4"/>
      <c r="I4063" s="4"/>
      <c r="J4063" s="18"/>
      <c r="K4063" s="4"/>
      <c r="L4063" s="19"/>
      <c r="M4063" s="20"/>
    </row>
    <row r="4064">
      <c r="A4064" s="6"/>
      <c r="B4064" s="6"/>
      <c r="C4064" s="4"/>
      <c r="D4064" s="4"/>
      <c r="E4064" s="4"/>
      <c r="F4064" s="4"/>
      <c r="G4064" s="4"/>
      <c r="H4064" s="4"/>
      <c r="I4064" s="4"/>
      <c r="J4064" s="18"/>
      <c r="K4064" s="4"/>
      <c r="L4064" s="19"/>
      <c r="M4064" s="20"/>
    </row>
    <row r="4065">
      <c r="A4065" s="6"/>
      <c r="B4065" s="6"/>
      <c r="C4065" s="4"/>
      <c r="D4065" s="4"/>
      <c r="E4065" s="4"/>
      <c r="F4065" s="4"/>
      <c r="G4065" s="4"/>
      <c r="H4065" s="4"/>
      <c r="I4065" s="4"/>
      <c r="J4065" s="18"/>
      <c r="K4065" s="4"/>
      <c r="L4065" s="19"/>
      <c r="M4065" s="20"/>
    </row>
    <row r="4066">
      <c r="A4066" s="6"/>
      <c r="B4066" s="6"/>
      <c r="C4066" s="4"/>
      <c r="D4066" s="4"/>
      <c r="E4066" s="4"/>
      <c r="F4066" s="4"/>
      <c r="G4066" s="4"/>
      <c r="H4066" s="4"/>
      <c r="I4066" s="4"/>
      <c r="J4066" s="18"/>
      <c r="K4066" s="4"/>
      <c r="L4066" s="19"/>
      <c r="M4066" s="20"/>
    </row>
    <row r="4067">
      <c r="A4067" s="6"/>
      <c r="B4067" s="6"/>
      <c r="C4067" s="4"/>
      <c r="D4067" s="4"/>
      <c r="E4067" s="4"/>
      <c r="F4067" s="4"/>
      <c r="G4067" s="4"/>
      <c r="H4067" s="4"/>
      <c r="I4067" s="4"/>
      <c r="J4067" s="18"/>
      <c r="K4067" s="4"/>
      <c r="L4067" s="19"/>
      <c r="M4067" s="20"/>
    </row>
    <row r="4068">
      <c r="A4068" s="6"/>
      <c r="B4068" s="6"/>
      <c r="C4068" s="4"/>
      <c r="D4068" s="4"/>
      <c r="E4068" s="4"/>
      <c r="F4068" s="4"/>
      <c r="G4068" s="4"/>
      <c r="H4068" s="4"/>
      <c r="I4068" s="4"/>
      <c r="J4068" s="18"/>
      <c r="K4068" s="4"/>
      <c r="L4068" s="19"/>
      <c r="M4068" s="20"/>
    </row>
    <row r="4069">
      <c r="A4069" s="6"/>
      <c r="B4069" s="6"/>
      <c r="C4069" s="4"/>
      <c r="D4069" s="4"/>
      <c r="E4069" s="4"/>
      <c r="F4069" s="4"/>
      <c r="G4069" s="4"/>
      <c r="H4069" s="4"/>
      <c r="I4069" s="4"/>
      <c r="J4069" s="18"/>
      <c r="K4069" s="4"/>
      <c r="L4069" s="19"/>
      <c r="M4069" s="20"/>
    </row>
    <row r="4070">
      <c r="A4070" s="6"/>
      <c r="B4070" s="6"/>
      <c r="C4070" s="4"/>
      <c r="D4070" s="4"/>
      <c r="E4070" s="4"/>
      <c r="F4070" s="4"/>
      <c r="G4070" s="4"/>
      <c r="H4070" s="4"/>
      <c r="I4070" s="4"/>
      <c r="J4070" s="18"/>
      <c r="K4070" s="4"/>
      <c r="L4070" s="19"/>
      <c r="M4070" s="20"/>
    </row>
    <row r="4071">
      <c r="A4071" s="6"/>
      <c r="B4071" s="6"/>
      <c r="C4071" s="4"/>
      <c r="D4071" s="4"/>
      <c r="E4071" s="4"/>
      <c r="F4071" s="4"/>
      <c r="G4071" s="4"/>
      <c r="H4071" s="4"/>
      <c r="I4071" s="4"/>
      <c r="J4071" s="18"/>
      <c r="K4071" s="4"/>
      <c r="L4071" s="19"/>
      <c r="M4071" s="20"/>
    </row>
    <row r="4072">
      <c r="A4072" s="6"/>
      <c r="B4072" s="6"/>
      <c r="C4072" s="4"/>
      <c r="D4072" s="4"/>
      <c r="E4072" s="4"/>
      <c r="F4072" s="4"/>
      <c r="G4072" s="4"/>
      <c r="H4072" s="4"/>
      <c r="I4072" s="4"/>
      <c r="J4072" s="18"/>
      <c r="K4072" s="4"/>
      <c r="L4072" s="19"/>
      <c r="M4072" s="20"/>
    </row>
    <row r="4073">
      <c r="A4073" s="6"/>
      <c r="B4073" s="6"/>
      <c r="C4073" s="4"/>
      <c r="D4073" s="4"/>
      <c r="E4073" s="4"/>
      <c r="F4073" s="4"/>
      <c r="G4073" s="4"/>
      <c r="H4073" s="4"/>
      <c r="I4073" s="4"/>
      <c r="J4073" s="18"/>
      <c r="K4073" s="4"/>
      <c r="L4073" s="19"/>
      <c r="M4073" s="20"/>
    </row>
    <row r="4074">
      <c r="A4074" s="6"/>
      <c r="B4074" s="6"/>
      <c r="C4074" s="4"/>
      <c r="D4074" s="4"/>
      <c r="E4074" s="4"/>
      <c r="F4074" s="4"/>
      <c r="G4074" s="4"/>
      <c r="H4074" s="4"/>
      <c r="I4074" s="4"/>
      <c r="J4074" s="18"/>
      <c r="K4074" s="4"/>
      <c r="L4074" s="19"/>
      <c r="M4074" s="20"/>
    </row>
    <row r="4075">
      <c r="A4075" s="6"/>
      <c r="B4075" s="6"/>
      <c r="C4075" s="4"/>
      <c r="D4075" s="4"/>
      <c r="E4075" s="4"/>
      <c r="F4075" s="4"/>
      <c r="G4075" s="4"/>
      <c r="H4075" s="4"/>
      <c r="I4075" s="4"/>
      <c r="J4075" s="18"/>
      <c r="K4075" s="4"/>
      <c r="L4075" s="19"/>
      <c r="M4075" s="20"/>
    </row>
    <row r="4076">
      <c r="A4076" s="6"/>
      <c r="B4076" s="6"/>
      <c r="C4076" s="4"/>
      <c r="D4076" s="4"/>
      <c r="E4076" s="4"/>
      <c r="F4076" s="4"/>
      <c r="G4076" s="4"/>
      <c r="H4076" s="4"/>
      <c r="I4076" s="4"/>
      <c r="J4076" s="18"/>
      <c r="K4076" s="4"/>
      <c r="L4076" s="19"/>
      <c r="M4076" s="20"/>
    </row>
    <row r="4077">
      <c r="A4077" s="6"/>
      <c r="B4077" s="6"/>
      <c r="C4077" s="4"/>
      <c r="D4077" s="4"/>
      <c r="E4077" s="4"/>
      <c r="F4077" s="4"/>
      <c r="G4077" s="4"/>
      <c r="H4077" s="4"/>
      <c r="I4077" s="4"/>
      <c r="J4077" s="18"/>
      <c r="K4077" s="4"/>
      <c r="L4077" s="19"/>
      <c r="M4077" s="20"/>
    </row>
    <row r="4078">
      <c r="A4078" s="6"/>
      <c r="B4078" s="6"/>
      <c r="C4078" s="4"/>
      <c r="D4078" s="4"/>
      <c r="E4078" s="4"/>
      <c r="F4078" s="4"/>
      <c r="G4078" s="4"/>
      <c r="H4078" s="4"/>
      <c r="I4078" s="4"/>
      <c r="J4078" s="18"/>
      <c r="K4078" s="4"/>
      <c r="L4078" s="19"/>
      <c r="M4078" s="20"/>
    </row>
    <row r="4079">
      <c r="A4079" s="6"/>
      <c r="B4079" s="6"/>
      <c r="C4079" s="4"/>
      <c r="D4079" s="4"/>
      <c r="E4079" s="4"/>
      <c r="F4079" s="4"/>
      <c r="G4079" s="4"/>
      <c r="H4079" s="4"/>
      <c r="I4079" s="4"/>
      <c r="J4079" s="18"/>
      <c r="K4079" s="4"/>
      <c r="L4079" s="19"/>
      <c r="M4079" s="20"/>
    </row>
    <row r="4080">
      <c r="A4080" s="6"/>
      <c r="B4080" s="6"/>
      <c r="C4080" s="4"/>
      <c r="D4080" s="4"/>
      <c r="E4080" s="4"/>
      <c r="F4080" s="4"/>
      <c r="G4080" s="4"/>
      <c r="H4080" s="4"/>
      <c r="I4080" s="4"/>
      <c r="J4080" s="18"/>
      <c r="K4080" s="4"/>
      <c r="L4080" s="19"/>
      <c r="M4080" s="20"/>
    </row>
    <row r="4081">
      <c r="A4081" s="6"/>
      <c r="B4081" s="6"/>
      <c r="C4081" s="4"/>
      <c r="D4081" s="4"/>
      <c r="E4081" s="4"/>
      <c r="F4081" s="4"/>
      <c r="G4081" s="4"/>
      <c r="H4081" s="4"/>
      <c r="I4081" s="4"/>
      <c r="J4081" s="18"/>
      <c r="K4081" s="4"/>
      <c r="L4081" s="19"/>
      <c r="M4081" s="20"/>
    </row>
    <row r="4082">
      <c r="A4082" s="6"/>
      <c r="B4082" s="6"/>
      <c r="C4082" s="4"/>
      <c r="D4082" s="4"/>
      <c r="E4082" s="4"/>
      <c r="F4082" s="4"/>
      <c r="G4082" s="4"/>
      <c r="H4082" s="4"/>
      <c r="I4082" s="4"/>
      <c r="J4082" s="18"/>
      <c r="K4082" s="4"/>
      <c r="L4082" s="19"/>
      <c r="M4082" s="20"/>
    </row>
    <row r="4083">
      <c r="A4083" s="6"/>
      <c r="B4083" s="6"/>
      <c r="C4083" s="4"/>
      <c r="D4083" s="4"/>
      <c r="E4083" s="4"/>
      <c r="F4083" s="4"/>
      <c r="G4083" s="4"/>
      <c r="H4083" s="4"/>
      <c r="I4083" s="4"/>
      <c r="J4083" s="18"/>
      <c r="K4083" s="4"/>
      <c r="L4083" s="19"/>
      <c r="M4083" s="20"/>
    </row>
    <row r="4084">
      <c r="A4084" s="6"/>
      <c r="B4084" s="6"/>
      <c r="C4084" s="4"/>
      <c r="D4084" s="4"/>
      <c r="E4084" s="4"/>
      <c r="F4084" s="4"/>
      <c r="G4084" s="4"/>
      <c r="H4084" s="4"/>
      <c r="I4084" s="4"/>
      <c r="J4084" s="18"/>
      <c r="K4084" s="4"/>
      <c r="L4084" s="19"/>
      <c r="M4084" s="20"/>
    </row>
    <row r="4085">
      <c r="A4085" s="6"/>
      <c r="B4085" s="6"/>
      <c r="C4085" s="4"/>
      <c r="D4085" s="4"/>
      <c r="E4085" s="4"/>
      <c r="F4085" s="4"/>
      <c r="G4085" s="4"/>
      <c r="H4085" s="4"/>
      <c r="I4085" s="4"/>
      <c r="J4085" s="18"/>
      <c r="K4085" s="4"/>
      <c r="L4085" s="19"/>
      <c r="M4085" s="20"/>
    </row>
    <row r="4086">
      <c r="A4086" s="6"/>
      <c r="B4086" s="6"/>
      <c r="C4086" s="4"/>
      <c r="D4086" s="4"/>
      <c r="E4086" s="4"/>
      <c r="F4086" s="4"/>
      <c r="G4086" s="4"/>
      <c r="H4086" s="4"/>
      <c r="I4086" s="4"/>
      <c r="J4086" s="18"/>
      <c r="K4086" s="4"/>
      <c r="L4086" s="19"/>
      <c r="M4086" s="20"/>
    </row>
    <row r="4087">
      <c r="A4087" s="6"/>
      <c r="B4087" s="6"/>
      <c r="C4087" s="4"/>
      <c r="D4087" s="4"/>
      <c r="E4087" s="4"/>
      <c r="F4087" s="4"/>
      <c r="G4087" s="4"/>
      <c r="H4087" s="4"/>
      <c r="I4087" s="4"/>
      <c r="J4087" s="18"/>
      <c r="K4087" s="4"/>
      <c r="L4087" s="19"/>
      <c r="M4087" s="20"/>
    </row>
    <row r="4088">
      <c r="A4088" s="6"/>
      <c r="B4088" s="6"/>
      <c r="C4088" s="4"/>
      <c r="D4088" s="4"/>
      <c r="E4088" s="4"/>
      <c r="F4088" s="4"/>
      <c r="G4088" s="4"/>
      <c r="H4088" s="4"/>
      <c r="I4088" s="4"/>
      <c r="J4088" s="18"/>
      <c r="K4088" s="4"/>
      <c r="L4088" s="19"/>
      <c r="M4088" s="20"/>
    </row>
    <row r="4089">
      <c r="A4089" s="6"/>
      <c r="B4089" s="6"/>
      <c r="C4089" s="4"/>
      <c r="D4089" s="4"/>
      <c r="E4089" s="4"/>
      <c r="F4089" s="4"/>
      <c r="G4089" s="4"/>
      <c r="H4089" s="4"/>
      <c r="I4089" s="4"/>
      <c r="J4089" s="18"/>
      <c r="K4089" s="4"/>
      <c r="L4089" s="19"/>
      <c r="M4089" s="20"/>
    </row>
    <row r="4090">
      <c r="A4090" s="6"/>
      <c r="B4090" s="6"/>
      <c r="C4090" s="4"/>
      <c r="D4090" s="4"/>
      <c r="E4090" s="4"/>
      <c r="F4090" s="4"/>
      <c r="G4090" s="4"/>
      <c r="H4090" s="4"/>
      <c r="I4090" s="4"/>
      <c r="J4090" s="18"/>
      <c r="K4090" s="4"/>
      <c r="L4090" s="19"/>
      <c r="M4090" s="20"/>
    </row>
    <row r="4091">
      <c r="A4091" s="6"/>
      <c r="B4091" s="6"/>
      <c r="C4091" s="4"/>
      <c r="D4091" s="4"/>
      <c r="E4091" s="4"/>
      <c r="F4091" s="4"/>
      <c r="G4091" s="4"/>
      <c r="H4091" s="4"/>
      <c r="I4091" s="4"/>
      <c r="J4091" s="18"/>
      <c r="K4091" s="4"/>
      <c r="L4091" s="19"/>
      <c r="M4091" s="20"/>
    </row>
    <row r="4092">
      <c r="A4092" s="6"/>
      <c r="B4092" s="6"/>
      <c r="C4092" s="4"/>
      <c r="D4092" s="4"/>
      <c r="E4092" s="4"/>
      <c r="F4092" s="4"/>
      <c r="G4092" s="4"/>
      <c r="H4092" s="4"/>
      <c r="I4092" s="4"/>
      <c r="J4092" s="18"/>
      <c r="K4092" s="4"/>
      <c r="L4092" s="19"/>
      <c r="M4092" s="20"/>
    </row>
    <row r="4093">
      <c r="A4093" s="6"/>
      <c r="B4093" s="6"/>
      <c r="C4093" s="4"/>
      <c r="D4093" s="4"/>
      <c r="E4093" s="4"/>
      <c r="F4093" s="4"/>
      <c r="G4093" s="4"/>
      <c r="H4093" s="4"/>
      <c r="I4093" s="4"/>
      <c r="J4093" s="18"/>
      <c r="K4093" s="4"/>
      <c r="L4093" s="19"/>
      <c r="M4093" s="20"/>
    </row>
    <row r="4094">
      <c r="A4094" s="6"/>
      <c r="B4094" s="6"/>
      <c r="C4094" s="4"/>
      <c r="D4094" s="4"/>
      <c r="E4094" s="4"/>
      <c r="F4094" s="4"/>
      <c r="G4094" s="4"/>
      <c r="H4094" s="4"/>
      <c r="I4094" s="4"/>
      <c r="J4094" s="18"/>
      <c r="K4094" s="4"/>
      <c r="L4094" s="19"/>
      <c r="M4094" s="20"/>
    </row>
    <row r="4095">
      <c r="A4095" s="6"/>
      <c r="B4095" s="6"/>
      <c r="C4095" s="4"/>
      <c r="D4095" s="4"/>
      <c r="E4095" s="4"/>
      <c r="F4095" s="4"/>
      <c r="G4095" s="4"/>
      <c r="H4095" s="4"/>
      <c r="I4095" s="4"/>
      <c r="J4095" s="18"/>
      <c r="K4095" s="4"/>
      <c r="L4095" s="19"/>
      <c r="M4095" s="20"/>
    </row>
    <row r="4096">
      <c r="A4096" s="6"/>
      <c r="B4096" s="6"/>
      <c r="C4096" s="4"/>
      <c r="D4096" s="4"/>
      <c r="E4096" s="4"/>
      <c r="F4096" s="4"/>
      <c r="G4096" s="4"/>
      <c r="H4096" s="4"/>
      <c r="I4096" s="4"/>
      <c r="J4096" s="18"/>
      <c r="K4096" s="4"/>
      <c r="L4096" s="19"/>
      <c r="M4096" s="20"/>
    </row>
    <row r="4097">
      <c r="A4097" s="6"/>
      <c r="B4097" s="6"/>
      <c r="C4097" s="4"/>
      <c r="D4097" s="4"/>
      <c r="E4097" s="4"/>
      <c r="F4097" s="4"/>
      <c r="G4097" s="4"/>
      <c r="H4097" s="4"/>
      <c r="I4097" s="4"/>
      <c r="J4097" s="18"/>
      <c r="K4097" s="4"/>
      <c r="L4097" s="19"/>
      <c r="M4097" s="20"/>
    </row>
    <row r="4098">
      <c r="A4098" s="6"/>
      <c r="B4098" s="6"/>
      <c r="C4098" s="4"/>
      <c r="D4098" s="4"/>
      <c r="E4098" s="4"/>
      <c r="F4098" s="4"/>
      <c r="G4098" s="4"/>
      <c r="H4098" s="4"/>
      <c r="I4098" s="4"/>
      <c r="J4098" s="18"/>
      <c r="K4098" s="4"/>
      <c r="L4098" s="19"/>
      <c r="M4098" s="20"/>
    </row>
    <row r="4099">
      <c r="A4099" s="6"/>
      <c r="B4099" s="6"/>
      <c r="C4099" s="4"/>
      <c r="D4099" s="4"/>
      <c r="E4099" s="4"/>
      <c r="F4099" s="4"/>
      <c r="G4099" s="4"/>
      <c r="H4099" s="4"/>
      <c r="I4099" s="4"/>
      <c r="J4099" s="18"/>
      <c r="K4099" s="4"/>
      <c r="L4099" s="19"/>
      <c r="M4099" s="20"/>
    </row>
    <row r="4100">
      <c r="A4100" s="6"/>
      <c r="B4100" s="6"/>
      <c r="C4100" s="4"/>
      <c r="D4100" s="4"/>
      <c r="E4100" s="4"/>
      <c r="F4100" s="4"/>
      <c r="G4100" s="4"/>
      <c r="H4100" s="4"/>
      <c r="I4100" s="4"/>
      <c r="J4100" s="18"/>
      <c r="K4100" s="4"/>
      <c r="L4100" s="19"/>
      <c r="M4100" s="20"/>
    </row>
    <row r="4101">
      <c r="A4101" s="6"/>
      <c r="B4101" s="6"/>
      <c r="C4101" s="4"/>
      <c r="D4101" s="4"/>
      <c r="E4101" s="4"/>
      <c r="F4101" s="4"/>
      <c r="G4101" s="4"/>
      <c r="H4101" s="4"/>
      <c r="I4101" s="4"/>
      <c r="J4101" s="18"/>
      <c r="K4101" s="4"/>
      <c r="L4101" s="19"/>
      <c r="M4101" s="20"/>
    </row>
    <row r="4102">
      <c r="A4102" s="6"/>
      <c r="B4102" s="6"/>
      <c r="C4102" s="4"/>
      <c r="D4102" s="4"/>
      <c r="E4102" s="4"/>
      <c r="F4102" s="4"/>
      <c r="G4102" s="4"/>
      <c r="H4102" s="4"/>
      <c r="I4102" s="4"/>
      <c r="J4102" s="18"/>
      <c r="K4102" s="4"/>
      <c r="L4102" s="19"/>
      <c r="M4102" s="20"/>
    </row>
    <row r="4103">
      <c r="A4103" s="6"/>
      <c r="B4103" s="6"/>
      <c r="C4103" s="4"/>
      <c r="D4103" s="4"/>
      <c r="E4103" s="4"/>
      <c r="F4103" s="4"/>
      <c r="G4103" s="4"/>
      <c r="H4103" s="4"/>
      <c r="I4103" s="4"/>
      <c r="J4103" s="18"/>
      <c r="K4103" s="4"/>
      <c r="L4103" s="19"/>
      <c r="M4103" s="20"/>
    </row>
    <row r="4104">
      <c r="A4104" s="6"/>
      <c r="B4104" s="6"/>
      <c r="C4104" s="4"/>
      <c r="D4104" s="4"/>
      <c r="E4104" s="4"/>
      <c r="F4104" s="4"/>
      <c r="G4104" s="4"/>
      <c r="H4104" s="4"/>
      <c r="I4104" s="4"/>
      <c r="J4104" s="18"/>
      <c r="K4104" s="4"/>
      <c r="L4104" s="19"/>
      <c r="M4104" s="20"/>
    </row>
    <row r="4105">
      <c r="A4105" s="6"/>
      <c r="B4105" s="6"/>
      <c r="C4105" s="4"/>
      <c r="D4105" s="4"/>
      <c r="E4105" s="4"/>
      <c r="F4105" s="4"/>
      <c r="G4105" s="4"/>
      <c r="H4105" s="4"/>
      <c r="I4105" s="4"/>
      <c r="J4105" s="18"/>
      <c r="K4105" s="4"/>
      <c r="L4105" s="19"/>
      <c r="M4105" s="20"/>
    </row>
    <row r="4106">
      <c r="A4106" s="6"/>
      <c r="B4106" s="6"/>
      <c r="C4106" s="4"/>
      <c r="D4106" s="4"/>
      <c r="E4106" s="4"/>
      <c r="F4106" s="4"/>
      <c r="G4106" s="4"/>
      <c r="H4106" s="4"/>
      <c r="I4106" s="4"/>
      <c r="J4106" s="18"/>
      <c r="K4106" s="4"/>
      <c r="L4106" s="19"/>
      <c r="M4106" s="20"/>
    </row>
    <row r="4107">
      <c r="A4107" s="6"/>
      <c r="B4107" s="6"/>
      <c r="C4107" s="4"/>
      <c r="D4107" s="4"/>
      <c r="E4107" s="4"/>
      <c r="F4107" s="4"/>
      <c r="G4107" s="4"/>
      <c r="H4107" s="4"/>
      <c r="I4107" s="4"/>
      <c r="J4107" s="18"/>
      <c r="K4107" s="4"/>
      <c r="L4107" s="19"/>
      <c r="M4107" s="20"/>
    </row>
    <row r="4108">
      <c r="A4108" s="6"/>
      <c r="B4108" s="6"/>
      <c r="C4108" s="4"/>
      <c r="D4108" s="4"/>
      <c r="E4108" s="4"/>
      <c r="F4108" s="4"/>
      <c r="G4108" s="4"/>
      <c r="H4108" s="4"/>
      <c r="I4108" s="4"/>
      <c r="J4108" s="18"/>
      <c r="K4108" s="4"/>
      <c r="L4108" s="19"/>
      <c r="M4108" s="20"/>
    </row>
    <row r="4109">
      <c r="A4109" s="6"/>
      <c r="B4109" s="6"/>
      <c r="C4109" s="4"/>
      <c r="D4109" s="4"/>
      <c r="E4109" s="4"/>
      <c r="F4109" s="4"/>
      <c r="G4109" s="4"/>
      <c r="H4109" s="4"/>
      <c r="I4109" s="4"/>
      <c r="J4109" s="18"/>
      <c r="K4109" s="4"/>
      <c r="L4109" s="19"/>
      <c r="M4109" s="20"/>
    </row>
    <row r="4110">
      <c r="A4110" s="6"/>
      <c r="B4110" s="6"/>
      <c r="C4110" s="4"/>
      <c r="D4110" s="4"/>
      <c r="E4110" s="4"/>
      <c r="F4110" s="4"/>
      <c r="G4110" s="4"/>
      <c r="H4110" s="4"/>
      <c r="I4110" s="4"/>
      <c r="J4110" s="18"/>
      <c r="K4110" s="4"/>
      <c r="L4110" s="19"/>
      <c r="M4110" s="20"/>
    </row>
    <row r="4111">
      <c r="A4111" s="6"/>
      <c r="B4111" s="6"/>
      <c r="C4111" s="4"/>
      <c r="D4111" s="4"/>
      <c r="E4111" s="4"/>
      <c r="F4111" s="4"/>
      <c r="G4111" s="4"/>
      <c r="H4111" s="4"/>
      <c r="I4111" s="4"/>
      <c r="J4111" s="18"/>
      <c r="K4111" s="4"/>
      <c r="L4111" s="19"/>
      <c r="M4111" s="20"/>
    </row>
    <row r="4112">
      <c r="A4112" s="6"/>
      <c r="B4112" s="6"/>
      <c r="C4112" s="4"/>
      <c r="D4112" s="4"/>
      <c r="E4112" s="4"/>
      <c r="F4112" s="4"/>
      <c r="G4112" s="4"/>
      <c r="H4112" s="4"/>
      <c r="I4112" s="4"/>
      <c r="J4112" s="18"/>
      <c r="K4112" s="4"/>
      <c r="L4112" s="19"/>
      <c r="M4112" s="20"/>
    </row>
    <row r="4113">
      <c r="A4113" s="6"/>
      <c r="B4113" s="6"/>
      <c r="C4113" s="4"/>
      <c r="D4113" s="4"/>
      <c r="E4113" s="4"/>
      <c r="F4113" s="4"/>
      <c r="G4113" s="4"/>
      <c r="H4113" s="4"/>
      <c r="I4113" s="4"/>
      <c r="J4113" s="18"/>
      <c r="K4113" s="4"/>
      <c r="L4113" s="19"/>
      <c r="M4113" s="20"/>
    </row>
    <row r="4114">
      <c r="A4114" s="6"/>
      <c r="B4114" s="6"/>
      <c r="C4114" s="4"/>
      <c r="D4114" s="4"/>
      <c r="E4114" s="4"/>
      <c r="F4114" s="4"/>
      <c r="G4114" s="4"/>
      <c r="H4114" s="4"/>
      <c r="I4114" s="4"/>
      <c r="J4114" s="18"/>
      <c r="K4114" s="4"/>
      <c r="L4114" s="19"/>
      <c r="M4114" s="20"/>
    </row>
    <row r="4115">
      <c r="A4115" s="6"/>
      <c r="B4115" s="6"/>
      <c r="C4115" s="4"/>
      <c r="D4115" s="4"/>
      <c r="E4115" s="4"/>
      <c r="F4115" s="4"/>
      <c r="G4115" s="4"/>
      <c r="H4115" s="4"/>
      <c r="I4115" s="4"/>
      <c r="J4115" s="18"/>
      <c r="K4115" s="4"/>
      <c r="L4115" s="19"/>
      <c r="M4115" s="20"/>
    </row>
    <row r="4116">
      <c r="A4116" s="6"/>
      <c r="B4116" s="6"/>
      <c r="C4116" s="4"/>
      <c r="D4116" s="4"/>
      <c r="E4116" s="4"/>
      <c r="F4116" s="4"/>
      <c r="G4116" s="4"/>
      <c r="H4116" s="4"/>
      <c r="I4116" s="4"/>
      <c r="J4116" s="18"/>
      <c r="K4116" s="4"/>
      <c r="L4116" s="19"/>
      <c r="M4116" s="20"/>
    </row>
    <row r="4117">
      <c r="A4117" s="6"/>
      <c r="B4117" s="6"/>
      <c r="C4117" s="4"/>
      <c r="D4117" s="4"/>
      <c r="E4117" s="4"/>
      <c r="F4117" s="4"/>
      <c r="G4117" s="4"/>
      <c r="H4117" s="4"/>
      <c r="I4117" s="4"/>
      <c r="J4117" s="18"/>
      <c r="K4117" s="4"/>
      <c r="L4117" s="19"/>
      <c r="M4117" s="20"/>
    </row>
    <row r="4118">
      <c r="A4118" s="6"/>
      <c r="B4118" s="6"/>
      <c r="C4118" s="4"/>
      <c r="D4118" s="4"/>
      <c r="E4118" s="4"/>
      <c r="F4118" s="4"/>
      <c r="G4118" s="4"/>
      <c r="H4118" s="4"/>
      <c r="I4118" s="4"/>
      <c r="J4118" s="18"/>
      <c r="K4118" s="4"/>
      <c r="L4118" s="19"/>
      <c r="M4118" s="20"/>
    </row>
    <row r="4119">
      <c r="A4119" s="6"/>
      <c r="B4119" s="6"/>
      <c r="C4119" s="4"/>
      <c r="D4119" s="4"/>
      <c r="E4119" s="4"/>
      <c r="F4119" s="4"/>
      <c r="G4119" s="4"/>
      <c r="H4119" s="4"/>
      <c r="I4119" s="4"/>
      <c r="J4119" s="18"/>
      <c r="K4119" s="4"/>
      <c r="L4119" s="19"/>
      <c r="M4119" s="20"/>
    </row>
    <row r="4120">
      <c r="A4120" s="6"/>
      <c r="B4120" s="6"/>
      <c r="C4120" s="4"/>
      <c r="D4120" s="4"/>
      <c r="E4120" s="4"/>
      <c r="F4120" s="4"/>
      <c r="G4120" s="4"/>
      <c r="H4120" s="4"/>
      <c r="I4120" s="4"/>
      <c r="J4120" s="18"/>
      <c r="K4120" s="4"/>
      <c r="L4120" s="19"/>
      <c r="M4120" s="20"/>
    </row>
    <row r="4121">
      <c r="A4121" s="6"/>
      <c r="B4121" s="6"/>
      <c r="C4121" s="4"/>
      <c r="D4121" s="4"/>
      <c r="E4121" s="4"/>
      <c r="F4121" s="4"/>
      <c r="G4121" s="4"/>
      <c r="H4121" s="4"/>
      <c r="I4121" s="4"/>
      <c r="J4121" s="18"/>
      <c r="K4121" s="4"/>
      <c r="L4121" s="19"/>
      <c r="M4121" s="20"/>
    </row>
    <row r="4122">
      <c r="A4122" s="6"/>
      <c r="B4122" s="6"/>
      <c r="C4122" s="4"/>
      <c r="D4122" s="4"/>
      <c r="E4122" s="4"/>
      <c r="F4122" s="4"/>
      <c r="G4122" s="4"/>
      <c r="H4122" s="4"/>
      <c r="I4122" s="4"/>
      <c r="J4122" s="18"/>
      <c r="K4122" s="4"/>
      <c r="L4122" s="19"/>
      <c r="M4122" s="20"/>
    </row>
    <row r="4123">
      <c r="A4123" s="6"/>
      <c r="B4123" s="6"/>
      <c r="C4123" s="4"/>
      <c r="D4123" s="4"/>
      <c r="E4123" s="4"/>
      <c r="F4123" s="4"/>
      <c r="G4123" s="4"/>
      <c r="H4123" s="4"/>
      <c r="I4123" s="4"/>
      <c r="J4123" s="18"/>
      <c r="K4123" s="4"/>
      <c r="L4123" s="19"/>
      <c r="M4123" s="20"/>
    </row>
    <row r="4124">
      <c r="A4124" s="6"/>
      <c r="B4124" s="6"/>
      <c r="C4124" s="4"/>
      <c r="D4124" s="4"/>
      <c r="E4124" s="4"/>
      <c r="F4124" s="4"/>
      <c r="G4124" s="4"/>
      <c r="H4124" s="4"/>
      <c r="I4124" s="4"/>
      <c r="J4124" s="18"/>
      <c r="K4124" s="4"/>
      <c r="L4124" s="19"/>
      <c r="M4124" s="20"/>
    </row>
    <row r="4125">
      <c r="A4125" s="6"/>
      <c r="B4125" s="6"/>
      <c r="C4125" s="4"/>
      <c r="D4125" s="4"/>
      <c r="E4125" s="4"/>
      <c r="F4125" s="4"/>
      <c r="G4125" s="4"/>
      <c r="H4125" s="4"/>
      <c r="I4125" s="4"/>
      <c r="J4125" s="18"/>
      <c r="K4125" s="4"/>
      <c r="L4125" s="19"/>
      <c r="M4125" s="20"/>
    </row>
    <row r="4126">
      <c r="A4126" s="6"/>
      <c r="B4126" s="6"/>
      <c r="C4126" s="4"/>
      <c r="D4126" s="4"/>
      <c r="E4126" s="4"/>
      <c r="F4126" s="4"/>
      <c r="G4126" s="4"/>
      <c r="H4126" s="4"/>
      <c r="I4126" s="4"/>
      <c r="J4126" s="18"/>
      <c r="K4126" s="4"/>
      <c r="L4126" s="19"/>
      <c r="M4126" s="20"/>
    </row>
    <row r="4127">
      <c r="A4127" s="6"/>
      <c r="B4127" s="6"/>
      <c r="C4127" s="4"/>
      <c r="D4127" s="4"/>
      <c r="E4127" s="4"/>
      <c r="F4127" s="4"/>
      <c r="G4127" s="4"/>
      <c r="H4127" s="4"/>
      <c r="I4127" s="4"/>
      <c r="J4127" s="18"/>
      <c r="K4127" s="4"/>
      <c r="L4127" s="19"/>
      <c r="M4127" s="20"/>
    </row>
    <row r="4128">
      <c r="A4128" s="6"/>
      <c r="B4128" s="6"/>
      <c r="C4128" s="4"/>
      <c r="D4128" s="4"/>
      <c r="E4128" s="4"/>
      <c r="F4128" s="4"/>
      <c r="G4128" s="4"/>
      <c r="H4128" s="4"/>
      <c r="I4128" s="4"/>
      <c r="J4128" s="18"/>
      <c r="K4128" s="4"/>
      <c r="L4128" s="19"/>
      <c r="M4128" s="20"/>
    </row>
    <row r="4129">
      <c r="A4129" s="6"/>
      <c r="B4129" s="6"/>
      <c r="C4129" s="4"/>
      <c r="D4129" s="4"/>
      <c r="E4129" s="4"/>
      <c r="F4129" s="4"/>
      <c r="G4129" s="4"/>
      <c r="H4129" s="4"/>
      <c r="I4129" s="4"/>
      <c r="J4129" s="18"/>
      <c r="K4129" s="4"/>
      <c r="L4129" s="19"/>
      <c r="M4129" s="20"/>
    </row>
    <row r="4130">
      <c r="A4130" s="6"/>
      <c r="B4130" s="6"/>
      <c r="C4130" s="4"/>
      <c r="D4130" s="4"/>
      <c r="E4130" s="4"/>
      <c r="F4130" s="4"/>
      <c r="G4130" s="4"/>
      <c r="H4130" s="4"/>
      <c r="I4130" s="4"/>
      <c r="J4130" s="18"/>
      <c r="K4130" s="4"/>
      <c r="L4130" s="19"/>
      <c r="M4130" s="20"/>
    </row>
    <row r="4131">
      <c r="A4131" s="6"/>
      <c r="B4131" s="6"/>
      <c r="C4131" s="4"/>
      <c r="D4131" s="4"/>
      <c r="E4131" s="4"/>
      <c r="F4131" s="4"/>
      <c r="G4131" s="4"/>
      <c r="H4131" s="4"/>
      <c r="I4131" s="4"/>
      <c r="J4131" s="18"/>
      <c r="K4131" s="4"/>
      <c r="L4131" s="19"/>
      <c r="M4131" s="20"/>
    </row>
    <row r="4132">
      <c r="A4132" s="6"/>
      <c r="B4132" s="6"/>
      <c r="C4132" s="4"/>
      <c r="D4132" s="4"/>
      <c r="E4132" s="4"/>
      <c r="F4132" s="4"/>
      <c r="G4132" s="4"/>
      <c r="H4132" s="4"/>
      <c r="I4132" s="4"/>
      <c r="J4132" s="18"/>
      <c r="K4132" s="4"/>
      <c r="L4132" s="19"/>
      <c r="M4132" s="20"/>
    </row>
    <row r="4133">
      <c r="A4133" s="6"/>
      <c r="B4133" s="6"/>
      <c r="C4133" s="4"/>
      <c r="D4133" s="4"/>
      <c r="E4133" s="4"/>
      <c r="F4133" s="4"/>
      <c r="G4133" s="4"/>
      <c r="H4133" s="4"/>
      <c r="I4133" s="4"/>
      <c r="J4133" s="18"/>
      <c r="K4133" s="4"/>
      <c r="L4133" s="19"/>
      <c r="M4133" s="20"/>
    </row>
    <row r="4134">
      <c r="A4134" s="6"/>
      <c r="B4134" s="6"/>
      <c r="C4134" s="4"/>
      <c r="D4134" s="4"/>
      <c r="E4134" s="4"/>
      <c r="F4134" s="4"/>
      <c r="G4134" s="4"/>
      <c r="H4134" s="4"/>
      <c r="I4134" s="4"/>
      <c r="J4134" s="18"/>
      <c r="K4134" s="4"/>
      <c r="L4134" s="19"/>
      <c r="M4134" s="20"/>
    </row>
    <row r="4135">
      <c r="A4135" s="6"/>
      <c r="B4135" s="6"/>
      <c r="C4135" s="4"/>
      <c r="D4135" s="4"/>
      <c r="E4135" s="4"/>
      <c r="F4135" s="4"/>
      <c r="G4135" s="4"/>
      <c r="H4135" s="4"/>
      <c r="I4135" s="4"/>
      <c r="J4135" s="18"/>
      <c r="K4135" s="4"/>
      <c r="L4135" s="19"/>
      <c r="M4135" s="20"/>
    </row>
    <row r="4136">
      <c r="A4136" s="6"/>
      <c r="B4136" s="6"/>
      <c r="C4136" s="4"/>
      <c r="D4136" s="4"/>
      <c r="E4136" s="4"/>
      <c r="F4136" s="4"/>
      <c r="G4136" s="4"/>
      <c r="H4136" s="4"/>
      <c r="I4136" s="4"/>
      <c r="J4136" s="18"/>
      <c r="K4136" s="4"/>
      <c r="L4136" s="19"/>
      <c r="M4136" s="20"/>
    </row>
    <row r="4137">
      <c r="A4137" s="6"/>
      <c r="B4137" s="6"/>
      <c r="C4137" s="4"/>
      <c r="D4137" s="4"/>
      <c r="E4137" s="4"/>
      <c r="F4137" s="4"/>
      <c r="G4137" s="4"/>
      <c r="H4137" s="4"/>
      <c r="I4137" s="4"/>
      <c r="J4137" s="18"/>
      <c r="K4137" s="4"/>
      <c r="L4137" s="19"/>
      <c r="M4137" s="20"/>
    </row>
    <row r="4138">
      <c r="A4138" s="6"/>
      <c r="B4138" s="6"/>
      <c r="C4138" s="4"/>
      <c r="D4138" s="4"/>
      <c r="E4138" s="4"/>
      <c r="F4138" s="4"/>
      <c r="G4138" s="4"/>
      <c r="H4138" s="4"/>
      <c r="I4138" s="4"/>
      <c r="J4138" s="18"/>
      <c r="K4138" s="4"/>
      <c r="L4138" s="19"/>
      <c r="M4138" s="20"/>
    </row>
    <row r="4139">
      <c r="A4139" s="6"/>
      <c r="B4139" s="6"/>
      <c r="C4139" s="4"/>
      <c r="D4139" s="4"/>
      <c r="E4139" s="4"/>
      <c r="F4139" s="4"/>
      <c r="G4139" s="4"/>
      <c r="H4139" s="4"/>
      <c r="I4139" s="4"/>
      <c r="J4139" s="18"/>
      <c r="K4139" s="4"/>
      <c r="L4139" s="19"/>
      <c r="M4139" s="20"/>
    </row>
    <row r="4140">
      <c r="A4140" s="6"/>
      <c r="B4140" s="6"/>
      <c r="C4140" s="4"/>
      <c r="D4140" s="4"/>
      <c r="E4140" s="4"/>
      <c r="F4140" s="4"/>
      <c r="G4140" s="4"/>
      <c r="H4140" s="4"/>
      <c r="I4140" s="4"/>
      <c r="J4140" s="18"/>
      <c r="K4140" s="4"/>
      <c r="L4140" s="19"/>
      <c r="M4140" s="20"/>
    </row>
    <row r="4141">
      <c r="A4141" s="6"/>
      <c r="B4141" s="6"/>
      <c r="C4141" s="4"/>
      <c r="D4141" s="4"/>
      <c r="E4141" s="4"/>
      <c r="F4141" s="4"/>
      <c r="G4141" s="4"/>
      <c r="H4141" s="4"/>
      <c r="I4141" s="4"/>
      <c r="J4141" s="18"/>
      <c r="K4141" s="4"/>
      <c r="L4141" s="19"/>
      <c r="M4141" s="20"/>
    </row>
    <row r="4142">
      <c r="A4142" s="6"/>
      <c r="B4142" s="6"/>
      <c r="C4142" s="4"/>
      <c r="D4142" s="4"/>
      <c r="E4142" s="4"/>
      <c r="F4142" s="4"/>
      <c r="G4142" s="4"/>
      <c r="H4142" s="4"/>
      <c r="I4142" s="4"/>
      <c r="J4142" s="18"/>
      <c r="K4142" s="4"/>
      <c r="L4142" s="19"/>
      <c r="M4142" s="20"/>
    </row>
    <row r="4143">
      <c r="A4143" s="6"/>
      <c r="B4143" s="6"/>
      <c r="C4143" s="4"/>
      <c r="D4143" s="4"/>
      <c r="E4143" s="4"/>
      <c r="F4143" s="4"/>
      <c r="G4143" s="4"/>
      <c r="H4143" s="4"/>
      <c r="I4143" s="4"/>
      <c r="J4143" s="18"/>
      <c r="K4143" s="4"/>
      <c r="L4143" s="19"/>
      <c r="M4143" s="20"/>
    </row>
    <row r="4144">
      <c r="A4144" s="6"/>
      <c r="B4144" s="6"/>
      <c r="C4144" s="4"/>
      <c r="D4144" s="4"/>
      <c r="E4144" s="4"/>
      <c r="F4144" s="4"/>
      <c r="G4144" s="4"/>
      <c r="H4144" s="4"/>
      <c r="I4144" s="4"/>
      <c r="J4144" s="18"/>
      <c r="K4144" s="4"/>
      <c r="L4144" s="19"/>
      <c r="M4144" s="20"/>
    </row>
    <row r="4145">
      <c r="A4145" s="6"/>
      <c r="B4145" s="6"/>
      <c r="C4145" s="4"/>
      <c r="D4145" s="4"/>
      <c r="E4145" s="4"/>
      <c r="F4145" s="4"/>
      <c r="G4145" s="4"/>
      <c r="H4145" s="4"/>
      <c r="I4145" s="4"/>
      <c r="J4145" s="18"/>
      <c r="K4145" s="4"/>
      <c r="L4145" s="19"/>
      <c r="M4145" s="20"/>
    </row>
    <row r="4146">
      <c r="A4146" s="6"/>
      <c r="B4146" s="6"/>
      <c r="C4146" s="4"/>
      <c r="D4146" s="4"/>
      <c r="E4146" s="4"/>
      <c r="F4146" s="4"/>
      <c r="G4146" s="4"/>
      <c r="H4146" s="4"/>
      <c r="I4146" s="4"/>
      <c r="J4146" s="18"/>
      <c r="K4146" s="4"/>
      <c r="L4146" s="19"/>
      <c r="M4146" s="20"/>
    </row>
    <row r="4147">
      <c r="A4147" s="6"/>
      <c r="B4147" s="6"/>
      <c r="C4147" s="4"/>
      <c r="D4147" s="4"/>
      <c r="E4147" s="4"/>
      <c r="F4147" s="4"/>
      <c r="G4147" s="4"/>
      <c r="H4147" s="4"/>
      <c r="I4147" s="4"/>
      <c r="J4147" s="18"/>
      <c r="K4147" s="4"/>
      <c r="L4147" s="19"/>
      <c r="M4147" s="20"/>
    </row>
    <row r="4148">
      <c r="A4148" s="6"/>
      <c r="B4148" s="6"/>
      <c r="C4148" s="4"/>
      <c r="D4148" s="4"/>
      <c r="E4148" s="4"/>
      <c r="F4148" s="4"/>
      <c r="G4148" s="4"/>
      <c r="H4148" s="4"/>
      <c r="I4148" s="4"/>
      <c r="J4148" s="18"/>
      <c r="K4148" s="4"/>
      <c r="L4148" s="19"/>
      <c r="M4148" s="20"/>
    </row>
    <row r="4149">
      <c r="A4149" s="6"/>
      <c r="B4149" s="6"/>
      <c r="C4149" s="4"/>
      <c r="D4149" s="4"/>
      <c r="E4149" s="4"/>
      <c r="F4149" s="4"/>
      <c r="G4149" s="4"/>
      <c r="H4149" s="4"/>
      <c r="I4149" s="4"/>
      <c r="J4149" s="18"/>
      <c r="K4149" s="4"/>
      <c r="L4149" s="19"/>
      <c r="M4149" s="20"/>
    </row>
    <row r="4150">
      <c r="A4150" s="6"/>
      <c r="B4150" s="6"/>
      <c r="C4150" s="4"/>
      <c r="D4150" s="4"/>
      <c r="E4150" s="4"/>
      <c r="F4150" s="4"/>
      <c r="G4150" s="4"/>
      <c r="H4150" s="4"/>
      <c r="I4150" s="4"/>
      <c r="J4150" s="18"/>
      <c r="K4150" s="4"/>
      <c r="L4150" s="19"/>
      <c r="M4150" s="20"/>
    </row>
    <row r="4151">
      <c r="A4151" s="6"/>
      <c r="B4151" s="6"/>
      <c r="C4151" s="4"/>
      <c r="D4151" s="4"/>
      <c r="E4151" s="4"/>
      <c r="F4151" s="4"/>
      <c r="G4151" s="4"/>
      <c r="H4151" s="4"/>
      <c r="I4151" s="4"/>
      <c r="J4151" s="18"/>
      <c r="K4151" s="4"/>
      <c r="L4151" s="19"/>
      <c r="M4151" s="20"/>
    </row>
    <row r="4152">
      <c r="A4152" s="6"/>
      <c r="B4152" s="6"/>
      <c r="C4152" s="4"/>
      <c r="D4152" s="4"/>
      <c r="E4152" s="4"/>
      <c r="F4152" s="4"/>
      <c r="G4152" s="4"/>
      <c r="H4152" s="4"/>
      <c r="I4152" s="4"/>
      <c r="J4152" s="18"/>
      <c r="K4152" s="4"/>
      <c r="L4152" s="19"/>
      <c r="M4152" s="20"/>
    </row>
    <row r="4153">
      <c r="A4153" s="6"/>
      <c r="B4153" s="6"/>
      <c r="C4153" s="4"/>
      <c r="D4153" s="4"/>
      <c r="E4153" s="4"/>
      <c r="F4153" s="4"/>
      <c r="G4153" s="4"/>
      <c r="H4153" s="4"/>
      <c r="I4153" s="4"/>
      <c r="J4153" s="18"/>
      <c r="K4153" s="4"/>
      <c r="L4153" s="19"/>
      <c r="M4153" s="20"/>
    </row>
    <row r="4154">
      <c r="A4154" s="6"/>
      <c r="B4154" s="6"/>
      <c r="C4154" s="4"/>
      <c r="D4154" s="4"/>
      <c r="E4154" s="4"/>
      <c r="F4154" s="4"/>
      <c r="G4154" s="4"/>
      <c r="H4154" s="4"/>
      <c r="I4154" s="4"/>
      <c r="J4154" s="18"/>
      <c r="K4154" s="4"/>
      <c r="L4154" s="19"/>
      <c r="M4154" s="20"/>
    </row>
    <row r="4155">
      <c r="A4155" s="6"/>
      <c r="B4155" s="6"/>
      <c r="C4155" s="4"/>
      <c r="D4155" s="4"/>
      <c r="E4155" s="4"/>
      <c r="F4155" s="4"/>
      <c r="G4155" s="4"/>
      <c r="H4155" s="4"/>
      <c r="I4155" s="4"/>
      <c r="J4155" s="18"/>
      <c r="K4155" s="4"/>
      <c r="L4155" s="19"/>
      <c r="M4155" s="20"/>
    </row>
    <row r="4156">
      <c r="A4156" s="6"/>
      <c r="B4156" s="6"/>
      <c r="C4156" s="4"/>
      <c r="D4156" s="4"/>
      <c r="E4156" s="4"/>
      <c r="F4156" s="4"/>
      <c r="G4156" s="4"/>
      <c r="H4156" s="4"/>
      <c r="I4156" s="4"/>
      <c r="J4156" s="18"/>
      <c r="K4156" s="4"/>
      <c r="L4156" s="19"/>
      <c r="M4156" s="20"/>
    </row>
    <row r="4157">
      <c r="A4157" s="6"/>
      <c r="B4157" s="6"/>
      <c r="C4157" s="4"/>
      <c r="D4157" s="4"/>
      <c r="E4157" s="4"/>
      <c r="F4157" s="4"/>
      <c r="G4157" s="4"/>
      <c r="H4157" s="4"/>
      <c r="I4157" s="4"/>
      <c r="J4157" s="18"/>
      <c r="K4157" s="4"/>
      <c r="L4157" s="19"/>
      <c r="M4157" s="20"/>
    </row>
    <row r="4158">
      <c r="A4158" s="6"/>
      <c r="B4158" s="6"/>
      <c r="C4158" s="4"/>
      <c r="D4158" s="4"/>
      <c r="E4158" s="4"/>
      <c r="F4158" s="4"/>
      <c r="G4158" s="4"/>
      <c r="H4158" s="4"/>
      <c r="I4158" s="4"/>
      <c r="J4158" s="18"/>
      <c r="K4158" s="4"/>
      <c r="L4158" s="19"/>
      <c r="M4158" s="20"/>
    </row>
    <row r="4159">
      <c r="A4159" s="6"/>
      <c r="B4159" s="6"/>
      <c r="C4159" s="4"/>
      <c r="D4159" s="4"/>
      <c r="E4159" s="4"/>
      <c r="F4159" s="4"/>
      <c r="G4159" s="4"/>
      <c r="H4159" s="4"/>
      <c r="I4159" s="4"/>
      <c r="J4159" s="18"/>
      <c r="K4159" s="4"/>
      <c r="L4159" s="19"/>
      <c r="M4159" s="20"/>
    </row>
    <row r="4160">
      <c r="A4160" s="6"/>
      <c r="B4160" s="6"/>
      <c r="C4160" s="4"/>
      <c r="D4160" s="4"/>
      <c r="E4160" s="4"/>
      <c r="F4160" s="4"/>
      <c r="G4160" s="4"/>
      <c r="H4160" s="4"/>
      <c r="I4160" s="4"/>
      <c r="J4160" s="18"/>
      <c r="K4160" s="4"/>
      <c r="L4160" s="19"/>
      <c r="M4160" s="20"/>
    </row>
    <row r="4161">
      <c r="A4161" s="6"/>
      <c r="B4161" s="6"/>
      <c r="C4161" s="4"/>
      <c r="D4161" s="4"/>
      <c r="E4161" s="4"/>
      <c r="F4161" s="4"/>
      <c r="G4161" s="4"/>
      <c r="H4161" s="4"/>
      <c r="I4161" s="4"/>
      <c r="J4161" s="18"/>
      <c r="K4161" s="4"/>
      <c r="L4161" s="19"/>
      <c r="M4161" s="20"/>
    </row>
    <row r="4162">
      <c r="A4162" s="6"/>
      <c r="B4162" s="6"/>
      <c r="C4162" s="4"/>
      <c r="D4162" s="4"/>
      <c r="E4162" s="4"/>
      <c r="F4162" s="4"/>
      <c r="G4162" s="4"/>
      <c r="H4162" s="4"/>
      <c r="I4162" s="4"/>
      <c r="J4162" s="18"/>
      <c r="K4162" s="4"/>
      <c r="L4162" s="19"/>
      <c r="M4162" s="20"/>
    </row>
    <row r="4163">
      <c r="A4163" s="6"/>
      <c r="B4163" s="6"/>
      <c r="C4163" s="4"/>
      <c r="D4163" s="4"/>
      <c r="E4163" s="4"/>
      <c r="F4163" s="4"/>
      <c r="G4163" s="4"/>
      <c r="H4163" s="4"/>
      <c r="I4163" s="4"/>
      <c r="J4163" s="18"/>
      <c r="K4163" s="4"/>
      <c r="L4163" s="19"/>
      <c r="M4163" s="20"/>
    </row>
    <row r="4164">
      <c r="A4164" s="6"/>
      <c r="B4164" s="6"/>
      <c r="C4164" s="4"/>
      <c r="D4164" s="4"/>
      <c r="E4164" s="4"/>
      <c r="F4164" s="4"/>
      <c r="G4164" s="4"/>
      <c r="H4164" s="4"/>
      <c r="I4164" s="4"/>
      <c r="J4164" s="18"/>
      <c r="K4164" s="4"/>
      <c r="L4164" s="19"/>
      <c r="M4164" s="20"/>
    </row>
    <row r="4165">
      <c r="A4165" s="6"/>
      <c r="B4165" s="6"/>
      <c r="C4165" s="4"/>
      <c r="D4165" s="4"/>
      <c r="E4165" s="4"/>
      <c r="F4165" s="4"/>
      <c r="G4165" s="4"/>
      <c r="H4165" s="4"/>
      <c r="I4165" s="4"/>
      <c r="J4165" s="18"/>
      <c r="K4165" s="4"/>
      <c r="L4165" s="19"/>
      <c r="M4165" s="20"/>
    </row>
    <row r="4166">
      <c r="A4166" s="6"/>
      <c r="B4166" s="6"/>
      <c r="C4166" s="4"/>
      <c r="D4166" s="4"/>
      <c r="E4166" s="4"/>
      <c r="F4166" s="4"/>
      <c r="G4166" s="4"/>
      <c r="H4166" s="4"/>
      <c r="I4166" s="4"/>
      <c r="J4166" s="18"/>
      <c r="K4166" s="4"/>
      <c r="L4166" s="19"/>
      <c r="M4166" s="20"/>
    </row>
    <row r="4167">
      <c r="A4167" s="6"/>
      <c r="B4167" s="6"/>
      <c r="C4167" s="4"/>
      <c r="D4167" s="4"/>
      <c r="E4167" s="4"/>
      <c r="F4167" s="4"/>
      <c r="G4167" s="4"/>
      <c r="H4167" s="4"/>
      <c r="I4167" s="4"/>
      <c r="J4167" s="18"/>
      <c r="K4167" s="4"/>
      <c r="L4167" s="19"/>
      <c r="M4167" s="20"/>
    </row>
    <row r="4168">
      <c r="A4168" s="6"/>
      <c r="B4168" s="6"/>
      <c r="C4168" s="4"/>
      <c r="D4168" s="4"/>
      <c r="E4168" s="4"/>
      <c r="F4168" s="4"/>
      <c r="G4168" s="4"/>
      <c r="H4168" s="4"/>
      <c r="I4168" s="4"/>
      <c r="J4168" s="18"/>
      <c r="K4168" s="4"/>
      <c r="L4168" s="19"/>
      <c r="M4168" s="20"/>
    </row>
    <row r="4169">
      <c r="A4169" s="6"/>
      <c r="B4169" s="6"/>
      <c r="C4169" s="4"/>
      <c r="D4169" s="4"/>
      <c r="E4169" s="4"/>
      <c r="F4169" s="4"/>
      <c r="G4169" s="4"/>
      <c r="H4169" s="4"/>
      <c r="I4169" s="4"/>
      <c r="J4169" s="18"/>
      <c r="K4169" s="4"/>
      <c r="L4169" s="19"/>
      <c r="M4169" s="20"/>
    </row>
    <row r="4170">
      <c r="A4170" s="6"/>
      <c r="B4170" s="6"/>
      <c r="C4170" s="4"/>
      <c r="D4170" s="4"/>
      <c r="E4170" s="4"/>
      <c r="F4170" s="4"/>
      <c r="G4170" s="4"/>
      <c r="H4170" s="4"/>
      <c r="I4170" s="4"/>
      <c r="J4170" s="18"/>
      <c r="K4170" s="4"/>
      <c r="L4170" s="19"/>
      <c r="M4170" s="20"/>
    </row>
    <row r="4171">
      <c r="A4171" s="6"/>
      <c r="B4171" s="6"/>
      <c r="C4171" s="4"/>
      <c r="D4171" s="4"/>
      <c r="E4171" s="4"/>
      <c r="F4171" s="4"/>
      <c r="G4171" s="4"/>
      <c r="H4171" s="4"/>
      <c r="I4171" s="4"/>
      <c r="J4171" s="18"/>
      <c r="K4171" s="4"/>
      <c r="L4171" s="19"/>
      <c r="M4171" s="20"/>
    </row>
    <row r="4172">
      <c r="A4172" s="6"/>
      <c r="B4172" s="6"/>
      <c r="C4172" s="4"/>
      <c r="D4172" s="4"/>
      <c r="E4172" s="4"/>
      <c r="F4172" s="4"/>
      <c r="G4172" s="4"/>
      <c r="H4172" s="4"/>
      <c r="I4172" s="4"/>
      <c r="J4172" s="18"/>
      <c r="K4172" s="4"/>
      <c r="L4172" s="19"/>
      <c r="M4172" s="20"/>
    </row>
    <row r="4173">
      <c r="A4173" s="6"/>
      <c r="B4173" s="6"/>
      <c r="C4173" s="4"/>
      <c r="D4173" s="4"/>
      <c r="E4173" s="4"/>
      <c r="F4173" s="4"/>
      <c r="G4173" s="4"/>
      <c r="H4173" s="4"/>
      <c r="I4173" s="4"/>
      <c r="J4173" s="18"/>
      <c r="K4173" s="4"/>
      <c r="L4173" s="19"/>
      <c r="M4173" s="20"/>
    </row>
    <row r="4174">
      <c r="A4174" s="6"/>
      <c r="B4174" s="6"/>
      <c r="C4174" s="4"/>
      <c r="D4174" s="4"/>
      <c r="E4174" s="4"/>
      <c r="F4174" s="4"/>
      <c r="G4174" s="4"/>
      <c r="H4174" s="4"/>
      <c r="I4174" s="4"/>
      <c r="J4174" s="18"/>
      <c r="K4174" s="4"/>
      <c r="L4174" s="19"/>
      <c r="M4174" s="20"/>
    </row>
    <row r="4175">
      <c r="A4175" s="6"/>
      <c r="B4175" s="6"/>
      <c r="C4175" s="4"/>
      <c r="D4175" s="4"/>
      <c r="E4175" s="4"/>
      <c r="F4175" s="4"/>
      <c r="G4175" s="4"/>
      <c r="H4175" s="4"/>
      <c r="I4175" s="4"/>
      <c r="J4175" s="18"/>
      <c r="K4175" s="4"/>
      <c r="L4175" s="19"/>
      <c r="M4175" s="20"/>
    </row>
    <row r="4176">
      <c r="A4176" s="6"/>
      <c r="B4176" s="6"/>
      <c r="C4176" s="4"/>
      <c r="D4176" s="4"/>
      <c r="E4176" s="4"/>
      <c r="F4176" s="4"/>
      <c r="G4176" s="4"/>
      <c r="H4176" s="4"/>
      <c r="I4176" s="4"/>
      <c r="J4176" s="18"/>
      <c r="K4176" s="4"/>
      <c r="L4176" s="19"/>
      <c r="M4176" s="20"/>
    </row>
    <row r="4177">
      <c r="A4177" s="6"/>
      <c r="B4177" s="6"/>
      <c r="C4177" s="4"/>
      <c r="D4177" s="4"/>
      <c r="E4177" s="4"/>
      <c r="F4177" s="4"/>
      <c r="G4177" s="4"/>
      <c r="H4177" s="4"/>
      <c r="I4177" s="4"/>
      <c r="J4177" s="18"/>
      <c r="K4177" s="4"/>
      <c r="L4177" s="19"/>
      <c r="M4177" s="20"/>
    </row>
    <row r="4178">
      <c r="A4178" s="6"/>
      <c r="B4178" s="6"/>
      <c r="C4178" s="4"/>
      <c r="D4178" s="4"/>
      <c r="E4178" s="4"/>
      <c r="F4178" s="4"/>
      <c r="G4178" s="4"/>
      <c r="H4178" s="4"/>
      <c r="I4178" s="4"/>
      <c r="J4178" s="18"/>
      <c r="K4178" s="4"/>
      <c r="L4178" s="19"/>
      <c r="M4178" s="20"/>
    </row>
    <row r="4179">
      <c r="A4179" s="6"/>
      <c r="B4179" s="6"/>
      <c r="C4179" s="4"/>
      <c r="D4179" s="4"/>
      <c r="E4179" s="4"/>
      <c r="F4179" s="4"/>
      <c r="G4179" s="4"/>
      <c r="H4179" s="4"/>
      <c r="I4179" s="4"/>
      <c r="J4179" s="18"/>
      <c r="K4179" s="4"/>
      <c r="L4179" s="19"/>
      <c r="M4179" s="20"/>
    </row>
    <row r="4180">
      <c r="A4180" s="6"/>
      <c r="B4180" s="6"/>
      <c r="C4180" s="4"/>
      <c r="D4180" s="4"/>
      <c r="E4180" s="4"/>
      <c r="F4180" s="4"/>
      <c r="G4180" s="4"/>
      <c r="H4180" s="4"/>
      <c r="I4180" s="4"/>
      <c r="J4180" s="18"/>
      <c r="K4180" s="4"/>
      <c r="L4180" s="19"/>
      <c r="M4180" s="20"/>
    </row>
    <row r="4181">
      <c r="A4181" s="6"/>
      <c r="B4181" s="6"/>
      <c r="C4181" s="4"/>
      <c r="D4181" s="4"/>
      <c r="E4181" s="4"/>
      <c r="F4181" s="4"/>
      <c r="G4181" s="4"/>
      <c r="H4181" s="4"/>
      <c r="I4181" s="4"/>
      <c r="J4181" s="18"/>
      <c r="K4181" s="4"/>
      <c r="L4181" s="19"/>
      <c r="M4181" s="20"/>
    </row>
    <row r="4182">
      <c r="A4182" s="6"/>
      <c r="B4182" s="6"/>
      <c r="C4182" s="4"/>
      <c r="D4182" s="4"/>
      <c r="E4182" s="4"/>
      <c r="F4182" s="4"/>
      <c r="G4182" s="4"/>
      <c r="H4182" s="4"/>
      <c r="I4182" s="4"/>
      <c r="J4182" s="18"/>
      <c r="K4182" s="4"/>
      <c r="L4182" s="19"/>
      <c r="M4182" s="20"/>
    </row>
    <row r="4183">
      <c r="A4183" s="6"/>
      <c r="B4183" s="6"/>
      <c r="C4183" s="4"/>
      <c r="D4183" s="4"/>
      <c r="E4183" s="4"/>
      <c r="F4183" s="4"/>
      <c r="G4183" s="4"/>
      <c r="H4183" s="4"/>
      <c r="I4183" s="4"/>
      <c r="J4183" s="18"/>
      <c r="K4183" s="4"/>
      <c r="L4183" s="19"/>
      <c r="M4183" s="20"/>
    </row>
    <row r="4184">
      <c r="A4184" s="6"/>
      <c r="B4184" s="6"/>
      <c r="C4184" s="4"/>
      <c r="D4184" s="4"/>
      <c r="E4184" s="4"/>
      <c r="F4184" s="4"/>
      <c r="G4184" s="4"/>
      <c r="H4184" s="4"/>
      <c r="I4184" s="4"/>
      <c r="J4184" s="18"/>
      <c r="K4184" s="4"/>
      <c r="L4184" s="19"/>
      <c r="M4184" s="20"/>
    </row>
    <row r="4185">
      <c r="A4185" s="6"/>
      <c r="B4185" s="6"/>
      <c r="C4185" s="4"/>
      <c r="D4185" s="4"/>
      <c r="E4185" s="4"/>
      <c r="F4185" s="4"/>
      <c r="G4185" s="4"/>
      <c r="H4185" s="4"/>
      <c r="I4185" s="4"/>
      <c r="J4185" s="18"/>
      <c r="K4185" s="4"/>
      <c r="L4185" s="19"/>
      <c r="M4185" s="20"/>
    </row>
    <row r="4186">
      <c r="A4186" s="6"/>
      <c r="B4186" s="6"/>
      <c r="C4186" s="4"/>
      <c r="D4186" s="4"/>
      <c r="E4186" s="4"/>
      <c r="F4186" s="4"/>
      <c r="G4186" s="4"/>
      <c r="H4186" s="4"/>
      <c r="I4186" s="4"/>
      <c r="J4186" s="18"/>
      <c r="K4186" s="4"/>
      <c r="L4186" s="19"/>
      <c r="M4186" s="20"/>
    </row>
    <row r="4187">
      <c r="A4187" s="6"/>
      <c r="B4187" s="6"/>
      <c r="C4187" s="4"/>
      <c r="D4187" s="4"/>
      <c r="E4187" s="4"/>
      <c r="F4187" s="4"/>
      <c r="G4187" s="4"/>
      <c r="H4187" s="4"/>
      <c r="I4187" s="4"/>
      <c r="J4187" s="18"/>
      <c r="K4187" s="4"/>
      <c r="L4187" s="19"/>
      <c r="M4187" s="20"/>
    </row>
    <row r="4188">
      <c r="A4188" s="6"/>
      <c r="B4188" s="6"/>
      <c r="C4188" s="4"/>
      <c r="D4188" s="4"/>
      <c r="E4188" s="4"/>
      <c r="F4188" s="4"/>
      <c r="G4188" s="4"/>
      <c r="H4188" s="4"/>
      <c r="I4188" s="4"/>
      <c r="J4188" s="18"/>
      <c r="K4188" s="4"/>
      <c r="L4188" s="19"/>
      <c r="M4188" s="20"/>
    </row>
    <row r="4189">
      <c r="A4189" s="6"/>
      <c r="B4189" s="6"/>
      <c r="C4189" s="4"/>
      <c r="D4189" s="4"/>
      <c r="E4189" s="4"/>
      <c r="F4189" s="4"/>
      <c r="G4189" s="4"/>
      <c r="H4189" s="4"/>
      <c r="I4189" s="4"/>
      <c r="J4189" s="18"/>
      <c r="K4189" s="4"/>
      <c r="L4189" s="19"/>
      <c r="M4189" s="20"/>
    </row>
    <row r="4190">
      <c r="A4190" s="6"/>
      <c r="B4190" s="6"/>
      <c r="C4190" s="4"/>
      <c r="D4190" s="4"/>
      <c r="E4190" s="4"/>
      <c r="F4190" s="4"/>
      <c r="G4190" s="4"/>
      <c r="H4190" s="4"/>
      <c r="I4190" s="4"/>
      <c r="J4190" s="18"/>
      <c r="K4190" s="4"/>
      <c r="L4190" s="19"/>
      <c r="M4190" s="20"/>
    </row>
    <row r="4191">
      <c r="A4191" s="6"/>
      <c r="B4191" s="6"/>
      <c r="C4191" s="4"/>
      <c r="D4191" s="4"/>
      <c r="E4191" s="4"/>
      <c r="F4191" s="4"/>
      <c r="G4191" s="4"/>
      <c r="H4191" s="4"/>
      <c r="I4191" s="4"/>
      <c r="J4191" s="18"/>
      <c r="K4191" s="4"/>
      <c r="L4191" s="19"/>
      <c r="M4191" s="20"/>
    </row>
    <row r="4192">
      <c r="A4192" s="6"/>
      <c r="B4192" s="6"/>
      <c r="C4192" s="4"/>
      <c r="D4192" s="4"/>
      <c r="E4192" s="4"/>
      <c r="F4192" s="4"/>
      <c r="G4192" s="4"/>
      <c r="H4192" s="4"/>
      <c r="I4192" s="4"/>
      <c r="J4192" s="18"/>
      <c r="K4192" s="4"/>
      <c r="L4192" s="19"/>
      <c r="M4192" s="20"/>
    </row>
    <row r="4193">
      <c r="A4193" s="6"/>
      <c r="B4193" s="6"/>
      <c r="C4193" s="4"/>
      <c r="D4193" s="4"/>
      <c r="E4193" s="4"/>
      <c r="F4193" s="4"/>
      <c r="G4193" s="4"/>
      <c r="H4193" s="4"/>
      <c r="I4193" s="4"/>
      <c r="J4193" s="18"/>
      <c r="K4193" s="4"/>
      <c r="L4193" s="19"/>
      <c r="M4193" s="20"/>
    </row>
    <row r="4194">
      <c r="A4194" s="6"/>
      <c r="B4194" s="6"/>
      <c r="C4194" s="4"/>
      <c r="D4194" s="4"/>
      <c r="E4194" s="4"/>
      <c r="F4194" s="4"/>
      <c r="G4194" s="4"/>
      <c r="H4194" s="4"/>
      <c r="I4194" s="4"/>
      <c r="J4194" s="18"/>
      <c r="K4194" s="4"/>
      <c r="L4194" s="19"/>
      <c r="M4194" s="20"/>
    </row>
    <row r="4195">
      <c r="A4195" s="6"/>
      <c r="B4195" s="6"/>
      <c r="C4195" s="4"/>
      <c r="D4195" s="4"/>
      <c r="E4195" s="4"/>
      <c r="F4195" s="4"/>
      <c r="G4195" s="4"/>
      <c r="H4195" s="4"/>
      <c r="I4195" s="4"/>
      <c r="J4195" s="18"/>
      <c r="K4195" s="4"/>
      <c r="L4195" s="19"/>
      <c r="M4195" s="20"/>
    </row>
    <row r="4196">
      <c r="A4196" s="6"/>
      <c r="B4196" s="6"/>
      <c r="C4196" s="4"/>
      <c r="D4196" s="4"/>
      <c r="E4196" s="4"/>
      <c r="F4196" s="4"/>
      <c r="G4196" s="4"/>
      <c r="H4196" s="4"/>
      <c r="I4196" s="4"/>
      <c r="J4196" s="18"/>
      <c r="K4196" s="4"/>
      <c r="L4196" s="19"/>
      <c r="M4196" s="20"/>
    </row>
    <row r="4197">
      <c r="A4197" s="6"/>
      <c r="B4197" s="6"/>
      <c r="C4197" s="4"/>
      <c r="D4197" s="4"/>
      <c r="E4197" s="4"/>
      <c r="F4197" s="4"/>
      <c r="G4197" s="4"/>
      <c r="H4197" s="4"/>
      <c r="I4197" s="4"/>
      <c r="J4197" s="18"/>
      <c r="K4197" s="4"/>
      <c r="L4197" s="19"/>
      <c r="M4197" s="20"/>
    </row>
    <row r="4198">
      <c r="A4198" s="6"/>
      <c r="B4198" s="6"/>
      <c r="C4198" s="4"/>
      <c r="D4198" s="4"/>
      <c r="E4198" s="4"/>
      <c r="F4198" s="4"/>
      <c r="G4198" s="4"/>
      <c r="H4198" s="4"/>
      <c r="I4198" s="4"/>
      <c r="J4198" s="18"/>
      <c r="K4198" s="4"/>
      <c r="L4198" s="19"/>
      <c r="M4198" s="20"/>
    </row>
    <row r="4199">
      <c r="A4199" s="6"/>
      <c r="B4199" s="6"/>
      <c r="C4199" s="4"/>
      <c r="D4199" s="4"/>
      <c r="E4199" s="4"/>
      <c r="F4199" s="4"/>
      <c r="G4199" s="4"/>
      <c r="H4199" s="4"/>
      <c r="I4199" s="4"/>
      <c r="J4199" s="18"/>
      <c r="K4199" s="4"/>
      <c r="L4199" s="19"/>
      <c r="M4199" s="20"/>
    </row>
    <row r="4200">
      <c r="A4200" s="6"/>
      <c r="B4200" s="6"/>
      <c r="C4200" s="4"/>
      <c r="D4200" s="4"/>
      <c r="E4200" s="4"/>
      <c r="F4200" s="4"/>
      <c r="G4200" s="4"/>
      <c r="H4200" s="4"/>
      <c r="I4200" s="4"/>
      <c r="J4200" s="18"/>
      <c r="K4200" s="4"/>
      <c r="L4200" s="19"/>
      <c r="M4200" s="20"/>
    </row>
    <row r="4201">
      <c r="A4201" s="6"/>
      <c r="B4201" s="6"/>
      <c r="C4201" s="4"/>
      <c r="D4201" s="4"/>
      <c r="E4201" s="4"/>
      <c r="F4201" s="4"/>
      <c r="G4201" s="4"/>
      <c r="H4201" s="4"/>
      <c r="I4201" s="4"/>
      <c r="J4201" s="18"/>
      <c r="K4201" s="4"/>
      <c r="L4201" s="19"/>
      <c r="M4201" s="20"/>
    </row>
    <row r="4202">
      <c r="A4202" s="6"/>
      <c r="B4202" s="6"/>
      <c r="C4202" s="4"/>
      <c r="D4202" s="4"/>
      <c r="E4202" s="4"/>
      <c r="F4202" s="4"/>
      <c r="G4202" s="4"/>
      <c r="H4202" s="4"/>
      <c r="I4202" s="4"/>
      <c r="J4202" s="18"/>
      <c r="K4202" s="4"/>
      <c r="L4202" s="19"/>
      <c r="M4202" s="20"/>
    </row>
    <row r="4203">
      <c r="A4203" s="6"/>
      <c r="B4203" s="6"/>
      <c r="C4203" s="4"/>
      <c r="D4203" s="4"/>
      <c r="E4203" s="4"/>
      <c r="F4203" s="4"/>
      <c r="G4203" s="4"/>
      <c r="H4203" s="4"/>
      <c r="I4203" s="4"/>
      <c r="J4203" s="18"/>
      <c r="K4203" s="4"/>
      <c r="L4203" s="19"/>
      <c r="M4203" s="20"/>
    </row>
    <row r="4204">
      <c r="A4204" s="6"/>
      <c r="B4204" s="6"/>
      <c r="C4204" s="4"/>
      <c r="D4204" s="4"/>
      <c r="E4204" s="4"/>
      <c r="F4204" s="4"/>
      <c r="G4204" s="4"/>
      <c r="H4204" s="4"/>
      <c r="I4204" s="4"/>
      <c r="J4204" s="18"/>
      <c r="K4204" s="4"/>
      <c r="L4204" s="19"/>
      <c r="M4204" s="20"/>
    </row>
    <row r="4205">
      <c r="A4205" s="6"/>
      <c r="B4205" s="6"/>
      <c r="C4205" s="4"/>
      <c r="D4205" s="4"/>
      <c r="E4205" s="4"/>
      <c r="F4205" s="4"/>
      <c r="G4205" s="4"/>
      <c r="H4205" s="4"/>
      <c r="I4205" s="4"/>
      <c r="J4205" s="18"/>
      <c r="K4205" s="4"/>
      <c r="L4205" s="19"/>
      <c r="M4205" s="20"/>
    </row>
    <row r="4206">
      <c r="A4206" s="6"/>
      <c r="B4206" s="6"/>
      <c r="C4206" s="4"/>
      <c r="D4206" s="4"/>
      <c r="E4206" s="4"/>
      <c r="F4206" s="4"/>
      <c r="G4206" s="4"/>
      <c r="H4206" s="4"/>
      <c r="I4206" s="4"/>
      <c r="J4206" s="18"/>
      <c r="K4206" s="4"/>
      <c r="L4206" s="19"/>
      <c r="M4206" s="20"/>
    </row>
    <row r="4207">
      <c r="A4207" s="6"/>
      <c r="B4207" s="6"/>
      <c r="C4207" s="4"/>
      <c r="D4207" s="4"/>
      <c r="E4207" s="4"/>
      <c r="F4207" s="4"/>
      <c r="G4207" s="4"/>
      <c r="H4207" s="4"/>
      <c r="I4207" s="4"/>
      <c r="J4207" s="18"/>
      <c r="K4207" s="4"/>
      <c r="L4207" s="19"/>
      <c r="M4207" s="20"/>
    </row>
    <row r="4208">
      <c r="A4208" s="6"/>
      <c r="B4208" s="6"/>
      <c r="C4208" s="4"/>
      <c r="D4208" s="4"/>
      <c r="E4208" s="4"/>
      <c r="F4208" s="4"/>
      <c r="G4208" s="4"/>
      <c r="H4208" s="4"/>
      <c r="I4208" s="4"/>
      <c r="J4208" s="18"/>
      <c r="K4208" s="4"/>
      <c r="L4208" s="19"/>
      <c r="M4208" s="20"/>
    </row>
    <row r="4209">
      <c r="A4209" s="6"/>
      <c r="B4209" s="6"/>
      <c r="C4209" s="4"/>
      <c r="D4209" s="4"/>
      <c r="E4209" s="4"/>
      <c r="F4209" s="4"/>
      <c r="G4209" s="4"/>
      <c r="H4209" s="4"/>
      <c r="I4209" s="4"/>
      <c r="J4209" s="18"/>
      <c r="K4209" s="4"/>
      <c r="L4209" s="19"/>
      <c r="M4209" s="20"/>
    </row>
    <row r="4210">
      <c r="A4210" s="6"/>
      <c r="B4210" s="6"/>
      <c r="C4210" s="4"/>
      <c r="D4210" s="4"/>
      <c r="E4210" s="4"/>
      <c r="F4210" s="4"/>
      <c r="G4210" s="4"/>
      <c r="H4210" s="4"/>
      <c r="I4210" s="4"/>
      <c r="J4210" s="18"/>
      <c r="K4210" s="4"/>
      <c r="L4210" s="19"/>
      <c r="M4210" s="20"/>
    </row>
    <row r="4211">
      <c r="A4211" s="6"/>
      <c r="B4211" s="6"/>
      <c r="C4211" s="4"/>
      <c r="D4211" s="4"/>
      <c r="E4211" s="4"/>
      <c r="F4211" s="4"/>
      <c r="G4211" s="4"/>
      <c r="H4211" s="4"/>
      <c r="I4211" s="4"/>
      <c r="J4211" s="18"/>
      <c r="K4211" s="4"/>
      <c r="L4211" s="19"/>
      <c r="M4211" s="20"/>
    </row>
    <row r="4212">
      <c r="A4212" s="6"/>
      <c r="B4212" s="6"/>
      <c r="C4212" s="4"/>
      <c r="D4212" s="4"/>
      <c r="E4212" s="4"/>
      <c r="F4212" s="4"/>
      <c r="G4212" s="4"/>
      <c r="H4212" s="4"/>
      <c r="I4212" s="4"/>
      <c r="J4212" s="18"/>
      <c r="K4212" s="4"/>
      <c r="L4212" s="19"/>
      <c r="M4212" s="20"/>
    </row>
    <row r="4213">
      <c r="A4213" s="6"/>
      <c r="B4213" s="6"/>
      <c r="C4213" s="4"/>
      <c r="D4213" s="4"/>
      <c r="E4213" s="4"/>
      <c r="F4213" s="4"/>
      <c r="G4213" s="4"/>
      <c r="H4213" s="4"/>
      <c r="I4213" s="4"/>
      <c r="J4213" s="18"/>
      <c r="K4213" s="4"/>
      <c r="L4213" s="19"/>
      <c r="M4213" s="20"/>
    </row>
    <row r="4214">
      <c r="A4214" s="6"/>
      <c r="B4214" s="6"/>
      <c r="C4214" s="4"/>
      <c r="D4214" s="4"/>
      <c r="E4214" s="4"/>
      <c r="F4214" s="4"/>
      <c r="G4214" s="4"/>
      <c r="H4214" s="4"/>
      <c r="I4214" s="4"/>
      <c r="J4214" s="18"/>
      <c r="K4214" s="4"/>
      <c r="L4214" s="19"/>
      <c r="M4214" s="20"/>
    </row>
    <row r="4215">
      <c r="A4215" s="6"/>
      <c r="B4215" s="6"/>
      <c r="C4215" s="4"/>
      <c r="D4215" s="4"/>
      <c r="E4215" s="4"/>
      <c r="F4215" s="4"/>
      <c r="G4215" s="4"/>
      <c r="H4215" s="4"/>
      <c r="I4215" s="4"/>
      <c r="J4215" s="18"/>
      <c r="K4215" s="4"/>
      <c r="L4215" s="19"/>
      <c r="M4215" s="20"/>
    </row>
    <row r="4216">
      <c r="A4216" s="6"/>
      <c r="B4216" s="6"/>
      <c r="C4216" s="4"/>
      <c r="D4216" s="4"/>
      <c r="E4216" s="4"/>
      <c r="F4216" s="4"/>
      <c r="G4216" s="4"/>
      <c r="H4216" s="4"/>
      <c r="I4216" s="4"/>
      <c r="J4216" s="18"/>
      <c r="K4216" s="4"/>
      <c r="L4216" s="19"/>
      <c r="M4216" s="20"/>
    </row>
    <row r="4217">
      <c r="A4217" s="6"/>
      <c r="B4217" s="6"/>
      <c r="C4217" s="4"/>
      <c r="D4217" s="4"/>
      <c r="E4217" s="4"/>
      <c r="F4217" s="4"/>
      <c r="G4217" s="4"/>
      <c r="H4217" s="4"/>
      <c r="I4217" s="4"/>
      <c r="J4217" s="18"/>
      <c r="K4217" s="4"/>
      <c r="L4217" s="19"/>
      <c r="M4217" s="20"/>
    </row>
    <row r="4218">
      <c r="A4218" s="6"/>
      <c r="B4218" s="6"/>
      <c r="C4218" s="4"/>
      <c r="D4218" s="4"/>
      <c r="E4218" s="4"/>
      <c r="F4218" s="4"/>
      <c r="G4218" s="4"/>
      <c r="H4218" s="4"/>
      <c r="I4218" s="4"/>
      <c r="J4218" s="18"/>
      <c r="K4218" s="4"/>
      <c r="L4218" s="19"/>
      <c r="M4218" s="20"/>
    </row>
    <row r="4219">
      <c r="A4219" s="6"/>
      <c r="B4219" s="6"/>
      <c r="C4219" s="4"/>
      <c r="D4219" s="4"/>
      <c r="E4219" s="4"/>
      <c r="F4219" s="4"/>
      <c r="G4219" s="4"/>
      <c r="H4219" s="4"/>
      <c r="I4219" s="4"/>
      <c r="J4219" s="18"/>
      <c r="K4219" s="4"/>
      <c r="L4219" s="19"/>
      <c r="M4219" s="20"/>
    </row>
    <row r="4220">
      <c r="A4220" s="6"/>
      <c r="B4220" s="6"/>
      <c r="C4220" s="4"/>
      <c r="D4220" s="4"/>
      <c r="E4220" s="4"/>
      <c r="F4220" s="4"/>
      <c r="G4220" s="4"/>
      <c r="H4220" s="4"/>
      <c r="I4220" s="4"/>
      <c r="J4220" s="18"/>
      <c r="K4220" s="4"/>
      <c r="L4220" s="19"/>
      <c r="M4220" s="20"/>
    </row>
    <row r="4221">
      <c r="A4221" s="6"/>
      <c r="B4221" s="6"/>
      <c r="C4221" s="4"/>
      <c r="D4221" s="4"/>
      <c r="E4221" s="4"/>
      <c r="F4221" s="4"/>
      <c r="G4221" s="4"/>
      <c r="H4221" s="4"/>
      <c r="I4221" s="4"/>
      <c r="J4221" s="18"/>
      <c r="K4221" s="4"/>
      <c r="L4221" s="19"/>
      <c r="M4221" s="20"/>
    </row>
    <row r="4222">
      <c r="A4222" s="6"/>
      <c r="B4222" s="6"/>
      <c r="C4222" s="4"/>
      <c r="D4222" s="4"/>
      <c r="E4222" s="4"/>
      <c r="F4222" s="4"/>
      <c r="G4222" s="4"/>
      <c r="H4222" s="4"/>
      <c r="I4222" s="4"/>
      <c r="J4222" s="18"/>
      <c r="K4222" s="4"/>
      <c r="L4222" s="19"/>
      <c r="M4222" s="20"/>
    </row>
    <row r="4223">
      <c r="A4223" s="6"/>
      <c r="B4223" s="6"/>
      <c r="C4223" s="4"/>
      <c r="D4223" s="4"/>
      <c r="E4223" s="4"/>
      <c r="F4223" s="4"/>
      <c r="G4223" s="4"/>
      <c r="H4223" s="4"/>
      <c r="I4223" s="4"/>
      <c r="J4223" s="18"/>
      <c r="K4223" s="4"/>
      <c r="L4223" s="19"/>
      <c r="M4223" s="20"/>
    </row>
    <row r="4224">
      <c r="A4224" s="6"/>
      <c r="B4224" s="6"/>
      <c r="C4224" s="4"/>
      <c r="D4224" s="4"/>
      <c r="E4224" s="4"/>
      <c r="F4224" s="4"/>
      <c r="G4224" s="4"/>
      <c r="H4224" s="4"/>
      <c r="I4224" s="4"/>
      <c r="J4224" s="18"/>
      <c r="K4224" s="4"/>
      <c r="L4224" s="19"/>
      <c r="M4224" s="20"/>
    </row>
    <row r="4225">
      <c r="A4225" s="6"/>
      <c r="B4225" s="6"/>
      <c r="C4225" s="4"/>
      <c r="D4225" s="4"/>
      <c r="E4225" s="4"/>
      <c r="F4225" s="4"/>
      <c r="G4225" s="4"/>
      <c r="H4225" s="4"/>
      <c r="I4225" s="4"/>
      <c r="J4225" s="18"/>
      <c r="K4225" s="4"/>
      <c r="L4225" s="19"/>
      <c r="M4225" s="20"/>
    </row>
    <row r="4226">
      <c r="A4226" s="6"/>
      <c r="B4226" s="6"/>
      <c r="C4226" s="4"/>
      <c r="D4226" s="4"/>
      <c r="E4226" s="4"/>
      <c r="F4226" s="4"/>
      <c r="G4226" s="4"/>
      <c r="H4226" s="4"/>
      <c r="I4226" s="4"/>
      <c r="J4226" s="18"/>
      <c r="K4226" s="4"/>
      <c r="L4226" s="19"/>
      <c r="M4226" s="20"/>
    </row>
    <row r="4227">
      <c r="A4227" s="6"/>
      <c r="B4227" s="6"/>
      <c r="C4227" s="4"/>
      <c r="D4227" s="4"/>
      <c r="E4227" s="4"/>
      <c r="F4227" s="4"/>
      <c r="G4227" s="4"/>
      <c r="H4227" s="4"/>
      <c r="I4227" s="4"/>
      <c r="J4227" s="18"/>
      <c r="K4227" s="4"/>
      <c r="L4227" s="19"/>
      <c r="M4227" s="20"/>
    </row>
    <row r="4228">
      <c r="A4228" s="6"/>
      <c r="B4228" s="6"/>
      <c r="C4228" s="4"/>
      <c r="D4228" s="4"/>
      <c r="E4228" s="4"/>
      <c r="F4228" s="4"/>
      <c r="G4228" s="4"/>
      <c r="H4228" s="4"/>
      <c r="I4228" s="4"/>
      <c r="J4228" s="18"/>
      <c r="K4228" s="4"/>
      <c r="L4228" s="19"/>
      <c r="M4228" s="20"/>
    </row>
    <row r="4229">
      <c r="A4229" s="6"/>
      <c r="B4229" s="6"/>
      <c r="C4229" s="4"/>
      <c r="D4229" s="4"/>
      <c r="E4229" s="4"/>
      <c r="F4229" s="4"/>
      <c r="G4229" s="4"/>
      <c r="H4229" s="4"/>
      <c r="I4229" s="4"/>
      <c r="J4229" s="18"/>
      <c r="K4229" s="4"/>
      <c r="L4229" s="19"/>
      <c r="M4229" s="20"/>
    </row>
    <row r="4230">
      <c r="A4230" s="6"/>
      <c r="B4230" s="6"/>
      <c r="C4230" s="4"/>
      <c r="D4230" s="4"/>
      <c r="E4230" s="4"/>
      <c r="F4230" s="4"/>
      <c r="G4230" s="4"/>
      <c r="H4230" s="4"/>
      <c r="I4230" s="4"/>
      <c r="J4230" s="18"/>
      <c r="K4230" s="4"/>
      <c r="L4230" s="19"/>
      <c r="M4230" s="20"/>
    </row>
    <row r="4231">
      <c r="A4231" s="6"/>
      <c r="B4231" s="6"/>
      <c r="C4231" s="4"/>
      <c r="D4231" s="4"/>
      <c r="E4231" s="4"/>
      <c r="F4231" s="4"/>
      <c r="G4231" s="4"/>
      <c r="H4231" s="4"/>
      <c r="I4231" s="4"/>
      <c r="J4231" s="18"/>
      <c r="K4231" s="4"/>
      <c r="L4231" s="19"/>
      <c r="M4231" s="20"/>
    </row>
    <row r="4232">
      <c r="A4232" s="6"/>
      <c r="B4232" s="6"/>
      <c r="C4232" s="4"/>
      <c r="D4232" s="4"/>
      <c r="E4232" s="4"/>
      <c r="F4232" s="4"/>
      <c r="G4232" s="4"/>
      <c r="H4232" s="4"/>
      <c r="I4232" s="4"/>
      <c r="J4232" s="18"/>
      <c r="K4232" s="4"/>
      <c r="L4232" s="19"/>
      <c r="M4232" s="20"/>
    </row>
    <row r="4233">
      <c r="A4233" s="6"/>
      <c r="B4233" s="6"/>
      <c r="C4233" s="4"/>
      <c r="D4233" s="4"/>
      <c r="E4233" s="4"/>
      <c r="F4233" s="4"/>
      <c r="G4233" s="4"/>
      <c r="H4233" s="4"/>
      <c r="I4233" s="4"/>
      <c r="J4233" s="18"/>
      <c r="K4233" s="4"/>
      <c r="L4233" s="19"/>
      <c r="M4233" s="20"/>
    </row>
    <row r="4234">
      <c r="A4234" s="6"/>
      <c r="B4234" s="6"/>
      <c r="C4234" s="4"/>
      <c r="D4234" s="4"/>
      <c r="E4234" s="4"/>
      <c r="F4234" s="4"/>
      <c r="G4234" s="4"/>
      <c r="H4234" s="4"/>
      <c r="I4234" s="4"/>
      <c r="J4234" s="18"/>
      <c r="K4234" s="4"/>
      <c r="L4234" s="19"/>
      <c r="M4234" s="20"/>
    </row>
    <row r="4235">
      <c r="A4235" s="6"/>
      <c r="B4235" s="6"/>
      <c r="C4235" s="4"/>
      <c r="D4235" s="4"/>
      <c r="E4235" s="4"/>
      <c r="F4235" s="4"/>
      <c r="G4235" s="4"/>
      <c r="H4235" s="4"/>
      <c r="I4235" s="4"/>
      <c r="J4235" s="18"/>
      <c r="K4235" s="4"/>
      <c r="L4235" s="19"/>
      <c r="M4235" s="20"/>
    </row>
    <row r="4236">
      <c r="A4236" s="6"/>
      <c r="B4236" s="6"/>
      <c r="C4236" s="4"/>
      <c r="D4236" s="4"/>
      <c r="E4236" s="4"/>
      <c r="F4236" s="4"/>
      <c r="G4236" s="4"/>
      <c r="H4236" s="4"/>
      <c r="I4236" s="4"/>
      <c r="J4236" s="18"/>
      <c r="K4236" s="4"/>
      <c r="L4236" s="19"/>
      <c r="M4236" s="20"/>
    </row>
    <row r="4237">
      <c r="A4237" s="6"/>
      <c r="B4237" s="6"/>
      <c r="C4237" s="4"/>
      <c r="D4237" s="4"/>
      <c r="E4237" s="4"/>
      <c r="F4237" s="4"/>
      <c r="G4237" s="4"/>
      <c r="H4237" s="4"/>
      <c r="I4237" s="4"/>
      <c r="J4237" s="18"/>
      <c r="K4237" s="4"/>
      <c r="L4237" s="19"/>
      <c r="M4237" s="20"/>
    </row>
    <row r="4238">
      <c r="A4238" s="6"/>
      <c r="B4238" s="6"/>
      <c r="C4238" s="4"/>
      <c r="D4238" s="4"/>
      <c r="E4238" s="4"/>
      <c r="F4238" s="4"/>
      <c r="G4238" s="4"/>
      <c r="H4238" s="4"/>
      <c r="I4238" s="4"/>
      <c r="J4238" s="18"/>
      <c r="K4238" s="4"/>
      <c r="L4238" s="19"/>
      <c r="M4238" s="20"/>
    </row>
    <row r="4239">
      <c r="A4239" s="6"/>
      <c r="B4239" s="6"/>
      <c r="C4239" s="4"/>
      <c r="D4239" s="4"/>
      <c r="E4239" s="4"/>
      <c r="F4239" s="4"/>
      <c r="G4239" s="4"/>
      <c r="H4239" s="4"/>
      <c r="I4239" s="4"/>
      <c r="J4239" s="18"/>
      <c r="K4239" s="4"/>
      <c r="L4239" s="19"/>
      <c r="M4239" s="20"/>
    </row>
    <row r="4240">
      <c r="A4240" s="6"/>
      <c r="B4240" s="6"/>
      <c r="C4240" s="4"/>
      <c r="D4240" s="4"/>
      <c r="E4240" s="4"/>
      <c r="F4240" s="4"/>
      <c r="G4240" s="4"/>
      <c r="H4240" s="4"/>
      <c r="I4240" s="4"/>
      <c r="J4240" s="18"/>
      <c r="K4240" s="4"/>
      <c r="L4240" s="19"/>
      <c r="M4240" s="20"/>
    </row>
    <row r="4241">
      <c r="A4241" s="6"/>
      <c r="B4241" s="6"/>
      <c r="C4241" s="4"/>
      <c r="D4241" s="4"/>
      <c r="E4241" s="4"/>
      <c r="F4241" s="4"/>
      <c r="G4241" s="4"/>
      <c r="H4241" s="4"/>
      <c r="I4241" s="4"/>
      <c r="J4241" s="18"/>
      <c r="K4241" s="4"/>
      <c r="L4241" s="19"/>
      <c r="M4241" s="20"/>
    </row>
    <row r="4242">
      <c r="A4242" s="6"/>
      <c r="B4242" s="6"/>
      <c r="C4242" s="4"/>
      <c r="D4242" s="4"/>
      <c r="E4242" s="4"/>
      <c r="F4242" s="4"/>
      <c r="G4242" s="4"/>
      <c r="H4242" s="4"/>
      <c r="I4242" s="4"/>
      <c r="J4242" s="18"/>
      <c r="K4242" s="4"/>
      <c r="L4242" s="19"/>
      <c r="M4242" s="20"/>
    </row>
    <row r="4243">
      <c r="A4243" s="6"/>
      <c r="B4243" s="6"/>
      <c r="C4243" s="4"/>
      <c r="D4243" s="4"/>
      <c r="E4243" s="4"/>
      <c r="F4243" s="4"/>
      <c r="G4243" s="4"/>
      <c r="H4243" s="4"/>
      <c r="I4243" s="4"/>
      <c r="J4243" s="18"/>
      <c r="K4243" s="4"/>
      <c r="L4243" s="19"/>
      <c r="M4243" s="20"/>
    </row>
    <row r="4244">
      <c r="A4244" s="6"/>
      <c r="B4244" s="6"/>
      <c r="C4244" s="4"/>
      <c r="D4244" s="4"/>
      <c r="E4244" s="4"/>
      <c r="F4244" s="4"/>
      <c r="G4244" s="4"/>
      <c r="H4244" s="4"/>
      <c r="I4244" s="4"/>
      <c r="J4244" s="18"/>
      <c r="K4244" s="4"/>
      <c r="L4244" s="19"/>
      <c r="M4244" s="20"/>
    </row>
    <row r="4245">
      <c r="A4245" s="6"/>
      <c r="B4245" s="6"/>
      <c r="C4245" s="4"/>
      <c r="D4245" s="4"/>
      <c r="E4245" s="4"/>
      <c r="F4245" s="4"/>
      <c r="G4245" s="4"/>
      <c r="H4245" s="4"/>
      <c r="I4245" s="4"/>
      <c r="J4245" s="18"/>
      <c r="K4245" s="4"/>
      <c r="L4245" s="19"/>
      <c r="M4245" s="20"/>
    </row>
    <row r="4246">
      <c r="A4246" s="6"/>
      <c r="B4246" s="6"/>
      <c r="C4246" s="4"/>
      <c r="D4246" s="4"/>
      <c r="E4246" s="4"/>
      <c r="F4246" s="4"/>
      <c r="G4246" s="4"/>
      <c r="H4246" s="4"/>
      <c r="I4246" s="4"/>
      <c r="J4246" s="18"/>
      <c r="K4246" s="4"/>
      <c r="L4246" s="19"/>
      <c r="M4246" s="20"/>
    </row>
    <row r="4247">
      <c r="A4247" s="6"/>
      <c r="B4247" s="6"/>
      <c r="C4247" s="4"/>
      <c r="D4247" s="4"/>
      <c r="E4247" s="4"/>
      <c r="F4247" s="4"/>
      <c r="G4247" s="4"/>
      <c r="H4247" s="4"/>
      <c r="I4247" s="4"/>
      <c r="J4247" s="18"/>
      <c r="K4247" s="4"/>
      <c r="L4247" s="19"/>
      <c r="M4247" s="20"/>
    </row>
    <row r="4248">
      <c r="A4248" s="6"/>
      <c r="B4248" s="6"/>
      <c r="C4248" s="4"/>
      <c r="D4248" s="4"/>
      <c r="E4248" s="4"/>
      <c r="F4248" s="4"/>
      <c r="G4248" s="4"/>
      <c r="H4248" s="4"/>
      <c r="I4248" s="4"/>
      <c r="J4248" s="18"/>
      <c r="K4248" s="4"/>
      <c r="L4248" s="19"/>
      <c r="M4248" s="20"/>
    </row>
    <row r="4249">
      <c r="A4249" s="6"/>
      <c r="B4249" s="6"/>
      <c r="C4249" s="4"/>
      <c r="D4249" s="4"/>
      <c r="E4249" s="4"/>
      <c r="F4249" s="4"/>
      <c r="G4249" s="4"/>
      <c r="H4249" s="4"/>
      <c r="I4249" s="4"/>
      <c r="J4249" s="18"/>
      <c r="K4249" s="4"/>
      <c r="L4249" s="19"/>
      <c r="M4249" s="20"/>
    </row>
    <row r="4250">
      <c r="A4250" s="6"/>
      <c r="B4250" s="6"/>
      <c r="C4250" s="4"/>
      <c r="D4250" s="4"/>
      <c r="E4250" s="4"/>
      <c r="F4250" s="4"/>
      <c r="G4250" s="4"/>
      <c r="H4250" s="4"/>
      <c r="I4250" s="4"/>
      <c r="J4250" s="18"/>
      <c r="K4250" s="4"/>
      <c r="L4250" s="19"/>
      <c r="M4250" s="20"/>
    </row>
    <row r="4251">
      <c r="A4251" s="6"/>
      <c r="B4251" s="6"/>
      <c r="C4251" s="4"/>
      <c r="D4251" s="4"/>
      <c r="E4251" s="4"/>
      <c r="F4251" s="4"/>
      <c r="G4251" s="4"/>
      <c r="H4251" s="4"/>
      <c r="I4251" s="4"/>
      <c r="J4251" s="18"/>
      <c r="K4251" s="4"/>
      <c r="L4251" s="19"/>
      <c r="M4251" s="20"/>
    </row>
    <row r="4252">
      <c r="A4252" s="6"/>
      <c r="B4252" s="6"/>
      <c r="C4252" s="4"/>
      <c r="D4252" s="4"/>
      <c r="E4252" s="4"/>
      <c r="F4252" s="4"/>
      <c r="G4252" s="4"/>
      <c r="H4252" s="4"/>
      <c r="I4252" s="4"/>
      <c r="J4252" s="18"/>
      <c r="K4252" s="4"/>
      <c r="L4252" s="19"/>
      <c r="M4252" s="20"/>
    </row>
    <row r="4253">
      <c r="A4253" s="6"/>
      <c r="B4253" s="6"/>
      <c r="C4253" s="4"/>
      <c r="D4253" s="4"/>
      <c r="E4253" s="4"/>
      <c r="F4253" s="4"/>
      <c r="G4253" s="4"/>
      <c r="H4253" s="4"/>
      <c r="I4253" s="4"/>
      <c r="J4253" s="18"/>
      <c r="K4253" s="4"/>
      <c r="L4253" s="19"/>
      <c r="M4253" s="20"/>
    </row>
    <row r="4254">
      <c r="A4254" s="6"/>
      <c r="B4254" s="6"/>
      <c r="C4254" s="4"/>
      <c r="D4254" s="4"/>
      <c r="E4254" s="4"/>
      <c r="F4254" s="4"/>
      <c r="G4254" s="4"/>
      <c r="H4254" s="4"/>
      <c r="I4254" s="4"/>
      <c r="J4254" s="18"/>
      <c r="K4254" s="4"/>
      <c r="L4254" s="19"/>
      <c r="M4254" s="20"/>
    </row>
    <row r="4255">
      <c r="A4255" s="6"/>
      <c r="B4255" s="6"/>
      <c r="C4255" s="4"/>
      <c r="D4255" s="4"/>
      <c r="E4255" s="4"/>
      <c r="F4255" s="4"/>
      <c r="G4255" s="4"/>
      <c r="H4255" s="4"/>
      <c r="I4255" s="4"/>
      <c r="J4255" s="18"/>
      <c r="K4255" s="4"/>
      <c r="L4255" s="19"/>
      <c r="M4255" s="20"/>
    </row>
    <row r="4256">
      <c r="A4256" s="6"/>
      <c r="B4256" s="6"/>
      <c r="C4256" s="4"/>
      <c r="D4256" s="4"/>
      <c r="E4256" s="4"/>
      <c r="F4256" s="4"/>
      <c r="G4256" s="4"/>
      <c r="H4256" s="4"/>
      <c r="I4256" s="4"/>
      <c r="J4256" s="18"/>
      <c r="K4256" s="4"/>
      <c r="L4256" s="19"/>
      <c r="M4256" s="20"/>
    </row>
    <row r="4257">
      <c r="A4257" s="6"/>
      <c r="B4257" s="6"/>
      <c r="C4257" s="4"/>
      <c r="D4257" s="4"/>
      <c r="E4257" s="4"/>
      <c r="F4257" s="4"/>
      <c r="G4257" s="4"/>
      <c r="H4257" s="4"/>
      <c r="I4257" s="4"/>
      <c r="J4257" s="18"/>
      <c r="K4257" s="4"/>
      <c r="L4257" s="19"/>
      <c r="M4257" s="20"/>
    </row>
    <row r="4258">
      <c r="A4258" s="6"/>
      <c r="B4258" s="6"/>
      <c r="C4258" s="4"/>
      <c r="D4258" s="4"/>
      <c r="E4258" s="4"/>
      <c r="F4258" s="4"/>
      <c r="G4258" s="4"/>
      <c r="H4258" s="4"/>
      <c r="I4258" s="4"/>
      <c r="J4258" s="18"/>
      <c r="K4258" s="4"/>
      <c r="L4258" s="19"/>
      <c r="M4258" s="20"/>
    </row>
    <row r="4259">
      <c r="A4259" s="6"/>
      <c r="B4259" s="6"/>
      <c r="C4259" s="4"/>
      <c r="D4259" s="4"/>
      <c r="E4259" s="4"/>
      <c r="F4259" s="4"/>
      <c r="G4259" s="4"/>
      <c r="H4259" s="4"/>
      <c r="I4259" s="4"/>
      <c r="J4259" s="18"/>
      <c r="K4259" s="4"/>
      <c r="L4259" s="19"/>
      <c r="M4259" s="20"/>
    </row>
    <row r="4260">
      <c r="A4260" s="6"/>
      <c r="B4260" s="6"/>
      <c r="C4260" s="4"/>
      <c r="D4260" s="4"/>
      <c r="E4260" s="4"/>
      <c r="F4260" s="4"/>
      <c r="G4260" s="4"/>
      <c r="H4260" s="4"/>
      <c r="I4260" s="4"/>
      <c r="J4260" s="18"/>
      <c r="K4260" s="4"/>
      <c r="L4260" s="19"/>
      <c r="M4260" s="20"/>
    </row>
    <row r="4261">
      <c r="A4261" s="6"/>
      <c r="B4261" s="6"/>
      <c r="C4261" s="4"/>
      <c r="D4261" s="4"/>
      <c r="E4261" s="4"/>
      <c r="F4261" s="4"/>
      <c r="G4261" s="4"/>
      <c r="H4261" s="4"/>
      <c r="I4261" s="4"/>
      <c r="J4261" s="18"/>
      <c r="K4261" s="4"/>
      <c r="L4261" s="19"/>
      <c r="M4261" s="20"/>
    </row>
    <row r="4262">
      <c r="A4262" s="6"/>
      <c r="B4262" s="6"/>
      <c r="C4262" s="4"/>
      <c r="D4262" s="4"/>
      <c r="E4262" s="4"/>
      <c r="F4262" s="4"/>
      <c r="G4262" s="4"/>
      <c r="H4262" s="4"/>
      <c r="I4262" s="4"/>
      <c r="J4262" s="18"/>
      <c r="K4262" s="4"/>
      <c r="L4262" s="19"/>
      <c r="M4262" s="20"/>
    </row>
    <row r="4263">
      <c r="A4263" s="6"/>
      <c r="B4263" s="6"/>
      <c r="C4263" s="4"/>
      <c r="D4263" s="4"/>
      <c r="E4263" s="4"/>
      <c r="F4263" s="4"/>
      <c r="G4263" s="4"/>
      <c r="H4263" s="4"/>
      <c r="I4263" s="4"/>
      <c r="J4263" s="18"/>
      <c r="K4263" s="4"/>
      <c r="L4263" s="19"/>
      <c r="M4263" s="20"/>
    </row>
    <row r="4264">
      <c r="A4264" s="6"/>
      <c r="B4264" s="6"/>
      <c r="C4264" s="4"/>
      <c r="D4264" s="4"/>
      <c r="E4264" s="4"/>
      <c r="F4264" s="4"/>
      <c r="G4264" s="4"/>
      <c r="H4264" s="4"/>
      <c r="I4264" s="4"/>
      <c r="J4264" s="18"/>
      <c r="K4264" s="4"/>
      <c r="L4264" s="19"/>
      <c r="M4264" s="20"/>
    </row>
    <row r="4265">
      <c r="A4265" s="6"/>
      <c r="B4265" s="6"/>
      <c r="C4265" s="4"/>
      <c r="D4265" s="4"/>
      <c r="E4265" s="4"/>
      <c r="F4265" s="4"/>
      <c r="G4265" s="4"/>
      <c r="H4265" s="4"/>
      <c r="I4265" s="4"/>
      <c r="J4265" s="18"/>
      <c r="K4265" s="4"/>
      <c r="L4265" s="19"/>
      <c r="M4265" s="20"/>
    </row>
    <row r="4266">
      <c r="A4266" s="6"/>
      <c r="B4266" s="6"/>
      <c r="C4266" s="4"/>
      <c r="D4266" s="4"/>
      <c r="E4266" s="4"/>
      <c r="F4266" s="4"/>
      <c r="G4266" s="4"/>
      <c r="H4266" s="4"/>
      <c r="I4266" s="4"/>
      <c r="J4266" s="18"/>
      <c r="K4266" s="4"/>
      <c r="L4266" s="19"/>
      <c r="M4266" s="20"/>
    </row>
    <row r="4267">
      <c r="A4267" s="6"/>
      <c r="B4267" s="6"/>
      <c r="C4267" s="4"/>
      <c r="D4267" s="4"/>
      <c r="E4267" s="4"/>
      <c r="F4267" s="4"/>
      <c r="G4267" s="4"/>
      <c r="H4267" s="4"/>
      <c r="I4267" s="4"/>
      <c r="J4267" s="18"/>
      <c r="K4267" s="4"/>
      <c r="L4267" s="19"/>
      <c r="M4267" s="20"/>
    </row>
    <row r="4268">
      <c r="A4268" s="6"/>
      <c r="B4268" s="6"/>
      <c r="C4268" s="4"/>
      <c r="D4268" s="4"/>
      <c r="E4268" s="4"/>
      <c r="F4268" s="4"/>
      <c r="G4268" s="4"/>
      <c r="H4268" s="4"/>
      <c r="I4268" s="4"/>
      <c r="J4268" s="18"/>
      <c r="K4268" s="4"/>
      <c r="L4268" s="19"/>
      <c r="M4268" s="20"/>
    </row>
    <row r="4269">
      <c r="A4269" s="6"/>
      <c r="B4269" s="6"/>
      <c r="C4269" s="4"/>
      <c r="D4269" s="4"/>
      <c r="E4269" s="4"/>
      <c r="F4269" s="4"/>
      <c r="G4269" s="4"/>
      <c r="H4269" s="4"/>
      <c r="I4269" s="4"/>
      <c r="J4269" s="18"/>
      <c r="K4269" s="4"/>
      <c r="L4269" s="19"/>
      <c r="M4269" s="20"/>
    </row>
    <row r="4270">
      <c r="A4270" s="6"/>
      <c r="B4270" s="6"/>
      <c r="C4270" s="4"/>
      <c r="D4270" s="4"/>
      <c r="E4270" s="4"/>
      <c r="F4270" s="4"/>
      <c r="G4270" s="4"/>
      <c r="H4270" s="4"/>
      <c r="I4270" s="4"/>
      <c r="J4270" s="18"/>
      <c r="K4270" s="4"/>
      <c r="L4270" s="19"/>
      <c r="M4270" s="20"/>
    </row>
    <row r="4271">
      <c r="A4271" s="6"/>
      <c r="B4271" s="6"/>
      <c r="C4271" s="4"/>
      <c r="D4271" s="4"/>
      <c r="E4271" s="4"/>
      <c r="F4271" s="4"/>
      <c r="G4271" s="4"/>
      <c r="H4271" s="4"/>
      <c r="I4271" s="4"/>
      <c r="J4271" s="18"/>
      <c r="K4271" s="4"/>
      <c r="L4271" s="19"/>
      <c r="M4271" s="20"/>
    </row>
    <row r="4272">
      <c r="A4272" s="6"/>
      <c r="B4272" s="6"/>
      <c r="C4272" s="4"/>
      <c r="D4272" s="4"/>
      <c r="E4272" s="4"/>
      <c r="F4272" s="4"/>
      <c r="G4272" s="4"/>
      <c r="H4272" s="4"/>
      <c r="I4272" s="4"/>
      <c r="J4272" s="18"/>
      <c r="K4272" s="4"/>
      <c r="L4272" s="19"/>
      <c r="M4272" s="20"/>
    </row>
    <row r="4273">
      <c r="A4273" s="6"/>
      <c r="B4273" s="6"/>
      <c r="C4273" s="4"/>
      <c r="D4273" s="4"/>
      <c r="E4273" s="4"/>
      <c r="F4273" s="4"/>
      <c r="G4273" s="4"/>
      <c r="H4273" s="4"/>
      <c r="I4273" s="4"/>
      <c r="J4273" s="18"/>
      <c r="K4273" s="4"/>
      <c r="L4273" s="19"/>
      <c r="M4273" s="20"/>
    </row>
    <row r="4274">
      <c r="A4274" s="6"/>
      <c r="B4274" s="6"/>
      <c r="C4274" s="4"/>
      <c r="D4274" s="4"/>
      <c r="E4274" s="4"/>
      <c r="F4274" s="4"/>
      <c r="G4274" s="4"/>
      <c r="H4274" s="4"/>
      <c r="I4274" s="4"/>
      <c r="J4274" s="18"/>
      <c r="K4274" s="4"/>
      <c r="L4274" s="19"/>
      <c r="M4274" s="20"/>
    </row>
    <row r="4275">
      <c r="A4275" s="6"/>
      <c r="B4275" s="6"/>
      <c r="C4275" s="4"/>
      <c r="D4275" s="4"/>
      <c r="E4275" s="4"/>
      <c r="F4275" s="4"/>
      <c r="G4275" s="4"/>
      <c r="H4275" s="4"/>
      <c r="I4275" s="4"/>
      <c r="J4275" s="18"/>
      <c r="K4275" s="4"/>
      <c r="L4275" s="19"/>
      <c r="M4275" s="20"/>
    </row>
    <row r="4276">
      <c r="A4276" s="6"/>
      <c r="B4276" s="6"/>
      <c r="C4276" s="4"/>
      <c r="D4276" s="4"/>
      <c r="E4276" s="4"/>
      <c r="F4276" s="4"/>
      <c r="G4276" s="4"/>
      <c r="H4276" s="4"/>
      <c r="I4276" s="4"/>
      <c r="J4276" s="18"/>
      <c r="K4276" s="4"/>
      <c r="L4276" s="19"/>
      <c r="M4276" s="20"/>
    </row>
    <row r="4277">
      <c r="A4277" s="6"/>
      <c r="B4277" s="6"/>
      <c r="C4277" s="4"/>
      <c r="D4277" s="4"/>
      <c r="E4277" s="4"/>
      <c r="F4277" s="4"/>
      <c r="G4277" s="4"/>
      <c r="H4277" s="4"/>
      <c r="I4277" s="4"/>
      <c r="J4277" s="18"/>
      <c r="K4277" s="4"/>
      <c r="L4277" s="19"/>
      <c r="M4277" s="20"/>
    </row>
    <row r="4278">
      <c r="A4278" s="6"/>
      <c r="B4278" s="6"/>
      <c r="C4278" s="4"/>
      <c r="D4278" s="4"/>
      <c r="E4278" s="4"/>
      <c r="F4278" s="4"/>
      <c r="G4278" s="4"/>
      <c r="H4278" s="4"/>
      <c r="I4278" s="4"/>
      <c r="J4278" s="18"/>
      <c r="K4278" s="4"/>
      <c r="L4278" s="19"/>
      <c r="M4278" s="20"/>
    </row>
    <row r="4279">
      <c r="A4279" s="6"/>
      <c r="B4279" s="6"/>
      <c r="C4279" s="4"/>
      <c r="D4279" s="4"/>
      <c r="E4279" s="4"/>
      <c r="F4279" s="4"/>
      <c r="G4279" s="4"/>
      <c r="H4279" s="4"/>
      <c r="I4279" s="4"/>
      <c r="J4279" s="18"/>
      <c r="K4279" s="4"/>
      <c r="L4279" s="19"/>
      <c r="M4279" s="20"/>
    </row>
    <row r="4280">
      <c r="A4280" s="6"/>
      <c r="B4280" s="6"/>
      <c r="C4280" s="4"/>
      <c r="D4280" s="4"/>
      <c r="E4280" s="4"/>
      <c r="F4280" s="4"/>
      <c r="G4280" s="4"/>
      <c r="H4280" s="4"/>
      <c r="I4280" s="4"/>
      <c r="J4280" s="18"/>
      <c r="K4280" s="4"/>
      <c r="L4280" s="19"/>
      <c r="M4280" s="20"/>
    </row>
    <row r="4281">
      <c r="A4281" s="6"/>
      <c r="B4281" s="6"/>
      <c r="C4281" s="4"/>
      <c r="D4281" s="4"/>
      <c r="E4281" s="4"/>
      <c r="F4281" s="4"/>
      <c r="G4281" s="4"/>
      <c r="H4281" s="4"/>
      <c r="I4281" s="4"/>
      <c r="J4281" s="18"/>
      <c r="K4281" s="4"/>
      <c r="L4281" s="19"/>
      <c r="M4281" s="20"/>
    </row>
    <row r="4282">
      <c r="A4282" s="6"/>
      <c r="B4282" s="6"/>
      <c r="C4282" s="4"/>
      <c r="D4282" s="4"/>
      <c r="E4282" s="4"/>
      <c r="F4282" s="4"/>
      <c r="G4282" s="4"/>
      <c r="H4282" s="4"/>
      <c r="I4282" s="4"/>
      <c r="J4282" s="18"/>
      <c r="K4282" s="4"/>
      <c r="L4282" s="19"/>
      <c r="M4282" s="20"/>
    </row>
    <row r="4283">
      <c r="A4283" s="6"/>
      <c r="B4283" s="6"/>
      <c r="C4283" s="4"/>
      <c r="D4283" s="4"/>
      <c r="E4283" s="4"/>
      <c r="F4283" s="4"/>
      <c r="G4283" s="4"/>
      <c r="H4283" s="4"/>
      <c r="I4283" s="4"/>
      <c r="J4283" s="18"/>
      <c r="K4283" s="4"/>
      <c r="L4283" s="19"/>
      <c r="M4283" s="20"/>
    </row>
    <row r="4284">
      <c r="A4284" s="6"/>
      <c r="B4284" s="6"/>
      <c r="C4284" s="4"/>
      <c r="D4284" s="4"/>
      <c r="E4284" s="4"/>
      <c r="F4284" s="4"/>
      <c r="G4284" s="4"/>
      <c r="H4284" s="4"/>
      <c r="I4284" s="4"/>
      <c r="J4284" s="18"/>
      <c r="K4284" s="4"/>
      <c r="L4284" s="19"/>
      <c r="M4284" s="20"/>
    </row>
    <row r="4285">
      <c r="A4285" s="6"/>
      <c r="B4285" s="6"/>
      <c r="C4285" s="4"/>
      <c r="D4285" s="4"/>
      <c r="E4285" s="4"/>
      <c r="F4285" s="4"/>
      <c r="G4285" s="4"/>
      <c r="H4285" s="4"/>
      <c r="I4285" s="4"/>
      <c r="J4285" s="18"/>
      <c r="K4285" s="4"/>
      <c r="L4285" s="19"/>
      <c r="M4285" s="20"/>
    </row>
    <row r="4286">
      <c r="A4286" s="6"/>
      <c r="B4286" s="6"/>
      <c r="C4286" s="4"/>
      <c r="D4286" s="4"/>
      <c r="E4286" s="4"/>
      <c r="F4286" s="4"/>
      <c r="G4286" s="4"/>
      <c r="H4286" s="4"/>
      <c r="I4286" s="4"/>
      <c r="J4286" s="18"/>
      <c r="K4286" s="4"/>
      <c r="L4286" s="19"/>
      <c r="M4286" s="20"/>
    </row>
    <row r="4287">
      <c r="A4287" s="6"/>
      <c r="B4287" s="6"/>
      <c r="C4287" s="4"/>
      <c r="D4287" s="4"/>
      <c r="E4287" s="4"/>
      <c r="F4287" s="4"/>
      <c r="G4287" s="4"/>
      <c r="H4287" s="4"/>
      <c r="I4287" s="4"/>
      <c r="J4287" s="18"/>
      <c r="K4287" s="4"/>
      <c r="L4287" s="19"/>
      <c r="M4287" s="20"/>
    </row>
    <row r="4288">
      <c r="A4288" s="6"/>
      <c r="B4288" s="6"/>
      <c r="C4288" s="4"/>
      <c r="D4288" s="4"/>
      <c r="E4288" s="4"/>
      <c r="F4288" s="4"/>
      <c r="G4288" s="4"/>
      <c r="H4288" s="4"/>
      <c r="I4288" s="4"/>
      <c r="J4288" s="18"/>
      <c r="K4288" s="4"/>
      <c r="L4288" s="19"/>
      <c r="M4288" s="20"/>
    </row>
    <row r="4289">
      <c r="A4289" s="6"/>
      <c r="B4289" s="6"/>
      <c r="C4289" s="4"/>
      <c r="D4289" s="4"/>
      <c r="E4289" s="4"/>
      <c r="F4289" s="4"/>
      <c r="G4289" s="4"/>
      <c r="H4289" s="4"/>
      <c r="I4289" s="4"/>
      <c r="J4289" s="18"/>
      <c r="K4289" s="4"/>
      <c r="L4289" s="19"/>
      <c r="M4289" s="20"/>
    </row>
    <row r="4290">
      <c r="A4290" s="6"/>
      <c r="B4290" s="6"/>
      <c r="C4290" s="4"/>
      <c r="D4290" s="4"/>
      <c r="E4290" s="4"/>
      <c r="F4290" s="4"/>
      <c r="G4290" s="4"/>
      <c r="H4290" s="4"/>
      <c r="I4290" s="4"/>
      <c r="J4290" s="18"/>
      <c r="K4290" s="4"/>
      <c r="L4290" s="19"/>
      <c r="M4290" s="20"/>
    </row>
    <row r="4291">
      <c r="A4291" s="6"/>
      <c r="B4291" s="6"/>
      <c r="C4291" s="4"/>
      <c r="D4291" s="4"/>
      <c r="E4291" s="4"/>
      <c r="F4291" s="4"/>
      <c r="G4291" s="4"/>
      <c r="H4291" s="4"/>
      <c r="I4291" s="4"/>
      <c r="J4291" s="18"/>
      <c r="K4291" s="4"/>
      <c r="L4291" s="19"/>
      <c r="M4291" s="20"/>
    </row>
    <row r="4292">
      <c r="A4292" s="6"/>
      <c r="B4292" s="6"/>
      <c r="C4292" s="4"/>
      <c r="D4292" s="4"/>
      <c r="E4292" s="4"/>
      <c r="F4292" s="4"/>
      <c r="G4292" s="4"/>
      <c r="H4292" s="4"/>
      <c r="I4292" s="4"/>
      <c r="J4292" s="18"/>
      <c r="K4292" s="4"/>
      <c r="L4292" s="19"/>
      <c r="M4292" s="20"/>
    </row>
    <row r="4293">
      <c r="A4293" s="6"/>
      <c r="B4293" s="6"/>
      <c r="C4293" s="4"/>
      <c r="D4293" s="4"/>
      <c r="E4293" s="4"/>
      <c r="F4293" s="4"/>
      <c r="G4293" s="4"/>
      <c r="H4293" s="4"/>
      <c r="I4293" s="4"/>
      <c r="J4293" s="18"/>
      <c r="K4293" s="4"/>
      <c r="L4293" s="19"/>
      <c r="M4293" s="20"/>
    </row>
    <row r="4294">
      <c r="A4294" s="6"/>
      <c r="B4294" s="6"/>
      <c r="C4294" s="4"/>
      <c r="D4294" s="4"/>
      <c r="E4294" s="4"/>
      <c r="F4294" s="4"/>
      <c r="G4294" s="4"/>
      <c r="H4294" s="4"/>
      <c r="I4294" s="4"/>
      <c r="J4294" s="18"/>
      <c r="K4294" s="4"/>
      <c r="L4294" s="19"/>
      <c r="M4294" s="20"/>
    </row>
    <row r="4295">
      <c r="A4295" s="6"/>
      <c r="B4295" s="6"/>
      <c r="C4295" s="4"/>
      <c r="D4295" s="4"/>
      <c r="E4295" s="4"/>
      <c r="F4295" s="4"/>
      <c r="G4295" s="4"/>
      <c r="H4295" s="4"/>
      <c r="I4295" s="4"/>
      <c r="J4295" s="18"/>
      <c r="K4295" s="4"/>
      <c r="L4295" s="19"/>
      <c r="M4295" s="20"/>
    </row>
    <row r="4296">
      <c r="A4296" s="6"/>
      <c r="B4296" s="6"/>
      <c r="C4296" s="4"/>
      <c r="D4296" s="4"/>
      <c r="E4296" s="4"/>
      <c r="F4296" s="4"/>
      <c r="G4296" s="4"/>
      <c r="H4296" s="4"/>
      <c r="I4296" s="4"/>
      <c r="J4296" s="18"/>
      <c r="K4296" s="4"/>
      <c r="L4296" s="19"/>
      <c r="M4296" s="20"/>
    </row>
    <row r="4297">
      <c r="A4297" s="6"/>
      <c r="B4297" s="6"/>
      <c r="C4297" s="4"/>
      <c r="D4297" s="4"/>
      <c r="E4297" s="4"/>
      <c r="F4297" s="4"/>
      <c r="G4297" s="4"/>
      <c r="H4297" s="4"/>
      <c r="I4297" s="4"/>
      <c r="J4297" s="18"/>
      <c r="K4297" s="4"/>
      <c r="L4297" s="19"/>
      <c r="M4297" s="20"/>
    </row>
    <row r="4298">
      <c r="A4298" s="6"/>
      <c r="B4298" s="6"/>
      <c r="C4298" s="4"/>
      <c r="D4298" s="4"/>
      <c r="E4298" s="4"/>
      <c r="F4298" s="4"/>
      <c r="G4298" s="4"/>
      <c r="H4298" s="4"/>
      <c r="I4298" s="4"/>
      <c r="J4298" s="18"/>
      <c r="K4298" s="4"/>
      <c r="L4298" s="19"/>
      <c r="M4298" s="20"/>
    </row>
    <row r="4299">
      <c r="A4299" s="6"/>
      <c r="B4299" s="6"/>
      <c r="C4299" s="4"/>
      <c r="D4299" s="4"/>
      <c r="E4299" s="4"/>
      <c r="F4299" s="4"/>
      <c r="G4299" s="4"/>
      <c r="H4299" s="4"/>
      <c r="I4299" s="4"/>
      <c r="J4299" s="18"/>
      <c r="K4299" s="4"/>
      <c r="L4299" s="19"/>
      <c r="M4299" s="20"/>
    </row>
    <row r="4300">
      <c r="A4300" s="6"/>
      <c r="B4300" s="6"/>
      <c r="C4300" s="4"/>
      <c r="D4300" s="4"/>
      <c r="E4300" s="4"/>
      <c r="F4300" s="4"/>
      <c r="G4300" s="4"/>
      <c r="H4300" s="4"/>
      <c r="I4300" s="4"/>
      <c r="J4300" s="18"/>
      <c r="K4300" s="4"/>
      <c r="L4300" s="19"/>
      <c r="M4300" s="20"/>
    </row>
    <row r="4301">
      <c r="A4301" s="6"/>
      <c r="B4301" s="6"/>
      <c r="C4301" s="4"/>
      <c r="D4301" s="4"/>
      <c r="E4301" s="4"/>
      <c r="F4301" s="4"/>
      <c r="G4301" s="4"/>
      <c r="H4301" s="4"/>
      <c r="I4301" s="4"/>
      <c r="J4301" s="18"/>
      <c r="K4301" s="4"/>
      <c r="L4301" s="19"/>
      <c r="M4301" s="20"/>
    </row>
    <row r="4302">
      <c r="A4302" s="6"/>
      <c r="B4302" s="6"/>
      <c r="C4302" s="4"/>
      <c r="D4302" s="4"/>
      <c r="E4302" s="4"/>
      <c r="F4302" s="4"/>
      <c r="G4302" s="4"/>
      <c r="H4302" s="4"/>
      <c r="I4302" s="4"/>
      <c r="J4302" s="18"/>
      <c r="K4302" s="4"/>
      <c r="L4302" s="19"/>
      <c r="M4302" s="20"/>
    </row>
    <row r="4303">
      <c r="A4303" s="6"/>
      <c r="B4303" s="6"/>
      <c r="C4303" s="4"/>
      <c r="D4303" s="4"/>
      <c r="E4303" s="4"/>
      <c r="F4303" s="4"/>
      <c r="G4303" s="4"/>
      <c r="H4303" s="4"/>
      <c r="I4303" s="4"/>
      <c r="J4303" s="18"/>
      <c r="K4303" s="4"/>
      <c r="L4303" s="19"/>
      <c r="M4303" s="20"/>
    </row>
    <row r="4304">
      <c r="A4304" s="6"/>
      <c r="B4304" s="6"/>
      <c r="C4304" s="4"/>
      <c r="D4304" s="4"/>
      <c r="E4304" s="4"/>
      <c r="F4304" s="4"/>
      <c r="G4304" s="4"/>
      <c r="H4304" s="4"/>
      <c r="I4304" s="4"/>
      <c r="J4304" s="18"/>
      <c r="K4304" s="4"/>
      <c r="L4304" s="19"/>
      <c r="M4304" s="20"/>
    </row>
    <row r="4305">
      <c r="A4305" s="6"/>
      <c r="B4305" s="6"/>
      <c r="C4305" s="4"/>
      <c r="D4305" s="4"/>
      <c r="E4305" s="4"/>
      <c r="F4305" s="4"/>
      <c r="G4305" s="4"/>
      <c r="H4305" s="4"/>
      <c r="I4305" s="4"/>
      <c r="J4305" s="18"/>
      <c r="K4305" s="4"/>
      <c r="L4305" s="19"/>
      <c r="M4305" s="20"/>
    </row>
    <row r="4306">
      <c r="A4306" s="6"/>
      <c r="B4306" s="6"/>
      <c r="C4306" s="4"/>
      <c r="D4306" s="4"/>
      <c r="E4306" s="4"/>
      <c r="F4306" s="4"/>
      <c r="G4306" s="4"/>
      <c r="H4306" s="4"/>
      <c r="I4306" s="4"/>
      <c r="J4306" s="18"/>
      <c r="K4306" s="4"/>
      <c r="L4306" s="19"/>
      <c r="M4306" s="20"/>
    </row>
    <row r="4307">
      <c r="A4307" s="6"/>
      <c r="B4307" s="6"/>
      <c r="C4307" s="4"/>
      <c r="D4307" s="4"/>
      <c r="E4307" s="4"/>
      <c r="F4307" s="4"/>
      <c r="G4307" s="4"/>
      <c r="H4307" s="4"/>
      <c r="I4307" s="4"/>
      <c r="J4307" s="18"/>
      <c r="K4307" s="4"/>
      <c r="L4307" s="19"/>
      <c r="M4307" s="20"/>
    </row>
    <row r="4308">
      <c r="A4308" s="6"/>
      <c r="B4308" s="6"/>
      <c r="C4308" s="4"/>
      <c r="D4308" s="4"/>
      <c r="E4308" s="4"/>
      <c r="F4308" s="4"/>
      <c r="G4308" s="4"/>
      <c r="H4308" s="4"/>
      <c r="I4308" s="4"/>
      <c r="J4308" s="18"/>
      <c r="K4308" s="4"/>
      <c r="L4308" s="19"/>
      <c r="M4308" s="20"/>
    </row>
    <row r="4309">
      <c r="A4309" s="6"/>
      <c r="B4309" s="6"/>
      <c r="C4309" s="4"/>
      <c r="D4309" s="4"/>
      <c r="E4309" s="4"/>
      <c r="F4309" s="4"/>
      <c r="G4309" s="4"/>
      <c r="H4309" s="4"/>
      <c r="I4309" s="4"/>
      <c r="J4309" s="18"/>
      <c r="K4309" s="4"/>
      <c r="L4309" s="19"/>
      <c r="M4309" s="20"/>
    </row>
    <row r="4310">
      <c r="A4310" s="6"/>
      <c r="B4310" s="6"/>
      <c r="C4310" s="4"/>
      <c r="D4310" s="4"/>
      <c r="E4310" s="4"/>
      <c r="F4310" s="4"/>
      <c r="G4310" s="4"/>
      <c r="H4310" s="4"/>
      <c r="I4310" s="4"/>
      <c r="J4310" s="18"/>
      <c r="K4310" s="4"/>
      <c r="L4310" s="19"/>
      <c r="M4310" s="20"/>
    </row>
    <row r="4311">
      <c r="A4311" s="6"/>
      <c r="B4311" s="6"/>
      <c r="C4311" s="4"/>
      <c r="D4311" s="4"/>
      <c r="E4311" s="4"/>
      <c r="F4311" s="4"/>
      <c r="G4311" s="4"/>
      <c r="H4311" s="4"/>
      <c r="I4311" s="4"/>
      <c r="J4311" s="18"/>
      <c r="K4311" s="4"/>
      <c r="L4311" s="19"/>
      <c r="M4311" s="20"/>
    </row>
    <row r="4312">
      <c r="A4312" s="6"/>
      <c r="B4312" s="6"/>
      <c r="C4312" s="4"/>
      <c r="D4312" s="4"/>
      <c r="E4312" s="4"/>
      <c r="F4312" s="4"/>
      <c r="G4312" s="4"/>
      <c r="H4312" s="4"/>
      <c r="I4312" s="4"/>
      <c r="J4312" s="18"/>
      <c r="K4312" s="4"/>
      <c r="L4312" s="19"/>
      <c r="M4312" s="20"/>
    </row>
    <row r="4313">
      <c r="A4313" s="6"/>
      <c r="B4313" s="6"/>
      <c r="C4313" s="4"/>
      <c r="D4313" s="4"/>
      <c r="E4313" s="4"/>
      <c r="F4313" s="4"/>
      <c r="G4313" s="4"/>
      <c r="H4313" s="4"/>
      <c r="I4313" s="4"/>
      <c r="J4313" s="18"/>
      <c r="K4313" s="4"/>
      <c r="L4313" s="19"/>
      <c r="M4313" s="20"/>
    </row>
    <row r="4314">
      <c r="A4314" s="6"/>
      <c r="B4314" s="6"/>
      <c r="C4314" s="4"/>
      <c r="D4314" s="4"/>
      <c r="E4314" s="4"/>
      <c r="F4314" s="4"/>
      <c r="G4314" s="4"/>
      <c r="H4314" s="4"/>
      <c r="I4314" s="4"/>
      <c r="J4314" s="18"/>
      <c r="K4314" s="4"/>
      <c r="L4314" s="19"/>
      <c r="M4314" s="20"/>
    </row>
    <row r="4315">
      <c r="A4315" s="6"/>
      <c r="B4315" s="6"/>
      <c r="C4315" s="4"/>
      <c r="D4315" s="4"/>
      <c r="E4315" s="4"/>
      <c r="F4315" s="4"/>
      <c r="G4315" s="4"/>
      <c r="H4315" s="4"/>
      <c r="I4315" s="4"/>
      <c r="J4315" s="18"/>
      <c r="K4315" s="4"/>
      <c r="L4315" s="19"/>
      <c r="M4315" s="20"/>
    </row>
    <row r="4316">
      <c r="A4316" s="6"/>
      <c r="B4316" s="6"/>
      <c r="C4316" s="4"/>
      <c r="D4316" s="4"/>
      <c r="E4316" s="4"/>
      <c r="F4316" s="4"/>
      <c r="G4316" s="4"/>
      <c r="H4316" s="4"/>
      <c r="I4316" s="4"/>
      <c r="J4316" s="18"/>
      <c r="K4316" s="4"/>
      <c r="L4316" s="19"/>
      <c r="M4316" s="20"/>
    </row>
    <row r="4317">
      <c r="A4317" s="6"/>
      <c r="B4317" s="6"/>
      <c r="C4317" s="4"/>
      <c r="D4317" s="4"/>
      <c r="E4317" s="4"/>
      <c r="F4317" s="4"/>
      <c r="G4317" s="4"/>
      <c r="H4317" s="4"/>
      <c r="I4317" s="4"/>
      <c r="J4317" s="18"/>
      <c r="K4317" s="4"/>
      <c r="L4317" s="19"/>
      <c r="M4317" s="20"/>
    </row>
    <row r="4318">
      <c r="A4318" s="6"/>
      <c r="B4318" s="6"/>
      <c r="C4318" s="4"/>
      <c r="D4318" s="4"/>
      <c r="E4318" s="4"/>
      <c r="F4318" s="4"/>
      <c r="G4318" s="4"/>
      <c r="H4318" s="4"/>
      <c r="I4318" s="4"/>
      <c r="J4318" s="18"/>
      <c r="K4318" s="4"/>
      <c r="L4318" s="19"/>
      <c r="M4318" s="20"/>
    </row>
    <row r="4319">
      <c r="A4319" s="6"/>
      <c r="B4319" s="6"/>
      <c r="C4319" s="4"/>
      <c r="D4319" s="4"/>
      <c r="E4319" s="4"/>
      <c r="F4319" s="4"/>
      <c r="G4319" s="4"/>
      <c r="H4319" s="4"/>
      <c r="I4319" s="4"/>
      <c r="J4319" s="18"/>
      <c r="K4319" s="4"/>
      <c r="L4319" s="19"/>
      <c r="M4319" s="20"/>
    </row>
    <row r="4320">
      <c r="A4320" s="6"/>
      <c r="B4320" s="6"/>
      <c r="C4320" s="4"/>
      <c r="D4320" s="4"/>
      <c r="E4320" s="4"/>
      <c r="F4320" s="4"/>
      <c r="G4320" s="4"/>
      <c r="H4320" s="4"/>
      <c r="I4320" s="4"/>
      <c r="J4320" s="18"/>
      <c r="K4320" s="4"/>
      <c r="L4320" s="19"/>
      <c r="M4320" s="20"/>
    </row>
    <row r="4321">
      <c r="A4321" s="6"/>
      <c r="B4321" s="6"/>
      <c r="C4321" s="4"/>
      <c r="D4321" s="4"/>
      <c r="E4321" s="4"/>
      <c r="F4321" s="4"/>
      <c r="G4321" s="4"/>
      <c r="H4321" s="4"/>
      <c r="I4321" s="4"/>
      <c r="J4321" s="18"/>
      <c r="K4321" s="4"/>
      <c r="L4321" s="19"/>
      <c r="M4321" s="20"/>
    </row>
    <row r="4322">
      <c r="A4322" s="6"/>
      <c r="B4322" s="6"/>
      <c r="C4322" s="4"/>
      <c r="D4322" s="4"/>
      <c r="E4322" s="4"/>
      <c r="F4322" s="4"/>
      <c r="G4322" s="4"/>
      <c r="H4322" s="4"/>
      <c r="I4322" s="4"/>
      <c r="J4322" s="18"/>
      <c r="K4322" s="4"/>
      <c r="L4322" s="19"/>
      <c r="M4322" s="20"/>
    </row>
    <row r="4323">
      <c r="A4323" s="6"/>
      <c r="B4323" s="6"/>
      <c r="C4323" s="4"/>
      <c r="D4323" s="4"/>
      <c r="E4323" s="4"/>
      <c r="F4323" s="4"/>
      <c r="G4323" s="4"/>
      <c r="H4323" s="4"/>
      <c r="I4323" s="4"/>
      <c r="J4323" s="18"/>
      <c r="K4323" s="4"/>
      <c r="L4323" s="19"/>
      <c r="M4323" s="20"/>
    </row>
    <row r="4324">
      <c r="A4324" s="6"/>
      <c r="B4324" s="6"/>
      <c r="C4324" s="4"/>
      <c r="D4324" s="4"/>
      <c r="E4324" s="4"/>
      <c r="F4324" s="4"/>
      <c r="G4324" s="4"/>
      <c r="H4324" s="4"/>
      <c r="I4324" s="4"/>
      <c r="J4324" s="18"/>
      <c r="K4324" s="4"/>
      <c r="L4324" s="19"/>
      <c r="M4324" s="20"/>
    </row>
    <row r="4325">
      <c r="A4325" s="6"/>
      <c r="B4325" s="6"/>
      <c r="C4325" s="4"/>
      <c r="D4325" s="4"/>
      <c r="E4325" s="4"/>
      <c r="F4325" s="4"/>
      <c r="G4325" s="4"/>
      <c r="H4325" s="4"/>
      <c r="I4325" s="4"/>
      <c r="J4325" s="18"/>
      <c r="K4325" s="4"/>
      <c r="L4325" s="19"/>
      <c r="M4325" s="20"/>
    </row>
    <row r="4326">
      <c r="A4326" s="6"/>
      <c r="B4326" s="6"/>
      <c r="C4326" s="4"/>
      <c r="D4326" s="4"/>
      <c r="E4326" s="4"/>
      <c r="F4326" s="4"/>
      <c r="G4326" s="4"/>
      <c r="H4326" s="4"/>
      <c r="I4326" s="4"/>
      <c r="J4326" s="18"/>
      <c r="K4326" s="4"/>
      <c r="L4326" s="19"/>
      <c r="M4326" s="20"/>
    </row>
    <row r="4327">
      <c r="A4327" s="6"/>
      <c r="B4327" s="6"/>
      <c r="C4327" s="4"/>
      <c r="D4327" s="4"/>
      <c r="E4327" s="4"/>
      <c r="F4327" s="4"/>
      <c r="G4327" s="4"/>
      <c r="H4327" s="4"/>
      <c r="I4327" s="4"/>
      <c r="J4327" s="18"/>
      <c r="K4327" s="4"/>
      <c r="L4327" s="19"/>
      <c r="M4327" s="20"/>
    </row>
    <row r="4328">
      <c r="A4328" s="6"/>
      <c r="B4328" s="6"/>
      <c r="C4328" s="4"/>
      <c r="D4328" s="4"/>
      <c r="E4328" s="4"/>
      <c r="F4328" s="4"/>
      <c r="G4328" s="4"/>
      <c r="H4328" s="4"/>
      <c r="I4328" s="4"/>
      <c r="J4328" s="18"/>
      <c r="K4328" s="4"/>
      <c r="L4328" s="19"/>
      <c r="M4328" s="20"/>
    </row>
    <row r="4329">
      <c r="A4329" s="6"/>
      <c r="B4329" s="6"/>
      <c r="C4329" s="4"/>
      <c r="D4329" s="4"/>
      <c r="E4329" s="4"/>
      <c r="F4329" s="4"/>
      <c r="G4329" s="4"/>
      <c r="H4329" s="4"/>
      <c r="I4329" s="4"/>
      <c r="J4329" s="18"/>
      <c r="K4329" s="4"/>
      <c r="L4329" s="19"/>
      <c r="M4329" s="20"/>
    </row>
    <row r="4330">
      <c r="A4330" s="6"/>
      <c r="B4330" s="6"/>
      <c r="C4330" s="4"/>
      <c r="D4330" s="4"/>
      <c r="E4330" s="4"/>
      <c r="F4330" s="4"/>
      <c r="G4330" s="4"/>
      <c r="H4330" s="4"/>
      <c r="I4330" s="4"/>
      <c r="J4330" s="18"/>
      <c r="K4330" s="4"/>
      <c r="L4330" s="19"/>
      <c r="M4330" s="20"/>
    </row>
    <row r="4331">
      <c r="A4331" s="6"/>
      <c r="B4331" s="6"/>
      <c r="C4331" s="4"/>
      <c r="D4331" s="4"/>
      <c r="E4331" s="4"/>
      <c r="F4331" s="4"/>
      <c r="G4331" s="4"/>
      <c r="H4331" s="4"/>
      <c r="I4331" s="4"/>
      <c r="J4331" s="18"/>
      <c r="K4331" s="4"/>
      <c r="L4331" s="19"/>
      <c r="M4331" s="20"/>
    </row>
    <row r="4332">
      <c r="A4332" s="6"/>
      <c r="B4332" s="6"/>
      <c r="C4332" s="4"/>
      <c r="D4332" s="4"/>
      <c r="E4332" s="4"/>
      <c r="F4332" s="4"/>
      <c r="G4332" s="4"/>
      <c r="H4332" s="4"/>
      <c r="I4332" s="4"/>
      <c r="J4332" s="18"/>
      <c r="K4332" s="4"/>
      <c r="L4332" s="19"/>
      <c r="M4332" s="20"/>
    </row>
    <row r="4333">
      <c r="A4333" s="6"/>
      <c r="B4333" s="6"/>
      <c r="C4333" s="4"/>
      <c r="D4333" s="4"/>
      <c r="E4333" s="4"/>
      <c r="F4333" s="4"/>
      <c r="G4333" s="4"/>
      <c r="H4333" s="4"/>
      <c r="I4333" s="4"/>
      <c r="J4333" s="18"/>
      <c r="K4333" s="4"/>
      <c r="L4333" s="19"/>
      <c r="M4333" s="20"/>
    </row>
    <row r="4334">
      <c r="A4334" s="6"/>
      <c r="B4334" s="6"/>
      <c r="C4334" s="4"/>
      <c r="D4334" s="4"/>
      <c r="E4334" s="4"/>
      <c r="F4334" s="4"/>
      <c r="G4334" s="4"/>
      <c r="H4334" s="4"/>
      <c r="I4334" s="4"/>
      <c r="J4334" s="18"/>
      <c r="K4334" s="4"/>
      <c r="L4334" s="19"/>
      <c r="M4334" s="20"/>
    </row>
    <row r="4335">
      <c r="A4335" s="6"/>
      <c r="B4335" s="6"/>
      <c r="C4335" s="4"/>
      <c r="D4335" s="4"/>
      <c r="E4335" s="4"/>
      <c r="F4335" s="4"/>
      <c r="G4335" s="4"/>
      <c r="H4335" s="4"/>
      <c r="I4335" s="4"/>
      <c r="J4335" s="18"/>
      <c r="K4335" s="4"/>
      <c r="L4335" s="19"/>
      <c r="M4335" s="20"/>
    </row>
    <row r="4336">
      <c r="A4336" s="6"/>
      <c r="B4336" s="6"/>
      <c r="C4336" s="4"/>
      <c r="D4336" s="4"/>
      <c r="E4336" s="4"/>
      <c r="F4336" s="4"/>
      <c r="G4336" s="4"/>
      <c r="H4336" s="4"/>
      <c r="I4336" s="4"/>
      <c r="J4336" s="18"/>
      <c r="K4336" s="4"/>
      <c r="L4336" s="19"/>
      <c r="M4336" s="20"/>
    </row>
    <row r="4337">
      <c r="A4337" s="6"/>
      <c r="B4337" s="6"/>
      <c r="C4337" s="4"/>
      <c r="D4337" s="4"/>
      <c r="E4337" s="4"/>
      <c r="F4337" s="4"/>
      <c r="G4337" s="4"/>
      <c r="H4337" s="4"/>
      <c r="I4337" s="4"/>
      <c r="J4337" s="18"/>
      <c r="K4337" s="4"/>
      <c r="L4337" s="19"/>
      <c r="M4337" s="20"/>
    </row>
    <row r="4338">
      <c r="A4338" s="6"/>
      <c r="B4338" s="6"/>
      <c r="C4338" s="4"/>
      <c r="D4338" s="4"/>
      <c r="E4338" s="4"/>
      <c r="F4338" s="4"/>
      <c r="G4338" s="4"/>
      <c r="H4338" s="4"/>
      <c r="I4338" s="4"/>
      <c r="J4338" s="18"/>
      <c r="K4338" s="4"/>
      <c r="L4338" s="19"/>
      <c r="M4338" s="20"/>
    </row>
    <row r="4339">
      <c r="A4339" s="6"/>
      <c r="B4339" s="6"/>
      <c r="C4339" s="4"/>
      <c r="D4339" s="4"/>
      <c r="E4339" s="4"/>
      <c r="F4339" s="4"/>
      <c r="G4339" s="4"/>
      <c r="H4339" s="4"/>
      <c r="I4339" s="4"/>
      <c r="J4339" s="18"/>
      <c r="K4339" s="4"/>
      <c r="L4339" s="19"/>
      <c r="M4339" s="20"/>
    </row>
    <row r="4340">
      <c r="A4340" s="6"/>
      <c r="B4340" s="6"/>
      <c r="C4340" s="4"/>
      <c r="D4340" s="4"/>
      <c r="E4340" s="4"/>
      <c r="F4340" s="4"/>
      <c r="G4340" s="4"/>
      <c r="H4340" s="4"/>
      <c r="I4340" s="4"/>
      <c r="J4340" s="18"/>
      <c r="K4340" s="4"/>
      <c r="L4340" s="19"/>
      <c r="M4340" s="20"/>
    </row>
    <row r="4341">
      <c r="A4341" s="6"/>
      <c r="B4341" s="6"/>
      <c r="C4341" s="4"/>
      <c r="D4341" s="4"/>
      <c r="E4341" s="4"/>
      <c r="F4341" s="4"/>
      <c r="G4341" s="4"/>
      <c r="H4341" s="4"/>
      <c r="I4341" s="4"/>
      <c r="J4341" s="18"/>
      <c r="K4341" s="4"/>
      <c r="L4341" s="19"/>
      <c r="M4341" s="20"/>
    </row>
    <row r="4342">
      <c r="A4342" s="6"/>
      <c r="B4342" s="6"/>
      <c r="C4342" s="4"/>
      <c r="D4342" s="4"/>
      <c r="E4342" s="4"/>
      <c r="F4342" s="4"/>
      <c r="G4342" s="4"/>
      <c r="H4342" s="4"/>
      <c r="I4342" s="4"/>
      <c r="J4342" s="18"/>
      <c r="K4342" s="4"/>
      <c r="L4342" s="19"/>
      <c r="M4342" s="20"/>
    </row>
    <row r="4343">
      <c r="A4343" s="6"/>
      <c r="B4343" s="6"/>
      <c r="C4343" s="4"/>
      <c r="D4343" s="4"/>
      <c r="E4343" s="4"/>
      <c r="F4343" s="4"/>
      <c r="G4343" s="4"/>
      <c r="H4343" s="4"/>
      <c r="I4343" s="4"/>
      <c r="J4343" s="18"/>
      <c r="K4343" s="4"/>
      <c r="L4343" s="19"/>
      <c r="M4343" s="20"/>
    </row>
    <row r="4344">
      <c r="A4344" s="6"/>
      <c r="B4344" s="6"/>
      <c r="C4344" s="4"/>
      <c r="D4344" s="4"/>
      <c r="E4344" s="4"/>
      <c r="F4344" s="4"/>
      <c r="G4344" s="4"/>
      <c r="H4344" s="4"/>
      <c r="I4344" s="4"/>
      <c r="J4344" s="18"/>
      <c r="K4344" s="4"/>
      <c r="L4344" s="19"/>
      <c r="M4344" s="20"/>
    </row>
    <row r="4345">
      <c r="A4345" s="6"/>
      <c r="B4345" s="6"/>
      <c r="C4345" s="4"/>
      <c r="D4345" s="4"/>
      <c r="E4345" s="4"/>
      <c r="F4345" s="4"/>
      <c r="G4345" s="4"/>
      <c r="H4345" s="4"/>
      <c r="I4345" s="4"/>
      <c r="J4345" s="18"/>
      <c r="K4345" s="4"/>
      <c r="L4345" s="19"/>
      <c r="M4345" s="20"/>
    </row>
    <row r="4346">
      <c r="A4346" s="6"/>
      <c r="B4346" s="6"/>
      <c r="C4346" s="4"/>
      <c r="D4346" s="4"/>
      <c r="E4346" s="4"/>
      <c r="F4346" s="4"/>
      <c r="G4346" s="4"/>
      <c r="H4346" s="4"/>
      <c r="I4346" s="4"/>
      <c r="J4346" s="18"/>
      <c r="K4346" s="4"/>
      <c r="L4346" s="19"/>
      <c r="M4346" s="20"/>
    </row>
    <row r="4347">
      <c r="A4347" s="6"/>
      <c r="B4347" s="6"/>
      <c r="C4347" s="4"/>
      <c r="D4347" s="4"/>
      <c r="E4347" s="4"/>
      <c r="F4347" s="4"/>
      <c r="G4347" s="4"/>
      <c r="H4347" s="4"/>
      <c r="I4347" s="4"/>
      <c r="J4347" s="18"/>
      <c r="K4347" s="4"/>
      <c r="L4347" s="19"/>
      <c r="M4347" s="20"/>
    </row>
    <row r="4348">
      <c r="A4348" s="6"/>
      <c r="B4348" s="6"/>
      <c r="C4348" s="4"/>
      <c r="D4348" s="4"/>
      <c r="E4348" s="4"/>
      <c r="F4348" s="4"/>
      <c r="G4348" s="4"/>
      <c r="H4348" s="4"/>
      <c r="I4348" s="4"/>
      <c r="J4348" s="18"/>
      <c r="K4348" s="4"/>
      <c r="L4348" s="19"/>
      <c r="M4348" s="20"/>
    </row>
    <row r="4349">
      <c r="A4349" s="6"/>
      <c r="B4349" s="6"/>
      <c r="C4349" s="4"/>
      <c r="D4349" s="4"/>
      <c r="E4349" s="4"/>
      <c r="F4349" s="4"/>
      <c r="G4349" s="4"/>
      <c r="H4349" s="4"/>
      <c r="I4349" s="4"/>
      <c r="J4349" s="18"/>
      <c r="K4349" s="4"/>
      <c r="L4349" s="19"/>
      <c r="M4349" s="20"/>
    </row>
    <row r="4350">
      <c r="A4350" s="6"/>
      <c r="B4350" s="6"/>
      <c r="C4350" s="4"/>
      <c r="D4350" s="4"/>
      <c r="E4350" s="4"/>
      <c r="F4350" s="4"/>
      <c r="G4350" s="4"/>
      <c r="H4350" s="4"/>
      <c r="I4350" s="4"/>
      <c r="J4350" s="18"/>
      <c r="K4350" s="4"/>
      <c r="L4350" s="19"/>
      <c r="M4350" s="20"/>
    </row>
    <row r="4351">
      <c r="A4351" s="6"/>
      <c r="B4351" s="6"/>
      <c r="C4351" s="4"/>
      <c r="D4351" s="4"/>
      <c r="E4351" s="4"/>
      <c r="F4351" s="4"/>
      <c r="G4351" s="4"/>
      <c r="H4351" s="4"/>
      <c r="I4351" s="4"/>
      <c r="J4351" s="18"/>
      <c r="K4351" s="4"/>
      <c r="L4351" s="19"/>
      <c r="M4351" s="20"/>
    </row>
    <row r="4352">
      <c r="A4352" s="6"/>
      <c r="B4352" s="6"/>
      <c r="C4352" s="4"/>
      <c r="D4352" s="4"/>
      <c r="E4352" s="4"/>
      <c r="F4352" s="4"/>
      <c r="G4352" s="4"/>
      <c r="H4352" s="4"/>
      <c r="I4352" s="4"/>
      <c r="J4352" s="18"/>
      <c r="K4352" s="4"/>
      <c r="L4352" s="19"/>
      <c r="M4352" s="20"/>
    </row>
    <row r="4353">
      <c r="A4353" s="6"/>
      <c r="B4353" s="6"/>
      <c r="C4353" s="4"/>
      <c r="D4353" s="4"/>
      <c r="E4353" s="4"/>
      <c r="F4353" s="4"/>
      <c r="G4353" s="4"/>
      <c r="H4353" s="4"/>
      <c r="I4353" s="4"/>
      <c r="J4353" s="18"/>
      <c r="K4353" s="4"/>
      <c r="L4353" s="19"/>
      <c r="M4353" s="20"/>
    </row>
    <row r="4354">
      <c r="A4354" s="6"/>
      <c r="B4354" s="6"/>
      <c r="C4354" s="4"/>
      <c r="D4354" s="4"/>
      <c r="E4354" s="4"/>
      <c r="F4354" s="4"/>
      <c r="G4354" s="4"/>
      <c r="H4354" s="4"/>
      <c r="I4354" s="4"/>
      <c r="J4354" s="18"/>
      <c r="K4354" s="4"/>
      <c r="L4354" s="19"/>
      <c r="M4354" s="20"/>
    </row>
    <row r="4355">
      <c r="A4355" s="6"/>
      <c r="B4355" s="6"/>
      <c r="C4355" s="4"/>
      <c r="D4355" s="4"/>
      <c r="E4355" s="4"/>
      <c r="F4355" s="4"/>
      <c r="G4355" s="4"/>
      <c r="H4355" s="4"/>
      <c r="I4355" s="4"/>
      <c r="J4355" s="18"/>
      <c r="K4355" s="4"/>
      <c r="L4355" s="19"/>
      <c r="M4355" s="20"/>
    </row>
    <row r="4356">
      <c r="A4356" s="6"/>
      <c r="B4356" s="6"/>
      <c r="C4356" s="4"/>
      <c r="D4356" s="4"/>
      <c r="E4356" s="4"/>
      <c r="F4356" s="4"/>
      <c r="G4356" s="4"/>
      <c r="H4356" s="4"/>
      <c r="I4356" s="4"/>
      <c r="J4356" s="18"/>
      <c r="K4356" s="4"/>
      <c r="L4356" s="19"/>
      <c r="M4356" s="20"/>
    </row>
    <row r="4357">
      <c r="A4357" s="6"/>
      <c r="B4357" s="6"/>
      <c r="C4357" s="4"/>
      <c r="D4357" s="4"/>
      <c r="E4357" s="4"/>
      <c r="F4357" s="4"/>
      <c r="G4357" s="4"/>
      <c r="H4357" s="4"/>
      <c r="I4357" s="4"/>
      <c r="J4357" s="18"/>
      <c r="K4357" s="4"/>
      <c r="L4357" s="19"/>
      <c r="M4357" s="20"/>
    </row>
    <row r="4358">
      <c r="A4358" s="6"/>
      <c r="B4358" s="6"/>
      <c r="C4358" s="4"/>
      <c r="D4358" s="4"/>
      <c r="E4358" s="4"/>
      <c r="F4358" s="4"/>
      <c r="G4358" s="4"/>
      <c r="H4358" s="4"/>
      <c r="I4358" s="4"/>
      <c r="J4358" s="18"/>
      <c r="K4358" s="4"/>
      <c r="L4358" s="19"/>
      <c r="M4358" s="20"/>
    </row>
    <row r="4359">
      <c r="A4359" s="6"/>
      <c r="B4359" s="6"/>
      <c r="C4359" s="4"/>
      <c r="D4359" s="4"/>
      <c r="E4359" s="4"/>
      <c r="F4359" s="4"/>
      <c r="G4359" s="4"/>
      <c r="H4359" s="4"/>
      <c r="I4359" s="4"/>
      <c r="J4359" s="18"/>
      <c r="K4359" s="4"/>
      <c r="L4359" s="19"/>
      <c r="M4359" s="20"/>
    </row>
    <row r="4360">
      <c r="A4360" s="6"/>
      <c r="B4360" s="6"/>
      <c r="C4360" s="4"/>
      <c r="D4360" s="4"/>
      <c r="E4360" s="4"/>
      <c r="F4360" s="4"/>
      <c r="G4360" s="4"/>
      <c r="H4360" s="4"/>
      <c r="I4360" s="4"/>
      <c r="J4360" s="18"/>
      <c r="K4360" s="4"/>
      <c r="L4360" s="19"/>
      <c r="M4360" s="20"/>
    </row>
    <row r="4361">
      <c r="A4361" s="6"/>
      <c r="B4361" s="6"/>
      <c r="C4361" s="4"/>
      <c r="D4361" s="4"/>
      <c r="E4361" s="4"/>
      <c r="F4361" s="4"/>
      <c r="G4361" s="4"/>
      <c r="H4361" s="4"/>
      <c r="I4361" s="4"/>
      <c r="J4361" s="18"/>
      <c r="K4361" s="4"/>
      <c r="L4361" s="19"/>
      <c r="M4361" s="20"/>
    </row>
    <row r="4362">
      <c r="A4362" s="6"/>
      <c r="B4362" s="6"/>
      <c r="C4362" s="4"/>
      <c r="D4362" s="4"/>
      <c r="E4362" s="4"/>
      <c r="F4362" s="4"/>
      <c r="G4362" s="4"/>
      <c r="H4362" s="4"/>
      <c r="I4362" s="4"/>
      <c r="J4362" s="18"/>
      <c r="K4362" s="4"/>
      <c r="L4362" s="19"/>
      <c r="M4362" s="20"/>
    </row>
    <row r="4363">
      <c r="A4363" s="6"/>
      <c r="B4363" s="6"/>
      <c r="C4363" s="4"/>
      <c r="D4363" s="4"/>
      <c r="E4363" s="4"/>
      <c r="F4363" s="4"/>
      <c r="G4363" s="4"/>
      <c r="H4363" s="4"/>
      <c r="I4363" s="4"/>
      <c r="J4363" s="18"/>
      <c r="K4363" s="4"/>
      <c r="L4363" s="19"/>
      <c r="M4363" s="20"/>
    </row>
    <row r="4364">
      <c r="A4364" s="6"/>
      <c r="B4364" s="6"/>
      <c r="C4364" s="4"/>
      <c r="D4364" s="4"/>
      <c r="E4364" s="4"/>
      <c r="F4364" s="4"/>
      <c r="G4364" s="4"/>
      <c r="H4364" s="4"/>
      <c r="I4364" s="4"/>
      <c r="J4364" s="18"/>
      <c r="K4364" s="4"/>
      <c r="L4364" s="19"/>
      <c r="M4364" s="20"/>
    </row>
    <row r="4365">
      <c r="A4365" s="6"/>
      <c r="B4365" s="6"/>
      <c r="C4365" s="4"/>
      <c r="D4365" s="4"/>
      <c r="E4365" s="4"/>
      <c r="F4365" s="4"/>
      <c r="G4365" s="4"/>
      <c r="H4365" s="4"/>
      <c r="I4365" s="4"/>
      <c r="J4365" s="18"/>
      <c r="K4365" s="4"/>
      <c r="L4365" s="19"/>
      <c r="M4365" s="20"/>
    </row>
    <row r="4366">
      <c r="A4366" s="6"/>
      <c r="B4366" s="6"/>
      <c r="C4366" s="4"/>
      <c r="D4366" s="4"/>
      <c r="E4366" s="4"/>
      <c r="F4366" s="4"/>
      <c r="G4366" s="4"/>
      <c r="H4366" s="4"/>
      <c r="I4366" s="4"/>
      <c r="J4366" s="18"/>
      <c r="K4366" s="4"/>
      <c r="L4366" s="19"/>
      <c r="M4366" s="20"/>
    </row>
    <row r="4367">
      <c r="A4367" s="6"/>
      <c r="B4367" s="6"/>
      <c r="C4367" s="4"/>
      <c r="D4367" s="4"/>
      <c r="E4367" s="4"/>
      <c r="F4367" s="4"/>
      <c r="G4367" s="4"/>
      <c r="H4367" s="4"/>
      <c r="I4367" s="4"/>
      <c r="J4367" s="18"/>
      <c r="K4367" s="4"/>
      <c r="L4367" s="19"/>
      <c r="M4367" s="20"/>
    </row>
    <row r="4368">
      <c r="A4368" s="6"/>
      <c r="B4368" s="6"/>
      <c r="C4368" s="4"/>
      <c r="D4368" s="4"/>
      <c r="E4368" s="4"/>
      <c r="F4368" s="4"/>
      <c r="G4368" s="4"/>
      <c r="H4368" s="4"/>
      <c r="I4368" s="4"/>
      <c r="J4368" s="18"/>
      <c r="K4368" s="4"/>
      <c r="L4368" s="19"/>
      <c r="M4368" s="20"/>
    </row>
    <row r="4369">
      <c r="A4369" s="6"/>
      <c r="B4369" s="6"/>
      <c r="C4369" s="4"/>
      <c r="D4369" s="4"/>
      <c r="E4369" s="4"/>
      <c r="F4369" s="4"/>
      <c r="G4369" s="4"/>
      <c r="H4369" s="4"/>
      <c r="I4369" s="4"/>
      <c r="J4369" s="18"/>
      <c r="K4369" s="4"/>
      <c r="L4369" s="19"/>
      <c r="M4369" s="20"/>
    </row>
    <row r="4370">
      <c r="A4370" s="6"/>
      <c r="B4370" s="6"/>
      <c r="C4370" s="4"/>
      <c r="D4370" s="4"/>
      <c r="E4370" s="4"/>
      <c r="F4370" s="4"/>
      <c r="G4370" s="4"/>
      <c r="H4370" s="4"/>
      <c r="I4370" s="4"/>
      <c r="J4370" s="18"/>
      <c r="K4370" s="4"/>
      <c r="L4370" s="19"/>
      <c r="M4370" s="20"/>
    </row>
    <row r="4371">
      <c r="A4371" s="6"/>
      <c r="B4371" s="6"/>
      <c r="C4371" s="4"/>
      <c r="D4371" s="4"/>
      <c r="E4371" s="4"/>
      <c r="F4371" s="4"/>
      <c r="G4371" s="4"/>
      <c r="H4371" s="4"/>
      <c r="I4371" s="4"/>
      <c r="J4371" s="18"/>
      <c r="K4371" s="4"/>
      <c r="L4371" s="19"/>
      <c r="M4371" s="20"/>
    </row>
    <row r="4372">
      <c r="A4372" s="6"/>
      <c r="B4372" s="6"/>
      <c r="C4372" s="4"/>
      <c r="D4372" s="4"/>
      <c r="E4372" s="4"/>
      <c r="F4372" s="4"/>
      <c r="G4372" s="4"/>
      <c r="H4372" s="4"/>
      <c r="I4372" s="4"/>
      <c r="J4372" s="18"/>
      <c r="K4372" s="4"/>
      <c r="L4372" s="19"/>
      <c r="M4372" s="20"/>
    </row>
    <row r="4373">
      <c r="A4373" s="6"/>
      <c r="B4373" s="6"/>
      <c r="C4373" s="4"/>
      <c r="D4373" s="4"/>
      <c r="E4373" s="4"/>
      <c r="F4373" s="4"/>
      <c r="G4373" s="4"/>
      <c r="H4373" s="4"/>
      <c r="I4373" s="4"/>
      <c r="J4373" s="18"/>
      <c r="K4373" s="4"/>
      <c r="L4373" s="19"/>
      <c r="M4373" s="20"/>
    </row>
    <row r="4374">
      <c r="A4374" s="6"/>
      <c r="B4374" s="6"/>
      <c r="C4374" s="4"/>
      <c r="D4374" s="4"/>
      <c r="E4374" s="4"/>
      <c r="F4374" s="4"/>
      <c r="G4374" s="4"/>
      <c r="H4374" s="4"/>
      <c r="I4374" s="4"/>
      <c r="J4374" s="18"/>
      <c r="K4374" s="4"/>
      <c r="L4374" s="19"/>
      <c r="M4374" s="20"/>
    </row>
    <row r="4375">
      <c r="A4375" s="6"/>
      <c r="B4375" s="6"/>
      <c r="C4375" s="4"/>
      <c r="D4375" s="4"/>
      <c r="E4375" s="4"/>
      <c r="F4375" s="4"/>
      <c r="G4375" s="4"/>
      <c r="H4375" s="4"/>
      <c r="I4375" s="4"/>
      <c r="J4375" s="18"/>
      <c r="K4375" s="4"/>
      <c r="L4375" s="19"/>
      <c r="M4375" s="20"/>
    </row>
    <row r="4376">
      <c r="A4376" s="6"/>
      <c r="B4376" s="6"/>
      <c r="C4376" s="4"/>
      <c r="D4376" s="4"/>
      <c r="E4376" s="4"/>
      <c r="F4376" s="4"/>
      <c r="G4376" s="4"/>
      <c r="H4376" s="4"/>
      <c r="I4376" s="4"/>
      <c r="J4376" s="18"/>
      <c r="K4376" s="4"/>
      <c r="L4376" s="19"/>
      <c r="M4376" s="20"/>
    </row>
    <row r="4377">
      <c r="A4377" s="6"/>
      <c r="B4377" s="6"/>
      <c r="C4377" s="4"/>
      <c r="D4377" s="4"/>
      <c r="E4377" s="4"/>
      <c r="F4377" s="4"/>
      <c r="G4377" s="4"/>
      <c r="H4377" s="4"/>
      <c r="I4377" s="4"/>
      <c r="J4377" s="18"/>
      <c r="K4377" s="4"/>
      <c r="L4377" s="19"/>
      <c r="M4377" s="20"/>
    </row>
    <row r="4378">
      <c r="A4378" s="6"/>
      <c r="B4378" s="6"/>
      <c r="C4378" s="4"/>
      <c r="D4378" s="4"/>
      <c r="E4378" s="4"/>
      <c r="F4378" s="4"/>
      <c r="G4378" s="4"/>
      <c r="H4378" s="4"/>
      <c r="I4378" s="4"/>
      <c r="J4378" s="18"/>
      <c r="K4378" s="4"/>
      <c r="L4378" s="19"/>
      <c r="M4378" s="20"/>
    </row>
    <row r="4379">
      <c r="A4379" s="6"/>
      <c r="B4379" s="6"/>
      <c r="C4379" s="4"/>
      <c r="D4379" s="4"/>
      <c r="E4379" s="4"/>
      <c r="F4379" s="4"/>
      <c r="G4379" s="4"/>
      <c r="H4379" s="4"/>
      <c r="I4379" s="4"/>
      <c r="J4379" s="18"/>
      <c r="K4379" s="4"/>
      <c r="L4379" s="19"/>
      <c r="M4379" s="20"/>
    </row>
    <row r="4380">
      <c r="A4380" s="6"/>
      <c r="B4380" s="6"/>
      <c r="C4380" s="4"/>
      <c r="D4380" s="4"/>
      <c r="E4380" s="4"/>
      <c r="F4380" s="4"/>
      <c r="G4380" s="4"/>
      <c r="H4380" s="4"/>
      <c r="I4380" s="4"/>
      <c r="J4380" s="18"/>
      <c r="K4380" s="4"/>
      <c r="L4380" s="19"/>
      <c r="M4380" s="20"/>
    </row>
    <row r="4381">
      <c r="A4381" s="6"/>
      <c r="B4381" s="6"/>
      <c r="C4381" s="4"/>
      <c r="D4381" s="4"/>
      <c r="E4381" s="4"/>
      <c r="F4381" s="4"/>
      <c r="G4381" s="4"/>
      <c r="H4381" s="4"/>
      <c r="I4381" s="4"/>
      <c r="J4381" s="18"/>
      <c r="K4381" s="4"/>
      <c r="L4381" s="19"/>
      <c r="M4381" s="20"/>
    </row>
    <row r="4382">
      <c r="A4382" s="6"/>
      <c r="B4382" s="6"/>
      <c r="C4382" s="4"/>
      <c r="D4382" s="4"/>
      <c r="E4382" s="4"/>
      <c r="F4382" s="4"/>
      <c r="G4382" s="4"/>
      <c r="H4382" s="4"/>
      <c r="I4382" s="4"/>
      <c r="J4382" s="18"/>
      <c r="K4382" s="4"/>
      <c r="L4382" s="19"/>
      <c r="M4382" s="20"/>
    </row>
    <row r="4383">
      <c r="A4383" s="6"/>
      <c r="B4383" s="6"/>
      <c r="C4383" s="4"/>
      <c r="D4383" s="4"/>
      <c r="E4383" s="4"/>
      <c r="F4383" s="4"/>
      <c r="G4383" s="4"/>
      <c r="H4383" s="4"/>
      <c r="I4383" s="4"/>
      <c r="J4383" s="18"/>
      <c r="K4383" s="4"/>
      <c r="L4383" s="19"/>
      <c r="M4383" s="20"/>
    </row>
    <row r="4384">
      <c r="A4384" s="6"/>
      <c r="B4384" s="6"/>
      <c r="C4384" s="4"/>
      <c r="D4384" s="4"/>
      <c r="E4384" s="4"/>
      <c r="F4384" s="4"/>
      <c r="G4384" s="4"/>
      <c r="H4384" s="4"/>
      <c r="I4384" s="4"/>
      <c r="J4384" s="18"/>
      <c r="K4384" s="4"/>
      <c r="L4384" s="19"/>
      <c r="M4384" s="20"/>
    </row>
    <row r="4385">
      <c r="A4385" s="6"/>
      <c r="B4385" s="6"/>
      <c r="C4385" s="4"/>
      <c r="D4385" s="4"/>
      <c r="E4385" s="4"/>
      <c r="F4385" s="4"/>
      <c r="G4385" s="4"/>
      <c r="H4385" s="4"/>
      <c r="I4385" s="4"/>
      <c r="J4385" s="18"/>
      <c r="K4385" s="4"/>
      <c r="L4385" s="19"/>
      <c r="M4385" s="20"/>
    </row>
    <row r="4386">
      <c r="A4386" s="6"/>
      <c r="B4386" s="6"/>
      <c r="C4386" s="4"/>
      <c r="D4386" s="4"/>
      <c r="E4386" s="4"/>
      <c r="F4386" s="4"/>
      <c r="G4386" s="4"/>
      <c r="H4386" s="4"/>
      <c r="I4386" s="4"/>
      <c r="J4386" s="18"/>
      <c r="K4386" s="4"/>
      <c r="L4386" s="19"/>
      <c r="M4386" s="20"/>
    </row>
    <row r="4387">
      <c r="A4387" s="6"/>
      <c r="B4387" s="6"/>
      <c r="C4387" s="4"/>
      <c r="D4387" s="4"/>
      <c r="E4387" s="4"/>
      <c r="F4387" s="4"/>
      <c r="G4387" s="4"/>
      <c r="H4387" s="4"/>
      <c r="I4387" s="4"/>
      <c r="J4387" s="18"/>
      <c r="K4387" s="4"/>
      <c r="L4387" s="19"/>
      <c r="M4387" s="20"/>
    </row>
    <row r="4388">
      <c r="A4388" s="6"/>
      <c r="B4388" s="6"/>
      <c r="C4388" s="4"/>
      <c r="D4388" s="4"/>
      <c r="E4388" s="4"/>
      <c r="F4388" s="4"/>
      <c r="G4388" s="4"/>
      <c r="H4388" s="4"/>
      <c r="I4388" s="4"/>
      <c r="J4388" s="18"/>
      <c r="K4388" s="4"/>
      <c r="L4388" s="19"/>
      <c r="M4388" s="20"/>
    </row>
    <row r="4389">
      <c r="A4389" s="6"/>
      <c r="B4389" s="6"/>
      <c r="C4389" s="4"/>
      <c r="D4389" s="4"/>
      <c r="E4389" s="4"/>
      <c r="F4389" s="4"/>
      <c r="G4389" s="4"/>
      <c r="H4389" s="4"/>
      <c r="I4389" s="4"/>
      <c r="J4389" s="18"/>
      <c r="K4389" s="4"/>
      <c r="L4389" s="19"/>
      <c r="M4389" s="20"/>
    </row>
    <row r="4390">
      <c r="A4390" s="6"/>
      <c r="B4390" s="6"/>
      <c r="C4390" s="4"/>
      <c r="D4390" s="4"/>
      <c r="E4390" s="4"/>
      <c r="F4390" s="4"/>
      <c r="G4390" s="4"/>
      <c r="H4390" s="4"/>
      <c r="I4390" s="4"/>
      <c r="J4390" s="18"/>
      <c r="K4390" s="4"/>
      <c r="L4390" s="19"/>
      <c r="M4390" s="20"/>
    </row>
    <row r="4391">
      <c r="A4391" s="6"/>
      <c r="B4391" s="6"/>
      <c r="C4391" s="4"/>
      <c r="D4391" s="4"/>
      <c r="E4391" s="4"/>
      <c r="F4391" s="4"/>
      <c r="G4391" s="4"/>
      <c r="H4391" s="4"/>
      <c r="I4391" s="4"/>
      <c r="J4391" s="18"/>
      <c r="K4391" s="4"/>
      <c r="L4391" s="19"/>
      <c r="M4391" s="20"/>
    </row>
    <row r="4392">
      <c r="A4392" s="6"/>
      <c r="B4392" s="6"/>
      <c r="C4392" s="4"/>
      <c r="D4392" s="4"/>
      <c r="E4392" s="4"/>
      <c r="F4392" s="4"/>
      <c r="G4392" s="4"/>
      <c r="H4392" s="4"/>
      <c r="I4392" s="4"/>
      <c r="J4392" s="18"/>
      <c r="K4392" s="4"/>
      <c r="L4392" s="19"/>
      <c r="M4392" s="20"/>
    </row>
    <row r="4393">
      <c r="A4393" s="6"/>
      <c r="B4393" s="6"/>
      <c r="C4393" s="4"/>
      <c r="D4393" s="4"/>
      <c r="E4393" s="4"/>
      <c r="F4393" s="4"/>
      <c r="G4393" s="4"/>
      <c r="H4393" s="4"/>
      <c r="I4393" s="4"/>
      <c r="J4393" s="18"/>
      <c r="K4393" s="4"/>
      <c r="L4393" s="19"/>
      <c r="M4393" s="20"/>
    </row>
    <row r="4394">
      <c r="A4394" s="6"/>
      <c r="B4394" s="6"/>
      <c r="C4394" s="4"/>
      <c r="D4394" s="4"/>
      <c r="E4394" s="4"/>
      <c r="F4394" s="4"/>
      <c r="G4394" s="4"/>
      <c r="H4394" s="4"/>
      <c r="I4394" s="4"/>
      <c r="J4394" s="18"/>
      <c r="K4394" s="4"/>
      <c r="L4394" s="19"/>
      <c r="M4394" s="20"/>
    </row>
    <row r="4395">
      <c r="A4395" s="6"/>
      <c r="B4395" s="6"/>
      <c r="C4395" s="4"/>
      <c r="D4395" s="4"/>
      <c r="E4395" s="4"/>
      <c r="F4395" s="4"/>
      <c r="G4395" s="4"/>
      <c r="H4395" s="4"/>
      <c r="I4395" s="4"/>
      <c r="J4395" s="18"/>
      <c r="K4395" s="4"/>
      <c r="L4395" s="19"/>
      <c r="M4395" s="20"/>
    </row>
    <row r="4396">
      <c r="A4396" s="6"/>
      <c r="B4396" s="6"/>
      <c r="C4396" s="4"/>
      <c r="D4396" s="4"/>
      <c r="E4396" s="4"/>
      <c r="F4396" s="4"/>
      <c r="G4396" s="4"/>
      <c r="H4396" s="4"/>
      <c r="I4396" s="4"/>
      <c r="J4396" s="18"/>
      <c r="K4396" s="4"/>
      <c r="L4396" s="19"/>
      <c r="M4396" s="20"/>
    </row>
    <row r="4397">
      <c r="A4397" s="6"/>
      <c r="B4397" s="6"/>
      <c r="C4397" s="4"/>
      <c r="D4397" s="4"/>
      <c r="E4397" s="4"/>
      <c r="F4397" s="4"/>
      <c r="G4397" s="4"/>
      <c r="H4397" s="4"/>
      <c r="I4397" s="4"/>
      <c r="J4397" s="18"/>
      <c r="K4397" s="4"/>
      <c r="L4397" s="19"/>
      <c r="M4397" s="20"/>
    </row>
    <row r="4398">
      <c r="A4398" s="6"/>
      <c r="B4398" s="6"/>
      <c r="C4398" s="4"/>
      <c r="D4398" s="4"/>
      <c r="E4398" s="4"/>
      <c r="F4398" s="4"/>
      <c r="G4398" s="4"/>
      <c r="H4398" s="4"/>
      <c r="I4398" s="4"/>
      <c r="J4398" s="18"/>
      <c r="K4398" s="4"/>
      <c r="L4398" s="19"/>
      <c r="M4398" s="20"/>
    </row>
    <row r="4399">
      <c r="A4399" s="6"/>
      <c r="B4399" s="6"/>
      <c r="C4399" s="4"/>
      <c r="D4399" s="4"/>
      <c r="E4399" s="4"/>
      <c r="F4399" s="4"/>
      <c r="G4399" s="4"/>
      <c r="H4399" s="4"/>
      <c r="I4399" s="4"/>
      <c r="J4399" s="18"/>
      <c r="K4399" s="4"/>
      <c r="L4399" s="19"/>
      <c r="M4399" s="20"/>
    </row>
    <row r="4400">
      <c r="A4400" s="6"/>
      <c r="B4400" s="6"/>
      <c r="C4400" s="4"/>
      <c r="D4400" s="4"/>
      <c r="E4400" s="4"/>
      <c r="F4400" s="4"/>
      <c r="G4400" s="4"/>
      <c r="H4400" s="4"/>
      <c r="I4400" s="4"/>
      <c r="J4400" s="18"/>
      <c r="K4400" s="4"/>
      <c r="L4400" s="19"/>
      <c r="M4400" s="20"/>
    </row>
    <row r="4401">
      <c r="A4401" s="6"/>
      <c r="B4401" s="6"/>
      <c r="C4401" s="4"/>
      <c r="D4401" s="4"/>
      <c r="E4401" s="4"/>
      <c r="F4401" s="4"/>
      <c r="G4401" s="4"/>
      <c r="H4401" s="4"/>
      <c r="I4401" s="4"/>
      <c r="J4401" s="18"/>
      <c r="K4401" s="4"/>
      <c r="L4401" s="19"/>
      <c r="M4401" s="20"/>
    </row>
    <row r="4402">
      <c r="A4402" s="6"/>
      <c r="B4402" s="6"/>
      <c r="C4402" s="4"/>
      <c r="D4402" s="4"/>
      <c r="E4402" s="4"/>
      <c r="F4402" s="4"/>
      <c r="G4402" s="4"/>
      <c r="H4402" s="4"/>
      <c r="I4402" s="4"/>
      <c r="J4402" s="18"/>
      <c r="K4402" s="4"/>
      <c r="L4402" s="19"/>
      <c r="M4402" s="20"/>
    </row>
    <row r="4403">
      <c r="A4403" s="6"/>
      <c r="B4403" s="6"/>
      <c r="C4403" s="4"/>
      <c r="D4403" s="4"/>
      <c r="E4403" s="4"/>
      <c r="F4403" s="4"/>
      <c r="G4403" s="4"/>
      <c r="H4403" s="4"/>
      <c r="I4403" s="4"/>
      <c r="J4403" s="18"/>
      <c r="K4403" s="4"/>
      <c r="L4403" s="19"/>
      <c r="M4403" s="20"/>
    </row>
    <row r="4404">
      <c r="A4404" s="6"/>
      <c r="B4404" s="6"/>
      <c r="C4404" s="4"/>
      <c r="D4404" s="4"/>
      <c r="E4404" s="4"/>
      <c r="F4404" s="4"/>
      <c r="G4404" s="4"/>
      <c r="H4404" s="4"/>
      <c r="I4404" s="4"/>
      <c r="J4404" s="18"/>
      <c r="K4404" s="4"/>
      <c r="L4404" s="19"/>
      <c r="M4404" s="20"/>
    </row>
    <row r="4405">
      <c r="A4405" s="6"/>
      <c r="B4405" s="6"/>
      <c r="C4405" s="4"/>
      <c r="D4405" s="4"/>
      <c r="E4405" s="4"/>
      <c r="F4405" s="4"/>
      <c r="G4405" s="4"/>
      <c r="H4405" s="4"/>
      <c r="I4405" s="4"/>
      <c r="J4405" s="18"/>
      <c r="K4405" s="4"/>
      <c r="L4405" s="19"/>
      <c r="M4405" s="20"/>
    </row>
    <row r="4406">
      <c r="A4406" s="6"/>
      <c r="B4406" s="6"/>
      <c r="C4406" s="4"/>
      <c r="D4406" s="4"/>
      <c r="E4406" s="4"/>
      <c r="F4406" s="4"/>
      <c r="G4406" s="4"/>
      <c r="H4406" s="4"/>
      <c r="I4406" s="4"/>
      <c r="J4406" s="18"/>
      <c r="K4406" s="4"/>
      <c r="L4406" s="19"/>
      <c r="M4406" s="20"/>
    </row>
    <row r="4407">
      <c r="A4407" s="6"/>
      <c r="B4407" s="6"/>
      <c r="C4407" s="4"/>
      <c r="D4407" s="4"/>
      <c r="E4407" s="4"/>
      <c r="F4407" s="4"/>
      <c r="G4407" s="4"/>
      <c r="H4407" s="4"/>
      <c r="I4407" s="4"/>
      <c r="J4407" s="18"/>
      <c r="K4407" s="4"/>
      <c r="L4407" s="19"/>
      <c r="M4407" s="20"/>
    </row>
    <row r="4408">
      <c r="A4408" s="6"/>
      <c r="B4408" s="6"/>
      <c r="C4408" s="4"/>
      <c r="D4408" s="4"/>
      <c r="E4408" s="4"/>
      <c r="F4408" s="4"/>
      <c r="G4408" s="4"/>
      <c r="H4408" s="4"/>
      <c r="I4408" s="4"/>
      <c r="J4408" s="18"/>
      <c r="K4408" s="4"/>
      <c r="L4408" s="19"/>
      <c r="M4408" s="20"/>
    </row>
    <row r="4409">
      <c r="A4409" s="6"/>
      <c r="B4409" s="6"/>
      <c r="C4409" s="4"/>
      <c r="D4409" s="4"/>
      <c r="E4409" s="4"/>
      <c r="F4409" s="4"/>
      <c r="G4409" s="4"/>
      <c r="H4409" s="4"/>
      <c r="I4409" s="4"/>
      <c r="J4409" s="18"/>
      <c r="K4409" s="4"/>
      <c r="L4409" s="19"/>
      <c r="M4409" s="20"/>
    </row>
    <row r="4410">
      <c r="A4410" s="6"/>
      <c r="B4410" s="6"/>
      <c r="C4410" s="4"/>
      <c r="D4410" s="4"/>
      <c r="E4410" s="4"/>
      <c r="F4410" s="4"/>
      <c r="G4410" s="4"/>
      <c r="H4410" s="4"/>
      <c r="I4410" s="4"/>
      <c r="J4410" s="18"/>
      <c r="K4410" s="4"/>
      <c r="L4410" s="19"/>
      <c r="M4410" s="20"/>
    </row>
    <row r="4411">
      <c r="A4411" s="6"/>
      <c r="B4411" s="6"/>
      <c r="C4411" s="4"/>
      <c r="D4411" s="4"/>
      <c r="E4411" s="4"/>
      <c r="F4411" s="4"/>
      <c r="G4411" s="4"/>
      <c r="H4411" s="4"/>
      <c r="I4411" s="4"/>
      <c r="J4411" s="18"/>
      <c r="K4411" s="4"/>
      <c r="L4411" s="19"/>
      <c r="M4411" s="20"/>
    </row>
    <row r="4412">
      <c r="A4412" s="6"/>
      <c r="B4412" s="6"/>
      <c r="C4412" s="4"/>
      <c r="D4412" s="4"/>
      <c r="E4412" s="4"/>
      <c r="F4412" s="4"/>
      <c r="G4412" s="4"/>
      <c r="H4412" s="4"/>
      <c r="I4412" s="4"/>
      <c r="J4412" s="18"/>
      <c r="K4412" s="4"/>
      <c r="L4412" s="19"/>
      <c r="M4412" s="20"/>
    </row>
    <row r="4413">
      <c r="A4413" s="6"/>
      <c r="B4413" s="6"/>
      <c r="C4413" s="4"/>
      <c r="D4413" s="4"/>
      <c r="E4413" s="4"/>
      <c r="F4413" s="4"/>
      <c r="G4413" s="4"/>
      <c r="H4413" s="4"/>
      <c r="I4413" s="4"/>
      <c r="J4413" s="18"/>
      <c r="K4413" s="4"/>
      <c r="L4413" s="19"/>
      <c r="M4413" s="20"/>
    </row>
    <row r="4414">
      <c r="A4414" s="6"/>
      <c r="B4414" s="6"/>
      <c r="C4414" s="4"/>
      <c r="D4414" s="4"/>
      <c r="E4414" s="4"/>
      <c r="F4414" s="4"/>
      <c r="G4414" s="4"/>
      <c r="H4414" s="4"/>
      <c r="I4414" s="4"/>
      <c r="J4414" s="18"/>
      <c r="K4414" s="4"/>
      <c r="L4414" s="19"/>
      <c r="M4414" s="20"/>
    </row>
    <row r="4415">
      <c r="A4415" s="6"/>
      <c r="B4415" s="6"/>
      <c r="C4415" s="4"/>
      <c r="D4415" s="4"/>
      <c r="E4415" s="4"/>
      <c r="F4415" s="4"/>
      <c r="G4415" s="4"/>
      <c r="H4415" s="4"/>
      <c r="I4415" s="4"/>
      <c r="J4415" s="18"/>
      <c r="K4415" s="4"/>
      <c r="L4415" s="19"/>
      <c r="M4415" s="20"/>
    </row>
    <row r="4416">
      <c r="A4416" s="6"/>
      <c r="B4416" s="6"/>
      <c r="C4416" s="4"/>
      <c r="D4416" s="4"/>
      <c r="E4416" s="4"/>
      <c r="F4416" s="4"/>
      <c r="G4416" s="4"/>
      <c r="H4416" s="4"/>
      <c r="I4416" s="4"/>
      <c r="J4416" s="18"/>
      <c r="K4416" s="4"/>
      <c r="L4416" s="19"/>
      <c r="M4416" s="20"/>
    </row>
    <row r="4417">
      <c r="A4417" s="6"/>
      <c r="B4417" s="6"/>
      <c r="C4417" s="4"/>
      <c r="D4417" s="4"/>
      <c r="E4417" s="4"/>
      <c r="F4417" s="4"/>
      <c r="G4417" s="4"/>
      <c r="H4417" s="4"/>
      <c r="I4417" s="4"/>
      <c r="J4417" s="18"/>
      <c r="K4417" s="4"/>
      <c r="L4417" s="19"/>
      <c r="M4417" s="20"/>
    </row>
    <row r="4418">
      <c r="A4418" s="6"/>
      <c r="B4418" s="6"/>
      <c r="C4418" s="4"/>
      <c r="D4418" s="4"/>
      <c r="E4418" s="4"/>
      <c r="F4418" s="4"/>
      <c r="G4418" s="4"/>
      <c r="H4418" s="4"/>
      <c r="I4418" s="4"/>
      <c r="J4418" s="18"/>
      <c r="K4418" s="4"/>
      <c r="L4418" s="19"/>
      <c r="M4418" s="20"/>
    </row>
    <row r="4419">
      <c r="A4419" s="6"/>
      <c r="B4419" s="6"/>
      <c r="C4419" s="4"/>
      <c r="D4419" s="4"/>
      <c r="E4419" s="4"/>
      <c r="F4419" s="4"/>
      <c r="G4419" s="4"/>
      <c r="H4419" s="4"/>
      <c r="I4419" s="4"/>
      <c r="J4419" s="18"/>
      <c r="K4419" s="4"/>
      <c r="L4419" s="19"/>
      <c r="M4419" s="20"/>
    </row>
    <row r="4420">
      <c r="A4420" s="6"/>
      <c r="B4420" s="6"/>
      <c r="C4420" s="4"/>
      <c r="D4420" s="4"/>
      <c r="E4420" s="4"/>
      <c r="F4420" s="4"/>
      <c r="G4420" s="4"/>
      <c r="H4420" s="4"/>
      <c r="I4420" s="4"/>
      <c r="J4420" s="18"/>
      <c r="K4420" s="4"/>
      <c r="L4420" s="19"/>
      <c r="M4420" s="20"/>
    </row>
    <row r="4421">
      <c r="A4421" s="6"/>
      <c r="B4421" s="6"/>
      <c r="C4421" s="4"/>
      <c r="D4421" s="4"/>
      <c r="E4421" s="4"/>
      <c r="F4421" s="4"/>
      <c r="G4421" s="4"/>
      <c r="H4421" s="4"/>
      <c r="I4421" s="4"/>
      <c r="J4421" s="18"/>
      <c r="K4421" s="4"/>
      <c r="L4421" s="19"/>
      <c r="M4421" s="20"/>
    </row>
    <row r="4422">
      <c r="A4422" s="6"/>
      <c r="B4422" s="6"/>
      <c r="C4422" s="4"/>
      <c r="D4422" s="4"/>
      <c r="E4422" s="4"/>
      <c r="F4422" s="4"/>
      <c r="G4422" s="4"/>
      <c r="H4422" s="4"/>
      <c r="I4422" s="4"/>
      <c r="J4422" s="18"/>
      <c r="K4422" s="4"/>
      <c r="L4422" s="19"/>
      <c r="M4422" s="20"/>
    </row>
    <row r="4423">
      <c r="A4423" s="6"/>
      <c r="B4423" s="6"/>
      <c r="C4423" s="4"/>
      <c r="D4423" s="4"/>
      <c r="E4423" s="4"/>
      <c r="F4423" s="4"/>
      <c r="G4423" s="4"/>
      <c r="H4423" s="4"/>
      <c r="I4423" s="4"/>
      <c r="J4423" s="18"/>
      <c r="K4423" s="4"/>
      <c r="L4423" s="19"/>
      <c r="M4423" s="20"/>
    </row>
    <row r="4424">
      <c r="A4424" s="6"/>
      <c r="B4424" s="6"/>
      <c r="C4424" s="4"/>
      <c r="D4424" s="4"/>
      <c r="E4424" s="4"/>
      <c r="F4424" s="4"/>
      <c r="G4424" s="4"/>
      <c r="H4424" s="4"/>
      <c r="I4424" s="4"/>
      <c r="J4424" s="18"/>
      <c r="K4424" s="4"/>
      <c r="L4424" s="19"/>
      <c r="M4424" s="20"/>
    </row>
    <row r="4425">
      <c r="A4425" s="6"/>
      <c r="B4425" s="6"/>
      <c r="C4425" s="4"/>
      <c r="D4425" s="4"/>
      <c r="E4425" s="4"/>
      <c r="F4425" s="4"/>
      <c r="G4425" s="4"/>
      <c r="H4425" s="4"/>
      <c r="I4425" s="4"/>
      <c r="J4425" s="18"/>
      <c r="K4425" s="4"/>
      <c r="L4425" s="19"/>
      <c r="M4425" s="20"/>
    </row>
    <row r="4426">
      <c r="A4426" s="6"/>
      <c r="B4426" s="6"/>
      <c r="C4426" s="4"/>
      <c r="D4426" s="4"/>
      <c r="E4426" s="4"/>
      <c r="F4426" s="4"/>
      <c r="G4426" s="4"/>
      <c r="H4426" s="4"/>
      <c r="I4426" s="4"/>
      <c r="J4426" s="18"/>
      <c r="K4426" s="4"/>
      <c r="L4426" s="19"/>
      <c r="M4426" s="20"/>
    </row>
    <row r="4427">
      <c r="A4427" s="6"/>
      <c r="B4427" s="6"/>
      <c r="C4427" s="4"/>
      <c r="D4427" s="4"/>
      <c r="E4427" s="4"/>
      <c r="F4427" s="4"/>
      <c r="G4427" s="4"/>
      <c r="H4427" s="4"/>
      <c r="I4427" s="4"/>
      <c r="J4427" s="18"/>
      <c r="K4427" s="4"/>
      <c r="L4427" s="19"/>
      <c r="M4427" s="20"/>
    </row>
    <row r="4428">
      <c r="A4428" s="6"/>
      <c r="B4428" s="6"/>
      <c r="C4428" s="4"/>
      <c r="D4428" s="4"/>
      <c r="E4428" s="4"/>
      <c r="F4428" s="4"/>
      <c r="G4428" s="4"/>
      <c r="H4428" s="4"/>
      <c r="I4428" s="4"/>
      <c r="J4428" s="18"/>
      <c r="K4428" s="4"/>
      <c r="L4428" s="19"/>
      <c r="M4428" s="20"/>
    </row>
    <row r="4429">
      <c r="A4429" s="6"/>
      <c r="B4429" s="6"/>
      <c r="C4429" s="4"/>
      <c r="D4429" s="4"/>
      <c r="E4429" s="4"/>
      <c r="F4429" s="4"/>
      <c r="G4429" s="4"/>
      <c r="H4429" s="4"/>
      <c r="I4429" s="4"/>
      <c r="J4429" s="18"/>
      <c r="K4429" s="4"/>
      <c r="L4429" s="19"/>
      <c r="M4429" s="20"/>
    </row>
    <row r="4430">
      <c r="A4430" s="6"/>
      <c r="B4430" s="6"/>
      <c r="C4430" s="4"/>
      <c r="D4430" s="4"/>
      <c r="E4430" s="4"/>
      <c r="F4430" s="4"/>
      <c r="G4430" s="4"/>
      <c r="H4430" s="4"/>
      <c r="I4430" s="4"/>
      <c r="J4430" s="18"/>
      <c r="K4430" s="4"/>
      <c r="L4430" s="19"/>
      <c r="M4430" s="20"/>
    </row>
    <row r="4431">
      <c r="A4431" s="6"/>
      <c r="B4431" s="6"/>
      <c r="C4431" s="4"/>
      <c r="D4431" s="4"/>
      <c r="E4431" s="4"/>
      <c r="F4431" s="4"/>
      <c r="G4431" s="4"/>
      <c r="H4431" s="4"/>
      <c r="I4431" s="4"/>
      <c r="J4431" s="18"/>
      <c r="K4431" s="4"/>
      <c r="L4431" s="19"/>
      <c r="M4431" s="20"/>
    </row>
    <row r="4432">
      <c r="A4432" s="6"/>
      <c r="B4432" s="6"/>
      <c r="C4432" s="4"/>
      <c r="D4432" s="4"/>
      <c r="E4432" s="4"/>
      <c r="F4432" s="4"/>
      <c r="G4432" s="4"/>
      <c r="H4432" s="4"/>
      <c r="I4432" s="4"/>
      <c r="J4432" s="18"/>
      <c r="K4432" s="4"/>
      <c r="L4432" s="19"/>
      <c r="M4432" s="20"/>
    </row>
    <row r="4433">
      <c r="A4433" s="6"/>
      <c r="B4433" s="6"/>
      <c r="C4433" s="4"/>
      <c r="D4433" s="4"/>
      <c r="E4433" s="4"/>
      <c r="F4433" s="4"/>
      <c r="G4433" s="4"/>
      <c r="H4433" s="4"/>
      <c r="I4433" s="4"/>
      <c r="J4433" s="18"/>
      <c r="K4433" s="4"/>
      <c r="L4433" s="19"/>
      <c r="M4433" s="20"/>
    </row>
    <row r="4434">
      <c r="A4434" s="6"/>
      <c r="B4434" s="6"/>
      <c r="C4434" s="4"/>
      <c r="D4434" s="4"/>
      <c r="E4434" s="4"/>
      <c r="F4434" s="4"/>
      <c r="G4434" s="4"/>
      <c r="H4434" s="4"/>
      <c r="I4434" s="4"/>
      <c r="J4434" s="18"/>
      <c r="K4434" s="4"/>
      <c r="L4434" s="19"/>
      <c r="M4434" s="20"/>
    </row>
    <row r="4435">
      <c r="A4435" s="6"/>
      <c r="B4435" s="6"/>
      <c r="C4435" s="4"/>
      <c r="D4435" s="4"/>
      <c r="E4435" s="4"/>
      <c r="F4435" s="4"/>
      <c r="G4435" s="4"/>
      <c r="H4435" s="4"/>
      <c r="I4435" s="4"/>
      <c r="J4435" s="18"/>
      <c r="K4435" s="4"/>
      <c r="L4435" s="19"/>
      <c r="M4435" s="20"/>
    </row>
    <row r="4436">
      <c r="A4436" s="6"/>
      <c r="B4436" s="6"/>
      <c r="C4436" s="4"/>
      <c r="D4436" s="4"/>
      <c r="E4436" s="4"/>
      <c r="F4436" s="4"/>
      <c r="G4436" s="4"/>
      <c r="H4436" s="4"/>
      <c r="I4436" s="4"/>
      <c r="J4436" s="18"/>
      <c r="K4436" s="4"/>
      <c r="L4436" s="19"/>
      <c r="M4436" s="20"/>
    </row>
    <row r="4437">
      <c r="A4437" s="6"/>
      <c r="B4437" s="6"/>
      <c r="C4437" s="4"/>
      <c r="D4437" s="4"/>
      <c r="E4437" s="4"/>
      <c r="F4437" s="4"/>
      <c r="G4437" s="4"/>
      <c r="H4437" s="4"/>
      <c r="I4437" s="4"/>
      <c r="J4437" s="18"/>
      <c r="K4437" s="4"/>
      <c r="L4437" s="19"/>
      <c r="M4437" s="20"/>
    </row>
    <row r="4438">
      <c r="A4438" s="6"/>
      <c r="B4438" s="6"/>
      <c r="C4438" s="4"/>
      <c r="D4438" s="4"/>
      <c r="E4438" s="4"/>
      <c r="F4438" s="4"/>
      <c r="G4438" s="4"/>
      <c r="H4438" s="4"/>
      <c r="I4438" s="4"/>
      <c r="J4438" s="18"/>
      <c r="K4438" s="4"/>
      <c r="L4438" s="19"/>
      <c r="M4438" s="20"/>
    </row>
    <row r="4439">
      <c r="A4439" s="6"/>
      <c r="B4439" s="6"/>
      <c r="C4439" s="4"/>
      <c r="D4439" s="4"/>
      <c r="E4439" s="4"/>
      <c r="F4439" s="4"/>
      <c r="G4439" s="4"/>
      <c r="H4439" s="4"/>
      <c r="I4439" s="4"/>
      <c r="J4439" s="18"/>
      <c r="K4439" s="4"/>
      <c r="L4439" s="19"/>
      <c r="M4439" s="20"/>
    </row>
    <row r="4440">
      <c r="A4440" s="6"/>
      <c r="B4440" s="6"/>
      <c r="C4440" s="4"/>
      <c r="D4440" s="4"/>
      <c r="E4440" s="4"/>
      <c r="F4440" s="4"/>
      <c r="G4440" s="4"/>
      <c r="H4440" s="4"/>
      <c r="I4440" s="4"/>
      <c r="J4440" s="18"/>
      <c r="K4440" s="4"/>
      <c r="L4440" s="19"/>
      <c r="M4440" s="20"/>
    </row>
    <row r="4441">
      <c r="A4441" s="6"/>
      <c r="B4441" s="6"/>
      <c r="C4441" s="4"/>
      <c r="D4441" s="4"/>
      <c r="E4441" s="4"/>
      <c r="F4441" s="4"/>
      <c r="G4441" s="4"/>
      <c r="H4441" s="4"/>
      <c r="I4441" s="4"/>
      <c r="J4441" s="18"/>
      <c r="K4441" s="4"/>
      <c r="L4441" s="19"/>
      <c r="M4441" s="20"/>
    </row>
    <row r="4442">
      <c r="A4442" s="6"/>
      <c r="B4442" s="6"/>
      <c r="C4442" s="4"/>
      <c r="D4442" s="4"/>
      <c r="E4442" s="4"/>
      <c r="F4442" s="4"/>
      <c r="G4442" s="4"/>
      <c r="H4442" s="4"/>
      <c r="I4442" s="4"/>
      <c r="J4442" s="18"/>
      <c r="K4442" s="4"/>
      <c r="L4442" s="19"/>
      <c r="M4442" s="20"/>
    </row>
    <row r="4443">
      <c r="A4443" s="6"/>
      <c r="B4443" s="6"/>
      <c r="C4443" s="4"/>
      <c r="D4443" s="4"/>
      <c r="E4443" s="4"/>
      <c r="F4443" s="4"/>
      <c r="G4443" s="4"/>
      <c r="H4443" s="4"/>
      <c r="I4443" s="4"/>
      <c r="J4443" s="18"/>
      <c r="K4443" s="4"/>
      <c r="L4443" s="19"/>
      <c r="M4443" s="20"/>
    </row>
    <row r="4444">
      <c r="A4444" s="6"/>
      <c r="B4444" s="6"/>
      <c r="C4444" s="4"/>
      <c r="D4444" s="4"/>
      <c r="E4444" s="4"/>
      <c r="F4444" s="4"/>
      <c r="G4444" s="4"/>
      <c r="H4444" s="4"/>
      <c r="I4444" s="4"/>
      <c r="J4444" s="18"/>
      <c r="K4444" s="4"/>
      <c r="L4444" s="19"/>
      <c r="M4444" s="20"/>
    </row>
    <row r="4445">
      <c r="A4445" s="6"/>
      <c r="B4445" s="6"/>
      <c r="C4445" s="4"/>
      <c r="D4445" s="4"/>
      <c r="E4445" s="4"/>
      <c r="F4445" s="4"/>
      <c r="G4445" s="4"/>
      <c r="H4445" s="4"/>
      <c r="I4445" s="4"/>
      <c r="J4445" s="18"/>
      <c r="K4445" s="4"/>
      <c r="L4445" s="19"/>
      <c r="M4445" s="20"/>
    </row>
    <row r="4446">
      <c r="A4446" s="6"/>
      <c r="B4446" s="6"/>
      <c r="C4446" s="4"/>
      <c r="D4446" s="4"/>
      <c r="E4446" s="4"/>
      <c r="F4446" s="4"/>
      <c r="G4446" s="4"/>
      <c r="H4446" s="4"/>
      <c r="I4446" s="4"/>
      <c r="J4446" s="18"/>
      <c r="K4446" s="4"/>
      <c r="L4446" s="19"/>
      <c r="M4446" s="20"/>
    </row>
    <row r="4447">
      <c r="A4447" s="6"/>
      <c r="B4447" s="6"/>
      <c r="C4447" s="4"/>
      <c r="D4447" s="4"/>
      <c r="E4447" s="4"/>
      <c r="F4447" s="4"/>
      <c r="G4447" s="4"/>
      <c r="H4447" s="4"/>
      <c r="I4447" s="4"/>
      <c r="J4447" s="18"/>
      <c r="K4447" s="4"/>
      <c r="L4447" s="19"/>
      <c r="M4447" s="20"/>
    </row>
    <row r="4448">
      <c r="A4448" s="6"/>
      <c r="B4448" s="6"/>
      <c r="C4448" s="4"/>
      <c r="D4448" s="4"/>
      <c r="E4448" s="4"/>
      <c r="F4448" s="4"/>
      <c r="G4448" s="4"/>
      <c r="H4448" s="4"/>
      <c r="I4448" s="4"/>
      <c r="J4448" s="18"/>
      <c r="K4448" s="4"/>
      <c r="L4448" s="19"/>
      <c r="M4448" s="20"/>
    </row>
    <row r="4449">
      <c r="A4449" s="6"/>
      <c r="B4449" s="6"/>
      <c r="C4449" s="4"/>
      <c r="D4449" s="4"/>
      <c r="E4449" s="4"/>
      <c r="F4449" s="4"/>
      <c r="G4449" s="4"/>
      <c r="H4449" s="4"/>
      <c r="I4449" s="4"/>
      <c r="J4449" s="18"/>
      <c r="K4449" s="4"/>
      <c r="L4449" s="19"/>
      <c r="M4449" s="20"/>
    </row>
    <row r="4450">
      <c r="A4450" s="6"/>
      <c r="B4450" s="6"/>
      <c r="C4450" s="4"/>
      <c r="D4450" s="4"/>
      <c r="E4450" s="4"/>
      <c r="F4450" s="4"/>
      <c r="G4450" s="4"/>
      <c r="H4450" s="4"/>
      <c r="I4450" s="4"/>
      <c r="J4450" s="18"/>
      <c r="K4450" s="4"/>
      <c r="L4450" s="19"/>
      <c r="M4450" s="20"/>
    </row>
    <row r="4451">
      <c r="A4451" s="6"/>
      <c r="B4451" s="6"/>
      <c r="C4451" s="4"/>
      <c r="D4451" s="4"/>
      <c r="E4451" s="4"/>
      <c r="F4451" s="4"/>
      <c r="G4451" s="4"/>
      <c r="H4451" s="4"/>
      <c r="I4451" s="4"/>
      <c r="J4451" s="18"/>
      <c r="K4451" s="4"/>
      <c r="L4451" s="19"/>
      <c r="M4451" s="20"/>
    </row>
    <row r="4452">
      <c r="A4452" s="6"/>
      <c r="B4452" s="6"/>
      <c r="C4452" s="4"/>
      <c r="D4452" s="4"/>
      <c r="E4452" s="4"/>
      <c r="F4452" s="4"/>
      <c r="G4452" s="4"/>
      <c r="H4452" s="4"/>
      <c r="I4452" s="4"/>
      <c r="J4452" s="18"/>
      <c r="K4452" s="4"/>
      <c r="L4452" s="19"/>
      <c r="M4452" s="20"/>
    </row>
    <row r="4453">
      <c r="A4453" s="6"/>
      <c r="B4453" s="6"/>
      <c r="C4453" s="4"/>
      <c r="D4453" s="4"/>
      <c r="E4453" s="4"/>
      <c r="F4453" s="4"/>
      <c r="G4453" s="4"/>
      <c r="H4453" s="4"/>
      <c r="I4453" s="4"/>
      <c r="J4453" s="18"/>
      <c r="K4453" s="4"/>
      <c r="L4453" s="19"/>
      <c r="M4453" s="20"/>
    </row>
    <row r="4454">
      <c r="A4454" s="6"/>
      <c r="B4454" s="6"/>
      <c r="C4454" s="4"/>
      <c r="D4454" s="4"/>
      <c r="E4454" s="4"/>
      <c r="F4454" s="4"/>
      <c r="G4454" s="4"/>
      <c r="H4454" s="4"/>
      <c r="I4454" s="4"/>
      <c r="J4454" s="18"/>
      <c r="K4454" s="4"/>
      <c r="L4454" s="19"/>
      <c r="M4454" s="20"/>
    </row>
    <row r="4455">
      <c r="A4455" s="6"/>
      <c r="B4455" s="6"/>
      <c r="C4455" s="4"/>
      <c r="D4455" s="4"/>
      <c r="E4455" s="4"/>
      <c r="F4455" s="4"/>
      <c r="G4455" s="4"/>
      <c r="H4455" s="4"/>
      <c r="I4455" s="4"/>
      <c r="J4455" s="18"/>
      <c r="K4455" s="4"/>
      <c r="L4455" s="19"/>
      <c r="M4455" s="20"/>
    </row>
    <row r="4456">
      <c r="A4456" s="6"/>
      <c r="B4456" s="6"/>
      <c r="C4456" s="4"/>
      <c r="D4456" s="4"/>
      <c r="E4456" s="4"/>
      <c r="F4456" s="4"/>
      <c r="G4456" s="4"/>
      <c r="H4456" s="4"/>
      <c r="I4456" s="4"/>
      <c r="J4456" s="18"/>
      <c r="K4456" s="4"/>
      <c r="L4456" s="19"/>
      <c r="M4456" s="20"/>
    </row>
    <row r="4457">
      <c r="A4457" s="6"/>
      <c r="B4457" s="6"/>
      <c r="C4457" s="4"/>
      <c r="D4457" s="4"/>
      <c r="E4457" s="4"/>
      <c r="F4457" s="4"/>
      <c r="G4457" s="4"/>
      <c r="H4457" s="4"/>
      <c r="I4457" s="4"/>
      <c r="J4457" s="18"/>
      <c r="K4457" s="4"/>
      <c r="L4457" s="19"/>
      <c r="M4457" s="20"/>
    </row>
    <row r="4458">
      <c r="A4458" s="6"/>
      <c r="B4458" s="6"/>
      <c r="C4458" s="4"/>
      <c r="D4458" s="4"/>
      <c r="E4458" s="4"/>
      <c r="F4458" s="4"/>
      <c r="G4458" s="4"/>
      <c r="H4458" s="4"/>
      <c r="I4458" s="4"/>
      <c r="J4458" s="18"/>
      <c r="K4458" s="4"/>
      <c r="L4458" s="19"/>
      <c r="M4458" s="20"/>
    </row>
    <row r="4459">
      <c r="A4459" s="6"/>
      <c r="B4459" s="6"/>
      <c r="C4459" s="4"/>
      <c r="D4459" s="4"/>
      <c r="E4459" s="4"/>
      <c r="F4459" s="4"/>
      <c r="G4459" s="4"/>
      <c r="H4459" s="4"/>
      <c r="I4459" s="4"/>
      <c r="J4459" s="18"/>
      <c r="K4459" s="4"/>
      <c r="L4459" s="19"/>
      <c r="M4459" s="20"/>
    </row>
    <row r="4460">
      <c r="A4460" s="6"/>
      <c r="B4460" s="6"/>
      <c r="C4460" s="4"/>
      <c r="D4460" s="4"/>
      <c r="E4460" s="4"/>
      <c r="F4460" s="4"/>
      <c r="G4460" s="4"/>
      <c r="H4460" s="4"/>
      <c r="I4460" s="4"/>
      <c r="J4460" s="18"/>
      <c r="K4460" s="4"/>
      <c r="L4460" s="19"/>
      <c r="M4460" s="20"/>
    </row>
    <row r="4461">
      <c r="A4461" s="6"/>
      <c r="B4461" s="6"/>
      <c r="C4461" s="4"/>
      <c r="D4461" s="4"/>
      <c r="E4461" s="4"/>
      <c r="F4461" s="4"/>
      <c r="G4461" s="4"/>
      <c r="H4461" s="4"/>
      <c r="I4461" s="4"/>
      <c r="J4461" s="18"/>
      <c r="K4461" s="4"/>
      <c r="L4461" s="19"/>
      <c r="M4461" s="20"/>
    </row>
    <row r="4462">
      <c r="A4462" s="6"/>
      <c r="B4462" s="6"/>
      <c r="C4462" s="4"/>
      <c r="D4462" s="4"/>
      <c r="E4462" s="4"/>
      <c r="F4462" s="4"/>
      <c r="G4462" s="4"/>
      <c r="H4462" s="4"/>
      <c r="I4462" s="4"/>
      <c r="J4462" s="18"/>
      <c r="K4462" s="4"/>
      <c r="L4462" s="19"/>
      <c r="M4462" s="20"/>
    </row>
    <row r="4463">
      <c r="A4463" s="6"/>
      <c r="B4463" s="6"/>
      <c r="C4463" s="4"/>
      <c r="D4463" s="4"/>
      <c r="E4463" s="4"/>
      <c r="F4463" s="4"/>
      <c r="G4463" s="4"/>
      <c r="H4463" s="4"/>
      <c r="I4463" s="4"/>
      <c r="J4463" s="18"/>
      <c r="K4463" s="4"/>
      <c r="L4463" s="19"/>
      <c r="M4463" s="20"/>
    </row>
    <row r="4464">
      <c r="A4464" s="6"/>
      <c r="B4464" s="6"/>
      <c r="C4464" s="4"/>
      <c r="D4464" s="4"/>
      <c r="E4464" s="4"/>
      <c r="F4464" s="4"/>
      <c r="G4464" s="4"/>
      <c r="H4464" s="4"/>
      <c r="I4464" s="4"/>
      <c r="J4464" s="18"/>
      <c r="K4464" s="4"/>
      <c r="L4464" s="19"/>
      <c r="M4464" s="20"/>
    </row>
    <row r="4465">
      <c r="A4465" s="6"/>
      <c r="B4465" s="6"/>
      <c r="C4465" s="4"/>
      <c r="D4465" s="4"/>
      <c r="E4465" s="4"/>
      <c r="F4465" s="4"/>
      <c r="G4465" s="4"/>
      <c r="H4465" s="4"/>
      <c r="I4465" s="4"/>
      <c r="J4465" s="18"/>
      <c r="K4465" s="4"/>
      <c r="L4465" s="19"/>
      <c r="M4465" s="20"/>
    </row>
    <row r="4466">
      <c r="A4466" s="6"/>
      <c r="B4466" s="6"/>
      <c r="C4466" s="4"/>
      <c r="D4466" s="4"/>
      <c r="E4466" s="4"/>
      <c r="F4466" s="4"/>
      <c r="G4466" s="4"/>
      <c r="H4466" s="4"/>
      <c r="I4466" s="4"/>
      <c r="J4466" s="18"/>
      <c r="K4466" s="4"/>
      <c r="L4466" s="19"/>
      <c r="M4466" s="20"/>
    </row>
    <row r="4467">
      <c r="A4467" s="6"/>
      <c r="B4467" s="6"/>
      <c r="C4467" s="4"/>
      <c r="D4467" s="4"/>
      <c r="E4467" s="4"/>
      <c r="F4467" s="4"/>
      <c r="G4467" s="4"/>
      <c r="H4467" s="4"/>
      <c r="I4467" s="4"/>
      <c r="J4467" s="18"/>
      <c r="K4467" s="4"/>
      <c r="L4467" s="19"/>
      <c r="M4467" s="20"/>
    </row>
    <row r="4468">
      <c r="A4468" s="6"/>
      <c r="B4468" s="6"/>
      <c r="C4468" s="4"/>
      <c r="D4468" s="4"/>
      <c r="E4468" s="4"/>
      <c r="F4468" s="4"/>
      <c r="G4468" s="4"/>
      <c r="H4468" s="4"/>
      <c r="I4468" s="4"/>
      <c r="J4468" s="18"/>
      <c r="K4468" s="4"/>
      <c r="L4468" s="19"/>
      <c r="M4468" s="20"/>
    </row>
    <row r="4469">
      <c r="A4469" s="6"/>
      <c r="B4469" s="6"/>
      <c r="C4469" s="4"/>
      <c r="D4469" s="4"/>
      <c r="E4469" s="4"/>
      <c r="F4469" s="4"/>
      <c r="G4469" s="4"/>
      <c r="H4469" s="4"/>
      <c r="I4469" s="4"/>
      <c r="J4469" s="18"/>
      <c r="K4469" s="4"/>
      <c r="L4469" s="19"/>
      <c r="M4469" s="20"/>
    </row>
    <row r="4470">
      <c r="A4470" s="6"/>
      <c r="B4470" s="6"/>
      <c r="C4470" s="4"/>
      <c r="D4470" s="4"/>
      <c r="E4470" s="4"/>
      <c r="F4470" s="4"/>
      <c r="G4470" s="4"/>
      <c r="H4470" s="4"/>
      <c r="I4470" s="4"/>
      <c r="J4470" s="18"/>
      <c r="K4470" s="4"/>
      <c r="L4470" s="19"/>
      <c r="M4470" s="20"/>
    </row>
    <row r="4471">
      <c r="A4471" s="6"/>
      <c r="B4471" s="6"/>
      <c r="C4471" s="4"/>
      <c r="D4471" s="4"/>
      <c r="E4471" s="4"/>
      <c r="F4471" s="4"/>
      <c r="G4471" s="4"/>
      <c r="H4471" s="4"/>
      <c r="I4471" s="4"/>
      <c r="J4471" s="18"/>
      <c r="K4471" s="4"/>
      <c r="L4471" s="19"/>
      <c r="M4471" s="20"/>
    </row>
    <row r="4472">
      <c r="A4472" s="6"/>
      <c r="B4472" s="6"/>
      <c r="C4472" s="4"/>
      <c r="D4472" s="4"/>
      <c r="E4472" s="4"/>
      <c r="F4472" s="4"/>
      <c r="G4472" s="4"/>
      <c r="H4472" s="4"/>
      <c r="I4472" s="4"/>
      <c r="J4472" s="18"/>
      <c r="K4472" s="4"/>
      <c r="L4472" s="19"/>
      <c r="M4472" s="20"/>
    </row>
    <row r="4473">
      <c r="A4473" s="6"/>
      <c r="B4473" s="6"/>
      <c r="C4473" s="4"/>
      <c r="D4473" s="4"/>
      <c r="E4473" s="4"/>
      <c r="F4473" s="4"/>
      <c r="G4473" s="4"/>
      <c r="H4473" s="4"/>
      <c r="I4473" s="4"/>
      <c r="J4473" s="18"/>
      <c r="K4473" s="4"/>
      <c r="L4473" s="19"/>
      <c r="M4473" s="20"/>
    </row>
    <row r="4474">
      <c r="A4474" s="6"/>
      <c r="B4474" s="6"/>
      <c r="C4474" s="4"/>
      <c r="D4474" s="4"/>
      <c r="E4474" s="4"/>
      <c r="F4474" s="4"/>
      <c r="G4474" s="4"/>
      <c r="H4474" s="4"/>
      <c r="I4474" s="4"/>
      <c r="J4474" s="18"/>
      <c r="K4474" s="4"/>
      <c r="L4474" s="19"/>
      <c r="M4474" s="20"/>
    </row>
    <row r="4475">
      <c r="A4475" s="6"/>
      <c r="B4475" s="6"/>
      <c r="C4475" s="4"/>
      <c r="D4475" s="4"/>
      <c r="E4475" s="4"/>
      <c r="F4475" s="4"/>
      <c r="G4475" s="4"/>
      <c r="H4475" s="4"/>
      <c r="I4475" s="4"/>
      <c r="J4475" s="18"/>
      <c r="K4475" s="4"/>
      <c r="L4475" s="19"/>
      <c r="M4475" s="20"/>
    </row>
    <row r="4476">
      <c r="A4476" s="6"/>
      <c r="B4476" s="6"/>
      <c r="C4476" s="4"/>
      <c r="D4476" s="4"/>
      <c r="E4476" s="4"/>
      <c r="F4476" s="4"/>
      <c r="G4476" s="4"/>
      <c r="H4476" s="4"/>
      <c r="I4476" s="4"/>
      <c r="J4476" s="18"/>
      <c r="K4476" s="4"/>
      <c r="L4476" s="19"/>
      <c r="M4476" s="20"/>
    </row>
    <row r="4477">
      <c r="A4477" s="6"/>
      <c r="B4477" s="6"/>
      <c r="C4477" s="4"/>
      <c r="D4477" s="4"/>
      <c r="E4477" s="4"/>
      <c r="F4477" s="4"/>
      <c r="G4477" s="4"/>
      <c r="H4477" s="4"/>
      <c r="I4477" s="4"/>
      <c r="J4477" s="18"/>
      <c r="K4477" s="4"/>
      <c r="L4477" s="19"/>
      <c r="M4477" s="20"/>
    </row>
    <row r="4478">
      <c r="A4478" s="6"/>
      <c r="B4478" s="6"/>
      <c r="C4478" s="4"/>
      <c r="D4478" s="4"/>
      <c r="E4478" s="4"/>
      <c r="F4478" s="4"/>
      <c r="G4478" s="4"/>
      <c r="H4478" s="4"/>
      <c r="I4478" s="4"/>
      <c r="J4478" s="18"/>
      <c r="K4478" s="4"/>
      <c r="L4478" s="19"/>
      <c r="M4478" s="20"/>
    </row>
    <row r="4479">
      <c r="A4479" s="6"/>
      <c r="B4479" s="6"/>
      <c r="C4479" s="4"/>
      <c r="D4479" s="4"/>
      <c r="E4479" s="4"/>
      <c r="F4479" s="4"/>
      <c r="G4479" s="4"/>
      <c r="H4479" s="4"/>
      <c r="I4479" s="4"/>
      <c r="J4479" s="18"/>
      <c r="K4479" s="4"/>
      <c r="L4479" s="19"/>
      <c r="M4479" s="20"/>
    </row>
    <row r="4480">
      <c r="A4480" s="6"/>
      <c r="B4480" s="6"/>
      <c r="C4480" s="4"/>
      <c r="D4480" s="4"/>
      <c r="E4480" s="4"/>
      <c r="F4480" s="4"/>
      <c r="G4480" s="4"/>
      <c r="H4480" s="4"/>
      <c r="I4480" s="4"/>
      <c r="J4480" s="18"/>
      <c r="K4480" s="4"/>
      <c r="L4480" s="19"/>
      <c r="M4480" s="20"/>
    </row>
    <row r="4481">
      <c r="A4481" s="6"/>
      <c r="B4481" s="6"/>
      <c r="C4481" s="4"/>
      <c r="D4481" s="4"/>
      <c r="E4481" s="4"/>
      <c r="F4481" s="4"/>
      <c r="G4481" s="4"/>
      <c r="H4481" s="4"/>
      <c r="I4481" s="4"/>
      <c r="J4481" s="18"/>
      <c r="K4481" s="4"/>
      <c r="L4481" s="19"/>
      <c r="M4481" s="20"/>
    </row>
    <row r="4482">
      <c r="A4482" s="6"/>
      <c r="B4482" s="6"/>
      <c r="C4482" s="4"/>
      <c r="D4482" s="4"/>
      <c r="E4482" s="4"/>
      <c r="F4482" s="4"/>
      <c r="G4482" s="4"/>
      <c r="H4482" s="4"/>
      <c r="I4482" s="4"/>
      <c r="J4482" s="18"/>
      <c r="K4482" s="4"/>
      <c r="L4482" s="19"/>
      <c r="M4482" s="20"/>
    </row>
    <row r="4483">
      <c r="A4483" s="6"/>
      <c r="B4483" s="6"/>
      <c r="C4483" s="4"/>
      <c r="D4483" s="4"/>
      <c r="E4483" s="4"/>
      <c r="F4483" s="4"/>
      <c r="G4483" s="4"/>
      <c r="H4483" s="4"/>
      <c r="I4483" s="4"/>
      <c r="J4483" s="18"/>
      <c r="K4483" s="4"/>
      <c r="L4483" s="19"/>
      <c r="M4483" s="20"/>
    </row>
    <row r="4484">
      <c r="A4484" s="6"/>
      <c r="B4484" s="6"/>
      <c r="C4484" s="4"/>
      <c r="D4484" s="4"/>
      <c r="E4484" s="4"/>
      <c r="F4484" s="4"/>
      <c r="G4484" s="4"/>
      <c r="H4484" s="4"/>
      <c r="I4484" s="4"/>
      <c r="J4484" s="18"/>
      <c r="K4484" s="4"/>
      <c r="L4484" s="19"/>
      <c r="M4484" s="20"/>
    </row>
    <row r="4485">
      <c r="A4485" s="6"/>
      <c r="B4485" s="6"/>
      <c r="C4485" s="4"/>
      <c r="D4485" s="4"/>
      <c r="E4485" s="4"/>
      <c r="F4485" s="4"/>
      <c r="G4485" s="4"/>
      <c r="H4485" s="4"/>
      <c r="I4485" s="4"/>
      <c r="J4485" s="18"/>
      <c r="K4485" s="4"/>
      <c r="L4485" s="19"/>
      <c r="M4485" s="20"/>
    </row>
    <row r="4486">
      <c r="A4486" s="6"/>
      <c r="B4486" s="6"/>
      <c r="C4486" s="4"/>
      <c r="D4486" s="4"/>
      <c r="E4486" s="4"/>
      <c r="F4486" s="4"/>
      <c r="G4486" s="4"/>
      <c r="H4486" s="4"/>
      <c r="I4486" s="4"/>
      <c r="J4486" s="18"/>
      <c r="K4486" s="4"/>
      <c r="L4486" s="19"/>
      <c r="M4486" s="20"/>
    </row>
    <row r="4487">
      <c r="A4487" s="6"/>
      <c r="B4487" s="6"/>
      <c r="C4487" s="4"/>
      <c r="D4487" s="4"/>
      <c r="E4487" s="4"/>
      <c r="F4487" s="4"/>
      <c r="G4487" s="4"/>
      <c r="H4487" s="4"/>
      <c r="I4487" s="4"/>
      <c r="J4487" s="18"/>
      <c r="K4487" s="4"/>
      <c r="L4487" s="19"/>
      <c r="M4487" s="20"/>
    </row>
    <row r="4488">
      <c r="A4488" s="6"/>
      <c r="B4488" s="6"/>
      <c r="C4488" s="4"/>
      <c r="D4488" s="4"/>
      <c r="E4488" s="4"/>
      <c r="F4488" s="4"/>
      <c r="G4488" s="4"/>
      <c r="H4488" s="4"/>
      <c r="I4488" s="4"/>
      <c r="J4488" s="18"/>
      <c r="K4488" s="4"/>
      <c r="L4488" s="19"/>
      <c r="M4488" s="20"/>
    </row>
    <row r="4489">
      <c r="A4489" s="6"/>
      <c r="B4489" s="6"/>
      <c r="C4489" s="4"/>
      <c r="D4489" s="4"/>
      <c r="E4489" s="4"/>
      <c r="F4489" s="4"/>
      <c r="G4489" s="4"/>
      <c r="H4489" s="4"/>
      <c r="I4489" s="4"/>
      <c r="J4489" s="18"/>
      <c r="K4489" s="4"/>
      <c r="L4489" s="19"/>
      <c r="M4489" s="20"/>
    </row>
    <row r="4490">
      <c r="A4490" s="6"/>
      <c r="B4490" s="6"/>
      <c r="C4490" s="4"/>
      <c r="D4490" s="4"/>
      <c r="E4490" s="4"/>
      <c r="F4490" s="4"/>
      <c r="G4490" s="4"/>
      <c r="H4490" s="4"/>
      <c r="I4490" s="4"/>
      <c r="J4490" s="18"/>
      <c r="K4490" s="4"/>
      <c r="L4490" s="19"/>
      <c r="M4490" s="20"/>
    </row>
    <row r="4491">
      <c r="A4491" s="6"/>
      <c r="B4491" s="6"/>
      <c r="C4491" s="4"/>
      <c r="D4491" s="4"/>
      <c r="E4491" s="4"/>
      <c r="F4491" s="4"/>
      <c r="G4491" s="4"/>
      <c r="H4491" s="4"/>
      <c r="I4491" s="4"/>
      <c r="J4491" s="18"/>
      <c r="K4491" s="4"/>
      <c r="L4491" s="19"/>
      <c r="M4491" s="20"/>
    </row>
    <row r="4492">
      <c r="A4492" s="6"/>
      <c r="B4492" s="6"/>
      <c r="C4492" s="4"/>
      <c r="D4492" s="4"/>
      <c r="E4492" s="4"/>
      <c r="F4492" s="4"/>
      <c r="G4492" s="4"/>
      <c r="H4492" s="4"/>
      <c r="I4492" s="4"/>
      <c r="J4492" s="18"/>
      <c r="K4492" s="4"/>
      <c r="L4492" s="19"/>
      <c r="M4492" s="20"/>
    </row>
    <row r="4493">
      <c r="A4493" s="6"/>
      <c r="B4493" s="6"/>
      <c r="C4493" s="4"/>
      <c r="D4493" s="4"/>
      <c r="E4493" s="4"/>
      <c r="F4493" s="4"/>
      <c r="G4493" s="4"/>
      <c r="H4493" s="4"/>
      <c r="I4493" s="4"/>
      <c r="J4493" s="18"/>
      <c r="K4493" s="4"/>
      <c r="L4493" s="19"/>
      <c r="M4493" s="20"/>
    </row>
    <row r="4494">
      <c r="A4494" s="6"/>
      <c r="B4494" s="6"/>
      <c r="C4494" s="4"/>
      <c r="D4494" s="4"/>
      <c r="E4494" s="4"/>
      <c r="F4494" s="4"/>
      <c r="G4494" s="4"/>
      <c r="H4494" s="4"/>
      <c r="I4494" s="4"/>
      <c r="J4494" s="18"/>
      <c r="K4494" s="4"/>
      <c r="L4494" s="19"/>
      <c r="M4494" s="20"/>
    </row>
    <row r="4495">
      <c r="A4495" s="6"/>
      <c r="B4495" s="6"/>
      <c r="C4495" s="4"/>
      <c r="D4495" s="4"/>
      <c r="E4495" s="4"/>
      <c r="F4495" s="4"/>
      <c r="G4495" s="4"/>
      <c r="H4495" s="4"/>
      <c r="I4495" s="4"/>
      <c r="J4495" s="18"/>
      <c r="K4495" s="4"/>
      <c r="L4495" s="19"/>
      <c r="M4495" s="20"/>
    </row>
    <row r="4496">
      <c r="A4496" s="6"/>
      <c r="B4496" s="6"/>
      <c r="C4496" s="4"/>
      <c r="D4496" s="4"/>
      <c r="E4496" s="4"/>
      <c r="F4496" s="4"/>
      <c r="G4496" s="4"/>
      <c r="H4496" s="4"/>
      <c r="I4496" s="4"/>
      <c r="J4496" s="18"/>
      <c r="K4496" s="4"/>
      <c r="L4496" s="19"/>
      <c r="M4496" s="20"/>
    </row>
    <row r="4497">
      <c r="A4497" s="6"/>
      <c r="B4497" s="6"/>
      <c r="C4497" s="4"/>
      <c r="D4497" s="4"/>
      <c r="E4497" s="4"/>
      <c r="F4497" s="4"/>
      <c r="G4497" s="4"/>
      <c r="H4497" s="4"/>
      <c r="I4497" s="4"/>
      <c r="J4497" s="18"/>
      <c r="K4497" s="4"/>
      <c r="L4497" s="19"/>
      <c r="M4497" s="20"/>
    </row>
    <row r="4498">
      <c r="A4498" s="6"/>
      <c r="B4498" s="6"/>
      <c r="C4498" s="4"/>
      <c r="D4498" s="4"/>
      <c r="E4498" s="4"/>
      <c r="F4498" s="4"/>
      <c r="G4498" s="4"/>
      <c r="H4498" s="4"/>
      <c r="I4498" s="4"/>
      <c r="J4498" s="18"/>
      <c r="K4498" s="4"/>
      <c r="L4498" s="19"/>
      <c r="M4498" s="20"/>
    </row>
    <row r="4499">
      <c r="A4499" s="6"/>
      <c r="B4499" s="6"/>
      <c r="C4499" s="4"/>
      <c r="D4499" s="4"/>
      <c r="E4499" s="4"/>
      <c r="F4499" s="4"/>
      <c r="G4499" s="4"/>
      <c r="H4499" s="4"/>
      <c r="I4499" s="4"/>
      <c r="J4499" s="18"/>
      <c r="K4499" s="4"/>
      <c r="L4499" s="19"/>
      <c r="M4499" s="20"/>
    </row>
    <row r="4500">
      <c r="A4500" s="6"/>
      <c r="B4500" s="6"/>
      <c r="C4500" s="4"/>
      <c r="D4500" s="4"/>
      <c r="E4500" s="4"/>
      <c r="F4500" s="4"/>
      <c r="G4500" s="4"/>
      <c r="H4500" s="4"/>
      <c r="I4500" s="4"/>
      <c r="J4500" s="18"/>
      <c r="K4500" s="4"/>
      <c r="L4500" s="19"/>
      <c r="M4500" s="20"/>
    </row>
    <row r="4501">
      <c r="A4501" s="6"/>
      <c r="B4501" s="6"/>
      <c r="C4501" s="4"/>
      <c r="D4501" s="4"/>
      <c r="E4501" s="4"/>
      <c r="F4501" s="4"/>
      <c r="G4501" s="4"/>
      <c r="H4501" s="4"/>
      <c r="I4501" s="4"/>
      <c r="J4501" s="18"/>
      <c r="K4501" s="4"/>
      <c r="L4501" s="19"/>
      <c r="M4501" s="20"/>
    </row>
    <row r="4502">
      <c r="A4502" s="6"/>
      <c r="B4502" s="6"/>
      <c r="C4502" s="4"/>
      <c r="D4502" s="4"/>
      <c r="E4502" s="4"/>
      <c r="F4502" s="4"/>
      <c r="G4502" s="4"/>
      <c r="H4502" s="4"/>
      <c r="I4502" s="4"/>
      <c r="J4502" s="18"/>
      <c r="K4502" s="4"/>
      <c r="L4502" s="19"/>
      <c r="M4502" s="20"/>
    </row>
    <row r="4503">
      <c r="A4503" s="6"/>
      <c r="B4503" s="6"/>
      <c r="C4503" s="4"/>
      <c r="D4503" s="4"/>
      <c r="E4503" s="4"/>
      <c r="F4503" s="4"/>
      <c r="G4503" s="4"/>
      <c r="H4503" s="4"/>
      <c r="I4503" s="4"/>
      <c r="J4503" s="18"/>
      <c r="K4503" s="4"/>
      <c r="L4503" s="19"/>
      <c r="M4503" s="20"/>
    </row>
    <row r="4504">
      <c r="A4504" s="6"/>
      <c r="B4504" s="6"/>
      <c r="C4504" s="4"/>
      <c r="D4504" s="4"/>
      <c r="E4504" s="4"/>
      <c r="F4504" s="4"/>
      <c r="G4504" s="4"/>
      <c r="H4504" s="4"/>
      <c r="I4504" s="4"/>
      <c r="J4504" s="18"/>
      <c r="K4504" s="4"/>
      <c r="L4504" s="19"/>
      <c r="M4504" s="20"/>
    </row>
    <row r="4505">
      <c r="A4505" s="6"/>
      <c r="B4505" s="6"/>
      <c r="C4505" s="4"/>
      <c r="D4505" s="4"/>
      <c r="E4505" s="4"/>
      <c r="F4505" s="4"/>
      <c r="G4505" s="4"/>
      <c r="H4505" s="4"/>
      <c r="I4505" s="4"/>
      <c r="J4505" s="18"/>
      <c r="K4505" s="4"/>
      <c r="L4505" s="19"/>
      <c r="M4505" s="20"/>
    </row>
    <row r="4506">
      <c r="A4506" s="6"/>
      <c r="B4506" s="6"/>
      <c r="C4506" s="4"/>
      <c r="D4506" s="4"/>
      <c r="E4506" s="4"/>
      <c r="F4506" s="4"/>
      <c r="G4506" s="4"/>
      <c r="H4506" s="4"/>
      <c r="I4506" s="4"/>
      <c r="J4506" s="18"/>
      <c r="K4506" s="4"/>
      <c r="L4506" s="19"/>
      <c r="M4506" s="20"/>
    </row>
    <row r="4507">
      <c r="A4507" s="6"/>
      <c r="B4507" s="6"/>
      <c r="C4507" s="4"/>
      <c r="D4507" s="4"/>
      <c r="E4507" s="4"/>
      <c r="F4507" s="4"/>
      <c r="G4507" s="4"/>
      <c r="H4507" s="4"/>
      <c r="I4507" s="4"/>
      <c r="J4507" s="18"/>
      <c r="K4507" s="4"/>
      <c r="L4507" s="19"/>
      <c r="M4507" s="20"/>
    </row>
    <row r="4508">
      <c r="A4508" s="6"/>
      <c r="B4508" s="6"/>
      <c r="C4508" s="4"/>
      <c r="D4508" s="4"/>
      <c r="E4508" s="4"/>
      <c r="F4508" s="4"/>
      <c r="G4508" s="4"/>
      <c r="H4508" s="4"/>
      <c r="I4508" s="4"/>
      <c r="J4508" s="18"/>
      <c r="K4508" s="4"/>
      <c r="L4508" s="19"/>
      <c r="M4508" s="20"/>
    </row>
    <row r="4509">
      <c r="A4509" s="6"/>
      <c r="B4509" s="6"/>
      <c r="C4509" s="4"/>
      <c r="D4509" s="4"/>
      <c r="E4509" s="4"/>
      <c r="F4509" s="4"/>
      <c r="G4509" s="4"/>
      <c r="H4509" s="4"/>
      <c r="I4509" s="4"/>
      <c r="J4509" s="18"/>
      <c r="K4509" s="4"/>
      <c r="L4509" s="19"/>
      <c r="M4509" s="20"/>
    </row>
    <row r="4510">
      <c r="A4510" s="6"/>
      <c r="B4510" s="6"/>
      <c r="C4510" s="4"/>
      <c r="D4510" s="4"/>
      <c r="E4510" s="4"/>
      <c r="F4510" s="4"/>
      <c r="G4510" s="4"/>
      <c r="H4510" s="4"/>
      <c r="I4510" s="4"/>
      <c r="J4510" s="18"/>
      <c r="K4510" s="4"/>
      <c r="L4510" s="19"/>
      <c r="M4510" s="20"/>
    </row>
    <row r="4511">
      <c r="A4511" s="6"/>
      <c r="B4511" s="6"/>
      <c r="C4511" s="4"/>
      <c r="D4511" s="4"/>
      <c r="E4511" s="4"/>
      <c r="F4511" s="4"/>
      <c r="G4511" s="4"/>
      <c r="H4511" s="4"/>
      <c r="I4511" s="4"/>
      <c r="J4511" s="18"/>
      <c r="K4511" s="4"/>
      <c r="L4511" s="19"/>
      <c r="M4511" s="20"/>
    </row>
    <row r="4512">
      <c r="A4512" s="6"/>
      <c r="B4512" s="6"/>
      <c r="C4512" s="4"/>
      <c r="D4512" s="4"/>
      <c r="E4512" s="4"/>
      <c r="F4512" s="4"/>
      <c r="G4512" s="4"/>
      <c r="H4512" s="4"/>
      <c r="I4512" s="4"/>
      <c r="J4512" s="18"/>
      <c r="K4512" s="4"/>
      <c r="L4512" s="19"/>
      <c r="M4512" s="20"/>
    </row>
    <row r="4513">
      <c r="A4513" s="6"/>
      <c r="B4513" s="6"/>
      <c r="C4513" s="4"/>
      <c r="D4513" s="4"/>
      <c r="E4513" s="4"/>
      <c r="F4513" s="4"/>
      <c r="G4513" s="4"/>
      <c r="H4513" s="4"/>
      <c r="I4513" s="4"/>
      <c r="J4513" s="18"/>
      <c r="K4513" s="4"/>
      <c r="L4513" s="19"/>
      <c r="M4513" s="20"/>
    </row>
    <row r="4514">
      <c r="A4514" s="6"/>
      <c r="B4514" s="6"/>
      <c r="C4514" s="4"/>
      <c r="D4514" s="4"/>
      <c r="E4514" s="4"/>
      <c r="F4514" s="4"/>
      <c r="G4514" s="4"/>
      <c r="H4514" s="4"/>
      <c r="I4514" s="4"/>
      <c r="J4514" s="18"/>
      <c r="K4514" s="4"/>
      <c r="L4514" s="19"/>
      <c r="M4514" s="20"/>
    </row>
    <row r="4515">
      <c r="A4515" s="6"/>
      <c r="B4515" s="6"/>
      <c r="C4515" s="4"/>
      <c r="D4515" s="4"/>
      <c r="E4515" s="4"/>
      <c r="F4515" s="4"/>
      <c r="G4515" s="4"/>
      <c r="H4515" s="4"/>
      <c r="I4515" s="4"/>
      <c r="J4515" s="18"/>
      <c r="K4515" s="4"/>
      <c r="L4515" s="19"/>
      <c r="M4515" s="20"/>
    </row>
    <row r="4516">
      <c r="A4516" s="6"/>
      <c r="B4516" s="6"/>
      <c r="C4516" s="4"/>
      <c r="D4516" s="4"/>
      <c r="E4516" s="4"/>
      <c r="F4516" s="4"/>
      <c r="G4516" s="4"/>
      <c r="H4516" s="4"/>
      <c r="I4516" s="4"/>
      <c r="J4516" s="18"/>
      <c r="K4516" s="4"/>
      <c r="L4516" s="19"/>
      <c r="M4516" s="20"/>
    </row>
    <row r="4517">
      <c r="A4517" s="6"/>
      <c r="B4517" s="6"/>
      <c r="C4517" s="4"/>
      <c r="D4517" s="4"/>
      <c r="E4517" s="4"/>
      <c r="F4517" s="4"/>
      <c r="G4517" s="4"/>
      <c r="H4517" s="4"/>
      <c r="I4517" s="4"/>
      <c r="J4517" s="18"/>
      <c r="K4517" s="4"/>
      <c r="L4517" s="19"/>
      <c r="M4517" s="20"/>
    </row>
    <row r="4518">
      <c r="A4518" s="6"/>
      <c r="B4518" s="6"/>
      <c r="C4518" s="4"/>
      <c r="D4518" s="4"/>
      <c r="E4518" s="4"/>
      <c r="F4518" s="4"/>
      <c r="G4518" s="4"/>
      <c r="H4518" s="4"/>
      <c r="I4518" s="4"/>
      <c r="J4518" s="18"/>
      <c r="K4518" s="4"/>
      <c r="L4518" s="19"/>
      <c r="M4518" s="20"/>
    </row>
    <row r="4519">
      <c r="A4519" s="6"/>
      <c r="B4519" s="6"/>
      <c r="C4519" s="4"/>
      <c r="D4519" s="4"/>
      <c r="E4519" s="4"/>
      <c r="F4519" s="4"/>
      <c r="G4519" s="4"/>
      <c r="H4519" s="4"/>
      <c r="I4519" s="4"/>
      <c r="J4519" s="18"/>
      <c r="K4519" s="4"/>
      <c r="L4519" s="19"/>
      <c r="M4519" s="20"/>
    </row>
    <row r="4520">
      <c r="A4520" s="6"/>
      <c r="B4520" s="6"/>
      <c r="C4520" s="4"/>
      <c r="D4520" s="4"/>
      <c r="E4520" s="4"/>
      <c r="F4520" s="4"/>
      <c r="G4520" s="4"/>
      <c r="H4520" s="4"/>
      <c r="I4520" s="4"/>
      <c r="J4520" s="18"/>
      <c r="K4520" s="4"/>
      <c r="L4520" s="19"/>
      <c r="M4520" s="20"/>
    </row>
    <row r="4521">
      <c r="A4521" s="6"/>
      <c r="B4521" s="6"/>
      <c r="C4521" s="4"/>
      <c r="D4521" s="4"/>
      <c r="E4521" s="4"/>
      <c r="F4521" s="4"/>
      <c r="G4521" s="4"/>
      <c r="H4521" s="4"/>
      <c r="I4521" s="4"/>
      <c r="J4521" s="18"/>
      <c r="K4521" s="4"/>
      <c r="L4521" s="19"/>
      <c r="M4521" s="20"/>
    </row>
    <row r="4522">
      <c r="A4522" s="6"/>
      <c r="B4522" s="6"/>
      <c r="C4522" s="4"/>
      <c r="D4522" s="4"/>
      <c r="E4522" s="4"/>
      <c r="F4522" s="4"/>
      <c r="G4522" s="4"/>
      <c r="H4522" s="4"/>
      <c r="I4522" s="4"/>
      <c r="J4522" s="18"/>
      <c r="K4522" s="4"/>
      <c r="L4522" s="19"/>
      <c r="M4522" s="20"/>
    </row>
    <row r="4523">
      <c r="A4523" s="6"/>
      <c r="B4523" s="6"/>
      <c r="C4523" s="4"/>
      <c r="D4523" s="4"/>
      <c r="E4523" s="4"/>
      <c r="F4523" s="4"/>
      <c r="G4523" s="4"/>
      <c r="H4523" s="4"/>
      <c r="I4523" s="4"/>
      <c r="J4523" s="18"/>
      <c r="K4523" s="4"/>
      <c r="L4523" s="19"/>
      <c r="M4523" s="20"/>
    </row>
    <row r="4524">
      <c r="A4524" s="6"/>
      <c r="B4524" s="6"/>
      <c r="C4524" s="4"/>
      <c r="D4524" s="4"/>
      <c r="E4524" s="4"/>
      <c r="F4524" s="4"/>
      <c r="G4524" s="4"/>
      <c r="H4524" s="4"/>
      <c r="I4524" s="4"/>
      <c r="J4524" s="18"/>
      <c r="K4524" s="4"/>
      <c r="L4524" s="19"/>
      <c r="M4524" s="20"/>
    </row>
    <row r="4525">
      <c r="A4525" s="6"/>
      <c r="B4525" s="6"/>
      <c r="C4525" s="4"/>
      <c r="D4525" s="4"/>
      <c r="E4525" s="4"/>
      <c r="F4525" s="4"/>
      <c r="G4525" s="4"/>
      <c r="H4525" s="4"/>
      <c r="I4525" s="4"/>
      <c r="J4525" s="18"/>
      <c r="K4525" s="4"/>
      <c r="L4525" s="19"/>
      <c r="M4525" s="20"/>
    </row>
    <row r="4526">
      <c r="A4526" s="6"/>
      <c r="B4526" s="6"/>
      <c r="C4526" s="4"/>
      <c r="D4526" s="4"/>
      <c r="E4526" s="4"/>
      <c r="F4526" s="4"/>
      <c r="G4526" s="4"/>
      <c r="H4526" s="4"/>
      <c r="I4526" s="4"/>
      <c r="J4526" s="18"/>
      <c r="K4526" s="4"/>
      <c r="L4526" s="19"/>
      <c r="M4526" s="20"/>
    </row>
    <row r="4527">
      <c r="A4527" s="6"/>
      <c r="B4527" s="6"/>
      <c r="C4527" s="4"/>
      <c r="D4527" s="4"/>
      <c r="E4527" s="4"/>
      <c r="F4527" s="4"/>
      <c r="G4527" s="4"/>
      <c r="H4527" s="4"/>
      <c r="I4527" s="4"/>
      <c r="J4527" s="18"/>
      <c r="K4527" s="4"/>
      <c r="L4527" s="19"/>
      <c r="M4527" s="20"/>
    </row>
    <row r="4528">
      <c r="A4528" s="6"/>
      <c r="B4528" s="6"/>
      <c r="C4528" s="4"/>
      <c r="D4528" s="4"/>
      <c r="E4528" s="4"/>
      <c r="F4528" s="4"/>
      <c r="G4528" s="4"/>
      <c r="H4528" s="4"/>
      <c r="I4528" s="4"/>
      <c r="J4528" s="18"/>
      <c r="K4528" s="4"/>
      <c r="L4528" s="19"/>
      <c r="M4528" s="20"/>
    </row>
    <row r="4529">
      <c r="A4529" s="6"/>
      <c r="B4529" s="6"/>
      <c r="C4529" s="4"/>
      <c r="D4529" s="4"/>
      <c r="E4529" s="4"/>
      <c r="F4529" s="4"/>
      <c r="G4529" s="4"/>
      <c r="H4529" s="4"/>
      <c r="I4529" s="4"/>
      <c r="J4529" s="18"/>
      <c r="K4529" s="4"/>
      <c r="L4529" s="19"/>
      <c r="M4529" s="20"/>
    </row>
    <row r="4530">
      <c r="A4530" s="6"/>
      <c r="B4530" s="6"/>
      <c r="C4530" s="4"/>
      <c r="D4530" s="4"/>
      <c r="E4530" s="4"/>
      <c r="F4530" s="4"/>
      <c r="G4530" s="4"/>
      <c r="H4530" s="4"/>
      <c r="I4530" s="4"/>
      <c r="J4530" s="18"/>
      <c r="K4530" s="4"/>
      <c r="L4530" s="19"/>
      <c r="M4530" s="20"/>
    </row>
    <row r="4531">
      <c r="A4531" s="6"/>
      <c r="B4531" s="6"/>
      <c r="C4531" s="4"/>
      <c r="D4531" s="4"/>
      <c r="E4531" s="4"/>
      <c r="F4531" s="4"/>
      <c r="G4531" s="4"/>
      <c r="H4531" s="4"/>
      <c r="I4531" s="4"/>
      <c r="J4531" s="18"/>
      <c r="K4531" s="4"/>
      <c r="L4531" s="19"/>
      <c r="M4531" s="20"/>
    </row>
    <row r="4532">
      <c r="A4532" s="6"/>
      <c r="B4532" s="6"/>
      <c r="C4532" s="4"/>
      <c r="D4532" s="4"/>
      <c r="E4532" s="4"/>
      <c r="F4532" s="4"/>
      <c r="G4532" s="4"/>
      <c r="H4532" s="4"/>
      <c r="I4532" s="4"/>
      <c r="J4532" s="18"/>
      <c r="K4532" s="4"/>
      <c r="L4532" s="19"/>
      <c r="M4532" s="20"/>
    </row>
    <row r="4533">
      <c r="A4533" s="6"/>
      <c r="B4533" s="6"/>
      <c r="C4533" s="4"/>
      <c r="D4533" s="4"/>
      <c r="E4533" s="4"/>
      <c r="F4533" s="4"/>
      <c r="G4533" s="4"/>
      <c r="H4533" s="4"/>
      <c r="I4533" s="4"/>
      <c r="J4533" s="18"/>
      <c r="K4533" s="4"/>
      <c r="L4533" s="19"/>
      <c r="M4533" s="20"/>
    </row>
    <row r="4534">
      <c r="A4534" s="6"/>
      <c r="B4534" s="6"/>
      <c r="C4534" s="4"/>
      <c r="D4534" s="4"/>
      <c r="E4534" s="4"/>
      <c r="F4534" s="4"/>
      <c r="G4534" s="4"/>
      <c r="H4534" s="4"/>
      <c r="I4534" s="4"/>
      <c r="J4534" s="18"/>
      <c r="K4534" s="4"/>
      <c r="L4534" s="19"/>
      <c r="M4534" s="20"/>
    </row>
    <row r="4535">
      <c r="A4535" s="6"/>
      <c r="B4535" s="6"/>
      <c r="C4535" s="4"/>
      <c r="D4535" s="4"/>
      <c r="E4535" s="4"/>
      <c r="F4535" s="4"/>
      <c r="G4535" s="4"/>
      <c r="H4535" s="4"/>
      <c r="I4535" s="4"/>
      <c r="J4535" s="18"/>
      <c r="K4535" s="4"/>
      <c r="L4535" s="19"/>
      <c r="M4535" s="20"/>
    </row>
    <row r="4536">
      <c r="A4536" s="6"/>
      <c r="B4536" s="6"/>
      <c r="C4536" s="4"/>
      <c r="D4536" s="4"/>
      <c r="E4536" s="4"/>
      <c r="F4536" s="4"/>
      <c r="G4536" s="4"/>
      <c r="H4536" s="4"/>
      <c r="I4536" s="4"/>
      <c r="J4536" s="18"/>
      <c r="K4536" s="4"/>
      <c r="L4536" s="19"/>
      <c r="M4536" s="20"/>
    </row>
    <row r="4537">
      <c r="A4537" s="6"/>
      <c r="B4537" s="6"/>
      <c r="C4537" s="4"/>
      <c r="D4537" s="4"/>
      <c r="E4537" s="4"/>
      <c r="F4537" s="4"/>
      <c r="G4537" s="4"/>
      <c r="H4537" s="4"/>
      <c r="I4537" s="4"/>
      <c r="J4537" s="18"/>
      <c r="K4537" s="4"/>
      <c r="L4537" s="19"/>
      <c r="M4537" s="20"/>
    </row>
    <row r="4538">
      <c r="A4538" s="6"/>
      <c r="B4538" s="6"/>
      <c r="C4538" s="4"/>
      <c r="D4538" s="4"/>
      <c r="E4538" s="4"/>
      <c r="F4538" s="4"/>
      <c r="G4538" s="4"/>
      <c r="H4538" s="4"/>
      <c r="I4538" s="4"/>
      <c r="J4538" s="18"/>
      <c r="K4538" s="4"/>
      <c r="L4538" s="19"/>
      <c r="M4538" s="20"/>
    </row>
    <row r="4539">
      <c r="A4539" s="6"/>
      <c r="B4539" s="6"/>
      <c r="C4539" s="4"/>
      <c r="D4539" s="4"/>
      <c r="E4539" s="4"/>
      <c r="F4539" s="4"/>
      <c r="G4539" s="4"/>
      <c r="H4539" s="4"/>
      <c r="I4539" s="4"/>
      <c r="J4539" s="18"/>
      <c r="K4539" s="4"/>
      <c r="L4539" s="19"/>
      <c r="M4539" s="20"/>
    </row>
    <row r="4540">
      <c r="A4540" s="6"/>
      <c r="B4540" s="6"/>
      <c r="C4540" s="4"/>
      <c r="D4540" s="4"/>
      <c r="E4540" s="4"/>
      <c r="F4540" s="4"/>
      <c r="G4540" s="4"/>
      <c r="H4540" s="4"/>
      <c r="I4540" s="4"/>
      <c r="J4540" s="18"/>
      <c r="K4540" s="4"/>
      <c r="L4540" s="19"/>
      <c r="M4540" s="20"/>
    </row>
    <row r="4541">
      <c r="A4541" s="6"/>
      <c r="B4541" s="6"/>
      <c r="C4541" s="4"/>
      <c r="D4541" s="4"/>
      <c r="E4541" s="4"/>
      <c r="F4541" s="4"/>
      <c r="G4541" s="4"/>
      <c r="H4541" s="4"/>
      <c r="I4541" s="4"/>
      <c r="J4541" s="18"/>
      <c r="K4541" s="4"/>
      <c r="L4541" s="19"/>
      <c r="M4541" s="20"/>
    </row>
    <row r="4542">
      <c r="A4542" s="6"/>
      <c r="B4542" s="6"/>
      <c r="C4542" s="4"/>
      <c r="D4542" s="4"/>
      <c r="E4542" s="4"/>
      <c r="F4542" s="4"/>
      <c r="G4542" s="4"/>
      <c r="H4542" s="4"/>
      <c r="I4542" s="4"/>
      <c r="J4542" s="18"/>
      <c r="K4542" s="4"/>
      <c r="L4542" s="19"/>
      <c r="M4542" s="20"/>
    </row>
    <row r="4543">
      <c r="A4543" s="6"/>
      <c r="B4543" s="6"/>
      <c r="C4543" s="4"/>
      <c r="D4543" s="4"/>
      <c r="E4543" s="4"/>
      <c r="F4543" s="4"/>
      <c r="G4543" s="4"/>
      <c r="H4543" s="4"/>
      <c r="I4543" s="4"/>
      <c r="J4543" s="18"/>
      <c r="K4543" s="4"/>
      <c r="L4543" s="19"/>
      <c r="M4543" s="20"/>
    </row>
    <row r="4544">
      <c r="A4544" s="6"/>
      <c r="B4544" s="6"/>
      <c r="C4544" s="4"/>
      <c r="D4544" s="4"/>
      <c r="E4544" s="4"/>
      <c r="F4544" s="4"/>
      <c r="G4544" s="4"/>
      <c r="H4544" s="4"/>
      <c r="I4544" s="4"/>
      <c r="J4544" s="18"/>
      <c r="K4544" s="4"/>
      <c r="L4544" s="19"/>
      <c r="M4544" s="20"/>
    </row>
    <row r="4545">
      <c r="A4545" s="6"/>
      <c r="B4545" s="6"/>
      <c r="C4545" s="4"/>
      <c r="D4545" s="4"/>
      <c r="E4545" s="4"/>
      <c r="F4545" s="4"/>
      <c r="G4545" s="4"/>
      <c r="H4545" s="4"/>
      <c r="I4545" s="4"/>
      <c r="J4545" s="18"/>
      <c r="K4545" s="4"/>
      <c r="L4545" s="19"/>
      <c r="M4545" s="20"/>
    </row>
    <row r="4546">
      <c r="A4546" s="6"/>
      <c r="B4546" s="6"/>
      <c r="C4546" s="4"/>
      <c r="D4546" s="4"/>
      <c r="E4546" s="4"/>
      <c r="F4546" s="4"/>
      <c r="G4546" s="4"/>
      <c r="H4546" s="4"/>
      <c r="I4546" s="4"/>
      <c r="J4546" s="18"/>
      <c r="K4546" s="4"/>
      <c r="L4546" s="19"/>
      <c r="M4546" s="20"/>
    </row>
    <row r="4547">
      <c r="A4547" s="6"/>
      <c r="B4547" s="6"/>
      <c r="C4547" s="4"/>
      <c r="D4547" s="4"/>
      <c r="E4547" s="4"/>
      <c r="F4547" s="4"/>
      <c r="G4547" s="4"/>
      <c r="H4547" s="4"/>
      <c r="I4547" s="4"/>
      <c r="J4547" s="18"/>
      <c r="K4547" s="4"/>
      <c r="L4547" s="19"/>
      <c r="M4547" s="20"/>
    </row>
    <row r="4548">
      <c r="A4548" s="6"/>
      <c r="B4548" s="6"/>
      <c r="C4548" s="4"/>
      <c r="D4548" s="4"/>
      <c r="E4548" s="4"/>
      <c r="F4548" s="4"/>
      <c r="G4548" s="4"/>
      <c r="H4548" s="4"/>
      <c r="I4548" s="4"/>
      <c r="J4548" s="18"/>
      <c r="K4548" s="4"/>
      <c r="L4548" s="19"/>
      <c r="M4548" s="20"/>
    </row>
    <row r="4549">
      <c r="A4549" s="6"/>
      <c r="B4549" s="6"/>
      <c r="C4549" s="4"/>
      <c r="D4549" s="4"/>
      <c r="E4549" s="4"/>
      <c r="F4549" s="4"/>
      <c r="G4549" s="4"/>
      <c r="H4549" s="4"/>
      <c r="I4549" s="4"/>
      <c r="J4549" s="18"/>
      <c r="K4549" s="4"/>
      <c r="L4549" s="19"/>
      <c r="M4549" s="20"/>
    </row>
    <row r="4550">
      <c r="A4550" s="6"/>
      <c r="B4550" s="6"/>
      <c r="C4550" s="4"/>
      <c r="D4550" s="4"/>
      <c r="E4550" s="4"/>
      <c r="F4550" s="4"/>
      <c r="G4550" s="4"/>
      <c r="H4550" s="4"/>
      <c r="I4550" s="4"/>
      <c r="J4550" s="18"/>
      <c r="K4550" s="4"/>
      <c r="L4550" s="19"/>
      <c r="M4550" s="20"/>
    </row>
    <row r="4551">
      <c r="A4551" s="6"/>
      <c r="B4551" s="6"/>
      <c r="C4551" s="4"/>
      <c r="D4551" s="4"/>
      <c r="E4551" s="4"/>
      <c r="F4551" s="4"/>
      <c r="G4551" s="4"/>
      <c r="H4551" s="4"/>
      <c r="I4551" s="4"/>
      <c r="J4551" s="18"/>
      <c r="K4551" s="4"/>
      <c r="L4551" s="19"/>
      <c r="M4551" s="20"/>
    </row>
    <row r="4552">
      <c r="A4552" s="6"/>
      <c r="B4552" s="6"/>
      <c r="C4552" s="4"/>
      <c r="D4552" s="4"/>
      <c r="E4552" s="4"/>
      <c r="F4552" s="4"/>
      <c r="G4552" s="4"/>
      <c r="H4552" s="4"/>
      <c r="I4552" s="4"/>
      <c r="J4552" s="18"/>
      <c r="K4552" s="4"/>
      <c r="L4552" s="19"/>
      <c r="M4552" s="20"/>
    </row>
    <row r="4553">
      <c r="A4553" s="6"/>
      <c r="B4553" s="6"/>
      <c r="C4553" s="4"/>
      <c r="D4553" s="4"/>
      <c r="E4553" s="4"/>
      <c r="F4553" s="4"/>
      <c r="G4553" s="4"/>
      <c r="H4553" s="4"/>
      <c r="I4553" s="4"/>
      <c r="J4553" s="18"/>
      <c r="K4553" s="4"/>
      <c r="L4553" s="19"/>
      <c r="M4553" s="20"/>
    </row>
    <row r="4554">
      <c r="A4554" s="6"/>
      <c r="B4554" s="6"/>
      <c r="C4554" s="4"/>
      <c r="D4554" s="4"/>
      <c r="E4554" s="4"/>
      <c r="F4554" s="4"/>
      <c r="G4554" s="4"/>
      <c r="H4554" s="4"/>
      <c r="I4554" s="4"/>
      <c r="J4554" s="18"/>
      <c r="K4554" s="4"/>
      <c r="L4554" s="19"/>
      <c r="M4554" s="20"/>
    </row>
    <row r="4555">
      <c r="A4555" s="6"/>
      <c r="B4555" s="6"/>
      <c r="C4555" s="4"/>
      <c r="D4555" s="4"/>
      <c r="E4555" s="4"/>
      <c r="F4555" s="4"/>
      <c r="G4555" s="4"/>
      <c r="H4555" s="4"/>
      <c r="I4555" s="4"/>
      <c r="J4555" s="18"/>
      <c r="K4555" s="4"/>
      <c r="L4555" s="19"/>
      <c r="M4555" s="20"/>
    </row>
    <row r="4556">
      <c r="A4556" s="6"/>
      <c r="B4556" s="6"/>
      <c r="C4556" s="4"/>
      <c r="D4556" s="4"/>
      <c r="E4556" s="4"/>
      <c r="F4556" s="4"/>
      <c r="G4556" s="4"/>
      <c r="H4556" s="4"/>
      <c r="I4556" s="4"/>
      <c r="J4556" s="18"/>
      <c r="K4556" s="4"/>
      <c r="L4556" s="19"/>
      <c r="M4556" s="20"/>
    </row>
    <row r="4557">
      <c r="A4557" s="6"/>
      <c r="B4557" s="6"/>
      <c r="C4557" s="4"/>
      <c r="D4557" s="4"/>
      <c r="E4557" s="4"/>
      <c r="F4557" s="4"/>
      <c r="G4557" s="4"/>
      <c r="H4557" s="4"/>
      <c r="I4557" s="4"/>
      <c r="J4557" s="18"/>
      <c r="K4557" s="4"/>
      <c r="L4557" s="19"/>
      <c r="M4557" s="20"/>
    </row>
    <row r="4558">
      <c r="A4558" s="6"/>
      <c r="B4558" s="6"/>
      <c r="C4558" s="4"/>
      <c r="D4558" s="4"/>
      <c r="E4558" s="4"/>
      <c r="F4558" s="4"/>
      <c r="G4558" s="4"/>
      <c r="H4558" s="4"/>
      <c r="I4558" s="4"/>
      <c r="J4558" s="18"/>
      <c r="K4558" s="4"/>
      <c r="L4558" s="19"/>
      <c r="M4558" s="20"/>
    </row>
    <row r="4559">
      <c r="A4559" s="6"/>
      <c r="B4559" s="6"/>
      <c r="C4559" s="4"/>
      <c r="D4559" s="4"/>
      <c r="E4559" s="4"/>
      <c r="F4559" s="4"/>
      <c r="G4559" s="4"/>
      <c r="H4559" s="4"/>
      <c r="I4559" s="4"/>
      <c r="J4559" s="18"/>
      <c r="K4559" s="4"/>
      <c r="L4559" s="19"/>
      <c r="M4559" s="20"/>
    </row>
    <row r="4560">
      <c r="A4560" s="6"/>
      <c r="B4560" s="6"/>
      <c r="C4560" s="4"/>
      <c r="D4560" s="4"/>
      <c r="E4560" s="4"/>
      <c r="F4560" s="4"/>
      <c r="G4560" s="4"/>
      <c r="H4560" s="4"/>
      <c r="I4560" s="4"/>
      <c r="J4560" s="18"/>
      <c r="K4560" s="4"/>
      <c r="L4560" s="19"/>
      <c r="M4560" s="20"/>
    </row>
    <row r="4561">
      <c r="A4561" s="6"/>
      <c r="B4561" s="6"/>
      <c r="C4561" s="4"/>
      <c r="D4561" s="4"/>
      <c r="E4561" s="4"/>
      <c r="F4561" s="4"/>
      <c r="G4561" s="4"/>
      <c r="H4561" s="4"/>
      <c r="I4561" s="4"/>
      <c r="J4561" s="18"/>
      <c r="K4561" s="4"/>
      <c r="L4561" s="19"/>
      <c r="M4561" s="20"/>
    </row>
    <row r="4562">
      <c r="A4562" s="6"/>
      <c r="B4562" s="6"/>
      <c r="C4562" s="4"/>
      <c r="D4562" s="4"/>
      <c r="E4562" s="4"/>
      <c r="F4562" s="4"/>
      <c r="G4562" s="4"/>
      <c r="H4562" s="4"/>
      <c r="I4562" s="4"/>
      <c r="J4562" s="18"/>
      <c r="K4562" s="4"/>
      <c r="L4562" s="19"/>
      <c r="M4562" s="20"/>
    </row>
    <row r="4563">
      <c r="A4563" s="6"/>
      <c r="B4563" s="6"/>
      <c r="C4563" s="4"/>
      <c r="D4563" s="4"/>
      <c r="E4563" s="4"/>
      <c r="F4563" s="4"/>
      <c r="G4563" s="4"/>
      <c r="H4563" s="4"/>
      <c r="I4563" s="4"/>
      <c r="J4563" s="18"/>
      <c r="K4563" s="4"/>
      <c r="L4563" s="19"/>
      <c r="M4563" s="20"/>
    </row>
    <row r="4564">
      <c r="A4564" s="6"/>
      <c r="B4564" s="6"/>
      <c r="C4564" s="4"/>
      <c r="D4564" s="4"/>
      <c r="E4564" s="4"/>
      <c r="F4564" s="4"/>
      <c r="G4564" s="4"/>
      <c r="H4564" s="4"/>
      <c r="I4564" s="4"/>
      <c r="J4564" s="18"/>
      <c r="K4564" s="4"/>
      <c r="L4564" s="19"/>
      <c r="M4564" s="20"/>
    </row>
    <row r="4565">
      <c r="A4565" s="6"/>
      <c r="B4565" s="6"/>
      <c r="C4565" s="4"/>
      <c r="D4565" s="4"/>
      <c r="E4565" s="4"/>
      <c r="F4565" s="4"/>
      <c r="G4565" s="4"/>
      <c r="H4565" s="4"/>
      <c r="I4565" s="4"/>
      <c r="J4565" s="18"/>
      <c r="K4565" s="4"/>
      <c r="L4565" s="19"/>
      <c r="M4565" s="20"/>
    </row>
    <row r="4566">
      <c r="A4566" s="6"/>
      <c r="B4566" s="6"/>
      <c r="C4566" s="4"/>
      <c r="D4566" s="4"/>
      <c r="E4566" s="4"/>
      <c r="F4566" s="4"/>
      <c r="G4566" s="4"/>
      <c r="H4566" s="4"/>
      <c r="I4566" s="4"/>
      <c r="J4566" s="18"/>
      <c r="K4566" s="4"/>
      <c r="L4566" s="19"/>
      <c r="M4566" s="20"/>
    </row>
    <row r="4567">
      <c r="A4567" s="6"/>
      <c r="B4567" s="6"/>
      <c r="C4567" s="4"/>
      <c r="D4567" s="4"/>
      <c r="E4567" s="4"/>
      <c r="F4567" s="4"/>
      <c r="G4567" s="4"/>
      <c r="H4567" s="4"/>
      <c r="I4567" s="4"/>
      <c r="J4567" s="18"/>
      <c r="K4567" s="4"/>
      <c r="L4567" s="19"/>
      <c r="M4567" s="20"/>
    </row>
    <row r="4568">
      <c r="A4568" s="6"/>
      <c r="B4568" s="6"/>
      <c r="C4568" s="4"/>
      <c r="D4568" s="4"/>
      <c r="E4568" s="4"/>
      <c r="F4568" s="4"/>
      <c r="G4568" s="4"/>
      <c r="H4568" s="4"/>
      <c r="I4568" s="4"/>
      <c r="J4568" s="18"/>
      <c r="K4568" s="4"/>
      <c r="L4568" s="19"/>
      <c r="M4568" s="20"/>
    </row>
    <row r="4569">
      <c r="A4569" s="6"/>
      <c r="B4569" s="6"/>
      <c r="C4569" s="4"/>
      <c r="D4569" s="4"/>
      <c r="E4569" s="4"/>
      <c r="F4569" s="4"/>
      <c r="G4569" s="4"/>
      <c r="H4569" s="4"/>
      <c r="I4569" s="4"/>
      <c r="J4569" s="18"/>
      <c r="K4569" s="4"/>
      <c r="L4569" s="19"/>
      <c r="M4569" s="20"/>
    </row>
    <row r="4570">
      <c r="A4570" s="6"/>
      <c r="B4570" s="6"/>
      <c r="C4570" s="4"/>
      <c r="D4570" s="4"/>
      <c r="E4570" s="4"/>
      <c r="F4570" s="4"/>
      <c r="G4570" s="4"/>
      <c r="H4570" s="4"/>
      <c r="I4570" s="4"/>
      <c r="J4570" s="18"/>
      <c r="K4570" s="4"/>
      <c r="L4570" s="19"/>
      <c r="M4570" s="20"/>
    </row>
    <row r="4571">
      <c r="A4571" s="6"/>
      <c r="B4571" s="6"/>
      <c r="C4571" s="4"/>
      <c r="D4571" s="4"/>
      <c r="E4571" s="4"/>
      <c r="F4571" s="4"/>
      <c r="G4571" s="4"/>
      <c r="H4571" s="4"/>
      <c r="I4571" s="4"/>
      <c r="J4571" s="18"/>
      <c r="K4571" s="4"/>
      <c r="L4571" s="19"/>
      <c r="M4571" s="20"/>
    </row>
    <row r="4572">
      <c r="A4572" s="6"/>
      <c r="B4572" s="6"/>
      <c r="C4572" s="4"/>
      <c r="D4572" s="4"/>
      <c r="E4572" s="4"/>
      <c r="F4572" s="4"/>
      <c r="G4572" s="4"/>
      <c r="H4572" s="4"/>
      <c r="I4572" s="4"/>
      <c r="J4572" s="18"/>
      <c r="K4572" s="4"/>
      <c r="L4572" s="19"/>
      <c r="M4572" s="20"/>
    </row>
    <row r="4573">
      <c r="A4573" s="6"/>
      <c r="B4573" s="6"/>
      <c r="C4573" s="4"/>
      <c r="D4573" s="4"/>
      <c r="E4573" s="4"/>
      <c r="F4573" s="4"/>
      <c r="G4573" s="4"/>
      <c r="H4573" s="4"/>
      <c r="I4573" s="4"/>
      <c r="J4573" s="18"/>
      <c r="K4573" s="4"/>
      <c r="L4573" s="19"/>
      <c r="M4573" s="20"/>
    </row>
    <row r="4574">
      <c r="A4574" s="6"/>
      <c r="B4574" s="6"/>
      <c r="C4574" s="4"/>
      <c r="D4574" s="4"/>
      <c r="E4574" s="4"/>
      <c r="F4574" s="4"/>
      <c r="G4574" s="4"/>
      <c r="H4574" s="4"/>
      <c r="I4574" s="4"/>
      <c r="J4574" s="18"/>
      <c r="K4574" s="4"/>
      <c r="L4574" s="19"/>
      <c r="M4574" s="20"/>
    </row>
    <row r="4575">
      <c r="A4575" s="6"/>
      <c r="B4575" s="6"/>
      <c r="C4575" s="4"/>
      <c r="D4575" s="4"/>
      <c r="E4575" s="4"/>
      <c r="F4575" s="4"/>
      <c r="G4575" s="4"/>
      <c r="H4575" s="4"/>
      <c r="I4575" s="4"/>
      <c r="J4575" s="18"/>
      <c r="K4575" s="4"/>
      <c r="L4575" s="19"/>
      <c r="M4575" s="20"/>
    </row>
    <row r="4576">
      <c r="A4576" s="6"/>
      <c r="B4576" s="6"/>
      <c r="C4576" s="4"/>
      <c r="D4576" s="4"/>
      <c r="E4576" s="4"/>
      <c r="F4576" s="4"/>
      <c r="G4576" s="4"/>
      <c r="H4576" s="4"/>
      <c r="I4576" s="4"/>
      <c r="J4576" s="18"/>
      <c r="K4576" s="4"/>
      <c r="L4576" s="19"/>
      <c r="M4576" s="20"/>
    </row>
    <row r="4577">
      <c r="A4577" s="6"/>
      <c r="B4577" s="6"/>
      <c r="C4577" s="4"/>
      <c r="D4577" s="4"/>
      <c r="E4577" s="4"/>
      <c r="F4577" s="4"/>
      <c r="G4577" s="4"/>
      <c r="H4577" s="4"/>
      <c r="I4577" s="4"/>
      <c r="J4577" s="18"/>
      <c r="K4577" s="4"/>
      <c r="L4577" s="19"/>
      <c r="M4577" s="20"/>
    </row>
    <row r="4578">
      <c r="A4578" s="6"/>
      <c r="B4578" s="6"/>
      <c r="C4578" s="4"/>
      <c r="D4578" s="4"/>
      <c r="E4578" s="4"/>
      <c r="F4578" s="4"/>
      <c r="G4578" s="4"/>
      <c r="H4578" s="4"/>
      <c r="I4578" s="4"/>
      <c r="J4578" s="18"/>
      <c r="K4578" s="4"/>
      <c r="L4578" s="19"/>
      <c r="M4578" s="20"/>
    </row>
    <row r="4579">
      <c r="A4579" s="6"/>
      <c r="B4579" s="6"/>
      <c r="C4579" s="4"/>
      <c r="D4579" s="4"/>
      <c r="E4579" s="4"/>
      <c r="F4579" s="4"/>
      <c r="G4579" s="4"/>
      <c r="H4579" s="4"/>
      <c r="I4579" s="4"/>
      <c r="J4579" s="18"/>
      <c r="K4579" s="4"/>
      <c r="L4579" s="19"/>
      <c r="M4579" s="20"/>
    </row>
    <row r="4580">
      <c r="A4580" s="6"/>
      <c r="B4580" s="6"/>
      <c r="C4580" s="4"/>
      <c r="D4580" s="4"/>
      <c r="E4580" s="4"/>
      <c r="F4580" s="4"/>
      <c r="G4580" s="4"/>
      <c r="H4580" s="4"/>
      <c r="I4580" s="4"/>
      <c r="J4580" s="18"/>
      <c r="K4580" s="4"/>
      <c r="L4580" s="19"/>
      <c r="M4580" s="20"/>
    </row>
    <row r="4581">
      <c r="A4581" s="6"/>
      <c r="B4581" s="6"/>
      <c r="C4581" s="4"/>
      <c r="D4581" s="4"/>
      <c r="E4581" s="4"/>
      <c r="F4581" s="4"/>
      <c r="G4581" s="4"/>
      <c r="H4581" s="4"/>
      <c r="I4581" s="4"/>
      <c r="J4581" s="18"/>
      <c r="K4581" s="4"/>
      <c r="L4581" s="19"/>
      <c r="M4581" s="20"/>
    </row>
    <row r="4582">
      <c r="A4582" s="6"/>
      <c r="B4582" s="6"/>
      <c r="C4582" s="4"/>
      <c r="D4582" s="4"/>
      <c r="E4582" s="4"/>
      <c r="F4582" s="4"/>
      <c r="G4582" s="4"/>
      <c r="H4582" s="4"/>
      <c r="I4582" s="4"/>
      <c r="J4582" s="18"/>
      <c r="K4582" s="4"/>
      <c r="L4582" s="19"/>
      <c r="M4582" s="20"/>
    </row>
    <row r="4583">
      <c r="A4583" s="6"/>
      <c r="B4583" s="6"/>
      <c r="C4583" s="4"/>
      <c r="D4583" s="4"/>
      <c r="E4583" s="4"/>
      <c r="F4583" s="4"/>
      <c r="G4583" s="4"/>
      <c r="H4583" s="4"/>
      <c r="I4583" s="4"/>
      <c r="J4583" s="18"/>
      <c r="K4583" s="4"/>
      <c r="L4583" s="19"/>
      <c r="M4583" s="20"/>
    </row>
    <row r="4584">
      <c r="A4584" s="6"/>
      <c r="B4584" s="6"/>
      <c r="C4584" s="4"/>
      <c r="D4584" s="4"/>
      <c r="E4584" s="4"/>
      <c r="F4584" s="4"/>
      <c r="G4584" s="4"/>
      <c r="H4584" s="4"/>
      <c r="I4584" s="4"/>
      <c r="J4584" s="18"/>
      <c r="K4584" s="4"/>
      <c r="L4584" s="19"/>
      <c r="M4584" s="20"/>
    </row>
    <row r="4585">
      <c r="A4585" s="6"/>
      <c r="B4585" s="6"/>
      <c r="C4585" s="4"/>
      <c r="D4585" s="4"/>
      <c r="E4585" s="4"/>
      <c r="F4585" s="4"/>
      <c r="G4585" s="4"/>
      <c r="H4585" s="4"/>
      <c r="I4585" s="4"/>
      <c r="J4585" s="18"/>
      <c r="K4585" s="4"/>
      <c r="L4585" s="19"/>
      <c r="M4585" s="20"/>
    </row>
    <row r="4586">
      <c r="A4586" s="6"/>
      <c r="B4586" s="6"/>
      <c r="C4586" s="4"/>
      <c r="D4586" s="4"/>
      <c r="E4586" s="4"/>
      <c r="F4586" s="4"/>
      <c r="G4586" s="4"/>
      <c r="H4586" s="4"/>
      <c r="I4586" s="4"/>
      <c r="J4586" s="18"/>
      <c r="K4586" s="4"/>
      <c r="L4586" s="19"/>
      <c r="M4586" s="20"/>
    </row>
    <row r="4587">
      <c r="A4587" s="6"/>
      <c r="B4587" s="6"/>
      <c r="C4587" s="4"/>
      <c r="D4587" s="4"/>
      <c r="E4587" s="4"/>
      <c r="F4587" s="4"/>
      <c r="G4587" s="4"/>
      <c r="H4587" s="4"/>
      <c r="I4587" s="4"/>
      <c r="J4587" s="18"/>
      <c r="K4587" s="4"/>
      <c r="L4587" s="19"/>
      <c r="M4587" s="20"/>
    </row>
    <row r="4588">
      <c r="A4588" s="6"/>
      <c r="B4588" s="6"/>
      <c r="C4588" s="4"/>
      <c r="D4588" s="4"/>
      <c r="E4588" s="4"/>
      <c r="F4588" s="4"/>
      <c r="G4588" s="4"/>
      <c r="H4588" s="4"/>
      <c r="I4588" s="4"/>
      <c r="J4588" s="18"/>
      <c r="K4588" s="4"/>
      <c r="L4588" s="19"/>
      <c r="M4588" s="20"/>
    </row>
    <row r="4589">
      <c r="A4589" s="6"/>
      <c r="B4589" s="6"/>
      <c r="C4589" s="4"/>
      <c r="D4589" s="4"/>
      <c r="E4589" s="4"/>
      <c r="F4589" s="4"/>
      <c r="G4589" s="4"/>
      <c r="H4589" s="4"/>
      <c r="I4589" s="4"/>
      <c r="J4589" s="18"/>
      <c r="K4589" s="4"/>
      <c r="L4589" s="19"/>
      <c r="M4589" s="20"/>
    </row>
    <row r="4590">
      <c r="A4590" s="6"/>
      <c r="B4590" s="6"/>
      <c r="C4590" s="4"/>
      <c r="D4590" s="4"/>
      <c r="E4590" s="4"/>
      <c r="F4590" s="4"/>
      <c r="G4590" s="4"/>
      <c r="H4590" s="4"/>
      <c r="I4590" s="4"/>
      <c r="J4590" s="18"/>
      <c r="K4590" s="4"/>
      <c r="L4590" s="19"/>
      <c r="M4590" s="20"/>
    </row>
    <row r="4591">
      <c r="A4591" s="6"/>
      <c r="B4591" s="6"/>
      <c r="C4591" s="4"/>
      <c r="D4591" s="4"/>
      <c r="E4591" s="4"/>
      <c r="F4591" s="4"/>
      <c r="G4591" s="4"/>
      <c r="H4591" s="4"/>
      <c r="I4591" s="4"/>
      <c r="J4591" s="18"/>
      <c r="K4591" s="4"/>
      <c r="L4591" s="19"/>
      <c r="M4591" s="20"/>
    </row>
    <row r="4592">
      <c r="A4592" s="6"/>
      <c r="B4592" s="6"/>
      <c r="C4592" s="4"/>
      <c r="D4592" s="4"/>
      <c r="E4592" s="4"/>
      <c r="F4592" s="4"/>
      <c r="G4592" s="4"/>
      <c r="H4592" s="4"/>
      <c r="I4592" s="4"/>
      <c r="J4592" s="18"/>
      <c r="K4592" s="4"/>
      <c r="L4592" s="19"/>
      <c r="M4592" s="20"/>
    </row>
    <row r="4593">
      <c r="A4593" s="6"/>
      <c r="B4593" s="6"/>
      <c r="C4593" s="4"/>
      <c r="D4593" s="4"/>
      <c r="E4593" s="4"/>
      <c r="F4593" s="4"/>
      <c r="G4593" s="4"/>
      <c r="H4593" s="4"/>
      <c r="I4593" s="4"/>
      <c r="J4593" s="18"/>
      <c r="K4593" s="4"/>
      <c r="L4593" s="19"/>
      <c r="M4593" s="20"/>
    </row>
    <row r="4594">
      <c r="A4594" s="6"/>
      <c r="B4594" s="6"/>
      <c r="C4594" s="4"/>
      <c r="D4594" s="4"/>
      <c r="E4594" s="4"/>
      <c r="F4594" s="4"/>
      <c r="G4594" s="4"/>
      <c r="H4594" s="4"/>
      <c r="I4594" s="4"/>
      <c r="J4594" s="18"/>
      <c r="K4594" s="4"/>
      <c r="L4594" s="19"/>
      <c r="M4594" s="20"/>
    </row>
    <row r="4595">
      <c r="A4595" s="6"/>
      <c r="B4595" s="6"/>
      <c r="C4595" s="4"/>
      <c r="D4595" s="4"/>
      <c r="E4595" s="4"/>
      <c r="F4595" s="4"/>
      <c r="G4595" s="4"/>
      <c r="H4595" s="4"/>
      <c r="I4595" s="4"/>
      <c r="J4595" s="18"/>
      <c r="K4595" s="4"/>
      <c r="L4595" s="19"/>
      <c r="M4595" s="20"/>
    </row>
    <row r="4596">
      <c r="A4596" s="6"/>
      <c r="B4596" s="6"/>
      <c r="C4596" s="4"/>
      <c r="D4596" s="4"/>
      <c r="E4596" s="4"/>
      <c r="F4596" s="4"/>
      <c r="G4596" s="4"/>
      <c r="H4596" s="4"/>
      <c r="I4596" s="4"/>
      <c r="J4596" s="18"/>
      <c r="K4596" s="4"/>
      <c r="L4596" s="19"/>
      <c r="M4596" s="20"/>
    </row>
    <row r="4597">
      <c r="A4597" s="6"/>
      <c r="B4597" s="6"/>
      <c r="C4597" s="4"/>
      <c r="D4597" s="4"/>
      <c r="E4597" s="4"/>
      <c r="F4597" s="4"/>
      <c r="G4597" s="4"/>
      <c r="H4597" s="4"/>
      <c r="I4597" s="4"/>
      <c r="J4597" s="18"/>
      <c r="K4597" s="4"/>
      <c r="L4597" s="19"/>
      <c r="M4597" s="20"/>
    </row>
    <row r="4598">
      <c r="A4598" s="6"/>
      <c r="B4598" s="6"/>
      <c r="C4598" s="4"/>
      <c r="D4598" s="4"/>
      <c r="E4598" s="4"/>
      <c r="F4598" s="4"/>
      <c r="G4598" s="4"/>
      <c r="H4598" s="4"/>
      <c r="I4598" s="4"/>
      <c r="J4598" s="18"/>
      <c r="K4598" s="4"/>
      <c r="L4598" s="19"/>
      <c r="M4598" s="20"/>
    </row>
    <row r="4599">
      <c r="A4599" s="6"/>
      <c r="B4599" s="6"/>
      <c r="C4599" s="4"/>
      <c r="D4599" s="4"/>
      <c r="E4599" s="4"/>
      <c r="F4599" s="4"/>
      <c r="G4599" s="4"/>
      <c r="H4599" s="4"/>
      <c r="I4599" s="4"/>
      <c r="J4599" s="18"/>
      <c r="K4599" s="4"/>
      <c r="L4599" s="19"/>
      <c r="M4599" s="20"/>
    </row>
    <row r="4600">
      <c r="A4600" s="6"/>
      <c r="B4600" s="6"/>
      <c r="C4600" s="4"/>
      <c r="D4600" s="4"/>
      <c r="E4600" s="4"/>
      <c r="F4600" s="4"/>
      <c r="G4600" s="4"/>
      <c r="H4600" s="4"/>
      <c r="I4600" s="4"/>
      <c r="J4600" s="18"/>
      <c r="K4600" s="4"/>
      <c r="L4600" s="19"/>
      <c r="M4600" s="20"/>
    </row>
    <row r="4601">
      <c r="A4601" s="6"/>
      <c r="B4601" s="6"/>
      <c r="C4601" s="4"/>
      <c r="D4601" s="4"/>
      <c r="E4601" s="4"/>
      <c r="F4601" s="4"/>
      <c r="G4601" s="4"/>
      <c r="H4601" s="4"/>
      <c r="I4601" s="4"/>
      <c r="J4601" s="18"/>
      <c r="K4601" s="4"/>
      <c r="L4601" s="19"/>
      <c r="M4601" s="20"/>
    </row>
    <row r="4602">
      <c r="A4602" s="6"/>
      <c r="B4602" s="6"/>
      <c r="C4602" s="4"/>
      <c r="D4602" s="4"/>
      <c r="E4602" s="4"/>
      <c r="F4602" s="4"/>
      <c r="G4602" s="4"/>
      <c r="H4602" s="4"/>
      <c r="I4602" s="4"/>
      <c r="J4602" s="18"/>
      <c r="K4602" s="4"/>
      <c r="L4602" s="19"/>
      <c r="M4602" s="20"/>
    </row>
    <row r="4603">
      <c r="A4603" s="6"/>
      <c r="B4603" s="6"/>
      <c r="C4603" s="4"/>
      <c r="D4603" s="4"/>
      <c r="E4603" s="4"/>
      <c r="F4603" s="4"/>
      <c r="G4603" s="4"/>
      <c r="H4603" s="4"/>
      <c r="I4603" s="4"/>
      <c r="J4603" s="18"/>
      <c r="K4603" s="4"/>
      <c r="L4603" s="19"/>
      <c r="M4603" s="20"/>
    </row>
    <row r="4604">
      <c r="A4604" s="6"/>
      <c r="B4604" s="6"/>
      <c r="C4604" s="4"/>
      <c r="D4604" s="4"/>
      <c r="E4604" s="4"/>
      <c r="F4604" s="4"/>
      <c r="G4604" s="4"/>
      <c r="H4604" s="4"/>
      <c r="I4604" s="4"/>
      <c r="J4604" s="18"/>
      <c r="K4604" s="4"/>
      <c r="L4604" s="19"/>
      <c r="M4604" s="20"/>
    </row>
    <row r="4605">
      <c r="A4605" s="6"/>
      <c r="B4605" s="6"/>
      <c r="C4605" s="4"/>
      <c r="D4605" s="4"/>
      <c r="E4605" s="4"/>
      <c r="F4605" s="4"/>
      <c r="G4605" s="4"/>
      <c r="H4605" s="4"/>
      <c r="I4605" s="4"/>
      <c r="J4605" s="18"/>
      <c r="K4605" s="4"/>
      <c r="L4605" s="19"/>
      <c r="M4605" s="20"/>
    </row>
    <row r="4606">
      <c r="A4606" s="6"/>
      <c r="B4606" s="6"/>
      <c r="C4606" s="4"/>
      <c r="D4606" s="4"/>
      <c r="E4606" s="4"/>
      <c r="F4606" s="4"/>
      <c r="G4606" s="4"/>
      <c r="H4606" s="4"/>
      <c r="I4606" s="4"/>
      <c r="J4606" s="18"/>
      <c r="K4606" s="4"/>
      <c r="L4606" s="19"/>
      <c r="M4606" s="20"/>
    </row>
    <row r="4607">
      <c r="A4607" s="6"/>
      <c r="B4607" s="6"/>
      <c r="C4607" s="4"/>
      <c r="D4607" s="4"/>
      <c r="E4607" s="4"/>
      <c r="F4607" s="4"/>
      <c r="G4607" s="4"/>
      <c r="H4607" s="4"/>
      <c r="I4607" s="4"/>
      <c r="J4607" s="18"/>
      <c r="K4607" s="4"/>
      <c r="L4607" s="19"/>
      <c r="M4607" s="20"/>
    </row>
    <row r="4608">
      <c r="A4608" s="6"/>
      <c r="B4608" s="6"/>
      <c r="C4608" s="4"/>
      <c r="D4608" s="4"/>
      <c r="E4608" s="4"/>
      <c r="F4608" s="4"/>
      <c r="G4608" s="4"/>
      <c r="H4608" s="4"/>
      <c r="I4608" s="4"/>
      <c r="J4608" s="18"/>
      <c r="K4608" s="4"/>
      <c r="L4608" s="19"/>
      <c r="M4608" s="20"/>
    </row>
    <row r="4609">
      <c r="A4609" s="6"/>
      <c r="B4609" s="6"/>
      <c r="C4609" s="4"/>
      <c r="D4609" s="4"/>
      <c r="E4609" s="4"/>
      <c r="F4609" s="4"/>
      <c r="G4609" s="4"/>
      <c r="H4609" s="4"/>
      <c r="I4609" s="4"/>
      <c r="J4609" s="18"/>
      <c r="K4609" s="4"/>
      <c r="L4609" s="19"/>
      <c r="M4609" s="20"/>
    </row>
    <row r="4610">
      <c r="A4610" s="6"/>
      <c r="B4610" s="6"/>
      <c r="C4610" s="4"/>
      <c r="D4610" s="4"/>
      <c r="E4610" s="4"/>
      <c r="F4610" s="4"/>
      <c r="G4610" s="4"/>
      <c r="H4610" s="4"/>
      <c r="I4610" s="4"/>
      <c r="J4610" s="18"/>
      <c r="K4610" s="4"/>
      <c r="L4610" s="19"/>
      <c r="M4610" s="20"/>
    </row>
    <row r="4611">
      <c r="A4611" s="6"/>
      <c r="B4611" s="6"/>
      <c r="C4611" s="4"/>
      <c r="D4611" s="4"/>
      <c r="E4611" s="4"/>
      <c r="F4611" s="4"/>
      <c r="G4611" s="4"/>
      <c r="H4611" s="4"/>
      <c r="I4611" s="4"/>
      <c r="J4611" s="18"/>
      <c r="K4611" s="4"/>
      <c r="L4611" s="19"/>
      <c r="M4611" s="20"/>
    </row>
    <row r="4612">
      <c r="A4612" s="6"/>
      <c r="B4612" s="6"/>
      <c r="C4612" s="4"/>
      <c r="D4612" s="4"/>
      <c r="E4612" s="4"/>
      <c r="F4612" s="4"/>
      <c r="G4612" s="4"/>
      <c r="H4612" s="4"/>
      <c r="I4612" s="4"/>
      <c r="J4612" s="18"/>
      <c r="K4612" s="4"/>
      <c r="L4612" s="19"/>
      <c r="M4612" s="20"/>
    </row>
    <row r="4613">
      <c r="A4613" s="6"/>
      <c r="B4613" s="6"/>
      <c r="C4613" s="4"/>
      <c r="D4613" s="4"/>
      <c r="E4613" s="4"/>
      <c r="F4613" s="4"/>
      <c r="G4613" s="4"/>
      <c r="H4613" s="4"/>
      <c r="I4613" s="4"/>
      <c r="J4613" s="18"/>
      <c r="K4613" s="4"/>
      <c r="L4613" s="19"/>
      <c r="M4613" s="20"/>
    </row>
    <row r="4614">
      <c r="A4614" s="6"/>
      <c r="B4614" s="6"/>
      <c r="C4614" s="4"/>
      <c r="D4614" s="4"/>
      <c r="E4614" s="4"/>
      <c r="F4614" s="4"/>
      <c r="G4614" s="4"/>
      <c r="H4614" s="4"/>
      <c r="I4614" s="4"/>
      <c r="J4614" s="18"/>
      <c r="K4614" s="4"/>
      <c r="L4614" s="19"/>
      <c r="M4614" s="20"/>
    </row>
    <row r="4615">
      <c r="A4615" s="6"/>
      <c r="B4615" s="6"/>
      <c r="C4615" s="4"/>
      <c r="D4615" s="4"/>
      <c r="E4615" s="4"/>
      <c r="F4615" s="4"/>
      <c r="G4615" s="4"/>
      <c r="H4615" s="4"/>
      <c r="I4615" s="4"/>
      <c r="J4615" s="18"/>
      <c r="K4615" s="4"/>
      <c r="L4615" s="19"/>
      <c r="M4615" s="20"/>
    </row>
    <row r="4616">
      <c r="A4616" s="6"/>
      <c r="B4616" s="6"/>
      <c r="C4616" s="4"/>
      <c r="D4616" s="4"/>
      <c r="E4616" s="4"/>
      <c r="F4616" s="4"/>
      <c r="G4616" s="4"/>
      <c r="H4616" s="4"/>
      <c r="I4616" s="4"/>
      <c r="J4616" s="18"/>
      <c r="K4616" s="4"/>
      <c r="L4616" s="19"/>
      <c r="M4616" s="20"/>
    </row>
    <row r="4617">
      <c r="A4617" s="6"/>
      <c r="B4617" s="6"/>
      <c r="C4617" s="4"/>
      <c r="D4617" s="4"/>
      <c r="E4617" s="4"/>
      <c r="F4617" s="4"/>
      <c r="G4617" s="4"/>
      <c r="H4617" s="4"/>
      <c r="I4617" s="4"/>
      <c r="J4617" s="18"/>
      <c r="K4617" s="4"/>
      <c r="L4617" s="19"/>
      <c r="M4617" s="20"/>
    </row>
    <row r="4618">
      <c r="A4618" s="6"/>
      <c r="B4618" s="6"/>
      <c r="C4618" s="4"/>
      <c r="D4618" s="4"/>
      <c r="E4618" s="4"/>
      <c r="F4618" s="4"/>
      <c r="G4618" s="4"/>
      <c r="H4618" s="4"/>
      <c r="I4618" s="4"/>
      <c r="J4618" s="18"/>
      <c r="K4618" s="4"/>
      <c r="L4618" s="19"/>
      <c r="M4618" s="20"/>
    </row>
    <row r="4619">
      <c r="A4619" s="6"/>
      <c r="B4619" s="6"/>
      <c r="C4619" s="4"/>
      <c r="D4619" s="4"/>
      <c r="E4619" s="4"/>
      <c r="F4619" s="4"/>
      <c r="G4619" s="4"/>
      <c r="H4619" s="4"/>
      <c r="I4619" s="4"/>
      <c r="J4619" s="18"/>
      <c r="K4619" s="4"/>
      <c r="L4619" s="19"/>
      <c r="M4619" s="20"/>
    </row>
    <row r="4620">
      <c r="A4620" s="6"/>
      <c r="B4620" s="6"/>
      <c r="C4620" s="4"/>
      <c r="D4620" s="4"/>
      <c r="E4620" s="4"/>
      <c r="F4620" s="4"/>
      <c r="G4620" s="4"/>
      <c r="H4620" s="4"/>
      <c r="I4620" s="4"/>
      <c r="J4620" s="18"/>
      <c r="K4620" s="4"/>
      <c r="L4620" s="19"/>
      <c r="M4620" s="20"/>
    </row>
    <row r="4621">
      <c r="A4621" s="6"/>
      <c r="B4621" s="6"/>
      <c r="C4621" s="4"/>
      <c r="D4621" s="4"/>
      <c r="E4621" s="4"/>
      <c r="F4621" s="4"/>
      <c r="G4621" s="4"/>
      <c r="H4621" s="4"/>
      <c r="I4621" s="4"/>
      <c r="J4621" s="18"/>
      <c r="K4621" s="4"/>
      <c r="L4621" s="19"/>
      <c r="M4621" s="20"/>
    </row>
    <row r="4622">
      <c r="A4622" s="6"/>
      <c r="B4622" s="6"/>
      <c r="C4622" s="4"/>
      <c r="D4622" s="4"/>
      <c r="E4622" s="4"/>
      <c r="F4622" s="4"/>
      <c r="G4622" s="4"/>
      <c r="H4622" s="4"/>
      <c r="I4622" s="4"/>
      <c r="J4622" s="18"/>
      <c r="K4622" s="4"/>
      <c r="L4622" s="19"/>
      <c r="M4622" s="20"/>
    </row>
    <row r="4623">
      <c r="A4623" s="6"/>
      <c r="B4623" s="6"/>
      <c r="C4623" s="4"/>
      <c r="D4623" s="4"/>
      <c r="E4623" s="4"/>
      <c r="F4623" s="4"/>
      <c r="G4623" s="4"/>
      <c r="H4623" s="4"/>
      <c r="I4623" s="4"/>
      <c r="J4623" s="18"/>
      <c r="K4623" s="4"/>
      <c r="L4623" s="19"/>
      <c r="M4623" s="20"/>
    </row>
    <row r="4624">
      <c r="A4624" s="6"/>
      <c r="B4624" s="6"/>
      <c r="C4624" s="4"/>
      <c r="D4624" s="4"/>
      <c r="E4624" s="4"/>
      <c r="F4624" s="4"/>
      <c r="G4624" s="4"/>
      <c r="H4624" s="4"/>
      <c r="I4624" s="4"/>
      <c r="J4624" s="18"/>
      <c r="K4624" s="4"/>
      <c r="L4624" s="19"/>
      <c r="M4624" s="20"/>
    </row>
    <row r="4625">
      <c r="A4625" s="6"/>
      <c r="B4625" s="6"/>
      <c r="C4625" s="4"/>
      <c r="D4625" s="4"/>
      <c r="E4625" s="4"/>
      <c r="F4625" s="4"/>
      <c r="G4625" s="4"/>
      <c r="H4625" s="4"/>
      <c r="I4625" s="4"/>
      <c r="J4625" s="18"/>
      <c r="K4625" s="4"/>
      <c r="L4625" s="19"/>
      <c r="M4625" s="20"/>
    </row>
    <row r="4626">
      <c r="A4626" s="6"/>
      <c r="B4626" s="6"/>
      <c r="C4626" s="4"/>
      <c r="D4626" s="4"/>
      <c r="E4626" s="4"/>
      <c r="F4626" s="4"/>
      <c r="G4626" s="4"/>
      <c r="H4626" s="4"/>
      <c r="I4626" s="4"/>
      <c r="J4626" s="18"/>
      <c r="K4626" s="4"/>
      <c r="L4626" s="19"/>
      <c r="M4626" s="20"/>
    </row>
    <row r="4627">
      <c r="A4627" s="6"/>
      <c r="B4627" s="6"/>
      <c r="C4627" s="4"/>
      <c r="D4627" s="4"/>
      <c r="E4627" s="4"/>
      <c r="F4627" s="4"/>
      <c r="G4627" s="4"/>
      <c r="H4627" s="4"/>
      <c r="I4627" s="4"/>
      <c r="J4627" s="18"/>
      <c r="K4627" s="4"/>
      <c r="L4627" s="19"/>
      <c r="M4627" s="20"/>
    </row>
    <row r="4628">
      <c r="A4628" s="6"/>
      <c r="B4628" s="6"/>
      <c r="C4628" s="4"/>
      <c r="D4628" s="4"/>
      <c r="E4628" s="4"/>
      <c r="F4628" s="4"/>
      <c r="G4628" s="4"/>
      <c r="H4628" s="4"/>
      <c r="I4628" s="4"/>
      <c r="J4628" s="18"/>
      <c r="K4628" s="4"/>
      <c r="L4628" s="19"/>
      <c r="M4628" s="20"/>
    </row>
    <row r="4629">
      <c r="A4629" s="6"/>
      <c r="B4629" s="6"/>
      <c r="C4629" s="4"/>
      <c r="D4629" s="4"/>
      <c r="E4629" s="4"/>
      <c r="F4629" s="4"/>
      <c r="G4629" s="4"/>
      <c r="H4629" s="4"/>
      <c r="I4629" s="4"/>
      <c r="J4629" s="18"/>
      <c r="K4629" s="4"/>
      <c r="L4629" s="19"/>
      <c r="M4629" s="20"/>
    </row>
    <row r="4630">
      <c r="A4630" s="6"/>
      <c r="B4630" s="6"/>
      <c r="C4630" s="4"/>
      <c r="D4630" s="4"/>
      <c r="E4630" s="4"/>
      <c r="F4630" s="4"/>
      <c r="G4630" s="4"/>
      <c r="H4630" s="4"/>
      <c r="I4630" s="4"/>
      <c r="J4630" s="18"/>
      <c r="K4630" s="4"/>
      <c r="L4630" s="19"/>
      <c r="M4630" s="20"/>
    </row>
    <row r="4631">
      <c r="A4631" s="6"/>
      <c r="B4631" s="6"/>
      <c r="C4631" s="4"/>
      <c r="D4631" s="4"/>
      <c r="E4631" s="4"/>
      <c r="F4631" s="4"/>
      <c r="G4631" s="4"/>
      <c r="H4631" s="4"/>
      <c r="I4631" s="4"/>
      <c r="J4631" s="18"/>
      <c r="K4631" s="4"/>
      <c r="L4631" s="19"/>
      <c r="M4631" s="20"/>
    </row>
    <row r="4632">
      <c r="A4632" s="6"/>
      <c r="B4632" s="6"/>
      <c r="C4632" s="4"/>
      <c r="D4632" s="4"/>
      <c r="E4632" s="4"/>
      <c r="F4632" s="4"/>
      <c r="G4632" s="4"/>
      <c r="H4632" s="4"/>
      <c r="I4632" s="4"/>
      <c r="J4632" s="18"/>
      <c r="K4632" s="4"/>
      <c r="L4632" s="19"/>
      <c r="M4632" s="20"/>
    </row>
    <row r="4633">
      <c r="A4633" s="6"/>
      <c r="B4633" s="6"/>
      <c r="C4633" s="4"/>
      <c r="D4633" s="4"/>
      <c r="E4633" s="4"/>
      <c r="F4633" s="4"/>
      <c r="G4633" s="4"/>
      <c r="H4633" s="4"/>
      <c r="I4633" s="4"/>
      <c r="J4633" s="18"/>
      <c r="K4633" s="4"/>
      <c r="L4633" s="19"/>
      <c r="M4633" s="20"/>
    </row>
    <row r="4634">
      <c r="A4634" s="6"/>
      <c r="B4634" s="6"/>
      <c r="C4634" s="4"/>
      <c r="D4634" s="4"/>
      <c r="E4634" s="4"/>
      <c r="F4634" s="4"/>
      <c r="G4634" s="4"/>
      <c r="H4634" s="4"/>
      <c r="I4634" s="4"/>
      <c r="J4634" s="18"/>
      <c r="K4634" s="4"/>
      <c r="L4634" s="19"/>
      <c r="M4634" s="20"/>
    </row>
    <row r="4635">
      <c r="A4635" s="6"/>
      <c r="B4635" s="6"/>
      <c r="C4635" s="4"/>
      <c r="D4635" s="4"/>
      <c r="E4635" s="4"/>
      <c r="F4635" s="4"/>
      <c r="G4635" s="4"/>
      <c r="H4635" s="4"/>
      <c r="I4635" s="4"/>
      <c r="J4635" s="18"/>
      <c r="K4635" s="4"/>
      <c r="L4635" s="19"/>
      <c r="M4635" s="20"/>
    </row>
    <row r="4636">
      <c r="A4636" s="6"/>
      <c r="B4636" s="6"/>
      <c r="C4636" s="4"/>
      <c r="D4636" s="4"/>
      <c r="E4636" s="4"/>
      <c r="F4636" s="4"/>
      <c r="G4636" s="4"/>
      <c r="H4636" s="4"/>
      <c r="I4636" s="4"/>
      <c r="J4636" s="18"/>
      <c r="K4636" s="4"/>
      <c r="L4636" s="19"/>
      <c r="M4636" s="20"/>
    </row>
    <row r="4637">
      <c r="A4637" s="6"/>
      <c r="B4637" s="6"/>
      <c r="C4637" s="4"/>
      <c r="D4637" s="4"/>
      <c r="E4637" s="4"/>
      <c r="F4637" s="4"/>
      <c r="G4637" s="4"/>
      <c r="H4637" s="4"/>
      <c r="I4637" s="4"/>
      <c r="J4637" s="18"/>
      <c r="K4637" s="4"/>
      <c r="L4637" s="19"/>
      <c r="M4637" s="20"/>
    </row>
    <row r="4638">
      <c r="A4638" s="6"/>
      <c r="B4638" s="6"/>
      <c r="C4638" s="4"/>
      <c r="D4638" s="4"/>
      <c r="E4638" s="4"/>
      <c r="F4638" s="4"/>
      <c r="G4638" s="4"/>
      <c r="H4638" s="4"/>
      <c r="I4638" s="4"/>
      <c r="J4638" s="18"/>
      <c r="K4638" s="4"/>
      <c r="L4638" s="19"/>
      <c r="M4638" s="20"/>
    </row>
    <row r="4639">
      <c r="A4639" s="6"/>
      <c r="B4639" s="6"/>
      <c r="C4639" s="4"/>
      <c r="D4639" s="4"/>
      <c r="E4639" s="4"/>
      <c r="F4639" s="4"/>
      <c r="G4639" s="4"/>
      <c r="H4639" s="4"/>
      <c r="I4639" s="4"/>
      <c r="J4639" s="18"/>
      <c r="K4639" s="4"/>
      <c r="L4639" s="19"/>
      <c r="M4639" s="20"/>
    </row>
    <row r="4640">
      <c r="A4640" s="6"/>
      <c r="B4640" s="6"/>
      <c r="C4640" s="4"/>
      <c r="D4640" s="4"/>
      <c r="E4640" s="4"/>
      <c r="F4640" s="4"/>
      <c r="G4640" s="4"/>
      <c r="H4640" s="4"/>
      <c r="I4640" s="4"/>
      <c r="J4640" s="18"/>
      <c r="K4640" s="4"/>
      <c r="L4640" s="19"/>
      <c r="M4640" s="20"/>
    </row>
    <row r="4641">
      <c r="A4641" s="6"/>
      <c r="B4641" s="6"/>
      <c r="C4641" s="4"/>
      <c r="D4641" s="4"/>
      <c r="E4641" s="4"/>
      <c r="F4641" s="4"/>
      <c r="G4641" s="4"/>
      <c r="H4641" s="4"/>
      <c r="I4641" s="4"/>
      <c r="J4641" s="18"/>
      <c r="K4641" s="4"/>
      <c r="L4641" s="19"/>
      <c r="M4641" s="20"/>
    </row>
    <row r="4642">
      <c r="A4642" s="6"/>
      <c r="B4642" s="6"/>
      <c r="C4642" s="4"/>
      <c r="D4642" s="4"/>
      <c r="E4642" s="4"/>
      <c r="F4642" s="4"/>
      <c r="G4642" s="4"/>
      <c r="H4642" s="4"/>
      <c r="I4642" s="4"/>
      <c r="J4642" s="18"/>
      <c r="K4642" s="4"/>
      <c r="L4642" s="19"/>
      <c r="M4642" s="20"/>
    </row>
    <row r="4643">
      <c r="A4643" s="6"/>
      <c r="B4643" s="6"/>
      <c r="C4643" s="4"/>
      <c r="D4643" s="4"/>
      <c r="E4643" s="4"/>
      <c r="F4643" s="4"/>
      <c r="G4643" s="4"/>
      <c r="H4643" s="4"/>
      <c r="I4643" s="4"/>
      <c r="J4643" s="18"/>
      <c r="K4643" s="4"/>
      <c r="L4643" s="19"/>
      <c r="M4643" s="20"/>
    </row>
    <row r="4644">
      <c r="A4644" s="6"/>
      <c r="B4644" s="6"/>
      <c r="C4644" s="4"/>
      <c r="D4644" s="4"/>
      <c r="E4644" s="4"/>
      <c r="F4644" s="4"/>
      <c r="G4644" s="4"/>
      <c r="H4644" s="4"/>
      <c r="I4644" s="4"/>
      <c r="J4644" s="18"/>
      <c r="K4644" s="4"/>
      <c r="L4644" s="19"/>
      <c r="M4644" s="20"/>
    </row>
    <row r="4645">
      <c r="A4645" s="6"/>
      <c r="B4645" s="6"/>
      <c r="C4645" s="4"/>
      <c r="D4645" s="4"/>
      <c r="E4645" s="4"/>
      <c r="F4645" s="4"/>
      <c r="G4645" s="4"/>
      <c r="H4645" s="4"/>
      <c r="I4645" s="4"/>
      <c r="J4645" s="18"/>
      <c r="K4645" s="4"/>
      <c r="L4645" s="19"/>
      <c r="M4645" s="20"/>
    </row>
    <row r="4646">
      <c r="A4646" s="6"/>
      <c r="B4646" s="6"/>
      <c r="C4646" s="4"/>
      <c r="D4646" s="4"/>
      <c r="E4646" s="4"/>
      <c r="F4646" s="4"/>
      <c r="G4646" s="4"/>
      <c r="H4646" s="4"/>
      <c r="I4646" s="4"/>
      <c r="J4646" s="18"/>
      <c r="K4646" s="4"/>
      <c r="L4646" s="19"/>
      <c r="M4646" s="20"/>
    </row>
    <row r="4647">
      <c r="A4647" s="6"/>
      <c r="B4647" s="6"/>
      <c r="C4647" s="4"/>
      <c r="D4647" s="4"/>
      <c r="E4647" s="4"/>
      <c r="F4647" s="4"/>
      <c r="G4647" s="4"/>
      <c r="H4647" s="4"/>
      <c r="I4647" s="4"/>
      <c r="J4647" s="18"/>
      <c r="K4647" s="4"/>
      <c r="L4647" s="19"/>
      <c r="M4647" s="20"/>
    </row>
    <row r="4648">
      <c r="A4648" s="6"/>
      <c r="B4648" s="6"/>
      <c r="C4648" s="4"/>
      <c r="D4648" s="4"/>
      <c r="E4648" s="4"/>
      <c r="F4648" s="4"/>
      <c r="G4648" s="4"/>
      <c r="H4648" s="4"/>
      <c r="I4648" s="4"/>
      <c r="J4648" s="18"/>
      <c r="K4648" s="4"/>
      <c r="L4648" s="19"/>
      <c r="M4648" s="20"/>
    </row>
    <row r="4649">
      <c r="A4649" s="6"/>
      <c r="B4649" s="6"/>
      <c r="C4649" s="4"/>
      <c r="D4649" s="4"/>
      <c r="E4649" s="4"/>
      <c r="F4649" s="4"/>
      <c r="G4649" s="4"/>
      <c r="H4649" s="4"/>
      <c r="I4649" s="4"/>
      <c r="J4649" s="18"/>
      <c r="K4649" s="4"/>
      <c r="L4649" s="19"/>
      <c r="M4649" s="20"/>
    </row>
    <row r="4650">
      <c r="A4650" s="6"/>
      <c r="B4650" s="6"/>
      <c r="C4650" s="4"/>
      <c r="D4650" s="4"/>
      <c r="E4650" s="4"/>
      <c r="F4650" s="4"/>
      <c r="G4650" s="4"/>
      <c r="H4650" s="4"/>
      <c r="I4650" s="4"/>
      <c r="J4650" s="18"/>
      <c r="K4650" s="4"/>
      <c r="L4650" s="19"/>
      <c r="M4650" s="20"/>
    </row>
    <row r="4651">
      <c r="A4651" s="6"/>
      <c r="B4651" s="6"/>
      <c r="C4651" s="4"/>
      <c r="D4651" s="4"/>
      <c r="E4651" s="4"/>
      <c r="F4651" s="4"/>
      <c r="G4651" s="4"/>
      <c r="H4651" s="4"/>
      <c r="I4651" s="4"/>
      <c r="J4651" s="18"/>
      <c r="K4651" s="4"/>
      <c r="L4651" s="19"/>
      <c r="M4651" s="20"/>
    </row>
    <row r="4652">
      <c r="A4652" s="6"/>
      <c r="B4652" s="6"/>
      <c r="C4652" s="4"/>
      <c r="D4652" s="4"/>
      <c r="E4652" s="4"/>
      <c r="F4652" s="4"/>
      <c r="G4652" s="4"/>
      <c r="H4652" s="4"/>
      <c r="I4652" s="4"/>
      <c r="J4652" s="18"/>
      <c r="K4652" s="4"/>
      <c r="L4652" s="19"/>
      <c r="M4652" s="20"/>
    </row>
    <row r="4653">
      <c r="A4653" s="6"/>
      <c r="B4653" s="6"/>
      <c r="C4653" s="4"/>
      <c r="D4653" s="4"/>
      <c r="E4653" s="4"/>
      <c r="F4653" s="4"/>
      <c r="G4653" s="4"/>
      <c r="H4653" s="4"/>
      <c r="I4653" s="4"/>
      <c r="J4653" s="18"/>
      <c r="K4653" s="4"/>
      <c r="L4653" s="19"/>
      <c r="M4653" s="20"/>
    </row>
    <row r="4654">
      <c r="A4654" s="6"/>
      <c r="B4654" s="6"/>
      <c r="C4654" s="4"/>
      <c r="D4654" s="4"/>
      <c r="E4654" s="4"/>
      <c r="F4654" s="4"/>
      <c r="G4654" s="4"/>
      <c r="H4654" s="4"/>
      <c r="I4654" s="4"/>
      <c r="J4654" s="18"/>
      <c r="K4654" s="4"/>
      <c r="L4654" s="19"/>
      <c r="M4654" s="20"/>
    </row>
    <row r="4655">
      <c r="A4655" s="6"/>
      <c r="B4655" s="6"/>
      <c r="C4655" s="4"/>
      <c r="D4655" s="4"/>
      <c r="E4655" s="4"/>
      <c r="F4655" s="4"/>
      <c r="G4655" s="4"/>
      <c r="H4655" s="4"/>
      <c r="I4655" s="4"/>
      <c r="J4655" s="18"/>
      <c r="K4655" s="4"/>
      <c r="L4655" s="19"/>
      <c r="M4655" s="20"/>
    </row>
    <row r="4656">
      <c r="A4656" s="6"/>
      <c r="B4656" s="6"/>
      <c r="C4656" s="4"/>
      <c r="D4656" s="4"/>
      <c r="E4656" s="4"/>
      <c r="F4656" s="4"/>
      <c r="G4656" s="4"/>
      <c r="H4656" s="4"/>
      <c r="I4656" s="4"/>
      <c r="J4656" s="18"/>
      <c r="K4656" s="4"/>
      <c r="L4656" s="19"/>
      <c r="M4656" s="20"/>
    </row>
    <row r="4657">
      <c r="A4657" s="6"/>
      <c r="B4657" s="6"/>
      <c r="C4657" s="4"/>
      <c r="D4657" s="4"/>
      <c r="E4657" s="4"/>
      <c r="F4657" s="4"/>
      <c r="G4657" s="4"/>
      <c r="H4657" s="4"/>
      <c r="I4657" s="4"/>
      <c r="J4657" s="18"/>
      <c r="K4657" s="4"/>
      <c r="L4657" s="19"/>
      <c r="M4657" s="20"/>
    </row>
    <row r="4658">
      <c r="A4658" s="6"/>
      <c r="B4658" s="6"/>
      <c r="C4658" s="4"/>
      <c r="D4658" s="4"/>
      <c r="E4658" s="4"/>
      <c r="F4658" s="4"/>
      <c r="G4658" s="4"/>
      <c r="H4658" s="4"/>
      <c r="I4658" s="4"/>
      <c r="J4658" s="18"/>
      <c r="K4658" s="4"/>
      <c r="L4658" s="19"/>
      <c r="M4658" s="20"/>
    </row>
    <row r="4659">
      <c r="A4659" s="6"/>
      <c r="B4659" s="6"/>
      <c r="C4659" s="4"/>
      <c r="D4659" s="4"/>
      <c r="E4659" s="4"/>
      <c r="F4659" s="4"/>
      <c r="G4659" s="4"/>
      <c r="H4659" s="4"/>
      <c r="I4659" s="4"/>
      <c r="J4659" s="18"/>
      <c r="K4659" s="4"/>
      <c r="L4659" s="19"/>
      <c r="M4659" s="20"/>
    </row>
    <row r="4660">
      <c r="A4660" s="6"/>
      <c r="B4660" s="6"/>
      <c r="C4660" s="4"/>
      <c r="D4660" s="4"/>
      <c r="E4660" s="4"/>
      <c r="F4660" s="4"/>
      <c r="G4660" s="4"/>
      <c r="H4660" s="4"/>
      <c r="I4660" s="4"/>
      <c r="J4660" s="18"/>
      <c r="K4660" s="4"/>
      <c r="L4660" s="19"/>
      <c r="M4660" s="20"/>
    </row>
    <row r="4661">
      <c r="A4661" s="6"/>
      <c r="B4661" s="6"/>
      <c r="C4661" s="4"/>
      <c r="D4661" s="4"/>
      <c r="E4661" s="4"/>
      <c r="F4661" s="4"/>
      <c r="G4661" s="4"/>
      <c r="H4661" s="4"/>
      <c r="I4661" s="4"/>
      <c r="J4661" s="18"/>
      <c r="K4661" s="4"/>
      <c r="L4661" s="19"/>
      <c r="M4661" s="20"/>
    </row>
    <row r="4662">
      <c r="A4662" s="6"/>
      <c r="B4662" s="6"/>
      <c r="C4662" s="4"/>
      <c r="D4662" s="4"/>
      <c r="E4662" s="4"/>
      <c r="F4662" s="4"/>
      <c r="G4662" s="4"/>
      <c r="H4662" s="4"/>
      <c r="I4662" s="4"/>
      <c r="J4662" s="18"/>
      <c r="K4662" s="4"/>
      <c r="L4662" s="19"/>
      <c r="M4662" s="20"/>
    </row>
    <row r="4663">
      <c r="A4663" s="6"/>
      <c r="B4663" s="6"/>
      <c r="C4663" s="4"/>
      <c r="D4663" s="4"/>
      <c r="E4663" s="4"/>
      <c r="F4663" s="4"/>
      <c r="G4663" s="4"/>
      <c r="H4663" s="4"/>
      <c r="I4663" s="4"/>
      <c r="J4663" s="18"/>
      <c r="K4663" s="4"/>
      <c r="L4663" s="19"/>
      <c r="M4663" s="20"/>
    </row>
    <row r="4664">
      <c r="A4664" s="6"/>
      <c r="B4664" s="6"/>
      <c r="C4664" s="4"/>
      <c r="D4664" s="4"/>
      <c r="E4664" s="4"/>
      <c r="F4664" s="4"/>
      <c r="G4664" s="4"/>
      <c r="H4664" s="4"/>
      <c r="I4664" s="4"/>
      <c r="J4664" s="18"/>
      <c r="K4664" s="4"/>
      <c r="L4664" s="19"/>
      <c r="M4664" s="20"/>
    </row>
    <row r="4665">
      <c r="A4665" s="6"/>
      <c r="B4665" s="6"/>
      <c r="C4665" s="4"/>
      <c r="D4665" s="4"/>
      <c r="E4665" s="4"/>
      <c r="F4665" s="4"/>
      <c r="G4665" s="4"/>
      <c r="H4665" s="4"/>
      <c r="I4665" s="4"/>
      <c r="J4665" s="18"/>
      <c r="K4665" s="4"/>
      <c r="L4665" s="19"/>
      <c r="M4665" s="20"/>
    </row>
    <row r="4666">
      <c r="A4666" s="6"/>
      <c r="B4666" s="6"/>
      <c r="C4666" s="4"/>
      <c r="D4666" s="4"/>
      <c r="E4666" s="4"/>
      <c r="F4666" s="4"/>
      <c r="G4666" s="4"/>
      <c r="H4666" s="4"/>
      <c r="I4666" s="4"/>
      <c r="J4666" s="18"/>
      <c r="K4666" s="4"/>
      <c r="L4666" s="19"/>
      <c r="M4666" s="20"/>
    </row>
    <row r="4667">
      <c r="A4667" s="6"/>
      <c r="B4667" s="6"/>
      <c r="C4667" s="4"/>
      <c r="D4667" s="4"/>
      <c r="E4667" s="4"/>
      <c r="F4667" s="4"/>
      <c r="G4667" s="4"/>
      <c r="H4667" s="4"/>
      <c r="I4667" s="4"/>
      <c r="J4667" s="18"/>
      <c r="K4667" s="4"/>
      <c r="L4667" s="19"/>
      <c r="M4667" s="20"/>
    </row>
    <row r="4668">
      <c r="A4668" s="6"/>
      <c r="B4668" s="6"/>
      <c r="C4668" s="4"/>
      <c r="D4668" s="4"/>
      <c r="E4668" s="4"/>
      <c r="F4668" s="4"/>
      <c r="G4668" s="4"/>
      <c r="H4668" s="4"/>
      <c r="I4668" s="4"/>
      <c r="J4668" s="18"/>
      <c r="K4668" s="4"/>
      <c r="L4668" s="19"/>
      <c r="M4668" s="20"/>
    </row>
    <row r="4669">
      <c r="A4669" s="6"/>
      <c r="B4669" s="6"/>
      <c r="C4669" s="4"/>
      <c r="D4669" s="4"/>
      <c r="E4669" s="4"/>
      <c r="F4669" s="4"/>
      <c r="G4669" s="4"/>
      <c r="H4669" s="4"/>
      <c r="I4669" s="4"/>
      <c r="J4669" s="18"/>
      <c r="K4669" s="4"/>
      <c r="L4669" s="19"/>
      <c r="M4669" s="20"/>
    </row>
    <row r="4670">
      <c r="A4670" s="6"/>
      <c r="B4670" s="6"/>
      <c r="C4670" s="4"/>
      <c r="D4670" s="4"/>
      <c r="E4670" s="4"/>
      <c r="F4670" s="4"/>
      <c r="G4670" s="4"/>
      <c r="H4670" s="4"/>
      <c r="I4670" s="4"/>
      <c r="J4670" s="18"/>
      <c r="K4670" s="4"/>
      <c r="L4670" s="19"/>
      <c r="M4670" s="20"/>
    </row>
    <row r="4671">
      <c r="A4671" s="6"/>
      <c r="B4671" s="6"/>
      <c r="C4671" s="4"/>
      <c r="D4671" s="4"/>
      <c r="E4671" s="4"/>
      <c r="F4671" s="4"/>
      <c r="G4671" s="4"/>
      <c r="H4671" s="4"/>
      <c r="I4671" s="4"/>
      <c r="J4671" s="18"/>
      <c r="K4671" s="4"/>
      <c r="L4671" s="19"/>
      <c r="M4671" s="20"/>
    </row>
    <row r="4672">
      <c r="A4672" s="6"/>
      <c r="B4672" s="6"/>
      <c r="C4672" s="4"/>
      <c r="D4672" s="4"/>
      <c r="E4672" s="4"/>
      <c r="F4672" s="4"/>
      <c r="G4672" s="4"/>
      <c r="H4672" s="4"/>
      <c r="I4672" s="4"/>
      <c r="J4672" s="18"/>
      <c r="K4672" s="4"/>
      <c r="L4672" s="19"/>
      <c r="M4672" s="20"/>
    </row>
    <row r="4673">
      <c r="A4673" s="6"/>
      <c r="B4673" s="6"/>
      <c r="C4673" s="4"/>
      <c r="D4673" s="4"/>
      <c r="E4673" s="4"/>
      <c r="F4673" s="4"/>
      <c r="G4673" s="4"/>
      <c r="H4673" s="4"/>
      <c r="I4673" s="4"/>
      <c r="J4673" s="18"/>
      <c r="K4673" s="4"/>
      <c r="L4673" s="19"/>
      <c r="M4673" s="20"/>
    </row>
    <row r="4674">
      <c r="A4674" s="6"/>
      <c r="B4674" s="6"/>
      <c r="C4674" s="4"/>
      <c r="D4674" s="4"/>
      <c r="E4674" s="4"/>
      <c r="F4674" s="4"/>
      <c r="G4674" s="4"/>
      <c r="H4674" s="4"/>
      <c r="I4674" s="4"/>
      <c r="J4674" s="18"/>
      <c r="K4674" s="4"/>
      <c r="L4674" s="19"/>
      <c r="M4674" s="20"/>
    </row>
    <row r="4675">
      <c r="A4675" s="6"/>
      <c r="B4675" s="6"/>
      <c r="C4675" s="4"/>
      <c r="D4675" s="4"/>
      <c r="E4675" s="4"/>
      <c r="F4675" s="4"/>
      <c r="G4675" s="4"/>
      <c r="H4675" s="4"/>
      <c r="I4675" s="4"/>
      <c r="J4675" s="18"/>
      <c r="K4675" s="4"/>
      <c r="L4675" s="19"/>
      <c r="M4675" s="20"/>
    </row>
    <row r="4676">
      <c r="A4676" s="6"/>
      <c r="B4676" s="6"/>
      <c r="C4676" s="4"/>
      <c r="D4676" s="4"/>
      <c r="E4676" s="4"/>
      <c r="F4676" s="4"/>
      <c r="G4676" s="4"/>
      <c r="H4676" s="4"/>
      <c r="I4676" s="4"/>
      <c r="J4676" s="18"/>
      <c r="K4676" s="4"/>
      <c r="L4676" s="19"/>
      <c r="M4676" s="20"/>
    </row>
    <row r="4677">
      <c r="A4677" s="6"/>
      <c r="B4677" s="6"/>
      <c r="C4677" s="4"/>
      <c r="D4677" s="4"/>
      <c r="E4677" s="4"/>
      <c r="F4677" s="4"/>
      <c r="G4677" s="4"/>
      <c r="H4677" s="4"/>
      <c r="I4677" s="4"/>
      <c r="J4677" s="18"/>
      <c r="K4677" s="4"/>
      <c r="L4677" s="19"/>
      <c r="M4677" s="20"/>
    </row>
    <row r="4678">
      <c r="A4678" s="6"/>
      <c r="B4678" s="6"/>
      <c r="C4678" s="4"/>
      <c r="D4678" s="4"/>
      <c r="E4678" s="4"/>
      <c r="F4678" s="4"/>
      <c r="G4678" s="4"/>
      <c r="H4678" s="4"/>
      <c r="I4678" s="4"/>
      <c r="J4678" s="18"/>
      <c r="K4678" s="4"/>
      <c r="L4678" s="19"/>
      <c r="M4678" s="20"/>
    </row>
    <row r="4679">
      <c r="A4679" s="6"/>
      <c r="B4679" s="6"/>
      <c r="C4679" s="4"/>
      <c r="D4679" s="4"/>
      <c r="E4679" s="4"/>
      <c r="F4679" s="4"/>
      <c r="G4679" s="4"/>
      <c r="H4679" s="4"/>
      <c r="I4679" s="4"/>
      <c r="J4679" s="18"/>
      <c r="K4679" s="4"/>
      <c r="L4679" s="19"/>
      <c r="M4679" s="20"/>
    </row>
    <row r="4680">
      <c r="A4680" s="6"/>
      <c r="B4680" s="6"/>
      <c r="C4680" s="4"/>
      <c r="D4680" s="4"/>
      <c r="E4680" s="4"/>
      <c r="F4680" s="4"/>
      <c r="G4680" s="4"/>
      <c r="H4680" s="4"/>
      <c r="I4680" s="4"/>
      <c r="J4680" s="18"/>
      <c r="K4680" s="4"/>
      <c r="L4680" s="19"/>
      <c r="M4680" s="20"/>
    </row>
    <row r="4681">
      <c r="A4681" s="6"/>
      <c r="B4681" s="6"/>
      <c r="C4681" s="4"/>
      <c r="D4681" s="4"/>
      <c r="E4681" s="4"/>
      <c r="F4681" s="4"/>
      <c r="G4681" s="4"/>
      <c r="H4681" s="4"/>
      <c r="I4681" s="4"/>
      <c r="J4681" s="18"/>
      <c r="K4681" s="4"/>
      <c r="L4681" s="19"/>
      <c r="M4681" s="20"/>
    </row>
    <row r="4682">
      <c r="A4682" s="6"/>
      <c r="B4682" s="6"/>
      <c r="C4682" s="4"/>
      <c r="D4682" s="4"/>
      <c r="E4682" s="4"/>
      <c r="F4682" s="4"/>
      <c r="G4682" s="4"/>
      <c r="H4682" s="4"/>
      <c r="I4682" s="4"/>
      <c r="J4682" s="18"/>
      <c r="K4682" s="4"/>
      <c r="L4682" s="19"/>
      <c r="M4682" s="20"/>
    </row>
    <row r="4683">
      <c r="A4683" s="6"/>
      <c r="B4683" s="6"/>
      <c r="C4683" s="4"/>
      <c r="D4683" s="4"/>
      <c r="E4683" s="4"/>
      <c r="F4683" s="4"/>
      <c r="G4683" s="4"/>
      <c r="H4683" s="4"/>
      <c r="I4683" s="4"/>
      <c r="J4683" s="18"/>
      <c r="K4683" s="4"/>
      <c r="L4683" s="19"/>
      <c r="M4683" s="20"/>
    </row>
    <row r="4684">
      <c r="A4684" s="6"/>
      <c r="B4684" s="6"/>
      <c r="C4684" s="4"/>
      <c r="D4684" s="4"/>
      <c r="E4684" s="4"/>
      <c r="F4684" s="4"/>
      <c r="G4684" s="4"/>
      <c r="H4684" s="4"/>
      <c r="I4684" s="4"/>
      <c r="J4684" s="18"/>
      <c r="K4684" s="4"/>
      <c r="L4684" s="19"/>
      <c r="M4684" s="20"/>
    </row>
    <row r="4685">
      <c r="A4685" s="6"/>
      <c r="B4685" s="6"/>
      <c r="C4685" s="4"/>
      <c r="D4685" s="4"/>
      <c r="E4685" s="4"/>
      <c r="F4685" s="4"/>
      <c r="G4685" s="4"/>
      <c r="H4685" s="4"/>
      <c r="I4685" s="4"/>
      <c r="J4685" s="18"/>
      <c r="K4685" s="4"/>
      <c r="L4685" s="19"/>
      <c r="M4685" s="20"/>
    </row>
    <row r="4686">
      <c r="A4686" s="6"/>
      <c r="B4686" s="6"/>
      <c r="C4686" s="4"/>
      <c r="D4686" s="4"/>
      <c r="E4686" s="4"/>
      <c r="F4686" s="4"/>
      <c r="G4686" s="4"/>
      <c r="H4686" s="4"/>
      <c r="I4686" s="4"/>
      <c r="J4686" s="18"/>
      <c r="K4686" s="4"/>
      <c r="L4686" s="19"/>
      <c r="M4686" s="20"/>
    </row>
    <row r="4687">
      <c r="A4687" s="6"/>
      <c r="B4687" s="6"/>
      <c r="C4687" s="4"/>
      <c r="D4687" s="4"/>
      <c r="E4687" s="4"/>
      <c r="F4687" s="4"/>
      <c r="G4687" s="4"/>
      <c r="H4687" s="4"/>
      <c r="I4687" s="4"/>
      <c r="J4687" s="18"/>
      <c r="K4687" s="4"/>
      <c r="L4687" s="19"/>
      <c r="M4687" s="20"/>
    </row>
    <row r="4688">
      <c r="A4688" s="6"/>
      <c r="B4688" s="6"/>
      <c r="C4688" s="4"/>
      <c r="D4688" s="4"/>
      <c r="E4688" s="4"/>
      <c r="F4688" s="4"/>
      <c r="G4688" s="4"/>
      <c r="H4688" s="4"/>
      <c r="I4688" s="4"/>
      <c r="J4688" s="18"/>
      <c r="K4688" s="4"/>
      <c r="L4688" s="19"/>
      <c r="M4688" s="20"/>
    </row>
    <row r="4689">
      <c r="A4689" s="6"/>
      <c r="B4689" s="6"/>
      <c r="C4689" s="4"/>
      <c r="D4689" s="4"/>
      <c r="E4689" s="4"/>
      <c r="F4689" s="4"/>
      <c r="G4689" s="4"/>
      <c r="H4689" s="4"/>
      <c r="I4689" s="4"/>
      <c r="J4689" s="18"/>
      <c r="K4689" s="4"/>
      <c r="L4689" s="19"/>
      <c r="M4689" s="20"/>
    </row>
    <row r="4690">
      <c r="A4690" s="6"/>
      <c r="B4690" s="6"/>
      <c r="C4690" s="4"/>
      <c r="D4690" s="4"/>
      <c r="E4690" s="4"/>
      <c r="F4690" s="4"/>
      <c r="G4690" s="4"/>
      <c r="H4690" s="4"/>
      <c r="I4690" s="4"/>
      <c r="J4690" s="18"/>
      <c r="K4690" s="4"/>
      <c r="L4690" s="19"/>
      <c r="M4690" s="20"/>
    </row>
    <row r="4691">
      <c r="A4691" s="6"/>
      <c r="B4691" s="6"/>
      <c r="C4691" s="4"/>
      <c r="D4691" s="4"/>
      <c r="E4691" s="4"/>
      <c r="F4691" s="4"/>
      <c r="G4691" s="4"/>
      <c r="H4691" s="4"/>
      <c r="I4691" s="4"/>
      <c r="J4691" s="18"/>
      <c r="K4691" s="4"/>
      <c r="L4691" s="19"/>
      <c r="M4691" s="20"/>
    </row>
    <row r="4692">
      <c r="A4692" s="6"/>
      <c r="B4692" s="6"/>
      <c r="C4692" s="4"/>
      <c r="D4692" s="4"/>
      <c r="E4692" s="4"/>
      <c r="F4692" s="4"/>
      <c r="G4692" s="4"/>
      <c r="H4692" s="4"/>
      <c r="I4692" s="4"/>
      <c r="J4692" s="18"/>
      <c r="K4692" s="4"/>
      <c r="L4692" s="19"/>
      <c r="M4692" s="20"/>
    </row>
    <row r="4693">
      <c r="A4693" s="6"/>
      <c r="B4693" s="6"/>
      <c r="C4693" s="4"/>
      <c r="D4693" s="4"/>
      <c r="E4693" s="4"/>
      <c r="F4693" s="4"/>
      <c r="G4693" s="4"/>
      <c r="H4693" s="4"/>
      <c r="I4693" s="4"/>
      <c r="J4693" s="18"/>
      <c r="K4693" s="4"/>
      <c r="L4693" s="19"/>
      <c r="M4693" s="20"/>
    </row>
    <row r="4694">
      <c r="A4694" s="6"/>
      <c r="B4694" s="6"/>
      <c r="C4694" s="4"/>
      <c r="D4694" s="4"/>
      <c r="E4694" s="4"/>
      <c r="F4694" s="4"/>
      <c r="G4694" s="4"/>
      <c r="H4694" s="4"/>
      <c r="I4694" s="4"/>
      <c r="J4694" s="18"/>
      <c r="K4694" s="4"/>
      <c r="L4694" s="19"/>
      <c r="M4694" s="20"/>
    </row>
    <row r="4695">
      <c r="A4695" s="6"/>
      <c r="B4695" s="6"/>
      <c r="C4695" s="4"/>
      <c r="D4695" s="4"/>
      <c r="E4695" s="4"/>
      <c r="F4695" s="4"/>
      <c r="G4695" s="4"/>
      <c r="H4695" s="4"/>
      <c r="I4695" s="4"/>
      <c r="J4695" s="18"/>
      <c r="K4695" s="4"/>
      <c r="L4695" s="19"/>
      <c r="M4695" s="20"/>
    </row>
    <row r="4696">
      <c r="A4696" s="6"/>
      <c r="B4696" s="6"/>
      <c r="C4696" s="4"/>
      <c r="D4696" s="4"/>
      <c r="E4696" s="4"/>
      <c r="F4696" s="4"/>
      <c r="G4696" s="4"/>
      <c r="H4696" s="4"/>
      <c r="I4696" s="4"/>
      <c r="J4696" s="18"/>
      <c r="K4696" s="4"/>
      <c r="L4696" s="19"/>
      <c r="M4696" s="20"/>
    </row>
    <row r="4697">
      <c r="A4697" s="6"/>
      <c r="B4697" s="6"/>
      <c r="C4697" s="4"/>
      <c r="D4697" s="4"/>
      <c r="E4697" s="4"/>
      <c r="F4697" s="4"/>
      <c r="G4697" s="4"/>
      <c r="H4697" s="4"/>
      <c r="I4697" s="4"/>
      <c r="J4697" s="18"/>
      <c r="K4697" s="4"/>
      <c r="L4697" s="19"/>
      <c r="M4697" s="20"/>
    </row>
    <row r="4698">
      <c r="A4698" s="6"/>
      <c r="B4698" s="6"/>
      <c r="C4698" s="4"/>
      <c r="D4698" s="4"/>
      <c r="E4698" s="4"/>
      <c r="F4698" s="4"/>
      <c r="G4698" s="4"/>
      <c r="H4698" s="4"/>
      <c r="I4698" s="4"/>
      <c r="J4698" s="18"/>
      <c r="K4698" s="4"/>
      <c r="L4698" s="19"/>
      <c r="M4698" s="20"/>
    </row>
    <row r="4699">
      <c r="A4699" s="6"/>
      <c r="B4699" s="6"/>
      <c r="C4699" s="4"/>
      <c r="D4699" s="4"/>
      <c r="E4699" s="4"/>
      <c r="F4699" s="4"/>
      <c r="G4699" s="4"/>
      <c r="H4699" s="4"/>
      <c r="I4699" s="4"/>
      <c r="J4699" s="18"/>
      <c r="K4699" s="4"/>
      <c r="L4699" s="19"/>
      <c r="M4699" s="20"/>
    </row>
    <row r="4700">
      <c r="A4700" s="6"/>
      <c r="B4700" s="6"/>
      <c r="C4700" s="4"/>
      <c r="D4700" s="4"/>
      <c r="E4700" s="4"/>
      <c r="F4700" s="4"/>
      <c r="G4700" s="4"/>
      <c r="H4700" s="4"/>
      <c r="I4700" s="4"/>
      <c r="J4700" s="18"/>
      <c r="K4700" s="4"/>
      <c r="L4700" s="19"/>
      <c r="M4700" s="20"/>
    </row>
    <row r="4701">
      <c r="A4701" s="6"/>
      <c r="B4701" s="6"/>
      <c r="C4701" s="4"/>
      <c r="D4701" s="4"/>
      <c r="E4701" s="4"/>
      <c r="F4701" s="4"/>
      <c r="G4701" s="4"/>
      <c r="H4701" s="4"/>
      <c r="I4701" s="4"/>
      <c r="J4701" s="18"/>
      <c r="K4701" s="4"/>
      <c r="L4701" s="19"/>
      <c r="M4701" s="20"/>
    </row>
    <row r="4702">
      <c r="A4702" s="6"/>
      <c r="B4702" s="6"/>
      <c r="C4702" s="4"/>
      <c r="D4702" s="4"/>
      <c r="E4702" s="4"/>
      <c r="F4702" s="4"/>
      <c r="G4702" s="4"/>
      <c r="H4702" s="4"/>
      <c r="I4702" s="4"/>
      <c r="J4702" s="18"/>
      <c r="K4702" s="4"/>
      <c r="L4702" s="19"/>
      <c r="M4702" s="20"/>
    </row>
    <row r="4703">
      <c r="A4703" s="6"/>
      <c r="B4703" s="6"/>
      <c r="C4703" s="4"/>
      <c r="D4703" s="4"/>
      <c r="E4703" s="4"/>
      <c r="F4703" s="4"/>
      <c r="G4703" s="4"/>
      <c r="H4703" s="4"/>
      <c r="I4703" s="4"/>
      <c r="J4703" s="18"/>
      <c r="K4703" s="4"/>
      <c r="L4703" s="19"/>
      <c r="M4703" s="20"/>
    </row>
    <row r="4704">
      <c r="A4704" s="6"/>
      <c r="B4704" s="6"/>
      <c r="C4704" s="4"/>
      <c r="D4704" s="4"/>
      <c r="E4704" s="4"/>
      <c r="F4704" s="4"/>
      <c r="G4704" s="4"/>
      <c r="H4704" s="4"/>
      <c r="I4704" s="4"/>
      <c r="J4704" s="18"/>
      <c r="K4704" s="4"/>
      <c r="L4704" s="19"/>
      <c r="M4704" s="20"/>
    </row>
    <row r="4705">
      <c r="A4705" s="6"/>
      <c r="B4705" s="6"/>
      <c r="C4705" s="4"/>
      <c r="D4705" s="4"/>
      <c r="E4705" s="4"/>
      <c r="F4705" s="4"/>
      <c r="G4705" s="4"/>
      <c r="H4705" s="4"/>
      <c r="I4705" s="4"/>
      <c r="J4705" s="18"/>
      <c r="K4705" s="4"/>
      <c r="L4705" s="19"/>
      <c r="M4705" s="20"/>
    </row>
    <row r="4706">
      <c r="A4706" s="6"/>
      <c r="B4706" s="6"/>
      <c r="C4706" s="4"/>
      <c r="D4706" s="4"/>
      <c r="E4706" s="4"/>
      <c r="F4706" s="4"/>
      <c r="G4706" s="4"/>
      <c r="H4706" s="4"/>
      <c r="I4706" s="4"/>
      <c r="J4706" s="18"/>
      <c r="K4706" s="4"/>
      <c r="L4706" s="19"/>
      <c r="M4706" s="20"/>
    </row>
    <row r="4707">
      <c r="A4707" s="6"/>
      <c r="B4707" s="6"/>
      <c r="C4707" s="4"/>
      <c r="D4707" s="4"/>
      <c r="E4707" s="4"/>
      <c r="F4707" s="4"/>
      <c r="G4707" s="4"/>
      <c r="H4707" s="4"/>
      <c r="I4707" s="4"/>
      <c r="J4707" s="18"/>
      <c r="K4707" s="4"/>
      <c r="L4707" s="19"/>
      <c r="M4707" s="20"/>
    </row>
    <row r="4708">
      <c r="A4708" s="6"/>
      <c r="B4708" s="6"/>
      <c r="C4708" s="4"/>
      <c r="D4708" s="4"/>
      <c r="E4708" s="4"/>
      <c r="F4708" s="4"/>
      <c r="G4708" s="4"/>
      <c r="H4708" s="4"/>
      <c r="I4708" s="4"/>
      <c r="J4708" s="18"/>
      <c r="K4708" s="4"/>
      <c r="L4708" s="19"/>
      <c r="M4708" s="20"/>
    </row>
    <row r="4709">
      <c r="A4709" s="6"/>
      <c r="B4709" s="6"/>
      <c r="C4709" s="4"/>
      <c r="D4709" s="4"/>
      <c r="E4709" s="4"/>
      <c r="F4709" s="4"/>
      <c r="G4709" s="4"/>
      <c r="H4709" s="4"/>
      <c r="I4709" s="4"/>
      <c r="J4709" s="18"/>
      <c r="K4709" s="4"/>
      <c r="L4709" s="19"/>
      <c r="M4709" s="20"/>
    </row>
    <row r="4710">
      <c r="A4710" s="6"/>
      <c r="B4710" s="6"/>
      <c r="C4710" s="4"/>
      <c r="D4710" s="4"/>
      <c r="E4710" s="4"/>
      <c r="F4710" s="4"/>
      <c r="G4710" s="4"/>
      <c r="H4710" s="4"/>
      <c r="I4710" s="4"/>
      <c r="J4710" s="18"/>
      <c r="K4710" s="4"/>
      <c r="L4710" s="19"/>
      <c r="M4710" s="20"/>
    </row>
    <row r="4711">
      <c r="A4711" s="6"/>
      <c r="B4711" s="6"/>
      <c r="C4711" s="4"/>
      <c r="D4711" s="4"/>
      <c r="E4711" s="4"/>
      <c r="F4711" s="4"/>
      <c r="G4711" s="4"/>
      <c r="H4711" s="4"/>
      <c r="I4711" s="4"/>
      <c r="J4711" s="18"/>
      <c r="K4711" s="4"/>
      <c r="L4711" s="19"/>
      <c r="M4711" s="20"/>
    </row>
    <row r="4712">
      <c r="A4712" s="6"/>
      <c r="B4712" s="6"/>
      <c r="C4712" s="4"/>
      <c r="D4712" s="4"/>
      <c r="E4712" s="4"/>
      <c r="F4712" s="4"/>
      <c r="G4712" s="4"/>
      <c r="H4712" s="4"/>
      <c r="I4712" s="4"/>
      <c r="J4712" s="18"/>
      <c r="K4712" s="4"/>
      <c r="L4712" s="19"/>
      <c r="M4712" s="20"/>
    </row>
    <row r="4713">
      <c r="A4713" s="6"/>
      <c r="B4713" s="6"/>
      <c r="C4713" s="4"/>
      <c r="D4713" s="4"/>
      <c r="E4713" s="4"/>
      <c r="F4713" s="4"/>
      <c r="G4713" s="4"/>
      <c r="H4713" s="4"/>
      <c r="I4713" s="4"/>
      <c r="J4713" s="18"/>
      <c r="K4713" s="4"/>
      <c r="L4713" s="19"/>
      <c r="M4713" s="20"/>
    </row>
    <row r="4714">
      <c r="A4714" s="6"/>
      <c r="B4714" s="6"/>
      <c r="C4714" s="4"/>
      <c r="D4714" s="4"/>
      <c r="E4714" s="4"/>
      <c r="F4714" s="4"/>
      <c r="G4714" s="4"/>
      <c r="H4714" s="4"/>
      <c r="I4714" s="4"/>
      <c r="J4714" s="18"/>
      <c r="K4714" s="4"/>
      <c r="L4714" s="19"/>
      <c r="M4714" s="20"/>
    </row>
    <row r="4715">
      <c r="A4715" s="6"/>
      <c r="B4715" s="6"/>
      <c r="C4715" s="4"/>
      <c r="D4715" s="4"/>
      <c r="E4715" s="4"/>
      <c r="F4715" s="4"/>
      <c r="G4715" s="4"/>
      <c r="H4715" s="4"/>
      <c r="I4715" s="4"/>
      <c r="J4715" s="18"/>
      <c r="K4715" s="4"/>
      <c r="L4715" s="19"/>
      <c r="M4715" s="20"/>
    </row>
    <row r="4716">
      <c r="A4716" s="6"/>
      <c r="B4716" s="6"/>
      <c r="C4716" s="4"/>
      <c r="D4716" s="4"/>
      <c r="E4716" s="4"/>
      <c r="F4716" s="4"/>
      <c r="G4716" s="4"/>
      <c r="H4716" s="4"/>
      <c r="I4716" s="4"/>
      <c r="J4716" s="18"/>
      <c r="K4716" s="4"/>
      <c r="L4716" s="19"/>
      <c r="M4716" s="20"/>
    </row>
    <row r="4717">
      <c r="A4717" s="6"/>
      <c r="B4717" s="6"/>
      <c r="C4717" s="4"/>
      <c r="D4717" s="4"/>
      <c r="E4717" s="4"/>
      <c r="F4717" s="4"/>
      <c r="G4717" s="4"/>
      <c r="H4717" s="4"/>
      <c r="I4717" s="4"/>
      <c r="J4717" s="18"/>
      <c r="K4717" s="4"/>
      <c r="L4717" s="19"/>
      <c r="M4717" s="20"/>
    </row>
    <row r="4718">
      <c r="A4718" s="6"/>
      <c r="B4718" s="6"/>
      <c r="C4718" s="4"/>
      <c r="D4718" s="4"/>
      <c r="E4718" s="4"/>
      <c r="F4718" s="4"/>
      <c r="G4718" s="4"/>
      <c r="H4718" s="4"/>
      <c r="I4718" s="4"/>
      <c r="J4718" s="18"/>
      <c r="K4718" s="4"/>
      <c r="L4718" s="19"/>
      <c r="M4718" s="20"/>
    </row>
    <row r="4719">
      <c r="A4719" s="6"/>
      <c r="B4719" s="6"/>
      <c r="C4719" s="4"/>
      <c r="D4719" s="4"/>
      <c r="E4719" s="4"/>
      <c r="F4719" s="4"/>
      <c r="G4719" s="4"/>
      <c r="H4719" s="4"/>
      <c r="I4719" s="4"/>
      <c r="J4719" s="18"/>
      <c r="K4719" s="4"/>
      <c r="L4719" s="19"/>
      <c r="M4719" s="20"/>
    </row>
    <row r="4720">
      <c r="A4720" s="6"/>
      <c r="B4720" s="6"/>
      <c r="C4720" s="4"/>
      <c r="D4720" s="4"/>
      <c r="E4720" s="4"/>
      <c r="F4720" s="4"/>
      <c r="G4720" s="4"/>
      <c r="H4720" s="4"/>
      <c r="I4720" s="4"/>
      <c r="J4720" s="18"/>
      <c r="K4720" s="4"/>
      <c r="L4720" s="19"/>
      <c r="M4720" s="20"/>
    </row>
    <row r="4721">
      <c r="A4721" s="6"/>
      <c r="B4721" s="6"/>
      <c r="C4721" s="4"/>
      <c r="D4721" s="4"/>
      <c r="E4721" s="4"/>
      <c r="F4721" s="4"/>
      <c r="G4721" s="4"/>
      <c r="H4721" s="4"/>
      <c r="I4721" s="4"/>
      <c r="J4721" s="18"/>
      <c r="K4721" s="4"/>
      <c r="L4721" s="19"/>
      <c r="M4721" s="20"/>
    </row>
    <row r="4722">
      <c r="A4722" s="6"/>
      <c r="B4722" s="6"/>
      <c r="C4722" s="4"/>
      <c r="D4722" s="4"/>
      <c r="E4722" s="4"/>
      <c r="F4722" s="4"/>
      <c r="G4722" s="4"/>
      <c r="H4722" s="4"/>
      <c r="I4722" s="4"/>
      <c r="J4722" s="18"/>
      <c r="K4722" s="4"/>
      <c r="L4722" s="19"/>
      <c r="M4722" s="20"/>
    </row>
    <row r="4723">
      <c r="A4723" s="6"/>
      <c r="B4723" s="6"/>
      <c r="C4723" s="4"/>
      <c r="D4723" s="4"/>
      <c r="E4723" s="4"/>
      <c r="F4723" s="4"/>
      <c r="G4723" s="4"/>
      <c r="H4723" s="4"/>
      <c r="I4723" s="4"/>
      <c r="J4723" s="18"/>
      <c r="K4723" s="4"/>
      <c r="L4723" s="19"/>
      <c r="M4723" s="20"/>
    </row>
    <row r="4724">
      <c r="A4724" s="6"/>
      <c r="B4724" s="6"/>
      <c r="C4724" s="4"/>
      <c r="D4724" s="4"/>
      <c r="E4724" s="4"/>
      <c r="F4724" s="4"/>
      <c r="G4724" s="4"/>
      <c r="H4724" s="4"/>
      <c r="I4724" s="4"/>
      <c r="J4724" s="18"/>
      <c r="K4724" s="4"/>
      <c r="L4724" s="19"/>
      <c r="M4724" s="20"/>
    </row>
    <row r="4725">
      <c r="A4725" s="6"/>
      <c r="B4725" s="6"/>
      <c r="C4725" s="4"/>
      <c r="D4725" s="4"/>
      <c r="E4725" s="4"/>
      <c r="F4725" s="4"/>
      <c r="G4725" s="4"/>
      <c r="H4725" s="4"/>
      <c r="I4725" s="4"/>
      <c r="J4725" s="18"/>
      <c r="K4725" s="4"/>
      <c r="L4725" s="19"/>
      <c r="M4725" s="20"/>
    </row>
    <row r="4726">
      <c r="A4726" s="6"/>
      <c r="B4726" s="6"/>
      <c r="C4726" s="4"/>
      <c r="D4726" s="4"/>
      <c r="E4726" s="4"/>
      <c r="F4726" s="4"/>
      <c r="G4726" s="4"/>
      <c r="H4726" s="4"/>
      <c r="I4726" s="4"/>
      <c r="J4726" s="18"/>
      <c r="K4726" s="4"/>
      <c r="L4726" s="19"/>
      <c r="M4726" s="20"/>
    </row>
    <row r="4727">
      <c r="A4727" s="6"/>
      <c r="B4727" s="6"/>
      <c r="C4727" s="4"/>
      <c r="D4727" s="4"/>
      <c r="E4727" s="4"/>
      <c r="F4727" s="4"/>
      <c r="G4727" s="4"/>
      <c r="H4727" s="4"/>
      <c r="I4727" s="4"/>
      <c r="J4727" s="18"/>
      <c r="K4727" s="4"/>
      <c r="L4727" s="19"/>
      <c r="M4727" s="20"/>
    </row>
    <row r="4728">
      <c r="A4728" s="6"/>
      <c r="B4728" s="6"/>
      <c r="C4728" s="4"/>
      <c r="D4728" s="4"/>
      <c r="E4728" s="4"/>
      <c r="F4728" s="4"/>
      <c r="G4728" s="4"/>
      <c r="H4728" s="4"/>
      <c r="I4728" s="4"/>
      <c r="J4728" s="18"/>
      <c r="K4728" s="4"/>
      <c r="L4728" s="19"/>
      <c r="M4728" s="20"/>
    </row>
    <row r="4729">
      <c r="A4729" s="6"/>
      <c r="B4729" s="6"/>
      <c r="C4729" s="4"/>
      <c r="D4729" s="4"/>
      <c r="E4729" s="4"/>
      <c r="F4729" s="4"/>
      <c r="G4729" s="4"/>
      <c r="H4729" s="4"/>
      <c r="I4729" s="4"/>
      <c r="J4729" s="18"/>
      <c r="K4729" s="4"/>
      <c r="L4729" s="19"/>
      <c r="M4729" s="20"/>
    </row>
    <row r="4730">
      <c r="A4730" s="6"/>
      <c r="B4730" s="6"/>
      <c r="C4730" s="4"/>
      <c r="D4730" s="4"/>
      <c r="E4730" s="4"/>
      <c r="F4730" s="4"/>
      <c r="G4730" s="4"/>
      <c r="H4730" s="4"/>
      <c r="I4730" s="4"/>
      <c r="J4730" s="18"/>
      <c r="K4730" s="4"/>
      <c r="L4730" s="19"/>
      <c r="M4730" s="20"/>
    </row>
    <row r="4731">
      <c r="A4731" s="6"/>
      <c r="B4731" s="6"/>
      <c r="C4731" s="4"/>
      <c r="D4731" s="4"/>
      <c r="E4731" s="4"/>
      <c r="F4731" s="4"/>
      <c r="G4731" s="4"/>
      <c r="H4731" s="4"/>
      <c r="I4731" s="4"/>
      <c r="J4731" s="18"/>
      <c r="K4731" s="4"/>
      <c r="L4731" s="19"/>
      <c r="M4731" s="20"/>
    </row>
    <row r="4732">
      <c r="A4732" s="6"/>
      <c r="B4732" s="6"/>
      <c r="C4732" s="4"/>
      <c r="D4732" s="4"/>
      <c r="E4732" s="4"/>
      <c r="F4732" s="4"/>
      <c r="G4732" s="4"/>
      <c r="H4732" s="4"/>
      <c r="I4732" s="4"/>
      <c r="J4732" s="18"/>
      <c r="K4732" s="4"/>
      <c r="L4732" s="19"/>
      <c r="M4732" s="20"/>
    </row>
    <row r="4733">
      <c r="A4733" s="6"/>
      <c r="B4733" s="6"/>
      <c r="C4733" s="4"/>
      <c r="D4733" s="4"/>
      <c r="E4733" s="4"/>
      <c r="F4733" s="4"/>
      <c r="G4733" s="4"/>
      <c r="H4733" s="4"/>
      <c r="I4733" s="4"/>
      <c r="J4733" s="18"/>
      <c r="K4733" s="4"/>
      <c r="L4733" s="19"/>
      <c r="M4733" s="20"/>
    </row>
    <row r="4734">
      <c r="A4734" s="6"/>
      <c r="B4734" s="6"/>
      <c r="C4734" s="4"/>
      <c r="D4734" s="4"/>
      <c r="E4734" s="4"/>
      <c r="F4734" s="4"/>
      <c r="G4734" s="4"/>
      <c r="H4734" s="4"/>
      <c r="I4734" s="4"/>
      <c r="J4734" s="18"/>
      <c r="K4734" s="4"/>
      <c r="L4734" s="19"/>
      <c r="M4734" s="20"/>
    </row>
    <row r="4735">
      <c r="A4735" s="6"/>
      <c r="B4735" s="6"/>
      <c r="C4735" s="4"/>
      <c r="D4735" s="4"/>
      <c r="E4735" s="4"/>
      <c r="F4735" s="4"/>
      <c r="G4735" s="4"/>
      <c r="H4735" s="4"/>
      <c r="I4735" s="4"/>
      <c r="J4735" s="18"/>
      <c r="K4735" s="4"/>
      <c r="L4735" s="19"/>
      <c r="M4735" s="20"/>
    </row>
    <row r="4736">
      <c r="A4736" s="6"/>
      <c r="B4736" s="6"/>
      <c r="C4736" s="4"/>
      <c r="D4736" s="4"/>
      <c r="E4736" s="4"/>
      <c r="F4736" s="4"/>
      <c r="G4736" s="4"/>
      <c r="H4736" s="4"/>
      <c r="I4736" s="4"/>
      <c r="J4736" s="18"/>
      <c r="K4736" s="4"/>
      <c r="L4736" s="19"/>
      <c r="M4736" s="20"/>
    </row>
    <row r="4737">
      <c r="A4737" s="6"/>
      <c r="B4737" s="6"/>
      <c r="C4737" s="4"/>
      <c r="D4737" s="4"/>
      <c r="E4737" s="4"/>
      <c r="F4737" s="4"/>
      <c r="G4737" s="4"/>
      <c r="H4737" s="4"/>
      <c r="I4737" s="4"/>
      <c r="J4737" s="18"/>
      <c r="K4737" s="4"/>
      <c r="L4737" s="19"/>
      <c r="M4737" s="20"/>
    </row>
    <row r="4738">
      <c r="A4738" s="6"/>
      <c r="B4738" s="6"/>
      <c r="C4738" s="4"/>
      <c r="D4738" s="4"/>
      <c r="E4738" s="4"/>
      <c r="F4738" s="4"/>
      <c r="G4738" s="4"/>
      <c r="H4738" s="4"/>
      <c r="I4738" s="4"/>
      <c r="J4738" s="18"/>
      <c r="K4738" s="4"/>
      <c r="L4738" s="19"/>
      <c r="M4738" s="20"/>
    </row>
    <row r="4739">
      <c r="A4739" s="6"/>
      <c r="B4739" s="6"/>
      <c r="C4739" s="4"/>
      <c r="D4739" s="4"/>
      <c r="E4739" s="4"/>
      <c r="F4739" s="4"/>
      <c r="G4739" s="4"/>
      <c r="H4739" s="4"/>
      <c r="I4739" s="4"/>
      <c r="J4739" s="18"/>
      <c r="K4739" s="4"/>
      <c r="L4739" s="19"/>
      <c r="M4739" s="20"/>
    </row>
    <row r="4740">
      <c r="A4740" s="6"/>
      <c r="B4740" s="6"/>
      <c r="C4740" s="4"/>
      <c r="D4740" s="4"/>
      <c r="E4740" s="4"/>
      <c r="F4740" s="4"/>
      <c r="G4740" s="4"/>
      <c r="H4740" s="4"/>
      <c r="I4740" s="4"/>
      <c r="J4740" s="18"/>
      <c r="K4740" s="4"/>
      <c r="L4740" s="19"/>
      <c r="M4740" s="20"/>
    </row>
    <row r="4741">
      <c r="A4741" s="6"/>
      <c r="B4741" s="6"/>
      <c r="C4741" s="4"/>
      <c r="D4741" s="4"/>
      <c r="E4741" s="4"/>
      <c r="F4741" s="4"/>
      <c r="G4741" s="4"/>
      <c r="H4741" s="4"/>
      <c r="I4741" s="4"/>
      <c r="J4741" s="18"/>
      <c r="K4741" s="4"/>
      <c r="L4741" s="19"/>
      <c r="M4741" s="20"/>
    </row>
    <row r="4742">
      <c r="A4742" s="6"/>
      <c r="B4742" s="6"/>
      <c r="C4742" s="4"/>
      <c r="D4742" s="4"/>
      <c r="E4742" s="4"/>
      <c r="F4742" s="4"/>
      <c r="G4742" s="4"/>
      <c r="H4742" s="4"/>
      <c r="I4742" s="4"/>
      <c r="J4742" s="18"/>
      <c r="K4742" s="4"/>
      <c r="L4742" s="19"/>
      <c r="M4742" s="20"/>
    </row>
    <row r="4743">
      <c r="A4743" s="6"/>
      <c r="B4743" s="6"/>
      <c r="C4743" s="4"/>
      <c r="D4743" s="4"/>
      <c r="E4743" s="4"/>
      <c r="F4743" s="4"/>
      <c r="G4743" s="4"/>
      <c r="H4743" s="4"/>
      <c r="I4743" s="4"/>
      <c r="J4743" s="18"/>
      <c r="K4743" s="4"/>
      <c r="L4743" s="19"/>
      <c r="M4743" s="20"/>
    </row>
    <row r="4744">
      <c r="A4744" s="6"/>
      <c r="B4744" s="6"/>
      <c r="C4744" s="4"/>
      <c r="D4744" s="4"/>
      <c r="E4744" s="4"/>
      <c r="F4744" s="4"/>
      <c r="G4744" s="4"/>
      <c r="H4744" s="4"/>
      <c r="I4744" s="4"/>
      <c r="J4744" s="18"/>
      <c r="K4744" s="4"/>
      <c r="L4744" s="19"/>
      <c r="M4744" s="20"/>
    </row>
    <row r="4745">
      <c r="A4745" s="6"/>
      <c r="B4745" s="6"/>
      <c r="C4745" s="4"/>
      <c r="D4745" s="4"/>
      <c r="E4745" s="4"/>
      <c r="F4745" s="4"/>
      <c r="G4745" s="4"/>
      <c r="H4745" s="4"/>
      <c r="I4745" s="4"/>
      <c r="J4745" s="18"/>
      <c r="K4745" s="4"/>
      <c r="L4745" s="19"/>
      <c r="M4745" s="20"/>
    </row>
    <row r="4746">
      <c r="A4746" s="6"/>
      <c r="B4746" s="6"/>
      <c r="C4746" s="4"/>
      <c r="D4746" s="4"/>
      <c r="E4746" s="4"/>
      <c r="F4746" s="4"/>
      <c r="G4746" s="4"/>
      <c r="H4746" s="4"/>
      <c r="I4746" s="4"/>
      <c r="J4746" s="18"/>
      <c r="K4746" s="4"/>
      <c r="L4746" s="19"/>
      <c r="M4746" s="20"/>
    </row>
    <row r="4747">
      <c r="A4747" s="6"/>
      <c r="B4747" s="6"/>
      <c r="C4747" s="4"/>
      <c r="D4747" s="4"/>
      <c r="E4747" s="4"/>
      <c r="F4747" s="4"/>
      <c r="G4747" s="4"/>
      <c r="H4747" s="4"/>
      <c r="I4747" s="4"/>
      <c r="J4747" s="18"/>
      <c r="K4747" s="4"/>
      <c r="L4747" s="19"/>
      <c r="M4747" s="20"/>
    </row>
    <row r="4748">
      <c r="A4748" s="6"/>
      <c r="B4748" s="6"/>
      <c r="C4748" s="4"/>
      <c r="D4748" s="4"/>
      <c r="E4748" s="4"/>
      <c r="F4748" s="4"/>
      <c r="G4748" s="4"/>
      <c r="H4748" s="4"/>
      <c r="I4748" s="4"/>
      <c r="J4748" s="18"/>
      <c r="K4748" s="4"/>
      <c r="L4748" s="19"/>
      <c r="M4748" s="20"/>
    </row>
    <row r="4749">
      <c r="A4749" s="6"/>
      <c r="B4749" s="6"/>
      <c r="C4749" s="4"/>
      <c r="D4749" s="4"/>
      <c r="E4749" s="4"/>
      <c r="F4749" s="4"/>
      <c r="G4749" s="4"/>
      <c r="H4749" s="4"/>
      <c r="I4749" s="4"/>
      <c r="J4749" s="18"/>
      <c r="K4749" s="4"/>
      <c r="L4749" s="19"/>
      <c r="M4749" s="20"/>
    </row>
    <row r="4750">
      <c r="A4750" s="6"/>
      <c r="B4750" s="6"/>
      <c r="C4750" s="4"/>
      <c r="D4750" s="4"/>
      <c r="E4750" s="4"/>
      <c r="F4750" s="4"/>
      <c r="G4750" s="4"/>
      <c r="H4750" s="4"/>
      <c r="I4750" s="4"/>
      <c r="J4750" s="18"/>
      <c r="K4750" s="4"/>
      <c r="L4750" s="19"/>
      <c r="M4750" s="20"/>
    </row>
    <row r="4751">
      <c r="A4751" s="6"/>
      <c r="B4751" s="6"/>
      <c r="C4751" s="4"/>
      <c r="D4751" s="4"/>
      <c r="E4751" s="4"/>
      <c r="F4751" s="4"/>
      <c r="G4751" s="4"/>
      <c r="H4751" s="4"/>
      <c r="I4751" s="4"/>
      <c r="J4751" s="18"/>
      <c r="K4751" s="4"/>
      <c r="L4751" s="19"/>
      <c r="M4751" s="20"/>
    </row>
    <row r="4752">
      <c r="A4752" s="6"/>
      <c r="B4752" s="6"/>
      <c r="C4752" s="4"/>
      <c r="D4752" s="4"/>
      <c r="E4752" s="4"/>
      <c r="F4752" s="4"/>
      <c r="G4752" s="4"/>
      <c r="H4752" s="4"/>
      <c r="I4752" s="4"/>
      <c r="J4752" s="18"/>
      <c r="K4752" s="4"/>
      <c r="L4752" s="19"/>
      <c r="M4752" s="20"/>
    </row>
    <row r="4753">
      <c r="A4753" s="6"/>
      <c r="B4753" s="6"/>
      <c r="C4753" s="4"/>
      <c r="D4753" s="4"/>
      <c r="E4753" s="4"/>
      <c r="F4753" s="4"/>
      <c r="G4753" s="4"/>
      <c r="H4753" s="4"/>
      <c r="I4753" s="4"/>
      <c r="J4753" s="18"/>
      <c r="K4753" s="4"/>
      <c r="L4753" s="19"/>
      <c r="M4753" s="20"/>
    </row>
    <row r="4754">
      <c r="A4754" s="6"/>
      <c r="B4754" s="6"/>
      <c r="C4754" s="4"/>
      <c r="D4754" s="4"/>
      <c r="E4754" s="4"/>
      <c r="F4754" s="4"/>
      <c r="G4754" s="4"/>
      <c r="H4754" s="4"/>
      <c r="I4754" s="4"/>
      <c r="J4754" s="18"/>
      <c r="K4754" s="4"/>
      <c r="L4754" s="19"/>
      <c r="M4754" s="20"/>
    </row>
    <row r="4755">
      <c r="A4755" s="6"/>
      <c r="B4755" s="6"/>
      <c r="C4755" s="4"/>
      <c r="D4755" s="4"/>
      <c r="E4755" s="4"/>
      <c r="F4755" s="4"/>
      <c r="G4755" s="4"/>
      <c r="H4755" s="4"/>
      <c r="I4755" s="4"/>
      <c r="J4755" s="18"/>
      <c r="K4755" s="4"/>
      <c r="L4755" s="19"/>
      <c r="M4755" s="20"/>
    </row>
    <row r="4756">
      <c r="A4756" s="6"/>
      <c r="B4756" s="6"/>
      <c r="C4756" s="4"/>
      <c r="D4756" s="4"/>
      <c r="E4756" s="4"/>
      <c r="F4756" s="4"/>
      <c r="G4756" s="4"/>
      <c r="H4756" s="4"/>
      <c r="I4756" s="4"/>
      <c r="J4756" s="18"/>
      <c r="K4756" s="4"/>
      <c r="L4756" s="19"/>
      <c r="M4756" s="20"/>
    </row>
    <row r="4757">
      <c r="A4757" s="6"/>
      <c r="B4757" s="6"/>
      <c r="C4757" s="4"/>
      <c r="D4757" s="4"/>
      <c r="E4757" s="4"/>
      <c r="F4757" s="4"/>
      <c r="G4757" s="4"/>
      <c r="H4757" s="4"/>
      <c r="I4757" s="4"/>
      <c r="J4757" s="18"/>
      <c r="K4757" s="4"/>
      <c r="L4757" s="19"/>
      <c r="M4757" s="20"/>
    </row>
    <row r="4758">
      <c r="A4758" s="6"/>
      <c r="B4758" s="6"/>
      <c r="C4758" s="4"/>
      <c r="D4758" s="4"/>
      <c r="E4758" s="4"/>
      <c r="F4758" s="4"/>
      <c r="G4758" s="4"/>
      <c r="H4758" s="4"/>
      <c r="I4758" s="4"/>
      <c r="J4758" s="18"/>
      <c r="K4758" s="4"/>
      <c r="L4758" s="19"/>
      <c r="M4758" s="20"/>
    </row>
    <row r="4759">
      <c r="A4759" s="6"/>
      <c r="B4759" s="6"/>
      <c r="C4759" s="4"/>
      <c r="D4759" s="4"/>
      <c r="E4759" s="4"/>
      <c r="F4759" s="4"/>
      <c r="G4759" s="4"/>
      <c r="H4759" s="4"/>
      <c r="I4759" s="4"/>
      <c r="J4759" s="18"/>
      <c r="K4759" s="4"/>
      <c r="L4759" s="19"/>
      <c r="M4759" s="20"/>
    </row>
    <row r="4760">
      <c r="A4760" s="6"/>
      <c r="B4760" s="6"/>
      <c r="C4760" s="4"/>
      <c r="D4760" s="4"/>
      <c r="E4760" s="4"/>
      <c r="F4760" s="4"/>
      <c r="G4760" s="4"/>
      <c r="H4760" s="4"/>
      <c r="I4760" s="4"/>
      <c r="J4760" s="18"/>
      <c r="K4760" s="4"/>
      <c r="L4760" s="19"/>
      <c r="M4760" s="20"/>
    </row>
    <row r="4761">
      <c r="A4761" s="6"/>
      <c r="B4761" s="6"/>
      <c r="C4761" s="4"/>
      <c r="D4761" s="4"/>
      <c r="E4761" s="4"/>
      <c r="F4761" s="4"/>
      <c r="G4761" s="4"/>
      <c r="H4761" s="4"/>
      <c r="I4761" s="4"/>
      <c r="J4761" s="18"/>
      <c r="K4761" s="4"/>
      <c r="L4761" s="19"/>
      <c r="M4761" s="20"/>
    </row>
    <row r="4762">
      <c r="A4762" s="6"/>
      <c r="B4762" s="6"/>
      <c r="C4762" s="4"/>
      <c r="D4762" s="4"/>
      <c r="E4762" s="4"/>
      <c r="F4762" s="4"/>
      <c r="G4762" s="4"/>
      <c r="H4762" s="4"/>
      <c r="I4762" s="4"/>
      <c r="J4762" s="18"/>
      <c r="K4762" s="4"/>
      <c r="L4762" s="19"/>
      <c r="M4762" s="20"/>
    </row>
    <row r="4763">
      <c r="A4763" s="6"/>
      <c r="B4763" s="6"/>
      <c r="C4763" s="4"/>
      <c r="D4763" s="4"/>
      <c r="E4763" s="4"/>
      <c r="F4763" s="4"/>
      <c r="G4763" s="4"/>
      <c r="H4763" s="4"/>
      <c r="I4763" s="4"/>
      <c r="J4763" s="18"/>
      <c r="K4763" s="4"/>
      <c r="L4763" s="19"/>
      <c r="M4763" s="20"/>
    </row>
    <row r="4764">
      <c r="A4764" s="6"/>
      <c r="B4764" s="6"/>
      <c r="C4764" s="4"/>
      <c r="D4764" s="4"/>
      <c r="E4764" s="4"/>
      <c r="F4764" s="4"/>
      <c r="G4764" s="4"/>
      <c r="H4764" s="4"/>
      <c r="I4764" s="4"/>
      <c r="J4764" s="18"/>
      <c r="K4764" s="4"/>
      <c r="L4764" s="19"/>
      <c r="M4764" s="20"/>
    </row>
    <row r="4765">
      <c r="A4765" s="6"/>
      <c r="B4765" s="6"/>
      <c r="C4765" s="4"/>
      <c r="D4765" s="4"/>
      <c r="E4765" s="4"/>
      <c r="F4765" s="4"/>
      <c r="G4765" s="4"/>
      <c r="H4765" s="4"/>
      <c r="I4765" s="4"/>
      <c r="J4765" s="18"/>
      <c r="K4765" s="4"/>
      <c r="L4765" s="19"/>
      <c r="M4765" s="20"/>
    </row>
    <row r="4766">
      <c r="A4766" s="6"/>
      <c r="B4766" s="6"/>
      <c r="C4766" s="4"/>
      <c r="D4766" s="4"/>
      <c r="E4766" s="4"/>
      <c r="F4766" s="4"/>
      <c r="G4766" s="4"/>
      <c r="H4766" s="4"/>
      <c r="I4766" s="4"/>
      <c r="J4766" s="18"/>
      <c r="K4766" s="4"/>
      <c r="L4766" s="19"/>
      <c r="M4766" s="20"/>
    </row>
    <row r="4767">
      <c r="A4767" s="6"/>
      <c r="B4767" s="6"/>
      <c r="C4767" s="4"/>
      <c r="D4767" s="4"/>
      <c r="E4767" s="4"/>
      <c r="F4767" s="4"/>
      <c r="G4767" s="4"/>
      <c r="H4767" s="4"/>
      <c r="I4767" s="4"/>
      <c r="J4767" s="18"/>
      <c r="K4767" s="4"/>
      <c r="L4767" s="19"/>
      <c r="M4767" s="20"/>
    </row>
    <row r="4768">
      <c r="A4768" s="6"/>
      <c r="B4768" s="6"/>
      <c r="C4768" s="4"/>
      <c r="D4768" s="4"/>
      <c r="E4768" s="4"/>
      <c r="F4768" s="4"/>
      <c r="G4768" s="4"/>
      <c r="H4768" s="4"/>
      <c r="I4768" s="4"/>
      <c r="J4768" s="18"/>
      <c r="K4768" s="4"/>
      <c r="L4768" s="19"/>
      <c r="M4768" s="20"/>
    </row>
    <row r="4769">
      <c r="A4769" s="6"/>
      <c r="B4769" s="6"/>
      <c r="C4769" s="4"/>
      <c r="D4769" s="4"/>
      <c r="E4769" s="4"/>
      <c r="F4769" s="4"/>
      <c r="G4769" s="4"/>
      <c r="H4769" s="4"/>
      <c r="I4769" s="4"/>
      <c r="J4769" s="18"/>
      <c r="K4769" s="4"/>
      <c r="L4769" s="19"/>
      <c r="M4769" s="20"/>
    </row>
    <row r="4770">
      <c r="A4770" s="6"/>
      <c r="B4770" s="6"/>
      <c r="C4770" s="4"/>
      <c r="D4770" s="4"/>
      <c r="E4770" s="4"/>
      <c r="F4770" s="4"/>
      <c r="G4770" s="4"/>
      <c r="H4770" s="4"/>
      <c r="I4770" s="4"/>
      <c r="J4770" s="18"/>
      <c r="K4770" s="4"/>
      <c r="L4770" s="19"/>
      <c r="M4770" s="20"/>
    </row>
    <row r="4771">
      <c r="A4771" s="6"/>
      <c r="B4771" s="6"/>
      <c r="C4771" s="4"/>
      <c r="D4771" s="4"/>
      <c r="E4771" s="4"/>
      <c r="F4771" s="4"/>
      <c r="G4771" s="4"/>
      <c r="H4771" s="4"/>
      <c r="I4771" s="4"/>
      <c r="J4771" s="18"/>
      <c r="K4771" s="4"/>
      <c r="L4771" s="19"/>
      <c r="M4771" s="20"/>
    </row>
    <row r="4772">
      <c r="A4772" s="6"/>
      <c r="B4772" s="6"/>
      <c r="C4772" s="4"/>
      <c r="D4772" s="4"/>
      <c r="E4772" s="4"/>
      <c r="F4772" s="4"/>
      <c r="G4772" s="4"/>
      <c r="H4772" s="4"/>
      <c r="I4772" s="4"/>
      <c r="J4772" s="18"/>
      <c r="K4772" s="4"/>
      <c r="L4772" s="19"/>
      <c r="M4772" s="20"/>
    </row>
    <row r="4773">
      <c r="A4773" s="6"/>
      <c r="B4773" s="6"/>
      <c r="C4773" s="4"/>
      <c r="D4773" s="4"/>
      <c r="E4773" s="4"/>
      <c r="F4773" s="4"/>
      <c r="G4773" s="4"/>
      <c r="H4773" s="4"/>
      <c r="I4773" s="4"/>
      <c r="J4773" s="18"/>
      <c r="K4773" s="4"/>
      <c r="L4773" s="19"/>
      <c r="M4773" s="20"/>
    </row>
    <row r="4774">
      <c r="A4774" s="6"/>
      <c r="B4774" s="6"/>
      <c r="C4774" s="4"/>
      <c r="D4774" s="4"/>
      <c r="E4774" s="4"/>
      <c r="F4774" s="4"/>
      <c r="G4774" s="4"/>
      <c r="H4774" s="4"/>
      <c r="I4774" s="4"/>
      <c r="J4774" s="18"/>
      <c r="K4774" s="4"/>
      <c r="L4774" s="19"/>
      <c r="M4774" s="20"/>
    </row>
    <row r="4775">
      <c r="A4775" s="6"/>
      <c r="B4775" s="6"/>
      <c r="C4775" s="4"/>
      <c r="D4775" s="4"/>
      <c r="E4775" s="4"/>
      <c r="F4775" s="4"/>
      <c r="G4775" s="4"/>
      <c r="H4775" s="4"/>
      <c r="I4775" s="4"/>
      <c r="J4775" s="18"/>
      <c r="K4775" s="4"/>
      <c r="L4775" s="19"/>
      <c r="M4775" s="20"/>
    </row>
    <row r="4776">
      <c r="A4776" s="6"/>
      <c r="B4776" s="6"/>
      <c r="C4776" s="4"/>
      <c r="D4776" s="4"/>
      <c r="E4776" s="4"/>
      <c r="F4776" s="4"/>
      <c r="G4776" s="4"/>
      <c r="H4776" s="4"/>
      <c r="I4776" s="4"/>
      <c r="J4776" s="18"/>
      <c r="K4776" s="4"/>
      <c r="L4776" s="19"/>
      <c r="M4776" s="20"/>
    </row>
    <row r="4777">
      <c r="A4777" s="6"/>
      <c r="B4777" s="6"/>
      <c r="C4777" s="4"/>
      <c r="D4777" s="4"/>
      <c r="E4777" s="4"/>
      <c r="F4777" s="4"/>
      <c r="G4777" s="4"/>
      <c r="H4777" s="4"/>
      <c r="I4777" s="4"/>
      <c r="J4777" s="18"/>
      <c r="K4777" s="4"/>
      <c r="L4777" s="19"/>
      <c r="M4777" s="20"/>
    </row>
    <row r="4778">
      <c r="A4778" s="6"/>
      <c r="B4778" s="6"/>
      <c r="C4778" s="4"/>
      <c r="D4778" s="4"/>
      <c r="E4778" s="4"/>
      <c r="F4778" s="4"/>
      <c r="G4778" s="4"/>
      <c r="H4778" s="4"/>
      <c r="I4778" s="4"/>
      <c r="J4778" s="18"/>
      <c r="K4778" s="4"/>
      <c r="L4778" s="19"/>
      <c r="M4778" s="20"/>
    </row>
    <row r="4779">
      <c r="A4779" s="6"/>
      <c r="B4779" s="6"/>
      <c r="C4779" s="4"/>
      <c r="D4779" s="4"/>
      <c r="E4779" s="4"/>
      <c r="F4779" s="4"/>
      <c r="G4779" s="4"/>
      <c r="H4779" s="4"/>
      <c r="I4779" s="4"/>
      <c r="J4779" s="18"/>
      <c r="K4779" s="4"/>
      <c r="L4779" s="19"/>
      <c r="M4779" s="20"/>
    </row>
    <row r="4780">
      <c r="A4780" s="6"/>
      <c r="B4780" s="6"/>
      <c r="C4780" s="4"/>
      <c r="D4780" s="4"/>
      <c r="E4780" s="4"/>
      <c r="F4780" s="4"/>
      <c r="G4780" s="4"/>
      <c r="H4780" s="4"/>
      <c r="I4780" s="4"/>
      <c r="J4780" s="18"/>
      <c r="K4780" s="4"/>
      <c r="L4780" s="19"/>
      <c r="M4780" s="20"/>
    </row>
    <row r="4781">
      <c r="A4781" s="6"/>
      <c r="B4781" s="6"/>
      <c r="C4781" s="4"/>
      <c r="D4781" s="4"/>
      <c r="E4781" s="4"/>
      <c r="F4781" s="4"/>
      <c r="G4781" s="4"/>
      <c r="H4781" s="4"/>
      <c r="I4781" s="4"/>
      <c r="J4781" s="18"/>
      <c r="K4781" s="4"/>
      <c r="L4781" s="19"/>
      <c r="M4781" s="20"/>
    </row>
    <row r="4782">
      <c r="A4782" s="6"/>
      <c r="B4782" s="6"/>
      <c r="C4782" s="4"/>
      <c r="D4782" s="4"/>
      <c r="E4782" s="4"/>
      <c r="F4782" s="4"/>
      <c r="G4782" s="4"/>
      <c r="H4782" s="4"/>
      <c r="I4782" s="4"/>
      <c r="J4782" s="18"/>
      <c r="K4782" s="4"/>
      <c r="L4782" s="19"/>
      <c r="M4782" s="20"/>
    </row>
    <row r="4783">
      <c r="A4783" s="6"/>
      <c r="B4783" s="6"/>
      <c r="C4783" s="4"/>
      <c r="D4783" s="4"/>
      <c r="E4783" s="4"/>
      <c r="F4783" s="4"/>
      <c r="G4783" s="4"/>
      <c r="H4783" s="4"/>
      <c r="I4783" s="4"/>
      <c r="J4783" s="18"/>
      <c r="K4783" s="4"/>
      <c r="L4783" s="19"/>
      <c r="M4783" s="20"/>
    </row>
    <row r="4784">
      <c r="A4784" s="6"/>
      <c r="B4784" s="6"/>
      <c r="C4784" s="4"/>
      <c r="D4784" s="4"/>
      <c r="E4784" s="4"/>
      <c r="F4784" s="4"/>
      <c r="G4784" s="4"/>
      <c r="H4784" s="4"/>
      <c r="I4784" s="4"/>
      <c r="J4784" s="18"/>
      <c r="K4784" s="4"/>
      <c r="L4784" s="19"/>
      <c r="M4784" s="20"/>
    </row>
    <row r="4785">
      <c r="A4785" s="6"/>
      <c r="B4785" s="6"/>
      <c r="C4785" s="4"/>
      <c r="D4785" s="4"/>
      <c r="E4785" s="4"/>
      <c r="F4785" s="4"/>
      <c r="G4785" s="4"/>
      <c r="H4785" s="4"/>
      <c r="I4785" s="4"/>
      <c r="J4785" s="18"/>
      <c r="K4785" s="4"/>
      <c r="L4785" s="19"/>
      <c r="M4785" s="20"/>
    </row>
    <row r="4786">
      <c r="A4786" s="6"/>
      <c r="B4786" s="6"/>
      <c r="C4786" s="4"/>
      <c r="D4786" s="4"/>
      <c r="E4786" s="4"/>
      <c r="F4786" s="4"/>
      <c r="G4786" s="4"/>
      <c r="H4786" s="4"/>
      <c r="I4786" s="4"/>
      <c r="J4786" s="18"/>
      <c r="K4786" s="4"/>
      <c r="L4786" s="19"/>
      <c r="M4786" s="20"/>
    </row>
    <row r="4787">
      <c r="A4787" s="6"/>
      <c r="B4787" s="6"/>
      <c r="C4787" s="4"/>
      <c r="D4787" s="4"/>
      <c r="E4787" s="4"/>
      <c r="F4787" s="4"/>
      <c r="G4787" s="4"/>
      <c r="H4787" s="4"/>
      <c r="I4787" s="4"/>
      <c r="J4787" s="18"/>
      <c r="K4787" s="4"/>
      <c r="L4787" s="19"/>
      <c r="M4787" s="20"/>
    </row>
    <row r="4788">
      <c r="A4788" s="6"/>
      <c r="B4788" s="6"/>
      <c r="C4788" s="4"/>
      <c r="D4788" s="4"/>
      <c r="E4788" s="4"/>
      <c r="F4788" s="4"/>
      <c r="G4788" s="4"/>
      <c r="H4788" s="4"/>
      <c r="I4788" s="4"/>
      <c r="J4788" s="18"/>
      <c r="K4788" s="4"/>
      <c r="L4788" s="19"/>
      <c r="M4788" s="20"/>
    </row>
    <row r="4789">
      <c r="A4789" s="6"/>
      <c r="B4789" s="6"/>
      <c r="C4789" s="4"/>
      <c r="D4789" s="4"/>
      <c r="E4789" s="4"/>
      <c r="F4789" s="4"/>
      <c r="G4789" s="4"/>
      <c r="H4789" s="4"/>
      <c r="I4789" s="4"/>
      <c r="J4789" s="18"/>
      <c r="K4789" s="4"/>
      <c r="L4789" s="19"/>
      <c r="M4789" s="20"/>
    </row>
    <row r="4790">
      <c r="A4790" s="6"/>
      <c r="B4790" s="6"/>
      <c r="C4790" s="4"/>
      <c r="D4790" s="4"/>
      <c r="E4790" s="4"/>
      <c r="F4790" s="4"/>
      <c r="G4790" s="4"/>
      <c r="H4790" s="4"/>
      <c r="I4790" s="4"/>
      <c r="J4790" s="18"/>
      <c r="K4790" s="4"/>
      <c r="L4790" s="19"/>
      <c r="M4790" s="20"/>
    </row>
    <row r="4791">
      <c r="A4791" s="6"/>
      <c r="B4791" s="6"/>
      <c r="C4791" s="4"/>
      <c r="D4791" s="4"/>
      <c r="E4791" s="4"/>
      <c r="F4791" s="4"/>
      <c r="G4791" s="4"/>
      <c r="H4791" s="4"/>
      <c r="I4791" s="4"/>
      <c r="J4791" s="18"/>
      <c r="K4791" s="4"/>
      <c r="L4791" s="19"/>
      <c r="M4791" s="20"/>
    </row>
    <row r="4792">
      <c r="A4792" s="6"/>
      <c r="B4792" s="6"/>
      <c r="C4792" s="4"/>
      <c r="D4792" s="4"/>
      <c r="E4792" s="4"/>
      <c r="F4792" s="4"/>
      <c r="G4792" s="4"/>
      <c r="H4792" s="4"/>
      <c r="I4792" s="4"/>
      <c r="J4792" s="18"/>
      <c r="K4792" s="4"/>
      <c r="L4792" s="19"/>
      <c r="M4792" s="20"/>
    </row>
    <row r="4793">
      <c r="A4793" s="6"/>
      <c r="B4793" s="6"/>
      <c r="C4793" s="4"/>
      <c r="D4793" s="4"/>
      <c r="E4793" s="4"/>
      <c r="F4793" s="4"/>
      <c r="G4793" s="4"/>
      <c r="H4793" s="4"/>
      <c r="I4793" s="4"/>
      <c r="J4793" s="18"/>
      <c r="K4793" s="4"/>
      <c r="L4793" s="19"/>
      <c r="M4793" s="20"/>
    </row>
    <row r="4794">
      <c r="A4794" s="6"/>
      <c r="B4794" s="6"/>
      <c r="C4794" s="4"/>
      <c r="D4794" s="4"/>
      <c r="E4794" s="4"/>
      <c r="F4794" s="4"/>
      <c r="G4794" s="4"/>
      <c r="H4794" s="4"/>
      <c r="I4794" s="4"/>
      <c r="J4794" s="18"/>
      <c r="K4794" s="4"/>
      <c r="L4794" s="19"/>
      <c r="M4794" s="20"/>
    </row>
    <row r="4795">
      <c r="A4795" s="6"/>
      <c r="B4795" s="6"/>
      <c r="C4795" s="4"/>
      <c r="D4795" s="4"/>
      <c r="E4795" s="4"/>
      <c r="F4795" s="4"/>
      <c r="G4795" s="4"/>
      <c r="H4795" s="4"/>
      <c r="I4795" s="4"/>
      <c r="J4795" s="18"/>
      <c r="K4795" s="4"/>
      <c r="L4795" s="19"/>
      <c r="M4795" s="20"/>
    </row>
    <row r="4796">
      <c r="A4796" s="6"/>
      <c r="B4796" s="6"/>
      <c r="C4796" s="4"/>
      <c r="D4796" s="4"/>
      <c r="E4796" s="4"/>
      <c r="F4796" s="4"/>
      <c r="G4796" s="4"/>
      <c r="H4796" s="4"/>
      <c r="I4796" s="4"/>
      <c r="J4796" s="18"/>
      <c r="K4796" s="4"/>
      <c r="L4796" s="19"/>
      <c r="M4796" s="20"/>
    </row>
    <row r="4797">
      <c r="A4797" s="6"/>
      <c r="B4797" s="6"/>
      <c r="C4797" s="4"/>
      <c r="D4797" s="4"/>
      <c r="E4797" s="4"/>
      <c r="F4797" s="4"/>
      <c r="G4797" s="4"/>
      <c r="H4797" s="4"/>
      <c r="I4797" s="4"/>
      <c r="J4797" s="18"/>
      <c r="K4797" s="4"/>
      <c r="L4797" s="19"/>
      <c r="M4797" s="20"/>
    </row>
    <row r="4798">
      <c r="A4798" s="6"/>
      <c r="B4798" s="6"/>
      <c r="C4798" s="4"/>
      <c r="D4798" s="4"/>
      <c r="E4798" s="4"/>
      <c r="F4798" s="4"/>
      <c r="G4798" s="4"/>
      <c r="H4798" s="4"/>
      <c r="I4798" s="4"/>
      <c r="J4798" s="18"/>
      <c r="K4798" s="4"/>
      <c r="L4798" s="19"/>
      <c r="M4798" s="20"/>
    </row>
    <row r="4799">
      <c r="A4799" s="6"/>
      <c r="B4799" s="6"/>
      <c r="C4799" s="4"/>
      <c r="D4799" s="4"/>
      <c r="E4799" s="4"/>
      <c r="F4799" s="4"/>
      <c r="G4799" s="4"/>
      <c r="H4799" s="4"/>
      <c r="I4799" s="4"/>
      <c r="J4799" s="18"/>
      <c r="K4799" s="4"/>
      <c r="L4799" s="19"/>
      <c r="M4799" s="20"/>
    </row>
    <row r="4800">
      <c r="A4800" s="6"/>
      <c r="B4800" s="6"/>
      <c r="C4800" s="4"/>
      <c r="D4800" s="4"/>
      <c r="E4800" s="4"/>
      <c r="F4800" s="4"/>
      <c r="G4800" s="4"/>
      <c r="H4800" s="4"/>
      <c r="I4800" s="4"/>
      <c r="J4800" s="18"/>
      <c r="K4800" s="4"/>
      <c r="L4800" s="19"/>
      <c r="M4800" s="20"/>
    </row>
    <row r="4801">
      <c r="A4801" s="6"/>
      <c r="B4801" s="6"/>
      <c r="C4801" s="4"/>
      <c r="D4801" s="4"/>
      <c r="E4801" s="4"/>
      <c r="F4801" s="4"/>
      <c r="G4801" s="4"/>
      <c r="H4801" s="4"/>
      <c r="I4801" s="4"/>
      <c r="J4801" s="18"/>
      <c r="K4801" s="4"/>
      <c r="L4801" s="19"/>
      <c r="M4801" s="20"/>
    </row>
    <row r="4802">
      <c r="A4802" s="6"/>
      <c r="B4802" s="6"/>
      <c r="C4802" s="4"/>
      <c r="D4802" s="4"/>
      <c r="E4802" s="4"/>
      <c r="F4802" s="4"/>
      <c r="G4802" s="4"/>
      <c r="H4802" s="4"/>
      <c r="I4802" s="4"/>
      <c r="J4802" s="18"/>
      <c r="K4802" s="4"/>
      <c r="L4802" s="19"/>
      <c r="M4802" s="20"/>
    </row>
    <row r="4803">
      <c r="A4803" s="6"/>
      <c r="B4803" s="6"/>
      <c r="C4803" s="4"/>
      <c r="D4803" s="4"/>
      <c r="E4803" s="4"/>
      <c r="F4803" s="4"/>
      <c r="G4803" s="4"/>
      <c r="H4803" s="4"/>
      <c r="I4803" s="4"/>
      <c r="J4803" s="18"/>
      <c r="K4803" s="4"/>
      <c r="L4803" s="19"/>
      <c r="M4803" s="20"/>
    </row>
    <row r="4804">
      <c r="A4804" s="6"/>
      <c r="B4804" s="6"/>
      <c r="C4804" s="4"/>
      <c r="D4804" s="4"/>
      <c r="E4804" s="4"/>
      <c r="F4804" s="4"/>
      <c r="G4804" s="4"/>
      <c r="H4804" s="4"/>
      <c r="I4804" s="4"/>
      <c r="J4804" s="18"/>
      <c r="K4804" s="4"/>
      <c r="L4804" s="19"/>
      <c r="M4804" s="20"/>
    </row>
    <row r="4805">
      <c r="A4805" s="6"/>
      <c r="B4805" s="6"/>
      <c r="C4805" s="4"/>
      <c r="D4805" s="4"/>
      <c r="E4805" s="4"/>
      <c r="F4805" s="4"/>
      <c r="G4805" s="4"/>
      <c r="H4805" s="4"/>
      <c r="I4805" s="4"/>
      <c r="J4805" s="18"/>
      <c r="K4805" s="4"/>
      <c r="L4805" s="19"/>
      <c r="M4805" s="20"/>
    </row>
    <row r="4806">
      <c r="A4806" s="6"/>
      <c r="B4806" s="6"/>
      <c r="C4806" s="4"/>
      <c r="D4806" s="4"/>
      <c r="E4806" s="4"/>
      <c r="F4806" s="4"/>
      <c r="G4806" s="4"/>
      <c r="H4806" s="4"/>
      <c r="I4806" s="4"/>
      <c r="J4806" s="18"/>
      <c r="K4806" s="4"/>
      <c r="L4806" s="19"/>
      <c r="M4806" s="20"/>
    </row>
    <row r="4807">
      <c r="A4807" s="6"/>
      <c r="B4807" s="6"/>
      <c r="C4807" s="4"/>
      <c r="D4807" s="4"/>
      <c r="E4807" s="4"/>
      <c r="F4807" s="4"/>
      <c r="G4807" s="4"/>
      <c r="H4807" s="4"/>
      <c r="I4807" s="4"/>
      <c r="J4807" s="18"/>
      <c r="K4807" s="4"/>
      <c r="L4807" s="19"/>
      <c r="M4807" s="20"/>
    </row>
    <row r="4808">
      <c r="A4808" s="6"/>
      <c r="B4808" s="6"/>
      <c r="C4808" s="4"/>
      <c r="D4808" s="4"/>
      <c r="E4808" s="4"/>
      <c r="F4808" s="4"/>
      <c r="G4808" s="4"/>
      <c r="H4808" s="4"/>
      <c r="I4808" s="4"/>
      <c r="J4808" s="18"/>
      <c r="K4808" s="4"/>
      <c r="L4808" s="19"/>
      <c r="M4808" s="20"/>
    </row>
    <row r="4809">
      <c r="A4809" s="6"/>
      <c r="B4809" s="6"/>
      <c r="C4809" s="4"/>
      <c r="D4809" s="4"/>
      <c r="E4809" s="4"/>
      <c r="F4809" s="4"/>
      <c r="G4809" s="4"/>
      <c r="H4809" s="4"/>
      <c r="I4809" s="4"/>
      <c r="J4809" s="18"/>
      <c r="K4809" s="4"/>
      <c r="L4809" s="19"/>
      <c r="M4809" s="20"/>
    </row>
    <row r="4810">
      <c r="A4810" s="6"/>
      <c r="B4810" s="6"/>
      <c r="C4810" s="4"/>
      <c r="D4810" s="4"/>
      <c r="E4810" s="4"/>
      <c r="F4810" s="4"/>
      <c r="G4810" s="4"/>
      <c r="H4810" s="4"/>
      <c r="I4810" s="4"/>
      <c r="J4810" s="18"/>
      <c r="K4810" s="4"/>
      <c r="L4810" s="19"/>
      <c r="M4810" s="20"/>
    </row>
    <row r="4811">
      <c r="A4811" s="6"/>
      <c r="B4811" s="6"/>
      <c r="C4811" s="4"/>
      <c r="D4811" s="4"/>
      <c r="E4811" s="4"/>
      <c r="F4811" s="4"/>
      <c r="G4811" s="4"/>
      <c r="H4811" s="4"/>
      <c r="I4811" s="4"/>
      <c r="J4811" s="18"/>
      <c r="K4811" s="4"/>
      <c r="L4811" s="19"/>
      <c r="M4811" s="20"/>
    </row>
    <row r="4812">
      <c r="A4812" s="6"/>
      <c r="B4812" s="6"/>
      <c r="C4812" s="4"/>
      <c r="D4812" s="4"/>
      <c r="E4812" s="4"/>
      <c r="F4812" s="4"/>
      <c r="G4812" s="4"/>
      <c r="H4812" s="4"/>
      <c r="I4812" s="4"/>
      <c r="J4812" s="18"/>
      <c r="K4812" s="4"/>
      <c r="L4812" s="19"/>
      <c r="M4812" s="20"/>
    </row>
    <row r="4813">
      <c r="A4813" s="6"/>
      <c r="B4813" s="6"/>
      <c r="C4813" s="4"/>
      <c r="D4813" s="4"/>
      <c r="E4813" s="4"/>
      <c r="F4813" s="4"/>
      <c r="G4813" s="4"/>
      <c r="H4813" s="4"/>
      <c r="I4813" s="4"/>
      <c r="J4813" s="18"/>
      <c r="K4813" s="4"/>
      <c r="L4813" s="19"/>
      <c r="M4813" s="20"/>
    </row>
    <row r="4814">
      <c r="A4814" s="6"/>
      <c r="B4814" s="6"/>
      <c r="C4814" s="4"/>
      <c r="D4814" s="4"/>
      <c r="E4814" s="4"/>
      <c r="F4814" s="4"/>
      <c r="G4814" s="4"/>
      <c r="H4814" s="4"/>
      <c r="I4814" s="4"/>
      <c r="J4814" s="18"/>
      <c r="K4814" s="4"/>
      <c r="L4814" s="19"/>
      <c r="M4814" s="20"/>
    </row>
    <row r="4815">
      <c r="A4815" s="6"/>
      <c r="B4815" s="6"/>
      <c r="C4815" s="4"/>
      <c r="D4815" s="4"/>
      <c r="E4815" s="4"/>
      <c r="F4815" s="4"/>
      <c r="G4815" s="4"/>
      <c r="H4815" s="4"/>
      <c r="I4815" s="4"/>
      <c r="J4815" s="18"/>
      <c r="K4815" s="4"/>
      <c r="L4815" s="19"/>
      <c r="M4815" s="20"/>
    </row>
    <row r="4816">
      <c r="A4816" s="6"/>
      <c r="B4816" s="6"/>
      <c r="C4816" s="4"/>
      <c r="D4816" s="4"/>
      <c r="E4816" s="4"/>
      <c r="F4816" s="4"/>
      <c r="G4816" s="4"/>
      <c r="H4816" s="4"/>
      <c r="I4816" s="4"/>
      <c r="J4816" s="18"/>
      <c r="K4816" s="4"/>
      <c r="L4816" s="19"/>
      <c r="M4816" s="20"/>
    </row>
    <row r="4817">
      <c r="A4817" s="6"/>
      <c r="B4817" s="6"/>
      <c r="C4817" s="4"/>
      <c r="D4817" s="4"/>
      <c r="E4817" s="4"/>
      <c r="F4817" s="4"/>
      <c r="G4817" s="4"/>
      <c r="H4817" s="4"/>
      <c r="I4817" s="4"/>
      <c r="J4817" s="18"/>
      <c r="K4817" s="4"/>
      <c r="L4817" s="19"/>
      <c r="M4817" s="20"/>
    </row>
    <row r="4818">
      <c r="A4818" s="6"/>
      <c r="B4818" s="6"/>
      <c r="C4818" s="4"/>
      <c r="D4818" s="4"/>
      <c r="E4818" s="4"/>
      <c r="F4818" s="4"/>
      <c r="G4818" s="4"/>
      <c r="H4818" s="4"/>
      <c r="I4818" s="4"/>
      <c r="J4818" s="18"/>
      <c r="K4818" s="4"/>
      <c r="L4818" s="19"/>
      <c r="M4818" s="20"/>
    </row>
    <row r="4819">
      <c r="A4819" s="6"/>
      <c r="B4819" s="6"/>
      <c r="C4819" s="4"/>
      <c r="D4819" s="4"/>
      <c r="E4819" s="4"/>
      <c r="F4819" s="4"/>
      <c r="G4819" s="4"/>
      <c r="H4819" s="4"/>
      <c r="I4819" s="4"/>
      <c r="J4819" s="18"/>
      <c r="K4819" s="4"/>
      <c r="L4819" s="19"/>
      <c r="M4819" s="20"/>
    </row>
    <row r="4820">
      <c r="A4820" s="6"/>
      <c r="B4820" s="6"/>
      <c r="C4820" s="4"/>
      <c r="D4820" s="4"/>
      <c r="E4820" s="4"/>
      <c r="F4820" s="4"/>
      <c r="G4820" s="4"/>
      <c r="H4820" s="4"/>
      <c r="I4820" s="4"/>
      <c r="J4820" s="18"/>
      <c r="K4820" s="4"/>
      <c r="L4820" s="19"/>
      <c r="M4820" s="20"/>
    </row>
    <row r="4821">
      <c r="A4821" s="6"/>
      <c r="B4821" s="6"/>
      <c r="C4821" s="4"/>
      <c r="D4821" s="4"/>
      <c r="E4821" s="4"/>
      <c r="F4821" s="4"/>
      <c r="G4821" s="4"/>
      <c r="H4821" s="4"/>
      <c r="I4821" s="4"/>
      <c r="J4821" s="18"/>
      <c r="K4821" s="4"/>
      <c r="L4821" s="19"/>
      <c r="M4821" s="20"/>
    </row>
    <row r="4822">
      <c r="A4822" s="6"/>
      <c r="B4822" s="6"/>
      <c r="C4822" s="4"/>
      <c r="D4822" s="4"/>
      <c r="E4822" s="4"/>
      <c r="F4822" s="4"/>
      <c r="G4822" s="4"/>
      <c r="H4822" s="4"/>
      <c r="I4822" s="4"/>
      <c r="J4822" s="18"/>
      <c r="K4822" s="4"/>
      <c r="L4822" s="19"/>
      <c r="M4822" s="20"/>
    </row>
    <row r="4823">
      <c r="A4823" s="6"/>
      <c r="B4823" s="6"/>
      <c r="C4823" s="4"/>
      <c r="D4823" s="4"/>
      <c r="E4823" s="4"/>
      <c r="F4823" s="4"/>
      <c r="G4823" s="4"/>
      <c r="H4823" s="4"/>
      <c r="I4823" s="4"/>
      <c r="J4823" s="18"/>
      <c r="K4823" s="4"/>
      <c r="L4823" s="19"/>
      <c r="M4823" s="20"/>
    </row>
    <row r="4824">
      <c r="A4824" s="6"/>
      <c r="B4824" s="6"/>
      <c r="C4824" s="4"/>
      <c r="D4824" s="4"/>
      <c r="E4824" s="4"/>
      <c r="F4824" s="4"/>
      <c r="G4824" s="4"/>
      <c r="H4824" s="4"/>
      <c r="I4824" s="4"/>
      <c r="J4824" s="18"/>
      <c r="K4824" s="4"/>
      <c r="L4824" s="19"/>
      <c r="M4824" s="20"/>
    </row>
    <row r="4825">
      <c r="A4825" s="6"/>
      <c r="B4825" s="6"/>
      <c r="C4825" s="4"/>
      <c r="D4825" s="4"/>
      <c r="E4825" s="4"/>
      <c r="F4825" s="4"/>
      <c r="G4825" s="4"/>
      <c r="H4825" s="4"/>
      <c r="I4825" s="4"/>
      <c r="J4825" s="18"/>
      <c r="K4825" s="4"/>
      <c r="L4825" s="19"/>
      <c r="M4825" s="20"/>
    </row>
    <row r="4826">
      <c r="A4826" s="6"/>
      <c r="B4826" s="6"/>
      <c r="C4826" s="4"/>
      <c r="D4826" s="4"/>
      <c r="E4826" s="4"/>
      <c r="F4826" s="4"/>
      <c r="G4826" s="4"/>
      <c r="H4826" s="4"/>
      <c r="I4826" s="4"/>
      <c r="J4826" s="18"/>
      <c r="K4826" s="4"/>
      <c r="L4826" s="19"/>
      <c r="M4826" s="20"/>
    </row>
    <row r="4827">
      <c r="A4827" s="6"/>
      <c r="B4827" s="6"/>
      <c r="C4827" s="4"/>
      <c r="D4827" s="4"/>
      <c r="E4827" s="4"/>
      <c r="F4827" s="4"/>
      <c r="G4827" s="4"/>
      <c r="H4827" s="4"/>
      <c r="I4827" s="4"/>
      <c r="J4827" s="18"/>
      <c r="K4827" s="4"/>
      <c r="L4827" s="19"/>
      <c r="M4827" s="20"/>
    </row>
    <row r="4828">
      <c r="A4828" s="6"/>
      <c r="B4828" s="6"/>
      <c r="C4828" s="4"/>
      <c r="D4828" s="4"/>
      <c r="E4828" s="4"/>
      <c r="F4828" s="4"/>
      <c r="G4828" s="4"/>
      <c r="H4828" s="4"/>
      <c r="I4828" s="4"/>
      <c r="J4828" s="18"/>
      <c r="K4828" s="4"/>
      <c r="L4828" s="19"/>
      <c r="M4828" s="20"/>
    </row>
    <row r="4829">
      <c r="A4829" s="6"/>
      <c r="B4829" s="6"/>
      <c r="C4829" s="4"/>
      <c r="D4829" s="4"/>
      <c r="E4829" s="4"/>
      <c r="F4829" s="4"/>
      <c r="G4829" s="4"/>
      <c r="H4829" s="4"/>
      <c r="I4829" s="4"/>
      <c r="J4829" s="18"/>
      <c r="K4829" s="4"/>
      <c r="L4829" s="19"/>
      <c r="M4829" s="20"/>
    </row>
    <row r="4830">
      <c r="A4830" s="6"/>
      <c r="B4830" s="6"/>
      <c r="C4830" s="4"/>
      <c r="D4830" s="4"/>
      <c r="E4830" s="4"/>
      <c r="F4830" s="4"/>
      <c r="G4830" s="4"/>
      <c r="H4830" s="4"/>
      <c r="I4830" s="4"/>
      <c r="J4830" s="18"/>
      <c r="K4830" s="4"/>
      <c r="L4830" s="19"/>
      <c r="M4830" s="20"/>
    </row>
    <row r="4831">
      <c r="A4831" s="6"/>
      <c r="B4831" s="6"/>
      <c r="C4831" s="4"/>
      <c r="D4831" s="4"/>
      <c r="E4831" s="4"/>
      <c r="F4831" s="4"/>
      <c r="G4831" s="4"/>
      <c r="H4831" s="4"/>
      <c r="I4831" s="4"/>
      <c r="J4831" s="18"/>
      <c r="K4831" s="4"/>
      <c r="L4831" s="19"/>
      <c r="M4831" s="20"/>
    </row>
    <row r="4832">
      <c r="A4832" s="6"/>
      <c r="B4832" s="6"/>
      <c r="C4832" s="4"/>
      <c r="D4832" s="4"/>
      <c r="E4832" s="4"/>
      <c r="F4832" s="4"/>
      <c r="G4832" s="4"/>
      <c r="H4832" s="4"/>
      <c r="I4832" s="4"/>
      <c r="J4832" s="18"/>
      <c r="K4832" s="4"/>
      <c r="L4832" s="19"/>
      <c r="M4832" s="20"/>
    </row>
    <row r="4833">
      <c r="A4833" s="6"/>
      <c r="B4833" s="6"/>
      <c r="C4833" s="4"/>
      <c r="D4833" s="4"/>
      <c r="E4833" s="4"/>
      <c r="F4833" s="4"/>
      <c r="G4833" s="4"/>
      <c r="H4833" s="4"/>
      <c r="I4833" s="4"/>
      <c r="J4833" s="18"/>
      <c r="K4833" s="4"/>
      <c r="L4833" s="19"/>
      <c r="M4833" s="20"/>
    </row>
    <row r="4834">
      <c r="A4834" s="6"/>
      <c r="B4834" s="6"/>
      <c r="C4834" s="4"/>
      <c r="D4834" s="4"/>
      <c r="E4834" s="4"/>
      <c r="F4834" s="4"/>
      <c r="G4834" s="4"/>
      <c r="H4834" s="4"/>
      <c r="I4834" s="4"/>
      <c r="J4834" s="18"/>
      <c r="K4834" s="4"/>
      <c r="L4834" s="19"/>
      <c r="M4834" s="20"/>
    </row>
    <row r="4835">
      <c r="A4835" s="6"/>
      <c r="B4835" s="6"/>
      <c r="C4835" s="4"/>
      <c r="D4835" s="4"/>
      <c r="E4835" s="4"/>
      <c r="F4835" s="4"/>
      <c r="G4835" s="4"/>
      <c r="H4835" s="4"/>
      <c r="I4835" s="4"/>
      <c r="J4835" s="18"/>
      <c r="K4835" s="4"/>
      <c r="L4835" s="19"/>
      <c r="M4835" s="20"/>
    </row>
    <row r="4836">
      <c r="A4836" s="6"/>
      <c r="B4836" s="6"/>
      <c r="C4836" s="4"/>
      <c r="D4836" s="4"/>
      <c r="E4836" s="4"/>
      <c r="F4836" s="4"/>
      <c r="G4836" s="4"/>
      <c r="H4836" s="4"/>
      <c r="I4836" s="4"/>
      <c r="J4836" s="18"/>
      <c r="K4836" s="4"/>
      <c r="L4836" s="19"/>
      <c r="M4836" s="20"/>
    </row>
    <row r="4837">
      <c r="A4837" s="6"/>
      <c r="B4837" s="6"/>
      <c r="C4837" s="4"/>
      <c r="D4837" s="4"/>
      <c r="E4837" s="4"/>
      <c r="F4837" s="4"/>
      <c r="G4837" s="4"/>
      <c r="H4837" s="4"/>
      <c r="I4837" s="4"/>
      <c r="J4837" s="18"/>
      <c r="K4837" s="4"/>
      <c r="L4837" s="19"/>
      <c r="M4837" s="20"/>
    </row>
    <row r="4838">
      <c r="A4838" s="6"/>
      <c r="B4838" s="6"/>
      <c r="C4838" s="4"/>
      <c r="D4838" s="4"/>
      <c r="E4838" s="4"/>
      <c r="F4838" s="4"/>
      <c r="G4838" s="4"/>
      <c r="H4838" s="4"/>
      <c r="I4838" s="4"/>
      <c r="J4838" s="18"/>
      <c r="K4838" s="4"/>
      <c r="L4838" s="19"/>
      <c r="M4838" s="20"/>
    </row>
    <row r="4839">
      <c r="A4839" s="6"/>
      <c r="B4839" s="6"/>
      <c r="C4839" s="4"/>
      <c r="D4839" s="4"/>
      <c r="E4839" s="4"/>
      <c r="F4839" s="4"/>
      <c r="G4839" s="4"/>
      <c r="H4839" s="4"/>
      <c r="I4839" s="4"/>
      <c r="J4839" s="18"/>
      <c r="K4839" s="4"/>
      <c r="L4839" s="19"/>
      <c r="M4839" s="20"/>
    </row>
    <row r="4840">
      <c r="A4840" s="6"/>
      <c r="B4840" s="6"/>
      <c r="C4840" s="4"/>
      <c r="D4840" s="4"/>
      <c r="E4840" s="4"/>
      <c r="F4840" s="4"/>
      <c r="G4840" s="4"/>
      <c r="H4840" s="4"/>
      <c r="I4840" s="4"/>
      <c r="J4840" s="18"/>
      <c r="K4840" s="4"/>
      <c r="L4840" s="19"/>
      <c r="M4840" s="20"/>
    </row>
    <row r="4841">
      <c r="A4841" s="6"/>
      <c r="B4841" s="6"/>
      <c r="C4841" s="4"/>
      <c r="D4841" s="4"/>
      <c r="E4841" s="4"/>
      <c r="F4841" s="4"/>
      <c r="G4841" s="4"/>
      <c r="H4841" s="4"/>
      <c r="I4841" s="4"/>
      <c r="J4841" s="18"/>
      <c r="K4841" s="4"/>
      <c r="L4841" s="19"/>
      <c r="M4841" s="20"/>
    </row>
    <row r="4842">
      <c r="A4842" s="6"/>
      <c r="B4842" s="6"/>
      <c r="C4842" s="4"/>
      <c r="D4842" s="4"/>
      <c r="E4842" s="4"/>
      <c r="F4842" s="4"/>
      <c r="G4842" s="4"/>
      <c r="H4842" s="4"/>
      <c r="I4842" s="4"/>
      <c r="J4842" s="18"/>
      <c r="K4842" s="4"/>
      <c r="L4842" s="19"/>
      <c r="M4842" s="20"/>
    </row>
    <row r="4843">
      <c r="A4843" s="6"/>
      <c r="B4843" s="6"/>
      <c r="C4843" s="4"/>
      <c r="D4843" s="4"/>
      <c r="E4843" s="4"/>
      <c r="F4843" s="4"/>
      <c r="G4843" s="4"/>
      <c r="H4843" s="4"/>
      <c r="I4843" s="4"/>
      <c r="J4843" s="18"/>
      <c r="K4843" s="4"/>
      <c r="L4843" s="19"/>
      <c r="M4843" s="20"/>
    </row>
    <row r="4844">
      <c r="A4844" s="6"/>
      <c r="B4844" s="6"/>
      <c r="C4844" s="4"/>
      <c r="D4844" s="4"/>
      <c r="E4844" s="4"/>
      <c r="F4844" s="4"/>
      <c r="G4844" s="4"/>
      <c r="H4844" s="4"/>
      <c r="I4844" s="4"/>
      <c r="J4844" s="18"/>
      <c r="K4844" s="4"/>
      <c r="L4844" s="19"/>
      <c r="M4844" s="20"/>
    </row>
    <row r="4845">
      <c r="A4845" s="6"/>
      <c r="B4845" s="6"/>
      <c r="C4845" s="4"/>
      <c r="D4845" s="4"/>
      <c r="E4845" s="4"/>
      <c r="F4845" s="4"/>
      <c r="G4845" s="4"/>
      <c r="H4845" s="4"/>
      <c r="I4845" s="4"/>
      <c r="J4845" s="18"/>
      <c r="K4845" s="4"/>
      <c r="L4845" s="19"/>
      <c r="M4845" s="20"/>
    </row>
    <row r="4846">
      <c r="A4846" s="6"/>
      <c r="B4846" s="6"/>
      <c r="C4846" s="4"/>
      <c r="D4846" s="4"/>
      <c r="E4846" s="4"/>
      <c r="F4846" s="4"/>
      <c r="G4846" s="4"/>
      <c r="H4846" s="4"/>
      <c r="I4846" s="4"/>
      <c r="J4846" s="18"/>
      <c r="K4846" s="4"/>
      <c r="L4846" s="19"/>
      <c r="M4846" s="20"/>
    </row>
    <row r="4847">
      <c r="A4847" s="6"/>
      <c r="B4847" s="6"/>
      <c r="C4847" s="4"/>
      <c r="D4847" s="4"/>
      <c r="E4847" s="4"/>
      <c r="F4847" s="4"/>
      <c r="G4847" s="4"/>
      <c r="H4847" s="4"/>
      <c r="I4847" s="4"/>
      <c r="J4847" s="18"/>
      <c r="K4847" s="4"/>
      <c r="L4847" s="19"/>
      <c r="M4847" s="20"/>
    </row>
    <row r="4848">
      <c r="A4848" s="6"/>
      <c r="B4848" s="6"/>
      <c r="C4848" s="4"/>
      <c r="D4848" s="4"/>
      <c r="E4848" s="4"/>
      <c r="F4848" s="4"/>
      <c r="G4848" s="4"/>
      <c r="H4848" s="4"/>
      <c r="I4848" s="4"/>
      <c r="J4848" s="18"/>
      <c r="K4848" s="4"/>
      <c r="L4848" s="19"/>
      <c r="M4848" s="20"/>
    </row>
    <row r="4849">
      <c r="A4849" s="6"/>
      <c r="B4849" s="6"/>
      <c r="C4849" s="4"/>
      <c r="D4849" s="4"/>
      <c r="E4849" s="4"/>
      <c r="F4849" s="4"/>
      <c r="G4849" s="4"/>
      <c r="H4849" s="4"/>
      <c r="I4849" s="4"/>
      <c r="J4849" s="18"/>
      <c r="K4849" s="4"/>
      <c r="L4849" s="19"/>
      <c r="M4849" s="20"/>
    </row>
    <row r="4850">
      <c r="A4850" s="6"/>
      <c r="B4850" s="6"/>
      <c r="C4850" s="4"/>
      <c r="D4850" s="4"/>
      <c r="E4850" s="4"/>
      <c r="F4850" s="4"/>
      <c r="G4850" s="4"/>
      <c r="H4850" s="4"/>
      <c r="I4850" s="4"/>
      <c r="J4850" s="18"/>
      <c r="K4850" s="4"/>
      <c r="L4850" s="19"/>
      <c r="M4850" s="20"/>
    </row>
    <row r="4851">
      <c r="A4851" s="6"/>
      <c r="B4851" s="6"/>
      <c r="C4851" s="4"/>
      <c r="D4851" s="4"/>
      <c r="E4851" s="4"/>
      <c r="F4851" s="4"/>
      <c r="G4851" s="4"/>
      <c r="H4851" s="4"/>
      <c r="I4851" s="4"/>
      <c r="J4851" s="18"/>
      <c r="K4851" s="4"/>
      <c r="L4851" s="19"/>
      <c r="M4851" s="20"/>
    </row>
    <row r="4852">
      <c r="A4852" s="6"/>
      <c r="B4852" s="6"/>
      <c r="C4852" s="4"/>
      <c r="D4852" s="4"/>
      <c r="E4852" s="4"/>
      <c r="F4852" s="4"/>
      <c r="G4852" s="4"/>
      <c r="H4852" s="4"/>
      <c r="I4852" s="4"/>
      <c r="J4852" s="18"/>
      <c r="K4852" s="4"/>
      <c r="L4852" s="19"/>
      <c r="M4852" s="20"/>
    </row>
    <row r="4853">
      <c r="A4853" s="6"/>
      <c r="B4853" s="6"/>
      <c r="C4853" s="4"/>
      <c r="D4853" s="4"/>
      <c r="E4853" s="4"/>
      <c r="F4853" s="4"/>
      <c r="G4853" s="4"/>
      <c r="H4853" s="4"/>
      <c r="I4853" s="4"/>
      <c r="J4853" s="18"/>
      <c r="K4853" s="4"/>
      <c r="L4853" s="19"/>
      <c r="M4853" s="20"/>
    </row>
    <row r="4854">
      <c r="A4854" s="6"/>
      <c r="B4854" s="6"/>
      <c r="C4854" s="4"/>
      <c r="D4854" s="4"/>
      <c r="E4854" s="4"/>
      <c r="F4854" s="4"/>
      <c r="G4854" s="4"/>
      <c r="H4854" s="4"/>
      <c r="I4854" s="4"/>
      <c r="J4854" s="18"/>
      <c r="K4854" s="4"/>
      <c r="L4854" s="19"/>
      <c r="M4854" s="20"/>
    </row>
    <row r="4855">
      <c r="A4855" s="6"/>
      <c r="B4855" s="6"/>
      <c r="C4855" s="4"/>
      <c r="D4855" s="4"/>
      <c r="E4855" s="4"/>
      <c r="F4855" s="4"/>
      <c r="G4855" s="4"/>
      <c r="H4855" s="4"/>
      <c r="I4855" s="4"/>
      <c r="J4855" s="18"/>
      <c r="K4855" s="4"/>
      <c r="L4855" s="19"/>
      <c r="M4855" s="20"/>
    </row>
    <row r="4856">
      <c r="A4856" s="6"/>
      <c r="B4856" s="6"/>
      <c r="C4856" s="4"/>
      <c r="D4856" s="4"/>
      <c r="E4856" s="4"/>
      <c r="F4856" s="4"/>
      <c r="G4856" s="4"/>
      <c r="H4856" s="4"/>
      <c r="I4856" s="4"/>
      <c r="J4856" s="18"/>
      <c r="K4856" s="4"/>
      <c r="L4856" s="19"/>
      <c r="M4856" s="20"/>
    </row>
    <row r="4857">
      <c r="A4857" s="6"/>
      <c r="B4857" s="6"/>
      <c r="C4857" s="4"/>
      <c r="D4857" s="4"/>
      <c r="E4857" s="4"/>
      <c r="F4857" s="4"/>
      <c r="G4857" s="4"/>
      <c r="H4857" s="4"/>
      <c r="I4857" s="4"/>
      <c r="J4857" s="18"/>
      <c r="K4857" s="4"/>
      <c r="L4857" s="19"/>
      <c r="M4857" s="20"/>
    </row>
    <row r="4858">
      <c r="A4858" s="6"/>
      <c r="B4858" s="6"/>
      <c r="C4858" s="4"/>
      <c r="D4858" s="4"/>
      <c r="E4858" s="4"/>
      <c r="F4858" s="4"/>
      <c r="G4858" s="4"/>
      <c r="H4858" s="4"/>
      <c r="I4858" s="4"/>
      <c r="J4858" s="18"/>
      <c r="K4858" s="4"/>
      <c r="L4858" s="19"/>
      <c r="M4858" s="20"/>
    </row>
    <row r="4859">
      <c r="A4859" s="6"/>
      <c r="B4859" s="6"/>
      <c r="C4859" s="4"/>
      <c r="D4859" s="4"/>
      <c r="E4859" s="4"/>
      <c r="F4859" s="4"/>
      <c r="G4859" s="4"/>
      <c r="H4859" s="4"/>
      <c r="I4859" s="4"/>
      <c r="J4859" s="18"/>
      <c r="K4859" s="4"/>
      <c r="L4859" s="19"/>
      <c r="M4859" s="20"/>
    </row>
    <row r="4860">
      <c r="A4860" s="6"/>
      <c r="B4860" s="6"/>
      <c r="C4860" s="4"/>
      <c r="D4860" s="4"/>
      <c r="E4860" s="4"/>
      <c r="F4860" s="4"/>
      <c r="G4860" s="4"/>
      <c r="H4860" s="4"/>
      <c r="I4860" s="4"/>
      <c r="J4860" s="18"/>
      <c r="K4860" s="4"/>
      <c r="L4860" s="19"/>
      <c r="M4860" s="20"/>
    </row>
    <row r="4861">
      <c r="A4861" s="6"/>
      <c r="B4861" s="6"/>
      <c r="C4861" s="4"/>
      <c r="D4861" s="4"/>
      <c r="E4861" s="4"/>
      <c r="F4861" s="4"/>
      <c r="G4861" s="4"/>
      <c r="H4861" s="4"/>
      <c r="I4861" s="4"/>
      <c r="J4861" s="18"/>
      <c r="K4861" s="4"/>
      <c r="L4861" s="19"/>
      <c r="M4861" s="20"/>
    </row>
    <row r="4862">
      <c r="A4862" s="6"/>
      <c r="B4862" s="6"/>
      <c r="C4862" s="4"/>
      <c r="D4862" s="4"/>
      <c r="E4862" s="4"/>
      <c r="F4862" s="4"/>
      <c r="G4862" s="4"/>
      <c r="H4862" s="4"/>
      <c r="I4862" s="4"/>
      <c r="J4862" s="18"/>
      <c r="K4862" s="4"/>
      <c r="L4862" s="19"/>
      <c r="M4862" s="20"/>
    </row>
    <row r="4863">
      <c r="A4863" s="6"/>
      <c r="B4863" s="6"/>
      <c r="C4863" s="4"/>
      <c r="D4863" s="4"/>
      <c r="E4863" s="4"/>
      <c r="F4863" s="4"/>
      <c r="G4863" s="4"/>
      <c r="H4863" s="4"/>
      <c r="I4863" s="4"/>
      <c r="J4863" s="18"/>
      <c r="K4863" s="4"/>
      <c r="L4863" s="19"/>
      <c r="M4863" s="20"/>
    </row>
    <row r="4864">
      <c r="A4864" s="6"/>
      <c r="B4864" s="6"/>
      <c r="C4864" s="4"/>
      <c r="D4864" s="4"/>
      <c r="E4864" s="4"/>
      <c r="F4864" s="4"/>
      <c r="G4864" s="4"/>
      <c r="H4864" s="4"/>
      <c r="I4864" s="4"/>
      <c r="J4864" s="18"/>
      <c r="K4864" s="4"/>
      <c r="L4864" s="19"/>
      <c r="M4864" s="20"/>
    </row>
    <row r="4865">
      <c r="A4865" s="6"/>
      <c r="B4865" s="6"/>
      <c r="C4865" s="4"/>
      <c r="D4865" s="4"/>
      <c r="E4865" s="4"/>
      <c r="F4865" s="4"/>
      <c r="G4865" s="4"/>
      <c r="H4865" s="4"/>
      <c r="I4865" s="4"/>
      <c r="J4865" s="18"/>
      <c r="K4865" s="4"/>
      <c r="L4865" s="19"/>
      <c r="M4865" s="20"/>
    </row>
    <row r="4866">
      <c r="A4866" s="6"/>
      <c r="B4866" s="6"/>
      <c r="C4866" s="4"/>
      <c r="D4866" s="4"/>
      <c r="E4866" s="4"/>
      <c r="F4866" s="4"/>
      <c r="G4866" s="4"/>
      <c r="H4866" s="4"/>
      <c r="I4866" s="4"/>
      <c r="J4866" s="18"/>
      <c r="K4866" s="4"/>
      <c r="L4866" s="19"/>
      <c r="M4866" s="20"/>
    </row>
    <row r="4867">
      <c r="A4867" s="6"/>
      <c r="B4867" s="6"/>
      <c r="C4867" s="4"/>
      <c r="D4867" s="4"/>
      <c r="E4867" s="4"/>
      <c r="F4867" s="4"/>
      <c r="G4867" s="4"/>
      <c r="H4867" s="4"/>
      <c r="I4867" s="4"/>
      <c r="J4867" s="18"/>
      <c r="K4867" s="4"/>
      <c r="L4867" s="19"/>
      <c r="M4867" s="20"/>
    </row>
    <row r="4868">
      <c r="A4868" s="6"/>
      <c r="B4868" s="6"/>
      <c r="C4868" s="4"/>
      <c r="D4868" s="4"/>
      <c r="E4868" s="4"/>
      <c r="F4868" s="4"/>
      <c r="G4868" s="4"/>
      <c r="H4868" s="4"/>
      <c r="I4868" s="4"/>
      <c r="J4868" s="18"/>
      <c r="K4868" s="4"/>
      <c r="L4868" s="19"/>
      <c r="M4868" s="20"/>
    </row>
    <row r="4869">
      <c r="A4869" s="6"/>
      <c r="B4869" s="6"/>
      <c r="C4869" s="4"/>
      <c r="D4869" s="4"/>
      <c r="E4869" s="4"/>
      <c r="F4869" s="4"/>
      <c r="G4869" s="4"/>
      <c r="H4869" s="4"/>
      <c r="I4869" s="4"/>
      <c r="J4869" s="18"/>
      <c r="K4869" s="4"/>
      <c r="L4869" s="19"/>
      <c r="M4869" s="20"/>
    </row>
    <row r="4870">
      <c r="A4870" s="6"/>
      <c r="B4870" s="6"/>
      <c r="C4870" s="4"/>
      <c r="D4870" s="4"/>
      <c r="E4870" s="4"/>
      <c r="F4870" s="4"/>
      <c r="G4870" s="4"/>
      <c r="H4870" s="4"/>
      <c r="I4870" s="4"/>
      <c r="J4870" s="18"/>
      <c r="K4870" s="4"/>
      <c r="L4870" s="19"/>
      <c r="M4870" s="20"/>
    </row>
    <row r="4871">
      <c r="A4871" s="6"/>
      <c r="B4871" s="6"/>
      <c r="C4871" s="4"/>
      <c r="D4871" s="4"/>
      <c r="E4871" s="4"/>
      <c r="F4871" s="4"/>
      <c r="G4871" s="4"/>
      <c r="H4871" s="4"/>
      <c r="I4871" s="4"/>
      <c r="J4871" s="18"/>
      <c r="K4871" s="4"/>
      <c r="L4871" s="19"/>
      <c r="M4871" s="20"/>
    </row>
    <row r="4872">
      <c r="A4872" s="6"/>
      <c r="B4872" s="6"/>
      <c r="C4872" s="4"/>
      <c r="D4872" s="4"/>
      <c r="E4872" s="4"/>
      <c r="F4872" s="4"/>
      <c r="G4872" s="4"/>
      <c r="H4872" s="4"/>
      <c r="I4872" s="4"/>
      <c r="J4872" s="18"/>
      <c r="K4872" s="4"/>
      <c r="L4872" s="19"/>
      <c r="M4872" s="20"/>
    </row>
    <row r="4873">
      <c r="A4873" s="6"/>
      <c r="B4873" s="6"/>
      <c r="C4873" s="4"/>
      <c r="D4873" s="4"/>
      <c r="E4873" s="4"/>
      <c r="F4873" s="4"/>
      <c r="G4873" s="4"/>
      <c r="H4873" s="4"/>
      <c r="I4873" s="4"/>
      <c r="J4873" s="18"/>
      <c r="K4873" s="4"/>
      <c r="L4873" s="19"/>
      <c r="M4873" s="20"/>
    </row>
    <row r="4874">
      <c r="A4874" s="6"/>
      <c r="B4874" s="6"/>
      <c r="C4874" s="4"/>
      <c r="D4874" s="4"/>
      <c r="E4874" s="4"/>
      <c r="F4874" s="4"/>
      <c r="G4874" s="4"/>
      <c r="H4874" s="4"/>
      <c r="I4874" s="4"/>
      <c r="J4874" s="18"/>
      <c r="K4874" s="4"/>
      <c r="L4874" s="19"/>
      <c r="M4874" s="20"/>
    </row>
    <row r="4875">
      <c r="A4875" s="6"/>
      <c r="B4875" s="6"/>
      <c r="C4875" s="4"/>
      <c r="D4875" s="4"/>
      <c r="E4875" s="4"/>
      <c r="F4875" s="4"/>
      <c r="G4875" s="4"/>
      <c r="H4875" s="4"/>
      <c r="I4875" s="4"/>
      <c r="J4875" s="18"/>
      <c r="K4875" s="4"/>
      <c r="L4875" s="19"/>
      <c r="M4875" s="20"/>
    </row>
    <row r="4876">
      <c r="A4876" s="6"/>
      <c r="B4876" s="6"/>
      <c r="C4876" s="4"/>
      <c r="D4876" s="4"/>
      <c r="E4876" s="4"/>
      <c r="F4876" s="4"/>
      <c r="G4876" s="4"/>
      <c r="H4876" s="4"/>
      <c r="I4876" s="4"/>
      <c r="J4876" s="18"/>
      <c r="K4876" s="4"/>
      <c r="L4876" s="19"/>
      <c r="M4876" s="20"/>
    </row>
    <row r="4877">
      <c r="A4877" s="6"/>
      <c r="B4877" s="6"/>
      <c r="C4877" s="4"/>
      <c r="D4877" s="4"/>
      <c r="E4877" s="4"/>
      <c r="F4877" s="4"/>
      <c r="G4877" s="4"/>
      <c r="H4877" s="4"/>
      <c r="I4877" s="4"/>
      <c r="J4877" s="18"/>
      <c r="K4877" s="4"/>
      <c r="L4877" s="19"/>
      <c r="M4877" s="20"/>
    </row>
    <row r="4878">
      <c r="A4878" s="6"/>
      <c r="B4878" s="6"/>
      <c r="C4878" s="4"/>
      <c r="D4878" s="4"/>
      <c r="E4878" s="4"/>
      <c r="F4878" s="4"/>
      <c r="G4878" s="4"/>
      <c r="H4878" s="4"/>
      <c r="I4878" s="4"/>
      <c r="J4878" s="18"/>
      <c r="K4878" s="4"/>
      <c r="L4878" s="19"/>
      <c r="M4878" s="20"/>
    </row>
    <row r="4879">
      <c r="A4879" s="6"/>
      <c r="B4879" s="6"/>
      <c r="C4879" s="4"/>
      <c r="D4879" s="4"/>
      <c r="E4879" s="4"/>
      <c r="F4879" s="4"/>
      <c r="G4879" s="4"/>
      <c r="H4879" s="4"/>
      <c r="I4879" s="4"/>
      <c r="J4879" s="18"/>
      <c r="K4879" s="4"/>
      <c r="L4879" s="19"/>
      <c r="M4879" s="20"/>
    </row>
    <row r="4880">
      <c r="A4880" s="6"/>
      <c r="B4880" s="6"/>
      <c r="C4880" s="4"/>
      <c r="D4880" s="4"/>
      <c r="E4880" s="4"/>
      <c r="F4880" s="4"/>
      <c r="G4880" s="4"/>
      <c r="H4880" s="4"/>
      <c r="I4880" s="4"/>
      <c r="J4880" s="18"/>
      <c r="K4880" s="4"/>
      <c r="L4880" s="19"/>
      <c r="M4880" s="20"/>
    </row>
    <row r="4881">
      <c r="A4881" s="6"/>
      <c r="B4881" s="6"/>
      <c r="C4881" s="4"/>
      <c r="D4881" s="4"/>
      <c r="E4881" s="4"/>
      <c r="F4881" s="4"/>
      <c r="G4881" s="4"/>
      <c r="H4881" s="4"/>
      <c r="I4881" s="4"/>
      <c r="J4881" s="18"/>
      <c r="K4881" s="4"/>
      <c r="L4881" s="19"/>
      <c r="M4881" s="20"/>
    </row>
    <row r="4882">
      <c r="A4882" s="6"/>
      <c r="B4882" s="6"/>
      <c r="C4882" s="4"/>
      <c r="D4882" s="4"/>
      <c r="E4882" s="4"/>
      <c r="F4882" s="4"/>
      <c r="G4882" s="4"/>
      <c r="H4882" s="4"/>
      <c r="I4882" s="4"/>
      <c r="J4882" s="18"/>
      <c r="K4882" s="4"/>
      <c r="L4882" s="19"/>
      <c r="M4882" s="20"/>
    </row>
    <row r="4883">
      <c r="A4883" s="6"/>
      <c r="B4883" s="6"/>
      <c r="C4883" s="4"/>
      <c r="D4883" s="4"/>
      <c r="E4883" s="4"/>
      <c r="F4883" s="4"/>
      <c r="G4883" s="4"/>
      <c r="H4883" s="4"/>
      <c r="I4883" s="4"/>
      <c r="J4883" s="18"/>
      <c r="K4883" s="4"/>
      <c r="L4883" s="19"/>
      <c r="M4883" s="20"/>
    </row>
    <row r="4884">
      <c r="A4884" s="6"/>
      <c r="B4884" s="6"/>
      <c r="C4884" s="4"/>
      <c r="D4884" s="4"/>
      <c r="E4884" s="4"/>
      <c r="F4884" s="4"/>
      <c r="G4884" s="4"/>
      <c r="H4884" s="4"/>
      <c r="I4884" s="4"/>
      <c r="J4884" s="18"/>
      <c r="K4884" s="4"/>
      <c r="L4884" s="19"/>
      <c r="M4884" s="20"/>
    </row>
    <row r="4885">
      <c r="A4885" s="6"/>
      <c r="B4885" s="6"/>
      <c r="C4885" s="4"/>
      <c r="D4885" s="4"/>
      <c r="E4885" s="4"/>
      <c r="F4885" s="4"/>
      <c r="G4885" s="4"/>
      <c r="H4885" s="4"/>
      <c r="I4885" s="4"/>
      <c r="J4885" s="18"/>
      <c r="K4885" s="4"/>
      <c r="L4885" s="19"/>
      <c r="M4885" s="20"/>
    </row>
    <row r="4886">
      <c r="A4886" s="6"/>
      <c r="B4886" s="6"/>
      <c r="C4886" s="4"/>
      <c r="D4886" s="4"/>
      <c r="E4886" s="4"/>
      <c r="F4886" s="4"/>
      <c r="G4886" s="4"/>
      <c r="H4886" s="4"/>
      <c r="I4886" s="4"/>
      <c r="J4886" s="18"/>
      <c r="K4886" s="4"/>
      <c r="L4886" s="19"/>
      <c r="M4886" s="20"/>
    </row>
    <row r="4887">
      <c r="A4887" s="6"/>
      <c r="B4887" s="6"/>
      <c r="C4887" s="4"/>
      <c r="D4887" s="4"/>
      <c r="E4887" s="4"/>
      <c r="F4887" s="4"/>
      <c r="G4887" s="4"/>
      <c r="H4887" s="4"/>
      <c r="I4887" s="4"/>
      <c r="J4887" s="18"/>
      <c r="K4887" s="4"/>
      <c r="L4887" s="19"/>
      <c r="M4887" s="20"/>
    </row>
    <row r="4888">
      <c r="A4888" s="6"/>
      <c r="B4888" s="6"/>
      <c r="C4888" s="4"/>
      <c r="D4888" s="4"/>
      <c r="E4888" s="4"/>
      <c r="F4888" s="4"/>
      <c r="G4888" s="4"/>
      <c r="H4888" s="4"/>
      <c r="I4888" s="4"/>
      <c r="J4888" s="18"/>
      <c r="K4888" s="4"/>
      <c r="L4888" s="19"/>
      <c r="M4888" s="20"/>
    </row>
    <row r="4889">
      <c r="A4889" s="6"/>
      <c r="B4889" s="6"/>
      <c r="C4889" s="4"/>
      <c r="D4889" s="4"/>
      <c r="E4889" s="4"/>
      <c r="F4889" s="4"/>
      <c r="G4889" s="4"/>
      <c r="H4889" s="4"/>
      <c r="I4889" s="4"/>
      <c r="J4889" s="18"/>
      <c r="K4889" s="4"/>
      <c r="L4889" s="19"/>
      <c r="M4889" s="20"/>
    </row>
    <row r="4890">
      <c r="A4890" s="6"/>
      <c r="B4890" s="6"/>
      <c r="C4890" s="4"/>
      <c r="D4890" s="4"/>
      <c r="E4890" s="4"/>
      <c r="F4890" s="4"/>
      <c r="G4890" s="4"/>
      <c r="H4890" s="4"/>
      <c r="I4890" s="4"/>
      <c r="J4890" s="18"/>
      <c r="K4890" s="4"/>
      <c r="L4890" s="19"/>
      <c r="M4890" s="20"/>
    </row>
    <row r="4891">
      <c r="A4891" s="6"/>
      <c r="B4891" s="6"/>
      <c r="C4891" s="4"/>
      <c r="D4891" s="4"/>
      <c r="E4891" s="4"/>
      <c r="F4891" s="4"/>
      <c r="G4891" s="4"/>
      <c r="H4891" s="4"/>
      <c r="I4891" s="4"/>
      <c r="J4891" s="18"/>
      <c r="K4891" s="4"/>
      <c r="L4891" s="19"/>
      <c r="M4891" s="20"/>
    </row>
    <row r="4892">
      <c r="A4892" s="6"/>
      <c r="B4892" s="6"/>
      <c r="C4892" s="4"/>
      <c r="D4892" s="4"/>
      <c r="E4892" s="4"/>
      <c r="F4892" s="4"/>
      <c r="G4892" s="4"/>
      <c r="H4892" s="4"/>
      <c r="I4892" s="4"/>
      <c r="J4892" s="18"/>
      <c r="K4892" s="4"/>
      <c r="L4892" s="19"/>
      <c r="M4892" s="20"/>
    </row>
    <row r="4893">
      <c r="A4893" s="6"/>
      <c r="B4893" s="6"/>
      <c r="C4893" s="4"/>
      <c r="D4893" s="4"/>
      <c r="E4893" s="4"/>
      <c r="F4893" s="4"/>
      <c r="G4893" s="4"/>
      <c r="H4893" s="4"/>
      <c r="I4893" s="4"/>
      <c r="J4893" s="18"/>
      <c r="K4893" s="4"/>
      <c r="L4893" s="19"/>
      <c r="M4893" s="20"/>
    </row>
    <row r="4894">
      <c r="A4894" s="6"/>
      <c r="B4894" s="6"/>
      <c r="C4894" s="4"/>
      <c r="D4894" s="4"/>
      <c r="E4894" s="4"/>
      <c r="F4894" s="4"/>
      <c r="G4894" s="4"/>
      <c r="H4894" s="4"/>
      <c r="I4894" s="4"/>
      <c r="J4894" s="18"/>
      <c r="K4894" s="4"/>
      <c r="L4894" s="19"/>
      <c r="M4894" s="20"/>
    </row>
    <row r="4895">
      <c r="A4895" s="6"/>
      <c r="B4895" s="6"/>
      <c r="C4895" s="4"/>
      <c r="D4895" s="4"/>
      <c r="E4895" s="4"/>
      <c r="F4895" s="4"/>
      <c r="G4895" s="4"/>
      <c r="H4895" s="4"/>
      <c r="I4895" s="4"/>
      <c r="J4895" s="18"/>
      <c r="K4895" s="4"/>
      <c r="L4895" s="19"/>
      <c r="M4895" s="20"/>
    </row>
    <row r="4896">
      <c r="A4896" s="6"/>
      <c r="B4896" s="6"/>
      <c r="C4896" s="4"/>
      <c r="D4896" s="4"/>
      <c r="E4896" s="4"/>
      <c r="F4896" s="4"/>
      <c r="G4896" s="4"/>
      <c r="H4896" s="4"/>
      <c r="I4896" s="4"/>
      <c r="J4896" s="18"/>
      <c r="K4896" s="4"/>
      <c r="L4896" s="19"/>
      <c r="M4896" s="20"/>
    </row>
    <row r="4897">
      <c r="A4897" s="6"/>
      <c r="B4897" s="6"/>
      <c r="C4897" s="4"/>
      <c r="D4897" s="4"/>
      <c r="E4897" s="4"/>
      <c r="F4897" s="4"/>
      <c r="G4897" s="4"/>
      <c r="H4897" s="4"/>
      <c r="I4897" s="4"/>
      <c r="J4897" s="18"/>
      <c r="K4897" s="4"/>
      <c r="L4897" s="19"/>
      <c r="M4897" s="20"/>
    </row>
    <row r="4898">
      <c r="A4898" s="6"/>
      <c r="B4898" s="6"/>
      <c r="C4898" s="4"/>
      <c r="D4898" s="4"/>
      <c r="E4898" s="4"/>
      <c r="F4898" s="4"/>
      <c r="G4898" s="4"/>
      <c r="H4898" s="4"/>
      <c r="I4898" s="4"/>
      <c r="J4898" s="18"/>
      <c r="K4898" s="4"/>
      <c r="L4898" s="19"/>
      <c r="M4898" s="20"/>
    </row>
    <row r="4899">
      <c r="A4899" s="6"/>
      <c r="B4899" s="6"/>
      <c r="C4899" s="4"/>
      <c r="D4899" s="4"/>
      <c r="E4899" s="4"/>
      <c r="F4899" s="4"/>
      <c r="G4899" s="4"/>
      <c r="H4899" s="4"/>
      <c r="I4899" s="4"/>
      <c r="J4899" s="18"/>
      <c r="K4899" s="4"/>
      <c r="L4899" s="19"/>
      <c r="M4899" s="20"/>
    </row>
    <row r="4900">
      <c r="A4900" s="6"/>
      <c r="B4900" s="6"/>
      <c r="C4900" s="4"/>
      <c r="D4900" s="4"/>
      <c r="E4900" s="4"/>
      <c r="F4900" s="4"/>
      <c r="G4900" s="4"/>
      <c r="H4900" s="4"/>
      <c r="I4900" s="4"/>
      <c r="J4900" s="18"/>
      <c r="K4900" s="4"/>
      <c r="L4900" s="19"/>
      <c r="M4900" s="20"/>
    </row>
    <row r="4901">
      <c r="A4901" s="6"/>
      <c r="B4901" s="6"/>
      <c r="C4901" s="4"/>
      <c r="D4901" s="4"/>
      <c r="E4901" s="4"/>
      <c r="F4901" s="4"/>
      <c r="G4901" s="4"/>
      <c r="H4901" s="4"/>
      <c r="I4901" s="4"/>
      <c r="J4901" s="18"/>
      <c r="K4901" s="4"/>
      <c r="L4901" s="19"/>
      <c r="M4901" s="20"/>
    </row>
    <row r="4902">
      <c r="A4902" s="6"/>
      <c r="B4902" s="6"/>
      <c r="C4902" s="4"/>
      <c r="D4902" s="4"/>
      <c r="E4902" s="4"/>
      <c r="F4902" s="4"/>
      <c r="G4902" s="4"/>
      <c r="H4902" s="4"/>
      <c r="I4902" s="4"/>
      <c r="J4902" s="18"/>
      <c r="K4902" s="4"/>
      <c r="L4902" s="19"/>
      <c r="M4902" s="20"/>
    </row>
    <row r="4903">
      <c r="A4903" s="6"/>
      <c r="B4903" s="6"/>
      <c r="C4903" s="4"/>
      <c r="D4903" s="4"/>
      <c r="E4903" s="4"/>
      <c r="F4903" s="4"/>
      <c r="G4903" s="4"/>
      <c r="H4903" s="4"/>
      <c r="I4903" s="4"/>
      <c r="J4903" s="18"/>
      <c r="K4903" s="4"/>
      <c r="L4903" s="19"/>
      <c r="M4903" s="20"/>
    </row>
    <row r="4904">
      <c r="A4904" s="6"/>
      <c r="B4904" s="6"/>
      <c r="C4904" s="4"/>
      <c r="D4904" s="4"/>
      <c r="E4904" s="4"/>
      <c r="F4904" s="4"/>
      <c r="G4904" s="4"/>
      <c r="H4904" s="4"/>
      <c r="I4904" s="4"/>
      <c r="J4904" s="18"/>
      <c r="K4904" s="4"/>
      <c r="L4904" s="19"/>
      <c r="M4904" s="20"/>
    </row>
    <row r="4905">
      <c r="A4905" s="6"/>
      <c r="B4905" s="6"/>
      <c r="C4905" s="4"/>
      <c r="D4905" s="4"/>
      <c r="E4905" s="4"/>
      <c r="F4905" s="4"/>
      <c r="G4905" s="4"/>
      <c r="H4905" s="4"/>
      <c r="I4905" s="4"/>
      <c r="J4905" s="18"/>
      <c r="K4905" s="4"/>
      <c r="L4905" s="19"/>
      <c r="M4905" s="20"/>
    </row>
    <row r="4906">
      <c r="A4906" s="6"/>
      <c r="B4906" s="6"/>
      <c r="C4906" s="4"/>
      <c r="D4906" s="4"/>
      <c r="E4906" s="4"/>
      <c r="F4906" s="4"/>
      <c r="G4906" s="4"/>
      <c r="H4906" s="4"/>
      <c r="I4906" s="4"/>
      <c r="J4906" s="18"/>
      <c r="K4906" s="4"/>
      <c r="L4906" s="19"/>
      <c r="M4906" s="20"/>
    </row>
    <row r="4907">
      <c r="A4907" s="6"/>
      <c r="B4907" s="6"/>
      <c r="C4907" s="4"/>
      <c r="D4907" s="4"/>
      <c r="E4907" s="4"/>
      <c r="F4907" s="4"/>
      <c r="G4907" s="4"/>
      <c r="H4907" s="4"/>
      <c r="I4907" s="4"/>
      <c r="J4907" s="18"/>
      <c r="K4907" s="4"/>
      <c r="L4907" s="19"/>
      <c r="M4907" s="20"/>
    </row>
    <row r="4908">
      <c r="A4908" s="6"/>
      <c r="B4908" s="6"/>
      <c r="C4908" s="4"/>
      <c r="D4908" s="4"/>
      <c r="E4908" s="4"/>
      <c r="F4908" s="4"/>
      <c r="G4908" s="4"/>
      <c r="H4908" s="4"/>
      <c r="I4908" s="4"/>
      <c r="J4908" s="18"/>
      <c r="K4908" s="4"/>
      <c r="L4908" s="19"/>
      <c r="M4908" s="20"/>
    </row>
    <row r="4909">
      <c r="A4909" s="6"/>
      <c r="B4909" s="6"/>
      <c r="C4909" s="4"/>
      <c r="D4909" s="4"/>
      <c r="E4909" s="4"/>
      <c r="F4909" s="4"/>
      <c r="G4909" s="4"/>
      <c r="H4909" s="4"/>
      <c r="I4909" s="4"/>
      <c r="J4909" s="18"/>
      <c r="K4909" s="4"/>
      <c r="L4909" s="19"/>
      <c r="M4909" s="20"/>
    </row>
    <row r="4910">
      <c r="A4910" s="6"/>
      <c r="B4910" s="6"/>
      <c r="C4910" s="4"/>
      <c r="D4910" s="4"/>
      <c r="E4910" s="4"/>
      <c r="F4910" s="4"/>
      <c r="G4910" s="4"/>
      <c r="H4910" s="4"/>
      <c r="I4910" s="4"/>
      <c r="J4910" s="18"/>
      <c r="K4910" s="4"/>
      <c r="L4910" s="19"/>
      <c r="M4910" s="20"/>
    </row>
    <row r="4911">
      <c r="A4911" s="6"/>
      <c r="B4911" s="6"/>
      <c r="C4911" s="4"/>
      <c r="D4911" s="4"/>
      <c r="E4911" s="4"/>
      <c r="F4911" s="4"/>
      <c r="G4911" s="4"/>
      <c r="H4911" s="4"/>
      <c r="I4911" s="4"/>
      <c r="J4911" s="18"/>
      <c r="K4911" s="4"/>
      <c r="L4911" s="19"/>
      <c r="M4911" s="20"/>
    </row>
    <row r="4912">
      <c r="A4912" s="6"/>
      <c r="B4912" s="6"/>
      <c r="C4912" s="4"/>
      <c r="D4912" s="4"/>
      <c r="E4912" s="4"/>
      <c r="F4912" s="4"/>
      <c r="G4912" s="4"/>
      <c r="H4912" s="4"/>
      <c r="I4912" s="4"/>
      <c r="J4912" s="18"/>
      <c r="K4912" s="4"/>
      <c r="L4912" s="19"/>
      <c r="M4912" s="20"/>
    </row>
    <row r="4913">
      <c r="A4913" s="6"/>
      <c r="B4913" s="6"/>
      <c r="C4913" s="4"/>
      <c r="D4913" s="4"/>
      <c r="E4913" s="4"/>
      <c r="F4913" s="4"/>
      <c r="G4913" s="4"/>
      <c r="H4913" s="4"/>
      <c r="I4913" s="4"/>
      <c r="J4913" s="18"/>
      <c r="K4913" s="4"/>
      <c r="L4913" s="19"/>
      <c r="M4913" s="20"/>
    </row>
    <row r="4914">
      <c r="A4914" s="6"/>
      <c r="B4914" s="6"/>
      <c r="C4914" s="4"/>
      <c r="D4914" s="4"/>
      <c r="E4914" s="4"/>
      <c r="F4914" s="4"/>
      <c r="G4914" s="4"/>
      <c r="H4914" s="4"/>
      <c r="I4914" s="4"/>
      <c r="J4914" s="18"/>
      <c r="K4914" s="4"/>
      <c r="L4914" s="19"/>
      <c r="M4914" s="20"/>
    </row>
    <row r="4915">
      <c r="A4915" s="6"/>
      <c r="B4915" s="6"/>
      <c r="C4915" s="4"/>
      <c r="D4915" s="4"/>
      <c r="E4915" s="4"/>
      <c r="F4915" s="4"/>
      <c r="G4915" s="4"/>
      <c r="H4915" s="4"/>
      <c r="I4915" s="4"/>
      <c r="J4915" s="18"/>
      <c r="K4915" s="4"/>
      <c r="L4915" s="19"/>
      <c r="M4915" s="20"/>
    </row>
    <row r="4916">
      <c r="A4916" s="6"/>
      <c r="B4916" s="6"/>
      <c r="C4916" s="4"/>
      <c r="D4916" s="4"/>
      <c r="E4916" s="4"/>
      <c r="F4916" s="4"/>
      <c r="G4916" s="4"/>
      <c r="H4916" s="4"/>
      <c r="I4916" s="4"/>
      <c r="J4916" s="18"/>
      <c r="K4916" s="4"/>
      <c r="L4916" s="19"/>
      <c r="M4916" s="20"/>
    </row>
    <row r="4917">
      <c r="A4917" s="6"/>
      <c r="B4917" s="6"/>
      <c r="C4917" s="4"/>
      <c r="D4917" s="4"/>
      <c r="E4917" s="4"/>
      <c r="F4917" s="4"/>
      <c r="G4917" s="4"/>
      <c r="H4917" s="4"/>
      <c r="I4917" s="4"/>
      <c r="J4917" s="18"/>
      <c r="K4917" s="4"/>
      <c r="L4917" s="19"/>
      <c r="M4917" s="20"/>
    </row>
    <row r="4918">
      <c r="A4918" s="6"/>
      <c r="B4918" s="6"/>
      <c r="C4918" s="4"/>
      <c r="D4918" s="4"/>
      <c r="E4918" s="4"/>
      <c r="F4918" s="4"/>
      <c r="G4918" s="4"/>
      <c r="H4918" s="4"/>
      <c r="I4918" s="4"/>
      <c r="J4918" s="18"/>
      <c r="K4918" s="4"/>
      <c r="L4918" s="19"/>
      <c r="M4918" s="20"/>
    </row>
    <row r="4919">
      <c r="A4919" s="6"/>
      <c r="B4919" s="6"/>
      <c r="C4919" s="4"/>
      <c r="D4919" s="4"/>
      <c r="E4919" s="4"/>
      <c r="F4919" s="4"/>
      <c r="G4919" s="4"/>
      <c r="H4919" s="4"/>
      <c r="I4919" s="4"/>
      <c r="J4919" s="18"/>
      <c r="K4919" s="4"/>
      <c r="L4919" s="19"/>
      <c r="M4919" s="20"/>
    </row>
    <row r="4920">
      <c r="A4920" s="6"/>
      <c r="B4920" s="6"/>
      <c r="C4920" s="4"/>
      <c r="D4920" s="4"/>
      <c r="E4920" s="4"/>
      <c r="F4920" s="4"/>
      <c r="G4920" s="4"/>
      <c r="H4920" s="4"/>
      <c r="I4920" s="4"/>
      <c r="J4920" s="18"/>
      <c r="K4920" s="4"/>
      <c r="L4920" s="19"/>
      <c r="M4920" s="20"/>
    </row>
    <row r="4921">
      <c r="A4921" s="6"/>
      <c r="B4921" s="6"/>
      <c r="C4921" s="4"/>
      <c r="D4921" s="4"/>
      <c r="E4921" s="4"/>
      <c r="F4921" s="4"/>
      <c r="G4921" s="4"/>
      <c r="H4921" s="4"/>
      <c r="I4921" s="4"/>
      <c r="J4921" s="18"/>
      <c r="K4921" s="4"/>
      <c r="L4921" s="19"/>
      <c r="M4921" s="20"/>
    </row>
    <row r="4922">
      <c r="A4922" s="6"/>
      <c r="B4922" s="6"/>
      <c r="C4922" s="4"/>
      <c r="D4922" s="4"/>
      <c r="E4922" s="4"/>
      <c r="F4922" s="4"/>
      <c r="G4922" s="4"/>
      <c r="H4922" s="4"/>
      <c r="I4922" s="4"/>
      <c r="J4922" s="18"/>
      <c r="K4922" s="4"/>
      <c r="L4922" s="19"/>
      <c r="M4922" s="20"/>
    </row>
    <row r="4923">
      <c r="A4923" s="6"/>
      <c r="B4923" s="6"/>
      <c r="C4923" s="4"/>
      <c r="D4923" s="4"/>
      <c r="E4923" s="4"/>
      <c r="F4923" s="4"/>
      <c r="G4923" s="4"/>
      <c r="H4923" s="4"/>
      <c r="I4923" s="4"/>
      <c r="J4923" s="18"/>
      <c r="K4923" s="4"/>
      <c r="L4923" s="19"/>
      <c r="M4923" s="20"/>
    </row>
    <row r="4924">
      <c r="A4924" s="6"/>
      <c r="B4924" s="6"/>
      <c r="C4924" s="4"/>
      <c r="D4924" s="4"/>
      <c r="E4924" s="4"/>
      <c r="F4924" s="4"/>
      <c r="G4924" s="4"/>
      <c r="H4924" s="4"/>
      <c r="I4924" s="4"/>
      <c r="J4924" s="18"/>
      <c r="K4924" s="4"/>
      <c r="L4924" s="19"/>
      <c r="M4924" s="20"/>
    </row>
    <row r="4925">
      <c r="A4925" s="6"/>
      <c r="B4925" s="6"/>
      <c r="C4925" s="4"/>
      <c r="D4925" s="4"/>
      <c r="E4925" s="4"/>
      <c r="F4925" s="4"/>
      <c r="G4925" s="4"/>
      <c r="H4925" s="4"/>
      <c r="I4925" s="4"/>
      <c r="J4925" s="18"/>
      <c r="K4925" s="4"/>
      <c r="L4925" s="19"/>
      <c r="M4925" s="20"/>
    </row>
    <row r="4926">
      <c r="A4926" s="6"/>
      <c r="B4926" s="6"/>
      <c r="C4926" s="4"/>
      <c r="D4926" s="4"/>
      <c r="E4926" s="4"/>
      <c r="F4926" s="4"/>
      <c r="G4926" s="4"/>
      <c r="H4926" s="4"/>
      <c r="I4926" s="4"/>
      <c r="J4926" s="18"/>
      <c r="K4926" s="4"/>
      <c r="L4926" s="19"/>
      <c r="M4926" s="20"/>
    </row>
    <row r="4927">
      <c r="A4927" s="6"/>
      <c r="B4927" s="6"/>
      <c r="C4927" s="4"/>
      <c r="D4927" s="4"/>
      <c r="E4927" s="4"/>
      <c r="F4927" s="4"/>
      <c r="G4927" s="4"/>
      <c r="H4927" s="4"/>
      <c r="I4927" s="4"/>
      <c r="J4927" s="18"/>
      <c r="K4927" s="4"/>
      <c r="L4927" s="19"/>
      <c r="M4927" s="20"/>
    </row>
    <row r="4928">
      <c r="A4928" s="6"/>
      <c r="B4928" s="6"/>
      <c r="C4928" s="4"/>
      <c r="D4928" s="4"/>
      <c r="E4928" s="4"/>
      <c r="F4928" s="4"/>
      <c r="G4928" s="4"/>
      <c r="H4928" s="4"/>
      <c r="I4928" s="4"/>
      <c r="J4928" s="18"/>
      <c r="K4928" s="4"/>
      <c r="L4928" s="19"/>
      <c r="M4928" s="20"/>
    </row>
    <row r="4929">
      <c r="A4929" s="6"/>
      <c r="B4929" s="6"/>
      <c r="C4929" s="4"/>
      <c r="D4929" s="4"/>
      <c r="E4929" s="4"/>
      <c r="F4929" s="4"/>
      <c r="G4929" s="4"/>
      <c r="H4929" s="4"/>
      <c r="I4929" s="4"/>
      <c r="J4929" s="18"/>
      <c r="K4929" s="4"/>
      <c r="L4929" s="19"/>
      <c r="M4929" s="20"/>
    </row>
    <row r="4930">
      <c r="A4930" s="6"/>
      <c r="B4930" s="6"/>
      <c r="C4930" s="4"/>
      <c r="D4930" s="4"/>
      <c r="E4930" s="4"/>
      <c r="F4930" s="4"/>
      <c r="G4930" s="4"/>
      <c r="H4930" s="4"/>
      <c r="I4930" s="4"/>
      <c r="J4930" s="18"/>
      <c r="K4930" s="4"/>
      <c r="L4930" s="19"/>
      <c r="M4930" s="20"/>
    </row>
    <row r="4931">
      <c r="A4931" s="6"/>
      <c r="B4931" s="6"/>
      <c r="C4931" s="4"/>
      <c r="D4931" s="4"/>
      <c r="E4931" s="4"/>
      <c r="F4931" s="4"/>
      <c r="G4931" s="4"/>
      <c r="H4931" s="4"/>
      <c r="I4931" s="4"/>
      <c r="J4931" s="18"/>
      <c r="K4931" s="4"/>
      <c r="L4931" s="19"/>
      <c r="M4931" s="20"/>
    </row>
    <row r="4932">
      <c r="A4932" s="6"/>
      <c r="B4932" s="6"/>
      <c r="C4932" s="4"/>
      <c r="D4932" s="4"/>
      <c r="E4932" s="4"/>
      <c r="F4932" s="4"/>
      <c r="G4932" s="4"/>
      <c r="H4932" s="4"/>
      <c r="I4932" s="4"/>
      <c r="J4932" s="18"/>
      <c r="K4932" s="4"/>
      <c r="L4932" s="19"/>
      <c r="M4932" s="20"/>
    </row>
    <row r="4933">
      <c r="A4933" s="6"/>
      <c r="B4933" s="6"/>
      <c r="C4933" s="4"/>
      <c r="D4933" s="4"/>
      <c r="E4933" s="4"/>
      <c r="F4933" s="4"/>
      <c r="G4933" s="4"/>
      <c r="H4933" s="4"/>
      <c r="I4933" s="4"/>
      <c r="J4933" s="18"/>
      <c r="K4933" s="4"/>
      <c r="L4933" s="19"/>
      <c r="M4933" s="20"/>
    </row>
    <row r="4934">
      <c r="A4934" s="6"/>
      <c r="B4934" s="6"/>
      <c r="C4934" s="4"/>
      <c r="D4934" s="4"/>
      <c r="E4934" s="4"/>
      <c r="F4934" s="4"/>
      <c r="G4934" s="4"/>
      <c r="H4934" s="4"/>
      <c r="I4934" s="4"/>
      <c r="J4934" s="18"/>
      <c r="K4934" s="4"/>
      <c r="L4934" s="19"/>
      <c r="M4934" s="20"/>
    </row>
    <row r="4935">
      <c r="A4935" s="6"/>
      <c r="B4935" s="6"/>
      <c r="C4935" s="4"/>
      <c r="D4935" s="4"/>
      <c r="E4935" s="4"/>
      <c r="F4935" s="4"/>
      <c r="G4935" s="4"/>
      <c r="H4935" s="4"/>
      <c r="I4935" s="4"/>
      <c r="J4935" s="18"/>
      <c r="K4935" s="4"/>
      <c r="L4935" s="19"/>
      <c r="M4935" s="20"/>
    </row>
    <row r="4936">
      <c r="A4936" s="6"/>
      <c r="B4936" s="6"/>
      <c r="C4936" s="4"/>
      <c r="D4936" s="4"/>
      <c r="E4936" s="4"/>
      <c r="F4936" s="4"/>
      <c r="G4936" s="4"/>
      <c r="H4936" s="4"/>
      <c r="I4936" s="4"/>
      <c r="J4936" s="18"/>
      <c r="K4936" s="4"/>
      <c r="L4936" s="19"/>
      <c r="M4936" s="20"/>
    </row>
    <row r="4937">
      <c r="A4937" s="6"/>
      <c r="B4937" s="6"/>
      <c r="C4937" s="4"/>
      <c r="D4937" s="4"/>
      <c r="E4937" s="4"/>
      <c r="F4937" s="4"/>
      <c r="G4937" s="4"/>
      <c r="H4937" s="4"/>
      <c r="I4937" s="4"/>
      <c r="J4937" s="18"/>
      <c r="K4937" s="4"/>
      <c r="L4937" s="19"/>
      <c r="M4937" s="20"/>
    </row>
    <row r="4938">
      <c r="A4938" s="6"/>
      <c r="B4938" s="6"/>
      <c r="C4938" s="4"/>
      <c r="D4938" s="4"/>
      <c r="E4938" s="4"/>
      <c r="F4938" s="4"/>
      <c r="G4938" s="4"/>
      <c r="H4938" s="4"/>
      <c r="I4938" s="4"/>
      <c r="J4938" s="18"/>
      <c r="K4938" s="4"/>
      <c r="L4938" s="19"/>
      <c r="M4938" s="20"/>
    </row>
    <row r="4939">
      <c r="A4939" s="6"/>
      <c r="B4939" s="6"/>
      <c r="C4939" s="4"/>
      <c r="D4939" s="4"/>
      <c r="E4939" s="4"/>
      <c r="F4939" s="4"/>
      <c r="G4939" s="4"/>
      <c r="H4939" s="4"/>
      <c r="I4939" s="4"/>
      <c r="J4939" s="18"/>
      <c r="K4939" s="4"/>
      <c r="L4939" s="19"/>
      <c r="M4939" s="20"/>
    </row>
    <row r="4940">
      <c r="A4940" s="6"/>
      <c r="B4940" s="6"/>
      <c r="C4940" s="4"/>
      <c r="D4940" s="4"/>
      <c r="E4940" s="4"/>
      <c r="F4940" s="4"/>
      <c r="G4940" s="4"/>
      <c r="H4940" s="4"/>
      <c r="I4940" s="4"/>
      <c r="J4940" s="18"/>
      <c r="K4940" s="4"/>
      <c r="L4940" s="19"/>
      <c r="M4940" s="20"/>
    </row>
    <row r="4941">
      <c r="A4941" s="6"/>
      <c r="B4941" s="6"/>
      <c r="C4941" s="4"/>
      <c r="D4941" s="4"/>
      <c r="E4941" s="4"/>
      <c r="F4941" s="4"/>
      <c r="G4941" s="4"/>
      <c r="H4941" s="4"/>
      <c r="I4941" s="4"/>
      <c r="J4941" s="18"/>
      <c r="K4941" s="4"/>
      <c r="L4941" s="19"/>
      <c r="M4941" s="20"/>
    </row>
    <row r="4942">
      <c r="A4942" s="6"/>
      <c r="B4942" s="6"/>
      <c r="C4942" s="4"/>
      <c r="D4942" s="4"/>
      <c r="E4942" s="4"/>
      <c r="F4942" s="4"/>
      <c r="G4942" s="4"/>
      <c r="H4942" s="4"/>
      <c r="I4942" s="4"/>
      <c r="J4942" s="18"/>
      <c r="K4942" s="4"/>
      <c r="L4942" s="19"/>
      <c r="M4942" s="20"/>
    </row>
    <row r="4943">
      <c r="A4943" s="6"/>
      <c r="B4943" s="6"/>
      <c r="C4943" s="4"/>
      <c r="D4943" s="4"/>
      <c r="E4943" s="4"/>
      <c r="F4943" s="4"/>
      <c r="G4943" s="4"/>
      <c r="H4943" s="4"/>
      <c r="I4943" s="4"/>
      <c r="J4943" s="18"/>
      <c r="K4943" s="4"/>
      <c r="L4943" s="19"/>
      <c r="M4943" s="20"/>
    </row>
    <row r="4944">
      <c r="A4944" s="6"/>
      <c r="B4944" s="6"/>
      <c r="C4944" s="4"/>
      <c r="D4944" s="4"/>
      <c r="E4944" s="4"/>
      <c r="F4944" s="4"/>
      <c r="G4944" s="4"/>
      <c r="H4944" s="4"/>
      <c r="I4944" s="4"/>
      <c r="J4944" s="18"/>
      <c r="K4944" s="4"/>
      <c r="L4944" s="19"/>
      <c r="M4944" s="20"/>
    </row>
    <row r="4945">
      <c r="A4945" s="6"/>
      <c r="B4945" s="6"/>
      <c r="C4945" s="4"/>
      <c r="D4945" s="4"/>
      <c r="E4945" s="4"/>
      <c r="F4945" s="4"/>
      <c r="G4945" s="4"/>
      <c r="H4945" s="4"/>
      <c r="I4945" s="4"/>
      <c r="J4945" s="18"/>
      <c r="K4945" s="4"/>
      <c r="L4945" s="19"/>
      <c r="M4945" s="20"/>
    </row>
    <row r="4946">
      <c r="A4946" s="6"/>
      <c r="B4946" s="6"/>
      <c r="C4946" s="4"/>
      <c r="D4946" s="4"/>
      <c r="E4946" s="4"/>
      <c r="F4946" s="4"/>
      <c r="G4946" s="4"/>
      <c r="H4946" s="4"/>
      <c r="I4946" s="4"/>
      <c r="J4946" s="18"/>
      <c r="K4946" s="4"/>
      <c r="L4946" s="19"/>
      <c r="M4946" s="20"/>
    </row>
    <row r="4947">
      <c r="A4947" s="6"/>
      <c r="B4947" s="6"/>
      <c r="C4947" s="4"/>
      <c r="D4947" s="4"/>
      <c r="E4947" s="4"/>
      <c r="F4947" s="4"/>
      <c r="G4947" s="4"/>
      <c r="H4947" s="4"/>
      <c r="I4947" s="4"/>
      <c r="J4947" s="18"/>
      <c r="K4947" s="4"/>
      <c r="L4947" s="19"/>
      <c r="M4947" s="20"/>
    </row>
    <row r="4948">
      <c r="A4948" s="6"/>
      <c r="B4948" s="6"/>
      <c r="C4948" s="4"/>
      <c r="D4948" s="4"/>
      <c r="E4948" s="4"/>
      <c r="F4948" s="4"/>
      <c r="G4948" s="4"/>
      <c r="H4948" s="4"/>
      <c r="I4948" s="4"/>
      <c r="J4948" s="18"/>
      <c r="K4948" s="4"/>
      <c r="L4948" s="19"/>
      <c r="M4948" s="20"/>
    </row>
    <row r="4949">
      <c r="A4949" s="6"/>
      <c r="B4949" s="6"/>
      <c r="C4949" s="4"/>
      <c r="D4949" s="4"/>
      <c r="E4949" s="4"/>
      <c r="F4949" s="4"/>
      <c r="G4949" s="4"/>
      <c r="H4949" s="4"/>
      <c r="I4949" s="4"/>
      <c r="J4949" s="18"/>
      <c r="K4949" s="4"/>
      <c r="L4949" s="19"/>
      <c r="M4949" s="20"/>
    </row>
    <row r="4950">
      <c r="A4950" s="6"/>
      <c r="B4950" s="6"/>
      <c r="C4950" s="4"/>
      <c r="D4950" s="4"/>
      <c r="E4950" s="4"/>
      <c r="F4950" s="4"/>
      <c r="G4950" s="4"/>
      <c r="H4950" s="4"/>
      <c r="I4950" s="4"/>
      <c r="J4950" s="18"/>
      <c r="K4950" s="4"/>
      <c r="L4950" s="19"/>
      <c r="M4950" s="20"/>
    </row>
    <row r="4951">
      <c r="A4951" s="6"/>
      <c r="B4951" s="6"/>
      <c r="C4951" s="4"/>
      <c r="D4951" s="4"/>
      <c r="E4951" s="4"/>
      <c r="F4951" s="4"/>
      <c r="G4951" s="4"/>
      <c r="H4951" s="4"/>
      <c r="I4951" s="4"/>
      <c r="J4951" s="18"/>
      <c r="K4951" s="4"/>
      <c r="L4951" s="19"/>
      <c r="M4951" s="20"/>
    </row>
    <row r="4952">
      <c r="A4952" s="6"/>
      <c r="B4952" s="6"/>
      <c r="C4952" s="4"/>
      <c r="D4952" s="4"/>
      <c r="E4952" s="4"/>
      <c r="F4952" s="4"/>
      <c r="G4952" s="4"/>
      <c r="H4952" s="4"/>
      <c r="I4952" s="4"/>
      <c r="J4952" s="18"/>
      <c r="K4952" s="4"/>
      <c r="L4952" s="19"/>
      <c r="M4952" s="20"/>
    </row>
    <row r="4953">
      <c r="A4953" s="6"/>
      <c r="B4953" s="6"/>
      <c r="C4953" s="4"/>
      <c r="D4953" s="4"/>
      <c r="E4953" s="4"/>
      <c r="F4953" s="4"/>
      <c r="G4953" s="4"/>
      <c r="H4953" s="4"/>
      <c r="I4953" s="4"/>
      <c r="J4953" s="18"/>
      <c r="K4953" s="4"/>
      <c r="L4953" s="19"/>
      <c r="M4953" s="20"/>
    </row>
    <row r="4954">
      <c r="A4954" s="6"/>
      <c r="B4954" s="6"/>
      <c r="C4954" s="4"/>
      <c r="D4954" s="4"/>
      <c r="E4954" s="4"/>
      <c r="F4954" s="4"/>
      <c r="G4954" s="4"/>
      <c r="H4954" s="4"/>
      <c r="I4954" s="4"/>
      <c r="J4954" s="18"/>
      <c r="K4954" s="4"/>
      <c r="L4954" s="19"/>
      <c r="M4954" s="20"/>
    </row>
    <row r="4955">
      <c r="A4955" s="6"/>
      <c r="B4955" s="6"/>
      <c r="C4955" s="4"/>
      <c r="D4955" s="4"/>
      <c r="E4955" s="4"/>
      <c r="F4955" s="4"/>
      <c r="G4955" s="4"/>
      <c r="H4955" s="4"/>
      <c r="I4955" s="4"/>
      <c r="J4955" s="18"/>
      <c r="K4955" s="4"/>
      <c r="L4955" s="19"/>
      <c r="M4955" s="20"/>
    </row>
    <row r="4956">
      <c r="A4956" s="6"/>
      <c r="B4956" s="6"/>
      <c r="C4956" s="4"/>
      <c r="D4956" s="4"/>
      <c r="E4956" s="4"/>
      <c r="F4956" s="4"/>
      <c r="G4956" s="4"/>
      <c r="H4956" s="4"/>
      <c r="I4956" s="4"/>
      <c r="J4956" s="18"/>
      <c r="K4956" s="4"/>
      <c r="L4956" s="19"/>
      <c r="M4956" s="20"/>
    </row>
    <row r="4957">
      <c r="A4957" s="6"/>
      <c r="B4957" s="6"/>
      <c r="C4957" s="4"/>
      <c r="D4957" s="4"/>
      <c r="E4957" s="4"/>
      <c r="F4957" s="4"/>
      <c r="G4957" s="4"/>
      <c r="H4957" s="4"/>
      <c r="I4957" s="4"/>
      <c r="J4957" s="18"/>
      <c r="K4957" s="4"/>
      <c r="L4957" s="19"/>
      <c r="M4957" s="20"/>
    </row>
    <row r="4958">
      <c r="A4958" s="6"/>
      <c r="B4958" s="6"/>
      <c r="C4958" s="4"/>
      <c r="D4958" s="4"/>
      <c r="E4958" s="4"/>
      <c r="F4958" s="4"/>
      <c r="G4958" s="4"/>
      <c r="H4958" s="4"/>
      <c r="I4958" s="4"/>
      <c r="J4958" s="18"/>
      <c r="K4958" s="4"/>
      <c r="L4958" s="19"/>
      <c r="M4958" s="20"/>
    </row>
    <row r="4959">
      <c r="A4959" s="6"/>
      <c r="B4959" s="6"/>
      <c r="C4959" s="4"/>
      <c r="D4959" s="4"/>
      <c r="E4959" s="4"/>
      <c r="F4959" s="4"/>
      <c r="G4959" s="4"/>
      <c r="H4959" s="4"/>
      <c r="I4959" s="4"/>
      <c r="J4959" s="18"/>
      <c r="K4959" s="4"/>
      <c r="L4959" s="19"/>
      <c r="M4959" s="20"/>
    </row>
    <row r="4960">
      <c r="A4960" s="6"/>
      <c r="B4960" s="6"/>
      <c r="C4960" s="4"/>
      <c r="D4960" s="4"/>
      <c r="E4960" s="4"/>
      <c r="F4960" s="4"/>
      <c r="G4960" s="4"/>
      <c r="H4960" s="4"/>
      <c r="I4960" s="4"/>
      <c r="J4960" s="18"/>
      <c r="K4960" s="4"/>
      <c r="L4960" s="19"/>
      <c r="M4960" s="20"/>
    </row>
    <row r="4961">
      <c r="A4961" s="6"/>
      <c r="B4961" s="6"/>
      <c r="C4961" s="4"/>
      <c r="D4961" s="4"/>
      <c r="E4961" s="4"/>
      <c r="F4961" s="4"/>
      <c r="G4961" s="4"/>
      <c r="H4961" s="4"/>
      <c r="I4961" s="4"/>
      <c r="J4961" s="18"/>
      <c r="K4961" s="4"/>
      <c r="L4961" s="19"/>
      <c r="M4961" s="20"/>
    </row>
    <row r="4962">
      <c r="A4962" s="6"/>
      <c r="B4962" s="6"/>
      <c r="C4962" s="4"/>
      <c r="D4962" s="4"/>
      <c r="E4962" s="4"/>
      <c r="F4962" s="4"/>
      <c r="G4962" s="4"/>
      <c r="H4962" s="4"/>
      <c r="I4962" s="4"/>
      <c r="J4962" s="18"/>
      <c r="K4962" s="4"/>
      <c r="L4962" s="19"/>
      <c r="M4962" s="20"/>
    </row>
    <row r="4963">
      <c r="A4963" s="6"/>
      <c r="B4963" s="6"/>
      <c r="C4963" s="4"/>
      <c r="D4963" s="4"/>
      <c r="E4963" s="4"/>
      <c r="F4963" s="4"/>
      <c r="G4963" s="4"/>
      <c r="H4963" s="4"/>
      <c r="I4963" s="4"/>
      <c r="J4963" s="18"/>
      <c r="K4963" s="4"/>
      <c r="L4963" s="19"/>
      <c r="M4963" s="20"/>
    </row>
    <row r="4964">
      <c r="A4964" s="6"/>
      <c r="B4964" s="6"/>
      <c r="C4964" s="4"/>
      <c r="D4964" s="4"/>
      <c r="E4964" s="4"/>
      <c r="F4964" s="4"/>
      <c r="G4964" s="4"/>
      <c r="H4964" s="4"/>
      <c r="I4964" s="4"/>
      <c r="J4964" s="18"/>
      <c r="K4964" s="4"/>
      <c r="L4964" s="19"/>
      <c r="M4964" s="20"/>
    </row>
    <row r="4965">
      <c r="A4965" s="6"/>
      <c r="B4965" s="6"/>
      <c r="C4965" s="4"/>
      <c r="D4965" s="4"/>
      <c r="E4965" s="4"/>
      <c r="F4965" s="4"/>
      <c r="G4965" s="4"/>
      <c r="H4965" s="4"/>
      <c r="I4965" s="4"/>
      <c r="J4965" s="18"/>
      <c r="K4965" s="4"/>
      <c r="L4965" s="19"/>
      <c r="M4965" s="20"/>
    </row>
    <row r="4966">
      <c r="A4966" s="6"/>
      <c r="B4966" s="6"/>
      <c r="C4966" s="4"/>
      <c r="D4966" s="4"/>
      <c r="E4966" s="4"/>
      <c r="F4966" s="4"/>
      <c r="G4966" s="4"/>
      <c r="H4966" s="4"/>
      <c r="I4966" s="4"/>
      <c r="J4966" s="18"/>
      <c r="K4966" s="4"/>
      <c r="L4966" s="19"/>
      <c r="M4966" s="20"/>
    </row>
    <row r="4967">
      <c r="A4967" s="6"/>
      <c r="B4967" s="6"/>
      <c r="C4967" s="4"/>
      <c r="D4967" s="4"/>
      <c r="E4967" s="4"/>
      <c r="F4967" s="4"/>
      <c r="G4967" s="4"/>
      <c r="H4967" s="4"/>
      <c r="I4967" s="4"/>
      <c r="J4967" s="18"/>
      <c r="K4967" s="4"/>
      <c r="L4967" s="19"/>
      <c r="M4967" s="20"/>
    </row>
    <row r="4968">
      <c r="A4968" s="6"/>
      <c r="B4968" s="6"/>
      <c r="C4968" s="4"/>
      <c r="D4968" s="4"/>
      <c r="E4968" s="4"/>
      <c r="F4968" s="4"/>
      <c r="G4968" s="4"/>
      <c r="H4968" s="4"/>
      <c r="I4968" s="4"/>
      <c r="J4968" s="18"/>
      <c r="K4968" s="4"/>
      <c r="L4968" s="19"/>
      <c r="M4968" s="20"/>
    </row>
    <row r="4969">
      <c r="A4969" s="6"/>
      <c r="B4969" s="6"/>
      <c r="C4969" s="4"/>
      <c r="D4969" s="4"/>
      <c r="E4969" s="4"/>
      <c r="F4969" s="4"/>
      <c r="G4969" s="4"/>
      <c r="H4969" s="4"/>
      <c r="I4969" s="4"/>
      <c r="J4969" s="18"/>
      <c r="K4969" s="4"/>
      <c r="L4969" s="19"/>
      <c r="M4969" s="20"/>
    </row>
    <row r="4970">
      <c r="A4970" s="6"/>
      <c r="B4970" s="6"/>
      <c r="C4970" s="4"/>
      <c r="D4970" s="4"/>
      <c r="E4970" s="4"/>
      <c r="F4970" s="4"/>
      <c r="G4970" s="4"/>
      <c r="H4970" s="4"/>
      <c r="I4970" s="4"/>
      <c r="J4970" s="18"/>
      <c r="K4970" s="4"/>
      <c r="L4970" s="19"/>
      <c r="M4970" s="20"/>
    </row>
    <row r="4971">
      <c r="A4971" s="6"/>
      <c r="B4971" s="6"/>
      <c r="C4971" s="4"/>
      <c r="D4971" s="4"/>
      <c r="E4971" s="4"/>
      <c r="F4971" s="4"/>
      <c r="G4971" s="4"/>
      <c r="H4971" s="4"/>
      <c r="I4971" s="4"/>
      <c r="J4971" s="18"/>
      <c r="K4971" s="4"/>
      <c r="L4971" s="19"/>
      <c r="M4971" s="20"/>
    </row>
    <row r="4972">
      <c r="A4972" s="6"/>
      <c r="B4972" s="6"/>
      <c r="C4972" s="4"/>
      <c r="D4972" s="4"/>
      <c r="E4972" s="4"/>
      <c r="F4972" s="4"/>
      <c r="G4972" s="4"/>
      <c r="H4972" s="4"/>
      <c r="I4972" s="4"/>
      <c r="J4972" s="18"/>
      <c r="K4972" s="4"/>
      <c r="L4972" s="19"/>
      <c r="M4972" s="20"/>
    </row>
    <row r="4973">
      <c r="A4973" s="6"/>
      <c r="B4973" s="6"/>
      <c r="C4973" s="4"/>
      <c r="D4973" s="4"/>
      <c r="E4973" s="4"/>
      <c r="F4973" s="4"/>
      <c r="G4973" s="4"/>
      <c r="H4973" s="4"/>
      <c r="I4973" s="4"/>
      <c r="J4973" s="18"/>
      <c r="K4973" s="4"/>
      <c r="L4973" s="19"/>
      <c r="M4973" s="20"/>
    </row>
    <row r="4974">
      <c r="A4974" s="6"/>
      <c r="B4974" s="6"/>
      <c r="C4974" s="4"/>
      <c r="D4974" s="4"/>
      <c r="E4974" s="4"/>
      <c r="F4974" s="4"/>
      <c r="G4974" s="4"/>
      <c r="H4974" s="4"/>
      <c r="I4974" s="4"/>
      <c r="J4974" s="18"/>
      <c r="K4974" s="4"/>
      <c r="L4974" s="19"/>
      <c r="M4974" s="20"/>
    </row>
    <row r="4975">
      <c r="A4975" s="6"/>
      <c r="B4975" s="6"/>
      <c r="C4975" s="4"/>
      <c r="D4975" s="4"/>
      <c r="E4975" s="4"/>
      <c r="F4975" s="4"/>
      <c r="G4975" s="4"/>
      <c r="H4975" s="4"/>
      <c r="I4975" s="4"/>
      <c r="J4975" s="18"/>
      <c r="K4975" s="4"/>
      <c r="L4975" s="19"/>
      <c r="M4975" s="20"/>
    </row>
    <row r="4976">
      <c r="A4976" s="6"/>
      <c r="B4976" s="6"/>
      <c r="C4976" s="4"/>
      <c r="D4976" s="4"/>
      <c r="E4976" s="4"/>
      <c r="F4976" s="4"/>
      <c r="G4976" s="4"/>
      <c r="H4976" s="4"/>
      <c r="I4976" s="4"/>
      <c r="J4976" s="18"/>
      <c r="K4976" s="4"/>
      <c r="L4976" s="19"/>
      <c r="M4976" s="20"/>
    </row>
    <row r="4977">
      <c r="A4977" s="6"/>
      <c r="B4977" s="6"/>
      <c r="C4977" s="4"/>
      <c r="D4977" s="4"/>
      <c r="E4977" s="4"/>
      <c r="F4977" s="4"/>
      <c r="G4977" s="4"/>
      <c r="H4977" s="4"/>
      <c r="I4977" s="4"/>
      <c r="J4977" s="18"/>
      <c r="K4977" s="4"/>
      <c r="L4977" s="19"/>
      <c r="M4977" s="20"/>
    </row>
    <row r="4978">
      <c r="A4978" s="6"/>
      <c r="B4978" s="6"/>
      <c r="C4978" s="4"/>
      <c r="D4978" s="4"/>
      <c r="E4978" s="4"/>
      <c r="F4978" s="4"/>
      <c r="G4978" s="4"/>
      <c r="H4978" s="4"/>
      <c r="I4978" s="4"/>
      <c r="J4978" s="18"/>
      <c r="K4978" s="4"/>
      <c r="L4978" s="19"/>
      <c r="M4978" s="20"/>
    </row>
    <row r="4979">
      <c r="A4979" s="6"/>
      <c r="B4979" s="6"/>
      <c r="C4979" s="4"/>
      <c r="D4979" s="4"/>
      <c r="E4979" s="4"/>
      <c r="F4979" s="4"/>
      <c r="G4979" s="4"/>
      <c r="H4979" s="4"/>
      <c r="I4979" s="4"/>
      <c r="J4979" s="18"/>
      <c r="K4979" s="4"/>
      <c r="L4979" s="19"/>
      <c r="M4979" s="20"/>
    </row>
    <row r="4980">
      <c r="A4980" s="6"/>
      <c r="B4980" s="6"/>
      <c r="C4980" s="4"/>
      <c r="D4980" s="4"/>
      <c r="E4980" s="4"/>
      <c r="F4980" s="4"/>
      <c r="G4980" s="4"/>
      <c r="H4980" s="4"/>
      <c r="I4980" s="4"/>
      <c r="J4980" s="18"/>
      <c r="K4980" s="4"/>
      <c r="L4980" s="19"/>
      <c r="M4980" s="20"/>
    </row>
    <row r="4981">
      <c r="A4981" s="6"/>
      <c r="B4981" s="6"/>
      <c r="C4981" s="4"/>
      <c r="D4981" s="4"/>
      <c r="E4981" s="4"/>
      <c r="F4981" s="4"/>
      <c r="G4981" s="4"/>
      <c r="H4981" s="4"/>
      <c r="I4981" s="4"/>
      <c r="J4981" s="18"/>
      <c r="K4981" s="4"/>
      <c r="L4981" s="19"/>
      <c r="M4981" s="20"/>
    </row>
    <row r="4982">
      <c r="A4982" s="6"/>
      <c r="B4982" s="6"/>
      <c r="C4982" s="4"/>
      <c r="D4982" s="4"/>
      <c r="E4982" s="4"/>
      <c r="F4982" s="4"/>
      <c r="G4982" s="4"/>
      <c r="H4982" s="4"/>
      <c r="I4982" s="4"/>
      <c r="J4982" s="18"/>
      <c r="K4982" s="4"/>
      <c r="L4982" s="19"/>
      <c r="M4982" s="20"/>
    </row>
    <row r="4983">
      <c r="A4983" s="6"/>
      <c r="B4983" s="6"/>
      <c r="C4983" s="4"/>
      <c r="D4983" s="4"/>
      <c r="E4983" s="4"/>
      <c r="F4983" s="4"/>
      <c r="G4983" s="4"/>
      <c r="H4983" s="4"/>
      <c r="I4983" s="4"/>
      <c r="J4983" s="18"/>
      <c r="K4983" s="4"/>
      <c r="L4983" s="19"/>
      <c r="M4983" s="20"/>
    </row>
    <row r="4984">
      <c r="A4984" s="6"/>
      <c r="B4984" s="6"/>
      <c r="C4984" s="4"/>
      <c r="D4984" s="4"/>
      <c r="E4984" s="4"/>
      <c r="F4984" s="4"/>
      <c r="G4984" s="4"/>
      <c r="H4984" s="4"/>
      <c r="I4984" s="4"/>
      <c r="J4984" s="18"/>
      <c r="K4984" s="4"/>
      <c r="L4984" s="19"/>
      <c r="M4984" s="20"/>
    </row>
    <row r="4985">
      <c r="A4985" s="6"/>
      <c r="B4985" s="6"/>
      <c r="C4985" s="4"/>
      <c r="D4985" s="4"/>
      <c r="E4985" s="4"/>
      <c r="F4985" s="4"/>
      <c r="G4985" s="4"/>
      <c r="H4985" s="4"/>
      <c r="I4985" s="4"/>
      <c r="J4985" s="18"/>
      <c r="K4985" s="4"/>
      <c r="L4985" s="19"/>
      <c r="M4985" s="20"/>
    </row>
    <row r="4986">
      <c r="A4986" s="6"/>
      <c r="B4986" s="6"/>
      <c r="C4986" s="4"/>
      <c r="D4986" s="4"/>
      <c r="E4986" s="4"/>
      <c r="F4986" s="4"/>
      <c r="G4986" s="4"/>
      <c r="H4986" s="4"/>
      <c r="I4986" s="4"/>
      <c r="J4986" s="18"/>
      <c r="K4986" s="4"/>
      <c r="L4986" s="19"/>
      <c r="M4986" s="20"/>
    </row>
    <row r="4987">
      <c r="A4987" s="6"/>
      <c r="B4987" s="6"/>
      <c r="C4987" s="4"/>
      <c r="D4987" s="4"/>
      <c r="E4987" s="4"/>
      <c r="F4987" s="4"/>
      <c r="G4987" s="4"/>
      <c r="H4987" s="4"/>
      <c r="I4987" s="4"/>
      <c r="J4987" s="18"/>
      <c r="K4987" s="4"/>
      <c r="L4987" s="19"/>
      <c r="M4987" s="20"/>
    </row>
    <row r="4988">
      <c r="A4988" s="6"/>
      <c r="B4988" s="6"/>
      <c r="C4988" s="4"/>
      <c r="D4988" s="4"/>
      <c r="E4988" s="4"/>
      <c r="F4988" s="4"/>
      <c r="G4988" s="4"/>
      <c r="H4988" s="4"/>
      <c r="I4988" s="4"/>
      <c r="J4988" s="18"/>
      <c r="K4988" s="4"/>
      <c r="L4988" s="19"/>
      <c r="M4988" s="20"/>
    </row>
    <row r="4989">
      <c r="A4989" s="6"/>
      <c r="B4989" s="6"/>
      <c r="C4989" s="4"/>
      <c r="D4989" s="4"/>
      <c r="E4989" s="4"/>
      <c r="F4989" s="4"/>
      <c r="G4989" s="4"/>
      <c r="H4989" s="4"/>
      <c r="I4989" s="4"/>
      <c r="J4989" s="18"/>
      <c r="K4989" s="4"/>
      <c r="L4989" s="19"/>
      <c r="M4989" s="20"/>
    </row>
    <row r="4990">
      <c r="A4990" s="6"/>
      <c r="B4990" s="6"/>
      <c r="C4990" s="4"/>
      <c r="D4990" s="4"/>
      <c r="E4990" s="4"/>
      <c r="F4990" s="4"/>
      <c r="G4990" s="4"/>
      <c r="H4990" s="4"/>
      <c r="I4990" s="4"/>
      <c r="J4990" s="18"/>
      <c r="K4990" s="4"/>
      <c r="L4990" s="19"/>
      <c r="M4990" s="20"/>
    </row>
    <row r="4991">
      <c r="A4991" s="6"/>
      <c r="B4991" s="6"/>
      <c r="C4991" s="4"/>
      <c r="D4991" s="4"/>
      <c r="E4991" s="4"/>
      <c r="F4991" s="4"/>
      <c r="G4991" s="4"/>
      <c r="H4991" s="4"/>
      <c r="I4991" s="4"/>
      <c r="J4991" s="18"/>
      <c r="K4991" s="4"/>
      <c r="L4991" s="19"/>
      <c r="M4991" s="20"/>
    </row>
    <row r="4992">
      <c r="A4992" s="6"/>
      <c r="B4992" s="6"/>
      <c r="C4992" s="4"/>
      <c r="D4992" s="4"/>
      <c r="E4992" s="4"/>
      <c r="F4992" s="4"/>
      <c r="G4992" s="4"/>
      <c r="H4992" s="4"/>
      <c r="I4992" s="4"/>
      <c r="J4992" s="18"/>
      <c r="K4992" s="4"/>
      <c r="L4992" s="19"/>
      <c r="M4992" s="20"/>
    </row>
    <row r="4993">
      <c r="A4993" s="6"/>
      <c r="B4993" s="6"/>
      <c r="C4993" s="4"/>
      <c r="D4993" s="4"/>
      <c r="E4993" s="4"/>
      <c r="F4993" s="4"/>
      <c r="G4993" s="4"/>
      <c r="H4993" s="4"/>
      <c r="I4993" s="4"/>
      <c r="J4993" s="18"/>
      <c r="K4993" s="4"/>
      <c r="L4993" s="19"/>
      <c r="M4993" s="20"/>
    </row>
    <row r="4994">
      <c r="A4994" s="6"/>
      <c r="B4994" s="6"/>
      <c r="C4994" s="4"/>
      <c r="D4994" s="4"/>
      <c r="E4994" s="4"/>
      <c r="F4994" s="4"/>
      <c r="G4994" s="4"/>
      <c r="H4994" s="4"/>
      <c r="I4994" s="4"/>
      <c r="J4994" s="18"/>
      <c r="K4994" s="4"/>
      <c r="L4994" s="19"/>
      <c r="M4994" s="20"/>
    </row>
    <row r="4995">
      <c r="A4995" s="6"/>
      <c r="B4995" s="6"/>
      <c r="C4995" s="4"/>
      <c r="D4995" s="4"/>
      <c r="E4995" s="4"/>
      <c r="F4995" s="4"/>
      <c r="G4995" s="4"/>
      <c r="H4995" s="4"/>
      <c r="I4995" s="4"/>
      <c r="J4995" s="18"/>
      <c r="K4995" s="4"/>
      <c r="L4995" s="19"/>
      <c r="M4995" s="20"/>
    </row>
    <row r="4996">
      <c r="A4996" s="6"/>
      <c r="B4996" s="6"/>
      <c r="C4996" s="4"/>
      <c r="D4996" s="4"/>
      <c r="E4996" s="4"/>
      <c r="F4996" s="4"/>
      <c r="G4996" s="4"/>
      <c r="H4996" s="4"/>
      <c r="I4996" s="4"/>
      <c r="J4996" s="18"/>
      <c r="K4996" s="4"/>
      <c r="L4996" s="19"/>
      <c r="M4996" s="20"/>
    </row>
    <row r="4997">
      <c r="A4997" s="6"/>
      <c r="B4997" s="6"/>
      <c r="C4997" s="4"/>
      <c r="D4997" s="4"/>
      <c r="E4997" s="4"/>
      <c r="F4997" s="4"/>
      <c r="G4997" s="4"/>
      <c r="H4997" s="4"/>
      <c r="I4997" s="4"/>
      <c r="J4997" s="18"/>
      <c r="K4997" s="4"/>
      <c r="L4997" s="19"/>
      <c r="M4997" s="20"/>
    </row>
    <row r="4998">
      <c r="A4998" s="6"/>
      <c r="B4998" s="6"/>
      <c r="C4998" s="4"/>
      <c r="D4998" s="4"/>
      <c r="E4998" s="4"/>
      <c r="F4998" s="4"/>
      <c r="G4998" s="4"/>
      <c r="H4998" s="4"/>
      <c r="I4998" s="4"/>
      <c r="J4998" s="18"/>
      <c r="K4998" s="4"/>
      <c r="L4998" s="19"/>
      <c r="M4998" s="20"/>
    </row>
    <row r="4999">
      <c r="A4999" s="6"/>
      <c r="B4999" s="6"/>
      <c r="C4999" s="4"/>
      <c r="D4999" s="4"/>
      <c r="E4999" s="4"/>
      <c r="F4999" s="4"/>
      <c r="G4999" s="4"/>
      <c r="H4999" s="4"/>
      <c r="I4999" s="4"/>
      <c r="J4999" s="18"/>
      <c r="K4999" s="4"/>
      <c r="L4999" s="19"/>
      <c r="M4999" s="20"/>
    </row>
    <row r="5000">
      <c r="A5000" s="6"/>
      <c r="B5000" s="6"/>
      <c r="C5000" s="4"/>
      <c r="D5000" s="4"/>
      <c r="E5000" s="4"/>
      <c r="F5000" s="4"/>
      <c r="G5000" s="4"/>
      <c r="H5000" s="4"/>
      <c r="I5000" s="4"/>
      <c r="J5000" s="18"/>
      <c r="K5000" s="4"/>
      <c r="L5000" s="19"/>
      <c r="M5000" s="20"/>
    </row>
    <row r="5001">
      <c r="A5001" s="6"/>
      <c r="B5001" s="6"/>
      <c r="C5001" s="6"/>
      <c r="D5001" s="6"/>
      <c r="E5001" s="6"/>
      <c r="F5001" s="4"/>
      <c r="G5001" s="4"/>
      <c r="H5001" s="4"/>
      <c r="I5001" s="4"/>
      <c r="J5001" s="18"/>
      <c r="K5001" s="4"/>
      <c r="L5001" s="19"/>
      <c r="M5001" s="20"/>
    </row>
    <row r="5002">
      <c r="A5002" s="6"/>
      <c r="B5002" s="6"/>
      <c r="C5002" s="6"/>
      <c r="D5002" s="6"/>
      <c r="E5002" s="6"/>
      <c r="F5002" s="4"/>
      <c r="G5002" s="4"/>
      <c r="H5002" s="4"/>
      <c r="I5002" s="4"/>
      <c r="J5002" s="18"/>
      <c r="K5002" s="4"/>
      <c r="L5002" s="19"/>
      <c r="M5002" s="20"/>
    </row>
    <row r="5003">
      <c r="A5003" s="6"/>
      <c r="B5003" s="6"/>
      <c r="C5003" s="6"/>
      <c r="D5003" s="6"/>
      <c r="E5003" s="6"/>
      <c r="F5003" s="4"/>
      <c r="G5003" s="4"/>
      <c r="H5003" s="4"/>
      <c r="I5003" s="4"/>
      <c r="J5003" s="18"/>
      <c r="K5003" s="4"/>
      <c r="L5003" s="19"/>
      <c r="M5003" s="20"/>
    </row>
    <row r="5004">
      <c r="A5004" s="6"/>
      <c r="B5004" s="6"/>
      <c r="C5004" s="6"/>
      <c r="D5004" s="6"/>
      <c r="E5004" s="6"/>
      <c r="F5004" s="4"/>
      <c r="G5004" s="4"/>
      <c r="H5004" s="4"/>
      <c r="I5004" s="4"/>
      <c r="J5004" s="18"/>
      <c r="K5004" s="4"/>
      <c r="L5004" s="19"/>
      <c r="M5004" s="20"/>
    </row>
    <row r="5005">
      <c r="A5005" s="6"/>
      <c r="B5005" s="6"/>
      <c r="C5005" s="6"/>
      <c r="D5005" s="6"/>
      <c r="E5005" s="6"/>
      <c r="F5005" s="4"/>
      <c r="G5005" s="4"/>
      <c r="H5005" s="4"/>
      <c r="I5005" s="4"/>
      <c r="J5005" s="18"/>
      <c r="K5005" s="4"/>
      <c r="L5005" s="19"/>
      <c r="M5005" s="20"/>
    </row>
    <row r="5006">
      <c r="A5006" s="6"/>
      <c r="B5006" s="6"/>
      <c r="C5006" s="6"/>
      <c r="D5006" s="6"/>
      <c r="E5006" s="6"/>
      <c r="F5006" s="4"/>
      <c r="G5006" s="4"/>
      <c r="H5006" s="4"/>
      <c r="I5006" s="4"/>
      <c r="J5006" s="18"/>
      <c r="K5006" s="4"/>
      <c r="L5006" s="19"/>
      <c r="M5006" s="20"/>
    </row>
    <row r="5007">
      <c r="A5007" s="6"/>
      <c r="B5007" s="6"/>
      <c r="C5007" s="6"/>
      <c r="D5007" s="6"/>
      <c r="E5007" s="6"/>
      <c r="F5007" s="4"/>
      <c r="G5007" s="4"/>
      <c r="H5007" s="4"/>
      <c r="I5007" s="4"/>
      <c r="J5007" s="18"/>
      <c r="K5007" s="4"/>
      <c r="L5007" s="19"/>
      <c r="M5007" s="20"/>
    </row>
    <row r="5008">
      <c r="A5008" s="6"/>
      <c r="B5008" s="6"/>
      <c r="C5008" s="6"/>
      <c r="D5008" s="6"/>
      <c r="E5008" s="6"/>
      <c r="F5008" s="4"/>
      <c r="G5008" s="4"/>
      <c r="H5008" s="4"/>
      <c r="I5008" s="4"/>
      <c r="J5008" s="18"/>
      <c r="K5008" s="4"/>
      <c r="L5008" s="19"/>
      <c r="M5008" s="20"/>
    </row>
    <row r="5009">
      <c r="A5009" s="6"/>
      <c r="B5009" s="6"/>
      <c r="C5009" s="6"/>
      <c r="D5009" s="6"/>
      <c r="E5009" s="6"/>
      <c r="F5009" s="4"/>
      <c r="G5009" s="4"/>
      <c r="H5009" s="4"/>
      <c r="I5009" s="4"/>
      <c r="J5009" s="18"/>
      <c r="K5009" s="4"/>
      <c r="L5009" s="19"/>
      <c r="M5009" s="20"/>
    </row>
    <row r="5010">
      <c r="A5010" s="6"/>
      <c r="B5010" s="6"/>
      <c r="C5010" s="6"/>
      <c r="D5010" s="6"/>
      <c r="E5010" s="6"/>
      <c r="F5010" s="4"/>
      <c r="G5010" s="4"/>
      <c r="H5010" s="4"/>
      <c r="I5010" s="4"/>
      <c r="J5010" s="18"/>
      <c r="K5010" s="4"/>
      <c r="L5010" s="19"/>
      <c r="M5010" s="20"/>
    </row>
    <row r="5011">
      <c r="A5011" s="6"/>
      <c r="B5011" s="6"/>
      <c r="C5011" s="6"/>
      <c r="D5011" s="6"/>
      <c r="E5011" s="6"/>
      <c r="F5011" s="4"/>
      <c r="G5011" s="4"/>
      <c r="H5011" s="4"/>
      <c r="I5011" s="4"/>
      <c r="J5011" s="18"/>
      <c r="K5011" s="4"/>
      <c r="L5011" s="19"/>
      <c r="M5011" s="20"/>
    </row>
    <row r="5012">
      <c r="A5012" s="6"/>
      <c r="B5012" s="6"/>
      <c r="C5012" s="6"/>
      <c r="D5012" s="6"/>
      <c r="E5012" s="6"/>
      <c r="F5012" s="4"/>
      <c r="G5012" s="4"/>
      <c r="H5012" s="4"/>
      <c r="I5012" s="4"/>
      <c r="J5012" s="18"/>
      <c r="K5012" s="4"/>
      <c r="L5012" s="19"/>
      <c r="M5012" s="20"/>
    </row>
    <row r="5013">
      <c r="A5013" s="6"/>
      <c r="B5013" s="6"/>
      <c r="C5013" s="6"/>
      <c r="D5013" s="6"/>
      <c r="E5013" s="6"/>
      <c r="F5013" s="4"/>
      <c r="G5013" s="4"/>
      <c r="H5013" s="4"/>
      <c r="I5013" s="4"/>
      <c r="J5013" s="18"/>
      <c r="K5013" s="4"/>
      <c r="L5013" s="19"/>
      <c r="M5013" s="20"/>
    </row>
    <row r="5014">
      <c r="A5014" s="6"/>
      <c r="B5014" s="6"/>
      <c r="C5014" s="6"/>
      <c r="D5014" s="6"/>
      <c r="E5014" s="6"/>
      <c r="F5014" s="4"/>
      <c r="G5014" s="4"/>
      <c r="H5014" s="4"/>
      <c r="I5014" s="4"/>
      <c r="J5014" s="18"/>
      <c r="K5014" s="4"/>
      <c r="L5014" s="19"/>
      <c r="M5014" s="20"/>
    </row>
    <row r="5015">
      <c r="A5015" s="6"/>
      <c r="B5015" s="6"/>
      <c r="C5015" s="6"/>
      <c r="D5015" s="6"/>
      <c r="E5015" s="6"/>
      <c r="F5015" s="4"/>
      <c r="G5015" s="4"/>
      <c r="H5015" s="4"/>
      <c r="I5015" s="4"/>
      <c r="J5015" s="18"/>
      <c r="K5015" s="4"/>
      <c r="L5015" s="19"/>
      <c r="M5015" s="20"/>
    </row>
    <row r="5016">
      <c r="A5016" s="6"/>
      <c r="B5016" s="6"/>
      <c r="C5016" s="6"/>
      <c r="D5016" s="6"/>
      <c r="E5016" s="6"/>
      <c r="F5016" s="4"/>
      <c r="G5016" s="4"/>
      <c r="H5016" s="4"/>
      <c r="I5016" s="4"/>
      <c r="J5016" s="18"/>
      <c r="K5016" s="4"/>
      <c r="L5016" s="19"/>
      <c r="M5016" s="20"/>
    </row>
    <row r="5017">
      <c r="A5017" s="6"/>
      <c r="B5017" s="6"/>
      <c r="C5017" s="6"/>
      <c r="D5017" s="6"/>
      <c r="E5017" s="6"/>
      <c r="F5017" s="4"/>
      <c r="G5017" s="4"/>
      <c r="H5017" s="4"/>
      <c r="I5017" s="4"/>
      <c r="J5017" s="18"/>
      <c r="K5017" s="4"/>
      <c r="L5017" s="19"/>
      <c r="M5017" s="20"/>
    </row>
    <row r="5018">
      <c r="A5018" s="6"/>
      <c r="B5018" s="6"/>
      <c r="C5018" s="6"/>
      <c r="D5018" s="6"/>
      <c r="E5018" s="6"/>
      <c r="F5018" s="4"/>
      <c r="G5018" s="4"/>
      <c r="H5018" s="4"/>
      <c r="I5018" s="4"/>
      <c r="J5018" s="18"/>
      <c r="K5018" s="4"/>
      <c r="L5018" s="19"/>
      <c r="M5018" s="20"/>
    </row>
    <row r="5019">
      <c r="A5019" s="6"/>
      <c r="B5019" s="6"/>
      <c r="C5019" s="6"/>
      <c r="D5019" s="6"/>
      <c r="E5019" s="6"/>
      <c r="F5019" s="4"/>
      <c r="G5019" s="4"/>
      <c r="H5019" s="4"/>
      <c r="I5019" s="4"/>
      <c r="J5019" s="18"/>
      <c r="K5019" s="4"/>
      <c r="L5019" s="19"/>
      <c r="M5019" s="20"/>
    </row>
    <row r="5020">
      <c r="A5020" s="6"/>
      <c r="B5020" s="6"/>
      <c r="C5020" s="6"/>
      <c r="D5020" s="6"/>
      <c r="E5020" s="6"/>
      <c r="F5020" s="4"/>
      <c r="G5020" s="4"/>
      <c r="H5020" s="4"/>
      <c r="I5020" s="4"/>
      <c r="J5020" s="18"/>
      <c r="K5020" s="4"/>
      <c r="L5020" s="19"/>
      <c r="M5020" s="20"/>
    </row>
    <row r="5021">
      <c r="A5021" s="6"/>
      <c r="B5021" s="6"/>
      <c r="C5021" s="6"/>
      <c r="D5021" s="6"/>
      <c r="E5021" s="6"/>
      <c r="F5021" s="4"/>
      <c r="G5021" s="4"/>
      <c r="H5021" s="4"/>
      <c r="I5021" s="4"/>
      <c r="J5021" s="18"/>
      <c r="K5021" s="4"/>
      <c r="L5021" s="19"/>
      <c r="M5021" s="20"/>
    </row>
    <row r="5022">
      <c r="A5022" s="6"/>
      <c r="B5022" s="6"/>
      <c r="C5022" s="6"/>
      <c r="D5022" s="6"/>
      <c r="E5022" s="6"/>
      <c r="F5022" s="4"/>
      <c r="G5022" s="4"/>
      <c r="H5022" s="4"/>
      <c r="I5022" s="4"/>
      <c r="J5022" s="18"/>
      <c r="K5022" s="4"/>
      <c r="L5022" s="19"/>
      <c r="M5022" s="20"/>
    </row>
    <row r="5023">
      <c r="A5023" s="6"/>
      <c r="B5023" s="6"/>
      <c r="C5023" s="6"/>
      <c r="D5023" s="6"/>
      <c r="E5023" s="6"/>
      <c r="F5023" s="4"/>
      <c r="G5023" s="4"/>
      <c r="H5023" s="4"/>
      <c r="I5023" s="4"/>
      <c r="J5023" s="18"/>
      <c r="K5023" s="4"/>
      <c r="L5023" s="19"/>
      <c r="M5023" s="20"/>
    </row>
    <row r="5024">
      <c r="A5024" s="6"/>
      <c r="B5024" s="6"/>
      <c r="C5024" s="6"/>
      <c r="D5024" s="6"/>
      <c r="E5024" s="6"/>
      <c r="F5024" s="4"/>
      <c r="G5024" s="4"/>
      <c r="H5024" s="4"/>
      <c r="I5024" s="4"/>
      <c r="J5024" s="18"/>
      <c r="K5024" s="4"/>
      <c r="L5024" s="19"/>
      <c r="M5024" s="20"/>
    </row>
    <row r="5025">
      <c r="A5025" s="6"/>
      <c r="B5025" s="6"/>
      <c r="C5025" s="6"/>
      <c r="D5025" s="6"/>
      <c r="E5025" s="6"/>
      <c r="F5025" s="4"/>
      <c r="G5025" s="4"/>
      <c r="H5025" s="4"/>
      <c r="I5025" s="4"/>
      <c r="J5025" s="18"/>
      <c r="K5025" s="4"/>
      <c r="L5025" s="19"/>
      <c r="M5025" s="20"/>
    </row>
    <row r="5026">
      <c r="A5026" s="6"/>
      <c r="B5026" s="6"/>
      <c r="C5026" s="6"/>
      <c r="D5026" s="6"/>
      <c r="E5026" s="6"/>
      <c r="F5026" s="4"/>
      <c r="G5026" s="4"/>
      <c r="H5026" s="4"/>
      <c r="I5026" s="4"/>
      <c r="J5026" s="18"/>
      <c r="K5026" s="4"/>
      <c r="L5026" s="19"/>
      <c r="M5026" s="20"/>
    </row>
    <row r="5027">
      <c r="A5027" s="6"/>
      <c r="B5027" s="6"/>
      <c r="C5027" s="6"/>
      <c r="D5027" s="6"/>
      <c r="E5027" s="6"/>
      <c r="F5027" s="4"/>
      <c r="G5027" s="4"/>
      <c r="H5027" s="4"/>
      <c r="I5027" s="4"/>
      <c r="J5027" s="18"/>
      <c r="K5027" s="4"/>
      <c r="L5027" s="19"/>
      <c r="M5027" s="20"/>
    </row>
    <row r="5028">
      <c r="A5028" s="6"/>
      <c r="B5028" s="6"/>
      <c r="C5028" s="6"/>
      <c r="D5028" s="6"/>
      <c r="E5028" s="6"/>
      <c r="F5028" s="4"/>
      <c r="G5028" s="4"/>
      <c r="H5028" s="4"/>
      <c r="I5028" s="4"/>
      <c r="J5028" s="18"/>
      <c r="K5028" s="4"/>
      <c r="L5028" s="19"/>
      <c r="M5028" s="20"/>
    </row>
    <row r="5029">
      <c r="A5029" s="6"/>
      <c r="B5029" s="6"/>
      <c r="C5029" s="6"/>
      <c r="D5029" s="6"/>
      <c r="E5029" s="6"/>
      <c r="F5029" s="4"/>
      <c r="G5029" s="4"/>
      <c r="H5029" s="4"/>
      <c r="I5029" s="4"/>
      <c r="J5029" s="18"/>
      <c r="K5029" s="4"/>
      <c r="L5029" s="19"/>
      <c r="M5029" s="20"/>
    </row>
    <row r="5030">
      <c r="A5030" s="6"/>
      <c r="B5030" s="6"/>
      <c r="C5030" s="6"/>
      <c r="D5030" s="6"/>
      <c r="E5030" s="6"/>
      <c r="F5030" s="4"/>
      <c r="G5030" s="4"/>
      <c r="H5030" s="4"/>
      <c r="I5030" s="4"/>
      <c r="J5030" s="18"/>
      <c r="K5030" s="4"/>
      <c r="L5030" s="19"/>
      <c r="M5030" s="20"/>
    </row>
    <row r="5031">
      <c r="A5031" s="6"/>
      <c r="B5031" s="6"/>
      <c r="C5031" s="6"/>
      <c r="D5031" s="6"/>
      <c r="E5031" s="6"/>
      <c r="F5031" s="4"/>
      <c r="G5031" s="4"/>
      <c r="H5031" s="4"/>
      <c r="I5031" s="4"/>
      <c r="J5031" s="18"/>
      <c r="K5031" s="4"/>
      <c r="L5031" s="19"/>
      <c r="M5031" s="20"/>
    </row>
    <row r="5032">
      <c r="A5032" s="6"/>
      <c r="B5032" s="6"/>
      <c r="C5032" s="6"/>
      <c r="D5032" s="6"/>
      <c r="E5032" s="6"/>
      <c r="F5032" s="4"/>
      <c r="G5032" s="4"/>
      <c r="H5032" s="4"/>
      <c r="I5032" s="4"/>
      <c r="J5032" s="18"/>
      <c r="K5032" s="4"/>
      <c r="L5032" s="19"/>
      <c r="M5032" s="20"/>
    </row>
    <row r="5033">
      <c r="A5033" s="6"/>
      <c r="B5033" s="6"/>
      <c r="C5033" s="6"/>
      <c r="D5033" s="6"/>
      <c r="E5033" s="6"/>
      <c r="F5033" s="4"/>
      <c r="G5033" s="4"/>
      <c r="H5033" s="4"/>
      <c r="I5033" s="4"/>
      <c r="J5033" s="18"/>
      <c r="K5033" s="4"/>
      <c r="L5033" s="19"/>
      <c r="M5033" s="20"/>
    </row>
    <row r="5034">
      <c r="A5034" s="6"/>
      <c r="B5034" s="6"/>
      <c r="C5034" s="6"/>
      <c r="D5034" s="6"/>
      <c r="E5034" s="6"/>
      <c r="F5034" s="4"/>
      <c r="G5034" s="4"/>
      <c r="H5034" s="4"/>
      <c r="I5034" s="4"/>
      <c r="J5034" s="18"/>
      <c r="K5034" s="4"/>
      <c r="L5034" s="19"/>
      <c r="M5034" s="20"/>
    </row>
    <row r="5035">
      <c r="A5035" s="6"/>
      <c r="B5035" s="6"/>
      <c r="C5035" s="6"/>
      <c r="D5035" s="6"/>
      <c r="E5035" s="6"/>
      <c r="F5035" s="4"/>
      <c r="G5035" s="4"/>
      <c r="H5035" s="4"/>
      <c r="I5035" s="4"/>
      <c r="J5035" s="18"/>
      <c r="K5035" s="4"/>
      <c r="L5035" s="19"/>
      <c r="M5035" s="20"/>
    </row>
    <row r="5036">
      <c r="A5036" s="6"/>
      <c r="B5036" s="6"/>
      <c r="C5036" s="6"/>
      <c r="D5036" s="6"/>
      <c r="E5036" s="6"/>
      <c r="F5036" s="4"/>
      <c r="G5036" s="4"/>
      <c r="H5036" s="4"/>
      <c r="I5036" s="4"/>
      <c r="J5036" s="18"/>
      <c r="K5036" s="4"/>
      <c r="L5036" s="19"/>
      <c r="M5036" s="20"/>
    </row>
    <row r="5037">
      <c r="A5037" s="6"/>
      <c r="B5037" s="6"/>
      <c r="C5037" s="6"/>
      <c r="D5037" s="6"/>
      <c r="E5037" s="6"/>
      <c r="F5037" s="4"/>
      <c r="G5037" s="4"/>
      <c r="H5037" s="4"/>
      <c r="I5037" s="4"/>
      <c r="J5037" s="18"/>
      <c r="K5037" s="4"/>
      <c r="L5037" s="19"/>
      <c r="M5037" s="20"/>
    </row>
    <row r="5038">
      <c r="A5038" s="6"/>
      <c r="B5038" s="6"/>
      <c r="C5038" s="6"/>
      <c r="D5038" s="6"/>
      <c r="E5038" s="6"/>
      <c r="F5038" s="4"/>
      <c r="G5038" s="4"/>
      <c r="H5038" s="4"/>
      <c r="I5038" s="4"/>
      <c r="J5038" s="18"/>
      <c r="K5038" s="4"/>
      <c r="L5038" s="19"/>
      <c r="M5038" s="20"/>
    </row>
    <row r="5039">
      <c r="A5039" s="6"/>
      <c r="B5039" s="6"/>
      <c r="C5039" s="6"/>
      <c r="D5039" s="6"/>
      <c r="E5039" s="6"/>
      <c r="F5039" s="4"/>
      <c r="G5039" s="4"/>
      <c r="H5039" s="4"/>
      <c r="I5039" s="4"/>
      <c r="J5039" s="18"/>
      <c r="K5039" s="4"/>
      <c r="L5039" s="19"/>
      <c r="M5039" s="20"/>
    </row>
    <row r="5040">
      <c r="A5040" s="6"/>
      <c r="B5040" s="6"/>
      <c r="C5040" s="6"/>
      <c r="D5040" s="6"/>
      <c r="E5040" s="6"/>
      <c r="F5040" s="4"/>
      <c r="G5040" s="4"/>
      <c r="H5040" s="4"/>
      <c r="I5040" s="4"/>
      <c r="J5040" s="18"/>
      <c r="K5040" s="4"/>
      <c r="L5040" s="19"/>
      <c r="M5040" s="20"/>
    </row>
    <row r="5041">
      <c r="A5041" s="6"/>
      <c r="B5041" s="6"/>
      <c r="C5041" s="6"/>
      <c r="D5041" s="6"/>
      <c r="E5041" s="6"/>
      <c r="F5041" s="4"/>
      <c r="G5041" s="4"/>
      <c r="H5041" s="4"/>
      <c r="I5041" s="4"/>
      <c r="J5041" s="18"/>
      <c r="K5041" s="4"/>
      <c r="L5041" s="19"/>
      <c r="M5041" s="20"/>
    </row>
    <row r="5042">
      <c r="A5042" s="6"/>
      <c r="B5042" s="6"/>
      <c r="C5042" s="6"/>
      <c r="D5042" s="6"/>
      <c r="E5042" s="6"/>
      <c r="F5042" s="4"/>
      <c r="G5042" s="4"/>
      <c r="H5042" s="4"/>
      <c r="I5042" s="4"/>
      <c r="J5042" s="18"/>
      <c r="K5042" s="4"/>
      <c r="L5042" s="19"/>
      <c r="M5042" s="20"/>
    </row>
    <row r="5043">
      <c r="A5043" s="6"/>
      <c r="B5043" s="6"/>
      <c r="C5043" s="6"/>
      <c r="D5043" s="6"/>
      <c r="E5043" s="6"/>
      <c r="F5043" s="4"/>
      <c r="G5043" s="4"/>
      <c r="H5043" s="4"/>
      <c r="I5043" s="4"/>
      <c r="J5043" s="18"/>
      <c r="K5043" s="4"/>
      <c r="L5043" s="19"/>
      <c r="M5043" s="20"/>
    </row>
    <row r="5044">
      <c r="A5044" s="6"/>
      <c r="B5044" s="6"/>
      <c r="C5044" s="6"/>
      <c r="D5044" s="6"/>
      <c r="E5044" s="6"/>
      <c r="F5044" s="4"/>
      <c r="G5044" s="4"/>
      <c r="H5044" s="4"/>
      <c r="I5044" s="4"/>
      <c r="J5044" s="18"/>
      <c r="K5044" s="4"/>
      <c r="L5044" s="19"/>
      <c r="M5044" s="20"/>
    </row>
    <row r="5045">
      <c r="A5045" s="6"/>
      <c r="B5045" s="6"/>
      <c r="C5045" s="6"/>
      <c r="D5045" s="6"/>
      <c r="E5045" s="6"/>
      <c r="F5045" s="4"/>
      <c r="G5045" s="4"/>
      <c r="H5045" s="4"/>
      <c r="I5045" s="4"/>
      <c r="J5045" s="18"/>
      <c r="K5045" s="4"/>
      <c r="L5045" s="19"/>
      <c r="M5045" s="20"/>
    </row>
    <row r="5046">
      <c r="A5046" s="6"/>
      <c r="B5046" s="6"/>
      <c r="C5046" s="6"/>
      <c r="D5046" s="6"/>
      <c r="E5046" s="6"/>
      <c r="F5046" s="4"/>
      <c r="G5046" s="4"/>
      <c r="H5046" s="4"/>
      <c r="I5046" s="4"/>
      <c r="J5046" s="18"/>
      <c r="K5046" s="4"/>
      <c r="L5046" s="19"/>
      <c r="M5046" s="20"/>
    </row>
    <row r="5047">
      <c r="A5047" s="6"/>
      <c r="B5047" s="6"/>
      <c r="C5047" s="6"/>
      <c r="D5047" s="6"/>
      <c r="E5047" s="6"/>
      <c r="F5047" s="4"/>
      <c r="G5047" s="4"/>
      <c r="H5047" s="4"/>
      <c r="I5047" s="4"/>
      <c r="J5047" s="18"/>
      <c r="K5047" s="4"/>
      <c r="L5047" s="19"/>
      <c r="M5047" s="20"/>
    </row>
    <row r="5048">
      <c r="A5048" s="6"/>
      <c r="B5048" s="6"/>
      <c r="C5048" s="6"/>
      <c r="D5048" s="6"/>
      <c r="E5048" s="6"/>
      <c r="F5048" s="4"/>
      <c r="G5048" s="4"/>
      <c r="H5048" s="4"/>
      <c r="I5048" s="4"/>
      <c r="J5048" s="18"/>
      <c r="K5048" s="4"/>
      <c r="L5048" s="19"/>
      <c r="M5048" s="20"/>
    </row>
    <row r="5049">
      <c r="A5049" s="6"/>
      <c r="B5049" s="6"/>
      <c r="C5049" s="6"/>
      <c r="D5049" s="6"/>
      <c r="E5049" s="6"/>
      <c r="F5049" s="4"/>
      <c r="G5049" s="4"/>
      <c r="H5049" s="4"/>
      <c r="I5049" s="4"/>
      <c r="J5049" s="18"/>
      <c r="K5049" s="4"/>
      <c r="L5049" s="19"/>
      <c r="M5049" s="20"/>
    </row>
    <row r="5050">
      <c r="A5050" s="6"/>
      <c r="B5050" s="6"/>
      <c r="C5050" s="6"/>
      <c r="D5050" s="6"/>
      <c r="E5050" s="6"/>
      <c r="F5050" s="4"/>
      <c r="G5050" s="4"/>
      <c r="H5050" s="4"/>
      <c r="I5050" s="4"/>
      <c r="J5050" s="18"/>
      <c r="K5050" s="4"/>
      <c r="L5050" s="19"/>
      <c r="M5050" s="20"/>
    </row>
    <row r="5051">
      <c r="A5051" s="6"/>
      <c r="B5051" s="6"/>
      <c r="C5051" s="6"/>
      <c r="D5051" s="6"/>
      <c r="E5051" s="6"/>
      <c r="F5051" s="4"/>
      <c r="G5051" s="4"/>
      <c r="H5051" s="4"/>
      <c r="I5051" s="4"/>
      <c r="J5051" s="18"/>
      <c r="K5051" s="4"/>
      <c r="L5051" s="19"/>
      <c r="M5051" s="20"/>
    </row>
    <row r="5052">
      <c r="A5052" s="6"/>
      <c r="B5052" s="6"/>
      <c r="C5052" s="6"/>
      <c r="D5052" s="6"/>
      <c r="E5052" s="6"/>
      <c r="F5052" s="4"/>
      <c r="G5052" s="4"/>
      <c r="H5052" s="4"/>
      <c r="I5052" s="4"/>
      <c r="J5052" s="18"/>
      <c r="K5052" s="4"/>
      <c r="L5052" s="19"/>
      <c r="M5052" s="20"/>
    </row>
    <row r="5053">
      <c r="A5053" s="6"/>
      <c r="B5053" s="6"/>
      <c r="C5053" s="6"/>
      <c r="D5053" s="6"/>
      <c r="E5053" s="6"/>
      <c r="F5053" s="4"/>
      <c r="G5053" s="4"/>
      <c r="H5053" s="4"/>
      <c r="I5053" s="4"/>
      <c r="J5053" s="18"/>
      <c r="K5053" s="4"/>
      <c r="L5053" s="19"/>
      <c r="M5053" s="20"/>
    </row>
    <row r="5054">
      <c r="A5054" s="6"/>
      <c r="B5054" s="6"/>
      <c r="C5054" s="6"/>
      <c r="D5054" s="6"/>
      <c r="E5054" s="6"/>
      <c r="F5054" s="4"/>
      <c r="G5054" s="4"/>
      <c r="H5054" s="4"/>
      <c r="I5054" s="4"/>
      <c r="J5054" s="18"/>
      <c r="K5054" s="4"/>
      <c r="L5054" s="19"/>
      <c r="M5054" s="20"/>
    </row>
    <row r="5055">
      <c r="A5055" s="6"/>
      <c r="B5055" s="6"/>
      <c r="C5055" s="6"/>
      <c r="D5055" s="6"/>
      <c r="E5055" s="6"/>
      <c r="F5055" s="4"/>
      <c r="G5055" s="4"/>
      <c r="H5055" s="4"/>
      <c r="I5055" s="4"/>
      <c r="J5055" s="18"/>
      <c r="K5055" s="4"/>
      <c r="L5055" s="19"/>
      <c r="M5055" s="20"/>
    </row>
    <row r="5056">
      <c r="A5056" s="6"/>
      <c r="B5056" s="6"/>
      <c r="C5056" s="6"/>
      <c r="D5056" s="6"/>
      <c r="E5056" s="6"/>
      <c r="F5056" s="4"/>
      <c r="G5056" s="4"/>
      <c r="H5056" s="4"/>
      <c r="I5056" s="4"/>
      <c r="J5056" s="18"/>
      <c r="K5056" s="4"/>
      <c r="L5056" s="19"/>
      <c r="M5056" s="20"/>
    </row>
    <row r="5057">
      <c r="A5057" s="6"/>
      <c r="B5057" s="6"/>
      <c r="C5057" s="6"/>
      <c r="D5057" s="6"/>
      <c r="E5057" s="6"/>
      <c r="F5057" s="4"/>
      <c r="G5057" s="4"/>
      <c r="H5057" s="4"/>
      <c r="I5057" s="4"/>
      <c r="J5057" s="18"/>
      <c r="K5057" s="4"/>
      <c r="L5057" s="19"/>
      <c r="M5057" s="20"/>
    </row>
    <row r="5058">
      <c r="A5058" s="6"/>
      <c r="B5058" s="6"/>
      <c r="C5058" s="6"/>
      <c r="D5058" s="6"/>
      <c r="E5058" s="6"/>
      <c r="F5058" s="4"/>
      <c r="G5058" s="4"/>
      <c r="H5058" s="4"/>
      <c r="I5058" s="4"/>
      <c r="J5058" s="18"/>
      <c r="K5058" s="4"/>
      <c r="L5058" s="19"/>
      <c r="M5058" s="20"/>
    </row>
    <row r="5059">
      <c r="A5059" s="6"/>
      <c r="B5059" s="6"/>
      <c r="C5059" s="6"/>
      <c r="D5059" s="6"/>
      <c r="E5059" s="6"/>
      <c r="F5059" s="4"/>
      <c r="G5059" s="4"/>
      <c r="H5059" s="4"/>
      <c r="I5059" s="4"/>
      <c r="J5059" s="18"/>
      <c r="K5059" s="4"/>
      <c r="L5059" s="19"/>
      <c r="M5059" s="20"/>
    </row>
    <row r="5060">
      <c r="A5060" s="6"/>
      <c r="B5060" s="6"/>
      <c r="C5060" s="6"/>
      <c r="D5060" s="6"/>
      <c r="E5060" s="6"/>
      <c r="F5060" s="4"/>
      <c r="G5060" s="4"/>
      <c r="H5060" s="4"/>
      <c r="I5060" s="4"/>
      <c r="J5060" s="18"/>
      <c r="K5060" s="4"/>
      <c r="L5060" s="19"/>
      <c r="M5060" s="20"/>
    </row>
    <row r="5061">
      <c r="A5061" s="6"/>
      <c r="B5061" s="6"/>
      <c r="C5061" s="6"/>
      <c r="D5061" s="6"/>
      <c r="E5061" s="6"/>
      <c r="F5061" s="4"/>
      <c r="G5061" s="4"/>
      <c r="H5061" s="4"/>
      <c r="I5061" s="4"/>
      <c r="J5061" s="18"/>
      <c r="K5061" s="4"/>
      <c r="L5061" s="19"/>
      <c r="M5061" s="20"/>
    </row>
    <row r="5062">
      <c r="A5062" s="6"/>
      <c r="B5062" s="6"/>
      <c r="C5062" s="6"/>
      <c r="D5062" s="6"/>
      <c r="E5062" s="6"/>
      <c r="F5062" s="4"/>
      <c r="G5062" s="4"/>
      <c r="H5062" s="4"/>
      <c r="I5062" s="4"/>
      <c r="J5062" s="18"/>
      <c r="K5062" s="4"/>
      <c r="L5062" s="19"/>
      <c r="M5062" s="20"/>
    </row>
    <row r="5063">
      <c r="A5063" s="6"/>
      <c r="B5063" s="6"/>
      <c r="C5063" s="6"/>
      <c r="D5063" s="6"/>
      <c r="E5063" s="6"/>
      <c r="F5063" s="4"/>
      <c r="G5063" s="4"/>
      <c r="H5063" s="4"/>
      <c r="I5063" s="4"/>
      <c r="J5063" s="18"/>
      <c r="K5063" s="4"/>
      <c r="L5063" s="19"/>
      <c r="M5063" s="20"/>
    </row>
    <row r="5064">
      <c r="A5064" s="6"/>
      <c r="B5064" s="6"/>
      <c r="C5064" s="6"/>
      <c r="D5064" s="6"/>
      <c r="E5064" s="6"/>
      <c r="F5064" s="4"/>
      <c r="G5064" s="4"/>
      <c r="H5064" s="4"/>
      <c r="I5064" s="4"/>
      <c r="J5064" s="18"/>
      <c r="K5064" s="4"/>
      <c r="L5064" s="19"/>
      <c r="M5064" s="20"/>
    </row>
    <row r="5065">
      <c r="A5065" s="6"/>
      <c r="B5065" s="6"/>
      <c r="C5065" s="6"/>
      <c r="D5065" s="6"/>
      <c r="E5065" s="6"/>
      <c r="F5065" s="4"/>
      <c r="G5065" s="4"/>
      <c r="H5065" s="4"/>
      <c r="I5065" s="4"/>
      <c r="J5065" s="18"/>
      <c r="K5065" s="4"/>
      <c r="L5065" s="19"/>
      <c r="M5065" s="20"/>
    </row>
    <row r="5066">
      <c r="A5066" s="6"/>
      <c r="B5066" s="6"/>
      <c r="C5066" s="6"/>
      <c r="D5066" s="6"/>
      <c r="E5066" s="6"/>
      <c r="F5066" s="4"/>
      <c r="G5066" s="4"/>
      <c r="H5066" s="4"/>
      <c r="I5066" s="4"/>
      <c r="J5066" s="18"/>
      <c r="K5066" s="4"/>
      <c r="L5066" s="19"/>
      <c r="M5066" s="20"/>
    </row>
    <row r="5067">
      <c r="A5067" s="6"/>
      <c r="B5067" s="6"/>
      <c r="C5067" s="6"/>
      <c r="D5067" s="6"/>
      <c r="E5067" s="6"/>
      <c r="F5067" s="4"/>
      <c r="G5067" s="4"/>
      <c r="H5067" s="4"/>
      <c r="I5067" s="4"/>
      <c r="J5067" s="18"/>
      <c r="K5067" s="4"/>
      <c r="L5067" s="19"/>
      <c r="M5067" s="20"/>
    </row>
    <row r="5068">
      <c r="A5068" s="6"/>
      <c r="B5068" s="6"/>
      <c r="C5068" s="6"/>
      <c r="D5068" s="6"/>
      <c r="E5068" s="6"/>
      <c r="F5068" s="4"/>
      <c r="G5068" s="4"/>
      <c r="H5068" s="4"/>
      <c r="I5068" s="4"/>
      <c r="J5068" s="18"/>
      <c r="K5068" s="4"/>
      <c r="L5068" s="19"/>
      <c r="M5068" s="20"/>
    </row>
    <row r="5069">
      <c r="A5069" s="6"/>
      <c r="B5069" s="6"/>
      <c r="C5069" s="6"/>
      <c r="D5069" s="6"/>
      <c r="E5069" s="6"/>
      <c r="F5069" s="4"/>
      <c r="G5069" s="4"/>
      <c r="H5069" s="4"/>
      <c r="I5069" s="4"/>
      <c r="J5069" s="18"/>
      <c r="K5069" s="4"/>
      <c r="L5069" s="19"/>
      <c r="M5069" s="20"/>
    </row>
    <row r="5070">
      <c r="A5070" s="6"/>
      <c r="B5070" s="6"/>
      <c r="C5070" s="6"/>
      <c r="D5070" s="6"/>
      <c r="E5070" s="6"/>
      <c r="F5070" s="4"/>
      <c r="G5070" s="4"/>
      <c r="H5070" s="4"/>
      <c r="I5070" s="4"/>
      <c r="J5070" s="18"/>
      <c r="K5070" s="4"/>
      <c r="L5070" s="19"/>
      <c r="M5070" s="20"/>
    </row>
    <row r="5071">
      <c r="A5071" s="6"/>
      <c r="B5071" s="6"/>
      <c r="C5071" s="6"/>
      <c r="D5071" s="6"/>
      <c r="E5071" s="6"/>
      <c r="F5071" s="4"/>
      <c r="G5071" s="4"/>
      <c r="H5071" s="4"/>
      <c r="I5071" s="4"/>
      <c r="J5071" s="18"/>
      <c r="K5071" s="4"/>
      <c r="L5071" s="19"/>
      <c r="M5071" s="20"/>
    </row>
    <row r="5072">
      <c r="A5072" s="6"/>
      <c r="B5072" s="6"/>
      <c r="C5072" s="6"/>
      <c r="D5072" s="6"/>
      <c r="E5072" s="6"/>
      <c r="F5072" s="4"/>
      <c r="G5072" s="4"/>
      <c r="H5072" s="4"/>
      <c r="I5072" s="4"/>
      <c r="J5072" s="18"/>
      <c r="K5072" s="4"/>
      <c r="L5072" s="19"/>
      <c r="M5072" s="20"/>
    </row>
    <row r="5073">
      <c r="A5073" s="6"/>
      <c r="B5073" s="6"/>
      <c r="C5073" s="6"/>
      <c r="D5073" s="6"/>
      <c r="E5073" s="6"/>
      <c r="F5073" s="4"/>
      <c r="G5073" s="4"/>
      <c r="H5073" s="4"/>
      <c r="I5073" s="4"/>
      <c r="J5073" s="18"/>
      <c r="K5073" s="4"/>
      <c r="L5073" s="19"/>
      <c r="M5073" s="20"/>
    </row>
    <row r="5074">
      <c r="A5074" s="6"/>
      <c r="B5074" s="6"/>
      <c r="C5074" s="6"/>
      <c r="D5074" s="6"/>
      <c r="E5074" s="6"/>
      <c r="F5074" s="4"/>
      <c r="G5074" s="4"/>
      <c r="H5074" s="4"/>
      <c r="I5074" s="4"/>
      <c r="J5074" s="18"/>
      <c r="K5074" s="4"/>
      <c r="L5074" s="19"/>
      <c r="M5074" s="20"/>
    </row>
    <row r="5075">
      <c r="A5075" s="6"/>
      <c r="B5075" s="6"/>
      <c r="C5075" s="6"/>
      <c r="D5075" s="6"/>
      <c r="E5075" s="6"/>
      <c r="F5075" s="4"/>
      <c r="G5075" s="4"/>
      <c r="H5075" s="4"/>
      <c r="I5075" s="4"/>
      <c r="J5075" s="18"/>
      <c r="K5075" s="4"/>
      <c r="L5075" s="19"/>
      <c r="M5075" s="20"/>
    </row>
    <row r="5076">
      <c r="A5076" s="6"/>
      <c r="B5076" s="6"/>
      <c r="C5076" s="6"/>
      <c r="D5076" s="6"/>
      <c r="E5076" s="6"/>
      <c r="F5076" s="4"/>
      <c r="G5076" s="4"/>
      <c r="H5076" s="4"/>
      <c r="I5076" s="4"/>
      <c r="J5076" s="18"/>
      <c r="K5076" s="4"/>
      <c r="L5076" s="19"/>
      <c r="M5076" s="20"/>
    </row>
    <row r="5077">
      <c r="A5077" s="6"/>
      <c r="B5077" s="6"/>
      <c r="C5077" s="6"/>
      <c r="D5077" s="6"/>
      <c r="E5077" s="6"/>
      <c r="F5077" s="4"/>
      <c r="G5077" s="4"/>
      <c r="H5077" s="4"/>
      <c r="I5077" s="4"/>
      <c r="J5077" s="18"/>
      <c r="K5077" s="4"/>
      <c r="L5077" s="19"/>
      <c r="M5077" s="20"/>
    </row>
    <row r="5078">
      <c r="A5078" s="6"/>
      <c r="B5078" s="6"/>
      <c r="C5078" s="6"/>
      <c r="D5078" s="6"/>
      <c r="E5078" s="6"/>
      <c r="F5078" s="4"/>
      <c r="G5078" s="4"/>
      <c r="H5078" s="4"/>
      <c r="I5078" s="4"/>
      <c r="J5078" s="18"/>
      <c r="K5078" s="4"/>
      <c r="L5078" s="19"/>
      <c r="M5078" s="20"/>
    </row>
    <row r="5079">
      <c r="A5079" s="6"/>
      <c r="B5079" s="6"/>
      <c r="C5079" s="6"/>
      <c r="D5079" s="6"/>
      <c r="E5079" s="6"/>
      <c r="F5079" s="4"/>
      <c r="G5079" s="4"/>
      <c r="H5079" s="4"/>
      <c r="I5079" s="4"/>
      <c r="J5079" s="18"/>
      <c r="K5079" s="4"/>
      <c r="L5079" s="19"/>
      <c r="M5079" s="20"/>
    </row>
    <row r="5080">
      <c r="A5080" s="6"/>
      <c r="B5080" s="6"/>
      <c r="C5080" s="6"/>
      <c r="D5080" s="6"/>
      <c r="E5080" s="6"/>
      <c r="F5080" s="4"/>
      <c r="G5080" s="4"/>
      <c r="H5080" s="4"/>
      <c r="I5080" s="4"/>
      <c r="J5080" s="18"/>
      <c r="K5080" s="4"/>
      <c r="L5080" s="19"/>
      <c r="M5080" s="20"/>
    </row>
    <row r="5081">
      <c r="A5081" s="6"/>
      <c r="B5081" s="6"/>
      <c r="C5081" s="6"/>
      <c r="D5081" s="6"/>
      <c r="E5081" s="6"/>
      <c r="F5081" s="4"/>
      <c r="G5081" s="4"/>
      <c r="H5081" s="4"/>
      <c r="I5081" s="4"/>
      <c r="J5081" s="18"/>
      <c r="K5081" s="4"/>
      <c r="L5081" s="19"/>
      <c r="M5081" s="20"/>
    </row>
    <row r="5082">
      <c r="A5082" s="6"/>
      <c r="B5082" s="6"/>
      <c r="C5082" s="6"/>
      <c r="D5082" s="6"/>
      <c r="E5082" s="6"/>
      <c r="F5082" s="4"/>
      <c r="G5082" s="4"/>
      <c r="H5082" s="4"/>
      <c r="I5082" s="4"/>
      <c r="J5082" s="18"/>
      <c r="K5082" s="4"/>
      <c r="L5082" s="19"/>
      <c r="M5082" s="20"/>
    </row>
    <row r="5083">
      <c r="A5083" s="6"/>
      <c r="B5083" s="6"/>
      <c r="C5083" s="6"/>
      <c r="D5083" s="6"/>
      <c r="E5083" s="6"/>
      <c r="F5083" s="4"/>
      <c r="G5083" s="4"/>
      <c r="H5083" s="4"/>
      <c r="I5083" s="4"/>
      <c r="J5083" s="18"/>
      <c r="K5083" s="4"/>
      <c r="L5083" s="19"/>
      <c r="M5083" s="20"/>
    </row>
    <row r="5084">
      <c r="A5084" s="6"/>
      <c r="B5084" s="6"/>
      <c r="C5084" s="6"/>
      <c r="D5084" s="6"/>
      <c r="E5084" s="6"/>
      <c r="F5084" s="4"/>
      <c r="G5084" s="4"/>
      <c r="H5084" s="4"/>
      <c r="I5084" s="4"/>
      <c r="J5084" s="18"/>
      <c r="K5084" s="4"/>
      <c r="L5084" s="19"/>
      <c r="M5084" s="20"/>
    </row>
    <row r="5085">
      <c r="A5085" s="6"/>
      <c r="B5085" s="6"/>
      <c r="C5085" s="6"/>
      <c r="D5085" s="6"/>
      <c r="E5085" s="6"/>
      <c r="F5085" s="4"/>
      <c r="G5085" s="4"/>
      <c r="H5085" s="4"/>
      <c r="I5085" s="4"/>
      <c r="J5085" s="18"/>
      <c r="K5085" s="4"/>
      <c r="L5085" s="19"/>
      <c r="M5085" s="20"/>
    </row>
    <row r="5086">
      <c r="A5086" s="6"/>
      <c r="B5086" s="6"/>
      <c r="C5086" s="6"/>
      <c r="D5086" s="6"/>
      <c r="E5086" s="6"/>
      <c r="F5086" s="4"/>
      <c r="G5086" s="4"/>
      <c r="H5086" s="4"/>
      <c r="I5086" s="4"/>
      <c r="J5086" s="18"/>
      <c r="K5086" s="4"/>
      <c r="L5086" s="19"/>
      <c r="M5086" s="20"/>
    </row>
    <row r="5087">
      <c r="A5087" s="6"/>
      <c r="B5087" s="6"/>
      <c r="C5087" s="6"/>
      <c r="D5087" s="6"/>
      <c r="E5087" s="6"/>
      <c r="F5087" s="4"/>
      <c r="G5087" s="4"/>
      <c r="H5087" s="4"/>
      <c r="I5087" s="4"/>
      <c r="J5087" s="18"/>
      <c r="K5087" s="4"/>
      <c r="L5087" s="19"/>
      <c r="M5087" s="20"/>
    </row>
    <row r="5088">
      <c r="A5088" s="6"/>
      <c r="B5088" s="6"/>
      <c r="C5088" s="6"/>
      <c r="D5088" s="6"/>
      <c r="E5088" s="6"/>
      <c r="F5088" s="4"/>
      <c r="G5088" s="4"/>
      <c r="H5088" s="4"/>
      <c r="I5088" s="4"/>
      <c r="J5088" s="18"/>
      <c r="K5088" s="4"/>
      <c r="L5088" s="19"/>
      <c r="M5088" s="20"/>
    </row>
    <row r="5089">
      <c r="A5089" s="6"/>
      <c r="B5089" s="6"/>
      <c r="C5089" s="6"/>
      <c r="D5089" s="6"/>
      <c r="E5089" s="6"/>
      <c r="F5089" s="4"/>
      <c r="G5089" s="4"/>
      <c r="H5089" s="4"/>
      <c r="I5089" s="4"/>
      <c r="J5089" s="18"/>
      <c r="K5089" s="4"/>
      <c r="L5089" s="19"/>
      <c r="M5089" s="20"/>
    </row>
    <row r="5090">
      <c r="A5090" s="6"/>
      <c r="B5090" s="6"/>
      <c r="C5090" s="6"/>
      <c r="D5090" s="6"/>
      <c r="E5090" s="6"/>
      <c r="F5090" s="4"/>
      <c r="G5090" s="4"/>
      <c r="H5090" s="4"/>
      <c r="I5090" s="4"/>
      <c r="J5090" s="18"/>
      <c r="K5090" s="4"/>
      <c r="L5090" s="19"/>
      <c r="M5090" s="20"/>
    </row>
    <row r="5091">
      <c r="A5091" s="6"/>
      <c r="B5091" s="6"/>
      <c r="C5091" s="6"/>
      <c r="D5091" s="6"/>
      <c r="E5091" s="6"/>
      <c r="F5091" s="4"/>
      <c r="G5091" s="4"/>
      <c r="H5091" s="4"/>
      <c r="I5091" s="4"/>
      <c r="J5091" s="18"/>
      <c r="K5091" s="4"/>
      <c r="L5091" s="19"/>
      <c r="M5091" s="20"/>
    </row>
    <row r="5092">
      <c r="A5092" s="6"/>
      <c r="B5092" s="6"/>
      <c r="C5092" s="6"/>
      <c r="D5092" s="6"/>
      <c r="E5092" s="6"/>
      <c r="F5092" s="4"/>
      <c r="G5092" s="4"/>
      <c r="H5092" s="4"/>
      <c r="I5092" s="4"/>
      <c r="J5092" s="18"/>
      <c r="K5092" s="4"/>
      <c r="L5092" s="19"/>
      <c r="M5092" s="20"/>
    </row>
    <row r="5093">
      <c r="A5093" s="6"/>
      <c r="B5093" s="6"/>
      <c r="C5093" s="6"/>
      <c r="D5093" s="6"/>
      <c r="E5093" s="6"/>
      <c r="F5093" s="4"/>
      <c r="G5093" s="4"/>
      <c r="H5093" s="4"/>
      <c r="I5093" s="4"/>
      <c r="J5093" s="18"/>
      <c r="K5093" s="4"/>
      <c r="L5093" s="19"/>
      <c r="M5093" s="20"/>
    </row>
    <row r="5094">
      <c r="A5094" s="6"/>
      <c r="B5094" s="6"/>
      <c r="C5094" s="6"/>
      <c r="D5094" s="6"/>
      <c r="E5094" s="6"/>
      <c r="F5094" s="4"/>
      <c r="G5094" s="4"/>
      <c r="H5094" s="4"/>
      <c r="I5094" s="4"/>
      <c r="J5094" s="18"/>
      <c r="K5094" s="4"/>
      <c r="L5094" s="19"/>
      <c r="M5094" s="20"/>
    </row>
    <row r="5095">
      <c r="A5095" s="6"/>
      <c r="B5095" s="6"/>
      <c r="C5095" s="6"/>
      <c r="D5095" s="6"/>
      <c r="E5095" s="6"/>
      <c r="F5095" s="4"/>
      <c r="G5095" s="4"/>
      <c r="H5095" s="4"/>
      <c r="I5095" s="4"/>
      <c r="J5095" s="18"/>
      <c r="K5095" s="4"/>
      <c r="L5095" s="19"/>
      <c r="M5095" s="20"/>
    </row>
    <row r="5096">
      <c r="A5096" s="6"/>
      <c r="B5096" s="6"/>
      <c r="C5096" s="6"/>
      <c r="D5096" s="6"/>
      <c r="E5096" s="6"/>
      <c r="F5096" s="4"/>
      <c r="G5096" s="4"/>
      <c r="H5096" s="4"/>
      <c r="I5096" s="4"/>
      <c r="J5096" s="18"/>
      <c r="K5096" s="4"/>
      <c r="L5096" s="19"/>
      <c r="M5096" s="20"/>
    </row>
    <row r="5097">
      <c r="A5097" s="6"/>
      <c r="B5097" s="6"/>
      <c r="C5097" s="6"/>
      <c r="D5097" s="6"/>
      <c r="E5097" s="6"/>
      <c r="F5097" s="4"/>
      <c r="G5097" s="4"/>
      <c r="H5097" s="4"/>
      <c r="I5097" s="4"/>
      <c r="J5097" s="18"/>
      <c r="K5097" s="4"/>
      <c r="L5097" s="19"/>
      <c r="M5097" s="20"/>
    </row>
    <row r="5098">
      <c r="A5098" s="6"/>
      <c r="B5098" s="6"/>
      <c r="C5098" s="6"/>
      <c r="D5098" s="6"/>
      <c r="E5098" s="6"/>
      <c r="F5098" s="4"/>
      <c r="G5098" s="4"/>
      <c r="H5098" s="4"/>
      <c r="I5098" s="4"/>
      <c r="J5098" s="18"/>
      <c r="K5098" s="4"/>
      <c r="L5098" s="19"/>
      <c r="M5098" s="20"/>
    </row>
    <row r="5099">
      <c r="A5099" s="6"/>
      <c r="B5099" s="6"/>
      <c r="C5099" s="6"/>
      <c r="D5099" s="6"/>
      <c r="E5099" s="6"/>
      <c r="F5099" s="4"/>
      <c r="G5099" s="4"/>
      <c r="H5099" s="4"/>
      <c r="I5099" s="4"/>
      <c r="J5099" s="18"/>
      <c r="K5099" s="4"/>
      <c r="L5099" s="19"/>
      <c r="M5099" s="20"/>
    </row>
    <row r="5100">
      <c r="A5100" s="6"/>
      <c r="B5100" s="6"/>
      <c r="C5100" s="6"/>
      <c r="D5100" s="6"/>
      <c r="E5100" s="6"/>
      <c r="F5100" s="4"/>
      <c r="G5100" s="4"/>
      <c r="H5100" s="4"/>
      <c r="I5100" s="4"/>
      <c r="J5100" s="18"/>
      <c r="K5100" s="4"/>
      <c r="L5100" s="19"/>
      <c r="M5100" s="20"/>
    </row>
    <row r="5101">
      <c r="A5101" s="6"/>
      <c r="B5101" s="6"/>
      <c r="C5101" s="6"/>
      <c r="D5101" s="6"/>
      <c r="E5101" s="6"/>
      <c r="F5101" s="4"/>
      <c r="G5101" s="4"/>
      <c r="H5101" s="4"/>
      <c r="I5101" s="4"/>
      <c r="J5101" s="18"/>
      <c r="K5101" s="4"/>
      <c r="L5101" s="19"/>
      <c r="M5101" s="20"/>
    </row>
    <row r="5102">
      <c r="A5102" s="6"/>
      <c r="B5102" s="6"/>
      <c r="C5102" s="6"/>
      <c r="D5102" s="6"/>
      <c r="E5102" s="6"/>
      <c r="F5102" s="4"/>
      <c r="G5102" s="4"/>
      <c r="H5102" s="4"/>
      <c r="I5102" s="4"/>
      <c r="J5102" s="18"/>
      <c r="K5102" s="4"/>
      <c r="L5102" s="19"/>
      <c r="M5102" s="20"/>
    </row>
    <row r="5103">
      <c r="A5103" s="6"/>
      <c r="B5103" s="6"/>
      <c r="C5103" s="6"/>
      <c r="D5103" s="6"/>
      <c r="E5103" s="6"/>
      <c r="F5103" s="4"/>
      <c r="G5103" s="4"/>
      <c r="H5103" s="4"/>
      <c r="I5103" s="4"/>
      <c r="J5103" s="18"/>
      <c r="K5103" s="4"/>
      <c r="L5103" s="19"/>
      <c r="M5103" s="20"/>
    </row>
    <row r="5104">
      <c r="A5104" s="6"/>
      <c r="B5104" s="6"/>
      <c r="C5104" s="6"/>
      <c r="D5104" s="6"/>
      <c r="E5104" s="6"/>
      <c r="F5104" s="4"/>
      <c r="G5104" s="4"/>
      <c r="H5104" s="4"/>
      <c r="I5104" s="4"/>
      <c r="J5104" s="18"/>
      <c r="K5104" s="4"/>
      <c r="L5104" s="19"/>
      <c r="M5104" s="20"/>
    </row>
    <row r="5105">
      <c r="A5105" s="6"/>
      <c r="B5105" s="6"/>
      <c r="C5105" s="6"/>
      <c r="D5105" s="6"/>
      <c r="E5105" s="6"/>
      <c r="F5105" s="4"/>
      <c r="G5105" s="4"/>
      <c r="H5105" s="4"/>
      <c r="I5105" s="4"/>
      <c r="J5105" s="18"/>
      <c r="K5105" s="4"/>
      <c r="L5105" s="19"/>
      <c r="M5105" s="20"/>
    </row>
    <row r="5106">
      <c r="A5106" s="6"/>
      <c r="B5106" s="6"/>
      <c r="C5106" s="6"/>
      <c r="D5106" s="6"/>
      <c r="E5106" s="6"/>
      <c r="F5106" s="4"/>
      <c r="G5106" s="4"/>
      <c r="H5106" s="4"/>
      <c r="I5106" s="4"/>
      <c r="J5106" s="18"/>
      <c r="K5106" s="4"/>
      <c r="L5106" s="19"/>
      <c r="M5106" s="20"/>
    </row>
    <row r="5107">
      <c r="A5107" s="6"/>
      <c r="B5107" s="6"/>
      <c r="C5107" s="6"/>
      <c r="D5107" s="6"/>
      <c r="E5107" s="6"/>
      <c r="F5107" s="4"/>
      <c r="G5107" s="4"/>
      <c r="H5107" s="4"/>
      <c r="I5107" s="4"/>
      <c r="J5107" s="18"/>
      <c r="K5107" s="4"/>
      <c r="L5107" s="19"/>
      <c r="M5107" s="20"/>
    </row>
    <row r="5108">
      <c r="A5108" s="6"/>
      <c r="B5108" s="6"/>
      <c r="C5108" s="6"/>
      <c r="D5108" s="6"/>
      <c r="E5108" s="6"/>
      <c r="F5108" s="4"/>
      <c r="G5108" s="4"/>
      <c r="H5108" s="4"/>
      <c r="I5108" s="4"/>
      <c r="J5108" s="18"/>
      <c r="K5108" s="4"/>
      <c r="L5108" s="19"/>
      <c r="M5108" s="20"/>
    </row>
    <row r="5109">
      <c r="A5109" s="6"/>
      <c r="B5109" s="6"/>
      <c r="C5109" s="6"/>
      <c r="D5109" s="6"/>
      <c r="E5109" s="6"/>
      <c r="F5109" s="4"/>
      <c r="G5109" s="4"/>
      <c r="H5109" s="4"/>
      <c r="I5109" s="4"/>
      <c r="J5109" s="18"/>
      <c r="K5109" s="4"/>
      <c r="L5109" s="19"/>
      <c r="M5109" s="20"/>
    </row>
    <row r="5110">
      <c r="A5110" s="6"/>
      <c r="B5110" s="6"/>
      <c r="C5110" s="6"/>
      <c r="D5110" s="6"/>
      <c r="E5110" s="6"/>
      <c r="F5110" s="4"/>
      <c r="G5110" s="4"/>
      <c r="H5110" s="4"/>
      <c r="I5110" s="4"/>
      <c r="J5110" s="18"/>
      <c r="K5110" s="4"/>
      <c r="L5110" s="19"/>
      <c r="M5110" s="20"/>
    </row>
    <row r="5111">
      <c r="A5111" s="6"/>
      <c r="B5111" s="6"/>
      <c r="C5111" s="6"/>
      <c r="D5111" s="6"/>
      <c r="E5111" s="6"/>
      <c r="F5111" s="4"/>
      <c r="G5111" s="4"/>
      <c r="H5111" s="4"/>
      <c r="I5111" s="4"/>
      <c r="J5111" s="18"/>
      <c r="K5111" s="4"/>
      <c r="L5111" s="19"/>
      <c r="M5111" s="20"/>
    </row>
    <row r="5112">
      <c r="A5112" s="6"/>
      <c r="B5112" s="6"/>
      <c r="C5112" s="6"/>
      <c r="D5112" s="6"/>
      <c r="E5112" s="6"/>
      <c r="F5112" s="4"/>
      <c r="G5112" s="4"/>
      <c r="H5112" s="4"/>
      <c r="I5112" s="4"/>
      <c r="J5112" s="18"/>
      <c r="K5112" s="4"/>
      <c r="L5112" s="19"/>
      <c r="M5112" s="20"/>
    </row>
    <row r="5113">
      <c r="A5113" s="6"/>
      <c r="B5113" s="6"/>
      <c r="C5113" s="6"/>
      <c r="D5113" s="6"/>
      <c r="E5113" s="6"/>
      <c r="F5113" s="4"/>
      <c r="G5113" s="4"/>
      <c r="H5113" s="4"/>
      <c r="I5113" s="4"/>
      <c r="J5113" s="18"/>
      <c r="K5113" s="4"/>
      <c r="L5113" s="19"/>
      <c r="M5113" s="20"/>
    </row>
    <row r="5114">
      <c r="A5114" s="6"/>
      <c r="B5114" s="6"/>
      <c r="C5114" s="6"/>
      <c r="D5114" s="6"/>
      <c r="E5114" s="6"/>
      <c r="F5114" s="4"/>
      <c r="G5114" s="4"/>
      <c r="H5114" s="4"/>
      <c r="I5114" s="4"/>
      <c r="J5114" s="18"/>
      <c r="K5114" s="4"/>
      <c r="L5114" s="19"/>
      <c r="M5114" s="20"/>
    </row>
    <row r="5115">
      <c r="A5115" s="6"/>
      <c r="B5115" s="6"/>
      <c r="C5115" s="6"/>
      <c r="D5115" s="6"/>
      <c r="E5115" s="6"/>
      <c r="F5115" s="4"/>
      <c r="G5115" s="4"/>
      <c r="H5115" s="4"/>
      <c r="I5115" s="4"/>
      <c r="J5115" s="18"/>
      <c r="K5115" s="4"/>
      <c r="L5115" s="19"/>
      <c r="M5115" s="20"/>
    </row>
    <row r="5116">
      <c r="A5116" s="6"/>
      <c r="B5116" s="6"/>
      <c r="C5116" s="6"/>
      <c r="D5116" s="6"/>
      <c r="E5116" s="6"/>
      <c r="F5116" s="4"/>
      <c r="G5116" s="4"/>
      <c r="H5116" s="4"/>
      <c r="I5116" s="4"/>
      <c r="J5116" s="18"/>
      <c r="K5116" s="4"/>
      <c r="L5116" s="19"/>
      <c r="M5116" s="20"/>
    </row>
    <row r="5117">
      <c r="A5117" s="6"/>
      <c r="B5117" s="6"/>
      <c r="C5117" s="6"/>
      <c r="D5117" s="6"/>
      <c r="E5117" s="6"/>
      <c r="F5117" s="4"/>
      <c r="G5117" s="4"/>
      <c r="H5117" s="4"/>
      <c r="I5117" s="4"/>
      <c r="J5117" s="18"/>
      <c r="K5117" s="4"/>
      <c r="L5117" s="19"/>
      <c r="M5117" s="20"/>
    </row>
    <row r="5118">
      <c r="A5118" s="6"/>
      <c r="B5118" s="6"/>
      <c r="C5118" s="6"/>
      <c r="D5118" s="6"/>
      <c r="E5118" s="6"/>
      <c r="F5118" s="4"/>
      <c r="G5118" s="4"/>
      <c r="H5118" s="4"/>
      <c r="I5118" s="4"/>
      <c r="J5118" s="18"/>
      <c r="K5118" s="4"/>
      <c r="L5118" s="19"/>
      <c r="M5118" s="20"/>
    </row>
    <row r="5119">
      <c r="A5119" s="6"/>
      <c r="B5119" s="6"/>
      <c r="C5119" s="6"/>
      <c r="D5119" s="6"/>
      <c r="E5119" s="6"/>
      <c r="F5119" s="4"/>
      <c r="G5119" s="4"/>
      <c r="H5119" s="4"/>
      <c r="I5119" s="4"/>
      <c r="J5119" s="18"/>
      <c r="K5119" s="4"/>
      <c r="L5119" s="19"/>
      <c r="M5119" s="20"/>
    </row>
    <row r="5120">
      <c r="A5120" s="6"/>
      <c r="B5120" s="6"/>
      <c r="C5120" s="6"/>
      <c r="D5120" s="6"/>
      <c r="E5120" s="6"/>
      <c r="F5120" s="4"/>
      <c r="G5120" s="4"/>
      <c r="H5120" s="4"/>
      <c r="I5120" s="4"/>
      <c r="J5120" s="18"/>
      <c r="K5120" s="4"/>
      <c r="L5120" s="19"/>
      <c r="M5120" s="20"/>
    </row>
    <row r="5121">
      <c r="A5121" s="6"/>
      <c r="B5121" s="6"/>
      <c r="C5121" s="6"/>
      <c r="D5121" s="6"/>
      <c r="E5121" s="6"/>
      <c r="F5121" s="4"/>
      <c r="G5121" s="4"/>
      <c r="H5121" s="4"/>
      <c r="I5121" s="4"/>
      <c r="J5121" s="18"/>
      <c r="K5121" s="4"/>
      <c r="L5121" s="19"/>
      <c r="M5121" s="20"/>
    </row>
    <row r="5122">
      <c r="A5122" s="6"/>
      <c r="B5122" s="6"/>
      <c r="C5122" s="6"/>
      <c r="D5122" s="6"/>
      <c r="E5122" s="6"/>
      <c r="F5122" s="4"/>
      <c r="G5122" s="4"/>
      <c r="H5122" s="4"/>
      <c r="I5122" s="4"/>
      <c r="J5122" s="18"/>
      <c r="K5122" s="4"/>
      <c r="L5122" s="19"/>
      <c r="M5122" s="20"/>
    </row>
    <row r="5123">
      <c r="A5123" s="6"/>
      <c r="B5123" s="6"/>
      <c r="C5123" s="6"/>
      <c r="D5123" s="6"/>
      <c r="E5123" s="6"/>
      <c r="F5123" s="4"/>
      <c r="G5123" s="4"/>
      <c r="H5123" s="4"/>
      <c r="I5123" s="4"/>
      <c r="J5123" s="18"/>
      <c r="K5123" s="4"/>
      <c r="L5123" s="19"/>
      <c r="M5123" s="20"/>
    </row>
    <row r="5124">
      <c r="A5124" s="6"/>
      <c r="B5124" s="6"/>
      <c r="C5124" s="6"/>
      <c r="D5124" s="6"/>
      <c r="E5124" s="6"/>
      <c r="F5124" s="4"/>
      <c r="G5124" s="4"/>
      <c r="H5124" s="4"/>
      <c r="I5124" s="4"/>
      <c r="J5124" s="18"/>
      <c r="K5124" s="4"/>
      <c r="L5124" s="19"/>
      <c r="M5124" s="20"/>
    </row>
    <row r="5125">
      <c r="A5125" s="6"/>
      <c r="B5125" s="6"/>
      <c r="C5125" s="6"/>
      <c r="D5125" s="6"/>
      <c r="E5125" s="6"/>
      <c r="F5125" s="4"/>
      <c r="G5125" s="4"/>
      <c r="H5125" s="4"/>
      <c r="I5125" s="4"/>
      <c r="J5125" s="18"/>
      <c r="K5125" s="4"/>
      <c r="L5125" s="19"/>
      <c r="M5125" s="20"/>
    </row>
    <row r="5126">
      <c r="A5126" s="6"/>
      <c r="B5126" s="6"/>
      <c r="C5126" s="6"/>
      <c r="D5126" s="6"/>
      <c r="E5126" s="6"/>
      <c r="F5126" s="4"/>
      <c r="G5126" s="4"/>
      <c r="H5126" s="4"/>
      <c r="I5126" s="4"/>
      <c r="J5126" s="18"/>
      <c r="K5126" s="4"/>
      <c r="L5126" s="19"/>
      <c r="M5126" s="20"/>
    </row>
    <row r="5127">
      <c r="A5127" s="6"/>
      <c r="B5127" s="6"/>
      <c r="C5127" s="6"/>
      <c r="D5127" s="6"/>
      <c r="E5127" s="6"/>
      <c r="F5127" s="4"/>
      <c r="G5127" s="4"/>
      <c r="H5127" s="4"/>
      <c r="I5127" s="4"/>
      <c r="J5127" s="18"/>
      <c r="K5127" s="4"/>
      <c r="L5127" s="19"/>
      <c r="M5127" s="20"/>
    </row>
    <row r="5128">
      <c r="A5128" s="6"/>
      <c r="B5128" s="6"/>
      <c r="C5128" s="6"/>
      <c r="D5128" s="6"/>
      <c r="E5128" s="6"/>
      <c r="F5128" s="4"/>
      <c r="G5128" s="4"/>
      <c r="H5128" s="4"/>
      <c r="I5128" s="4"/>
      <c r="J5128" s="18"/>
      <c r="K5128" s="4"/>
      <c r="L5128" s="19"/>
      <c r="M5128" s="20"/>
    </row>
    <row r="5129">
      <c r="A5129" s="6"/>
      <c r="B5129" s="6"/>
      <c r="C5129" s="6"/>
      <c r="D5129" s="6"/>
      <c r="E5129" s="6"/>
      <c r="F5129" s="4"/>
      <c r="G5129" s="4"/>
      <c r="H5129" s="4"/>
      <c r="I5129" s="4"/>
      <c r="J5129" s="18"/>
      <c r="K5129" s="4"/>
      <c r="L5129" s="19"/>
      <c r="M5129" s="20"/>
    </row>
    <row r="5130">
      <c r="A5130" s="6"/>
      <c r="B5130" s="6"/>
      <c r="C5130" s="6"/>
      <c r="D5130" s="6"/>
      <c r="E5130" s="6"/>
      <c r="F5130" s="4"/>
      <c r="G5130" s="4"/>
      <c r="H5130" s="4"/>
      <c r="I5130" s="4"/>
      <c r="J5130" s="18"/>
      <c r="K5130" s="4"/>
      <c r="L5130" s="19"/>
      <c r="M5130" s="20"/>
    </row>
    <row r="5131">
      <c r="A5131" s="6"/>
      <c r="B5131" s="6"/>
      <c r="C5131" s="6"/>
      <c r="D5131" s="6"/>
      <c r="E5131" s="6"/>
      <c r="F5131" s="4"/>
      <c r="G5131" s="4"/>
      <c r="H5131" s="4"/>
      <c r="I5131" s="4"/>
      <c r="J5131" s="18"/>
      <c r="K5131" s="4"/>
      <c r="L5131" s="19"/>
      <c r="M5131" s="20"/>
    </row>
    <row r="5132">
      <c r="A5132" s="6"/>
      <c r="B5132" s="6"/>
      <c r="C5132" s="6"/>
      <c r="D5132" s="6"/>
      <c r="E5132" s="6"/>
      <c r="F5132" s="4"/>
      <c r="G5132" s="4"/>
      <c r="H5132" s="4"/>
      <c r="I5132" s="4"/>
      <c r="J5132" s="18"/>
      <c r="K5132" s="4"/>
      <c r="L5132" s="19"/>
      <c r="M5132" s="20"/>
    </row>
    <row r="5133">
      <c r="A5133" s="6"/>
      <c r="B5133" s="6"/>
      <c r="C5133" s="6"/>
      <c r="D5133" s="6"/>
      <c r="E5133" s="6"/>
      <c r="F5133" s="4"/>
      <c r="G5133" s="4"/>
      <c r="H5133" s="4"/>
      <c r="I5133" s="4"/>
      <c r="J5133" s="18"/>
      <c r="K5133" s="4"/>
      <c r="L5133" s="19"/>
      <c r="M5133" s="20"/>
    </row>
    <row r="5134">
      <c r="A5134" s="6"/>
      <c r="B5134" s="6"/>
      <c r="C5134" s="6"/>
      <c r="D5134" s="6"/>
      <c r="E5134" s="6"/>
      <c r="F5134" s="4"/>
      <c r="G5134" s="4"/>
      <c r="H5134" s="4"/>
      <c r="I5134" s="4"/>
      <c r="J5134" s="18"/>
      <c r="K5134" s="4"/>
      <c r="L5134" s="19"/>
      <c r="M5134" s="20"/>
    </row>
    <row r="5135">
      <c r="A5135" s="6"/>
      <c r="B5135" s="6"/>
      <c r="C5135" s="6"/>
      <c r="D5135" s="6"/>
      <c r="E5135" s="6"/>
      <c r="F5135" s="4"/>
      <c r="G5135" s="4"/>
      <c r="H5135" s="4"/>
      <c r="I5135" s="4"/>
      <c r="J5135" s="18"/>
      <c r="K5135" s="4"/>
      <c r="L5135" s="19"/>
      <c r="M5135" s="20"/>
    </row>
    <row r="5136">
      <c r="A5136" s="6"/>
      <c r="B5136" s="6"/>
      <c r="C5136" s="6"/>
      <c r="D5136" s="6"/>
      <c r="E5136" s="6"/>
      <c r="F5136" s="4"/>
      <c r="G5136" s="4"/>
      <c r="H5136" s="4"/>
      <c r="I5136" s="4"/>
      <c r="J5136" s="18"/>
      <c r="K5136" s="4"/>
      <c r="L5136" s="19"/>
      <c r="M5136" s="20"/>
    </row>
    <row r="5137">
      <c r="A5137" s="6"/>
      <c r="B5137" s="6"/>
      <c r="C5137" s="6"/>
      <c r="D5137" s="6"/>
      <c r="E5137" s="6"/>
      <c r="F5137" s="4"/>
      <c r="G5137" s="4"/>
      <c r="H5137" s="4"/>
      <c r="I5137" s="4"/>
      <c r="J5137" s="18"/>
      <c r="K5137" s="4"/>
      <c r="L5137" s="19"/>
      <c r="M5137" s="20"/>
    </row>
    <row r="5138">
      <c r="A5138" s="6"/>
      <c r="B5138" s="6"/>
      <c r="C5138" s="6"/>
      <c r="D5138" s="6"/>
      <c r="E5138" s="6"/>
      <c r="F5138" s="4"/>
      <c r="G5138" s="4"/>
      <c r="H5138" s="4"/>
      <c r="I5138" s="4"/>
      <c r="J5138" s="18"/>
      <c r="K5138" s="4"/>
      <c r="L5138" s="19"/>
      <c r="M5138" s="20"/>
    </row>
    <row r="5139">
      <c r="A5139" s="6"/>
      <c r="B5139" s="6"/>
      <c r="C5139" s="6"/>
      <c r="D5139" s="6"/>
      <c r="E5139" s="6"/>
      <c r="F5139" s="4"/>
      <c r="G5139" s="4"/>
      <c r="H5139" s="4"/>
      <c r="I5139" s="4"/>
      <c r="J5139" s="18"/>
      <c r="K5139" s="4"/>
      <c r="L5139" s="19"/>
      <c r="M5139" s="20"/>
    </row>
    <row r="5140">
      <c r="A5140" s="6"/>
      <c r="B5140" s="6"/>
      <c r="C5140" s="6"/>
      <c r="D5140" s="6"/>
      <c r="E5140" s="6"/>
      <c r="F5140" s="4"/>
      <c r="G5140" s="4"/>
      <c r="H5140" s="4"/>
      <c r="I5140" s="4"/>
      <c r="J5140" s="18"/>
      <c r="K5140" s="4"/>
      <c r="L5140" s="19"/>
      <c r="M5140" s="20"/>
    </row>
    <row r="5141">
      <c r="A5141" s="6"/>
      <c r="B5141" s="6"/>
      <c r="C5141" s="6"/>
      <c r="D5141" s="6"/>
      <c r="E5141" s="6"/>
      <c r="F5141" s="4"/>
      <c r="G5141" s="4"/>
      <c r="H5141" s="4"/>
      <c r="I5141" s="4"/>
      <c r="J5141" s="18"/>
      <c r="K5141" s="4"/>
      <c r="L5141" s="19"/>
      <c r="M5141" s="20"/>
    </row>
    <row r="5142">
      <c r="A5142" s="6"/>
      <c r="B5142" s="6"/>
      <c r="C5142" s="6"/>
      <c r="D5142" s="6"/>
      <c r="E5142" s="6"/>
      <c r="F5142" s="4"/>
      <c r="G5142" s="4"/>
      <c r="H5142" s="4"/>
      <c r="I5142" s="4"/>
      <c r="J5142" s="18"/>
      <c r="K5142" s="4"/>
      <c r="L5142" s="19"/>
      <c r="M5142" s="20"/>
    </row>
    <row r="5143">
      <c r="A5143" s="6"/>
      <c r="B5143" s="6"/>
      <c r="C5143" s="6"/>
      <c r="D5143" s="6"/>
      <c r="E5143" s="6"/>
      <c r="F5143" s="4"/>
      <c r="G5143" s="4"/>
      <c r="H5143" s="4"/>
      <c r="I5143" s="4"/>
      <c r="J5143" s="18"/>
      <c r="K5143" s="4"/>
      <c r="L5143" s="19"/>
      <c r="M5143" s="20"/>
    </row>
    <row r="5144">
      <c r="A5144" s="6"/>
      <c r="B5144" s="6"/>
      <c r="C5144" s="6"/>
      <c r="D5144" s="6"/>
      <c r="E5144" s="6"/>
      <c r="F5144" s="4"/>
      <c r="G5144" s="4"/>
      <c r="H5144" s="4"/>
      <c r="I5144" s="4"/>
      <c r="J5144" s="18"/>
      <c r="K5144" s="4"/>
      <c r="L5144" s="19"/>
      <c r="M5144" s="20"/>
    </row>
    <row r="5145">
      <c r="A5145" s="6"/>
      <c r="B5145" s="6"/>
      <c r="C5145" s="6"/>
      <c r="D5145" s="6"/>
      <c r="E5145" s="6"/>
      <c r="F5145" s="4"/>
      <c r="G5145" s="4"/>
      <c r="H5145" s="4"/>
      <c r="I5145" s="4"/>
      <c r="J5145" s="18"/>
      <c r="K5145" s="4"/>
      <c r="L5145" s="19"/>
      <c r="M5145" s="20"/>
    </row>
    <row r="5146">
      <c r="A5146" s="6"/>
      <c r="B5146" s="6"/>
      <c r="C5146" s="6"/>
      <c r="D5146" s="6"/>
      <c r="E5146" s="6"/>
      <c r="F5146" s="4"/>
      <c r="G5146" s="4"/>
      <c r="H5146" s="4"/>
      <c r="I5146" s="4"/>
      <c r="J5146" s="18"/>
      <c r="K5146" s="4"/>
      <c r="L5146" s="19"/>
      <c r="M5146" s="20"/>
    </row>
    <row r="5147">
      <c r="A5147" s="6"/>
      <c r="B5147" s="6"/>
      <c r="C5147" s="6"/>
      <c r="D5147" s="6"/>
      <c r="E5147" s="6"/>
      <c r="F5147" s="4"/>
      <c r="G5147" s="4"/>
      <c r="H5147" s="4"/>
      <c r="I5147" s="4"/>
      <c r="J5147" s="18"/>
      <c r="K5147" s="4"/>
      <c r="L5147" s="19"/>
      <c r="M5147" s="20"/>
    </row>
    <row r="5148">
      <c r="A5148" s="6"/>
      <c r="B5148" s="6"/>
      <c r="C5148" s="6"/>
      <c r="D5148" s="6"/>
      <c r="E5148" s="6"/>
      <c r="F5148" s="4"/>
      <c r="G5148" s="4"/>
      <c r="H5148" s="4"/>
      <c r="I5148" s="4"/>
      <c r="J5148" s="18"/>
      <c r="K5148" s="4"/>
      <c r="L5148" s="19"/>
      <c r="M5148" s="20"/>
    </row>
    <row r="5149">
      <c r="A5149" s="6"/>
      <c r="B5149" s="6"/>
      <c r="C5149" s="6"/>
      <c r="D5149" s="6"/>
      <c r="E5149" s="6"/>
      <c r="F5149" s="4"/>
      <c r="G5149" s="4"/>
      <c r="H5149" s="4"/>
      <c r="I5149" s="4"/>
      <c r="J5149" s="18"/>
      <c r="K5149" s="4"/>
      <c r="L5149" s="19"/>
      <c r="M5149" s="20"/>
    </row>
    <row r="5150">
      <c r="A5150" s="6"/>
      <c r="B5150" s="6"/>
      <c r="C5150" s="6"/>
      <c r="D5150" s="6"/>
      <c r="E5150" s="6"/>
      <c r="F5150" s="4"/>
      <c r="G5150" s="4"/>
      <c r="H5150" s="4"/>
      <c r="I5150" s="4"/>
      <c r="J5150" s="18"/>
      <c r="K5150" s="4"/>
      <c r="L5150" s="19"/>
      <c r="M5150" s="20"/>
    </row>
    <row r="5151">
      <c r="A5151" s="6"/>
      <c r="B5151" s="6"/>
      <c r="C5151" s="6"/>
      <c r="D5151" s="6"/>
      <c r="E5151" s="6"/>
      <c r="F5151" s="4"/>
      <c r="G5151" s="4"/>
      <c r="H5151" s="4"/>
      <c r="I5151" s="4"/>
      <c r="J5151" s="18"/>
      <c r="K5151" s="4"/>
      <c r="L5151" s="19"/>
      <c r="M5151" s="20"/>
    </row>
    <row r="5152">
      <c r="A5152" s="6"/>
      <c r="B5152" s="6"/>
      <c r="C5152" s="6"/>
      <c r="D5152" s="6"/>
      <c r="E5152" s="6"/>
      <c r="F5152" s="4"/>
      <c r="G5152" s="4"/>
      <c r="H5152" s="4"/>
      <c r="I5152" s="4"/>
      <c r="J5152" s="18"/>
      <c r="K5152" s="4"/>
      <c r="L5152" s="19"/>
      <c r="M5152" s="20"/>
    </row>
    <row r="5153">
      <c r="A5153" s="6"/>
      <c r="B5153" s="6"/>
      <c r="C5153" s="6"/>
      <c r="D5153" s="6"/>
      <c r="E5153" s="6"/>
      <c r="F5153" s="4"/>
      <c r="G5153" s="4"/>
      <c r="H5153" s="4"/>
      <c r="I5153" s="4"/>
      <c r="J5153" s="18"/>
      <c r="K5153" s="4"/>
      <c r="L5153" s="19"/>
      <c r="M5153" s="20"/>
    </row>
    <row r="5154">
      <c r="A5154" s="6"/>
      <c r="B5154" s="6"/>
      <c r="C5154" s="6"/>
      <c r="D5154" s="6"/>
      <c r="E5154" s="6"/>
      <c r="F5154" s="4"/>
      <c r="G5154" s="4"/>
      <c r="H5154" s="4"/>
      <c r="I5154" s="4"/>
      <c r="J5154" s="18"/>
      <c r="K5154" s="4"/>
      <c r="L5154" s="19"/>
      <c r="M5154" s="20"/>
    </row>
    <row r="5155">
      <c r="A5155" s="6"/>
      <c r="B5155" s="6"/>
      <c r="C5155" s="6"/>
      <c r="D5155" s="6"/>
      <c r="E5155" s="6"/>
      <c r="F5155" s="4"/>
      <c r="G5155" s="4"/>
      <c r="H5155" s="4"/>
      <c r="I5155" s="4"/>
      <c r="J5155" s="18"/>
      <c r="K5155" s="4"/>
      <c r="L5155" s="19"/>
      <c r="M5155" s="20"/>
    </row>
    <row r="5156">
      <c r="A5156" s="6"/>
      <c r="B5156" s="6"/>
      <c r="C5156" s="6"/>
      <c r="D5156" s="6"/>
      <c r="E5156" s="6"/>
      <c r="F5156" s="4"/>
      <c r="G5156" s="4"/>
      <c r="H5156" s="4"/>
      <c r="I5156" s="4"/>
      <c r="J5156" s="18"/>
      <c r="K5156" s="4"/>
      <c r="L5156" s="19"/>
      <c r="M5156" s="20"/>
    </row>
    <row r="5157">
      <c r="A5157" s="6"/>
      <c r="B5157" s="6"/>
      <c r="C5157" s="6"/>
      <c r="D5157" s="6"/>
      <c r="E5157" s="6"/>
      <c r="F5157" s="4"/>
      <c r="G5157" s="4"/>
      <c r="H5157" s="4"/>
      <c r="I5157" s="4"/>
      <c r="J5157" s="18"/>
      <c r="K5157" s="4"/>
      <c r="L5157" s="19"/>
      <c r="M5157" s="20"/>
    </row>
    <row r="5158">
      <c r="A5158" s="6"/>
      <c r="B5158" s="6"/>
      <c r="C5158" s="6"/>
      <c r="D5158" s="6"/>
      <c r="E5158" s="6"/>
      <c r="F5158" s="4"/>
      <c r="G5158" s="4"/>
      <c r="H5158" s="4"/>
      <c r="I5158" s="4"/>
      <c r="J5158" s="18"/>
      <c r="K5158" s="4"/>
      <c r="L5158" s="19"/>
      <c r="M5158" s="20"/>
    </row>
    <row r="5159">
      <c r="A5159" s="6"/>
      <c r="B5159" s="6"/>
      <c r="C5159" s="6"/>
      <c r="D5159" s="6"/>
      <c r="E5159" s="6"/>
      <c r="F5159" s="4"/>
      <c r="G5159" s="4"/>
      <c r="H5159" s="4"/>
      <c r="I5159" s="4"/>
      <c r="J5159" s="18"/>
      <c r="K5159" s="4"/>
      <c r="L5159" s="19"/>
      <c r="M5159" s="20"/>
    </row>
    <row r="5160">
      <c r="A5160" s="6"/>
      <c r="B5160" s="6"/>
      <c r="C5160" s="6"/>
      <c r="D5160" s="6"/>
      <c r="E5160" s="6"/>
      <c r="F5160" s="4"/>
      <c r="G5160" s="4"/>
      <c r="H5160" s="4"/>
      <c r="I5160" s="4"/>
      <c r="J5160" s="18"/>
      <c r="K5160" s="4"/>
      <c r="L5160" s="19"/>
      <c r="M5160" s="20"/>
    </row>
    <row r="5161">
      <c r="A5161" s="6"/>
      <c r="B5161" s="6"/>
      <c r="C5161" s="6"/>
      <c r="D5161" s="6"/>
      <c r="E5161" s="6"/>
      <c r="F5161" s="4"/>
      <c r="G5161" s="4"/>
      <c r="H5161" s="4"/>
      <c r="I5161" s="4"/>
      <c r="J5161" s="18"/>
      <c r="K5161" s="4"/>
      <c r="L5161" s="19"/>
      <c r="M5161" s="20"/>
    </row>
    <row r="5162">
      <c r="A5162" s="6"/>
      <c r="B5162" s="6"/>
      <c r="C5162" s="6"/>
      <c r="D5162" s="6"/>
      <c r="E5162" s="6"/>
      <c r="F5162" s="4"/>
      <c r="G5162" s="4"/>
      <c r="H5162" s="4"/>
      <c r="I5162" s="4"/>
      <c r="J5162" s="18"/>
      <c r="K5162" s="4"/>
      <c r="L5162" s="19"/>
      <c r="M5162" s="20"/>
    </row>
    <row r="5163">
      <c r="A5163" s="6"/>
      <c r="B5163" s="6"/>
      <c r="C5163" s="6"/>
      <c r="D5163" s="6"/>
      <c r="E5163" s="6"/>
      <c r="F5163" s="4"/>
      <c r="G5163" s="4"/>
      <c r="H5163" s="4"/>
      <c r="I5163" s="4"/>
      <c r="J5163" s="18"/>
      <c r="K5163" s="4"/>
      <c r="L5163" s="19"/>
      <c r="M5163" s="20"/>
    </row>
    <row r="5164">
      <c r="A5164" s="6"/>
      <c r="B5164" s="6"/>
      <c r="C5164" s="6"/>
      <c r="D5164" s="6"/>
      <c r="E5164" s="6"/>
      <c r="F5164" s="4"/>
      <c r="G5164" s="4"/>
      <c r="H5164" s="4"/>
      <c r="I5164" s="4"/>
      <c r="J5164" s="18"/>
      <c r="K5164" s="4"/>
      <c r="L5164" s="19"/>
      <c r="M5164" s="20"/>
    </row>
    <row r="5165">
      <c r="A5165" s="6"/>
      <c r="B5165" s="6"/>
      <c r="C5165" s="6"/>
      <c r="D5165" s="6"/>
      <c r="E5165" s="6"/>
      <c r="F5165" s="4"/>
      <c r="G5165" s="4"/>
      <c r="H5165" s="4"/>
      <c r="I5165" s="4"/>
      <c r="J5165" s="18"/>
      <c r="K5165" s="4"/>
      <c r="L5165" s="19"/>
      <c r="M5165" s="20"/>
    </row>
    <row r="5166">
      <c r="A5166" s="6"/>
      <c r="B5166" s="6"/>
      <c r="C5166" s="6"/>
      <c r="D5166" s="6"/>
      <c r="E5166" s="6"/>
      <c r="F5166" s="4"/>
      <c r="G5166" s="4"/>
      <c r="H5166" s="4"/>
      <c r="I5166" s="4"/>
      <c r="J5166" s="18"/>
      <c r="K5166" s="4"/>
      <c r="L5166" s="19"/>
      <c r="M5166" s="20"/>
    </row>
    <row r="5167">
      <c r="A5167" s="6"/>
      <c r="B5167" s="6"/>
      <c r="C5167" s="6"/>
      <c r="D5167" s="6"/>
      <c r="E5167" s="6"/>
      <c r="F5167" s="4"/>
      <c r="G5167" s="4"/>
      <c r="H5167" s="4"/>
      <c r="I5167" s="4"/>
      <c r="J5167" s="18"/>
      <c r="K5167" s="4"/>
      <c r="L5167" s="19"/>
      <c r="M5167" s="20"/>
    </row>
    <row r="5168">
      <c r="A5168" s="6"/>
      <c r="B5168" s="6"/>
      <c r="C5168" s="6"/>
      <c r="D5168" s="6"/>
      <c r="E5168" s="6"/>
      <c r="F5168" s="4"/>
      <c r="G5168" s="4"/>
      <c r="H5168" s="4"/>
      <c r="I5168" s="4"/>
      <c r="J5168" s="18"/>
      <c r="K5168" s="4"/>
      <c r="L5168" s="19"/>
      <c r="M5168" s="20"/>
    </row>
    <row r="5169">
      <c r="A5169" s="6"/>
      <c r="B5169" s="6"/>
      <c r="C5169" s="6"/>
      <c r="D5169" s="6"/>
      <c r="E5169" s="6"/>
      <c r="F5169" s="4"/>
      <c r="G5169" s="4"/>
      <c r="H5169" s="4"/>
      <c r="I5169" s="4"/>
      <c r="J5169" s="18"/>
      <c r="K5169" s="4"/>
      <c r="L5169" s="19"/>
      <c r="M5169" s="20"/>
    </row>
    <row r="5170">
      <c r="A5170" s="6"/>
      <c r="B5170" s="6"/>
      <c r="C5170" s="6"/>
      <c r="D5170" s="6"/>
      <c r="E5170" s="6"/>
      <c r="F5170" s="4"/>
      <c r="G5170" s="4"/>
      <c r="H5170" s="4"/>
      <c r="I5170" s="4"/>
      <c r="J5170" s="18"/>
      <c r="K5170" s="4"/>
      <c r="L5170" s="19"/>
      <c r="M5170" s="20"/>
    </row>
    <row r="5171">
      <c r="A5171" s="6"/>
      <c r="B5171" s="6"/>
      <c r="C5171" s="6"/>
      <c r="D5171" s="6"/>
      <c r="E5171" s="6"/>
      <c r="F5171" s="4"/>
      <c r="G5171" s="4"/>
      <c r="H5171" s="4"/>
      <c r="I5171" s="4"/>
      <c r="J5171" s="18"/>
      <c r="K5171" s="4"/>
      <c r="L5171" s="19"/>
      <c r="M5171" s="20"/>
    </row>
    <row r="5172">
      <c r="A5172" s="6"/>
      <c r="B5172" s="6"/>
      <c r="C5172" s="6"/>
      <c r="D5172" s="6"/>
      <c r="E5172" s="6"/>
      <c r="F5172" s="4"/>
      <c r="G5172" s="4"/>
      <c r="H5172" s="4"/>
      <c r="I5172" s="4"/>
      <c r="J5172" s="18"/>
      <c r="K5172" s="4"/>
      <c r="L5172" s="19"/>
      <c r="M5172" s="20"/>
    </row>
    <row r="5173">
      <c r="A5173" s="6"/>
      <c r="B5173" s="6"/>
      <c r="C5173" s="6"/>
      <c r="D5173" s="6"/>
      <c r="E5173" s="6"/>
      <c r="F5173" s="4"/>
      <c r="G5173" s="4"/>
      <c r="H5173" s="4"/>
      <c r="I5173" s="4"/>
      <c r="J5173" s="18"/>
      <c r="K5173" s="4"/>
      <c r="L5173" s="19"/>
      <c r="M5173" s="20"/>
    </row>
    <row r="5174">
      <c r="A5174" s="6"/>
      <c r="B5174" s="6"/>
      <c r="C5174" s="6"/>
      <c r="D5174" s="6"/>
      <c r="E5174" s="6"/>
      <c r="F5174" s="4"/>
      <c r="G5174" s="4"/>
      <c r="H5174" s="4"/>
      <c r="I5174" s="4"/>
      <c r="J5174" s="18"/>
      <c r="K5174" s="4"/>
      <c r="L5174" s="19"/>
      <c r="M5174" s="20"/>
    </row>
    <row r="5175">
      <c r="A5175" s="6"/>
      <c r="B5175" s="6"/>
      <c r="C5175" s="6"/>
      <c r="D5175" s="6"/>
      <c r="E5175" s="6"/>
      <c r="F5175" s="4"/>
      <c r="G5175" s="4"/>
      <c r="H5175" s="4"/>
      <c r="I5175" s="4"/>
      <c r="J5175" s="18"/>
      <c r="K5175" s="4"/>
      <c r="L5175" s="19"/>
      <c r="M5175" s="20"/>
    </row>
    <row r="5176">
      <c r="A5176" s="6"/>
      <c r="B5176" s="6"/>
      <c r="C5176" s="6"/>
      <c r="D5176" s="6"/>
      <c r="E5176" s="6"/>
      <c r="F5176" s="4"/>
      <c r="G5176" s="4"/>
      <c r="H5176" s="4"/>
      <c r="I5176" s="4"/>
      <c r="J5176" s="18"/>
      <c r="K5176" s="4"/>
      <c r="L5176" s="19"/>
      <c r="M5176" s="20"/>
    </row>
    <row r="5177">
      <c r="A5177" s="6"/>
      <c r="B5177" s="6"/>
      <c r="C5177" s="6"/>
      <c r="D5177" s="6"/>
      <c r="E5177" s="6"/>
      <c r="F5177" s="4"/>
      <c r="G5177" s="4"/>
      <c r="H5177" s="4"/>
      <c r="I5177" s="4"/>
      <c r="J5177" s="18"/>
      <c r="K5177" s="4"/>
      <c r="L5177" s="19"/>
      <c r="M5177" s="20"/>
    </row>
    <row r="5178">
      <c r="A5178" s="6"/>
      <c r="B5178" s="6"/>
      <c r="C5178" s="6"/>
      <c r="D5178" s="6"/>
      <c r="E5178" s="6"/>
      <c r="F5178" s="4"/>
      <c r="G5178" s="4"/>
      <c r="H5178" s="4"/>
      <c r="I5178" s="4"/>
      <c r="J5178" s="18"/>
      <c r="K5178" s="4"/>
      <c r="L5178" s="19"/>
      <c r="M5178" s="20"/>
    </row>
    <row r="5179">
      <c r="A5179" s="6"/>
      <c r="B5179" s="6"/>
      <c r="C5179" s="6"/>
      <c r="D5179" s="6"/>
      <c r="E5179" s="6"/>
      <c r="F5179" s="4"/>
      <c r="G5179" s="4"/>
      <c r="H5179" s="4"/>
      <c r="I5179" s="4"/>
      <c r="J5179" s="18"/>
      <c r="K5179" s="4"/>
      <c r="L5179" s="19"/>
      <c r="M5179" s="20"/>
    </row>
    <row r="5180">
      <c r="A5180" s="6"/>
      <c r="B5180" s="6"/>
      <c r="C5180" s="6"/>
      <c r="D5180" s="6"/>
      <c r="E5180" s="6"/>
      <c r="F5180" s="4"/>
      <c r="G5180" s="4"/>
      <c r="H5180" s="4"/>
      <c r="I5180" s="4"/>
      <c r="J5180" s="18"/>
      <c r="K5180" s="4"/>
      <c r="L5180" s="19"/>
      <c r="M5180" s="20"/>
    </row>
    <row r="5181">
      <c r="A5181" s="6"/>
      <c r="B5181" s="6"/>
      <c r="C5181" s="6"/>
      <c r="D5181" s="6"/>
      <c r="E5181" s="6"/>
      <c r="F5181" s="4"/>
      <c r="G5181" s="4"/>
      <c r="H5181" s="4"/>
      <c r="I5181" s="4"/>
      <c r="J5181" s="18"/>
      <c r="K5181" s="4"/>
      <c r="L5181" s="19"/>
      <c r="M5181" s="20"/>
    </row>
    <row r="5182">
      <c r="A5182" s="6"/>
      <c r="B5182" s="6"/>
      <c r="C5182" s="6"/>
      <c r="D5182" s="6"/>
      <c r="E5182" s="6"/>
      <c r="F5182" s="4"/>
      <c r="G5182" s="4"/>
      <c r="H5182" s="4"/>
      <c r="I5182" s="4"/>
      <c r="J5182" s="18"/>
      <c r="K5182" s="4"/>
      <c r="L5182" s="19"/>
      <c r="M5182" s="20"/>
    </row>
    <row r="5183">
      <c r="A5183" s="6"/>
      <c r="B5183" s="6"/>
      <c r="C5183" s="6"/>
      <c r="D5183" s="6"/>
      <c r="E5183" s="6"/>
      <c r="F5183" s="4"/>
      <c r="G5183" s="4"/>
      <c r="H5183" s="4"/>
      <c r="I5183" s="4"/>
      <c r="J5183" s="18"/>
      <c r="K5183" s="4"/>
      <c r="L5183" s="19"/>
      <c r="M5183" s="20"/>
    </row>
    <row r="5184">
      <c r="A5184" s="6"/>
      <c r="B5184" s="6"/>
      <c r="C5184" s="6"/>
      <c r="D5184" s="6"/>
      <c r="E5184" s="6"/>
      <c r="F5184" s="4"/>
      <c r="G5184" s="4"/>
      <c r="H5184" s="4"/>
      <c r="I5184" s="4"/>
      <c r="J5184" s="18"/>
      <c r="K5184" s="4"/>
      <c r="L5184" s="19"/>
      <c r="M5184" s="20"/>
    </row>
    <row r="5185">
      <c r="A5185" s="6"/>
      <c r="B5185" s="6"/>
      <c r="C5185" s="6"/>
      <c r="D5185" s="6"/>
      <c r="E5185" s="6"/>
      <c r="F5185" s="4"/>
      <c r="G5185" s="4"/>
      <c r="H5185" s="4"/>
      <c r="I5185" s="4"/>
      <c r="J5185" s="18"/>
      <c r="K5185" s="4"/>
      <c r="L5185" s="19"/>
      <c r="M5185" s="20"/>
    </row>
    <row r="5186">
      <c r="A5186" s="6"/>
      <c r="B5186" s="6"/>
      <c r="C5186" s="6"/>
      <c r="D5186" s="6"/>
      <c r="E5186" s="6"/>
      <c r="F5186" s="4"/>
      <c r="G5186" s="4"/>
      <c r="H5186" s="4"/>
      <c r="I5186" s="4"/>
      <c r="J5186" s="18"/>
      <c r="K5186" s="4"/>
      <c r="L5186" s="19"/>
      <c r="M5186" s="20"/>
    </row>
    <row r="5187">
      <c r="A5187" s="6"/>
      <c r="B5187" s="6"/>
      <c r="C5187" s="6"/>
      <c r="D5187" s="6"/>
      <c r="E5187" s="6"/>
      <c r="F5187" s="4"/>
      <c r="G5187" s="4"/>
      <c r="H5187" s="4"/>
      <c r="I5187" s="4"/>
      <c r="J5187" s="18"/>
      <c r="K5187" s="4"/>
      <c r="L5187" s="19"/>
      <c r="M5187" s="20"/>
    </row>
    <row r="5188">
      <c r="A5188" s="6"/>
      <c r="B5188" s="6"/>
      <c r="C5188" s="6"/>
      <c r="D5188" s="6"/>
      <c r="E5188" s="6"/>
      <c r="F5188" s="4"/>
      <c r="G5188" s="4"/>
      <c r="H5188" s="4"/>
      <c r="I5188" s="4"/>
      <c r="J5188" s="18"/>
      <c r="K5188" s="4"/>
      <c r="L5188" s="19"/>
      <c r="M5188" s="20"/>
    </row>
    <row r="5189">
      <c r="A5189" s="6"/>
      <c r="B5189" s="6"/>
      <c r="C5189" s="6"/>
      <c r="D5189" s="6"/>
      <c r="E5189" s="6"/>
      <c r="F5189" s="4"/>
      <c r="G5189" s="4"/>
      <c r="H5189" s="4"/>
      <c r="I5189" s="4"/>
      <c r="J5189" s="18"/>
      <c r="K5189" s="4"/>
      <c r="L5189" s="19"/>
      <c r="M5189" s="20"/>
    </row>
    <row r="5190">
      <c r="A5190" s="6"/>
      <c r="B5190" s="6"/>
      <c r="C5190" s="6"/>
      <c r="D5190" s="6"/>
      <c r="E5190" s="6"/>
      <c r="F5190" s="4"/>
      <c r="G5190" s="4"/>
      <c r="H5190" s="4"/>
      <c r="I5190" s="4"/>
      <c r="J5190" s="18"/>
      <c r="K5190" s="4"/>
      <c r="L5190" s="19"/>
      <c r="M5190" s="20"/>
    </row>
    <row r="5191">
      <c r="A5191" s="6"/>
      <c r="B5191" s="6"/>
      <c r="C5191" s="6"/>
      <c r="D5191" s="6"/>
      <c r="E5191" s="6"/>
      <c r="F5191" s="4"/>
      <c r="G5191" s="4"/>
      <c r="H5191" s="4"/>
      <c r="I5191" s="4"/>
      <c r="J5191" s="18"/>
      <c r="K5191" s="4"/>
      <c r="L5191" s="19"/>
      <c r="M5191" s="20"/>
    </row>
    <row r="5192">
      <c r="A5192" s="6"/>
      <c r="B5192" s="6"/>
      <c r="C5192" s="6"/>
      <c r="D5192" s="6"/>
      <c r="E5192" s="6"/>
      <c r="F5192" s="4"/>
      <c r="G5192" s="4"/>
      <c r="H5192" s="4"/>
      <c r="I5192" s="4"/>
      <c r="J5192" s="18"/>
      <c r="K5192" s="4"/>
      <c r="L5192" s="19"/>
      <c r="M5192" s="20"/>
    </row>
    <row r="5193">
      <c r="A5193" s="6"/>
      <c r="B5193" s="6"/>
      <c r="C5193" s="6"/>
      <c r="D5193" s="6"/>
      <c r="E5193" s="6"/>
      <c r="F5193" s="4"/>
      <c r="G5193" s="4"/>
      <c r="H5193" s="4"/>
      <c r="I5193" s="4"/>
      <c r="J5193" s="18"/>
      <c r="K5193" s="4"/>
      <c r="L5193" s="19"/>
      <c r="M5193" s="20"/>
    </row>
    <row r="5194">
      <c r="A5194" s="6"/>
      <c r="B5194" s="6"/>
      <c r="C5194" s="6"/>
      <c r="D5194" s="6"/>
      <c r="E5194" s="6"/>
      <c r="F5194" s="4"/>
      <c r="G5194" s="4"/>
      <c r="H5194" s="4"/>
      <c r="I5194" s="4"/>
      <c r="J5194" s="18"/>
      <c r="K5194" s="4"/>
      <c r="L5194" s="19"/>
      <c r="M5194" s="20"/>
    </row>
    <row r="5195">
      <c r="A5195" s="6"/>
      <c r="B5195" s="6"/>
      <c r="C5195" s="6"/>
      <c r="D5195" s="6"/>
      <c r="E5195" s="6"/>
      <c r="F5195" s="4"/>
      <c r="G5195" s="4"/>
      <c r="H5195" s="4"/>
      <c r="I5195" s="4"/>
      <c r="J5195" s="18"/>
      <c r="K5195" s="4"/>
      <c r="L5195" s="19"/>
      <c r="M5195" s="20"/>
    </row>
    <row r="5196">
      <c r="A5196" s="6"/>
      <c r="B5196" s="6"/>
      <c r="C5196" s="6"/>
      <c r="D5196" s="6"/>
      <c r="E5196" s="6"/>
      <c r="F5196" s="4"/>
      <c r="G5196" s="4"/>
      <c r="H5196" s="4"/>
      <c r="I5196" s="4"/>
      <c r="J5196" s="18"/>
      <c r="K5196" s="4"/>
      <c r="L5196" s="19"/>
      <c r="M5196" s="2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40.57"/>
    <col customWidth="1" min="3" max="3" width="8.71"/>
    <col customWidth="1" min="4" max="4" width="32.29"/>
    <col customWidth="1" min="6" max="6" width="49.57"/>
    <col customWidth="1" min="7" max="7" width="32.29"/>
    <col customWidth="1" min="9" max="9" width="57.57"/>
    <col customWidth="1" min="10" max="10" width="33.14"/>
    <col customWidth="1" min="11" max="11" width="41.0"/>
    <col customWidth="1" min="12" max="12" width="32.29"/>
    <col customWidth="1" min="13" max="13" width="43.71"/>
  </cols>
  <sheetData>
    <row r="1">
      <c r="A1" s="6"/>
      <c r="B1" s="7"/>
      <c r="C1" s="2"/>
      <c r="D1" s="8" t="s">
        <v>2</v>
      </c>
      <c r="E1" s="34" t="s">
        <v>1</v>
      </c>
      <c r="F1" s="4"/>
      <c r="G1" s="7"/>
      <c r="H1" s="9"/>
      <c r="I1" s="10" t="s">
        <v>8485</v>
      </c>
      <c r="J1" s="35" t="s">
        <v>8951</v>
      </c>
      <c r="K1" s="10" t="str">
        <f>"tokens owed ($"&amp;B6&amp;"/token)"</f>
        <v>tokens owed ($0.04/token)</v>
      </c>
      <c r="L1" s="12" t="str">
        <f>"tokens owed "&amp;B3&amp;"dp"</f>
        <v>tokens owed 18dp</v>
      </c>
      <c r="M1" s="13" t="str">
        <f>"tokens owed *"&amp;B9&amp;""</f>
        <v>tokens owed *0.1</v>
      </c>
    </row>
    <row r="2">
      <c r="A2" s="14"/>
      <c r="B2" s="15" t="s">
        <v>8487</v>
      </c>
      <c r="C2" s="4"/>
      <c r="D2" s="36">
        <v>224.000554</v>
      </c>
      <c r="E2" s="4" t="s">
        <v>1218</v>
      </c>
      <c r="F2" s="9"/>
      <c r="G2" s="16" t="s">
        <v>8488</v>
      </c>
      <c r="H2" s="4"/>
      <c r="I2" s="17" t="str">
        <f>IFERROR(__xludf.DUMMYFUNCTION("UNIQUE(E2:E322)"),"0xa919538ceab5c64608945865835dbc10540feb1d")</f>
        <v>0xa919538ceab5c64608945865835dbc10540feb1d</v>
      </c>
      <c r="J2" s="18">
        <f t="array" ref="J2:J322">sumif(E2:E322,I2:I322,D2:D322)</f>
        <v>773.8316</v>
      </c>
      <c r="K2" s="4">
        <f t="array" ref="K2:K322">IF(J2:J322,J2:J322/$B$6,"")</f>
        <v>19345.79</v>
      </c>
      <c r="L2" s="19">
        <f t="array" ref="L2:L322">IF(K2:K322,K2:K322*10^$B$3,"")</f>
        <v>1.93458E+22</v>
      </c>
      <c r="M2" s="20">
        <f t="array" ref="M2:M322">IF(L2:L322,L2:L322*$B$9,"")</f>
        <v>1.93458E+21</v>
      </c>
    </row>
    <row r="3">
      <c r="A3" s="14"/>
      <c r="B3" s="37">
        <v>18.0</v>
      </c>
      <c r="C3" s="4"/>
      <c r="D3" s="36">
        <v>22.400055</v>
      </c>
      <c r="E3" s="4" t="s">
        <v>3190</v>
      </c>
      <c r="F3" s="9"/>
      <c r="G3" s="22">
        <f>sum(K2:K322)</f>
        <v>2203435.579</v>
      </c>
      <c r="H3" s="4"/>
      <c r="I3" s="4" t="str">
        <f>IFERROR(__xludf.DUMMYFUNCTION("""COMPUTED_VALUE"""),"0x5b1053748e5ffb0930634a614657745cc445c41c")</f>
        <v>0x5b1053748e5ffb0930634a614657745cc445c41c</v>
      </c>
      <c r="J3" s="18">
        <v>22.400055</v>
      </c>
      <c r="K3" s="4">
        <v>560.0013749999999</v>
      </c>
      <c r="L3" s="19">
        <v>5.6000137499999994E20</v>
      </c>
      <c r="M3" s="20">
        <v>5.600013749999999E19</v>
      </c>
    </row>
    <row r="4">
      <c r="A4" s="6"/>
      <c r="B4" s="23"/>
      <c r="C4" s="4"/>
      <c r="D4" s="36">
        <v>224.000554</v>
      </c>
      <c r="E4" s="4" t="s">
        <v>8952</v>
      </c>
      <c r="F4" s="4"/>
      <c r="G4" s="7"/>
      <c r="H4" s="4"/>
      <c r="I4" s="4" t="str">
        <f>IFERROR(__xludf.DUMMYFUNCTION("""COMPUTED_VALUE"""),"0xde6b8d52b54ec08f56e02679149dfc240561d4f7")</f>
        <v>0xde6b8d52b54ec08f56e02679149dfc240561d4f7</v>
      </c>
      <c r="J4" s="18">
        <v>1270.17492</v>
      </c>
      <c r="K4" s="4">
        <v>31754.372999999996</v>
      </c>
      <c r="L4" s="19">
        <v>3.1754372999999998E22</v>
      </c>
      <c r="M4" s="20">
        <v>3.1754373E21</v>
      </c>
    </row>
    <row r="5">
      <c r="A5" s="14"/>
      <c r="B5" s="16" t="s">
        <v>8489</v>
      </c>
      <c r="C5" s="4"/>
      <c r="D5" s="36">
        <v>45.457118</v>
      </c>
      <c r="E5" s="4" t="s">
        <v>6587</v>
      </c>
      <c r="F5" s="9"/>
      <c r="G5" s="16" t="s">
        <v>8490</v>
      </c>
      <c r="H5" s="4"/>
      <c r="I5" s="4" t="str">
        <f>IFERROR(__xludf.DUMMYFUNCTION("""COMPUTED_VALUE"""),"0xf0f225e01cf084d3c246ad595ab60d0d4f5b4c78")</f>
        <v>0xf0f225e01cf084d3c246ad595ab60d0d4f5b4c78</v>
      </c>
      <c r="J5" s="18">
        <v>45.457118</v>
      </c>
      <c r="K5" s="4">
        <v>1136.42795</v>
      </c>
      <c r="L5" s="19">
        <v>1.1364279500000001E21</v>
      </c>
      <c r="M5" s="20">
        <v>1.1364279500000002E20</v>
      </c>
    </row>
    <row r="6">
      <c r="A6" s="14"/>
      <c r="B6" s="24">
        <v>0.04</v>
      </c>
      <c r="C6" s="4"/>
      <c r="D6" s="36">
        <v>224.000554</v>
      </c>
      <c r="E6" s="4" t="s">
        <v>1091</v>
      </c>
      <c r="F6" s="9"/>
      <c r="G6" s="25">
        <f>COUNTA(I2:I322)</f>
        <v>237</v>
      </c>
      <c r="H6" s="4"/>
      <c r="I6" s="4" t="str">
        <f>IFERROR(__xludf.DUMMYFUNCTION("""COMPUTED_VALUE"""),"0xeda39af25b25f179bed410ecc6d33060952b7db3")</f>
        <v>0xeda39af25b25f179bed410ecc6d33060952b7db3</v>
      </c>
      <c r="J6" s="18">
        <v>758.287622</v>
      </c>
      <c r="K6" s="4">
        <v>18957.19055</v>
      </c>
      <c r="L6" s="19">
        <v>1.895719055E22</v>
      </c>
      <c r="M6" s="20">
        <v>1.895719055E21</v>
      </c>
    </row>
    <row r="7">
      <c r="A7" s="6"/>
      <c r="B7" s="23"/>
      <c r="C7" s="4"/>
      <c r="D7" s="36">
        <v>38.981056</v>
      </c>
      <c r="E7" s="4" t="s">
        <v>8953</v>
      </c>
      <c r="F7" s="4"/>
      <c r="G7" s="7"/>
      <c r="H7" s="4"/>
      <c r="I7" s="4" t="str">
        <f>IFERROR(__xludf.DUMMYFUNCTION("""COMPUTED_VALUE"""),"0x814dcd4f54a8f2e5ec50fe4de860fb3274632572")</f>
        <v>0x814dcd4f54a8f2e5ec50fe4de860fb3274632572</v>
      </c>
      <c r="J7" s="18">
        <v>38.981056</v>
      </c>
      <c r="K7" s="4">
        <v>974.5264000000001</v>
      </c>
      <c r="L7" s="19">
        <v>9.745264000000001E20</v>
      </c>
      <c r="M7" s="20">
        <v>9.745264000000002E19</v>
      </c>
    </row>
    <row r="8">
      <c r="A8" s="14"/>
      <c r="B8" s="16" t="s">
        <v>8491</v>
      </c>
      <c r="C8" s="4"/>
      <c r="D8" s="36">
        <v>116.139411</v>
      </c>
      <c r="E8" s="4" t="s">
        <v>2112</v>
      </c>
      <c r="F8" s="9"/>
      <c r="G8" s="26" t="s">
        <v>8492</v>
      </c>
      <c r="H8" s="4"/>
      <c r="I8" s="4" t="str">
        <f>IFERROR(__xludf.DUMMYFUNCTION("""COMPUTED_VALUE"""),"0x01368f7aa6f1ad5d0ce99b0f37e994e874f630b4")</f>
        <v>0x01368f7aa6f1ad5d0ce99b0f37e994e874f630b4</v>
      </c>
      <c r="J8" s="18">
        <v>116.139411</v>
      </c>
      <c r="K8" s="4">
        <v>2903.485275</v>
      </c>
      <c r="L8" s="19">
        <v>2.903485275E21</v>
      </c>
      <c r="M8" s="20">
        <v>2.9034852750000003E20</v>
      </c>
    </row>
    <row r="9">
      <c r="A9" s="14"/>
      <c r="B9" s="27">
        <v>0.1</v>
      </c>
      <c r="C9" s="4"/>
      <c r="D9" s="36">
        <v>119.085493</v>
      </c>
      <c r="E9" s="4" t="s">
        <v>8643</v>
      </c>
      <c r="F9" s="9"/>
      <c r="G9" s="28">
        <f>SUM(D2:D322)</f>
        <v>88137.42317</v>
      </c>
      <c r="H9" s="4"/>
      <c r="I9" s="4" t="str">
        <f>IFERROR(__xludf.DUMMYFUNCTION("""COMPUTED_VALUE"""),"0x912989437d9c15ffccb94c0290e286499c06d351")</f>
        <v>0x912989437d9c15ffccb94c0290e286499c06d351</v>
      </c>
      <c r="J9" s="18">
        <v>119.085493</v>
      </c>
      <c r="K9" s="4">
        <v>2977.137325</v>
      </c>
      <c r="L9" s="19">
        <v>2.9771373250000003E21</v>
      </c>
      <c r="M9" s="20">
        <v>2.977137325E20</v>
      </c>
    </row>
    <row r="10">
      <c r="A10" s="6"/>
      <c r="B10" s="6"/>
      <c r="C10" s="4"/>
      <c r="D10" s="36">
        <v>68.699196</v>
      </c>
      <c r="E10" s="4" t="s">
        <v>6764</v>
      </c>
      <c r="F10" s="4"/>
      <c r="G10" s="7"/>
      <c r="H10" s="4"/>
      <c r="I10" s="4" t="str">
        <f>IFERROR(__xludf.DUMMYFUNCTION("""COMPUTED_VALUE"""),"0x3a1711bce829e721c83a20dd05dee70b8a4bb644")</f>
        <v>0x3a1711bce829e721c83a20dd05dee70b8a4bb644</v>
      </c>
      <c r="J10" s="18">
        <v>68.699196</v>
      </c>
      <c r="K10" s="4">
        <v>1717.4799</v>
      </c>
      <c r="L10" s="19">
        <v>1.7174799000000001E21</v>
      </c>
      <c r="M10" s="20">
        <v>1.7174799E20</v>
      </c>
    </row>
    <row r="11">
      <c r="A11" s="6"/>
      <c r="B11" s="6"/>
      <c r="C11" s="4"/>
      <c r="D11" s="36">
        <v>224.000554</v>
      </c>
      <c r="E11" s="4" t="s">
        <v>8954</v>
      </c>
      <c r="F11" s="9"/>
      <c r="G11" s="29" t="s">
        <v>8493</v>
      </c>
      <c r="H11" s="4"/>
      <c r="I11" s="4" t="str">
        <f>IFERROR(__xludf.DUMMYFUNCTION("""COMPUTED_VALUE"""),"0x0db815a23fd628557962d0fdbba3aaab9795ee5c")</f>
        <v>0x0db815a23fd628557962d0fdbba3aaab9795ee5c</v>
      </c>
      <c r="J11" s="18">
        <v>224.000554</v>
      </c>
      <c r="K11" s="4">
        <v>5600.013849999999</v>
      </c>
      <c r="L11" s="19">
        <v>5.60001385E21</v>
      </c>
      <c r="M11" s="20">
        <v>5.60001385E20</v>
      </c>
    </row>
    <row r="12">
      <c r="A12" s="6"/>
      <c r="B12" s="6"/>
      <c r="C12" s="4"/>
      <c r="D12" s="36">
        <v>172.929876</v>
      </c>
      <c r="E12" s="4" t="s">
        <v>8955</v>
      </c>
      <c r="F12" s="9"/>
      <c r="G12" s="25">
        <f>COUNTA(D2:D322)</f>
        <v>321</v>
      </c>
      <c r="H12" s="4"/>
      <c r="I12" s="4" t="str">
        <f>IFERROR(__xludf.DUMMYFUNCTION("""COMPUTED_VALUE"""),"0x7000ac1fbeb346692878cec9e3823cff0d782b72")</f>
        <v>0x7000ac1fbeb346692878cec9e3823cff0d782b72</v>
      </c>
      <c r="J12" s="18">
        <v>172.929876</v>
      </c>
      <c r="K12" s="4">
        <v>4323.2469</v>
      </c>
      <c r="L12" s="19">
        <v>4.3232469E21</v>
      </c>
      <c r="M12" s="20">
        <v>4.3232469000000006E20</v>
      </c>
    </row>
    <row r="13">
      <c r="A13" s="6"/>
      <c r="B13" s="6"/>
      <c r="C13" s="4"/>
      <c r="D13" s="36">
        <v>224.000554</v>
      </c>
      <c r="E13" s="4" t="s">
        <v>8956</v>
      </c>
      <c r="F13" s="4"/>
      <c r="G13" s="4"/>
      <c r="H13" s="4"/>
      <c r="I13" s="4" t="str">
        <f>IFERROR(__xludf.DUMMYFUNCTION("""COMPUTED_VALUE"""),"0xabda4d7ebbc2b1fc1195b55a619ac752983bfb6b")</f>
        <v>0xabda4d7ebbc2b1fc1195b55a619ac752983bfb6b</v>
      </c>
      <c r="J13" s="18">
        <v>224.000554</v>
      </c>
      <c r="K13" s="4">
        <v>5600.013849999999</v>
      </c>
      <c r="L13" s="19">
        <v>5.60001385E21</v>
      </c>
      <c r="M13" s="20">
        <v>5.60001385E20</v>
      </c>
    </row>
    <row r="14">
      <c r="A14" s="6"/>
      <c r="B14" s="6"/>
      <c r="C14" s="4"/>
      <c r="D14" s="36">
        <v>41.794396</v>
      </c>
      <c r="E14" s="4" t="s">
        <v>6175</v>
      </c>
      <c r="F14" s="4"/>
      <c r="G14" s="4"/>
      <c r="H14" s="4"/>
      <c r="I14" s="4" t="str">
        <f>IFERROR(__xludf.DUMMYFUNCTION("""COMPUTED_VALUE"""),"0x8fc87c199203332c1cc43430b9fad2b1868e44d0")</f>
        <v>0x8fc87c199203332c1cc43430b9fad2b1868e44d0</v>
      </c>
      <c r="J14" s="18">
        <v>41.794396</v>
      </c>
      <c r="K14" s="4">
        <v>1044.8599</v>
      </c>
      <c r="L14" s="19">
        <v>1.0448598999999999E21</v>
      </c>
      <c r="M14" s="20">
        <v>1.0448598999999999E20</v>
      </c>
    </row>
    <row r="15">
      <c r="A15" s="6"/>
      <c r="B15" s="6"/>
      <c r="C15" s="4"/>
      <c r="D15" s="36">
        <v>224.000554</v>
      </c>
      <c r="E15" s="4" t="s">
        <v>7610</v>
      </c>
      <c r="F15" s="4"/>
      <c r="G15" s="4"/>
      <c r="H15" s="4"/>
      <c r="I15" s="4" t="str">
        <f>IFERROR(__xludf.DUMMYFUNCTION("""COMPUTED_VALUE"""),"0x7b200c3e7fb825b17c3d7da1e7d29379036cfbed")</f>
        <v>0x7b200c3e7fb825b17c3d7da1e7d29379036cfbed</v>
      </c>
      <c r="J15" s="18">
        <v>224.000554</v>
      </c>
      <c r="K15" s="4">
        <v>5600.013849999999</v>
      </c>
      <c r="L15" s="19">
        <v>5.60001385E21</v>
      </c>
      <c r="M15" s="20">
        <v>5.60001385E20</v>
      </c>
    </row>
    <row r="16">
      <c r="A16" s="6"/>
      <c r="B16" s="6"/>
      <c r="C16" s="4"/>
      <c r="D16" s="36">
        <v>54.752166</v>
      </c>
      <c r="E16" s="4" t="s">
        <v>699</v>
      </c>
      <c r="F16" s="4"/>
      <c r="G16" s="4"/>
      <c r="H16" s="4"/>
      <c r="I16" s="4" t="str">
        <f>IFERROR(__xludf.DUMMYFUNCTION("""COMPUTED_VALUE"""),"0x95fcdfb381d13e1663ec0efa5b64cca851d34550")</f>
        <v>0x95fcdfb381d13e1663ec0efa5b64cca851d34550</v>
      </c>
      <c r="J16" s="18">
        <v>54.752166</v>
      </c>
      <c r="K16" s="4">
        <v>1368.80415</v>
      </c>
      <c r="L16" s="19">
        <v>1.36880415E21</v>
      </c>
      <c r="M16" s="20">
        <v>1.36880415E20</v>
      </c>
    </row>
    <row r="17">
      <c r="A17" s="6"/>
      <c r="B17" s="6"/>
      <c r="C17" s="4"/>
      <c r="D17" s="36">
        <v>224.000554</v>
      </c>
      <c r="E17" s="4" t="s">
        <v>8957</v>
      </c>
      <c r="F17" s="4"/>
      <c r="G17" s="4"/>
      <c r="H17" s="4"/>
      <c r="I17" s="4" t="str">
        <f>IFERROR(__xludf.DUMMYFUNCTION("""COMPUTED_VALUE"""),"0x827e71b1fec3a37114b7c62db6401d962247b876")</f>
        <v>0x827e71b1fec3a37114b7c62db6401d962247b876</v>
      </c>
      <c r="J17" s="18">
        <v>270.544807</v>
      </c>
      <c r="K17" s="4">
        <v>6763.620175</v>
      </c>
      <c r="L17" s="19">
        <v>6.763620175E21</v>
      </c>
      <c r="M17" s="20">
        <v>6.763620175E20</v>
      </c>
    </row>
    <row r="18">
      <c r="A18" s="6"/>
      <c r="B18" s="6"/>
      <c r="C18" s="4"/>
      <c r="D18" s="36">
        <v>115.079091</v>
      </c>
      <c r="E18" s="4" t="s">
        <v>5565</v>
      </c>
      <c r="F18" s="4"/>
      <c r="G18" s="4"/>
      <c r="H18" s="4"/>
      <c r="I18" s="4" t="str">
        <f>IFERROR(__xludf.DUMMYFUNCTION("""COMPUTED_VALUE"""),"0x4e7b1f5d52889144eb73ed4aff7b2dbaa511c6f3")</f>
        <v>0x4e7b1f5d52889144eb73ed4aff7b2dbaa511c6f3</v>
      </c>
      <c r="J18" s="18">
        <v>115.079091</v>
      </c>
      <c r="K18" s="4">
        <v>2876.977275</v>
      </c>
      <c r="L18" s="19">
        <v>2.876977275E21</v>
      </c>
      <c r="M18" s="20">
        <v>2.8769772750000003E20</v>
      </c>
    </row>
    <row r="19">
      <c r="A19" s="6"/>
      <c r="B19" s="6"/>
      <c r="C19" s="4"/>
      <c r="D19" s="36">
        <v>224.000554</v>
      </c>
      <c r="E19" s="4" t="s">
        <v>8591</v>
      </c>
      <c r="F19" s="4"/>
      <c r="G19" s="4"/>
      <c r="H19" s="4"/>
      <c r="I19" s="4" t="str">
        <f>IFERROR(__xludf.DUMMYFUNCTION("""COMPUTED_VALUE"""),"0xd4165d98b0900c5c00f6be7506e18bf423de2ec8")</f>
        <v>0xd4165d98b0900c5c00f6be7506e18bf423de2ec8</v>
      </c>
      <c r="J19" s="18">
        <v>224.000554</v>
      </c>
      <c r="K19" s="4">
        <v>5600.013849999999</v>
      </c>
      <c r="L19" s="19">
        <v>5.60001385E21</v>
      </c>
      <c r="M19" s="20">
        <v>5.60001385E20</v>
      </c>
    </row>
    <row r="20">
      <c r="A20" s="6"/>
      <c r="B20" s="6"/>
      <c r="C20" s="4"/>
      <c r="D20" s="36">
        <v>224.000554</v>
      </c>
      <c r="E20" s="4" t="s">
        <v>817</v>
      </c>
      <c r="F20" s="4"/>
      <c r="G20" s="4"/>
      <c r="H20" s="4"/>
      <c r="I20" s="4" t="str">
        <f>IFERROR(__xludf.DUMMYFUNCTION("""COMPUTED_VALUE"""),"0xf0ea58b65c82c48ce69f0abd68d178e7764c4ba2")</f>
        <v>0xf0ea58b65c82c48ce69f0abd68d178e7764c4ba2</v>
      </c>
      <c r="J20" s="18">
        <v>233.398191</v>
      </c>
      <c r="K20" s="4">
        <v>5834.954775</v>
      </c>
      <c r="L20" s="19">
        <v>5.834954775E21</v>
      </c>
      <c r="M20" s="20">
        <v>5.834954775E20</v>
      </c>
    </row>
    <row r="21">
      <c r="A21" s="6"/>
      <c r="B21" s="6"/>
      <c r="C21" s="4"/>
      <c r="D21" s="36">
        <v>45.77125</v>
      </c>
      <c r="E21" s="4" t="s">
        <v>2914</v>
      </c>
      <c r="F21" s="4"/>
      <c r="G21" s="4"/>
      <c r="H21" s="4"/>
      <c r="I21" s="4" t="str">
        <f>IFERROR(__xludf.DUMMYFUNCTION("""COMPUTED_VALUE"""),"0x3049cfdadc637212740b7061b2169e6e0311422e")</f>
        <v>0x3049cfdadc637212740b7061b2169e6e0311422e</v>
      </c>
      <c r="J21" s="18">
        <v>45.77125</v>
      </c>
      <c r="K21" s="4">
        <v>1144.28125</v>
      </c>
      <c r="L21" s="19">
        <v>1.14428125E21</v>
      </c>
      <c r="M21" s="20">
        <v>1.1442812500000001E20</v>
      </c>
    </row>
    <row r="22">
      <c r="A22" s="6"/>
      <c r="B22" s="6"/>
      <c r="C22" s="4"/>
      <c r="D22" s="36">
        <v>21.63113</v>
      </c>
      <c r="E22" s="4" t="s">
        <v>8600</v>
      </c>
      <c r="F22" s="4"/>
      <c r="G22" s="4"/>
      <c r="H22" s="4"/>
      <c r="I22" s="4" t="str">
        <f>IFERROR(__xludf.DUMMYFUNCTION("""COMPUTED_VALUE"""),"0x15cc8e62b1df370d9dccc885866d741c22b0baaf")</f>
        <v>0x15cc8e62b1df370d9dccc885866d741c22b0baaf</v>
      </c>
      <c r="J22" s="18">
        <v>21.63113</v>
      </c>
      <c r="K22" s="4">
        <v>540.77825</v>
      </c>
      <c r="L22" s="19">
        <v>5.4077824999999996E20</v>
      </c>
      <c r="M22" s="20">
        <v>5.4077825E19</v>
      </c>
    </row>
    <row r="23">
      <c r="A23" s="6"/>
      <c r="B23" s="6"/>
      <c r="C23" s="4"/>
      <c r="D23" s="36">
        <v>83.70905</v>
      </c>
      <c r="E23" s="4" t="s">
        <v>390</v>
      </c>
      <c r="F23" s="4"/>
      <c r="G23" s="4"/>
      <c r="H23" s="4"/>
      <c r="I23" s="4" t="str">
        <f>IFERROR(__xludf.DUMMYFUNCTION("""COMPUTED_VALUE"""),"0x61e5776b24e2e2db07d2ac729a39ed70f96a9b7c")</f>
        <v>0x61e5776b24e2e2db07d2ac729a39ed70f96a9b7c</v>
      </c>
      <c r="J23" s="18">
        <v>83.70905</v>
      </c>
      <c r="K23" s="4">
        <v>2092.72625</v>
      </c>
      <c r="L23" s="19">
        <v>2.0927262500000002E21</v>
      </c>
      <c r="M23" s="20">
        <v>2.0927262500000003E20</v>
      </c>
    </row>
    <row r="24">
      <c r="A24" s="6"/>
      <c r="B24" s="6"/>
      <c r="C24" s="4"/>
      <c r="D24" s="36">
        <v>77.742162</v>
      </c>
      <c r="E24" s="4" t="s">
        <v>1240</v>
      </c>
      <c r="F24" s="4"/>
      <c r="G24" s="4"/>
      <c r="H24" s="4"/>
      <c r="I24" s="4" t="str">
        <f>IFERROR(__xludf.DUMMYFUNCTION("""COMPUTED_VALUE"""),"0x814ab4c6e7d8afee9873855141995d00a4588e2a")</f>
        <v>0x814ab4c6e7d8afee9873855141995d00a4588e2a</v>
      </c>
      <c r="J24" s="18">
        <v>77.742162</v>
      </c>
      <c r="K24" s="4">
        <v>1943.5540499999997</v>
      </c>
      <c r="L24" s="19">
        <v>1.9435540499999999E21</v>
      </c>
      <c r="M24" s="20">
        <v>1.94355405E20</v>
      </c>
    </row>
    <row r="25">
      <c r="A25" s="6"/>
      <c r="B25" s="6"/>
      <c r="C25" s="4"/>
      <c r="D25" s="36">
        <v>224.000554</v>
      </c>
      <c r="E25" s="4" t="s">
        <v>373</v>
      </c>
      <c r="F25" s="4"/>
      <c r="G25" s="4"/>
      <c r="H25" s="4"/>
      <c r="I25" s="4" t="str">
        <f>IFERROR(__xludf.DUMMYFUNCTION("""COMPUTED_VALUE"""),"0x18d8032f7c11663068d36ca79954b9e28d653ca3")</f>
        <v>0x18d8032f7c11663068d36ca79954b9e28d653ca3</v>
      </c>
      <c r="J25" s="18">
        <v>224.000554</v>
      </c>
      <c r="K25" s="4">
        <v>5600.013849999999</v>
      </c>
      <c r="L25" s="19">
        <v>5.60001385E21</v>
      </c>
      <c r="M25" s="20">
        <v>5.60001385E20</v>
      </c>
    </row>
    <row r="26">
      <c r="A26" s="6"/>
      <c r="B26" s="6"/>
      <c r="C26" s="4"/>
      <c r="D26" s="36">
        <v>216.525408</v>
      </c>
      <c r="E26" s="4" t="s">
        <v>8958</v>
      </c>
      <c r="F26" s="4"/>
      <c r="G26" s="4"/>
      <c r="H26" s="4"/>
      <c r="I26" s="4" t="str">
        <f>IFERROR(__xludf.DUMMYFUNCTION("""COMPUTED_VALUE"""),"0x53bd5851bff3ea8cb43d334716337f350d2e5ef6")</f>
        <v>0x53bd5851bff3ea8cb43d334716337f350d2e5ef6</v>
      </c>
      <c r="J26" s="18">
        <v>216.525408</v>
      </c>
      <c r="K26" s="4">
        <v>5413.1352</v>
      </c>
      <c r="L26" s="19">
        <v>5.4131352E21</v>
      </c>
      <c r="M26" s="20">
        <v>5.4131352E20</v>
      </c>
    </row>
    <row r="27">
      <c r="A27" s="6"/>
      <c r="B27" s="6"/>
      <c r="C27" s="4"/>
      <c r="D27" s="36">
        <v>170.900389</v>
      </c>
      <c r="E27" s="4" t="s">
        <v>8959</v>
      </c>
      <c r="F27" s="4"/>
      <c r="G27" s="4"/>
      <c r="H27" s="4"/>
      <c r="I27" s="4" t="str">
        <f>IFERROR(__xludf.DUMMYFUNCTION("""COMPUTED_VALUE"""),"0x391fed3582e2cbb40a3c6eb45a8cd34e3b01c360")</f>
        <v>0x391fed3582e2cbb40a3c6eb45a8cd34e3b01c360</v>
      </c>
      <c r="J27" s="18">
        <v>170.900389</v>
      </c>
      <c r="K27" s="4">
        <v>4272.509725</v>
      </c>
      <c r="L27" s="19">
        <v>4.272509725E21</v>
      </c>
      <c r="M27" s="20">
        <v>4.272509725E20</v>
      </c>
    </row>
    <row r="28">
      <c r="A28" s="6"/>
      <c r="B28" s="6"/>
      <c r="C28" s="4"/>
      <c r="D28" s="36">
        <v>224.000554</v>
      </c>
      <c r="E28" s="4" t="s">
        <v>1739</v>
      </c>
      <c r="F28" s="4"/>
      <c r="G28" s="4"/>
      <c r="H28" s="4"/>
      <c r="I28" s="4" t="str">
        <f>IFERROR(__xludf.DUMMYFUNCTION("""COMPUTED_VALUE"""),"0x9e83a125daa1638f2c618208c797cc1728580f99")</f>
        <v>0x9e83a125daa1638f2c618208c797cc1728580f99</v>
      </c>
      <c r="J28" s="18">
        <v>224.000554</v>
      </c>
      <c r="K28" s="4">
        <v>5600.013849999999</v>
      </c>
      <c r="L28" s="19">
        <v>5.60001385E21</v>
      </c>
      <c r="M28" s="20">
        <v>5.60001385E20</v>
      </c>
    </row>
    <row r="29">
      <c r="A29" s="6"/>
      <c r="B29" s="6"/>
      <c r="C29" s="4"/>
      <c r="D29" s="36">
        <v>224.000554</v>
      </c>
      <c r="E29" s="4" t="s">
        <v>2225</v>
      </c>
      <c r="F29" s="4"/>
      <c r="G29" s="4"/>
      <c r="H29" s="4"/>
      <c r="I29" s="4" t="str">
        <f>IFERROR(__xludf.DUMMYFUNCTION("""COMPUTED_VALUE"""),"0xfa62840318b63b751fc2ffaf5055c6aa94c7a96d")</f>
        <v>0xfa62840318b63b751fc2ffaf5055c6aa94c7a96d</v>
      </c>
      <c r="J29" s="18">
        <v>224.000554</v>
      </c>
      <c r="K29" s="4">
        <v>5600.013849999999</v>
      </c>
      <c r="L29" s="19">
        <v>5.60001385E21</v>
      </c>
      <c r="M29" s="20">
        <v>5.60001385E20</v>
      </c>
    </row>
    <row r="30">
      <c r="A30" s="6"/>
      <c r="B30" s="6"/>
      <c r="C30" s="4"/>
      <c r="D30" s="36">
        <v>224.000554</v>
      </c>
      <c r="E30" s="4" t="s">
        <v>8521</v>
      </c>
      <c r="F30" s="4"/>
      <c r="G30" s="4"/>
      <c r="H30" s="4"/>
      <c r="I30" s="4" t="str">
        <f>IFERROR(__xludf.DUMMYFUNCTION("""COMPUTED_VALUE"""),"0x34dc8eebb875219b7f1971d3d4039300e93ce5de")</f>
        <v>0x34dc8eebb875219b7f1971d3d4039300e93ce5de</v>
      </c>
      <c r="J30" s="18">
        <v>689.108102</v>
      </c>
      <c r="K30" s="4">
        <v>17227.70255</v>
      </c>
      <c r="L30" s="19">
        <v>1.7227702550000002E22</v>
      </c>
      <c r="M30" s="20">
        <v>1.7227702550000003E21</v>
      </c>
    </row>
    <row r="31">
      <c r="A31" s="6"/>
      <c r="B31" s="6"/>
      <c r="C31" s="4"/>
      <c r="D31" s="36">
        <v>56.000138</v>
      </c>
      <c r="E31" s="4" t="s">
        <v>6088</v>
      </c>
      <c r="F31" s="4"/>
      <c r="G31" s="4"/>
      <c r="H31" s="4"/>
      <c r="I31" s="4" t="str">
        <f>IFERROR(__xludf.DUMMYFUNCTION("""COMPUTED_VALUE"""),"0x8bc0fc5b31fa30266a3dd81753be66ee4b62a7f9")</f>
        <v>0x8bc0fc5b31fa30266a3dd81753be66ee4b62a7f9</v>
      </c>
      <c r="J31" s="18">
        <v>56.000138</v>
      </c>
      <c r="K31" s="4">
        <v>1400.00345</v>
      </c>
      <c r="L31" s="19">
        <v>1.40000345E21</v>
      </c>
      <c r="M31" s="20">
        <v>1.40000345E20</v>
      </c>
    </row>
    <row r="32">
      <c r="A32" s="6"/>
      <c r="B32" s="6"/>
      <c r="C32" s="4"/>
      <c r="D32" s="36">
        <v>167.788955</v>
      </c>
      <c r="E32" s="4" t="s">
        <v>8960</v>
      </c>
      <c r="F32" s="4"/>
      <c r="G32" s="4"/>
      <c r="H32" s="4"/>
      <c r="I32" s="4" t="str">
        <f>IFERROR(__xludf.DUMMYFUNCTION("""COMPUTED_VALUE"""),"0x6ffbca4259dfcec4b72bed5008704468208e7635")</f>
        <v>0x6ffbca4259dfcec4b72bed5008704468208e7635</v>
      </c>
      <c r="J32" s="18">
        <v>167.788955</v>
      </c>
      <c r="K32" s="4">
        <v>4194.723875</v>
      </c>
      <c r="L32" s="19">
        <v>4.194723875E21</v>
      </c>
      <c r="M32" s="20">
        <v>4.194723875E20</v>
      </c>
    </row>
    <row r="33">
      <c r="A33" s="6"/>
      <c r="B33" s="6"/>
      <c r="C33" s="4"/>
      <c r="D33" s="36">
        <v>201.366418</v>
      </c>
      <c r="E33" s="4" t="s">
        <v>8961</v>
      </c>
      <c r="F33" s="4"/>
      <c r="G33" s="4"/>
      <c r="H33" s="4"/>
      <c r="I33" s="4" t="str">
        <f>IFERROR(__xludf.DUMMYFUNCTION("""COMPUTED_VALUE"""),"0x1076c2cfb8d1f3aa5bf050d8c0d6d128175bfeee")</f>
        <v>0x1076c2cfb8d1f3aa5bf050d8c0d6d128175bfeee</v>
      </c>
      <c r="J33" s="18">
        <v>201.366418</v>
      </c>
      <c r="K33" s="4">
        <v>5034.16045</v>
      </c>
      <c r="L33" s="19">
        <v>5.03416045E21</v>
      </c>
      <c r="M33" s="20">
        <v>5.03416045E20</v>
      </c>
    </row>
    <row r="34">
      <c r="A34" s="6"/>
      <c r="B34" s="6"/>
      <c r="C34" s="4"/>
      <c r="D34" s="36">
        <v>200.630974</v>
      </c>
      <c r="E34" s="4" t="s">
        <v>8962</v>
      </c>
      <c r="F34" s="4"/>
      <c r="G34" s="4"/>
      <c r="H34" s="4"/>
      <c r="I34" s="4" t="str">
        <f>IFERROR(__xludf.DUMMYFUNCTION("""COMPUTED_VALUE"""),"0x52bbb73343be1548257b1ca3658c50a664929e75")</f>
        <v>0x52bbb73343be1548257b1ca3658c50a664929e75</v>
      </c>
      <c r="J34" s="18">
        <v>657.1458700000001</v>
      </c>
      <c r="K34" s="4">
        <v>16428.64675</v>
      </c>
      <c r="L34" s="19">
        <v>1.642864675E22</v>
      </c>
      <c r="M34" s="20">
        <v>1.642864675E21</v>
      </c>
    </row>
    <row r="35">
      <c r="A35" s="6"/>
      <c r="B35" s="6"/>
      <c r="C35" s="4"/>
      <c r="D35" s="36">
        <v>167.664414</v>
      </c>
      <c r="E35" s="4" t="s">
        <v>8874</v>
      </c>
      <c r="F35" s="4"/>
      <c r="G35" s="4"/>
      <c r="H35" s="4"/>
      <c r="I35" s="4" t="str">
        <f>IFERROR(__xludf.DUMMYFUNCTION("""COMPUTED_VALUE"""),"0x8fc44fec6d78a474bda0d74ab3c31b4498761c8c")</f>
        <v>0x8fc44fec6d78a474bda0d74ab3c31b4498761c8c</v>
      </c>
      <c r="J35" s="18">
        <v>167.664414</v>
      </c>
      <c r="K35" s="4">
        <v>4191.61035</v>
      </c>
      <c r="L35" s="19">
        <v>4.1916103499999997E21</v>
      </c>
      <c r="M35" s="20">
        <v>4.19161035E20</v>
      </c>
    </row>
    <row r="36">
      <c r="A36" s="6"/>
      <c r="B36" s="6"/>
      <c r="C36" s="4"/>
      <c r="D36" s="36">
        <v>82.879176</v>
      </c>
      <c r="E36" s="4" t="s">
        <v>8963</v>
      </c>
      <c r="F36" s="4"/>
      <c r="G36" s="4"/>
      <c r="H36" s="4"/>
      <c r="I36" s="4" t="str">
        <f>IFERROR(__xludf.DUMMYFUNCTION("""COMPUTED_VALUE"""),"0x648bde5df5ecd59772713a98b37c71bceb8eb0f6")</f>
        <v>0x648bde5df5ecd59772713a98b37c71bceb8eb0f6</v>
      </c>
      <c r="J36" s="18">
        <v>82.879176</v>
      </c>
      <c r="K36" s="4">
        <v>2071.9794</v>
      </c>
      <c r="L36" s="19">
        <v>2.0719794000000002E21</v>
      </c>
      <c r="M36" s="20">
        <v>2.0719794000000005E20</v>
      </c>
    </row>
    <row r="37">
      <c r="A37" s="6"/>
      <c r="B37" s="6"/>
      <c r="C37" s="4"/>
      <c r="D37" s="36">
        <v>68.506963</v>
      </c>
      <c r="E37" s="4" t="s">
        <v>8964</v>
      </c>
      <c r="F37" s="4"/>
      <c r="G37" s="4"/>
      <c r="H37" s="4"/>
      <c r="I37" s="4" t="str">
        <f>IFERROR(__xludf.DUMMYFUNCTION("""COMPUTED_VALUE"""),"0xa22b8b110076a99932b6a5f4555b79b94c1bc922")</f>
        <v>0xa22b8b110076a99932b6a5f4555b79b94c1bc922</v>
      </c>
      <c r="J37" s="18">
        <v>68.506963</v>
      </c>
      <c r="K37" s="4">
        <v>1712.674075</v>
      </c>
      <c r="L37" s="19">
        <v>1.712674075E21</v>
      </c>
      <c r="M37" s="20">
        <v>1.712674075E20</v>
      </c>
    </row>
    <row r="38">
      <c r="A38" s="6"/>
      <c r="B38" s="6"/>
      <c r="C38" s="4"/>
      <c r="D38" s="36">
        <v>224.000554</v>
      </c>
      <c r="E38" s="4" t="s">
        <v>4202</v>
      </c>
      <c r="F38" s="4"/>
      <c r="G38" s="4"/>
      <c r="H38" s="4"/>
      <c r="I38" s="4" t="str">
        <f>IFERROR(__xludf.DUMMYFUNCTION("""COMPUTED_VALUE"""),"0x78f64a5c3ea827c8a41fd76a2c59cac11ca17152")</f>
        <v>0x78f64a5c3ea827c8a41fd76a2c59cac11ca17152</v>
      </c>
      <c r="J38" s="18">
        <v>586.086636</v>
      </c>
      <c r="K38" s="4">
        <v>14652.1659</v>
      </c>
      <c r="L38" s="19">
        <v>1.46521659E22</v>
      </c>
      <c r="M38" s="20">
        <v>1.46521659E21</v>
      </c>
    </row>
    <row r="39">
      <c r="A39" s="6"/>
      <c r="B39" s="6"/>
      <c r="C39" s="4"/>
      <c r="D39" s="36">
        <v>112.404531</v>
      </c>
      <c r="E39" s="4" t="s">
        <v>3843</v>
      </c>
      <c r="F39" s="4"/>
      <c r="G39" s="4"/>
      <c r="H39" s="4"/>
      <c r="I39" s="4" t="str">
        <f>IFERROR(__xludf.DUMMYFUNCTION("""COMPUTED_VALUE"""),"0x4ec87da8a9eb1179b90d17bee3ace9fdf05030da")</f>
        <v>0x4ec87da8a9eb1179b90d17bee3ace9fdf05030da</v>
      </c>
      <c r="J39" s="18">
        <v>112.404531</v>
      </c>
      <c r="K39" s="4">
        <v>2810.113275</v>
      </c>
      <c r="L39" s="19">
        <v>2.810113275E21</v>
      </c>
      <c r="M39" s="20">
        <v>2.8101132750000003E20</v>
      </c>
    </row>
    <row r="40">
      <c r="A40" s="6"/>
      <c r="B40" s="6"/>
      <c r="C40" s="4"/>
      <c r="D40" s="36">
        <v>224.000554</v>
      </c>
      <c r="E40" s="4" t="s">
        <v>501</v>
      </c>
      <c r="F40" s="4"/>
      <c r="G40" s="4"/>
      <c r="H40" s="4"/>
      <c r="I40" s="4" t="str">
        <f>IFERROR(__xludf.DUMMYFUNCTION("""COMPUTED_VALUE"""),"0x2f866300cdbe379df062cf499b3d6ba6644d7d25")</f>
        <v>0x2f866300cdbe379df062cf499b3d6ba6644d7d25</v>
      </c>
      <c r="J40" s="18">
        <v>224.000554</v>
      </c>
      <c r="K40" s="4">
        <v>5600.013849999999</v>
      </c>
      <c r="L40" s="19">
        <v>5.60001385E21</v>
      </c>
      <c r="M40" s="20">
        <v>5.60001385E20</v>
      </c>
    </row>
    <row r="41">
      <c r="A41" s="6"/>
      <c r="B41" s="6"/>
      <c r="C41" s="4"/>
      <c r="D41" s="36">
        <v>38.785412</v>
      </c>
      <c r="E41" s="4" t="s">
        <v>8965</v>
      </c>
      <c r="F41" s="4"/>
      <c r="G41" s="4"/>
      <c r="H41" s="4"/>
      <c r="I41" s="4" t="str">
        <f>IFERROR(__xludf.DUMMYFUNCTION("""COMPUTED_VALUE"""),"0x66648e1009590fc266f79ff100eee8d572b39a69")</f>
        <v>0x66648e1009590fc266f79ff100eee8d572b39a69</v>
      </c>
      <c r="J41" s="18">
        <v>38.785412</v>
      </c>
      <c r="K41" s="4">
        <v>969.6353</v>
      </c>
      <c r="L41" s="19">
        <v>9.696353E20</v>
      </c>
      <c r="M41" s="20">
        <v>9.696353000000001E19</v>
      </c>
    </row>
    <row r="42">
      <c r="A42" s="6"/>
      <c r="B42" s="6"/>
      <c r="C42" s="4"/>
      <c r="D42" s="36">
        <v>224.000554</v>
      </c>
      <c r="E42" s="4" t="s">
        <v>8966</v>
      </c>
      <c r="F42" s="4"/>
      <c r="G42" s="4"/>
      <c r="H42" s="4"/>
      <c r="I42" s="4" t="str">
        <f>IFERROR(__xludf.DUMMYFUNCTION("""COMPUTED_VALUE"""),"0x7a9e2a02d8b060a0f614afec961feacb9dc24384")</f>
        <v>0x7a9e2a02d8b060a0f614afec961feacb9dc24384</v>
      </c>
      <c r="J42" s="18">
        <v>643.651362</v>
      </c>
      <c r="K42" s="4">
        <v>16091.284049999998</v>
      </c>
      <c r="L42" s="19">
        <v>1.6091284049999998E22</v>
      </c>
      <c r="M42" s="20">
        <v>1.6091284049999998E21</v>
      </c>
    </row>
    <row r="43">
      <c r="A43" s="6"/>
      <c r="B43" s="6"/>
      <c r="C43" s="4"/>
      <c r="D43" s="36">
        <v>224.000554</v>
      </c>
      <c r="E43" s="4" t="s">
        <v>6981</v>
      </c>
      <c r="F43" s="4"/>
      <c r="G43" s="4"/>
      <c r="H43" s="4"/>
      <c r="I43" s="4" t="str">
        <f>IFERROR(__xludf.DUMMYFUNCTION("""COMPUTED_VALUE"""),"0xd409769a2430cf7801499a732cef76bd28cdff4e")</f>
        <v>0xd409769a2430cf7801499a732cef76bd28cdff4e</v>
      </c>
      <c r="J43" s="18">
        <v>224.000554</v>
      </c>
      <c r="K43" s="4">
        <v>5600.013849999999</v>
      </c>
      <c r="L43" s="19">
        <v>5.60001385E21</v>
      </c>
      <c r="M43" s="20">
        <v>5.60001385E20</v>
      </c>
    </row>
    <row r="44">
      <c r="A44" s="6"/>
      <c r="B44" s="6"/>
      <c r="C44" s="4"/>
      <c r="D44" s="36">
        <v>180.827681</v>
      </c>
      <c r="E44" s="4" t="s">
        <v>1631</v>
      </c>
      <c r="F44" s="4"/>
      <c r="G44" s="4"/>
      <c r="H44" s="4"/>
      <c r="I44" s="4" t="str">
        <f>IFERROR(__xludf.DUMMYFUNCTION("""COMPUTED_VALUE"""),"0x3288338837dc90afbb81a93e5a9c3c5688436e10")</f>
        <v>0x3288338837dc90afbb81a93e5a9c3c5688436e10</v>
      </c>
      <c r="J44" s="18">
        <v>180.827681</v>
      </c>
      <c r="K44" s="4">
        <v>4520.692025</v>
      </c>
      <c r="L44" s="19">
        <v>4.5206920250000005E21</v>
      </c>
      <c r="M44" s="20">
        <v>4.520692025000001E20</v>
      </c>
    </row>
    <row r="45">
      <c r="A45" s="6"/>
      <c r="B45" s="6"/>
      <c r="C45" s="4"/>
      <c r="D45" s="36">
        <v>177.200227</v>
      </c>
      <c r="E45" s="4" t="s">
        <v>1189</v>
      </c>
      <c r="F45" s="4"/>
      <c r="G45" s="4"/>
      <c r="H45" s="4"/>
      <c r="I45" s="4" t="str">
        <f>IFERROR(__xludf.DUMMYFUNCTION("""COMPUTED_VALUE"""),"0xa3763dfde8c5f5f46cb53c179a394341588425e6")</f>
        <v>0xa3763dfde8c5f5f46cb53c179a394341588425e6</v>
      </c>
      <c r="J45" s="18">
        <v>177.200227</v>
      </c>
      <c r="K45" s="4">
        <v>4430.005675</v>
      </c>
      <c r="L45" s="19">
        <v>4.4300056750000004E21</v>
      </c>
      <c r="M45" s="20">
        <v>4.430005675000001E20</v>
      </c>
    </row>
    <row r="46">
      <c r="A46" s="6"/>
      <c r="B46" s="6"/>
      <c r="C46" s="4"/>
      <c r="D46" s="36">
        <v>224.000554</v>
      </c>
      <c r="E46" s="4" t="s">
        <v>6325</v>
      </c>
      <c r="F46" s="4"/>
      <c r="G46" s="4"/>
      <c r="H46" s="4"/>
      <c r="I46" s="4" t="str">
        <f>IFERROR(__xludf.DUMMYFUNCTION("""COMPUTED_VALUE"""),"0x0df2763078b4b5c714e0edf86fa33bc71127180f")</f>
        <v>0x0df2763078b4b5c714e0edf86fa33bc71127180f</v>
      </c>
      <c r="J46" s="18">
        <v>224.000554</v>
      </c>
      <c r="K46" s="4">
        <v>5600.013849999999</v>
      </c>
      <c r="L46" s="19">
        <v>5.60001385E21</v>
      </c>
      <c r="M46" s="20">
        <v>5.60001385E20</v>
      </c>
    </row>
    <row r="47">
      <c r="A47" s="6"/>
      <c r="B47" s="6"/>
      <c r="C47" s="4"/>
      <c r="D47" s="36">
        <v>169.33613</v>
      </c>
      <c r="E47" s="4" t="s">
        <v>346</v>
      </c>
      <c r="F47" s="4"/>
      <c r="G47" s="4"/>
      <c r="H47" s="4"/>
      <c r="I47" s="4" t="str">
        <f>IFERROR(__xludf.DUMMYFUNCTION("""COMPUTED_VALUE"""),"0x7eec1992852d626b843a256ee692015af346fd6d")</f>
        <v>0x7eec1992852d626b843a256ee692015af346fd6d</v>
      </c>
      <c r="J47" s="18">
        <v>169.33613</v>
      </c>
      <c r="K47" s="4">
        <v>4233.403249999999</v>
      </c>
      <c r="L47" s="19">
        <v>4.2334032499999994E21</v>
      </c>
      <c r="M47" s="20">
        <v>4.23340325E20</v>
      </c>
    </row>
    <row r="48">
      <c r="A48" s="6"/>
      <c r="B48" s="6"/>
      <c r="C48" s="4"/>
      <c r="D48" s="36">
        <v>112.017661</v>
      </c>
      <c r="E48" s="4" t="s">
        <v>8670</v>
      </c>
      <c r="F48" s="4"/>
      <c r="G48" s="4"/>
      <c r="H48" s="4"/>
      <c r="I48" s="4" t="str">
        <f>IFERROR(__xludf.DUMMYFUNCTION("""COMPUTED_VALUE"""),"0x64875ad06c639d18d33a30b0fef2119fdd615bf9")</f>
        <v>0x64875ad06c639d18d33a30b0fef2119fdd615bf9</v>
      </c>
      <c r="J48" s="18">
        <v>112.017661</v>
      </c>
      <c r="K48" s="4">
        <v>2800.441525</v>
      </c>
      <c r="L48" s="19">
        <v>2.800441525E21</v>
      </c>
      <c r="M48" s="20">
        <v>2.8004415250000003E20</v>
      </c>
    </row>
    <row r="49">
      <c r="A49" s="6"/>
      <c r="B49" s="6"/>
      <c r="C49" s="4"/>
      <c r="D49" s="36">
        <v>134.400332</v>
      </c>
      <c r="E49" s="4" t="s">
        <v>5752</v>
      </c>
      <c r="F49" s="4"/>
      <c r="G49" s="4"/>
      <c r="H49" s="4"/>
      <c r="I49" s="4" t="str">
        <f>IFERROR(__xludf.DUMMYFUNCTION("""COMPUTED_VALUE"""),"0x80d082852bb1e1fdca41130afcb0469b6b8a66b3")</f>
        <v>0x80d082852bb1e1fdca41130afcb0469b6b8a66b3</v>
      </c>
      <c r="J49" s="18">
        <v>134.400332</v>
      </c>
      <c r="K49" s="4">
        <v>3360.0082999999995</v>
      </c>
      <c r="L49" s="19">
        <v>3.3600082999999993E21</v>
      </c>
      <c r="M49" s="20">
        <v>3.3600082999999994E20</v>
      </c>
    </row>
    <row r="50">
      <c r="A50" s="6"/>
      <c r="B50" s="6"/>
      <c r="C50" s="4"/>
      <c r="D50" s="36">
        <v>213.063305</v>
      </c>
      <c r="E50" s="4" t="s">
        <v>8967</v>
      </c>
      <c r="F50" s="4"/>
      <c r="G50" s="4"/>
      <c r="H50" s="4"/>
      <c r="I50" s="4" t="str">
        <f>IFERROR(__xludf.DUMMYFUNCTION("""COMPUTED_VALUE"""),"0xe73d489d04dbf7da09b74fbfe03013a0ad4332f9")</f>
        <v>0xe73d489d04dbf7da09b74fbfe03013a0ad4332f9</v>
      </c>
      <c r="J50" s="18">
        <v>213.063305</v>
      </c>
      <c r="K50" s="4">
        <v>5326.582625</v>
      </c>
      <c r="L50" s="19">
        <v>5.326582625E21</v>
      </c>
      <c r="M50" s="20">
        <v>5.326582625000001E20</v>
      </c>
    </row>
    <row r="51">
      <c r="A51" s="6"/>
      <c r="B51" s="6"/>
      <c r="C51" s="4"/>
      <c r="D51" s="36">
        <v>134.436021</v>
      </c>
      <c r="E51" s="4" t="s">
        <v>3338</v>
      </c>
      <c r="F51" s="4"/>
      <c r="G51" s="4"/>
      <c r="H51" s="4"/>
      <c r="I51" s="4" t="str">
        <f>IFERROR(__xludf.DUMMYFUNCTION("""COMPUTED_VALUE"""),"0xdd98051c107f8d3e92d2f588d2cb748efb27fa3a")</f>
        <v>0xdd98051c107f8d3e92d2f588d2cb748efb27fa3a</v>
      </c>
      <c r="J51" s="18">
        <v>134.436021</v>
      </c>
      <c r="K51" s="4">
        <v>3360.900525</v>
      </c>
      <c r="L51" s="19">
        <v>3.3609005250000003E21</v>
      </c>
      <c r="M51" s="20">
        <v>3.360900525E20</v>
      </c>
    </row>
    <row r="52">
      <c r="A52" s="6"/>
      <c r="B52" s="6"/>
      <c r="C52" s="4"/>
      <c r="D52" s="36">
        <v>224.000554</v>
      </c>
      <c r="E52" s="4" t="s">
        <v>8968</v>
      </c>
      <c r="F52" s="4"/>
      <c r="G52" s="4"/>
      <c r="H52" s="4"/>
      <c r="I52" s="4" t="str">
        <f>IFERROR(__xludf.DUMMYFUNCTION("""COMPUTED_VALUE"""),"0xb79ee378170813fef1e123dbbe9555d131bdb72f")</f>
        <v>0xb79ee378170813fef1e123dbbe9555d131bdb72f</v>
      </c>
      <c r="J52" s="18">
        <v>1027.410331</v>
      </c>
      <c r="K52" s="4">
        <v>25685.258275</v>
      </c>
      <c r="L52" s="19">
        <v>2.5685258275E22</v>
      </c>
      <c r="M52" s="20">
        <v>2.5685258275E21</v>
      </c>
    </row>
    <row r="53">
      <c r="A53" s="6"/>
      <c r="B53" s="6"/>
      <c r="C53" s="4"/>
      <c r="D53" s="36">
        <v>224.000554</v>
      </c>
      <c r="E53" s="4" t="s">
        <v>8969</v>
      </c>
      <c r="F53" s="4"/>
      <c r="G53" s="4"/>
      <c r="H53" s="4"/>
      <c r="I53" s="4" t="str">
        <f>IFERROR(__xludf.DUMMYFUNCTION("""COMPUTED_VALUE"""),"0xb158d678ce9ed6042e59d929b2e73823ab1a5ecc")</f>
        <v>0xb158d678ce9ed6042e59d929b2e73823ab1a5ecc</v>
      </c>
      <c r="J53" s="18">
        <v>224.000554</v>
      </c>
      <c r="K53" s="4">
        <v>5600.013849999999</v>
      </c>
      <c r="L53" s="19">
        <v>5.60001385E21</v>
      </c>
      <c r="M53" s="20">
        <v>5.60001385E20</v>
      </c>
    </row>
    <row r="54">
      <c r="A54" s="6"/>
      <c r="B54" s="6"/>
      <c r="C54" s="4"/>
      <c r="D54" s="36">
        <v>224.000554</v>
      </c>
      <c r="E54" s="4" t="s">
        <v>8970</v>
      </c>
      <c r="F54" s="4"/>
      <c r="G54" s="4"/>
      <c r="H54" s="4"/>
      <c r="I54" s="4" t="str">
        <f>IFERROR(__xludf.DUMMYFUNCTION("""COMPUTED_VALUE"""),"0x9501a7fa84e2af47d1d819e61bd74f19fd76184a")</f>
        <v>0x9501a7fa84e2af47d1d819e61bd74f19fd76184a</v>
      </c>
      <c r="J54" s="18">
        <v>818.230092</v>
      </c>
      <c r="K54" s="4">
        <v>20455.7523</v>
      </c>
      <c r="L54" s="19">
        <v>2.04557523E22</v>
      </c>
      <c r="M54" s="20">
        <v>2.0455752300000001E21</v>
      </c>
    </row>
    <row r="55">
      <c r="A55" s="6"/>
      <c r="B55" s="6"/>
      <c r="C55" s="4"/>
      <c r="D55" s="36">
        <v>163.479754</v>
      </c>
      <c r="E55" s="4" t="s">
        <v>8971</v>
      </c>
      <c r="F55" s="4"/>
      <c r="G55" s="4"/>
      <c r="H55" s="4"/>
      <c r="I55" s="4" t="str">
        <f>IFERROR(__xludf.DUMMYFUNCTION("""COMPUTED_VALUE"""),"0xa73c4a33eece64e31ce81262edea93603a6dc51c")</f>
        <v>0xa73c4a33eece64e31ce81262edea93603a6dc51c</v>
      </c>
      <c r="J55" s="18">
        <v>1567.853842</v>
      </c>
      <c r="K55" s="4">
        <v>39196.34605</v>
      </c>
      <c r="L55" s="19">
        <v>3.919634605E22</v>
      </c>
      <c r="M55" s="20">
        <v>3.9196346050000003E21</v>
      </c>
    </row>
    <row r="56">
      <c r="A56" s="6"/>
      <c r="B56" s="6"/>
      <c r="C56" s="4"/>
      <c r="D56" s="36">
        <v>194.208849</v>
      </c>
      <c r="E56" s="4" t="s">
        <v>8606</v>
      </c>
      <c r="F56" s="4"/>
      <c r="G56" s="4"/>
      <c r="H56" s="4"/>
      <c r="I56" s="4" t="str">
        <f>IFERROR(__xludf.DUMMYFUNCTION("""COMPUTED_VALUE"""),"0x9ddea6c0bfa53bdf244ade7ba5ed7e227f6e58b4")</f>
        <v>0x9ddea6c0bfa53bdf244ade7ba5ed7e227f6e58b4</v>
      </c>
      <c r="J56" s="18">
        <v>3180.480337</v>
      </c>
      <c r="K56" s="4">
        <v>79512.00842499999</v>
      </c>
      <c r="L56" s="19">
        <v>7.951200842499999E22</v>
      </c>
      <c r="M56" s="20">
        <v>7.951200842499999E21</v>
      </c>
    </row>
    <row r="57">
      <c r="A57" s="6"/>
      <c r="B57" s="6"/>
      <c r="C57" s="4"/>
      <c r="D57" s="36">
        <v>224.000554</v>
      </c>
      <c r="E57" s="4" t="s">
        <v>1656</v>
      </c>
      <c r="F57" s="4"/>
      <c r="G57" s="4"/>
      <c r="H57" s="4"/>
      <c r="I57" s="4" t="str">
        <f>IFERROR(__xludf.DUMMYFUNCTION("""COMPUTED_VALUE"""),"0x0267940d1897b150ac9601ef00d0e38a5fda3011")</f>
        <v>0x0267940d1897b150ac9601ef00d0e38a5fda3011</v>
      </c>
      <c r="J57" s="18">
        <v>931.857444</v>
      </c>
      <c r="K57" s="4">
        <v>23296.4361</v>
      </c>
      <c r="L57" s="19">
        <v>2.32964361E22</v>
      </c>
      <c r="M57" s="20">
        <v>2.32964361E21</v>
      </c>
    </row>
    <row r="58">
      <c r="A58" s="6"/>
      <c r="B58" s="6"/>
      <c r="C58" s="4"/>
      <c r="D58" s="36">
        <v>112.235927</v>
      </c>
      <c r="E58" s="4" t="s">
        <v>1514</v>
      </c>
      <c r="F58" s="4"/>
      <c r="G58" s="4"/>
      <c r="H58" s="4"/>
      <c r="I58" s="4" t="str">
        <f>IFERROR(__xludf.DUMMYFUNCTION("""COMPUTED_VALUE"""),"0x31c919723c29f5efe10cee0c28789f85946ac6b9")</f>
        <v>0x31c919723c29f5efe10cee0c28789f85946ac6b9</v>
      </c>
      <c r="J58" s="18">
        <v>112.235927</v>
      </c>
      <c r="K58" s="4">
        <v>2805.898175</v>
      </c>
      <c r="L58" s="19">
        <v>2.805898175E21</v>
      </c>
      <c r="M58" s="20">
        <v>2.8058981750000003E20</v>
      </c>
    </row>
    <row r="59">
      <c r="A59" s="6"/>
      <c r="B59" s="6"/>
      <c r="C59" s="4"/>
      <c r="D59" s="36">
        <v>133.273049</v>
      </c>
      <c r="E59" s="4" t="s">
        <v>8511</v>
      </c>
      <c r="F59" s="4"/>
      <c r="G59" s="4"/>
      <c r="H59" s="4"/>
      <c r="I59" s="4" t="str">
        <f>IFERROR(__xludf.DUMMYFUNCTION("""COMPUTED_VALUE"""),"0x28788ca3f834b890e45b3d0fb9135f8b1f6bec3b")</f>
        <v>0x28788ca3f834b890e45b3d0fb9135f8b1f6bec3b</v>
      </c>
      <c r="J59" s="18">
        <v>133.273049</v>
      </c>
      <c r="K59" s="4">
        <v>3331.826225</v>
      </c>
      <c r="L59" s="19">
        <v>3.331826225E21</v>
      </c>
      <c r="M59" s="20">
        <v>3.3318262250000004E20</v>
      </c>
    </row>
    <row r="60">
      <c r="A60" s="6"/>
      <c r="B60" s="6"/>
      <c r="C60" s="4"/>
      <c r="D60" s="36">
        <v>224.000554</v>
      </c>
      <c r="E60" s="4" t="s">
        <v>784</v>
      </c>
      <c r="F60" s="4"/>
      <c r="G60" s="4"/>
      <c r="H60" s="4"/>
      <c r="I60" s="4" t="str">
        <f>IFERROR(__xludf.DUMMYFUNCTION("""COMPUTED_VALUE"""),"0x196a37946c3d93e9a5309f539ae28b774a32411f")</f>
        <v>0x196a37946c3d93e9a5309f539ae28b774a32411f</v>
      </c>
      <c r="J60" s="18">
        <v>683.023288</v>
      </c>
      <c r="K60" s="4">
        <v>17075.5822</v>
      </c>
      <c r="L60" s="19">
        <v>1.7075582200000002E22</v>
      </c>
      <c r="M60" s="20">
        <v>1.7075582200000002E21</v>
      </c>
    </row>
    <row r="61">
      <c r="A61" s="6"/>
      <c r="B61" s="6"/>
      <c r="C61" s="4"/>
      <c r="D61" s="36">
        <v>34.065935</v>
      </c>
      <c r="E61" s="4" t="s">
        <v>8972</v>
      </c>
      <c r="F61" s="4"/>
      <c r="G61" s="4"/>
      <c r="H61" s="4"/>
      <c r="I61" s="4" t="str">
        <f>IFERROR(__xludf.DUMMYFUNCTION("""COMPUTED_VALUE"""),"0xcc2f61c25383453e03beaf6dfcf7a7493132c7bf")</f>
        <v>0xcc2f61c25383453e03beaf6dfcf7a7493132c7bf</v>
      </c>
      <c r="J61" s="18">
        <v>34.065935</v>
      </c>
      <c r="K61" s="4">
        <v>851.6483750000001</v>
      </c>
      <c r="L61" s="19">
        <v>8.516483750000001E20</v>
      </c>
      <c r="M61" s="20">
        <v>8.516483750000001E19</v>
      </c>
    </row>
    <row r="62">
      <c r="A62" s="6"/>
      <c r="B62" s="6"/>
      <c r="C62" s="4"/>
      <c r="D62" s="36">
        <v>116.076808</v>
      </c>
      <c r="E62" s="4" t="s">
        <v>8973</v>
      </c>
      <c r="F62" s="4"/>
      <c r="G62" s="4"/>
      <c r="H62" s="4"/>
      <c r="I62" s="4" t="str">
        <f>IFERROR(__xludf.DUMMYFUNCTION("""COMPUTED_VALUE"""),"0x42d2ba5d094964b5db944ed7f64e6ed8d6743112")</f>
        <v>0x42d2ba5d094964b5db944ed7f64e6ed8d6743112</v>
      </c>
      <c r="J62" s="18">
        <v>116.076808</v>
      </c>
      <c r="K62" s="4">
        <v>2901.9202</v>
      </c>
      <c r="L62" s="19">
        <v>2.9019202E21</v>
      </c>
      <c r="M62" s="20">
        <v>2.9019202000000005E20</v>
      </c>
    </row>
    <row r="63">
      <c r="A63" s="6"/>
      <c r="B63" s="6"/>
      <c r="C63" s="4"/>
      <c r="D63" s="36">
        <v>33.731462</v>
      </c>
      <c r="E63" s="4" t="s">
        <v>1101</v>
      </c>
      <c r="F63" s="4"/>
      <c r="G63" s="4"/>
      <c r="H63" s="4"/>
      <c r="I63" s="4" t="str">
        <f>IFERROR(__xludf.DUMMYFUNCTION("""COMPUTED_VALUE"""),"0x3238934316238ebbda1ffb229ec9a37bf66c5564")</f>
        <v>0x3238934316238ebbda1ffb229ec9a37bf66c5564</v>
      </c>
      <c r="J63" s="18">
        <v>33.731462</v>
      </c>
      <c r="K63" s="4">
        <v>843.28655</v>
      </c>
      <c r="L63" s="19">
        <v>8.4328655E20</v>
      </c>
      <c r="M63" s="20">
        <v>8.4328655E19</v>
      </c>
    </row>
    <row r="64">
      <c r="A64" s="6"/>
      <c r="B64" s="6"/>
      <c r="C64" s="4"/>
      <c r="D64" s="36">
        <v>224.000554</v>
      </c>
      <c r="E64" s="4" t="s">
        <v>8974</v>
      </c>
      <c r="F64" s="4"/>
      <c r="G64" s="4"/>
      <c r="H64" s="4"/>
      <c r="I64" s="4" t="str">
        <f>IFERROR(__xludf.DUMMYFUNCTION("""COMPUTED_VALUE"""),"0x6cef300f232ed696bdec38b22d58acea691ce5b9")</f>
        <v>0x6cef300f232ed696bdec38b22d58acea691ce5b9</v>
      </c>
      <c r="J64" s="18">
        <v>1225.1709580000002</v>
      </c>
      <c r="K64" s="4">
        <v>30629.273950000003</v>
      </c>
      <c r="L64" s="19">
        <v>3.062927395E22</v>
      </c>
      <c r="M64" s="20">
        <v>3.0629273950000004E21</v>
      </c>
    </row>
    <row r="65">
      <c r="A65" s="6"/>
      <c r="B65" s="6"/>
      <c r="C65" s="4"/>
      <c r="D65" s="36">
        <v>84.63452</v>
      </c>
      <c r="E65" s="4" t="s">
        <v>8975</v>
      </c>
      <c r="F65" s="4"/>
      <c r="G65" s="4"/>
      <c r="H65" s="4"/>
      <c r="I65" s="4" t="str">
        <f>IFERROR(__xludf.DUMMYFUNCTION("""COMPUTED_VALUE"""),"0xed277fefcd72c738d185bf404fc5cfdd6b0da70f")</f>
        <v>0xed277fefcd72c738d185bf404fc5cfdd6b0da70f</v>
      </c>
      <c r="J65" s="18">
        <v>84.63452</v>
      </c>
      <c r="K65" s="4">
        <v>2115.863</v>
      </c>
      <c r="L65" s="19">
        <v>2.115863E21</v>
      </c>
      <c r="M65" s="20">
        <v>2.115863E20</v>
      </c>
    </row>
    <row r="66">
      <c r="A66" s="6"/>
      <c r="B66" s="6"/>
      <c r="C66" s="4"/>
      <c r="D66" s="36">
        <v>224.000554</v>
      </c>
      <c r="E66" s="4" t="s">
        <v>8976</v>
      </c>
      <c r="F66" s="4"/>
      <c r="G66" s="4"/>
      <c r="H66" s="4"/>
      <c r="I66" s="4" t="str">
        <f>IFERROR(__xludf.DUMMYFUNCTION("""COMPUTED_VALUE"""),"0x20ec1d8af6e7311ceee1bdcb327cecc4b6a7037b")</f>
        <v>0x20ec1d8af6e7311ceee1bdcb327cecc4b6a7037b</v>
      </c>
      <c r="J66" s="18">
        <v>866.293082</v>
      </c>
      <c r="K66" s="4">
        <v>21657.32705</v>
      </c>
      <c r="L66" s="19">
        <v>2.165732705E22</v>
      </c>
      <c r="M66" s="20">
        <v>2.165732705E21</v>
      </c>
    </row>
    <row r="67">
      <c r="A67" s="6"/>
      <c r="B67" s="6"/>
      <c r="C67" s="4"/>
      <c r="D67" s="36">
        <v>73.472181</v>
      </c>
      <c r="E67" s="4" t="s">
        <v>1183</v>
      </c>
      <c r="F67" s="4"/>
      <c r="G67" s="4"/>
      <c r="H67" s="4"/>
      <c r="I67" s="4" t="str">
        <f>IFERROR(__xludf.DUMMYFUNCTION("""COMPUTED_VALUE"""),"0x9bd99c41c4dcc607b03fee4db6a4c4114d605680")</f>
        <v>0x9bd99c41c4dcc607b03fee4db6a4c4114d605680</v>
      </c>
      <c r="J67" s="18">
        <v>73.472181</v>
      </c>
      <c r="K67" s="4">
        <v>1836.804525</v>
      </c>
      <c r="L67" s="19">
        <v>1.836804525E21</v>
      </c>
      <c r="M67" s="20">
        <v>1.836804525E20</v>
      </c>
    </row>
    <row r="68">
      <c r="A68" s="6"/>
      <c r="B68" s="6"/>
      <c r="C68" s="4"/>
      <c r="D68" s="36">
        <v>224.000554</v>
      </c>
      <c r="E68" s="4" t="s">
        <v>185</v>
      </c>
      <c r="F68" s="4"/>
      <c r="G68" s="4"/>
      <c r="H68" s="4"/>
      <c r="I68" s="4" t="str">
        <f>IFERROR(__xludf.DUMMYFUNCTION("""COMPUTED_VALUE"""),"0xcda52838ef354ac7166bec9a7f631bcea34d1001")</f>
        <v>0xcda52838ef354ac7166bec9a7f631bcea34d1001</v>
      </c>
      <c r="J68" s="18">
        <v>224.000554</v>
      </c>
      <c r="K68" s="4">
        <v>5600.013849999999</v>
      </c>
      <c r="L68" s="19">
        <v>5.60001385E21</v>
      </c>
      <c r="M68" s="20">
        <v>5.60001385E20</v>
      </c>
    </row>
    <row r="69">
      <c r="A69" s="6"/>
      <c r="B69" s="6"/>
      <c r="C69" s="4"/>
      <c r="D69" s="36">
        <v>77.443529</v>
      </c>
      <c r="E69" s="4" t="s">
        <v>1628</v>
      </c>
      <c r="F69" s="4"/>
      <c r="G69" s="4"/>
      <c r="H69" s="4"/>
      <c r="I69" s="4" t="str">
        <f>IFERROR(__xludf.DUMMYFUNCTION("""COMPUTED_VALUE"""),"0xf91c06e10e9aae72432c6ccfc0c3752340d0b386")</f>
        <v>0xf91c06e10e9aae72432c6ccfc0c3752340d0b386</v>
      </c>
      <c r="J69" s="18">
        <v>77.443529</v>
      </c>
      <c r="K69" s="4">
        <v>1936.088225</v>
      </c>
      <c r="L69" s="19">
        <v>1.936088225E21</v>
      </c>
      <c r="M69" s="20">
        <v>1.936088225E20</v>
      </c>
    </row>
    <row r="70">
      <c r="A70" s="6"/>
      <c r="B70" s="6"/>
      <c r="C70" s="4"/>
      <c r="D70" s="36">
        <v>37.064314</v>
      </c>
      <c r="E70" s="4" t="s">
        <v>8706</v>
      </c>
      <c r="F70" s="4"/>
      <c r="G70" s="4"/>
      <c r="H70" s="4"/>
      <c r="I70" s="4" t="str">
        <f>IFERROR(__xludf.DUMMYFUNCTION("""COMPUTED_VALUE"""),"0x05e5d6c658d40bbe0857f5826081a5799b08de32")</f>
        <v>0x05e5d6c658d40bbe0857f5826081a5799b08de32</v>
      </c>
      <c r="J70" s="18">
        <v>37.064314</v>
      </c>
      <c r="K70" s="4">
        <v>926.6078500000001</v>
      </c>
      <c r="L70" s="19">
        <v>9.266078500000001E20</v>
      </c>
      <c r="M70" s="20">
        <v>9.266078500000001E19</v>
      </c>
    </row>
    <row r="71">
      <c r="A71" s="6"/>
      <c r="B71" s="6"/>
      <c r="C71" s="4"/>
      <c r="D71" s="36">
        <v>108.00287</v>
      </c>
      <c r="E71" s="4" t="s">
        <v>8977</v>
      </c>
      <c r="F71" s="4"/>
      <c r="G71" s="4"/>
      <c r="H71" s="4"/>
      <c r="I71" s="4" t="str">
        <f>IFERROR(__xludf.DUMMYFUNCTION("""COMPUTED_VALUE"""),"0x6994e8297f41e4d53fd2496ba47ae347a1f512c9")</f>
        <v>0x6994e8297f41e4d53fd2496ba47ae347a1f512c9</v>
      </c>
      <c r="J71" s="18">
        <v>108.00287</v>
      </c>
      <c r="K71" s="4">
        <v>2700.07175</v>
      </c>
      <c r="L71" s="19">
        <v>2.70007175E21</v>
      </c>
      <c r="M71" s="20">
        <v>2.70007175E20</v>
      </c>
    </row>
    <row r="72">
      <c r="A72" s="6"/>
      <c r="B72" s="6"/>
      <c r="C72" s="4"/>
      <c r="D72" s="36">
        <v>224.000554</v>
      </c>
      <c r="E72" s="4" t="s">
        <v>5105</v>
      </c>
      <c r="F72" s="4"/>
      <c r="G72" s="4"/>
      <c r="H72" s="4"/>
      <c r="I72" s="4" t="str">
        <f>IFERROR(__xludf.DUMMYFUNCTION("""COMPUTED_VALUE"""),"0x5e8e7a1e4b919c4548085bc8e6a3e8ac254f14a9")</f>
        <v>0x5e8e7a1e4b919c4548085bc8e6a3e8ac254f14a9</v>
      </c>
      <c r="J72" s="18">
        <v>361.423906</v>
      </c>
      <c r="K72" s="4">
        <v>9035.59765</v>
      </c>
      <c r="L72" s="19">
        <v>9.03559765E21</v>
      </c>
      <c r="M72" s="20">
        <v>9.035597650000001E20</v>
      </c>
    </row>
    <row r="73">
      <c r="A73" s="6"/>
      <c r="B73" s="6"/>
      <c r="C73" s="4"/>
      <c r="D73" s="36">
        <v>57.295901</v>
      </c>
      <c r="E73" s="4" t="s">
        <v>8978</v>
      </c>
      <c r="F73" s="4"/>
      <c r="G73" s="4"/>
      <c r="H73" s="4"/>
      <c r="I73" s="4" t="str">
        <f>IFERROR(__xludf.DUMMYFUNCTION("""COMPUTED_VALUE"""),"0xa41bd0994af7e2cb8b2d34b2b65cd71226ae1144")</f>
        <v>0xa41bd0994af7e2cb8b2d34b2b65cd71226ae1144</v>
      </c>
      <c r="J73" s="18">
        <v>57.295901</v>
      </c>
      <c r="K73" s="4">
        <v>1432.397525</v>
      </c>
      <c r="L73" s="19">
        <v>1.432397525E21</v>
      </c>
      <c r="M73" s="20">
        <v>1.4323975250000001E20</v>
      </c>
    </row>
    <row r="74">
      <c r="A74" s="6"/>
      <c r="B74" s="6"/>
      <c r="C74" s="4"/>
      <c r="D74" s="36">
        <v>224.000554</v>
      </c>
      <c r="E74" s="4" t="s">
        <v>8649</v>
      </c>
      <c r="F74" s="4"/>
      <c r="G74" s="4"/>
      <c r="H74" s="4"/>
      <c r="I74" s="4" t="str">
        <f>IFERROR(__xludf.DUMMYFUNCTION("""COMPUTED_VALUE"""),"0x1609bc551b38eefe1738bce85ecd46797082709a")</f>
        <v>0x1609bc551b38eefe1738bce85ecd46797082709a</v>
      </c>
      <c r="J74" s="18">
        <v>224.000554</v>
      </c>
      <c r="K74" s="4">
        <v>5600.013849999999</v>
      </c>
      <c r="L74" s="19">
        <v>5.60001385E21</v>
      </c>
      <c r="M74" s="20">
        <v>5.60001385E20</v>
      </c>
    </row>
    <row r="75">
      <c r="A75" s="6"/>
      <c r="B75" s="6"/>
      <c r="C75" s="4"/>
      <c r="D75" s="36">
        <v>112.118443</v>
      </c>
      <c r="E75" s="4" t="s">
        <v>8083</v>
      </c>
      <c r="F75" s="4"/>
      <c r="G75" s="4"/>
      <c r="H75" s="4"/>
      <c r="I75" s="4" t="str">
        <f>IFERROR(__xludf.DUMMYFUNCTION("""COMPUTED_VALUE"""),"0x6d3ed1d6af678f0e16b548531dbe507ebdf2ccc9")</f>
        <v>0x6d3ed1d6af678f0e16b548531dbe507ebdf2ccc9</v>
      </c>
      <c r="J75" s="18">
        <v>112.118443</v>
      </c>
      <c r="K75" s="4">
        <v>2802.9610749999997</v>
      </c>
      <c r="L75" s="19">
        <v>2.802961075E21</v>
      </c>
      <c r="M75" s="20">
        <v>2.802961075E20</v>
      </c>
    </row>
    <row r="76">
      <c r="A76" s="6"/>
      <c r="B76" s="6"/>
      <c r="C76" s="4"/>
      <c r="D76" s="36">
        <v>67.628957</v>
      </c>
      <c r="E76" s="4" t="s">
        <v>8979</v>
      </c>
      <c r="F76" s="4"/>
      <c r="G76" s="4"/>
      <c r="H76" s="4"/>
      <c r="I76" s="4" t="str">
        <f>IFERROR(__xludf.DUMMYFUNCTION("""COMPUTED_VALUE"""),"0xd7464f6283d4be6d86e75f7ee9ae3240bbd18be0")</f>
        <v>0xd7464f6283d4be6d86e75f7ee9ae3240bbd18be0</v>
      </c>
      <c r="J76" s="18">
        <v>67.628957</v>
      </c>
      <c r="K76" s="4">
        <v>1690.723925</v>
      </c>
      <c r="L76" s="19">
        <v>1.690723925E21</v>
      </c>
      <c r="M76" s="20">
        <v>1.6907239250000003E20</v>
      </c>
    </row>
    <row r="77">
      <c r="A77" s="6"/>
      <c r="B77" s="6"/>
      <c r="C77" s="4"/>
      <c r="D77" s="36">
        <v>224.000554</v>
      </c>
      <c r="E77" s="4" t="s">
        <v>1621</v>
      </c>
      <c r="F77" s="4"/>
      <c r="G77" s="4"/>
      <c r="H77" s="4"/>
      <c r="I77" s="4" t="str">
        <f>IFERROR(__xludf.DUMMYFUNCTION("""COMPUTED_VALUE"""),"0x1d8217cb1779a0cefe820d4087fbaa5d44a7c355")</f>
        <v>0x1d8217cb1779a0cefe820d4087fbaa5d44a7c355</v>
      </c>
      <c r="J77" s="18">
        <v>224.000554</v>
      </c>
      <c r="K77" s="4">
        <v>5600.013849999999</v>
      </c>
      <c r="L77" s="19">
        <v>5.60001385E21</v>
      </c>
      <c r="M77" s="20">
        <v>5.60001385E20</v>
      </c>
    </row>
    <row r="78">
      <c r="A78" s="6"/>
      <c r="B78" s="6"/>
      <c r="C78" s="4"/>
      <c r="D78" s="36">
        <v>56.062858</v>
      </c>
      <c r="E78" s="4" t="s">
        <v>8980</v>
      </c>
      <c r="F78" s="4"/>
      <c r="G78" s="4"/>
      <c r="H78" s="4"/>
      <c r="I78" s="4" t="str">
        <f>IFERROR(__xludf.DUMMYFUNCTION("""COMPUTED_VALUE"""),"0x3e376cb42215e1dfb04af1f2e4685f175f33a2f8")</f>
        <v>0x3e376cb42215e1dfb04af1f2e4685f175f33a2f8</v>
      </c>
      <c r="J78" s="18">
        <v>56.062858</v>
      </c>
      <c r="K78" s="4">
        <v>1401.57145</v>
      </c>
      <c r="L78" s="19">
        <v>1.40157145E21</v>
      </c>
      <c r="M78" s="20">
        <v>1.40157145E20</v>
      </c>
    </row>
    <row r="79">
      <c r="A79" s="6"/>
      <c r="B79" s="6"/>
      <c r="C79" s="4"/>
      <c r="D79" s="36">
        <v>224.000554</v>
      </c>
      <c r="E79" s="4" t="s">
        <v>8981</v>
      </c>
      <c r="F79" s="4"/>
      <c r="G79" s="4"/>
      <c r="H79" s="4"/>
      <c r="I79" s="4" t="str">
        <f>IFERROR(__xludf.DUMMYFUNCTION("""COMPUTED_VALUE"""),"0xb047e5845ce7c26c915a5b4861d990f61b77e4a4")</f>
        <v>0xb047e5845ce7c26c915a5b4861d990f61b77e4a4</v>
      </c>
      <c r="J79" s="18">
        <v>392.641192</v>
      </c>
      <c r="K79" s="4">
        <v>9816.0298</v>
      </c>
      <c r="L79" s="19">
        <v>9.816029800000001E21</v>
      </c>
      <c r="M79" s="20">
        <v>9.816029800000001E20</v>
      </c>
    </row>
    <row r="80">
      <c r="A80" s="6"/>
      <c r="B80" s="6"/>
      <c r="C80" s="4"/>
      <c r="D80" s="36">
        <v>35.646147</v>
      </c>
      <c r="E80" s="4" t="s">
        <v>8982</v>
      </c>
      <c r="F80" s="4"/>
      <c r="G80" s="4"/>
      <c r="H80" s="4"/>
      <c r="I80" s="4" t="str">
        <f>IFERROR(__xludf.DUMMYFUNCTION("""COMPUTED_VALUE"""),"0x4ae50051b8dc10d8501041e2eea93341db29b52c")</f>
        <v>0x4ae50051b8dc10d8501041e2eea93341db29b52c</v>
      </c>
      <c r="J80" s="18">
        <v>35.646147</v>
      </c>
      <c r="K80" s="4">
        <v>891.1536749999999</v>
      </c>
      <c r="L80" s="19">
        <v>8.911536749999999E20</v>
      </c>
      <c r="M80" s="20">
        <v>8.91153675E19</v>
      </c>
    </row>
    <row r="81">
      <c r="A81" s="6"/>
      <c r="B81" s="6"/>
      <c r="C81" s="4"/>
      <c r="D81" s="36">
        <v>200.554357</v>
      </c>
      <c r="E81" s="4" t="s">
        <v>8983</v>
      </c>
      <c r="F81" s="4"/>
      <c r="G81" s="4"/>
      <c r="H81" s="4"/>
      <c r="I81" s="4" t="str">
        <f>IFERROR(__xludf.DUMMYFUNCTION("""COMPUTED_VALUE"""),"0xa0106f7191d81a31faf101a993d60e60bc0b086a")</f>
        <v>0xa0106f7191d81a31faf101a993d60e60bc0b086a</v>
      </c>
      <c r="J81" s="18">
        <v>200.554357</v>
      </c>
      <c r="K81" s="4">
        <v>5013.858925</v>
      </c>
      <c r="L81" s="19">
        <v>5.013858925000001E21</v>
      </c>
      <c r="M81" s="20">
        <v>5.013858925000001E20</v>
      </c>
    </row>
    <row r="82">
      <c r="A82" s="6"/>
      <c r="B82" s="6"/>
      <c r="C82" s="4"/>
      <c r="D82" s="36">
        <v>8.388203</v>
      </c>
      <c r="E82" s="4" t="s">
        <v>7744</v>
      </c>
      <c r="F82" s="4"/>
      <c r="G82" s="4"/>
      <c r="H82" s="4"/>
      <c r="I82" s="4" t="str">
        <f>IFERROR(__xludf.DUMMYFUNCTION("""COMPUTED_VALUE"""),"0xc0c4cdfa466ee0bd34bd28342c515dd6b00df986")</f>
        <v>0xc0c4cdfa466ee0bd34bd28342c515dd6b00df986</v>
      </c>
      <c r="J82" s="18">
        <v>8.388203</v>
      </c>
      <c r="K82" s="4">
        <v>209.70507500000002</v>
      </c>
      <c r="L82" s="19">
        <v>2.0970507500000002E20</v>
      </c>
      <c r="M82" s="20">
        <v>2.09705075E19</v>
      </c>
    </row>
    <row r="83">
      <c r="A83" s="6"/>
      <c r="B83" s="6"/>
      <c r="C83" s="4"/>
      <c r="D83" s="36">
        <v>34.932571</v>
      </c>
      <c r="E83" s="4" t="s">
        <v>8984</v>
      </c>
      <c r="F83" s="4"/>
      <c r="G83" s="4"/>
      <c r="H83" s="4"/>
      <c r="I83" s="4" t="str">
        <f>IFERROR(__xludf.DUMMYFUNCTION("""COMPUTED_VALUE"""),"0x53b027408374838e42725845d6252688871f2c26")</f>
        <v>0x53b027408374838e42725845d6252688871f2c26</v>
      </c>
      <c r="J83" s="18">
        <v>34.932571</v>
      </c>
      <c r="K83" s="4">
        <v>873.3142750000001</v>
      </c>
      <c r="L83" s="19">
        <v>8.73314275E20</v>
      </c>
      <c r="M83" s="20">
        <v>8.73314275E19</v>
      </c>
    </row>
    <row r="84">
      <c r="A84" s="6"/>
      <c r="B84" s="6"/>
      <c r="C84" s="4"/>
      <c r="D84" s="36">
        <v>45.873793</v>
      </c>
      <c r="E84" s="4" t="s">
        <v>5717</v>
      </c>
      <c r="F84" s="4"/>
      <c r="G84" s="4"/>
      <c r="H84" s="4"/>
      <c r="I84" s="4" t="str">
        <f>IFERROR(__xludf.DUMMYFUNCTION("""COMPUTED_VALUE"""),"0x61f4e0111ca69a2547b56ce9e6a93d38b02175d3")</f>
        <v>0x61f4e0111ca69a2547b56ce9e6a93d38b02175d3</v>
      </c>
      <c r="J84" s="18">
        <v>45.873793</v>
      </c>
      <c r="K84" s="4">
        <v>1146.844825</v>
      </c>
      <c r="L84" s="19">
        <v>1.146844825E21</v>
      </c>
      <c r="M84" s="20">
        <v>1.146844825E20</v>
      </c>
    </row>
    <row r="85">
      <c r="A85" s="6"/>
      <c r="B85" s="6"/>
      <c r="C85" s="4"/>
      <c r="D85" s="36">
        <v>224.000554</v>
      </c>
      <c r="E85" s="4" t="s">
        <v>1774</v>
      </c>
      <c r="F85" s="4"/>
      <c r="G85" s="4"/>
      <c r="H85" s="4"/>
      <c r="I85" s="4" t="str">
        <f>IFERROR(__xludf.DUMMYFUNCTION("""COMPUTED_VALUE"""),"0x6165fd87c1bc73a4c44b23934e9136fd92df5b01")</f>
        <v>0x6165fd87c1bc73a4c44b23934e9136fd92df5b01</v>
      </c>
      <c r="J85" s="18">
        <v>2461.125002</v>
      </c>
      <c r="K85" s="4">
        <v>61528.12505</v>
      </c>
      <c r="L85" s="19">
        <v>6.152812505E22</v>
      </c>
      <c r="M85" s="20">
        <v>6.152812505E21</v>
      </c>
    </row>
    <row r="86">
      <c r="A86" s="6"/>
      <c r="B86" s="6"/>
      <c r="C86" s="4"/>
      <c r="D86" s="36">
        <v>100.381043</v>
      </c>
      <c r="E86" s="4" t="s">
        <v>239</v>
      </c>
      <c r="F86" s="4"/>
      <c r="G86" s="4"/>
      <c r="H86" s="4"/>
      <c r="I86" s="4" t="str">
        <f>IFERROR(__xludf.DUMMYFUNCTION("""COMPUTED_VALUE"""),"0xd598e2906913ac80ffde233772f56cf26ed90d55")</f>
        <v>0xd598e2906913ac80ffde233772f56cf26ed90d55</v>
      </c>
      <c r="J86" s="18">
        <v>306.592557</v>
      </c>
      <c r="K86" s="4">
        <v>7664.8139249999995</v>
      </c>
      <c r="L86" s="19">
        <v>7.664813924999999E21</v>
      </c>
      <c r="M86" s="20">
        <v>7.664813924999999E20</v>
      </c>
    </row>
    <row r="87">
      <c r="A87" s="6"/>
      <c r="B87" s="6"/>
      <c r="C87" s="4"/>
      <c r="D87" s="36">
        <v>79.02421</v>
      </c>
      <c r="E87" s="4" t="s">
        <v>8985</v>
      </c>
      <c r="F87" s="4"/>
      <c r="G87" s="4"/>
      <c r="H87" s="4"/>
      <c r="I87" s="4" t="str">
        <f>IFERROR(__xludf.DUMMYFUNCTION("""COMPUTED_VALUE"""),"0x3f8f2acb85100f5f294f7605e5f26dabe652cf1d")</f>
        <v>0x3f8f2acb85100f5f294f7605e5f26dabe652cf1d</v>
      </c>
      <c r="J87" s="18">
        <v>79.02421</v>
      </c>
      <c r="K87" s="4">
        <v>1975.6052499999998</v>
      </c>
      <c r="L87" s="19">
        <v>1.9756052499999999E21</v>
      </c>
      <c r="M87" s="20">
        <v>1.97560525E20</v>
      </c>
    </row>
    <row r="88">
      <c r="A88" s="6"/>
      <c r="B88" s="6"/>
      <c r="C88" s="4"/>
      <c r="D88" s="36">
        <v>101.02016</v>
      </c>
      <c r="E88" s="4" t="s">
        <v>7052</v>
      </c>
      <c r="F88" s="4"/>
      <c r="G88" s="4"/>
      <c r="H88" s="4"/>
      <c r="I88" s="4" t="str">
        <f>IFERROR(__xludf.DUMMYFUNCTION("""COMPUTED_VALUE"""),"0xbd848387557de7d127a19b735cdd6b9be46f6a35")</f>
        <v>0xbd848387557de7d127a19b735cdd6b9be46f6a35</v>
      </c>
      <c r="J88" s="18">
        <v>101.02016</v>
      </c>
      <c r="K88" s="4">
        <v>2525.504</v>
      </c>
      <c r="L88" s="19">
        <v>2.525504E21</v>
      </c>
      <c r="M88" s="20">
        <v>2.525504E20</v>
      </c>
    </row>
    <row r="89">
      <c r="A89" s="6"/>
      <c r="B89" s="6"/>
      <c r="C89" s="4"/>
      <c r="D89" s="36">
        <v>77.799311</v>
      </c>
      <c r="E89" s="4" t="s">
        <v>6891</v>
      </c>
      <c r="F89" s="4"/>
      <c r="G89" s="4"/>
      <c r="H89" s="4"/>
      <c r="I89" s="4" t="str">
        <f>IFERROR(__xludf.DUMMYFUNCTION("""COMPUTED_VALUE"""),"0xd67b9f1af81e985aa7ce0521a45ac12f436aa441")</f>
        <v>0xd67b9f1af81e985aa7ce0521a45ac12f436aa441</v>
      </c>
      <c r="J89" s="18">
        <v>77.799311</v>
      </c>
      <c r="K89" s="4">
        <v>1944.982775</v>
      </c>
      <c r="L89" s="19">
        <v>1.9449827749999998E21</v>
      </c>
      <c r="M89" s="20">
        <v>1.944982775E20</v>
      </c>
    </row>
    <row r="90">
      <c r="A90" s="6"/>
      <c r="B90" s="6"/>
      <c r="C90" s="4"/>
      <c r="D90" s="36">
        <v>42.4521</v>
      </c>
      <c r="E90" s="4" t="s">
        <v>8986</v>
      </c>
      <c r="F90" s="4"/>
      <c r="G90" s="4"/>
      <c r="H90" s="4"/>
      <c r="I90" s="4" t="str">
        <f>IFERROR(__xludf.DUMMYFUNCTION("""COMPUTED_VALUE"""),"0xb1ac9db0d6a1ec291f427ad03fc3b632e1e93a56")</f>
        <v>0xb1ac9db0d6a1ec291f427ad03fc3b632e1e93a56</v>
      </c>
      <c r="J90" s="18">
        <v>42.4521</v>
      </c>
      <c r="K90" s="4">
        <v>1061.3025</v>
      </c>
      <c r="L90" s="19">
        <v>1.0613025E21</v>
      </c>
      <c r="M90" s="20">
        <v>1.0613025000000001E20</v>
      </c>
    </row>
    <row r="91">
      <c r="A91" s="6"/>
      <c r="B91" s="6"/>
      <c r="C91" s="4"/>
      <c r="D91" s="36">
        <v>224.000554</v>
      </c>
      <c r="E91" s="4" t="s">
        <v>8907</v>
      </c>
      <c r="F91" s="4"/>
      <c r="G91" s="4"/>
      <c r="H91" s="4"/>
      <c r="I91" s="4" t="str">
        <f>IFERROR(__xludf.DUMMYFUNCTION("""COMPUTED_VALUE"""),"0x7d0d0e6c6b57a116429ab14d08303e8f71b452f4")</f>
        <v>0x7d0d0e6c6b57a116429ab14d08303e8f71b452f4</v>
      </c>
      <c r="J91" s="18">
        <v>1198.245007</v>
      </c>
      <c r="K91" s="4">
        <v>29956.125174999997</v>
      </c>
      <c r="L91" s="19">
        <v>2.9956125175E22</v>
      </c>
      <c r="M91" s="20">
        <v>2.9956125175E21</v>
      </c>
    </row>
    <row r="92">
      <c r="A92" s="6"/>
      <c r="B92" s="6"/>
      <c r="C92" s="4"/>
      <c r="D92" s="36">
        <v>125.108423</v>
      </c>
      <c r="E92" s="4" t="s">
        <v>8987</v>
      </c>
      <c r="F92" s="4"/>
      <c r="G92" s="4"/>
      <c r="H92" s="4"/>
      <c r="I92" s="4" t="str">
        <f>IFERROR(__xludf.DUMMYFUNCTION("""COMPUTED_VALUE"""),"0xf3a259fee91176a8a9bde99d1db6df073f081c68")</f>
        <v>0xf3a259fee91176a8a9bde99d1db6df073f081c68</v>
      </c>
      <c r="J92" s="18">
        <v>125.108423</v>
      </c>
      <c r="K92" s="4">
        <v>3127.710575</v>
      </c>
      <c r="L92" s="19">
        <v>3.127710575E21</v>
      </c>
      <c r="M92" s="20">
        <v>3.127710575E20</v>
      </c>
    </row>
    <row r="93">
      <c r="A93" s="6"/>
      <c r="B93" s="6"/>
      <c r="C93" s="4"/>
      <c r="D93" s="36">
        <v>67.231877</v>
      </c>
      <c r="E93" s="4" t="s">
        <v>8988</v>
      </c>
      <c r="F93" s="4"/>
      <c r="G93" s="4"/>
      <c r="H93" s="4"/>
      <c r="I93" s="4" t="str">
        <f>IFERROR(__xludf.DUMMYFUNCTION("""COMPUTED_VALUE"""),"0xb9f831f19f94f09709cf75c757e5bd7a9a812819")</f>
        <v>0xb9f831f19f94f09709cf75c757e5bd7a9a812819</v>
      </c>
      <c r="J93" s="18">
        <v>67.231877</v>
      </c>
      <c r="K93" s="4">
        <v>1680.7969249999999</v>
      </c>
      <c r="L93" s="19">
        <v>1.680796925E21</v>
      </c>
      <c r="M93" s="20">
        <v>1.680796925E20</v>
      </c>
    </row>
    <row r="94">
      <c r="A94" s="6"/>
      <c r="B94" s="6"/>
      <c r="C94" s="4"/>
      <c r="D94" s="36">
        <v>63.728157</v>
      </c>
      <c r="E94" s="4" t="s">
        <v>8989</v>
      </c>
      <c r="F94" s="4"/>
      <c r="G94" s="4"/>
      <c r="H94" s="4"/>
      <c r="I94" s="4" t="str">
        <f>IFERROR(__xludf.DUMMYFUNCTION("""COMPUTED_VALUE"""),"0x3513237adec5bdcfedea412649e56eb03ed2de9c")</f>
        <v>0x3513237adec5bdcfedea412649e56eb03ed2de9c</v>
      </c>
      <c r="J94" s="18">
        <v>63.728157</v>
      </c>
      <c r="K94" s="4">
        <v>1593.203925</v>
      </c>
      <c r="L94" s="19">
        <v>1.593203925E21</v>
      </c>
      <c r="M94" s="20">
        <v>1.5932039250000003E20</v>
      </c>
    </row>
    <row r="95">
      <c r="A95" s="6"/>
      <c r="B95" s="6"/>
      <c r="C95" s="4"/>
      <c r="D95" s="36">
        <v>224.000554</v>
      </c>
      <c r="E95" s="4" t="s">
        <v>2806</v>
      </c>
      <c r="F95" s="4"/>
      <c r="G95" s="4"/>
      <c r="H95" s="4"/>
      <c r="I95" s="4" t="str">
        <f>IFERROR(__xludf.DUMMYFUNCTION("""COMPUTED_VALUE"""),"0xddd99beca9f7daa4bda89117259c9d3584f31e0a")</f>
        <v>0xddd99beca9f7daa4bda89117259c9d3584f31e0a</v>
      </c>
      <c r="J95" s="18">
        <v>689.108102</v>
      </c>
      <c r="K95" s="4">
        <v>17227.70255</v>
      </c>
      <c r="L95" s="19">
        <v>1.7227702550000002E22</v>
      </c>
      <c r="M95" s="20">
        <v>1.7227702550000003E21</v>
      </c>
    </row>
    <row r="96">
      <c r="A96" s="6"/>
      <c r="B96" s="6"/>
      <c r="C96" s="4"/>
      <c r="D96" s="36">
        <v>119.101352</v>
      </c>
      <c r="E96" s="4" t="s">
        <v>5940</v>
      </c>
      <c r="F96" s="4"/>
      <c r="G96" s="4"/>
      <c r="H96" s="4"/>
      <c r="I96" s="4" t="str">
        <f>IFERROR(__xludf.DUMMYFUNCTION("""COMPUTED_VALUE"""),"0xb1b3f9c0aa17d4a2bd41784e160290390ac3ae15")</f>
        <v>0xb1b3f9c0aa17d4a2bd41784e160290390ac3ae15</v>
      </c>
      <c r="J96" s="18">
        <v>119.101352</v>
      </c>
      <c r="K96" s="4">
        <v>2977.5338</v>
      </c>
      <c r="L96" s="19">
        <v>2.9775338E21</v>
      </c>
      <c r="M96" s="20">
        <v>2.9775338000000005E20</v>
      </c>
    </row>
    <row r="97">
      <c r="A97" s="6"/>
      <c r="B97" s="6"/>
      <c r="C97" s="4"/>
      <c r="D97" s="36">
        <v>224.000554</v>
      </c>
      <c r="E97" s="4" t="s">
        <v>8990</v>
      </c>
      <c r="F97" s="4"/>
      <c r="G97" s="4"/>
      <c r="H97" s="4"/>
      <c r="I97" s="4" t="str">
        <f>IFERROR(__xludf.DUMMYFUNCTION("""COMPUTED_VALUE"""),"0x498d0c1c491d7b90fa4cc280a0fd27ff58225bca")</f>
        <v>0x498d0c1c491d7b90fa4cc280a0fd27ff58225bca</v>
      </c>
      <c r="J97" s="18">
        <v>224.000554</v>
      </c>
      <c r="K97" s="4">
        <v>5600.013849999999</v>
      </c>
      <c r="L97" s="19">
        <v>5.60001385E21</v>
      </c>
      <c r="M97" s="20">
        <v>5.60001385E20</v>
      </c>
    </row>
    <row r="98">
      <c r="A98" s="6"/>
      <c r="B98" s="6"/>
      <c r="C98" s="4"/>
      <c r="D98" s="36">
        <v>224.000554</v>
      </c>
      <c r="E98" s="4" t="s">
        <v>1667</v>
      </c>
      <c r="F98" s="4"/>
      <c r="G98" s="4"/>
      <c r="H98" s="4"/>
      <c r="I98" s="4" t="str">
        <f>IFERROR(__xludf.DUMMYFUNCTION("""COMPUTED_VALUE"""),"0x461e76a4fe9f27605d4097a646837c32f1ccc31c")</f>
        <v>0x461e76a4fe9f27605d4097a646837c32f1ccc31c</v>
      </c>
      <c r="J98" s="18">
        <v>1455.996683</v>
      </c>
      <c r="K98" s="4">
        <v>36399.917075</v>
      </c>
      <c r="L98" s="19">
        <v>3.6399917074999996E22</v>
      </c>
      <c r="M98" s="20">
        <v>3.6399917075E21</v>
      </c>
    </row>
    <row r="99">
      <c r="A99" s="6"/>
      <c r="B99" s="6"/>
      <c r="C99" s="4"/>
      <c r="D99" s="36">
        <v>179.200443</v>
      </c>
      <c r="E99" s="4" t="s">
        <v>6009</v>
      </c>
      <c r="F99" s="4"/>
      <c r="G99" s="4"/>
      <c r="H99" s="4"/>
      <c r="I99" s="4" t="str">
        <f>IFERROR(__xludf.DUMMYFUNCTION("""COMPUTED_VALUE"""),"0x2ae42274c4e0a45b39c3934cfcc83a66776afc0b")</f>
        <v>0x2ae42274c4e0a45b39c3934cfcc83a66776afc0b</v>
      </c>
      <c r="J99" s="18">
        <v>179.200443</v>
      </c>
      <c r="K99" s="4">
        <v>4480.011075</v>
      </c>
      <c r="L99" s="19">
        <v>4.4800110750000003E21</v>
      </c>
      <c r="M99" s="20">
        <v>4.480011075000001E20</v>
      </c>
    </row>
    <row r="100">
      <c r="A100" s="6"/>
      <c r="B100" s="6"/>
      <c r="C100" s="4"/>
      <c r="D100" s="36">
        <v>60.592248</v>
      </c>
      <c r="E100" s="4" t="s">
        <v>8991</v>
      </c>
      <c r="F100" s="4"/>
      <c r="G100" s="4"/>
      <c r="H100" s="4"/>
      <c r="I100" s="4" t="str">
        <f>IFERROR(__xludf.DUMMYFUNCTION("""COMPUTED_VALUE"""),"0x7d95d724c44675526383ef0c69b2745e251fd58b")</f>
        <v>0x7d95d724c44675526383ef0c69b2745e251fd58b</v>
      </c>
      <c r="J100" s="18">
        <v>60.592248</v>
      </c>
      <c r="K100" s="4">
        <v>1514.8062</v>
      </c>
      <c r="L100" s="19">
        <v>1.5148062E21</v>
      </c>
      <c r="M100" s="20">
        <v>1.5148062E20</v>
      </c>
    </row>
    <row r="101">
      <c r="A101" s="6"/>
      <c r="B101" s="6"/>
      <c r="C101" s="4"/>
      <c r="D101" s="36">
        <v>224.000554</v>
      </c>
      <c r="E101" s="4" t="s">
        <v>952</v>
      </c>
      <c r="F101" s="4"/>
      <c r="G101" s="4"/>
      <c r="H101" s="4"/>
      <c r="I101" s="4" t="str">
        <f>IFERROR(__xludf.DUMMYFUNCTION("""COMPUTED_VALUE"""),"0x88370ae069b0fc8e0bca44305bf3a0d6ab56919f")</f>
        <v>0x88370ae069b0fc8e0bca44305bf3a0d6ab56919f</v>
      </c>
      <c r="J101" s="18">
        <v>1211.535582</v>
      </c>
      <c r="K101" s="4">
        <v>30288.38955</v>
      </c>
      <c r="L101" s="19">
        <v>3.028838955E22</v>
      </c>
      <c r="M101" s="20">
        <v>3.0288389550000004E21</v>
      </c>
    </row>
    <row r="102">
      <c r="A102" s="6"/>
      <c r="B102" s="6"/>
      <c r="C102" s="4"/>
      <c r="D102" s="36">
        <v>59.411432</v>
      </c>
      <c r="E102" s="4" t="s">
        <v>587</v>
      </c>
      <c r="F102" s="4"/>
      <c r="G102" s="4"/>
      <c r="H102" s="4"/>
      <c r="I102" s="4" t="str">
        <f>IFERROR(__xludf.DUMMYFUNCTION("""COMPUTED_VALUE"""),"0xfc4755e96e7a935d72f7181adb0ae8b683d5d467")</f>
        <v>0xfc4755e96e7a935d72f7181adb0ae8b683d5d467</v>
      </c>
      <c r="J102" s="18">
        <v>59.411432</v>
      </c>
      <c r="K102" s="4">
        <v>1485.2857999999999</v>
      </c>
      <c r="L102" s="19">
        <v>1.4852857999999998E21</v>
      </c>
      <c r="M102" s="20">
        <v>1.4852858E20</v>
      </c>
    </row>
    <row r="103">
      <c r="A103" s="6"/>
      <c r="B103" s="6"/>
      <c r="C103" s="4"/>
      <c r="D103" s="36">
        <v>33.600083</v>
      </c>
      <c r="E103" s="4" t="s">
        <v>7073</v>
      </c>
      <c r="F103" s="4"/>
      <c r="G103" s="4"/>
      <c r="H103" s="4"/>
      <c r="I103" s="4" t="str">
        <f>IFERROR(__xludf.DUMMYFUNCTION("""COMPUTED_VALUE"""),"0x2fdae8f8c93c00a010d2ef401ab9a17889c293af")</f>
        <v>0x2fdae8f8c93c00a010d2ef401ab9a17889c293af</v>
      </c>
      <c r="J103" s="18">
        <v>33.600083</v>
      </c>
      <c r="K103" s="4">
        <v>840.0020749999999</v>
      </c>
      <c r="L103" s="19">
        <v>8.400020749999998E20</v>
      </c>
      <c r="M103" s="20">
        <v>8.400020749999999E19</v>
      </c>
    </row>
    <row r="104">
      <c r="A104" s="6"/>
      <c r="B104" s="6"/>
      <c r="C104" s="4"/>
      <c r="D104" s="36">
        <v>221.807826</v>
      </c>
      <c r="E104" s="4" t="s">
        <v>8992</v>
      </c>
      <c r="F104" s="4"/>
      <c r="G104" s="4"/>
      <c r="H104" s="4"/>
      <c r="I104" s="4" t="str">
        <f>IFERROR(__xludf.DUMMYFUNCTION("""COMPUTED_VALUE"""),"0xf5446e36c19a26415f4481577c6ceb9b7d72b388")</f>
        <v>0xf5446e36c19a26415f4481577c6ceb9b7d72b388</v>
      </c>
      <c r="J104" s="18">
        <v>2611.57759</v>
      </c>
      <c r="K104" s="4">
        <v>65289.43975</v>
      </c>
      <c r="L104" s="19">
        <v>6.528943975E22</v>
      </c>
      <c r="M104" s="20">
        <v>6.528943975E21</v>
      </c>
    </row>
    <row r="105">
      <c r="A105" s="6"/>
      <c r="B105" s="6"/>
      <c r="C105" s="4"/>
      <c r="D105" s="36">
        <v>198.24049</v>
      </c>
      <c r="E105" s="4" t="s">
        <v>3887</v>
      </c>
      <c r="F105" s="4"/>
      <c r="G105" s="4"/>
      <c r="H105" s="4"/>
      <c r="I105" s="4" t="str">
        <f>IFERROR(__xludf.DUMMYFUNCTION("""COMPUTED_VALUE"""),"0xc6d1849af21de257fdfa67271d64529d5cd01881")</f>
        <v>0xc6d1849af21de257fdfa67271d64529d5cd01881</v>
      </c>
      <c r="J105" s="18">
        <v>198.24049</v>
      </c>
      <c r="K105" s="4">
        <v>4956.01225</v>
      </c>
      <c r="L105" s="19">
        <v>4.95601225E21</v>
      </c>
      <c r="M105" s="20">
        <v>4.95601225E20</v>
      </c>
    </row>
    <row r="106">
      <c r="A106" s="6"/>
      <c r="B106" s="6"/>
      <c r="C106" s="4"/>
      <c r="D106" s="36">
        <v>100.824873</v>
      </c>
      <c r="E106" s="4" t="s">
        <v>6220</v>
      </c>
      <c r="F106" s="4"/>
      <c r="G106" s="4"/>
      <c r="H106" s="4"/>
      <c r="I106" s="4" t="str">
        <f>IFERROR(__xludf.DUMMYFUNCTION("""COMPUTED_VALUE"""),"0x035c2e014257d40692fd3a65c74915096162432c")</f>
        <v>0x035c2e014257d40692fd3a65c74915096162432c</v>
      </c>
      <c r="J106" s="18">
        <v>100.824873</v>
      </c>
      <c r="K106" s="4">
        <v>2520.6218249999997</v>
      </c>
      <c r="L106" s="19">
        <v>2.5206218249999997E21</v>
      </c>
      <c r="M106" s="20">
        <v>2.5206218249999997E20</v>
      </c>
    </row>
    <row r="107">
      <c r="A107" s="6"/>
      <c r="B107" s="6"/>
      <c r="C107" s="4"/>
      <c r="D107" s="36">
        <v>56.980653</v>
      </c>
      <c r="E107" s="4" t="s">
        <v>8645</v>
      </c>
      <c r="F107" s="4"/>
      <c r="G107" s="4"/>
      <c r="H107" s="4"/>
      <c r="I107" s="4" t="str">
        <f>IFERROR(__xludf.DUMMYFUNCTION("""COMPUTED_VALUE"""),"0xca80a9374ce92a33b3251ef074cc03e1075dd017")</f>
        <v>0xca80a9374ce92a33b3251ef074cc03e1075dd017</v>
      </c>
      <c r="J107" s="18">
        <v>56.980653</v>
      </c>
      <c r="K107" s="4">
        <v>1424.5163249999998</v>
      </c>
      <c r="L107" s="19">
        <v>1.4245163249999998E21</v>
      </c>
      <c r="M107" s="20">
        <v>1.4245163249999998E20</v>
      </c>
    </row>
    <row r="108">
      <c r="A108" s="6"/>
      <c r="B108" s="6"/>
      <c r="C108" s="4"/>
      <c r="D108" s="36">
        <v>65.55443</v>
      </c>
      <c r="E108" s="4" t="s">
        <v>7491</v>
      </c>
      <c r="F108" s="4"/>
      <c r="G108" s="4"/>
      <c r="H108" s="4"/>
      <c r="I108" s="4" t="str">
        <f>IFERROR(__xludf.DUMMYFUNCTION("""COMPUTED_VALUE"""),"0x4aa2fad040577102be6e879066da2460c4b8e148")</f>
        <v>0x4aa2fad040577102be6e879066da2460c4b8e148</v>
      </c>
      <c r="J108" s="18">
        <v>65.55443</v>
      </c>
      <c r="K108" s="4">
        <v>1638.8607499999998</v>
      </c>
      <c r="L108" s="19">
        <v>1.6388607499999998E21</v>
      </c>
      <c r="M108" s="20">
        <v>1.63886075E20</v>
      </c>
    </row>
    <row r="109">
      <c r="A109" s="6"/>
      <c r="B109" s="6"/>
      <c r="C109" s="4"/>
      <c r="D109" s="36">
        <v>224.000554</v>
      </c>
      <c r="E109" s="4" t="s">
        <v>8547</v>
      </c>
      <c r="F109" s="4"/>
      <c r="G109" s="4"/>
      <c r="H109" s="4"/>
      <c r="I109" s="4" t="str">
        <f>IFERROR(__xludf.DUMMYFUNCTION("""COMPUTED_VALUE"""),"0xc6f1d794d9a07267d1adfbff69caabba4bb11f51")</f>
        <v>0xc6f1d794d9a07267d1adfbff69caabba4bb11f51</v>
      </c>
      <c r="J109" s="18">
        <v>2357.675147</v>
      </c>
      <c r="K109" s="4">
        <v>58941.878675</v>
      </c>
      <c r="L109" s="19">
        <v>5.8941878675E22</v>
      </c>
      <c r="M109" s="20">
        <v>5.894187867500001E21</v>
      </c>
    </row>
    <row r="110">
      <c r="A110" s="6"/>
      <c r="B110" s="6"/>
      <c r="C110" s="4"/>
      <c r="D110" s="36">
        <v>63.324264</v>
      </c>
      <c r="E110" s="4" t="s">
        <v>8993</v>
      </c>
      <c r="F110" s="4"/>
      <c r="G110" s="4"/>
      <c r="H110" s="4"/>
      <c r="I110" s="4" t="str">
        <f>IFERROR(__xludf.DUMMYFUNCTION("""COMPUTED_VALUE"""),"0x0c285904db116616da9d1251ccb6e437b25eea30")</f>
        <v>0x0c285904db116616da9d1251ccb6e437b25eea30</v>
      </c>
      <c r="J110" s="18">
        <v>63.324264</v>
      </c>
      <c r="K110" s="4">
        <v>1583.1065999999998</v>
      </c>
      <c r="L110" s="19">
        <v>1.5831065999999998E21</v>
      </c>
      <c r="M110" s="20">
        <v>1.5831066E20</v>
      </c>
    </row>
    <row r="111">
      <c r="A111" s="6"/>
      <c r="B111" s="6"/>
      <c r="C111" s="4"/>
      <c r="D111" s="36">
        <v>112.094163</v>
      </c>
      <c r="E111" s="4" t="s">
        <v>8994</v>
      </c>
      <c r="F111" s="4"/>
      <c r="G111" s="4"/>
      <c r="H111" s="4"/>
      <c r="I111" s="4" t="str">
        <f>IFERROR(__xludf.DUMMYFUNCTION("""COMPUTED_VALUE"""),"0x65c1425bf0067d3855b72da10b2040c2e4942675")</f>
        <v>0x65c1425bf0067d3855b72da10b2040c2e4942675</v>
      </c>
      <c r="J111" s="18">
        <v>112.094163</v>
      </c>
      <c r="K111" s="4">
        <v>2802.3540749999997</v>
      </c>
      <c r="L111" s="19">
        <v>2.802354075E21</v>
      </c>
      <c r="M111" s="20">
        <v>2.802354075E20</v>
      </c>
    </row>
    <row r="112">
      <c r="A112" s="6"/>
      <c r="B112" s="6"/>
      <c r="C112" s="4"/>
      <c r="D112" s="36">
        <v>219.120592</v>
      </c>
      <c r="E112" s="4" t="s">
        <v>683</v>
      </c>
      <c r="F112" s="4"/>
      <c r="G112" s="4"/>
      <c r="H112" s="4"/>
      <c r="I112" s="4" t="str">
        <f>IFERROR(__xludf.DUMMYFUNCTION("""COMPUTED_VALUE"""),"0x14d316262d575e7074491a5e95e69c1fee3e65c2")</f>
        <v>0x14d316262d575e7074491a5e95e69c1fee3e65c2</v>
      </c>
      <c r="J112" s="18">
        <v>766.1247599999999</v>
      </c>
      <c r="K112" s="4">
        <v>19153.119</v>
      </c>
      <c r="L112" s="19">
        <v>1.9153118999999997E22</v>
      </c>
      <c r="M112" s="20">
        <v>1.9153119E21</v>
      </c>
    </row>
    <row r="113">
      <c r="A113" s="6"/>
      <c r="B113" s="6"/>
      <c r="C113" s="4"/>
      <c r="D113" s="36">
        <v>56.017514</v>
      </c>
      <c r="E113" s="4" t="s">
        <v>8995</v>
      </c>
      <c r="F113" s="4"/>
      <c r="G113" s="4"/>
      <c r="H113" s="4"/>
      <c r="I113" s="4" t="str">
        <f>IFERROR(__xludf.DUMMYFUNCTION("""COMPUTED_VALUE"""),"0xe3075a08b7f42c0fb55b8546eb7170a6435531f3")</f>
        <v>0xe3075a08b7f42c0fb55b8546eb7170a6435531f3</v>
      </c>
      <c r="J113" s="18">
        <v>56.017514</v>
      </c>
      <c r="K113" s="4">
        <v>1400.43785</v>
      </c>
      <c r="L113" s="19">
        <v>1.40043785E21</v>
      </c>
      <c r="M113" s="20">
        <v>1.4004378500000001E20</v>
      </c>
    </row>
    <row r="114">
      <c r="A114" s="6"/>
      <c r="B114" s="6"/>
      <c r="C114" s="4"/>
      <c r="D114" s="36">
        <v>224.000554</v>
      </c>
      <c r="E114" s="4" t="s">
        <v>8996</v>
      </c>
      <c r="F114" s="4"/>
      <c r="G114" s="4"/>
      <c r="H114" s="4"/>
      <c r="I114" s="4" t="str">
        <f>IFERROR(__xludf.DUMMYFUNCTION("""COMPUTED_VALUE"""),"0x8888888888e9997e64793849389a8faf5e8e547c")</f>
        <v>0x8888888888e9997e64793849389a8faf5e8e547c</v>
      </c>
      <c r="J114" s="18">
        <v>1318.398162</v>
      </c>
      <c r="K114" s="4">
        <v>32959.95405</v>
      </c>
      <c r="L114" s="19">
        <v>3.295995405E22</v>
      </c>
      <c r="M114" s="20">
        <v>3.295995405E21</v>
      </c>
    </row>
    <row r="115">
      <c r="A115" s="6"/>
      <c r="B115" s="6"/>
      <c r="C115" s="4"/>
      <c r="D115" s="36">
        <v>104.744523</v>
      </c>
      <c r="E115" s="4" t="s">
        <v>2762</v>
      </c>
      <c r="F115" s="4"/>
      <c r="G115" s="4"/>
      <c r="H115" s="4"/>
      <c r="I115" s="4" t="str">
        <f>IFERROR(__xludf.DUMMYFUNCTION("""COMPUTED_VALUE"""),"0xad4489f64a8be791294116d3e99d2721c7f0a72a")</f>
        <v>0xad4489f64a8be791294116d3e99d2721c7f0a72a</v>
      </c>
      <c r="J115" s="18">
        <v>104.744523</v>
      </c>
      <c r="K115" s="4">
        <v>2618.6130749999998</v>
      </c>
      <c r="L115" s="19">
        <v>2.6186130749999997E21</v>
      </c>
      <c r="M115" s="20">
        <v>2.618613075E20</v>
      </c>
    </row>
    <row r="116">
      <c r="A116" s="6"/>
      <c r="B116" s="6"/>
      <c r="C116" s="4"/>
      <c r="D116" s="36">
        <v>224.000554</v>
      </c>
      <c r="E116" s="4" t="s">
        <v>8997</v>
      </c>
      <c r="F116" s="4"/>
      <c r="G116" s="4"/>
      <c r="H116" s="4"/>
      <c r="I116" s="4" t="str">
        <f>IFERROR(__xludf.DUMMYFUNCTION("""COMPUTED_VALUE"""),"0xa73018c8c64d8b58f692da632255c8ac907c8d58")</f>
        <v>0xa73018c8c64d8b58f692da632255c8ac907c8d58</v>
      </c>
      <c r="J116" s="18">
        <v>224.000554</v>
      </c>
      <c r="K116" s="4">
        <v>5600.013849999999</v>
      </c>
      <c r="L116" s="19">
        <v>5.60001385E21</v>
      </c>
      <c r="M116" s="20">
        <v>5.60001385E20</v>
      </c>
    </row>
    <row r="117">
      <c r="A117" s="6"/>
      <c r="B117" s="6"/>
      <c r="C117" s="4"/>
      <c r="D117" s="36">
        <v>224.000554</v>
      </c>
      <c r="E117" s="4" t="s">
        <v>8998</v>
      </c>
      <c r="F117" s="4"/>
      <c r="G117" s="4"/>
      <c r="H117" s="4"/>
      <c r="I117" s="4" t="str">
        <f>IFERROR(__xludf.DUMMYFUNCTION("""COMPUTED_VALUE"""),"0x5ae36d7acd459302876b2d1c312d5c2b0507b794")</f>
        <v>0x5ae36d7acd459302876b2d1c312d5c2b0507b794</v>
      </c>
      <c r="J117" s="18">
        <v>1541.31324</v>
      </c>
      <c r="K117" s="4">
        <v>38532.831</v>
      </c>
      <c r="L117" s="19">
        <v>3.8532831E22</v>
      </c>
      <c r="M117" s="20">
        <v>3.8532831E21</v>
      </c>
    </row>
    <row r="118">
      <c r="A118" s="6"/>
      <c r="B118" s="6"/>
      <c r="C118" s="4"/>
      <c r="D118" s="36">
        <v>30.597206</v>
      </c>
      <c r="E118" s="4" t="s">
        <v>5124</v>
      </c>
      <c r="F118" s="4"/>
      <c r="G118" s="4"/>
      <c r="H118" s="4"/>
      <c r="I118" s="4" t="str">
        <f>IFERROR(__xludf.DUMMYFUNCTION("""COMPUTED_VALUE"""),"0xfc37a4e2646cfcbf9fe10165cac369a1b886a619")</f>
        <v>0xfc37a4e2646cfcbf9fe10165cac369a1b886a619</v>
      </c>
      <c r="J118" s="18">
        <v>30.597206</v>
      </c>
      <c r="K118" s="4">
        <v>764.93015</v>
      </c>
      <c r="L118" s="19">
        <v>7.6493015E20</v>
      </c>
      <c r="M118" s="20">
        <v>7.6493015E19</v>
      </c>
    </row>
    <row r="119">
      <c r="A119" s="6"/>
      <c r="B119" s="6"/>
      <c r="C119" s="4"/>
      <c r="D119" s="36">
        <v>224.000554</v>
      </c>
      <c r="E119" s="4" t="s">
        <v>8999</v>
      </c>
      <c r="F119" s="4"/>
      <c r="G119" s="4"/>
      <c r="H119" s="4"/>
      <c r="I119" s="4" t="str">
        <f>IFERROR(__xludf.DUMMYFUNCTION("""COMPUTED_VALUE"""),"0x6cc86c6eef8ddd9818003120e7e7a46900ed9e32")</f>
        <v>0x6cc86c6eef8ddd9818003120e7e7a46900ed9e32</v>
      </c>
      <c r="J119" s="18">
        <v>753.6690970000001</v>
      </c>
      <c r="K119" s="4">
        <v>18841.727425</v>
      </c>
      <c r="L119" s="19">
        <v>1.8841727425E22</v>
      </c>
      <c r="M119" s="20">
        <v>1.8841727425000002E21</v>
      </c>
    </row>
    <row r="120">
      <c r="A120" s="6"/>
      <c r="B120" s="6"/>
      <c r="C120" s="4"/>
      <c r="D120" s="36">
        <v>201.442182</v>
      </c>
      <c r="E120" s="4" t="s">
        <v>8694</v>
      </c>
      <c r="F120" s="4"/>
      <c r="G120" s="4"/>
      <c r="H120" s="4"/>
      <c r="I120" s="4" t="str">
        <f>IFERROR(__xludf.DUMMYFUNCTION("""COMPUTED_VALUE"""),"0x62f9ba44e55ba6c2390f49ff296b61d4722dc6b4")</f>
        <v>0x62f9ba44e55ba6c2390f49ff296b61d4722dc6b4</v>
      </c>
      <c r="J120" s="18">
        <v>201.442182</v>
      </c>
      <c r="K120" s="4">
        <v>5036.05455</v>
      </c>
      <c r="L120" s="19">
        <v>5.03605455E21</v>
      </c>
      <c r="M120" s="20">
        <v>5.03605455E20</v>
      </c>
    </row>
    <row r="121">
      <c r="A121" s="6"/>
      <c r="B121" s="6"/>
      <c r="C121" s="4"/>
      <c r="D121" s="36">
        <v>224.000554</v>
      </c>
      <c r="E121" s="4" t="s">
        <v>8698</v>
      </c>
      <c r="F121" s="4"/>
      <c r="G121" s="4"/>
      <c r="H121" s="4"/>
      <c r="I121" s="4" t="str">
        <f>IFERROR(__xludf.DUMMYFUNCTION("""COMPUTED_VALUE"""),"0x5220c12a5a1ad95753d0785588ea0e6ea4ab4fdb")</f>
        <v>0x5220c12a5a1ad95753d0785588ea0e6ea4ab4fdb</v>
      </c>
      <c r="J121" s="18">
        <v>224.000554</v>
      </c>
      <c r="K121" s="4">
        <v>5600.013849999999</v>
      </c>
      <c r="L121" s="19">
        <v>5.60001385E21</v>
      </c>
      <c r="M121" s="20">
        <v>5.60001385E20</v>
      </c>
    </row>
    <row r="122">
      <c r="A122" s="6"/>
      <c r="B122" s="6"/>
      <c r="C122" s="4"/>
      <c r="D122" s="36">
        <v>224.000554</v>
      </c>
      <c r="E122" s="4" t="s">
        <v>966</v>
      </c>
      <c r="F122" s="4"/>
      <c r="G122" s="4"/>
      <c r="H122" s="4"/>
      <c r="I122" s="4" t="str">
        <f>IFERROR(__xludf.DUMMYFUNCTION("""COMPUTED_VALUE"""),"0x3796b96c3807d0469db00638e405f8d469d0b76d")</f>
        <v>0x3796b96c3807d0469db00638e405f8d469d0b76d</v>
      </c>
      <c r="J122" s="18">
        <v>224.000554</v>
      </c>
      <c r="K122" s="4">
        <v>5600.013849999999</v>
      </c>
      <c r="L122" s="19">
        <v>5.60001385E21</v>
      </c>
      <c r="M122" s="20">
        <v>5.60001385E20</v>
      </c>
    </row>
    <row r="123">
      <c r="A123" s="6"/>
      <c r="B123" s="6"/>
      <c r="C123" s="4"/>
      <c r="D123" s="36">
        <v>33.603133</v>
      </c>
      <c r="E123" s="4" t="s">
        <v>1066</v>
      </c>
      <c r="F123" s="4"/>
      <c r="G123" s="4"/>
      <c r="H123" s="4"/>
      <c r="I123" s="4" t="str">
        <f>IFERROR(__xludf.DUMMYFUNCTION("""COMPUTED_VALUE"""),"0xebb8be69ac9e0fc0c9e3c6841d0dc0d1a5927c18")</f>
        <v>0xebb8be69ac9e0fc0c9e3c6841d0dc0d1a5927c18</v>
      </c>
      <c r="J123" s="18">
        <v>33.603133</v>
      </c>
      <c r="K123" s="4">
        <v>840.078325</v>
      </c>
      <c r="L123" s="19">
        <v>8.40078325E20</v>
      </c>
      <c r="M123" s="20">
        <v>8.40078325E19</v>
      </c>
    </row>
    <row r="124">
      <c r="A124" s="6"/>
      <c r="B124" s="6"/>
      <c r="C124" s="4"/>
      <c r="D124" s="36">
        <v>97.846778</v>
      </c>
      <c r="E124" s="4" t="s">
        <v>1154</v>
      </c>
      <c r="F124" s="4"/>
      <c r="G124" s="4"/>
      <c r="H124" s="4"/>
      <c r="I124" s="4" t="str">
        <f>IFERROR(__xludf.DUMMYFUNCTION("""COMPUTED_VALUE"""),"0x389b8bd4fac72ff9aa5fd888a4b3283ac4c14b28")</f>
        <v>0x389b8bd4fac72ff9aa5fd888a4b3283ac4c14b28</v>
      </c>
      <c r="J124" s="18">
        <v>97.846778</v>
      </c>
      <c r="K124" s="4">
        <v>2446.16945</v>
      </c>
      <c r="L124" s="19">
        <v>2.44616945E21</v>
      </c>
      <c r="M124" s="20">
        <v>2.44616945E20</v>
      </c>
    </row>
    <row r="125">
      <c r="A125" s="6"/>
      <c r="B125" s="6"/>
      <c r="C125" s="4"/>
      <c r="D125" s="36">
        <v>224.000554</v>
      </c>
      <c r="E125" s="4" t="s">
        <v>367</v>
      </c>
      <c r="F125" s="4"/>
      <c r="G125" s="4"/>
      <c r="H125" s="4"/>
      <c r="I125" s="4" t="str">
        <f>IFERROR(__xludf.DUMMYFUNCTION("""COMPUTED_VALUE"""),"0x7b60440260b91a98f7b760c17795c5ff2dba094d")</f>
        <v>0x7b60440260b91a98f7b760c17795c5ff2dba094d</v>
      </c>
      <c r="J125" s="18">
        <v>689.108102</v>
      </c>
      <c r="K125" s="4">
        <v>17227.70255</v>
      </c>
      <c r="L125" s="19">
        <v>1.7227702550000002E22</v>
      </c>
      <c r="M125" s="20">
        <v>1.7227702550000003E21</v>
      </c>
    </row>
    <row r="126">
      <c r="A126" s="6"/>
      <c r="B126" s="6"/>
      <c r="C126" s="4"/>
      <c r="D126" s="36">
        <v>96.778499</v>
      </c>
      <c r="E126" s="4" t="s">
        <v>9000</v>
      </c>
      <c r="F126" s="4"/>
      <c r="G126" s="4"/>
      <c r="H126" s="4"/>
      <c r="I126" s="4" t="str">
        <f>IFERROR(__xludf.DUMMYFUNCTION("""COMPUTED_VALUE"""),"0xf121ccd68c8b8ea5579d1de2f1bf276a3d66b3a4")</f>
        <v>0xf121ccd68c8b8ea5579d1de2f1bf276a3d66b3a4</v>
      </c>
      <c r="J126" s="18">
        <v>96.778499</v>
      </c>
      <c r="K126" s="4">
        <v>2419.462475</v>
      </c>
      <c r="L126" s="19">
        <v>2.419462475E21</v>
      </c>
      <c r="M126" s="20">
        <v>2.419462475E20</v>
      </c>
    </row>
    <row r="127">
      <c r="A127" s="6"/>
      <c r="B127" s="6"/>
      <c r="C127" s="4"/>
      <c r="D127" s="36">
        <v>77.806694</v>
      </c>
      <c r="E127" s="4" t="s">
        <v>9001</v>
      </c>
      <c r="F127" s="4"/>
      <c r="G127" s="4"/>
      <c r="H127" s="4"/>
      <c r="I127" s="4" t="str">
        <f>IFERROR(__xludf.DUMMYFUNCTION("""COMPUTED_VALUE"""),"0x358a9b19154586a4475966ef33b088f68df6ea7e")</f>
        <v>0x358a9b19154586a4475966ef33b088f68df6ea7e</v>
      </c>
      <c r="J127" s="18">
        <v>121.71900699999999</v>
      </c>
      <c r="K127" s="4">
        <v>3042.9751749999996</v>
      </c>
      <c r="L127" s="19">
        <v>3.0429751749999995E21</v>
      </c>
      <c r="M127" s="20">
        <v>3.042975175E20</v>
      </c>
    </row>
    <row r="128">
      <c r="A128" s="6"/>
      <c r="B128" s="6"/>
      <c r="C128" s="4"/>
      <c r="D128" s="36">
        <v>224.000554</v>
      </c>
      <c r="E128" s="4" t="s">
        <v>8701</v>
      </c>
      <c r="F128" s="4"/>
      <c r="G128" s="4"/>
      <c r="H128" s="4"/>
      <c r="I128" s="4" t="str">
        <f>IFERROR(__xludf.DUMMYFUNCTION("""COMPUTED_VALUE"""),"0xf6c15b384b640e5ac718c2da1fc6d4cc6be063a0")</f>
        <v>0xf6c15b384b640e5ac718c2da1fc6d4cc6be063a0</v>
      </c>
      <c r="J128" s="18">
        <v>854.3842500000001</v>
      </c>
      <c r="K128" s="4">
        <v>21359.60625</v>
      </c>
      <c r="L128" s="19">
        <v>2.135960625E22</v>
      </c>
      <c r="M128" s="20">
        <v>2.1359606250000003E21</v>
      </c>
    </row>
    <row r="129">
      <c r="A129" s="6"/>
      <c r="B129" s="6"/>
      <c r="C129" s="4"/>
      <c r="D129" s="36">
        <v>67.443487</v>
      </c>
      <c r="E129" s="4" t="s">
        <v>7910</v>
      </c>
      <c r="F129" s="4"/>
      <c r="G129" s="4"/>
      <c r="H129" s="4"/>
      <c r="I129" s="4" t="str">
        <f>IFERROR(__xludf.DUMMYFUNCTION("""COMPUTED_VALUE"""),"0xd554ff20b3716fde0bb9b334cded4d7c04e5e47d")</f>
        <v>0xd554ff20b3716fde0bb9b334cded4d7c04e5e47d</v>
      </c>
      <c r="J129" s="18">
        <v>67.443487</v>
      </c>
      <c r="K129" s="4">
        <v>1686.0871750000001</v>
      </c>
      <c r="L129" s="19">
        <v>1.686087175E21</v>
      </c>
      <c r="M129" s="20">
        <v>1.686087175E20</v>
      </c>
    </row>
    <row r="130">
      <c r="A130" s="6"/>
      <c r="B130" s="6"/>
      <c r="C130" s="4"/>
      <c r="D130" s="36">
        <v>224.000554</v>
      </c>
      <c r="E130" s="4" t="s">
        <v>977</v>
      </c>
      <c r="F130" s="4"/>
      <c r="G130" s="4"/>
      <c r="H130" s="4"/>
      <c r="I130" s="4" t="str">
        <f>IFERROR(__xludf.DUMMYFUNCTION("""COMPUTED_VALUE"""),"0xe47a14edd56510a77f8fc753cdf1353302d75211")</f>
        <v>0xe47a14edd56510a77f8fc753cdf1353302d75211</v>
      </c>
      <c r="J130" s="18">
        <v>596.086592</v>
      </c>
      <c r="K130" s="4">
        <v>14902.1648</v>
      </c>
      <c r="L130" s="19">
        <v>1.49021648E22</v>
      </c>
      <c r="M130" s="20">
        <v>1.4902164800000001E21</v>
      </c>
    </row>
    <row r="131">
      <c r="A131" s="6"/>
      <c r="B131" s="6"/>
      <c r="C131" s="4"/>
      <c r="D131" s="36">
        <v>145.825412</v>
      </c>
      <c r="E131" s="4" t="s">
        <v>1524</v>
      </c>
      <c r="F131" s="4"/>
      <c r="G131" s="4"/>
      <c r="H131" s="4"/>
      <c r="I131" s="4" t="str">
        <f>IFERROR(__xludf.DUMMYFUNCTION("""COMPUTED_VALUE"""),"0x6458f999e595d3bda5692db9df011ccd4ab13a96")</f>
        <v>0x6458f999e595d3bda5692db9df011ccd4ab13a96</v>
      </c>
      <c r="J131" s="18">
        <v>145.825412</v>
      </c>
      <c r="K131" s="4">
        <v>3645.6353</v>
      </c>
      <c r="L131" s="19">
        <v>3.6456353E21</v>
      </c>
      <c r="M131" s="20">
        <v>3.6456353E20</v>
      </c>
    </row>
    <row r="132">
      <c r="A132" s="6"/>
      <c r="B132" s="6"/>
      <c r="C132" s="4"/>
      <c r="D132" s="36">
        <v>33.600083</v>
      </c>
      <c r="E132" s="4" t="s">
        <v>5479</v>
      </c>
      <c r="F132" s="4"/>
      <c r="G132" s="4"/>
      <c r="H132" s="4"/>
      <c r="I132" s="4" t="str">
        <f>IFERROR(__xludf.DUMMYFUNCTION("""COMPUTED_VALUE"""),"0x6dcb373aeec6c47251fc296664ca2f7f74f2c19b")</f>
        <v>0x6dcb373aeec6c47251fc296664ca2f7f74f2c19b</v>
      </c>
      <c r="J132" s="18">
        <v>33.600083</v>
      </c>
      <c r="K132" s="4">
        <v>840.0020749999999</v>
      </c>
      <c r="L132" s="19">
        <v>8.400020749999998E20</v>
      </c>
      <c r="M132" s="20">
        <v>8.400020749999999E19</v>
      </c>
    </row>
    <row r="133">
      <c r="A133" s="6"/>
      <c r="B133" s="6"/>
      <c r="C133" s="4"/>
      <c r="D133" s="36">
        <v>63.111148</v>
      </c>
      <c r="E133" s="4" t="s">
        <v>6717</v>
      </c>
      <c r="F133" s="4"/>
      <c r="G133" s="4"/>
      <c r="H133" s="4"/>
      <c r="I133" s="4" t="str">
        <f>IFERROR(__xludf.DUMMYFUNCTION("""COMPUTED_VALUE"""),"0x4c4b46abe88f996d1b3b4a8fa41876535675ef1e")</f>
        <v>0x4c4b46abe88f996d1b3b4a8fa41876535675ef1e</v>
      </c>
      <c r="J133" s="18">
        <v>63.111148</v>
      </c>
      <c r="K133" s="4">
        <v>1577.7787</v>
      </c>
      <c r="L133" s="19">
        <v>1.5777787E21</v>
      </c>
      <c r="M133" s="20">
        <v>1.5777787E20</v>
      </c>
    </row>
    <row r="134">
      <c r="A134" s="6"/>
      <c r="B134" s="6"/>
      <c r="C134" s="4"/>
      <c r="D134" s="36">
        <v>74.898184</v>
      </c>
      <c r="E134" s="4" t="s">
        <v>2156</v>
      </c>
      <c r="F134" s="4"/>
      <c r="G134" s="4"/>
      <c r="H134" s="4"/>
      <c r="I134" s="4" t="str">
        <f>IFERROR(__xludf.DUMMYFUNCTION("""COMPUTED_VALUE"""),"0xa0e1eee5ce9881c716ed5d09377f693dfbb65a9a")</f>
        <v>0xa0e1eee5ce9881c716ed5d09377f693dfbb65a9a</v>
      </c>
      <c r="J134" s="18">
        <v>74.898184</v>
      </c>
      <c r="K134" s="4">
        <v>1872.4546</v>
      </c>
      <c r="L134" s="19">
        <v>1.8724546E21</v>
      </c>
      <c r="M134" s="20">
        <v>1.8724546000000002E20</v>
      </c>
    </row>
    <row r="135">
      <c r="A135" s="6"/>
      <c r="B135" s="6"/>
      <c r="C135" s="4"/>
      <c r="D135" s="36">
        <v>52.019485</v>
      </c>
      <c r="E135" s="4" t="s">
        <v>9002</v>
      </c>
      <c r="F135" s="4"/>
      <c r="G135" s="4"/>
      <c r="H135" s="4"/>
      <c r="I135" s="4" t="str">
        <f>IFERROR(__xludf.DUMMYFUNCTION("""COMPUTED_VALUE"""),"0x6c1dadd809435a33ee0aebb1c4e167f25a6ca625")</f>
        <v>0x6c1dadd809435a33ee0aebb1c4e167f25a6ca625</v>
      </c>
      <c r="J135" s="18">
        <v>52.019485</v>
      </c>
      <c r="K135" s="4">
        <v>1300.487125</v>
      </c>
      <c r="L135" s="19">
        <v>1.300487125E21</v>
      </c>
      <c r="M135" s="20">
        <v>1.3004871250000001E20</v>
      </c>
    </row>
    <row r="136">
      <c r="A136" s="6"/>
      <c r="B136" s="6"/>
      <c r="C136" s="4"/>
      <c r="D136" s="36">
        <v>25.241133</v>
      </c>
      <c r="E136" s="4" t="s">
        <v>9003</v>
      </c>
      <c r="F136" s="4"/>
      <c r="G136" s="4"/>
      <c r="H136" s="4"/>
      <c r="I136" s="4" t="str">
        <f>IFERROR(__xludf.DUMMYFUNCTION("""COMPUTED_VALUE"""),"0x6e5b935ac926e11dec812eb0a5425ec5e4c96355")</f>
        <v>0x6e5b935ac926e11dec812eb0a5425ec5e4c96355</v>
      </c>
      <c r="J136" s="18">
        <v>25.241133</v>
      </c>
      <c r="K136" s="4">
        <v>631.028325</v>
      </c>
      <c r="L136" s="19">
        <v>6.31028325E20</v>
      </c>
      <c r="M136" s="20">
        <v>6.310283250000001E19</v>
      </c>
    </row>
    <row r="137">
      <c r="A137" s="6"/>
      <c r="B137" s="6"/>
      <c r="C137" s="4"/>
      <c r="D137" s="36">
        <v>89.600221</v>
      </c>
      <c r="E137" s="4" t="s">
        <v>8630</v>
      </c>
      <c r="F137" s="4"/>
      <c r="G137" s="4"/>
      <c r="H137" s="4"/>
      <c r="I137" s="4" t="str">
        <f>IFERROR(__xludf.DUMMYFUNCTION("""COMPUTED_VALUE"""),"0x7565deddcb83a14b185eb9520914bb918cdfe983")</f>
        <v>0x7565deddcb83a14b185eb9520914bb918cdfe983</v>
      </c>
      <c r="J137" s="18">
        <v>89.600221</v>
      </c>
      <c r="K137" s="4">
        <v>2240.005525</v>
      </c>
      <c r="L137" s="19">
        <v>2.240005525E21</v>
      </c>
      <c r="M137" s="20">
        <v>2.2400055250000003E20</v>
      </c>
    </row>
    <row r="138">
      <c r="A138" s="6"/>
      <c r="B138" s="6"/>
      <c r="C138" s="4"/>
      <c r="D138" s="36">
        <v>97.888495</v>
      </c>
      <c r="E138" s="4" t="s">
        <v>1495</v>
      </c>
      <c r="F138" s="4"/>
      <c r="G138" s="4"/>
      <c r="H138" s="4"/>
      <c r="I138" s="4" t="str">
        <f>IFERROR(__xludf.DUMMYFUNCTION("""COMPUTED_VALUE"""),"0xba3608c9903d92d24d3d7aa856a5744f3cabafed")</f>
        <v>0xba3608c9903d92d24d3d7aa856a5744f3cabafed</v>
      </c>
      <c r="J138" s="18">
        <v>97.888495</v>
      </c>
      <c r="K138" s="4">
        <v>2447.212375</v>
      </c>
      <c r="L138" s="19">
        <v>2.447212375E21</v>
      </c>
      <c r="M138" s="20">
        <v>2.447212375E20</v>
      </c>
    </row>
    <row r="139">
      <c r="A139" s="6"/>
      <c r="B139" s="6"/>
      <c r="C139" s="4"/>
      <c r="D139" s="36">
        <v>224.000554</v>
      </c>
      <c r="E139" s="4" t="s">
        <v>135</v>
      </c>
      <c r="F139" s="4"/>
      <c r="G139" s="4"/>
      <c r="H139" s="4"/>
      <c r="I139" s="4" t="str">
        <f>IFERROR(__xludf.DUMMYFUNCTION("""COMPUTED_VALUE"""),"0x39bbb8c321fdf88804c4f82487cb91115f1ec780")</f>
        <v>0x39bbb8c321fdf88804c4f82487cb91115f1ec780</v>
      </c>
      <c r="J139" s="18">
        <v>982.6106460000001</v>
      </c>
      <c r="K139" s="4">
        <v>24565.266150000003</v>
      </c>
      <c r="L139" s="19">
        <v>2.456526615E22</v>
      </c>
      <c r="M139" s="20">
        <v>2.456526615E21</v>
      </c>
    </row>
    <row r="140">
      <c r="A140" s="6"/>
      <c r="B140" s="6"/>
      <c r="C140" s="4"/>
      <c r="D140" s="36">
        <v>135.039302</v>
      </c>
      <c r="E140" s="4" t="s">
        <v>9004</v>
      </c>
      <c r="F140" s="4"/>
      <c r="G140" s="4"/>
      <c r="H140" s="4"/>
      <c r="I140" s="4" t="str">
        <f>IFERROR(__xludf.DUMMYFUNCTION("""COMPUTED_VALUE"""),"0x5d908d986608caecd94ea2c41814bd54a8d42d44")</f>
        <v>0x5d908d986608caecd94ea2c41814bd54a8d42d44</v>
      </c>
      <c r="J140" s="18">
        <v>135.039302</v>
      </c>
      <c r="K140" s="4">
        <v>3375.9825499999997</v>
      </c>
      <c r="L140" s="19">
        <v>3.37598255E21</v>
      </c>
      <c r="M140" s="20">
        <v>3.37598255E20</v>
      </c>
    </row>
    <row r="141">
      <c r="A141" s="6"/>
      <c r="B141" s="6"/>
      <c r="C141" s="4"/>
      <c r="D141" s="36">
        <v>224.000554</v>
      </c>
      <c r="E141" s="4" t="s">
        <v>9005</v>
      </c>
      <c r="F141" s="4"/>
      <c r="G141" s="4"/>
      <c r="H141" s="4"/>
      <c r="I141" s="4" t="str">
        <f>IFERROR(__xludf.DUMMYFUNCTION("""COMPUTED_VALUE"""),"0x7f950844fbce3e5c70ba16b012706605f353e0d0")</f>
        <v>0x7f950844fbce3e5c70ba16b012706605f353e0d0</v>
      </c>
      <c r="J141" s="18">
        <v>689.108102</v>
      </c>
      <c r="K141" s="4">
        <v>17227.70255</v>
      </c>
      <c r="L141" s="19">
        <v>1.7227702550000002E22</v>
      </c>
      <c r="M141" s="20">
        <v>1.7227702550000003E21</v>
      </c>
    </row>
    <row r="142">
      <c r="A142" s="6"/>
      <c r="B142" s="6"/>
      <c r="C142" s="4"/>
      <c r="D142" s="36">
        <v>120.87151</v>
      </c>
      <c r="E142" s="4" t="s">
        <v>9006</v>
      </c>
      <c r="F142" s="4"/>
      <c r="G142" s="4"/>
      <c r="H142" s="4"/>
      <c r="I142" s="4" t="str">
        <f>IFERROR(__xludf.DUMMYFUNCTION("""COMPUTED_VALUE"""),"0x0221c3cdb3dc4ffddb0564227d205b7f0cbac1cf")</f>
        <v>0x0221c3cdb3dc4ffddb0564227d205b7f0cbac1cf</v>
      </c>
      <c r="J142" s="18">
        <v>120.87151</v>
      </c>
      <c r="K142" s="4">
        <v>3021.78775</v>
      </c>
      <c r="L142" s="19">
        <v>3.0217877499999997E21</v>
      </c>
      <c r="M142" s="20">
        <v>3.02178775E20</v>
      </c>
    </row>
    <row r="143">
      <c r="A143" s="6"/>
      <c r="B143" s="6"/>
      <c r="C143" s="4"/>
      <c r="D143" s="36">
        <v>33.152532</v>
      </c>
      <c r="E143" s="4" t="s">
        <v>9007</v>
      </c>
      <c r="F143" s="4"/>
      <c r="G143" s="4"/>
      <c r="H143" s="4"/>
      <c r="I143" s="4" t="str">
        <f>IFERROR(__xludf.DUMMYFUNCTION("""COMPUTED_VALUE"""),"0x85ebf7c083a5d1bc219a295a8d13e03695220cd4")</f>
        <v>0x85ebf7c083a5d1bc219a295a8d13e03695220cd4</v>
      </c>
      <c r="J143" s="18">
        <v>33.152532</v>
      </c>
      <c r="K143" s="4">
        <v>828.8133</v>
      </c>
      <c r="L143" s="19">
        <v>8.288133E20</v>
      </c>
      <c r="M143" s="20">
        <v>8.288133000000001E19</v>
      </c>
    </row>
    <row r="144">
      <c r="A144" s="6"/>
      <c r="B144" s="6"/>
      <c r="C144" s="4"/>
      <c r="D144" s="36">
        <v>224.000554</v>
      </c>
      <c r="E144" s="4" t="s">
        <v>9008</v>
      </c>
      <c r="F144" s="4"/>
      <c r="G144" s="4"/>
      <c r="H144" s="4"/>
      <c r="I144" s="4" t="str">
        <f>IFERROR(__xludf.DUMMYFUNCTION("""COMPUTED_VALUE"""),"0x8b3d56203fa0a3dc96d98bbc33c1dc27a5e08a9e")</f>
        <v>0x8b3d56203fa0a3dc96d98bbc33c1dc27a5e08a9e</v>
      </c>
      <c r="J144" s="18">
        <v>224.000554</v>
      </c>
      <c r="K144" s="4">
        <v>5600.013849999999</v>
      </c>
      <c r="L144" s="19">
        <v>5.60001385E21</v>
      </c>
      <c r="M144" s="20">
        <v>5.60001385E20</v>
      </c>
    </row>
    <row r="145">
      <c r="A145" s="6"/>
      <c r="B145" s="6"/>
      <c r="C145" s="4"/>
      <c r="D145" s="36">
        <v>79.277098</v>
      </c>
      <c r="E145" s="4" t="s">
        <v>475</v>
      </c>
      <c r="F145" s="4"/>
      <c r="G145" s="4"/>
      <c r="H145" s="4"/>
      <c r="I145" s="4" t="str">
        <f>IFERROR(__xludf.DUMMYFUNCTION("""COMPUTED_VALUE"""),"0x13fefdd563a930f07b1ac8a2227acc27c3c12946")</f>
        <v>0x13fefdd563a930f07b1ac8a2227acc27c3c12946</v>
      </c>
      <c r="J145" s="18">
        <v>450.01813400000003</v>
      </c>
      <c r="K145" s="4">
        <v>11250.45335</v>
      </c>
      <c r="L145" s="19">
        <v>1.125045335E22</v>
      </c>
      <c r="M145" s="20">
        <v>1.1250453350000001E21</v>
      </c>
    </row>
    <row r="146">
      <c r="A146" s="6"/>
      <c r="B146" s="6"/>
      <c r="C146" s="4"/>
      <c r="D146" s="36">
        <v>37.34686</v>
      </c>
      <c r="E146" s="4" t="s">
        <v>3239</v>
      </c>
      <c r="F146" s="4"/>
      <c r="G146" s="4"/>
      <c r="H146" s="4"/>
      <c r="I146" s="4" t="str">
        <f>IFERROR(__xludf.DUMMYFUNCTION("""COMPUTED_VALUE"""),"0xe540c45c504b348ad4d6eb9344e6cfa07c959be6")</f>
        <v>0xe540c45c504b348ad4d6eb9344e6cfa07c959be6</v>
      </c>
      <c r="J146" s="18">
        <v>37.34686</v>
      </c>
      <c r="K146" s="4">
        <v>933.6714999999999</v>
      </c>
      <c r="L146" s="19">
        <v>9.336715E20</v>
      </c>
      <c r="M146" s="20">
        <v>9.336715E19</v>
      </c>
    </row>
    <row r="147">
      <c r="A147" s="6"/>
      <c r="B147" s="6"/>
      <c r="C147" s="4"/>
      <c r="D147" s="36">
        <v>143.391666</v>
      </c>
      <c r="E147" s="4" t="s">
        <v>31</v>
      </c>
      <c r="F147" s="4"/>
      <c r="G147" s="4"/>
      <c r="H147" s="4"/>
      <c r="I147" s="4" t="str">
        <f>IFERROR(__xludf.DUMMYFUNCTION("""COMPUTED_VALUE"""),"0x740320f15bf19a2ece2eb13576e69fd6700bb8d4")</f>
        <v>0x740320f15bf19a2ece2eb13576e69fd6700bb8d4</v>
      </c>
      <c r="J147" s="18">
        <v>143.391666</v>
      </c>
      <c r="K147" s="4">
        <v>3584.7916499999997</v>
      </c>
      <c r="L147" s="19">
        <v>3.5847916499999995E21</v>
      </c>
      <c r="M147" s="20">
        <v>3.5847916499999995E20</v>
      </c>
    </row>
    <row r="148">
      <c r="A148" s="6"/>
      <c r="B148" s="6"/>
      <c r="C148" s="4"/>
      <c r="D148" s="36">
        <v>194.68765</v>
      </c>
      <c r="E148" s="4" t="s">
        <v>1639</v>
      </c>
      <c r="F148" s="4"/>
      <c r="G148" s="4"/>
      <c r="H148" s="4"/>
      <c r="I148" s="4" t="str">
        <f>IFERROR(__xludf.DUMMYFUNCTION("""COMPUTED_VALUE"""),"0xc634f7bf06a10b28e3854d7b61b10adbe894a399")</f>
        <v>0xc634f7bf06a10b28e3854d7b61b10adbe894a399</v>
      </c>
      <c r="J148" s="18">
        <v>194.68765</v>
      </c>
      <c r="K148" s="4">
        <v>4867.19125</v>
      </c>
      <c r="L148" s="19">
        <v>4.86719125E21</v>
      </c>
      <c r="M148" s="20">
        <v>4.86719125E20</v>
      </c>
    </row>
    <row r="149">
      <c r="A149" s="6"/>
      <c r="B149" s="6"/>
      <c r="C149" s="4"/>
      <c r="D149" s="36">
        <v>200.402386</v>
      </c>
      <c r="E149" s="4" t="s">
        <v>534</v>
      </c>
      <c r="F149" s="4"/>
      <c r="G149" s="4"/>
      <c r="H149" s="4"/>
      <c r="I149" s="4" t="str">
        <f>IFERROR(__xludf.DUMMYFUNCTION("""COMPUTED_VALUE"""),"0x357401e7b6cce28b01d3ecd900bdf5ef168aca19")</f>
        <v>0x357401e7b6cce28b01d3ecd900bdf5ef168aca19</v>
      </c>
      <c r="J149" s="18">
        <v>1286.703612</v>
      </c>
      <c r="K149" s="4">
        <v>32167.5903</v>
      </c>
      <c r="L149" s="19">
        <v>3.21675903E22</v>
      </c>
      <c r="M149" s="20">
        <v>3.21675903E21</v>
      </c>
    </row>
    <row r="150">
      <c r="A150" s="6"/>
      <c r="B150" s="6"/>
      <c r="C150" s="4"/>
      <c r="D150" s="36">
        <v>224.000554</v>
      </c>
      <c r="E150" s="4" t="s">
        <v>1121</v>
      </c>
      <c r="F150" s="4"/>
      <c r="G150" s="4"/>
      <c r="H150" s="4"/>
      <c r="I150" s="4" t="str">
        <f>IFERROR(__xludf.DUMMYFUNCTION("""COMPUTED_VALUE"""),"0x337b9a57187d7c80a7ba8f773512403a0edcc14b")</f>
        <v>0x337b9a57187d7c80a7ba8f773512403a0edcc14b</v>
      </c>
      <c r="J150" s="18">
        <v>586.199876</v>
      </c>
      <c r="K150" s="4">
        <v>14654.9969</v>
      </c>
      <c r="L150" s="19">
        <v>1.46549969E22</v>
      </c>
      <c r="M150" s="20">
        <v>1.46549969E21</v>
      </c>
    </row>
    <row r="151">
      <c r="A151" s="6"/>
      <c r="B151" s="6"/>
      <c r="C151" s="4"/>
      <c r="D151" s="36">
        <v>111.386574</v>
      </c>
      <c r="E151" s="4" t="s">
        <v>554</v>
      </c>
      <c r="F151" s="4"/>
      <c r="G151" s="4"/>
      <c r="H151" s="4"/>
      <c r="I151" s="4" t="str">
        <f>IFERROR(__xludf.DUMMYFUNCTION("""COMPUTED_VALUE"""),"0xf7e1874e96535dcf8e8e915aacaeaf40f8b038f6")</f>
        <v>0xf7e1874e96535dcf8e8e915aacaeaf40f8b038f6</v>
      </c>
      <c r="J151" s="18">
        <v>111.386574</v>
      </c>
      <c r="K151" s="4">
        <v>2784.66435</v>
      </c>
      <c r="L151" s="19">
        <v>2.78466435E21</v>
      </c>
      <c r="M151" s="20">
        <v>2.7846643500000002E20</v>
      </c>
    </row>
    <row r="152">
      <c r="A152" s="6"/>
      <c r="B152" s="6"/>
      <c r="C152" s="4"/>
      <c r="D152" s="36">
        <v>92.199412</v>
      </c>
      <c r="E152" s="4" t="s">
        <v>929</v>
      </c>
      <c r="F152" s="4"/>
      <c r="G152" s="4"/>
      <c r="H152" s="4"/>
      <c r="I152" s="4" t="str">
        <f>IFERROR(__xludf.DUMMYFUNCTION("""COMPUTED_VALUE"""),"0x81389bf2b1fcda287b090119ea3cc706a16b6c36")</f>
        <v>0x81389bf2b1fcda287b090119ea3cc706a16b6c36</v>
      </c>
      <c r="J152" s="18">
        <v>92.199412</v>
      </c>
      <c r="K152" s="4">
        <v>2304.9853</v>
      </c>
      <c r="L152" s="19">
        <v>2.3049853E21</v>
      </c>
      <c r="M152" s="20">
        <v>2.3049853E20</v>
      </c>
    </row>
    <row r="153">
      <c r="A153" s="6"/>
      <c r="B153" s="6"/>
      <c r="C153" s="4"/>
      <c r="D153" s="36">
        <v>35.191984</v>
      </c>
      <c r="E153" s="4" t="s">
        <v>338</v>
      </c>
      <c r="F153" s="4"/>
      <c r="G153" s="4"/>
      <c r="H153" s="4"/>
      <c r="I153" s="4" t="str">
        <f>IFERROR(__xludf.DUMMYFUNCTION("""COMPUTED_VALUE"""),"0xbad19e37e23ebb8e91ad0b7bfdbc193f4010ba2e")</f>
        <v>0xbad19e37e23ebb8e91ad0b7bfdbc193f4010ba2e</v>
      </c>
      <c r="J153" s="18">
        <v>35.191984</v>
      </c>
      <c r="K153" s="4">
        <v>879.7995999999999</v>
      </c>
      <c r="L153" s="19">
        <v>8.797995999999999E20</v>
      </c>
      <c r="M153" s="20">
        <v>8.797996E19</v>
      </c>
    </row>
    <row r="154">
      <c r="A154" s="6"/>
      <c r="B154" s="6"/>
      <c r="C154" s="4"/>
      <c r="D154" s="36">
        <v>220.476437</v>
      </c>
      <c r="E154" s="4" t="s">
        <v>9009</v>
      </c>
      <c r="F154" s="4"/>
      <c r="G154" s="4"/>
      <c r="H154" s="4"/>
      <c r="I154" s="4" t="str">
        <f>IFERROR(__xludf.DUMMYFUNCTION("""COMPUTED_VALUE"""),"0xfcb7a036336ef64288966d7c59ea4461223f00c2")</f>
        <v>0xfcb7a036336ef64288966d7c59ea4461223f00c2</v>
      </c>
      <c r="J154" s="18">
        <v>1578.542014</v>
      </c>
      <c r="K154" s="4">
        <v>39463.550350000005</v>
      </c>
      <c r="L154" s="19">
        <v>3.946355035E22</v>
      </c>
      <c r="M154" s="20">
        <v>3.946355035E21</v>
      </c>
    </row>
    <row r="155">
      <c r="A155" s="6"/>
      <c r="B155" s="6"/>
      <c r="C155" s="4"/>
      <c r="D155" s="36">
        <v>82.665564</v>
      </c>
      <c r="E155" s="4" t="s">
        <v>5818</v>
      </c>
      <c r="F155" s="4"/>
      <c r="G155" s="4"/>
      <c r="H155" s="4"/>
      <c r="I155" s="4" t="str">
        <f>IFERROR(__xludf.DUMMYFUNCTION("""COMPUTED_VALUE"""),"0xf8f2b20a1ecbf962627b21b539c12b9463abf29c")</f>
        <v>0xf8f2b20a1ecbf962627b21b539c12b9463abf29c</v>
      </c>
      <c r="J155" s="18">
        <v>82.665564</v>
      </c>
      <c r="K155" s="4">
        <v>2066.6391</v>
      </c>
      <c r="L155" s="19">
        <v>2.0666390999999998E21</v>
      </c>
      <c r="M155" s="20">
        <v>2.0666390999999998E20</v>
      </c>
    </row>
    <row r="156">
      <c r="A156" s="6"/>
      <c r="B156" s="6"/>
      <c r="C156" s="4"/>
      <c r="D156" s="36">
        <v>71.133114</v>
      </c>
      <c r="E156" s="4" t="s">
        <v>8685</v>
      </c>
      <c r="F156" s="4"/>
      <c r="G156" s="4"/>
      <c r="H156" s="4"/>
      <c r="I156" s="4" t="str">
        <f>IFERROR(__xludf.DUMMYFUNCTION("""COMPUTED_VALUE"""),"0xf00bd78198847a758a32dd88a1bb938b4aa6ae7b")</f>
        <v>0xf00bd78198847a758a32dd88a1bb938b4aa6ae7b</v>
      </c>
      <c r="J156" s="18">
        <v>71.133114</v>
      </c>
      <c r="K156" s="4">
        <v>1778.3278500000001</v>
      </c>
      <c r="L156" s="19">
        <v>1.7783278500000002E21</v>
      </c>
      <c r="M156" s="20">
        <v>1.7783278500000003E20</v>
      </c>
    </row>
    <row r="157">
      <c r="A157" s="6"/>
      <c r="B157" s="6"/>
      <c r="C157" s="4"/>
      <c r="D157" s="36">
        <v>224.000554</v>
      </c>
      <c r="E157" s="4" t="s">
        <v>9010</v>
      </c>
      <c r="F157" s="4"/>
      <c r="G157" s="4"/>
      <c r="H157" s="4"/>
      <c r="I157" s="4" t="str">
        <f>IFERROR(__xludf.DUMMYFUNCTION("""COMPUTED_VALUE"""),"0x82e75d92e557db4e4576f13b45aafd07a18c1253")</f>
        <v>0x82e75d92e557db4e4576f13b45aafd07a18c1253</v>
      </c>
      <c r="J157" s="18">
        <v>224.000554</v>
      </c>
      <c r="K157" s="4">
        <v>5600.013849999999</v>
      </c>
      <c r="L157" s="19">
        <v>5.60001385E21</v>
      </c>
      <c r="M157" s="20">
        <v>5.60001385E20</v>
      </c>
    </row>
    <row r="158">
      <c r="A158" s="6"/>
      <c r="B158" s="6"/>
      <c r="C158" s="4"/>
      <c r="D158" s="36">
        <v>224.000554</v>
      </c>
      <c r="E158" s="4" t="s">
        <v>673</v>
      </c>
      <c r="F158" s="4"/>
      <c r="G158" s="4"/>
      <c r="H158" s="4"/>
      <c r="I158" s="4" t="str">
        <f>IFERROR(__xludf.DUMMYFUNCTION("""COMPUTED_VALUE"""),"0x1a1d8a4da8d4c67e13c7ab22ea403ba747943cd4")</f>
        <v>0x1a1d8a4da8d4c67e13c7ab22ea403ba747943cd4</v>
      </c>
      <c r="J158" s="18">
        <v>224.000554</v>
      </c>
      <c r="K158" s="4">
        <v>5600.013849999999</v>
      </c>
      <c r="L158" s="19">
        <v>5.60001385E21</v>
      </c>
      <c r="M158" s="20">
        <v>5.60001385E20</v>
      </c>
    </row>
    <row r="159">
      <c r="A159" s="6"/>
      <c r="B159" s="6"/>
      <c r="C159" s="4"/>
      <c r="D159" s="36">
        <v>224.000554</v>
      </c>
      <c r="E159" s="4" t="s">
        <v>4576</v>
      </c>
      <c r="F159" s="4"/>
      <c r="G159" s="4"/>
      <c r="H159" s="4"/>
      <c r="I159" s="4" t="str">
        <f>IFERROR(__xludf.DUMMYFUNCTION("""COMPUTED_VALUE"""),"0x6c18d6deb8094ef05852d14eaf5de3da8c64a42e")</f>
        <v>0x6c18d6deb8094ef05852d14eaf5de3da8c64a42e</v>
      </c>
      <c r="J159" s="18">
        <v>428.965555</v>
      </c>
      <c r="K159" s="4">
        <v>10724.138875</v>
      </c>
      <c r="L159" s="19">
        <v>1.0724138875E22</v>
      </c>
      <c r="M159" s="20">
        <v>1.0724138875E21</v>
      </c>
    </row>
    <row r="160">
      <c r="A160" s="6"/>
      <c r="B160" s="6"/>
      <c r="C160" s="4"/>
      <c r="D160" s="36">
        <v>198.97044</v>
      </c>
      <c r="E160" s="4" t="s">
        <v>2981</v>
      </c>
      <c r="F160" s="4"/>
      <c r="G160" s="4"/>
      <c r="H160" s="4"/>
      <c r="I160" s="4" t="str">
        <f>IFERROR(__xludf.DUMMYFUNCTION("""COMPUTED_VALUE"""),"0x5bef45489a03462d199612c5cd992f114f398ea8")</f>
        <v>0x5bef45489a03462d199612c5cd992f114f398ea8</v>
      </c>
      <c r="J160" s="18">
        <v>198.97044</v>
      </c>
      <c r="K160" s="4">
        <v>4974.2609999999995</v>
      </c>
      <c r="L160" s="19">
        <v>4.974260999999999E21</v>
      </c>
      <c r="M160" s="20">
        <v>4.974261E20</v>
      </c>
    </row>
    <row r="161">
      <c r="A161" s="6"/>
      <c r="B161" s="6"/>
      <c r="C161" s="4"/>
      <c r="D161" s="36">
        <v>91.74141</v>
      </c>
      <c r="E161" s="4" t="s">
        <v>834</v>
      </c>
      <c r="F161" s="4"/>
      <c r="G161" s="4"/>
      <c r="H161" s="4"/>
      <c r="I161" s="4" t="str">
        <f>IFERROR(__xludf.DUMMYFUNCTION("""COMPUTED_VALUE"""),"0xa12d205d2b2aef73089ec2b8bd700789489742c4")</f>
        <v>0xa12d205d2b2aef73089ec2b8bd700789489742c4</v>
      </c>
      <c r="J161" s="18">
        <v>91.74141</v>
      </c>
      <c r="K161" s="4">
        <v>2293.53525</v>
      </c>
      <c r="L161" s="19">
        <v>2.2935352499999998E21</v>
      </c>
      <c r="M161" s="20">
        <v>2.2935352499999998E20</v>
      </c>
    </row>
    <row r="162">
      <c r="A162" s="6"/>
      <c r="B162" s="6"/>
      <c r="C162" s="4"/>
      <c r="D162" s="36">
        <v>224.000554</v>
      </c>
      <c r="E162" s="4" t="s">
        <v>9011</v>
      </c>
      <c r="F162" s="4"/>
      <c r="G162" s="4"/>
      <c r="H162" s="4"/>
      <c r="I162" s="4" t="str">
        <f>IFERROR(__xludf.DUMMYFUNCTION("""COMPUTED_VALUE"""),"0x690603a54222d3d58ed5e95b13e55dda1bc86452")</f>
        <v>0x690603a54222d3d58ed5e95b13e55dda1bc86452</v>
      </c>
      <c r="J162" s="18">
        <v>224.000554</v>
      </c>
      <c r="K162" s="4">
        <v>5600.013849999999</v>
      </c>
      <c r="L162" s="19">
        <v>5.60001385E21</v>
      </c>
      <c r="M162" s="20">
        <v>5.60001385E20</v>
      </c>
    </row>
    <row r="163">
      <c r="A163" s="6"/>
      <c r="B163" s="6"/>
      <c r="C163" s="4"/>
      <c r="D163" s="36">
        <v>11.135972</v>
      </c>
      <c r="E163" s="4" t="s">
        <v>9012</v>
      </c>
      <c r="F163" s="4"/>
      <c r="G163" s="4"/>
      <c r="H163" s="4"/>
      <c r="I163" s="4" t="str">
        <f>IFERROR(__xludf.DUMMYFUNCTION("""COMPUTED_VALUE"""),"0xced29ba48490c51e4348e654c313ac97762beccc")</f>
        <v>0xced29ba48490c51e4348e654c313ac97762beccc</v>
      </c>
      <c r="J163" s="18">
        <v>11.135972</v>
      </c>
      <c r="K163" s="4">
        <v>278.3993</v>
      </c>
      <c r="L163" s="19">
        <v>2.783993E20</v>
      </c>
      <c r="M163" s="20">
        <v>2.783993E19</v>
      </c>
    </row>
    <row r="164">
      <c r="A164" s="6"/>
      <c r="B164" s="6"/>
      <c r="C164" s="4"/>
      <c r="D164" s="36">
        <v>44.060319</v>
      </c>
      <c r="E164" s="4" t="s">
        <v>8640</v>
      </c>
      <c r="F164" s="4"/>
      <c r="G164" s="4"/>
      <c r="H164" s="4"/>
      <c r="I164" s="4" t="str">
        <f>IFERROR(__xludf.DUMMYFUNCTION("""COMPUTED_VALUE"""),"0xebc93e5bd55487cf76343e1efb9a1f846a10f8c2")</f>
        <v>0xebc93e5bd55487cf76343e1efb9a1f846a10f8c2</v>
      </c>
      <c r="J164" s="18">
        <v>44.060319</v>
      </c>
      <c r="K164" s="4">
        <v>1101.507975</v>
      </c>
      <c r="L164" s="19">
        <v>1.101507975E21</v>
      </c>
      <c r="M164" s="20">
        <v>1.1015079750000001E20</v>
      </c>
    </row>
    <row r="165">
      <c r="A165" s="6"/>
      <c r="B165" s="6"/>
      <c r="C165" s="4"/>
      <c r="D165" s="36">
        <v>224.000554</v>
      </c>
      <c r="E165" s="4" t="s">
        <v>1241</v>
      </c>
      <c r="F165" s="4"/>
      <c r="G165" s="4"/>
      <c r="H165" s="4"/>
      <c r="I165" s="4" t="str">
        <f>IFERROR(__xludf.DUMMYFUNCTION("""COMPUTED_VALUE"""),"0x5be798bf258ac5319e74428a66e635df491de2b2")</f>
        <v>0x5be798bf258ac5319e74428a66e635df491de2b2</v>
      </c>
      <c r="J165" s="18">
        <v>224.000554</v>
      </c>
      <c r="K165" s="4">
        <v>5600.013849999999</v>
      </c>
      <c r="L165" s="19">
        <v>5.60001385E21</v>
      </c>
      <c r="M165" s="20">
        <v>5.60001385E20</v>
      </c>
    </row>
    <row r="166">
      <c r="A166" s="6"/>
      <c r="B166" s="6"/>
      <c r="C166" s="4"/>
      <c r="D166" s="36">
        <v>224.000554</v>
      </c>
      <c r="E166" s="4" t="s">
        <v>9013</v>
      </c>
      <c r="F166" s="4"/>
      <c r="G166" s="4"/>
      <c r="H166" s="4"/>
      <c r="I166" s="4" t="str">
        <f>IFERROR(__xludf.DUMMYFUNCTION("""COMPUTED_VALUE"""),"0xce58e2e708f1118715e3028b7f220f07ca84b48d")</f>
        <v>0xce58e2e708f1118715e3028b7f220f07ca84b48d</v>
      </c>
      <c r="J166" s="18">
        <v>224.000554</v>
      </c>
      <c r="K166" s="4">
        <v>5600.013849999999</v>
      </c>
      <c r="L166" s="19">
        <v>5.60001385E21</v>
      </c>
      <c r="M166" s="20">
        <v>5.60001385E20</v>
      </c>
    </row>
    <row r="167">
      <c r="A167" s="6"/>
      <c r="B167" s="6"/>
      <c r="C167" s="4"/>
      <c r="D167" s="36">
        <v>68.568753</v>
      </c>
      <c r="E167" s="4" t="s">
        <v>8726</v>
      </c>
      <c r="F167" s="4"/>
      <c r="G167" s="4"/>
      <c r="H167" s="4"/>
      <c r="I167" s="4" t="str">
        <f>IFERROR(__xludf.DUMMYFUNCTION("""COMPUTED_VALUE"""),"0xa6e96dbb6b7d2c12062e70d3dec87c4fe23f961f")</f>
        <v>0xa6e96dbb6b7d2c12062e70d3dec87c4fe23f961f</v>
      </c>
      <c r="J167" s="18">
        <v>68.568753</v>
      </c>
      <c r="K167" s="4">
        <v>1714.218825</v>
      </c>
      <c r="L167" s="19">
        <v>1.714218825E21</v>
      </c>
      <c r="M167" s="20">
        <v>1.714218825E20</v>
      </c>
    </row>
    <row r="168">
      <c r="A168" s="6"/>
      <c r="B168" s="6"/>
      <c r="C168" s="4"/>
      <c r="D168" s="36">
        <v>56.449098</v>
      </c>
      <c r="E168" s="4" t="s">
        <v>9014</v>
      </c>
      <c r="F168" s="4"/>
      <c r="G168" s="4"/>
      <c r="H168" s="4"/>
      <c r="I168" s="4" t="str">
        <f>IFERROR(__xludf.DUMMYFUNCTION("""COMPUTED_VALUE"""),"0xee9439a12a7c2a9b6600ca8a498620580d2f116e")</f>
        <v>0xee9439a12a7c2a9b6600ca8a498620580d2f116e</v>
      </c>
      <c r="J168" s="18">
        <v>56.449098</v>
      </c>
      <c r="K168" s="4">
        <v>1411.2274499999999</v>
      </c>
      <c r="L168" s="19">
        <v>1.41122745E21</v>
      </c>
      <c r="M168" s="20">
        <v>1.41122745E20</v>
      </c>
    </row>
    <row r="169">
      <c r="A169" s="6"/>
      <c r="B169" s="6"/>
      <c r="C169" s="4"/>
      <c r="D169" s="36">
        <v>33.609926</v>
      </c>
      <c r="E169" s="4" t="s">
        <v>7066</v>
      </c>
      <c r="F169" s="4"/>
      <c r="G169" s="4"/>
      <c r="H169" s="4"/>
      <c r="I169" s="4" t="str">
        <f>IFERROR(__xludf.DUMMYFUNCTION("""COMPUTED_VALUE"""),"0x126b9e299553ef3e4acf92b85bd5c34d539d6ec1")</f>
        <v>0x126b9e299553ef3e4acf92b85bd5c34d539d6ec1</v>
      </c>
      <c r="J169" s="18">
        <v>33.609926</v>
      </c>
      <c r="K169" s="4">
        <v>840.24815</v>
      </c>
      <c r="L169" s="19">
        <v>8.4024815E20</v>
      </c>
      <c r="M169" s="20">
        <v>8.4024815E19</v>
      </c>
    </row>
    <row r="170">
      <c r="A170" s="6"/>
      <c r="B170" s="6"/>
      <c r="C170" s="4"/>
      <c r="D170" s="36">
        <v>102.928114</v>
      </c>
      <c r="E170" s="4" t="s">
        <v>5278</v>
      </c>
      <c r="F170" s="4"/>
      <c r="G170" s="4"/>
      <c r="H170" s="4"/>
      <c r="I170" s="4" t="str">
        <f>IFERROR(__xludf.DUMMYFUNCTION("""COMPUTED_VALUE"""),"0xba050b96b369d66a7c506e4e13831b861c15208d")</f>
        <v>0xba050b96b369d66a7c506e4e13831b861c15208d</v>
      </c>
      <c r="J170" s="18">
        <v>102.928114</v>
      </c>
      <c r="K170" s="4">
        <v>2573.2028499999997</v>
      </c>
      <c r="L170" s="19">
        <v>2.5732028499999997E21</v>
      </c>
      <c r="M170" s="20">
        <v>2.5732028499999998E20</v>
      </c>
    </row>
    <row r="171">
      <c r="A171" s="6"/>
      <c r="B171" s="6"/>
      <c r="C171" s="4"/>
      <c r="D171" s="36">
        <v>76.97804</v>
      </c>
      <c r="E171" s="4" t="s">
        <v>107</v>
      </c>
      <c r="F171" s="4"/>
      <c r="G171" s="4"/>
      <c r="H171" s="4"/>
      <c r="I171" s="4" t="str">
        <f>IFERROR(__xludf.DUMMYFUNCTION("""COMPUTED_VALUE"""),"0x092cda2230d41979999fdd210af1b73a7da46ce4")</f>
        <v>0x092cda2230d41979999fdd210af1b73a7da46ce4</v>
      </c>
      <c r="J171" s="18">
        <v>236.592433</v>
      </c>
      <c r="K171" s="4">
        <v>5914.810825</v>
      </c>
      <c r="L171" s="19">
        <v>5.914810824999999E21</v>
      </c>
      <c r="M171" s="20">
        <v>5.914810825E20</v>
      </c>
    </row>
    <row r="172">
      <c r="A172" s="6"/>
      <c r="B172" s="6"/>
      <c r="C172" s="4"/>
      <c r="D172" s="36">
        <v>56.000138</v>
      </c>
      <c r="E172" s="4" t="s">
        <v>8321</v>
      </c>
      <c r="F172" s="4"/>
      <c r="G172" s="4"/>
      <c r="H172" s="4"/>
      <c r="I172" s="4" t="str">
        <f>IFERROR(__xludf.DUMMYFUNCTION("""COMPUTED_VALUE"""),"0xb1fe569478506aefec2bcc84321e8d2053fe3fbb")</f>
        <v>0xb1fe569478506aefec2bcc84321e8d2053fe3fbb</v>
      </c>
      <c r="J172" s="18">
        <v>56.000138</v>
      </c>
      <c r="K172" s="4">
        <v>1400.00345</v>
      </c>
      <c r="L172" s="19">
        <v>1.40000345E21</v>
      </c>
      <c r="M172" s="20">
        <v>1.40000345E20</v>
      </c>
    </row>
    <row r="173">
      <c r="A173" s="6"/>
      <c r="B173" s="6"/>
      <c r="C173" s="4"/>
      <c r="D173" s="36">
        <v>224.000554</v>
      </c>
      <c r="E173" s="4" t="s">
        <v>9015</v>
      </c>
      <c r="F173" s="4"/>
      <c r="G173" s="4"/>
      <c r="H173" s="4"/>
      <c r="I173" s="4" t="str">
        <f>IFERROR(__xludf.DUMMYFUNCTION("""COMPUTED_VALUE"""),"0xfbcb47a10c5e5bebebe77f5ad0309929bbfdc439")</f>
        <v>0xfbcb47a10c5e5bebebe77f5ad0309929bbfdc439</v>
      </c>
      <c r="J173" s="18">
        <v>689.108102</v>
      </c>
      <c r="K173" s="4">
        <v>17227.70255</v>
      </c>
      <c r="L173" s="19">
        <v>1.7227702550000002E22</v>
      </c>
      <c r="M173" s="20">
        <v>1.7227702550000003E21</v>
      </c>
    </row>
    <row r="174">
      <c r="A174" s="6"/>
      <c r="B174" s="6"/>
      <c r="C174" s="4"/>
      <c r="D174" s="36">
        <v>224.000554</v>
      </c>
      <c r="E174" s="4" t="s">
        <v>7465</v>
      </c>
      <c r="F174" s="4"/>
      <c r="G174" s="4"/>
      <c r="H174" s="4"/>
      <c r="I174" s="4" t="str">
        <f>IFERROR(__xludf.DUMMYFUNCTION("""COMPUTED_VALUE"""),"0x06b75101418151a6adae4154251eb4aa2a7b7943")</f>
        <v>0x06b75101418151a6adae4154251eb4aa2a7b7943</v>
      </c>
      <c r="J174" s="18">
        <v>224.000554</v>
      </c>
      <c r="K174" s="4">
        <v>5600.013849999999</v>
      </c>
      <c r="L174" s="19">
        <v>5.60001385E21</v>
      </c>
      <c r="M174" s="20">
        <v>5.60001385E20</v>
      </c>
    </row>
    <row r="175">
      <c r="A175" s="6"/>
      <c r="B175" s="6"/>
      <c r="C175" s="4"/>
      <c r="D175" s="36">
        <v>150.080371</v>
      </c>
      <c r="E175" s="4" t="s">
        <v>9016</v>
      </c>
      <c r="F175" s="4"/>
      <c r="G175" s="4"/>
      <c r="H175" s="4"/>
      <c r="I175" s="4" t="str">
        <f>IFERROR(__xludf.DUMMYFUNCTION("""COMPUTED_VALUE"""),"0xf43569639e64ee99eae08d9e848ac294489297fe")</f>
        <v>0xf43569639e64ee99eae08d9e848ac294489297fe</v>
      </c>
      <c r="J175" s="18">
        <v>150.080371</v>
      </c>
      <c r="K175" s="4">
        <v>3752.0092750000003</v>
      </c>
      <c r="L175" s="19">
        <v>3.7520092750000003E21</v>
      </c>
      <c r="M175" s="20">
        <v>3.7520092750000003E20</v>
      </c>
    </row>
    <row r="176">
      <c r="A176" s="6"/>
      <c r="B176" s="6"/>
      <c r="C176" s="4"/>
      <c r="D176" s="36">
        <v>224.000554</v>
      </c>
      <c r="E176" s="4" t="s">
        <v>485</v>
      </c>
      <c r="F176" s="4"/>
      <c r="G176" s="4"/>
      <c r="H176" s="4"/>
      <c r="I176" s="4" t="str">
        <f>IFERROR(__xludf.DUMMYFUNCTION("""COMPUTED_VALUE"""),"0x266d8e3b85dd66758854e4e2ae27c4a161236828")</f>
        <v>0x266d8e3b85dd66758854e4e2ae27c4a161236828</v>
      </c>
      <c r="J176" s="18">
        <v>224.000554</v>
      </c>
      <c r="K176" s="4">
        <v>5600.013849999999</v>
      </c>
      <c r="L176" s="19">
        <v>5.60001385E21</v>
      </c>
      <c r="M176" s="20">
        <v>5.60001385E20</v>
      </c>
    </row>
    <row r="177">
      <c r="A177" s="6"/>
      <c r="B177" s="6"/>
      <c r="C177" s="4"/>
      <c r="D177" s="36">
        <v>56.084471</v>
      </c>
      <c r="E177" s="4" t="s">
        <v>8581</v>
      </c>
      <c r="F177" s="4"/>
      <c r="G177" s="4"/>
      <c r="H177" s="4"/>
      <c r="I177" s="4" t="str">
        <f>IFERROR(__xludf.DUMMYFUNCTION("""COMPUTED_VALUE"""),"0xcc52f72c0813e1ada3e4acacd57d7ffeca3620ec")</f>
        <v>0xcc52f72c0813e1ada3e4acacd57d7ffeca3620ec</v>
      </c>
      <c r="J177" s="18">
        <v>56.084471</v>
      </c>
      <c r="K177" s="4">
        <v>1402.111775</v>
      </c>
      <c r="L177" s="19">
        <v>1.4021117750000002E21</v>
      </c>
      <c r="M177" s="20">
        <v>1.4021117750000003E20</v>
      </c>
    </row>
    <row r="178">
      <c r="A178" s="6"/>
      <c r="B178" s="6"/>
      <c r="C178" s="4"/>
      <c r="D178" s="36">
        <v>122.848917</v>
      </c>
      <c r="E178" s="4" t="s">
        <v>675</v>
      </c>
      <c r="F178" s="4"/>
      <c r="G178" s="4"/>
      <c r="H178" s="4"/>
      <c r="I178" s="4" t="str">
        <f>IFERROR(__xludf.DUMMYFUNCTION("""COMPUTED_VALUE"""),"0x64b384e47d67b62d981aee727018e765a8540072")</f>
        <v>0x64b384e47d67b62d981aee727018e765a8540072</v>
      </c>
      <c r="J178" s="18">
        <v>122.848917</v>
      </c>
      <c r="K178" s="4">
        <v>3071.222925</v>
      </c>
      <c r="L178" s="19">
        <v>3.071222925E21</v>
      </c>
      <c r="M178" s="20">
        <v>3.071222925E20</v>
      </c>
    </row>
    <row r="179">
      <c r="A179" s="6"/>
      <c r="B179" s="6"/>
      <c r="C179" s="4"/>
      <c r="D179" s="36">
        <v>59.076001</v>
      </c>
      <c r="E179" s="4" t="s">
        <v>3626</v>
      </c>
      <c r="F179" s="4"/>
      <c r="G179" s="4"/>
      <c r="H179" s="4"/>
      <c r="I179" s="4" t="str">
        <f>IFERROR(__xludf.DUMMYFUNCTION("""COMPUTED_VALUE"""),"0x71e5d30de03720dd8fbe09cc0464792a8ae8aa2b")</f>
        <v>0x71e5d30de03720dd8fbe09cc0464792a8ae8aa2b</v>
      </c>
      <c r="J179" s="18">
        <v>59.076001</v>
      </c>
      <c r="K179" s="4">
        <v>1476.900025</v>
      </c>
      <c r="L179" s="19">
        <v>1.476900025E21</v>
      </c>
      <c r="M179" s="20">
        <v>1.476900025E20</v>
      </c>
    </row>
    <row r="180">
      <c r="A180" s="6"/>
      <c r="B180" s="6"/>
      <c r="C180" s="4"/>
      <c r="D180" s="36">
        <v>224.000554</v>
      </c>
      <c r="E180" s="4" t="s">
        <v>1283</v>
      </c>
      <c r="F180" s="4"/>
      <c r="G180" s="4"/>
      <c r="H180" s="4"/>
      <c r="I180" s="4" t="str">
        <f>IFERROR(__xludf.DUMMYFUNCTION("""COMPUTED_VALUE"""),"0x9cb0e2afa1d32a4f077bc94e412d595dba6ebb71")</f>
        <v>0x9cb0e2afa1d32a4f077bc94e412d595dba6ebb71</v>
      </c>
      <c r="J180" s="18">
        <v>224.000554</v>
      </c>
      <c r="K180" s="4">
        <v>5600.013849999999</v>
      </c>
      <c r="L180" s="19">
        <v>5.60001385E21</v>
      </c>
      <c r="M180" s="20">
        <v>5.60001385E20</v>
      </c>
    </row>
    <row r="181">
      <c r="A181" s="6"/>
      <c r="B181" s="6"/>
      <c r="C181" s="4"/>
      <c r="D181" s="36">
        <v>27.229322</v>
      </c>
      <c r="E181" s="4" t="s">
        <v>6761</v>
      </c>
      <c r="F181" s="4"/>
      <c r="G181" s="4"/>
      <c r="H181" s="4"/>
      <c r="I181" s="4" t="str">
        <f>IFERROR(__xludf.DUMMYFUNCTION("""COMPUTED_VALUE"""),"0xcb6a43585b6719bdf518011e5e44a1b0b5ebbd5c")</f>
        <v>0xcb6a43585b6719bdf518011e5e44a1b0b5ebbd5c</v>
      </c>
      <c r="J181" s="18">
        <v>27.229322</v>
      </c>
      <c r="K181" s="4">
        <v>680.7330499999999</v>
      </c>
      <c r="L181" s="19">
        <v>6.807330499999999E20</v>
      </c>
      <c r="M181" s="20">
        <v>6.8073305E19</v>
      </c>
    </row>
    <row r="182">
      <c r="A182" s="6"/>
      <c r="B182" s="6"/>
      <c r="C182" s="4"/>
      <c r="D182" s="36">
        <v>100.811449</v>
      </c>
      <c r="E182" s="4" t="s">
        <v>9017</v>
      </c>
      <c r="F182" s="4"/>
      <c r="G182" s="4"/>
      <c r="H182" s="4"/>
      <c r="I182" s="4" t="str">
        <f>IFERROR(__xludf.DUMMYFUNCTION("""COMPUTED_VALUE"""),"0xebf7f9c6e5928423f6a5edc3af2be84d5bb78322")</f>
        <v>0xebf7f9c6e5928423f6a5edc3af2be84d5bb78322</v>
      </c>
      <c r="J182" s="18">
        <v>100.811449</v>
      </c>
      <c r="K182" s="4">
        <v>2520.286225</v>
      </c>
      <c r="L182" s="19">
        <v>2.5202862249999996E21</v>
      </c>
      <c r="M182" s="20">
        <v>2.5202862249999997E20</v>
      </c>
    </row>
    <row r="183">
      <c r="A183" s="6"/>
      <c r="B183" s="6"/>
      <c r="C183" s="4"/>
      <c r="D183" s="36">
        <v>224.000554</v>
      </c>
      <c r="E183" s="4" t="s">
        <v>8453</v>
      </c>
      <c r="F183" s="4"/>
      <c r="G183" s="4"/>
      <c r="H183" s="4"/>
      <c r="I183" s="4" t="str">
        <f>IFERROR(__xludf.DUMMYFUNCTION("""COMPUTED_VALUE"""),"0xc7811fac3b4519132769ceebb15a7ffe40e097ec")</f>
        <v>0xc7811fac3b4519132769ceebb15a7ffe40e097ec</v>
      </c>
      <c r="J183" s="18">
        <v>224.000554</v>
      </c>
      <c r="K183" s="4">
        <v>5600.013849999999</v>
      </c>
      <c r="L183" s="19">
        <v>5.60001385E21</v>
      </c>
      <c r="M183" s="20">
        <v>5.60001385E20</v>
      </c>
    </row>
    <row r="184">
      <c r="A184" s="6"/>
      <c r="B184" s="6"/>
      <c r="C184" s="4"/>
      <c r="D184" s="36">
        <v>68.127717</v>
      </c>
      <c r="E184" s="4" t="s">
        <v>3737</v>
      </c>
      <c r="F184" s="4"/>
      <c r="G184" s="4"/>
      <c r="H184" s="4"/>
      <c r="I184" s="4" t="str">
        <f>IFERROR(__xludf.DUMMYFUNCTION("""COMPUTED_VALUE"""),"0x83faad862fb2cd3aa828f7a795f3f559df0badd4")</f>
        <v>0x83faad862fb2cd3aa828f7a795f3f559df0badd4</v>
      </c>
      <c r="J184" s="18">
        <v>68.127717</v>
      </c>
      <c r="K184" s="4">
        <v>1703.192925</v>
      </c>
      <c r="L184" s="19">
        <v>1.703192925E21</v>
      </c>
      <c r="M184" s="20">
        <v>1.703192925E20</v>
      </c>
    </row>
    <row r="185">
      <c r="A185" s="6"/>
      <c r="B185" s="6"/>
      <c r="C185" s="4"/>
      <c r="D185" s="36">
        <v>224.000554</v>
      </c>
      <c r="E185" s="4" t="s">
        <v>9018</v>
      </c>
      <c r="F185" s="4"/>
      <c r="G185" s="4"/>
      <c r="H185" s="4"/>
      <c r="I185" s="4" t="str">
        <f>IFERROR(__xludf.DUMMYFUNCTION("""COMPUTED_VALUE"""),"0x6ec04cbe2f8e192d8df0bcf94afb58a4094f7c91")</f>
        <v>0x6ec04cbe2f8e192d8df0bcf94afb58a4094f7c91</v>
      </c>
      <c r="J185" s="18">
        <v>813.184806</v>
      </c>
      <c r="K185" s="4">
        <v>20329.62015</v>
      </c>
      <c r="L185" s="19">
        <v>2.032962015E22</v>
      </c>
      <c r="M185" s="20">
        <v>2.0329620150000002E21</v>
      </c>
    </row>
    <row r="186">
      <c r="A186" s="6"/>
      <c r="B186" s="6"/>
      <c r="C186" s="4"/>
      <c r="D186" s="36">
        <v>224.000554</v>
      </c>
      <c r="E186" s="4" t="s">
        <v>9019</v>
      </c>
      <c r="F186" s="4"/>
      <c r="G186" s="4"/>
      <c r="H186" s="4"/>
      <c r="I186" s="4" t="str">
        <f>IFERROR(__xludf.DUMMYFUNCTION("""COMPUTED_VALUE"""),"0x57ca2feabc7ac8096065e7244fc74e4abd089003")</f>
        <v>0x57ca2feabc7ac8096065e7244fc74e4abd089003</v>
      </c>
      <c r="J186" s="18">
        <v>224.000554</v>
      </c>
      <c r="K186" s="4">
        <v>5600.013849999999</v>
      </c>
      <c r="L186" s="19">
        <v>5.60001385E21</v>
      </c>
      <c r="M186" s="20">
        <v>5.60001385E20</v>
      </c>
    </row>
    <row r="187">
      <c r="A187" s="6"/>
      <c r="B187" s="6"/>
      <c r="C187" s="4"/>
      <c r="D187" s="36">
        <v>224.000554</v>
      </c>
      <c r="E187" s="4" t="s">
        <v>9020</v>
      </c>
      <c r="F187" s="4"/>
      <c r="G187" s="4"/>
      <c r="H187" s="4"/>
      <c r="I187" s="4" t="str">
        <f>IFERROR(__xludf.DUMMYFUNCTION("""COMPUTED_VALUE"""),"0xe3e948547ffffc602724a494efdd2f502a470f13")</f>
        <v>0xe3e948547ffffc602724a494efdd2f502a470f13</v>
      </c>
      <c r="J187" s="18">
        <v>689.108102</v>
      </c>
      <c r="K187" s="4">
        <v>17227.70255</v>
      </c>
      <c r="L187" s="19">
        <v>1.7227702550000002E22</v>
      </c>
      <c r="M187" s="20">
        <v>1.7227702550000003E21</v>
      </c>
    </row>
    <row r="188">
      <c r="A188" s="6"/>
      <c r="B188" s="6"/>
      <c r="C188" s="4"/>
      <c r="D188" s="36">
        <v>224.000554</v>
      </c>
      <c r="E188" s="4" t="s">
        <v>9021</v>
      </c>
      <c r="F188" s="4"/>
      <c r="G188" s="4"/>
      <c r="H188" s="4"/>
      <c r="I188" s="4" t="str">
        <f>IFERROR(__xludf.DUMMYFUNCTION("""COMPUTED_VALUE"""),"0x1c46718463877607b620aa26d10e75bc771ba24e")</f>
        <v>0x1c46718463877607b620aa26d10e75bc771ba24e</v>
      </c>
      <c r="J188" s="18">
        <v>541.231305</v>
      </c>
      <c r="K188" s="4">
        <v>13530.782625</v>
      </c>
      <c r="L188" s="19">
        <v>1.3530782625E22</v>
      </c>
      <c r="M188" s="20">
        <v>1.3530782625E21</v>
      </c>
    </row>
    <row r="189">
      <c r="A189" s="6"/>
      <c r="B189" s="6"/>
      <c r="C189" s="4"/>
      <c r="D189" s="36">
        <v>98.457607</v>
      </c>
      <c r="E189" s="4" t="s">
        <v>8753</v>
      </c>
      <c r="F189" s="4"/>
      <c r="G189" s="4"/>
      <c r="H189" s="4"/>
      <c r="I189" s="4" t="str">
        <f>IFERROR(__xludf.DUMMYFUNCTION("""COMPUTED_VALUE"""),"0x6ecc30b98c86259b4eaeb64c82784a7972fb40b8")</f>
        <v>0x6ecc30b98c86259b4eaeb64c82784a7972fb40b8</v>
      </c>
      <c r="J189" s="18">
        <v>98.457607</v>
      </c>
      <c r="K189" s="4">
        <v>2461.4401749999997</v>
      </c>
      <c r="L189" s="19">
        <v>2.4614401749999996E21</v>
      </c>
      <c r="M189" s="20">
        <v>2.4614401749999996E20</v>
      </c>
    </row>
    <row r="190">
      <c r="A190" s="6"/>
      <c r="B190" s="6"/>
      <c r="C190" s="4"/>
      <c r="D190" s="36">
        <v>224.000554</v>
      </c>
      <c r="E190" s="4" t="s">
        <v>6172</v>
      </c>
      <c r="F190" s="4"/>
      <c r="G190" s="4"/>
      <c r="H190" s="4"/>
      <c r="I190" s="4" t="str">
        <f>IFERROR(__xludf.DUMMYFUNCTION("""COMPUTED_VALUE"""),"0x5db8eff3bd353f7f676f3444d4da359c97f554f5")</f>
        <v>0x5db8eff3bd353f7f676f3444d4da359c97f554f5</v>
      </c>
      <c r="J190" s="18">
        <v>224.000554</v>
      </c>
      <c r="K190" s="4">
        <v>5600.013849999999</v>
      </c>
      <c r="L190" s="19">
        <v>5.60001385E21</v>
      </c>
      <c r="M190" s="20">
        <v>5.60001385E20</v>
      </c>
    </row>
    <row r="191">
      <c r="A191" s="6"/>
      <c r="B191" s="6"/>
      <c r="C191" s="4"/>
      <c r="D191" s="36">
        <v>217.171556</v>
      </c>
      <c r="E191" s="4" t="s">
        <v>2999</v>
      </c>
      <c r="F191" s="4"/>
      <c r="G191" s="4"/>
      <c r="H191" s="4"/>
      <c r="I191" s="4" t="str">
        <f>IFERROR(__xludf.DUMMYFUNCTION("""COMPUTED_VALUE"""),"0x75afa0148a5330c0d54a63a2388fb4aefb36b540")</f>
        <v>0x75afa0148a5330c0d54a63a2388fb4aefb36b540</v>
      </c>
      <c r="J191" s="18">
        <v>217.171556</v>
      </c>
      <c r="K191" s="4">
        <v>5429.2889000000005</v>
      </c>
      <c r="L191" s="19">
        <v>5.4292889E21</v>
      </c>
      <c r="M191" s="20">
        <v>5.4292889E20</v>
      </c>
    </row>
    <row r="192">
      <c r="A192" s="6"/>
      <c r="B192" s="6"/>
      <c r="C192" s="4"/>
      <c r="D192" s="36">
        <v>97.642988</v>
      </c>
      <c r="E192" s="4" t="s">
        <v>9022</v>
      </c>
      <c r="F192" s="4"/>
      <c r="G192" s="4"/>
      <c r="H192" s="4"/>
      <c r="I192" s="4" t="str">
        <f>IFERROR(__xludf.DUMMYFUNCTION("""COMPUTED_VALUE"""),"0x96663d1bbe0ca6765d71e220b2792b125ab98561")</f>
        <v>0x96663d1bbe0ca6765d71e220b2792b125ab98561</v>
      </c>
      <c r="J192" s="18">
        <v>97.642988</v>
      </c>
      <c r="K192" s="4">
        <v>2441.0747</v>
      </c>
      <c r="L192" s="19">
        <v>2.4410747E21</v>
      </c>
      <c r="M192" s="20">
        <v>2.4410747000000004E20</v>
      </c>
    </row>
    <row r="193">
      <c r="A193" s="6"/>
      <c r="B193" s="6"/>
      <c r="C193" s="4"/>
      <c r="D193" s="36">
        <v>63.346504</v>
      </c>
      <c r="E193" s="4" t="s">
        <v>5958</v>
      </c>
      <c r="F193" s="4"/>
      <c r="G193" s="4"/>
      <c r="H193" s="4"/>
      <c r="I193" s="4" t="str">
        <f>IFERROR(__xludf.DUMMYFUNCTION("""COMPUTED_VALUE"""),"0x36146341531e0570106f7a5ea3e0a5cda8f94b8d")</f>
        <v>0x36146341531e0570106f7a5ea3e0a5cda8f94b8d</v>
      </c>
      <c r="J193" s="18">
        <v>63.346504</v>
      </c>
      <c r="K193" s="4">
        <v>1583.6626</v>
      </c>
      <c r="L193" s="19">
        <v>1.5836626000000002E21</v>
      </c>
      <c r="M193" s="20">
        <v>1.5836626000000002E20</v>
      </c>
    </row>
    <row r="194">
      <c r="A194" s="6"/>
      <c r="B194" s="6"/>
      <c r="C194" s="4"/>
      <c r="D194" s="36">
        <v>224.000554</v>
      </c>
      <c r="E194" s="4" t="s">
        <v>8716</v>
      </c>
      <c r="F194" s="4"/>
      <c r="G194" s="4"/>
      <c r="H194" s="4"/>
      <c r="I194" s="4" t="str">
        <f>IFERROR(__xludf.DUMMYFUNCTION("""COMPUTED_VALUE"""),"0xa634d8b6fbe9a175a5be1b0e5d6798e47d45998a")</f>
        <v>0xa634d8b6fbe9a175a5be1b0e5d6798e47d45998a</v>
      </c>
      <c r="J194" s="18">
        <v>1351.0678520000001</v>
      </c>
      <c r="K194" s="4">
        <v>33776.6963</v>
      </c>
      <c r="L194" s="19">
        <v>3.3776696300000002E22</v>
      </c>
      <c r="M194" s="20">
        <v>3.3776696300000007E21</v>
      </c>
    </row>
    <row r="195">
      <c r="A195" s="6"/>
      <c r="B195" s="6"/>
      <c r="C195" s="4"/>
      <c r="D195" s="36">
        <v>224.000554</v>
      </c>
      <c r="E195" s="4" t="s">
        <v>1576</v>
      </c>
      <c r="F195" s="4"/>
      <c r="G195" s="4"/>
      <c r="H195" s="4"/>
      <c r="I195" s="4" t="str">
        <f>IFERROR(__xludf.DUMMYFUNCTION("""COMPUTED_VALUE"""),"0xe356fe28b7b6b015a3b2bb4419dbdf2777d7420b")</f>
        <v>0xe356fe28b7b6b015a3b2bb4419dbdf2777d7420b</v>
      </c>
      <c r="J195" s="18">
        <v>6030.390378</v>
      </c>
      <c r="K195" s="4">
        <v>150759.75945</v>
      </c>
      <c r="L195" s="19">
        <v>1.5075975945000002E23</v>
      </c>
      <c r="M195" s="20">
        <v>1.5075975945000002E22</v>
      </c>
    </row>
    <row r="196">
      <c r="A196" s="6"/>
      <c r="B196" s="6"/>
      <c r="C196" s="4"/>
      <c r="D196" s="36">
        <v>33.663225</v>
      </c>
      <c r="E196" s="4" t="s">
        <v>9023</v>
      </c>
      <c r="F196" s="4"/>
      <c r="G196" s="4"/>
      <c r="H196" s="4"/>
      <c r="I196" s="4" t="str">
        <f>IFERROR(__xludf.DUMMYFUNCTION("""COMPUTED_VALUE"""),"0x35a53dec7c72eae9dece3250d13a8dbfdba51919")</f>
        <v>0x35a53dec7c72eae9dece3250d13a8dbfdba51919</v>
      </c>
      <c r="J196" s="18">
        <v>33.663225</v>
      </c>
      <c r="K196" s="4">
        <v>841.5806249999999</v>
      </c>
      <c r="L196" s="19">
        <v>8.41580625E20</v>
      </c>
      <c r="M196" s="20">
        <v>8.41580625E19</v>
      </c>
    </row>
    <row r="197">
      <c r="A197" s="6"/>
      <c r="B197" s="6"/>
      <c r="C197" s="4"/>
      <c r="D197" s="36">
        <v>224.000554</v>
      </c>
      <c r="E197" s="4" t="s">
        <v>613</v>
      </c>
      <c r="F197" s="4"/>
      <c r="G197" s="4"/>
      <c r="H197" s="4"/>
      <c r="I197" s="4" t="str">
        <f>IFERROR(__xludf.DUMMYFUNCTION("""COMPUTED_VALUE"""),"0x0eb8745407a211a718d6921691ceb99fb5ac9f48")</f>
        <v>0x0eb8745407a211a718d6921691ceb99fb5ac9f48</v>
      </c>
      <c r="J197" s="18">
        <v>689.108102</v>
      </c>
      <c r="K197" s="4">
        <v>17227.70255</v>
      </c>
      <c r="L197" s="19">
        <v>1.7227702550000002E22</v>
      </c>
      <c r="M197" s="20">
        <v>1.7227702550000003E21</v>
      </c>
    </row>
    <row r="198">
      <c r="A198" s="6"/>
      <c r="B198" s="6"/>
      <c r="C198" s="4"/>
      <c r="D198" s="36">
        <v>113.708904</v>
      </c>
      <c r="E198" s="4" t="s">
        <v>3261</v>
      </c>
      <c r="F198" s="4"/>
      <c r="G198" s="4"/>
      <c r="H198" s="4"/>
      <c r="I198" s="4" t="str">
        <f>IFERROR(__xludf.DUMMYFUNCTION("""COMPUTED_VALUE"""),"0x0b2677f1db50a327a72e8dc7c748886ecd90870f")</f>
        <v>0x0b2677f1db50a327a72e8dc7c748886ecd90870f</v>
      </c>
      <c r="J198" s="18">
        <v>113.708904</v>
      </c>
      <c r="K198" s="4">
        <v>2842.7226</v>
      </c>
      <c r="L198" s="19">
        <v>2.8427226E21</v>
      </c>
      <c r="M198" s="20">
        <v>2.8427226E20</v>
      </c>
    </row>
    <row r="199">
      <c r="A199" s="6"/>
      <c r="B199" s="6"/>
      <c r="C199" s="4"/>
      <c r="D199" s="36">
        <v>224.000554</v>
      </c>
      <c r="E199" s="4" t="s">
        <v>9024</v>
      </c>
      <c r="F199" s="4"/>
      <c r="G199" s="4"/>
      <c r="H199" s="4"/>
      <c r="I199" s="4" t="str">
        <f>IFERROR(__xludf.DUMMYFUNCTION("""COMPUTED_VALUE"""),"0x0a50229e6a256e43b6717706c0783b9419c82455")</f>
        <v>0x0a50229e6a256e43b6717706c0783b9419c82455</v>
      </c>
      <c r="J199" s="18">
        <v>689.108102</v>
      </c>
      <c r="K199" s="4">
        <v>17227.70255</v>
      </c>
      <c r="L199" s="19">
        <v>1.7227702550000002E22</v>
      </c>
      <c r="M199" s="20">
        <v>1.7227702550000003E21</v>
      </c>
    </row>
    <row r="200">
      <c r="A200" s="6"/>
      <c r="B200" s="6"/>
      <c r="C200" s="4"/>
      <c r="D200" s="36">
        <v>37.038088</v>
      </c>
      <c r="E200" s="4" t="s">
        <v>8587</v>
      </c>
      <c r="F200" s="4"/>
      <c r="G200" s="4"/>
      <c r="H200" s="4"/>
      <c r="I200" s="4" t="str">
        <f>IFERROR(__xludf.DUMMYFUNCTION("""COMPUTED_VALUE"""),"0x0b83821bb8b9d19582af26122556be7408313140")</f>
        <v>0x0b83821bb8b9d19582af26122556be7408313140</v>
      </c>
      <c r="J200" s="18">
        <v>37.038088</v>
      </c>
      <c r="K200" s="4">
        <v>925.9522000000001</v>
      </c>
      <c r="L200" s="19">
        <v>9.259522000000001E20</v>
      </c>
      <c r="M200" s="20">
        <v>9.259522000000002E19</v>
      </c>
    </row>
    <row r="201">
      <c r="A201" s="6"/>
      <c r="B201" s="6"/>
      <c r="C201" s="4"/>
      <c r="D201" s="36">
        <v>136.921075</v>
      </c>
      <c r="E201" s="4" t="s">
        <v>8535</v>
      </c>
      <c r="F201" s="4"/>
      <c r="G201" s="4"/>
      <c r="H201" s="4"/>
      <c r="I201" s="4" t="str">
        <f>IFERROR(__xludf.DUMMYFUNCTION("""COMPUTED_VALUE"""),"0x9b9ec109f4d01134696a9270ba382e69d383232e")</f>
        <v>0x9b9ec109f4d01134696a9270ba382e69d383232e</v>
      </c>
      <c r="J201" s="18">
        <v>136.921075</v>
      </c>
      <c r="K201" s="4">
        <v>3423.026875</v>
      </c>
      <c r="L201" s="19">
        <v>3.423026875E21</v>
      </c>
      <c r="M201" s="20">
        <v>3.423026875E20</v>
      </c>
    </row>
    <row r="202">
      <c r="A202" s="6"/>
      <c r="B202" s="6"/>
      <c r="C202" s="4"/>
      <c r="D202" s="36">
        <v>456.878902</v>
      </c>
      <c r="E202" s="4" t="s">
        <v>9009</v>
      </c>
      <c r="F202" s="4"/>
      <c r="G202" s="4"/>
      <c r="H202" s="4"/>
      <c r="I202" s="4" t="str">
        <f>IFERROR(__xludf.DUMMYFUNCTION("""COMPUTED_VALUE"""),"0xd0f853b3c9c621c64b5b8c2067317b2afc008d03")</f>
        <v>0xd0f853b3c9c621c64b5b8c2067317b2afc008d03</v>
      </c>
      <c r="J202" s="18">
        <v>254.587279</v>
      </c>
      <c r="K202" s="4">
        <v>6364.6819749999995</v>
      </c>
      <c r="L202" s="19">
        <v>6.364681975E21</v>
      </c>
      <c r="M202" s="20">
        <v>6.364681975E20</v>
      </c>
    </row>
    <row r="203">
      <c r="A203" s="6"/>
      <c r="B203" s="6"/>
      <c r="C203" s="4"/>
      <c r="D203" s="36">
        <v>465.107548</v>
      </c>
      <c r="E203" s="4" t="s">
        <v>367</v>
      </c>
      <c r="F203" s="4"/>
      <c r="G203" s="4"/>
      <c r="H203" s="4"/>
      <c r="I203" s="4" t="str">
        <f>IFERROR(__xludf.DUMMYFUNCTION("""COMPUTED_VALUE"""),"0x5786b05e3b7ee260c766d4110a76d93598b6af16")</f>
        <v>0x5786b05e3b7ee260c766d4110a76d93598b6af16</v>
      </c>
      <c r="J203" s="18">
        <v>390.5928</v>
      </c>
      <c r="K203" s="4">
        <v>9764.82</v>
      </c>
      <c r="L203" s="19">
        <v>9.76482E21</v>
      </c>
      <c r="M203" s="20">
        <v>9.764820000000001E20</v>
      </c>
    </row>
    <row r="204">
      <c r="A204" s="6"/>
      <c r="B204" s="6"/>
      <c r="C204" s="4"/>
      <c r="D204" s="36">
        <v>465.107548</v>
      </c>
      <c r="E204" s="4" t="s">
        <v>8701</v>
      </c>
      <c r="F204" s="4"/>
      <c r="G204" s="4"/>
      <c r="H204" s="4"/>
      <c r="I204" s="4" t="str">
        <f>IFERROR(__xludf.DUMMYFUNCTION("""COMPUTED_VALUE"""),"0x690524a31ce96bea837f32e43c7492f3031450a8")</f>
        <v>0x690524a31ce96bea837f32e43c7492f3031450a8</v>
      </c>
      <c r="J204" s="18">
        <v>422.224632</v>
      </c>
      <c r="K204" s="4">
        <v>10555.6158</v>
      </c>
      <c r="L204" s="19">
        <v>1.05556158E22</v>
      </c>
      <c r="M204" s="20">
        <v>1.0555615800000001E21</v>
      </c>
    </row>
    <row r="205">
      <c r="A205" s="6"/>
      <c r="B205" s="6"/>
      <c r="C205" s="4"/>
      <c r="D205" s="36">
        <v>254.587279</v>
      </c>
      <c r="E205" s="4" t="s">
        <v>9025</v>
      </c>
      <c r="F205" s="4"/>
      <c r="G205" s="4"/>
      <c r="H205" s="4"/>
      <c r="I205" s="4" t="str">
        <f>IFERROR(__xludf.DUMMYFUNCTION("""COMPUTED_VALUE"""),"0x62348764a99dd507395e476e3f05081c1dbcbfdb")</f>
        <v>0x62348764a99dd507395e476e3f05081c1dbcbfdb</v>
      </c>
      <c r="J205" s="18">
        <v>410.59719</v>
      </c>
      <c r="K205" s="4">
        <v>10264.92975</v>
      </c>
      <c r="L205" s="19">
        <v>1.026492975E22</v>
      </c>
      <c r="M205" s="20">
        <v>1.026492975E21</v>
      </c>
    </row>
    <row r="206">
      <c r="A206" s="6"/>
      <c r="B206" s="6"/>
      <c r="C206" s="4"/>
      <c r="D206" s="36">
        <v>465.107548</v>
      </c>
      <c r="E206" s="4" t="s">
        <v>2806</v>
      </c>
      <c r="F206" s="4"/>
      <c r="G206" s="4"/>
      <c r="H206" s="4"/>
      <c r="I206" s="4" t="str">
        <f>IFERROR(__xludf.DUMMYFUNCTION("""COMPUTED_VALUE"""),"0x1cc6c272b28e91e5cd6f9d2629b20bbd3279a84d")</f>
        <v>0x1cc6c272b28e91e5cd6f9d2629b20bbd3279a84d</v>
      </c>
      <c r="J206" s="18">
        <v>875.483058</v>
      </c>
      <c r="K206" s="4">
        <v>21887.07645</v>
      </c>
      <c r="L206" s="19">
        <v>2.188707645E22</v>
      </c>
      <c r="M206" s="20">
        <v>2.1887076450000002E21</v>
      </c>
    </row>
    <row r="207">
      <c r="A207" s="6"/>
      <c r="B207" s="6"/>
      <c r="C207" s="4"/>
      <c r="D207" s="36">
        <v>465.107548</v>
      </c>
      <c r="E207" s="4" t="s">
        <v>8970</v>
      </c>
      <c r="F207" s="4"/>
      <c r="G207" s="4"/>
      <c r="H207" s="4"/>
      <c r="I207" s="4" t="str">
        <f>IFERROR(__xludf.DUMMYFUNCTION("""COMPUTED_VALUE"""),"0x353747a38016643abaa79495d7089c0f6041e0de")</f>
        <v>0x353747a38016643abaa79495d7089c0f6041e0de</v>
      </c>
      <c r="J207" s="18">
        <v>465.107548</v>
      </c>
      <c r="K207" s="4">
        <v>11627.6887</v>
      </c>
      <c r="L207" s="19">
        <v>1.16276887E22</v>
      </c>
      <c r="M207" s="20">
        <v>1.1627688700000001E21</v>
      </c>
    </row>
    <row r="208">
      <c r="A208" s="6"/>
      <c r="B208" s="6"/>
      <c r="C208" s="4"/>
      <c r="D208" s="36">
        <v>465.107548</v>
      </c>
      <c r="E208" s="4" t="s">
        <v>9018</v>
      </c>
      <c r="F208" s="4"/>
      <c r="G208" s="4"/>
      <c r="H208" s="4"/>
      <c r="I208" s="4" t="str">
        <f>IFERROR(__xludf.DUMMYFUNCTION("""COMPUTED_VALUE"""),"0xd41ff14b10363d6ed67d2549968addb6e939bc43")</f>
        <v>0xd41ff14b10363d6ed67d2549968addb6e939bc43</v>
      </c>
      <c r="J208" s="18">
        <v>336.051326</v>
      </c>
      <c r="K208" s="4">
        <v>8401.283150000001</v>
      </c>
      <c r="L208" s="19">
        <v>8.401283150000001E21</v>
      </c>
      <c r="M208" s="20">
        <v>8.401283150000002E20</v>
      </c>
    </row>
    <row r="209">
      <c r="A209" s="6"/>
      <c r="B209" s="6"/>
      <c r="C209" s="4"/>
      <c r="D209" s="36">
        <v>390.5928</v>
      </c>
      <c r="E209" s="4" t="s">
        <v>9026</v>
      </c>
      <c r="F209" s="4"/>
      <c r="G209" s="4"/>
      <c r="H209" s="4"/>
      <c r="I209" s="4" t="str">
        <f>IFERROR(__xludf.DUMMYFUNCTION("""COMPUTED_VALUE"""),"0xa5205eccba8cbb04db80d81be66be1a0785fdb82")</f>
        <v>0xa5205eccba8cbb04db80d81be66be1a0785fdb82</v>
      </c>
      <c r="J209" s="18">
        <v>372.086038</v>
      </c>
      <c r="K209" s="4">
        <v>9302.15095</v>
      </c>
      <c r="L209" s="19">
        <v>9.302150949999999E21</v>
      </c>
      <c r="M209" s="20">
        <v>9.30215095E20</v>
      </c>
    </row>
    <row r="210">
      <c r="A210" s="6"/>
      <c r="B210" s="6"/>
      <c r="C210" s="4"/>
      <c r="D210" s="36">
        <v>422.224632</v>
      </c>
      <c r="E210" s="4" t="s">
        <v>1713</v>
      </c>
      <c r="F210" s="4"/>
      <c r="G210" s="4"/>
      <c r="H210" s="4"/>
      <c r="I210" s="4" t="str">
        <f>IFERROR(__xludf.DUMMYFUNCTION("""COMPUTED_VALUE"""),"0x3f312f24a1e9043735284d93dc7f9d45501bcc2f")</f>
        <v>0x3f312f24a1e9043735284d93dc7f9d45501bcc2f</v>
      </c>
      <c r="J210" s="18">
        <v>57.022185</v>
      </c>
      <c r="K210" s="4">
        <v>1425.554625</v>
      </c>
      <c r="L210" s="19">
        <v>1.425554625E21</v>
      </c>
      <c r="M210" s="20">
        <v>1.425554625E20</v>
      </c>
    </row>
    <row r="211">
      <c r="A211" s="6"/>
      <c r="B211" s="6"/>
      <c r="C211" s="4"/>
      <c r="D211" s="36">
        <v>465.107548</v>
      </c>
      <c r="E211" s="4" t="s">
        <v>1091</v>
      </c>
      <c r="F211" s="4"/>
      <c r="G211" s="4"/>
      <c r="H211" s="4"/>
      <c r="I211" s="4" t="str">
        <f>IFERROR(__xludf.DUMMYFUNCTION("""COMPUTED_VALUE"""),"0x49b3db0fd5b98924d42dfad18a11c08f7d7a3e5f")</f>
        <v>0x49b3db0fd5b98924d42dfad18a11c08f7d7a3e5f</v>
      </c>
      <c r="J211" s="18">
        <v>281.948195</v>
      </c>
      <c r="K211" s="4">
        <v>7048.704874999999</v>
      </c>
      <c r="L211" s="19">
        <v>7.048704874999999E21</v>
      </c>
      <c r="M211" s="20">
        <v>7.048704875E20</v>
      </c>
    </row>
    <row r="212">
      <c r="A212" s="6"/>
      <c r="B212" s="6"/>
      <c r="C212" s="4"/>
      <c r="D212" s="36">
        <v>465.107548</v>
      </c>
      <c r="E212" s="4" t="s">
        <v>9020</v>
      </c>
      <c r="F212" s="4"/>
      <c r="G212" s="4"/>
      <c r="H212" s="4"/>
      <c r="I212" s="4" t="str">
        <f>IFERROR(__xludf.DUMMYFUNCTION("""COMPUTED_VALUE"""),"0xbbb7b32a5e384829fa67e200041d64e4dd8a6105")</f>
        <v>0xbbb7b32a5e384829fa67e200041d64e4dd8a6105</v>
      </c>
      <c r="J212" s="18">
        <v>465.107548</v>
      </c>
      <c r="K212" s="4">
        <v>11627.6887</v>
      </c>
      <c r="L212" s="19">
        <v>1.16276887E22</v>
      </c>
      <c r="M212" s="20">
        <v>1.1627688700000001E21</v>
      </c>
    </row>
    <row r="213">
      <c r="A213" s="6"/>
      <c r="B213" s="6"/>
      <c r="C213" s="4"/>
      <c r="D213" s="36">
        <v>465.107548</v>
      </c>
      <c r="E213" s="4" t="s">
        <v>8521</v>
      </c>
      <c r="F213" s="4"/>
      <c r="G213" s="4"/>
      <c r="H213" s="4"/>
      <c r="I213" s="4" t="str">
        <f>IFERROR(__xludf.DUMMYFUNCTION("""COMPUTED_VALUE"""),"0x29c2ea8ea8f113c11f6b2925ce215894e190809c")</f>
        <v>0x29c2ea8ea8f113c11f6b2925ce215894e190809c</v>
      </c>
      <c r="J213" s="18">
        <v>215.632454</v>
      </c>
      <c r="K213" s="4">
        <v>5390.81135</v>
      </c>
      <c r="L213" s="19">
        <v>5.39081135E21</v>
      </c>
      <c r="M213" s="20">
        <v>5.390811350000001E20</v>
      </c>
    </row>
    <row r="214">
      <c r="A214" s="6"/>
      <c r="B214" s="6"/>
      <c r="C214" s="4"/>
      <c r="D214" s="36">
        <v>410.59719</v>
      </c>
      <c r="E214" s="4" t="s">
        <v>9027</v>
      </c>
      <c r="F214" s="4"/>
      <c r="G214" s="4"/>
      <c r="H214" s="4"/>
      <c r="I214" s="4" t="str">
        <f>IFERROR(__xludf.DUMMYFUNCTION("""COMPUTED_VALUE"""),"0x681b683ccefcff1ec8ecae609b01ed5233d4a679")</f>
        <v>0x681b683ccefcff1ec8ecae609b01ed5233d4a679</v>
      </c>
      <c r="J214" s="18">
        <v>3538.876573</v>
      </c>
      <c r="K214" s="4">
        <v>88471.914325</v>
      </c>
      <c r="L214" s="19">
        <v>8.847191432500001E22</v>
      </c>
      <c r="M214" s="20">
        <v>8.847191432500002E21</v>
      </c>
    </row>
    <row r="215">
      <c r="A215" s="6"/>
      <c r="B215" s="6"/>
      <c r="C215" s="4"/>
      <c r="D215" s="36">
        <v>465.107548</v>
      </c>
      <c r="E215" s="4" t="s">
        <v>8601</v>
      </c>
      <c r="F215" s="4"/>
      <c r="G215" s="4"/>
      <c r="H215" s="4"/>
      <c r="I215" s="4" t="str">
        <f>IFERROR(__xludf.DUMMYFUNCTION("""COMPUTED_VALUE"""),"0x593cb13b5bbcb2ba8456aa15cda4c96418373faa")</f>
        <v>0x593cb13b5bbcb2ba8456aa15cda4c96418373faa</v>
      </c>
      <c r="J215" s="18">
        <v>271.808851</v>
      </c>
      <c r="K215" s="4">
        <v>6795.221275</v>
      </c>
      <c r="L215" s="19">
        <v>6.795221274999999E21</v>
      </c>
      <c r="M215" s="20">
        <v>6.795221275E20</v>
      </c>
    </row>
    <row r="216">
      <c r="A216" s="6"/>
      <c r="B216" s="6"/>
      <c r="C216" s="4"/>
      <c r="D216" s="36">
        <v>465.107548</v>
      </c>
      <c r="E216" s="4" t="s">
        <v>1576</v>
      </c>
      <c r="F216" s="4"/>
      <c r="G216" s="4"/>
      <c r="H216" s="4"/>
      <c r="I216" s="4" t="str">
        <f>IFERROR(__xludf.DUMMYFUNCTION("""COMPUTED_VALUE"""),"0x48d716e6801cd09c7cd696e56c8b904fb7589f1d")</f>
        <v>0x48d716e6801cd09c7cd696e56c8b904fb7589f1d</v>
      </c>
      <c r="J216" s="18">
        <v>445.759074</v>
      </c>
      <c r="K216" s="4">
        <v>11143.97685</v>
      </c>
      <c r="L216" s="19">
        <v>1.1143976849999999E22</v>
      </c>
      <c r="M216" s="20">
        <v>1.114397685E21</v>
      </c>
    </row>
    <row r="217">
      <c r="A217" s="6"/>
      <c r="B217" s="6"/>
      <c r="C217" s="4"/>
      <c r="D217" s="36">
        <v>415.6531</v>
      </c>
      <c r="E217" s="4" t="s">
        <v>534</v>
      </c>
      <c r="F217" s="4"/>
      <c r="G217" s="4"/>
      <c r="H217" s="4"/>
      <c r="I217" s="4" t="str">
        <f>IFERROR(__xludf.DUMMYFUNCTION("""COMPUTED_VALUE"""),"0x8e0fd6ab040360dd674dff0f0c24308b3b056499")</f>
        <v>0x8e0fd6ab040360dd674dff0f0c24308b3b056499</v>
      </c>
      <c r="J217" s="18">
        <v>348.830661</v>
      </c>
      <c r="K217" s="4">
        <v>8720.766525000001</v>
      </c>
      <c r="L217" s="19">
        <v>8.720766525000001E21</v>
      </c>
      <c r="M217" s="20">
        <v>8.720766525000002E20</v>
      </c>
    </row>
    <row r="218">
      <c r="A218" s="6"/>
      <c r="B218" s="6"/>
      <c r="C218" s="4"/>
      <c r="D218" s="36">
        <v>465.107548</v>
      </c>
      <c r="E218" s="4" t="s">
        <v>8716</v>
      </c>
      <c r="F218" s="4"/>
      <c r="G218" s="4"/>
      <c r="H218" s="4"/>
      <c r="I218" s="4" t="str">
        <f>IFERROR(__xludf.DUMMYFUNCTION("""COMPUTED_VALUE"""),"0xac6a0bc078f2be4dacef5984de5664172dd846de")</f>
        <v>0xac6a0bc078f2be4dacef5984de5664172dd846de</v>
      </c>
      <c r="J218" s="18">
        <v>275.367602</v>
      </c>
      <c r="K218" s="4">
        <v>6884.190049999999</v>
      </c>
      <c r="L218" s="19">
        <v>6.884190049999999E21</v>
      </c>
      <c r="M218" s="20">
        <v>6.88419005E20</v>
      </c>
    </row>
    <row r="219">
      <c r="A219" s="6"/>
      <c r="B219" s="6"/>
      <c r="C219" s="4"/>
      <c r="D219" s="36">
        <v>465.107548</v>
      </c>
      <c r="E219" s="4" t="s">
        <v>9028</v>
      </c>
      <c r="F219" s="4"/>
      <c r="G219" s="4"/>
      <c r="H219" s="4"/>
      <c r="I219" s="4" t="str">
        <f>IFERROR(__xludf.DUMMYFUNCTION("""COMPUTED_VALUE"""),"0x788a5ab87d7f8de001386d1d65844fd26c317b7e")</f>
        <v>0x788a5ab87d7f8de001386d1d65844fd26c317b7e</v>
      </c>
      <c r="J219" s="18">
        <v>465.107548</v>
      </c>
      <c r="K219" s="4">
        <v>11627.6887</v>
      </c>
      <c r="L219" s="19">
        <v>1.16276887E22</v>
      </c>
      <c r="M219" s="20">
        <v>1.1627688700000001E21</v>
      </c>
    </row>
    <row r="220">
      <c r="A220" s="6"/>
      <c r="B220" s="6"/>
      <c r="C220" s="4"/>
      <c r="D220" s="36">
        <v>459.8133</v>
      </c>
      <c r="E220" s="4" t="s">
        <v>8992</v>
      </c>
      <c r="F220" s="4"/>
      <c r="G220" s="4"/>
      <c r="H220" s="4"/>
      <c r="I220" s="4" t="str">
        <f>IFERROR(__xludf.DUMMYFUNCTION("""COMPUTED_VALUE"""),"0x3673cf19b6efb296e29d9b07666e9625ed63cfe1")</f>
        <v>0x3673cf19b6efb296e29d9b07666e9625ed63cfe1</v>
      </c>
      <c r="J220" s="18">
        <v>465.107548</v>
      </c>
      <c r="K220" s="4">
        <v>11627.6887</v>
      </c>
      <c r="L220" s="19">
        <v>1.16276887E22</v>
      </c>
      <c r="M220" s="20">
        <v>1.1627688700000001E21</v>
      </c>
    </row>
    <row r="221">
      <c r="A221" s="6"/>
      <c r="B221" s="6"/>
      <c r="C221" s="4"/>
      <c r="D221" s="36">
        <v>465.107548</v>
      </c>
      <c r="E221" s="4" t="s">
        <v>8952</v>
      </c>
      <c r="F221" s="4"/>
      <c r="G221" s="4"/>
      <c r="H221" s="4"/>
      <c r="I221" s="4" t="str">
        <f>IFERROR(__xludf.DUMMYFUNCTION("""COMPUTED_VALUE"""),"0xe93a5f4ca51d7c157af00643c107d1d9af42b1cd")</f>
        <v>0xe93a5f4ca51d7c157af00643c107d1d9af42b1cd</v>
      </c>
      <c r="J221" s="18">
        <v>521.434872</v>
      </c>
      <c r="K221" s="4">
        <v>13035.8718</v>
      </c>
      <c r="L221" s="19">
        <v>1.30358718E22</v>
      </c>
      <c r="M221" s="20">
        <v>1.30358718E21</v>
      </c>
    </row>
    <row r="222">
      <c r="A222" s="6"/>
      <c r="B222" s="6"/>
      <c r="C222" s="4"/>
      <c r="D222" s="36">
        <v>336.051326</v>
      </c>
      <c r="E222" s="4" t="s">
        <v>9029</v>
      </c>
      <c r="F222" s="4"/>
      <c r="G222" s="4"/>
      <c r="H222" s="4"/>
      <c r="I222" s="4" t="str">
        <f>IFERROR(__xludf.DUMMYFUNCTION("""COMPUTED_VALUE"""),"0xea392d5deee981ae21d829fbf83b90a908f8ced2")</f>
        <v>0xea392d5deee981ae21d829fbf83b90a908f8ced2</v>
      </c>
      <c r="J222" s="18">
        <v>199.045014</v>
      </c>
      <c r="K222" s="4">
        <v>4976.12535</v>
      </c>
      <c r="L222" s="19">
        <v>4.97612535E21</v>
      </c>
      <c r="M222" s="20">
        <v>4.976125350000001E20</v>
      </c>
    </row>
    <row r="223">
      <c r="A223" s="6"/>
      <c r="B223" s="6"/>
      <c r="C223" s="4"/>
      <c r="D223" s="36">
        <v>46.544253</v>
      </c>
      <c r="E223" s="4" t="s">
        <v>8957</v>
      </c>
      <c r="F223" s="4"/>
      <c r="G223" s="4"/>
      <c r="H223" s="4"/>
      <c r="I223" s="4" t="str">
        <f>IFERROR(__xludf.DUMMYFUNCTION("""COMPUTED_VALUE"""),"0xfca319f920b6757a247c78e39be29e41e3603e8b")</f>
        <v>0xfca319f920b6757a247c78e39be29e41e3603e8b</v>
      </c>
      <c r="J223" s="18">
        <v>381.799772</v>
      </c>
      <c r="K223" s="4">
        <v>9544.9943</v>
      </c>
      <c r="L223" s="19">
        <v>9.544994300000001E21</v>
      </c>
      <c r="M223" s="20">
        <v>9.544994300000002E20</v>
      </c>
    </row>
    <row r="224">
      <c r="A224" s="6"/>
      <c r="B224" s="6"/>
      <c r="C224" s="4"/>
      <c r="D224" s="36">
        <v>465.107548</v>
      </c>
      <c r="E224" s="4" t="s">
        <v>1667</v>
      </c>
      <c r="F224" s="4"/>
      <c r="G224" s="4"/>
      <c r="H224" s="4"/>
      <c r="I224" s="4" t="str">
        <f>IFERROR(__xludf.DUMMYFUNCTION("""COMPUTED_VALUE"""),"0xb3ac5474ac95e004c02c92d300d1c3f98d3b5983")</f>
        <v>0xb3ac5474ac95e004c02c92d300d1c3f98d3b5983</v>
      </c>
      <c r="J224" s="18">
        <v>233.390967</v>
      </c>
      <c r="K224" s="4">
        <v>5834.774175</v>
      </c>
      <c r="L224" s="19">
        <v>5.834774175E21</v>
      </c>
      <c r="M224" s="20">
        <v>5.834774175E20</v>
      </c>
    </row>
    <row r="225">
      <c r="A225" s="6"/>
      <c r="B225" s="6"/>
      <c r="C225" s="4"/>
      <c r="D225" s="36">
        <v>372.086038</v>
      </c>
      <c r="E225" s="4" t="s">
        <v>8586</v>
      </c>
      <c r="F225" s="4"/>
      <c r="G225" s="4"/>
      <c r="H225" s="4"/>
      <c r="I225" s="4" t="str">
        <f>IFERROR(__xludf.DUMMYFUNCTION("""COMPUTED_VALUE"""),"0xd1453c1310846ec5ba080fcb1d3e128e9d124745")</f>
        <v>0xd1453c1310846ec5ba080fcb1d3e128e9d124745</v>
      </c>
      <c r="J225" s="18">
        <v>265.566147</v>
      </c>
      <c r="K225" s="4">
        <v>6639.153675</v>
      </c>
      <c r="L225" s="19">
        <v>6.639153675E21</v>
      </c>
      <c r="M225" s="20">
        <v>6.639153675E20</v>
      </c>
    </row>
    <row r="226">
      <c r="A226" s="6"/>
      <c r="B226" s="6"/>
      <c r="C226" s="4"/>
      <c r="D226" s="36">
        <v>57.022185</v>
      </c>
      <c r="E226" s="4" t="s">
        <v>9030</v>
      </c>
      <c r="F226" s="4"/>
      <c r="G226" s="4"/>
      <c r="H226" s="4"/>
      <c r="I226" s="4" t="str">
        <f>IFERROR(__xludf.DUMMYFUNCTION("""COMPUTED_VALUE"""),"0x0c6896e7632949969dc980272726eee779a62572")</f>
        <v>0x0c6896e7632949969dc980272726eee779a62572</v>
      </c>
      <c r="J226" s="18">
        <v>1144.108448</v>
      </c>
      <c r="K226" s="4">
        <v>28602.711199999998</v>
      </c>
      <c r="L226" s="19">
        <v>2.8602711199999997E22</v>
      </c>
      <c r="M226" s="20">
        <v>2.86027112E21</v>
      </c>
    </row>
    <row r="227">
      <c r="A227" s="6"/>
      <c r="B227" s="6"/>
      <c r="C227" s="4"/>
      <c r="D227" s="36">
        <v>206.211514</v>
      </c>
      <c r="E227" s="4" t="s">
        <v>239</v>
      </c>
      <c r="F227" s="4"/>
      <c r="G227" s="4"/>
      <c r="H227" s="4"/>
      <c r="I227" s="4" t="str">
        <f>IFERROR(__xludf.DUMMYFUNCTION("""COMPUTED_VALUE"""),"0x2cff6fb5a463735d65c29d933ce7f1c45350cb33")</f>
        <v>0x2cff6fb5a463735d65c29d933ce7f1c45350cb33</v>
      </c>
      <c r="J227" s="18">
        <v>446.080851</v>
      </c>
      <c r="K227" s="4">
        <v>11152.021275</v>
      </c>
      <c r="L227" s="19">
        <v>1.1152021274999998E22</v>
      </c>
      <c r="M227" s="20">
        <v>1.1152021274999998E21</v>
      </c>
    </row>
    <row r="228">
      <c r="A228" s="6"/>
      <c r="B228" s="6"/>
      <c r="C228" s="4"/>
      <c r="D228" s="36">
        <v>317.230751</v>
      </c>
      <c r="E228" s="4" t="s">
        <v>9021</v>
      </c>
      <c r="F228" s="4"/>
      <c r="G228" s="4"/>
      <c r="H228" s="4"/>
      <c r="I228" s="4" t="str">
        <f>IFERROR(__xludf.DUMMYFUNCTION("""COMPUTED_VALUE"""),"0xe8bb7407a2a675f2a5a40e39b09c872360f3e571")</f>
        <v>0xe8bb7407a2a675f2a5a40e39b09c872360f3e571</v>
      </c>
      <c r="J228" s="18">
        <v>465.107548</v>
      </c>
      <c r="K228" s="4">
        <v>11627.6887</v>
      </c>
      <c r="L228" s="19">
        <v>1.16276887E22</v>
      </c>
      <c r="M228" s="20">
        <v>1.1627688700000001E21</v>
      </c>
    </row>
    <row r="229">
      <c r="A229" s="6"/>
      <c r="B229" s="6"/>
      <c r="C229" s="4"/>
      <c r="D229" s="36">
        <v>465.107548</v>
      </c>
      <c r="E229" s="4" t="s">
        <v>683</v>
      </c>
      <c r="F229" s="4"/>
      <c r="G229" s="4"/>
      <c r="H229" s="4"/>
      <c r="I229" s="4" t="str">
        <f>IFERROR(__xludf.DUMMYFUNCTION("""COMPUTED_VALUE"""),"0xd232db8d829571f8935691c3356c62b1a80fc84f")</f>
        <v>0xd232db8d829571f8935691c3356c62b1a80fc84f</v>
      </c>
      <c r="J229" s="18">
        <v>397.215336</v>
      </c>
      <c r="K229" s="4">
        <v>9930.383399999999</v>
      </c>
      <c r="L229" s="19">
        <v>9.9303834E21</v>
      </c>
      <c r="M229" s="20">
        <v>9.9303834E20</v>
      </c>
    </row>
    <row r="230">
      <c r="A230" s="6"/>
      <c r="B230" s="6"/>
      <c r="C230" s="4"/>
      <c r="D230" s="36">
        <v>465.107548</v>
      </c>
      <c r="E230" s="4" t="s">
        <v>1218</v>
      </c>
      <c r="F230" s="4"/>
      <c r="G230" s="4"/>
      <c r="H230" s="4"/>
      <c r="I230" s="4" t="str">
        <f>IFERROR(__xludf.DUMMYFUNCTION("""COMPUTED_VALUE"""),"0x01ec202abb571e073c144691b848f947b017fd16")</f>
        <v>0x01ec202abb571e073c144691b848f947b017fd16</v>
      </c>
      <c r="J230" s="18">
        <v>6.733403</v>
      </c>
      <c r="K230" s="4">
        <v>168.335075</v>
      </c>
      <c r="L230" s="19">
        <v>1.68335075E20</v>
      </c>
      <c r="M230" s="20">
        <v>1.68335075E19</v>
      </c>
    </row>
    <row r="231">
      <c r="A231" s="6"/>
      <c r="B231" s="6"/>
      <c r="C231" s="4"/>
      <c r="D231" s="36">
        <v>137.423352</v>
      </c>
      <c r="E231" s="4" t="s">
        <v>5105</v>
      </c>
      <c r="F231" s="4"/>
      <c r="G231" s="4"/>
      <c r="H231" s="4"/>
      <c r="I231" s="4" t="str">
        <f>IFERROR(__xludf.DUMMYFUNCTION("""COMPUTED_VALUE"""),"0x2cb6162980c2c2249f850bd240e3c87fc33c5ce1")</f>
        <v>0x2cb6162980c2c2249f850bd240e3c87fc33c5ce1</v>
      </c>
      <c r="J231" s="18">
        <v>33.522185</v>
      </c>
      <c r="K231" s="4">
        <v>838.054625</v>
      </c>
      <c r="L231" s="19">
        <v>8.380546249999999E20</v>
      </c>
      <c r="M231" s="20">
        <v>8.380546249999999E19</v>
      </c>
    </row>
    <row r="232">
      <c r="A232" s="6"/>
      <c r="B232" s="6"/>
      <c r="C232" s="4"/>
      <c r="D232" s="36">
        <v>281.948195</v>
      </c>
      <c r="E232" s="4" t="s">
        <v>8715</v>
      </c>
      <c r="F232" s="4"/>
      <c r="G232" s="4"/>
      <c r="H232" s="4"/>
      <c r="I232" s="4" t="str">
        <f>IFERROR(__xludf.DUMMYFUNCTION("""COMPUTED_VALUE"""),"0xd2150bdad2e4f2281192efc368d4806b7b9f602c")</f>
        <v>0xd2150bdad2e4f2281192efc368d4806b7b9f602c</v>
      </c>
      <c r="J232" s="18">
        <v>14.883134</v>
      </c>
      <c r="K232" s="4">
        <v>372.07835</v>
      </c>
      <c r="L232" s="19">
        <v>3.7207835E20</v>
      </c>
      <c r="M232" s="20">
        <v>3.7207835E19</v>
      </c>
    </row>
    <row r="233">
      <c r="A233" s="6"/>
      <c r="B233" s="6"/>
      <c r="C233" s="4"/>
      <c r="D233" s="36">
        <v>465.107548</v>
      </c>
      <c r="E233" s="4" t="s">
        <v>8999</v>
      </c>
      <c r="F233" s="4"/>
      <c r="G233" s="4"/>
      <c r="H233" s="4"/>
      <c r="I233" s="4" t="str">
        <f>IFERROR(__xludf.DUMMYFUNCTION("""COMPUTED_VALUE"""),"0xe35202f344f3c0ad113c52f3317e8f72b4dc0d59")</f>
        <v>0xe35202f344f3c0ad113c52f3317e8f72b4dc0d59</v>
      </c>
      <c r="J233" s="18">
        <v>14.535571</v>
      </c>
      <c r="K233" s="4">
        <v>363.389275</v>
      </c>
      <c r="L233" s="19">
        <v>3.63389275E20</v>
      </c>
      <c r="M233" s="20">
        <v>3.63389275E19</v>
      </c>
    </row>
    <row r="234">
      <c r="A234" s="6"/>
      <c r="B234" s="6"/>
      <c r="C234" s="4"/>
      <c r="D234" s="36">
        <v>159.614393</v>
      </c>
      <c r="E234" s="4" t="s">
        <v>107</v>
      </c>
      <c r="F234" s="4"/>
      <c r="G234" s="4"/>
      <c r="H234" s="4"/>
      <c r="I234" s="4" t="str">
        <f>IFERROR(__xludf.DUMMYFUNCTION("""COMPUTED_VALUE"""),"0xdb71a18336e01ac76fd93b15ed89a720cb8c0734")</f>
        <v>0xdb71a18336e01ac76fd93b15ed89a720cb8c0734</v>
      </c>
      <c r="J234" s="18">
        <v>182.703243</v>
      </c>
      <c r="K234" s="4">
        <v>4567.581074999999</v>
      </c>
      <c r="L234" s="19">
        <v>4.567581074999999E21</v>
      </c>
      <c r="M234" s="20">
        <v>4.567581074999999E20</v>
      </c>
    </row>
    <row r="235">
      <c r="A235" s="6"/>
      <c r="B235" s="6"/>
      <c r="C235" s="4"/>
      <c r="D235" s="36">
        <v>204.965001</v>
      </c>
      <c r="E235" s="4" t="s">
        <v>4576</v>
      </c>
      <c r="F235" s="4"/>
      <c r="G235" s="4"/>
      <c r="H235" s="4"/>
      <c r="I235" s="4" t="str">
        <f>IFERROR(__xludf.DUMMYFUNCTION("""COMPUTED_VALUE"""),"0xa70e458d902972c789d96590ac71ef901abc5cac")</f>
        <v>0xa70e458d902972c789d96590ac71ef901abc5cac</v>
      </c>
      <c r="J235" s="18">
        <v>38.736597</v>
      </c>
      <c r="K235" s="4">
        <v>968.414925</v>
      </c>
      <c r="L235" s="19">
        <v>9.68414925E20</v>
      </c>
      <c r="M235" s="20">
        <v>9.684149250000001E19</v>
      </c>
    </row>
    <row r="236">
      <c r="A236" s="6"/>
      <c r="B236" s="6"/>
      <c r="C236" s="4"/>
      <c r="D236" s="36">
        <v>465.107548</v>
      </c>
      <c r="E236" s="4" t="s">
        <v>8547</v>
      </c>
      <c r="F236" s="4"/>
      <c r="G236" s="4"/>
      <c r="H236" s="4"/>
      <c r="I236" s="4" t="str">
        <f>IFERROR(__xludf.DUMMYFUNCTION("""COMPUTED_VALUE"""),"0x42b3d65094a75cb7daeff8d92737e8a31814c2e4")</f>
        <v>0x42b3d65094a75cb7daeff8d92737e8a31814c2e4</v>
      </c>
      <c r="J236" s="18">
        <v>300.432616</v>
      </c>
      <c r="K236" s="4">
        <v>7510.8153999999995</v>
      </c>
      <c r="L236" s="19">
        <v>7.5108154E21</v>
      </c>
      <c r="M236" s="20">
        <v>7.5108154E20</v>
      </c>
    </row>
    <row r="237">
      <c r="A237" s="6"/>
      <c r="B237" s="6"/>
      <c r="C237" s="4"/>
      <c r="D237" s="36">
        <v>459.022734</v>
      </c>
      <c r="E237" s="4" t="s">
        <v>784</v>
      </c>
      <c r="F237" s="4"/>
      <c r="G237" s="4"/>
      <c r="H237" s="4"/>
      <c r="I237" s="4" t="str">
        <f>IFERROR(__xludf.DUMMYFUNCTION("""COMPUTED_VALUE"""),"0x9c305c8eb79bbcca96dc6b405e2212c64350df90")</f>
        <v>0x9c305c8eb79bbcca96dc6b405e2212c64350df90</v>
      </c>
      <c r="J237" s="18">
        <v>429.568148</v>
      </c>
      <c r="K237" s="4">
        <v>10739.2037</v>
      </c>
      <c r="L237" s="19">
        <v>1.07392037E22</v>
      </c>
      <c r="M237" s="20">
        <v>1.0739203699999999E21</v>
      </c>
    </row>
    <row r="238">
      <c r="A238" s="6"/>
      <c r="B238" s="6"/>
      <c r="C238" s="4"/>
      <c r="D238" s="36">
        <v>465.107548</v>
      </c>
      <c r="E238" s="4" t="s">
        <v>9024</v>
      </c>
      <c r="F238" s="4"/>
      <c r="G238" s="4"/>
      <c r="H238" s="4"/>
      <c r="I238" s="4" t="str">
        <f>IFERROR(__xludf.DUMMYFUNCTION("""COMPUTED_VALUE"""),"0x6305b950c99c64786492c52066cc797e9aa2c115")</f>
        <v>0x6305b950c99c64786492c52066cc797e9aa2c115</v>
      </c>
      <c r="J238" s="18">
        <v>1549.463888</v>
      </c>
      <c r="K238" s="4">
        <v>38736.5972</v>
      </c>
      <c r="L238" s="19">
        <v>3.87365972E22</v>
      </c>
      <c r="M238" s="20">
        <v>3.87365972E21</v>
      </c>
    </row>
    <row r="239">
      <c r="A239" s="6"/>
      <c r="B239" s="6"/>
      <c r="C239" s="4"/>
      <c r="D239" s="36">
        <v>465.107548</v>
      </c>
      <c r="E239" s="4" t="s">
        <v>1125</v>
      </c>
      <c r="F239" s="4"/>
      <c r="G239" s="4"/>
      <c r="H239" s="4"/>
      <c r="I239" s="4"/>
      <c r="J239" s="18">
        <v>0.0</v>
      </c>
      <c r="K239" s="4" t="s">
        <v>8494</v>
      </c>
      <c r="L239" s="19" t="s">
        <v>8494</v>
      </c>
      <c r="M239" s="20" t="s">
        <v>8494</v>
      </c>
    </row>
    <row r="240">
      <c r="A240" s="6"/>
      <c r="B240" s="6"/>
      <c r="C240" s="4"/>
      <c r="D240" s="36">
        <v>399.170734</v>
      </c>
      <c r="E240" s="4" t="s">
        <v>8606</v>
      </c>
      <c r="F240" s="4"/>
      <c r="G240" s="4"/>
      <c r="H240" s="4"/>
      <c r="I240" s="4"/>
      <c r="J240" s="18">
        <v>0.0</v>
      </c>
      <c r="K240" s="4" t="s">
        <v>8494</v>
      </c>
      <c r="L240" s="19" t="s">
        <v>8494</v>
      </c>
      <c r="M240" s="20" t="s">
        <v>8494</v>
      </c>
    </row>
    <row r="241">
      <c r="A241" s="6"/>
      <c r="B241" s="6"/>
      <c r="C241" s="4"/>
      <c r="D241" s="36">
        <v>465.107548</v>
      </c>
      <c r="E241" s="4" t="s">
        <v>9015</v>
      </c>
      <c r="F241" s="4"/>
      <c r="G241" s="4"/>
      <c r="H241" s="4"/>
      <c r="I241" s="4"/>
      <c r="J241" s="18">
        <v>0.0</v>
      </c>
      <c r="K241" s="4" t="s">
        <v>8494</v>
      </c>
      <c r="L241" s="19" t="s">
        <v>8494</v>
      </c>
      <c r="M241" s="20" t="s">
        <v>8494</v>
      </c>
    </row>
    <row r="242">
      <c r="A242" s="6"/>
      <c r="B242" s="6"/>
      <c r="C242" s="4"/>
      <c r="D242" s="36">
        <v>465.107548</v>
      </c>
      <c r="E242" s="4" t="s">
        <v>952</v>
      </c>
      <c r="F242" s="4"/>
      <c r="G242" s="4"/>
      <c r="H242" s="4"/>
      <c r="I242" s="4"/>
      <c r="J242" s="18">
        <v>0.0</v>
      </c>
      <c r="K242" s="4" t="s">
        <v>8494</v>
      </c>
      <c r="L242" s="19" t="s">
        <v>8494</v>
      </c>
      <c r="M242" s="20" t="s">
        <v>8494</v>
      </c>
    </row>
    <row r="243">
      <c r="A243" s="6"/>
      <c r="B243" s="6"/>
      <c r="C243" s="4"/>
      <c r="D243" s="36">
        <v>215.632454</v>
      </c>
      <c r="E243" s="4" t="s">
        <v>9031</v>
      </c>
      <c r="F243" s="4"/>
      <c r="G243" s="4"/>
      <c r="H243" s="4"/>
      <c r="I243" s="4"/>
      <c r="J243" s="18">
        <v>0.0</v>
      </c>
      <c r="K243" s="4" t="s">
        <v>8494</v>
      </c>
      <c r="L243" s="19" t="s">
        <v>8494</v>
      </c>
      <c r="M243" s="20" t="s">
        <v>8494</v>
      </c>
    </row>
    <row r="244">
      <c r="A244" s="6"/>
      <c r="B244" s="6"/>
      <c r="C244" s="4"/>
      <c r="D244" s="36">
        <v>465.107548</v>
      </c>
      <c r="E244" s="4" t="s">
        <v>9005</v>
      </c>
      <c r="F244" s="4"/>
      <c r="G244" s="4"/>
      <c r="H244" s="4"/>
      <c r="I244" s="4"/>
      <c r="J244" s="18">
        <v>0.0</v>
      </c>
      <c r="K244" s="4" t="s">
        <v>8494</v>
      </c>
      <c r="L244" s="19" t="s">
        <v>8494</v>
      </c>
      <c r="M244" s="20" t="s">
        <v>8494</v>
      </c>
    </row>
    <row r="245">
      <c r="A245" s="6"/>
      <c r="B245" s="6"/>
      <c r="C245" s="4"/>
      <c r="D245" s="36">
        <v>465.107548</v>
      </c>
      <c r="E245" s="4" t="s">
        <v>8517</v>
      </c>
      <c r="F245" s="4"/>
      <c r="G245" s="4"/>
      <c r="H245" s="4"/>
      <c r="I245" s="4"/>
      <c r="J245" s="18">
        <v>0.0</v>
      </c>
      <c r="K245" s="4" t="s">
        <v>8494</v>
      </c>
      <c r="L245" s="19" t="s">
        <v>8494</v>
      </c>
      <c r="M245" s="20" t="s">
        <v>8494</v>
      </c>
    </row>
    <row r="246">
      <c r="A246" s="6"/>
      <c r="B246" s="6"/>
      <c r="C246" s="4"/>
      <c r="D246" s="36">
        <v>362.086082</v>
      </c>
      <c r="E246" s="4" t="s">
        <v>4202</v>
      </c>
      <c r="F246" s="4"/>
      <c r="G246" s="4"/>
      <c r="H246" s="4"/>
      <c r="I246" s="4"/>
      <c r="J246" s="18">
        <v>0.0</v>
      </c>
      <c r="K246" s="4" t="s">
        <v>8494</v>
      </c>
      <c r="L246" s="19" t="s">
        <v>8494</v>
      </c>
      <c r="M246" s="20" t="s">
        <v>8494</v>
      </c>
    </row>
    <row r="247">
      <c r="A247" s="6"/>
      <c r="B247" s="6"/>
      <c r="C247" s="4"/>
      <c r="D247" s="36">
        <v>163.876272</v>
      </c>
      <c r="E247" s="4" t="s">
        <v>475</v>
      </c>
      <c r="F247" s="4"/>
      <c r="G247" s="4"/>
      <c r="H247" s="4"/>
      <c r="I247" s="4"/>
      <c r="J247" s="18">
        <v>0.0</v>
      </c>
      <c r="K247" s="4" t="s">
        <v>8494</v>
      </c>
      <c r="L247" s="19" t="s">
        <v>8494</v>
      </c>
      <c r="M247" s="20" t="s">
        <v>8494</v>
      </c>
    </row>
    <row r="248">
      <c r="A248" s="6"/>
      <c r="B248" s="6"/>
      <c r="C248" s="4"/>
      <c r="D248" s="36">
        <v>271.808851</v>
      </c>
      <c r="E248" s="4" t="s">
        <v>1541</v>
      </c>
      <c r="F248" s="4"/>
      <c r="G248" s="4"/>
      <c r="H248" s="4"/>
      <c r="I248" s="4"/>
      <c r="J248" s="18">
        <v>0.0</v>
      </c>
      <c r="K248" s="4" t="s">
        <v>8494</v>
      </c>
      <c r="L248" s="19" t="s">
        <v>8494</v>
      </c>
      <c r="M248" s="20" t="s">
        <v>8494</v>
      </c>
    </row>
    <row r="249">
      <c r="A249" s="6"/>
      <c r="B249" s="6"/>
      <c r="C249" s="4"/>
      <c r="D249" s="36">
        <v>445.759074</v>
      </c>
      <c r="E249" s="4" t="s">
        <v>453</v>
      </c>
      <c r="F249" s="4"/>
      <c r="G249" s="4"/>
      <c r="H249" s="4"/>
      <c r="I249" s="4"/>
      <c r="J249" s="18">
        <v>0.0</v>
      </c>
      <c r="K249" s="4" t="s">
        <v>8494</v>
      </c>
      <c r="L249" s="19" t="s">
        <v>8494</v>
      </c>
      <c r="M249" s="20" t="s">
        <v>8494</v>
      </c>
    </row>
    <row r="250">
      <c r="A250" s="6"/>
      <c r="B250" s="6"/>
      <c r="C250" s="4"/>
      <c r="D250" s="36">
        <v>465.107548</v>
      </c>
      <c r="E250" s="4" t="s">
        <v>8968</v>
      </c>
      <c r="F250" s="4"/>
      <c r="G250" s="4"/>
      <c r="H250" s="4"/>
      <c r="I250" s="4"/>
      <c r="J250" s="18">
        <v>0.0</v>
      </c>
      <c r="K250" s="4" t="s">
        <v>8494</v>
      </c>
      <c r="L250" s="19" t="s">
        <v>8494</v>
      </c>
      <c r="M250" s="20" t="s">
        <v>8494</v>
      </c>
    </row>
    <row r="251">
      <c r="A251" s="6"/>
      <c r="B251" s="6"/>
      <c r="C251" s="4"/>
      <c r="D251" s="36">
        <v>9.397637</v>
      </c>
      <c r="E251" s="4" t="s">
        <v>817</v>
      </c>
      <c r="F251" s="4"/>
      <c r="G251" s="4"/>
      <c r="H251" s="4"/>
      <c r="I251" s="4"/>
      <c r="J251" s="18">
        <v>0.0</v>
      </c>
      <c r="K251" s="4" t="s">
        <v>8494</v>
      </c>
      <c r="L251" s="19" t="s">
        <v>8494</v>
      </c>
      <c r="M251" s="20" t="s">
        <v>8494</v>
      </c>
    </row>
    <row r="252">
      <c r="A252" s="6"/>
      <c r="B252" s="6"/>
      <c r="C252" s="4"/>
      <c r="D252" s="36">
        <v>348.830661</v>
      </c>
      <c r="E252" s="4" t="s">
        <v>664</v>
      </c>
      <c r="F252" s="4"/>
      <c r="G252" s="4"/>
      <c r="H252" s="4"/>
      <c r="I252" s="4"/>
      <c r="J252" s="18">
        <v>0.0</v>
      </c>
      <c r="K252" s="4" t="s">
        <v>8494</v>
      </c>
      <c r="L252" s="19" t="s">
        <v>8494</v>
      </c>
      <c r="M252" s="20" t="s">
        <v>8494</v>
      </c>
    </row>
    <row r="253">
      <c r="A253" s="6"/>
      <c r="B253" s="6"/>
      <c r="C253" s="4"/>
      <c r="D253" s="36">
        <v>337.6232</v>
      </c>
      <c r="E253" s="4" t="s">
        <v>8971</v>
      </c>
      <c r="F253" s="4"/>
      <c r="G253" s="4"/>
      <c r="H253" s="4"/>
      <c r="I253" s="4"/>
      <c r="J253" s="18">
        <v>0.0</v>
      </c>
      <c r="K253" s="4" t="s">
        <v>8494</v>
      </c>
      <c r="L253" s="19" t="s">
        <v>8494</v>
      </c>
      <c r="M253" s="20" t="s">
        <v>8494</v>
      </c>
    </row>
    <row r="254">
      <c r="A254" s="6"/>
      <c r="B254" s="6"/>
      <c r="C254" s="4"/>
      <c r="D254" s="36">
        <v>275.367602</v>
      </c>
      <c r="E254" s="4" t="s">
        <v>9032</v>
      </c>
      <c r="F254" s="4"/>
      <c r="G254" s="4"/>
      <c r="H254" s="4"/>
      <c r="I254" s="4"/>
      <c r="J254" s="18">
        <v>0.0</v>
      </c>
      <c r="K254" s="4" t="s">
        <v>8494</v>
      </c>
      <c r="L254" s="19" t="s">
        <v>8494</v>
      </c>
      <c r="M254" s="20" t="s">
        <v>8494</v>
      </c>
    </row>
    <row r="255">
      <c r="A255" s="6"/>
      <c r="B255" s="6"/>
      <c r="C255" s="4"/>
      <c r="D255" s="36">
        <v>372.086038</v>
      </c>
      <c r="E255" s="4" t="s">
        <v>977</v>
      </c>
      <c r="F255" s="4"/>
      <c r="G255" s="4"/>
      <c r="H255" s="4"/>
      <c r="I255" s="4"/>
      <c r="J255" s="18">
        <v>0.0</v>
      </c>
      <c r="K255" s="4" t="s">
        <v>8494</v>
      </c>
      <c r="L255" s="19" t="s">
        <v>8494</v>
      </c>
      <c r="M255" s="20" t="s">
        <v>8494</v>
      </c>
    </row>
    <row r="256">
      <c r="A256" s="6"/>
      <c r="B256" s="6"/>
      <c r="C256" s="4"/>
      <c r="D256" s="36">
        <v>465.107548</v>
      </c>
      <c r="E256" s="4" t="s">
        <v>1774</v>
      </c>
      <c r="F256" s="4"/>
      <c r="G256" s="4"/>
      <c r="H256" s="4"/>
      <c r="I256" s="4"/>
      <c r="J256" s="18">
        <v>0.0</v>
      </c>
      <c r="K256" s="4" t="s">
        <v>8494</v>
      </c>
      <c r="L256" s="19" t="s">
        <v>8494</v>
      </c>
      <c r="M256" s="20" t="s">
        <v>8494</v>
      </c>
    </row>
    <row r="257">
      <c r="A257" s="6"/>
      <c r="B257" s="6"/>
      <c r="C257" s="4"/>
      <c r="D257" s="36">
        <v>465.107548</v>
      </c>
      <c r="E257" s="4" t="s">
        <v>9033</v>
      </c>
      <c r="F257" s="4"/>
      <c r="G257" s="4"/>
      <c r="H257" s="4"/>
      <c r="I257" s="4"/>
      <c r="J257" s="18">
        <v>0.0</v>
      </c>
      <c r="K257" s="4" t="s">
        <v>8494</v>
      </c>
      <c r="L257" s="19" t="s">
        <v>8494</v>
      </c>
      <c r="M257" s="20" t="s">
        <v>8494</v>
      </c>
    </row>
    <row r="258">
      <c r="A258" s="6"/>
      <c r="B258" s="6"/>
      <c r="C258" s="4"/>
      <c r="D258" s="36">
        <v>465.107548</v>
      </c>
      <c r="E258" s="4" t="s">
        <v>8525</v>
      </c>
      <c r="F258" s="4"/>
      <c r="G258" s="4"/>
      <c r="H258" s="4"/>
      <c r="I258" s="4"/>
      <c r="J258" s="18">
        <v>0.0</v>
      </c>
      <c r="K258" s="4" t="s">
        <v>8494</v>
      </c>
      <c r="L258" s="19" t="s">
        <v>8494</v>
      </c>
      <c r="M258" s="20" t="s">
        <v>8494</v>
      </c>
    </row>
    <row r="259">
      <c r="A259" s="6"/>
      <c r="B259" s="6"/>
      <c r="C259" s="4"/>
      <c r="D259" s="36">
        <v>465.107548</v>
      </c>
      <c r="E259" s="4" t="s">
        <v>8976</v>
      </c>
      <c r="F259" s="4"/>
      <c r="G259" s="4"/>
      <c r="H259" s="4"/>
      <c r="I259" s="4"/>
      <c r="J259" s="18">
        <v>0.0</v>
      </c>
      <c r="K259" s="4" t="s">
        <v>8494</v>
      </c>
      <c r="L259" s="19" t="s">
        <v>8494</v>
      </c>
      <c r="M259" s="20" t="s">
        <v>8494</v>
      </c>
    </row>
    <row r="260">
      <c r="A260" s="6"/>
      <c r="B260" s="6"/>
      <c r="C260" s="4"/>
      <c r="D260" s="36">
        <v>419.650808</v>
      </c>
      <c r="E260" s="4" t="s">
        <v>8966</v>
      </c>
      <c r="F260" s="4"/>
      <c r="G260" s="4"/>
      <c r="H260" s="4"/>
      <c r="I260" s="4"/>
      <c r="J260" s="18">
        <v>0.0</v>
      </c>
      <c r="K260" s="4" t="s">
        <v>8494</v>
      </c>
      <c r="L260" s="19" t="s">
        <v>8494</v>
      </c>
      <c r="M260" s="20" t="s">
        <v>8494</v>
      </c>
    </row>
    <row r="261">
      <c r="A261" s="6"/>
      <c r="B261" s="6"/>
      <c r="C261" s="4"/>
      <c r="D261" s="36">
        <v>332.198729</v>
      </c>
      <c r="E261" s="4" t="s">
        <v>9034</v>
      </c>
      <c r="F261" s="4"/>
      <c r="G261" s="4"/>
      <c r="H261" s="4"/>
      <c r="I261" s="4"/>
      <c r="J261" s="18">
        <v>0.0</v>
      </c>
      <c r="K261" s="4" t="s">
        <v>8494</v>
      </c>
      <c r="L261" s="19" t="s">
        <v>8494</v>
      </c>
      <c r="M261" s="20" t="s">
        <v>8494</v>
      </c>
    </row>
    <row r="262">
      <c r="A262" s="6"/>
      <c r="B262" s="6"/>
      <c r="C262" s="4"/>
      <c r="D262" s="36">
        <v>465.107548</v>
      </c>
      <c r="E262" s="4" t="s">
        <v>1656</v>
      </c>
      <c r="F262" s="4"/>
      <c r="G262" s="4"/>
      <c r="H262" s="4"/>
      <c r="I262" s="4"/>
      <c r="J262" s="18">
        <v>0.0</v>
      </c>
      <c r="K262" s="4" t="s">
        <v>8494</v>
      </c>
      <c r="L262" s="19" t="s">
        <v>8494</v>
      </c>
      <c r="M262" s="20" t="s">
        <v>8494</v>
      </c>
    </row>
    <row r="263">
      <c r="A263" s="6"/>
      <c r="B263" s="6"/>
      <c r="C263" s="4"/>
      <c r="D263" s="36">
        <v>199.045014</v>
      </c>
      <c r="E263" s="4" t="s">
        <v>8534</v>
      </c>
      <c r="F263" s="4"/>
      <c r="G263" s="4"/>
      <c r="H263" s="4"/>
      <c r="I263" s="4"/>
      <c r="J263" s="18">
        <v>0.0</v>
      </c>
      <c r="K263" s="4" t="s">
        <v>8494</v>
      </c>
      <c r="L263" s="19" t="s">
        <v>8494</v>
      </c>
      <c r="M263" s="20" t="s">
        <v>8494</v>
      </c>
    </row>
    <row r="264">
      <c r="A264" s="6"/>
      <c r="B264" s="6"/>
      <c r="C264" s="4"/>
      <c r="D264" s="36">
        <v>381.799772</v>
      </c>
      <c r="E264" s="4" t="s">
        <v>8512</v>
      </c>
      <c r="F264" s="4"/>
      <c r="G264" s="4"/>
      <c r="H264" s="4"/>
      <c r="I264" s="4"/>
      <c r="J264" s="18">
        <v>0.0</v>
      </c>
      <c r="K264" s="4" t="s">
        <v>8494</v>
      </c>
      <c r="L264" s="19" t="s">
        <v>8494</v>
      </c>
      <c r="M264" s="20" t="s">
        <v>8494</v>
      </c>
    </row>
    <row r="265">
      <c r="A265" s="6"/>
      <c r="B265" s="6"/>
      <c r="C265" s="4"/>
      <c r="D265" s="36">
        <v>465.107548</v>
      </c>
      <c r="E265" s="4" t="s">
        <v>8907</v>
      </c>
      <c r="F265" s="4"/>
      <c r="G265" s="4"/>
      <c r="H265" s="4"/>
      <c r="I265" s="4"/>
      <c r="J265" s="18">
        <v>0.0</v>
      </c>
      <c r="K265" s="4" t="s">
        <v>8494</v>
      </c>
      <c r="L265" s="19" t="s">
        <v>8494</v>
      </c>
      <c r="M265" s="20" t="s">
        <v>8494</v>
      </c>
    </row>
    <row r="266">
      <c r="A266" s="6"/>
      <c r="B266" s="6"/>
      <c r="C266" s="4"/>
      <c r="D266" s="36">
        <v>233.390967</v>
      </c>
      <c r="E266" s="4" t="s">
        <v>1493</v>
      </c>
      <c r="F266" s="4"/>
      <c r="G266" s="4"/>
      <c r="H266" s="4"/>
      <c r="I266" s="4"/>
      <c r="J266" s="18">
        <v>0.0</v>
      </c>
      <c r="K266" s="4" t="s">
        <v>8494</v>
      </c>
      <c r="L266" s="19" t="s">
        <v>8494</v>
      </c>
      <c r="M266" s="20" t="s">
        <v>8494</v>
      </c>
    </row>
    <row r="267">
      <c r="A267" s="6"/>
      <c r="B267" s="6"/>
      <c r="C267" s="4"/>
      <c r="D267" s="36">
        <v>265.566147</v>
      </c>
      <c r="E267" s="4" t="s">
        <v>9035</v>
      </c>
      <c r="F267" s="4"/>
      <c r="G267" s="4"/>
      <c r="H267" s="4"/>
      <c r="I267" s="4"/>
      <c r="J267" s="18">
        <v>0.0</v>
      </c>
      <c r="K267" s="4" t="s">
        <v>8494</v>
      </c>
      <c r="L267" s="19" t="s">
        <v>8494</v>
      </c>
      <c r="M267" s="20" t="s">
        <v>8494</v>
      </c>
    </row>
    <row r="268">
      <c r="A268" s="6"/>
      <c r="B268" s="6"/>
      <c r="C268" s="4"/>
      <c r="D268" s="36">
        <v>465.107548</v>
      </c>
      <c r="E268" s="4" t="s">
        <v>8996</v>
      </c>
      <c r="F268" s="4"/>
      <c r="G268" s="4"/>
      <c r="H268" s="4"/>
      <c r="I268" s="4"/>
      <c r="J268" s="18">
        <v>0.0</v>
      </c>
      <c r="K268" s="4" t="s">
        <v>8494</v>
      </c>
      <c r="L268" s="19" t="s">
        <v>8494</v>
      </c>
      <c r="M268" s="20" t="s">
        <v>8494</v>
      </c>
    </row>
    <row r="269">
      <c r="A269" s="6"/>
      <c r="B269" s="6"/>
      <c r="C269" s="4"/>
      <c r="D269" s="36">
        <v>465.107548</v>
      </c>
      <c r="E269" s="4" t="s">
        <v>613</v>
      </c>
      <c r="F269" s="4"/>
      <c r="G269" s="4"/>
      <c r="H269" s="4"/>
      <c r="I269" s="4"/>
      <c r="J269" s="18">
        <v>0.0</v>
      </c>
      <c r="K269" s="4" t="s">
        <v>8494</v>
      </c>
      <c r="L269" s="19" t="s">
        <v>8494</v>
      </c>
      <c r="M269" s="20" t="s">
        <v>8494</v>
      </c>
    </row>
    <row r="270">
      <c r="A270" s="6"/>
      <c r="B270" s="6"/>
      <c r="C270" s="4"/>
      <c r="D270" s="36">
        <v>412.722041</v>
      </c>
      <c r="E270" s="4" t="s">
        <v>8962</v>
      </c>
      <c r="F270" s="4"/>
      <c r="G270" s="4"/>
      <c r="H270" s="4"/>
      <c r="I270" s="4"/>
      <c r="J270" s="18">
        <v>0.0</v>
      </c>
      <c r="K270" s="4" t="s">
        <v>8494</v>
      </c>
      <c r="L270" s="19" t="s">
        <v>8494</v>
      </c>
      <c r="M270" s="20" t="s">
        <v>8494</v>
      </c>
    </row>
    <row r="271">
      <c r="A271" s="6"/>
      <c r="B271" s="6"/>
      <c r="C271" s="4"/>
      <c r="D271" s="36">
        <v>362.199322</v>
      </c>
      <c r="E271" s="4" t="s">
        <v>1121</v>
      </c>
      <c r="F271" s="4"/>
      <c r="G271" s="4"/>
      <c r="H271" s="4"/>
      <c r="I271" s="4"/>
      <c r="J271" s="18">
        <v>0.0</v>
      </c>
      <c r="K271" s="4" t="s">
        <v>8494</v>
      </c>
      <c r="L271" s="19" t="s">
        <v>8494</v>
      </c>
      <c r="M271" s="20" t="s">
        <v>8494</v>
      </c>
    </row>
    <row r="272">
      <c r="A272" s="6"/>
      <c r="B272" s="6"/>
      <c r="C272" s="4"/>
      <c r="D272" s="36">
        <v>465.107548</v>
      </c>
      <c r="E272" s="4" t="s">
        <v>4068</v>
      </c>
      <c r="F272" s="4"/>
      <c r="G272" s="4"/>
      <c r="H272" s="4"/>
      <c r="I272" s="4"/>
      <c r="J272" s="18">
        <v>0.0</v>
      </c>
      <c r="K272" s="4" t="s">
        <v>8494</v>
      </c>
      <c r="L272" s="19" t="s">
        <v>8494</v>
      </c>
      <c r="M272" s="20" t="s">
        <v>8494</v>
      </c>
    </row>
    <row r="273">
      <c r="A273" s="6"/>
      <c r="B273" s="6"/>
      <c r="C273" s="4"/>
      <c r="D273" s="36">
        <v>446.080851</v>
      </c>
      <c r="E273" s="4" t="s">
        <v>9036</v>
      </c>
      <c r="F273" s="4"/>
      <c r="G273" s="4"/>
      <c r="H273" s="4"/>
      <c r="I273" s="4"/>
      <c r="J273" s="18">
        <v>0.0</v>
      </c>
      <c r="K273" s="4" t="s">
        <v>8494</v>
      </c>
      <c r="L273" s="19" t="s">
        <v>8494</v>
      </c>
      <c r="M273" s="20" t="s">
        <v>8494</v>
      </c>
    </row>
    <row r="274">
      <c r="A274" s="6"/>
      <c r="B274" s="6"/>
      <c r="C274" s="4"/>
      <c r="D274" s="36">
        <v>465.107548</v>
      </c>
      <c r="E274" s="4" t="s">
        <v>9037</v>
      </c>
      <c r="F274" s="4"/>
      <c r="G274" s="4"/>
      <c r="H274" s="4"/>
      <c r="I274" s="4"/>
      <c r="J274" s="18">
        <v>0.0</v>
      </c>
      <c r="K274" s="4" t="s">
        <v>8494</v>
      </c>
      <c r="L274" s="19" t="s">
        <v>8494</v>
      </c>
      <c r="M274" s="20" t="s">
        <v>8494</v>
      </c>
    </row>
    <row r="275">
      <c r="A275" s="6"/>
      <c r="B275" s="6"/>
      <c r="C275" s="4"/>
      <c r="D275" s="36">
        <v>168.640638</v>
      </c>
      <c r="E275" s="4" t="s">
        <v>8981</v>
      </c>
      <c r="F275" s="4"/>
      <c r="G275" s="4"/>
      <c r="H275" s="4"/>
      <c r="I275" s="4"/>
      <c r="J275" s="18">
        <v>0.0</v>
      </c>
      <c r="K275" s="4" t="s">
        <v>8494</v>
      </c>
      <c r="L275" s="19" t="s">
        <v>8494</v>
      </c>
      <c r="M275" s="20" t="s">
        <v>8494</v>
      </c>
    </row>
    <row r="276">
      <c r="A276" s="6"/>
      <c r="B276" s="6"/>
      <c r="C276" s="4"/>
      <c r="D276" s="36">
        <v>465.107548</v>
      </c>
      <c r="E276" s="4" t="s">
        <v>8998</v>
      </c>
      <c r="F276" s="4"/>
      <c r="G276" s="4"/>
      <c r="H276" s="4"/>
      <c r="I276" s="4"/>
      <c r="J276" s="18">
        <v>0.0</v>
      </c>
      <c r="K276" s="4" t="s">
        <v>8494</v>
      </c>
      <c r="L276" s="19" t="s">
        <v>8494</v>
      </c>
      <c r="M276" s="20" t="s">
        <v>8494</v>
      </c>
    </row>
    <row r="277">
      <c r="A277" s="6"/>
      <c r="B277" s="6"/>
      <c r="C277" s="4"/>
      <c r="D277" s="36">
        <v>397.215336</v>
      </c>
      <c r="E277" s="4" t="s">
        <v>9038</v>
      </c>
      <c r="F277" s="4"/>
      <c r="G277" s="4"/>
      <c r="H277" s="4"/>
      <c r="I277" s="4"/>
      <c r="J277" s="18">
        <v>0.0</v>
      </c>
      <c r="K277" s="4" t="s">
        <v>8494</v>
      </c>
      <c r="L277" s="19" t="s">
        <v>8494</v>
      </c>
      <c r="M277" s="20" t="s">
        <v>8494</v>
      </c>
    </row>
    <row r="278">
      <c r="A278" s="6"/>
      <c r="B278" s="6"/>
      <c r="C278" s="4"/>
      <c r="D278" s="36">
        <v>465.107548</v>
      </c>
      <c r="E278" s="4" t="s">
        <v>8974</v>
      </c>
      <c r="F278" s="4"/>
      <c r="G278" s="4"/>
      <c r="H278" s="4"/>
      <c r="I278" s="4"/>
      <c r="J278" s="18">
        <v>0.0</v>
      </c>
      <c r="K278" s="4" t="s">
        <v>8494</v>
      </c>
      <c r="L278" s="19" t="s">
        <v>8494</v>
      </c>
      <c r="M278" s="20" t="s">
        <v>8494</v>
      </c>
    </row>
    <row r="279">
      <c r="A279" s="6"/>
      <c r="B279" s="6"/>
      <c r="C279" s="4"/>
      <c r="D279" s="36">
        <v>465.107548</v>
      </c>
      <c r="E279" s="4" t="s">
        <v>135</v>
      </c>
      <c r="F279" s="4"/>
      <c r="G279" s="4"/>
      <c r="H279" s="4"/>
      <c r="I279" s="4"/>
      <c r="J279" s="18">
        <v>0.0</v>
      </c>
      <c r="K279" s="4" t="s">
        <v>8494</v>
      </c>
      <c r="L279" s="19" t="s">
        <v>8494</v>
      </c>
      <c r="M279" s="20" t="s">
        <v>8494</v>
      </c>
    </row>
    <row r="280">
      <c r="A280" s="6"/>
      <c r="B280" s="6"/>
      <c r="C280" s="4"/>
      <c r="D280" s="36">
        <v>177.18498</v>
      </c>
      <c r="E280" s="4" t="s">
        <v>8976</v>
      </c>
      <c r="F280" s="4"/>
      <c r="G280" s="4"/>
      <c r="H280" s="4"/>
      <c r="I280" s="4"/>
      <c r="J280" s="18">
        <v>0.0</v>
      </c>
      <c r="K280" s="4" t="s">
        <v>8494</v>
      </c>
      <c r="L280" s="19" t="s">
        <v>8494</v>
      </c>
      <c r="M280" s="20" t="s">
        <v>8494</v>
      </c>
    </row>
    <row r="281">
      <c r="A281" s="6"/>
      <c r="B281" s="6"/>
      <c r="C281" s="4"/>
      <c r="D281" s="36">
        <v>509.136905</v>
      </c>
      <c r="E281" s="4" t="s">
        <v>8907</v>
      </c>
      <c r="F281" s="4"/>
      <c r="G281" s="4"/>
      <c r="H281" s="4"/>
      <c r="I281" s="4"/>
      <c r="J281" s="18">
        <v>0.0</v>
      </c>
      <c r="K281" s="4" t="s">
        <v>8494</v>
      </c>
      <c r="L281" s="19" t="s">
        <v>8494</v>
      </c>
      <c r="M281" s="20" t="s">
        <v>8494</v>
      </c>
    </row>
    <row r="282">
      <c r="A282" s="6"/>
      <c r="B282" s="6"/>
      <c r="C282" s="4"/>
      <c r="D282" s="36">
        <v>242.749342</v>
      </c>
      <c r="E282" s="4" t="s">
        <v>1656</v>
      </c>
      <c r="F282" s="4"/>
      <c r="G282" s="4"/>
      <c r="H282" s="4"/>
      <c r="I282" s="4"/>
      <c r="J282" s="18">
        <v>0.0</v>
      </c>
      <c r="K282" s="4" t="s">
        <v>8494</v>
      </c>
      <c r="L282" s="19" t="s">
        <v>8494</v>
      </c>
      <c r="M282" s="20" t="s">
        <v>8494</v>
      </c>
    </row>
    <row r="283">
      <c r="A283" s="6"/>
      <c r="B283" s="6"/>
      <c r="C283" s="4"/>
      <c r="D283" s="36">
        <v>1668.567045</v>
      </c>
      <c r="E283" s="4" t="s">
        <v>8547</v>
      </c>
      <c r="F283" s="4"/>
      <c r="G283" s="4"/>
      <c r="H283" s="4"/>
      <c r="I283" s="4"/>
      <c r="J283" s="18">
        <v>0.0</v>
      </c>
      <c r="K283" s="4" t="s">
        <v>8494</v>
      </c>
      <c r="L283" s="19" t="s">
        <v>8494</v>
      </c>
      <c r="M283" s="20" t="s">
        <v>8494</v>
      </c>
    </row>
    <row r="284">
      <c r="A284" s="6"/>
      <c r="B284" s="6"/>
      <c r="C284" s="4"/>
      <c r="D284" s="36">
        <v>679.0009</v>
      </c>
      <c r="E284" s="4" t="s">
        <v>4068</v>
      </c>
      <c r="F284" s="4"/>
      <c r="G284" s="4"/>
      <c r="H284" s="4"/>
      <c r="I284" s="4"/>
      <c r="J284" s="18">
        <v>0.0</v>
      </c>
      <c r="K284" s="4" t="s">
        <v>8494</v>
      </c>
      <c r="L284" s="19" t="s">
        <v>8494</v>
      </c>
      <c r="M284" s="20" t="s">
        <v>8494</v>
      </c>
    </row>
    <row r="285">
      <c r="A285" s="6"/>
      <c r="B285" s="6"/>
      <c r="C285" s="4"/>
      <c r="D285" s="36">
        <v>1929.956464</v>
      </c>
      <c r="E285" s="4" t="s">
        <v>8992</v>
      </c>
      <c r="F285" s="4"/>
      <c r="G285" s="4"/>
      <c r="H285" s="4"/>
      <c r="I285" s="4"/>
      <c r="J285" s="18">
        <v>0.0</v>
      </c>
      <c r="K285" s="4" t="s">
        <v>8494</v>
      </c>
      <c r="L285" s="19" t="s">
        <v>8494</v>
      </c>
      <c r="M285" s="20" t="s">
        <v>8494</v>
      </c>
    </row>
    <row r="286">
      <c r="A286" s="6"/>
      <c r="B286" s="6"/>
      <c r="C286" s="4"/>
      <c r="D286" s="36">
        <v>6.733403</v>
      </c>
      <c r="E286" s="4" t="s">
        <v>489</v>
      </c>
      <c r="F286" s="4"/>
      <c r="G286" s="4"/>
      <c r="H286" s="4"/>
      <c r="I286" s="4"/>
      <c r="J286" s="18">
        <v>0.0</v>
      </c>
      <c r="K286" s="4" t="s">
        <v>8494</v>
      </c>
      <c r="L286" s="19" t="s">
        <v>8494</v>
      </c>
      <c r="M286" s="20" t="s">
        <v>8494</v>
      </c>
    </row>
    <row r="287">
      <c r="A287" s="6"/>
      <c r="B287" s="6"/>
      <c r="C287" s="4"/>
      <c r="D287" s="36">
        <v>293.502544</v>
      </c>
      <c r="E287" s="4" t="s">
        <v>135</v>
      </c>
      <c r="F287" s="4"/>
      <c r="G287" s="4"/>
      <c r="H287" s="4"/>
      <c r="I287" s="4"/>
      <c r="J287" s="18">
        <v>0.0</v>
      </c>
      <c r="K287" s="4" t="s">
        <v>8494</v>
      </c>
      <c r="L287" s="19" t="s">
        <v>8494</v>
      </c>
      <c r="M287" s="20" t="s">
        <v>8494</v>
      </c>
    </row>
    <row r="288">
      <c r="A288" s="6"/>
      <c r="B288" s="6"/>
      <c r="C288" s="4"/>
      <c r="D288" s="36">
        <v>5341.282276</v>
      </c>
      <c r="E288" s="4" t="s">
        <v>1576</v>
      </c>
      <c r="F288" s="4"/>
      <c r="G288" s="4"/>
      <c r="H288" s="4"/>
      <c r="I288" s="4"/>
      <c r="J288" s="18">
        <v>0.0</v>
      </c>
      <c r="K288" s="4" t="s">
        <v>8494</v>
      </c>
      <c r="L288" s="19" t="s">
        <v>8494</v>
      </c>
      <c r="M288" s="20" t="s">
        <v>8494</v>
      </c>
    </row>
    <row r="289">
      <c r="A289" s="6"/>
      <c r="B289" s="6"/>
      <c r="C289" s="4"/>
      <c r="D289" s="36">
        <v>43.792855</v>
      </c>
      <c r="E289" s="4" t="s">
        <v>8962</v>
      </c>
      <c r="F289" s="4"/>
      <c r="G289" s="4"/>
      <c r="H289" s="4"/>
      <c r="I289" s="4"/>
      <c r="J289" s="18">
        <v>0.0</v>
      </c>
      <c r="K289" s="4" t="s">
        <v>8494</v>
      </c>
      <c r="L289" s="19" t="s">
        <v>8494</v>
      </c>
      <c r="M289" s="20" t="s">
        <v>8494</v>
      </c>
    </row>
    <row r="290">
      <c r="A290" s="6"/>
      <c r="B290" s="6"/>
      <c r="C290" s="4"/>
      <c r="D290" s="36">
        <v>629.29006</v>
      </c>
      <c r="E290" s="4" t="s">
        <v>8996</v>
      </c>
      <c r="F290" s="4"/>
      <c r="G290" s="4"/>
      <c r="H290" s="4"/>
      <c r="I290" s="4"/>
      <c r="J290" s="18">
        <v>0.0</v>
      </c>
      <c r="K290" s="4" t="s">
        <v>8494</v>
      </c>
      <c r="L290" s="19" t="s">
        <v>8494</v>
      </c>
      <c r="M290" s="20" t="s">
        <v>8494</v>
      </c>
    </row>
    <row r="291">
      <c r="A291" s="6"/>
      <c r="B291" s="6"/>
      <c r="C291" s="4"/>
      <c r="D291" s="36">
        <v>33.522185</v>
      </c>
      <c r="E291" s="4" t="s">
        <v>8624</v>
      </c>
      <c r="F291" s="4"/>
      <c r="G291" s="4"/>
      <c r="H291" s="4"/>
      <c r="I291" s="4"/>
      <c r="J291" s="18">
        <v>0.0</v>
      </c>
      <c r="K291" s="4" t="s">
        <v>8494</v>
      </c>
      <c r="L291" s="19" t="s">
        <v>8494</v>
      </c>
      <c r="M291" s="20" t="s">
        <v>8494</v>
      </c>
    </row>
    <row r="292">
      <c r="A292" s="6"/>
      <c r="B292" s="6"/>
      <c r="C292" s="4"/>
      <c r="D292" s="36">
        <v>14.883134</v>
      </c>
      <c r="E292" s="4" t="s">
        <v>9039</v>
      </c>
      <c r="F292" s="4"/>
      <c r="G292" s="4"/>
      <c r="H292" s="4"/>
      <c r="I292" s="4"/>
      <c r="J292" s="18">
        <v>0.0</v>
      </c>
      <c r="K292" s="4" t="s">
        <v>8494</v>
      </c>
      <c r="L292" s="19" t="s">
        <v>8494</v>
      </c>
      <c r="M292" s="20" t="s">
        <v>8494</v>
      </c>
    </row>
    <row r="293">
      <c r="A293" s="6"/>
      <c r="B293" s="6"/>
      <c r="C293" s="4"/>
      <c r="D293" s="36">
        <v>661.95975</v>
      </c>
      <c r="E293" s="4" t="s">
        <v>8716</v>
      </c>
      <c r="F293" s="4"/>
      <c r="G293" s="4"/>
      <c r="H293" s="4"/>
      <c r="I293" s="4"/>
      <c r="J293" s="18">
        <v>0.0</v>
      </c>
      <c r="K293" s="4" t="s">
        <v>8494</v>
      </c>
      <c r="L293" s="19" t="s">
        <v>8494</v>
      </c>
      <c r="M293" s="20" t="s">
        <v>8494</v>
      </c>
    </row>
    <row r="294">
      <c r="A294" s="6"/>
      <c r="B294" s="6"/>
      <c r="C294" s="4"/>
      <c r="D294" s="36">
        <v>766.888581</v>
      </c>
      <c r="E294" s="4" t="s">
        <v>1667</v>
      </c>
      <c r="F294" s="4"/>
      <c r="G294" s="4"/>
      <c r="H294" s="4"/>
      <c r="I294" s="4"/>
      <c r="J294" s="18">
        <v>0.0</v>
      </c>
      <c r="K294" s="4" t="s">
        <v>8494</v>
      </c>
      <c r="L294" s="19" t="s">
        <v>8494</v>
      </c>
      <c r="M294" s="20" t="s">
        <v>8494</v>
      </c>
    </row>
    <row r="295">
      <c r="A295" s="6"/>
      <c r="B295" s="6"/>
      <c r="C295" s="4"/>
      <c r="D295" s="36">
        <v>14.535571</v>
      </c>
      <c r="E295" s="4" t="s">
        <v>738</v>
      </c>
      <c r="F295" s="4"/>
      <c r="G295" s="4"/>
      <c r="H295" s="4"/>
      <c r="I295" s="4"/>
      <c r="J295" s="18">
        <v>0.0</v>
      </c>
      <c r="K295" s="4" t="s">
        <v>8494</v>
      </c>
      <c r="L295" s="19" t="s">
        <v>8494</v>
      </c>
      <c r="M295" s="20" t="s">
        <v>8494</v>
      </c>
    </row>
    <row r="296">
      <c r="A296" s="6"/>
      <c r="B296" s="6"/>
      <c r="C296" s="4"/>
      <c r="D296" s="36">
        <v>1772.0169</v>
      </c>
      <c r="E296" s="4" t="s">
        <v>1774</v>
      </c>
      <c r="F296" s="4"/>
      <c r="G296" s="4"/>
      <c r="H296" s="4"/>
      <c r="I296" s="4"/>
      <c r="J296" s="18">
        <v>0.0</v>
      </c>
      <c r="K296" s="4" t="s">
        <v>8494</v>
      </c>
      <c r="L296" s="19" t="s">
        <v>8494</v>
      </c>
      <c r="M296" s="20" t="s">
        <v>8494</v>
      </c>
    </row>
    <row r="297">
      <c r="A297" s="6"/>
      <c r="B297" s="6"/>
      <c r="C297" s="4"/>
      <c r="D297" s="36">
        <v>1066.750888</v>
      </c>
      <c r="E297" s="4" t="s">
        <v>8971</v>
      </c>
      <c r="F297" s="4"/>
      <c r="G297" s="4"/>
      <c r="H297" s="4"/>
      <c r="I297" s="4"/>
      <c r="J297" s="18">
        <v>0.0</v>
      </c>
      <c r="K297" s="4" t="s">
        <v>8494</v>
      </c>
      <c r="L297" s="19" t="s">
        <v>8494</v>
      </c>
      <c r="M297" s="20" t="s">
        <v>8494</v>
      </c>
    </row>
    <row r="298">
      <c r="A298" s="6"/>
      <c r="B298" s="6"/>
      <c r="C298" s="4"/>
      <c r="D298" s="36">
        <v>129.12199</v>
      </c>
      <c r="E298" s="4" t="s">
        <v>8970</v>
      </c>
      <c r="F298" s="4"/>
      <c r="G298" s="4"/>
      <c r="H298" s="4"/>
      <c r="I298" s="4"/>
      <c r="J298" s="18">
        <v>0.0</v>
      </c>
      <c r="K298" s="4" t="s">
        <v>8494</v>
      </c>
      <c r="L298" s="19" t="s">
        <v>8494</v>
      </c>
      <c r="M298" s="20" t="s">
        <v>8494</v>
      </c>
    </row>
    <row r="299">
      <c r="A299" s="6"/>
      <c r="B299" s="6"/>
      <c r="C299" s="4"/>
      <c r="D299" s="36">
        <v>901.186675</v>
      </c>
      <c r="E299" s="4" t="s">
        <v>9009</v>
      </c>
      <c r="F299" s="4"/>
      <c r="G299" s="4"/>
      <c r="H299" s="4"/>
      <c r="I299" s="4"/>
      <c r="J299" s="18">
        <v>0.0</v>
      </c>
      <c r="K299" s="4" t="s">
        <v>8494</v>
      </c>
      <c r="L299" s="19" t="s">
        <v>8494</v>
      </c>
      <c r="M299" s="20" t="s">
        <v>8494</v>
      </c>
    </row>
    <row r="300">
      <c r="A300" s="6"/>
      <c r="B300" s="6"/>
      <c r="C300" s="4"/>
      <c r="D300" s="36">
        <v>522.42748</v>
      </c>
      <c r="E300" s="4" t="s">
        <v>952</v>
      </c>
      <c r="F300" s="4"/>
      <c r="G300" s="4"/>
      <c r="H300" s="4"/>
      <c r="I300" s="4"/>
      <c r="J300" s="18">
        <v>0.0</v>
      </c>
      <c r="K300" s="4" t="s">
        <v>8494</v>
      </c>
      <c r="L300" s="19" t="s">
        <v>8494</v>
      </c>
      <c r="M300" s="20" t="s">
        <v>8494</v>
      </c>
    </row>
    <row r="301">
      <c r="A301" s="6"/>
      <c r="B301" s="6"/>
      <c r="C301" s="4"/>
      <c r="D301" s="36">
        <v>64.560995</v>
      </c>
      <c r="E301" s="4" t="s">
        <v>8999</v>
      </c>
      <c r="F301" s="4"/>
      <c r="G301" s="4"/>
      <c r="H301" s="4"/>
      <c r="I301" s="4"/>
      <c r="J301" s="18">
        <v>0.0</v>
      </c>
      <c r="K301" s="4" t="s">
        <v>8494</v>
      </c>
      <c r="L301" s="19" t="s">
        <v>8494</v>
      </c>
      <c r="M301" s="20" t="s">
        <v>8494</v>
      </c>
    </row>
    <row r="302">
      <c r="A302" s="6"/>
      <c r="B302" s="6"/>
      <c r="C302" s="4"/>
      <c r="D302" s="36">
        <v>410.37551</v>
      </c>
      <c r="E302" s="4" t="s">
        <v>8601</v>
      </c>
      <c r="F302" s="4"/>
      <c r="G302" s="4"/>
      <c r="H302" s="4"/>
      <c r="I302" s="4"/>
      <c r="J302" s="18">
        <v>0.0</v>
      </c>
      <c r="K302" s="4" t="s">
        <v>8494</v>
      </c>
      <c r="L302" s="19" t="s">
        <v>8494</v>
      </c>
      <c r="M302" s="20" t="s">
        <v>8494</v>
      </c>
    </row>
    <row r="303">
      <c r="A303" s="6"/>
      <c r="B303" s="6"/>
      <c r="C303" s="4"/>
      <c r="D303" s="36">
        <v>43.912313</v>
      </c>
      <c r="E303" s="4" t="s">
        <v>9001</v>
      </c>
      <c r="F303" s="4"/>
      <c r="G303" s="4"/>
      <c r="H303" s="4"/>
      <c r="I303" s="4"/>
      <c r="J303" s="18">
        <v>0.0</v>
      </c>
      <c r="K303" s="4" t="s">
        <v>8494</v>
      </c>
      <c r="L303" s="19" t="s">
        <v>8494</v>
      </c>
      <c r="M303" s="20" t="s">
        <v>8494</v>
      </c>
    </row>
    <row r="304">
      <c r="A304" s="6"/>
      <c r="B304" s="6"/>
      <c r="C304" s="4"/>
      <c r="D304" s="36">
        <v>182.703243</v>
      </c>
      <c r="E304" s="4" t="s">
        <v>417</v>
      </c>
      <c r="F304" s="4"/>
      <c r="G304" s="4"/>
      <c r="H304" s="4"/>
      <c r="I304" s="4"/>
      <c r="J304" s="18">
        <v>0.0</v>
      </c>
      <c r="K304" s="4" t="s">
        <v>8494</v>
      </c>
      <c r="L304" s="19" t="s">
        <v>8494</v>
      </c>
      <c r="M304" s="20" t="s">
        <v>8494</v>
      </c>
    </row>
    <row r="305">
      <c r="A305" s="6"/>
      <c r="B305" s="6"/>
      <c r="C305" s="4"/>
      <c r="D305" s="36">
        <v>84.723498</v>
      </c>
      <c r="E305" s="4" t="s">
        <v>1218</v>
      </c>
      <c r="F305" s="4"/>
      <c r="G305" s="4"/>
      <c r="H305" s="4"/>
      <c r="I305" s="4"/>
      <c r="J305" s="18">
        <v>0.0</v>
      </c>
      <c r="K305" s="4" t="s">
        <v>8494</v>
      </c>
      <c r="L305" s="19" t="s">
        <v>8494</v>
      </c>
      <c r="M305" s="20" t="s">
        <v>8494</v>
      </c>
    </row>
    <row r="306">
      <c r="A306" s="6"/>
      <c r="B306" s="6"/>
      <c r="C306" s="4"/>
      <c r="D306" s="36">
        <v>2587.100754</v>
      </c>
      <c r="E306" s="4" t="s">
        <v>8606</v>
      </c>
      <c r="F306" s="4"/>
      <c r="G306" s="4"/>
      <c r="H306" s="4"/>
      <c r="I306" s="4"/>
      <c r="J306" s="18">
        <v>0.0</v>
      </c>
      <c r="K306" s="4" t="s">
        <v>8494</v>
      </c>
      <c r="L306" s="19" t="s">
        <v>8494</v>
      </c>
      <c r="M306" s="20" t="s">
        <v>8494</v>
      </c>
    </row>
    <row r="307">
      <c r="A307" s="6"/>
      <c r="B307" s="6"/>
      <c r="C307" s="4"/>
      <c r="D307" s="36">
        <v>536.062856</v>
      </c>
      <c r="E307" s="4" t="s">
        <v>8974</v>
      </c>
      <c r="F307" s="4"/>
      <c r="G307" s="4"/>
      <c r="H307" s="4"/>
      <c r="I307" s="4"/>
      <c r="J307" s="18">
        <v>0.0</v>
      </c>
      <c r="K307" s="4" t="s">
        <v>8494</v>
      </c>
      <c r="L307" s="19" t="s">
        <v>8494</v>
      </c>
      <c r="M307" s="20" t="s">
        <v>8494</v>
      </c>
    </row>
    <row r="308">
      <c r="A308" s="6"/>
      <c r="B308" s="6"/>
      <c r="C308" s="4"/>
      <c r="D308" s="36">
        <v>852.205138</v>
      </c>
      <c r="E308" s="4" t="s">
        <v>8998</v>
      </c>
      <c r="F308" s="4"/>
      <c r="G308" s="4"/>
      <c r="H308" s="4"/>
      <c r="I308" s="4"/>
      <c r="J308" s="18">
        <v>0.0</v>
      </c>
      <c r="K308" s="4" t="s">
        <v>8494</v>
      </c>
      <c r="L308" s="19" t="s">
        <v>8494</v>
      </c>
      <c r="M308" s="20" t="s">
        <v>8494</v>
      </c>
    </row>
    <row r="309">
      <c r="A309" s="6"/>
      <c r="B309" s="6"/>
      <c r="C309" s="4"/>
      <c r="D309" s="36">
        <v>581.066818</v>
      </c>
      <c r="E309" s="4" t="s">
        <v>8952</v>
      </c>
      <c r="F309" s="4"/>
      <c r="G309" s="4"/>
      <c r="H309" s="4"/>
      <c r="I309" s="4"/>
      <c r="J309" s="18">
        <v>0.0</v>
      </c>
      <c r="K309" s="4" t="s">
        <v>8494</v>
      </c>
      <c r="L309" s="19" t="s">
        <v>8494</v>
      </c>
      <c r="M309" s="20" t="s">
        <v>8494</v>
      </c>
    </row>
    <row r="310">
      <c r="A310" s="6"/>
      <c r="B310" s="6"/>
      <c r="C310" s="4"/>
      <c r="D310" s="36">
        <v>38.736597</v>
      </c>
      <c r="E310" s="4" t="s">
        <v>9040</v>
      </c>
      <c r="F310" s="4"/>
      <c r="G310" s="4"/>
      <c r="H310" s="4"/>
      <c r="I310" s="4"/>
      <c r="J310" s="18">
        <v>0.0</v>
      </c>
      <c r="K310" s="4" t="s">
        <v>8494</v>
      </c>
      <c r="L310" s="19" t="s">
        <v>8494</v>
      </c>
      <c r="M310" s="20" t="s">
        <v>8494</v>
      </c>
    </row>
    <row r="311">
      <c r="A311" s="6"/>
      <c r="B311" s="6"/>
      <c r="C311" s="4"/>
      <c r="D311" s="36">
        <v>69.17952</v>
      </c>
      <c r="E311" s="4" t="s">
        <v>1091</v>
      </c>
      <c r="F311" s="4"/>
      <c r="G311" s="4"/>
      <c r="H311" s="4"/>
      <c r="I311" s="4"/>
      <c r="J311" s="18">
        <v>0.0</v>
      </c>
      <c r="K311" s="4" t="s">
        <v>8494</v>
      </c>
      <c r="L311" s="19" t="s">
        <v>8494</v>
      </c>
      <c r="M311" s="20" t="s">
        <v>8494</v>
      </c>
    </row>
    <row r="312">
      <c r="A312" s="6"/>
      <c r="B312" s="6"/>
      <c r="C312" s="4"/>
      <c r="D312" s="36">
        <v>300.432616</v>
      </c>
      <c r="E312" s="4" t="s">
        <v>1344</v>
      </c>
      <c r="F312" s="4"/>
      <c r="G312" s="4"/>
      <c r="H312" s="4"/>
      <c r="I312" s="4"/>
      <c r="J312" s="18">
        <v>0.0</v>
      </c>
      <c r="K312" s="4" t="s">
        <v>8494</v>
      </c>
      <c r="L312" s="19" t="s">
        <v>8494</v>
      </c>
      <c r="M312" s="20" t="s">
        <v>8494</v>
      </c>
    </row>
    <row r="313">
      <c r="A313" s="6"/>
      <c r="B313" s="6"/>
      <c r="C313" s="4"/>
      <c r="D313" s="36">
        <v>206.864764</v>
      </c>
      <c r="E313" s="4" t="s">
        <v>475</v>
      </c>
      <c r="F313" s="4"/>
      <c r="G313" s="4"/>
      <c r="H313" s="4"/>
      <c r="I313" s="4"/>
      <c r="J313" s="18">
        <v>0.0</v>
      </c>
      <c r="K313" s="4" t="s">
        <v>8494</v>
      </c>
      <c r="L313" s="19" t="s">
        <v>8494</v>
      </c>
      <c r="M313" s="20" t="s">
        <v>8494</v>
      </c>
    </row>
    <row r="314">
      <c r="A314" s="6"/>
      <c r="B314" s="6"/>
      <c r="C314" s="4"/>
      <c r="D314" s="36">
        <v>3073.769025</v>
      </c>
      <c r="E314" s="4" t="s">
        <v>8517</v>
      </c>
      <c r="F314" s="4"/>
      <c r="G314" s="4"/>
      <c r="H314" s="4"/>
      <c r="I314" s="4"/>
      <c r="J314" s="18">
        <v>0.0</v>
      </c>
      <c r="K314" s="4" t="s">
        <v>8494</v>
      </c>
      <c r="L314" s="19" t="s">
        <v>8494</v>
      </c>
      <c r="M314" s="20" t="s">
        <v>8494</v>
      </c>
    </row>
    <row r="315">
      <c r="A315" s="6"/>
      <c r="B315" s="6"/>
      <c r="C315" s="4"/>
      <c r="D315" s="36">
        <v>429.568148</v>
      </c>
      <c r="E315" s="4" t="s">
        <v>9041</v>
      </c>
      <c r="F315" s="4"/>
      <c r="G315" s="4"/>
      <c r="H315" s="4"/>
      <c r="I315" s="4"/>
      <c r="J315" s="18">
        <v>0.0</v>
      </c>
      <c r="K315" s="4" t="s">
        <v>8494</v>
      </c>
      <c r="L315" s="19" t="s">
        <v>8494</v>
      </c>
      <c r="M315" s="20" t="s">
        <v>8494</v>
      </c>
    </row>
    <row r="316">
      <c r="A316" s="6"/>
      <c r="B316" s="6"/>
      <c r="C316" s="4"/>
      <c r="D316" s="36">
        <v>189.236143</v>
      </c>
      <c r="E316" s="4" t="s">
        <v>9034</v>
      </c>
      <c r="F316" s="4"/>
      <c r="G316" s="4"/>
      <c r="H316" s="4"/>
      <c r="I316" s="4"/>
      <c r="J316" s="18">
        <v>0.0</v>
      </c>
      <c r="K316" s="4" t="s">
        <v>8494</v>
      </c>
      <c r="L316" s="19" t="s">
        <v>8494</v>
      </c>
      <c r="M316" s="20" t="s">
        <v>8494</v>
      </c>
    </row>
    <row r="317">
      <c r="A317" s="6"/>
      <c r="B317" s="6"/>
      <c r="C317" s="4"/>
      <c r="D317" s="36">
        <v>124.076704</v>
      </c>
      <c r="E317" s="4" t="s">
        <v>9018</v>
      </c>
      <c r="F317" s="4"/>
      <c r="G317" s="4"/>
      <c r="H317" s="4"/>
      <c r="I317" s="4"/>
      <c r="J317" s="18">
        <v>0.0</v>
      </c>
      <c r="K317" s="4" t="s">
        <v>8494</v>
      </c>
      <c r="L317" s="19" t="s">
        <v>8494</v>
      </c>
      <c r="M317" s="20" t="s">
        <v>8494</v>
      </c>
    </row>
    <row r="318">
      <c r="A318" s="6"/>
      <c r="B318" s="6"/>
      <c r="C318" s="4"/>
      <c r="D318" s="36">
        <v>670.648126</v>
      </c>
      <c r="E318" s="4" t="s">
        <v>534</v>
      </c>
      <c r="F318" s="4"/>
      <c r="G318" s="4"/>
      <c r="H318" s="4"/>
      <c r="I318" s="4"/>
      <c r="J318" s="18">
        <v>0.0</v>
      </c>
      <c r="K318" s="4" t="s">
        <v>8494</v>
      </c>
      <c r="L318" s="19" t="s">
        <v>8494</v>
      </c>
      <c r="M318" s="20" t="s">
        <v>8494</v>
      </c>
    </row>
    <row r="319">
      <c r="A319" s="6"/>
      <c r="B319" s="6"/>
      <c r="C319" s="4"/>
      <c r="D319" s="36">
        <v>165.276148</v>
      </c>
      <c r="E319" s="4" t="s">
        <v>8701</v>
      </c>
      <c r="F319" s="4"/>
      <c r="G319" s="4"/>
      <c r="H319" s="4"/>
      <c r="I319" s="4"/>
      <c r="J319" s="18">
        <v>0.0</v>
      </c>
      <c r="K319" s="4" t="s">
        <v>8494</v>
      </c>
      <c r="L319" s="19" t="s">
        <v>8494</v>
      </c>
      <c r="M319" s="20" t="s">
        <v>8494</v>
      </c>
    </row>
    <row r="320">
      <c r="A320" s="6"/>
      <c r="B320" s="6"/>
      <c r="C320" s="4"/>
      <c r="D320" s="36">
        <v>338.302229</v>
      </c>
      <c r="E320" s="4" t="s">
        <v>8968</v>
      </c>
      <c r="F320" s="4"/>
      <c r="G320" s="4"/>
      <c r="H320" s="4"/>
      <c r="I320" s="4"/>
      <c r="J320" s="18">
        <v>0.0</v>
      </c>
      <c r="K320" s="4" t="s">
        <v>8494</v>
      </c>
      <c r="L320" s="19" t="s">
        <v>8494</v>
      </c>
      <c r="M320" s="20" t="s">
        <v>8494</v>
      </c>
    </row>
    <row r="321">
      <c r="A321" s="6"/>
      <c r="B321" s="6"/>
      <c r="C321" s="4"/>
      <c r="D321" s="36">
        <v>81.89662</v>
      </c>
      <c r="E321" s="4" t="s">
        <v>683</v>
      </c>
      <c r="F321" s="4"/>
      <c r="G321" s="4"/>
      <c r="H321" s="4"/>
      <c r="I321" s="4"/>
      <c r="J321" s="18">
        <v>0.0</v>
      </c>
      <c r="K321" s="4" t="s">
        <v>8494</v>
      </c>
      <c r="L321" s="19" t="s">
        <v>8494</v>
      </c>
      <c r="M321" s="20" t="s">
        <v>8494</v>
      </c>
    </row>
    <row r="322">
      <c r="A322" s="6"/>
      <c r="B322" s="6"/>
      <c r="C322" s="4"/>
      <c r="D322" s="36">
        <v>1549.463888</v>
      </c>
      <c r="E322" s="4" t="s">
        <v>9042</v>
      </c>
      <c r="F322" s="4"/>
      <c r="G322" s="4"/>
      <c r="H322" s="4"/>
      <c r="I322" s="4"/>
      <c r="J322" s="18">
        <v>0.0</v>
      </c>
      <c r="K322" s="4" t="s">
        <v>8494</v>
      </c>
      <c r="L322" s="19" t="s">
        <v>8494</v>
      </c>
      <c r="M322" s="20" t="s">
        <v>8494</v>
      </c>
    </row>
    <row r="323">
      <c r="A323" s="6"/>
      <c r="B323" s="6"/>
      <c r="C323" s="4"/>
      <c r="D323" s="36">
        <v>0.0</v>
      </c>
      <c r="E323" s="4"/>
      <c r="F323" s="4"/>
      <c r="G323" s="4"/>
      <c r="H323" s="4"/>
      <c r="I323" s="4"/>
      <c r="J323" s="18"/>
      <c r="K323" s="4"/>
      <c r="L323" s="19"/>
      <c r="M323" s="20"/>
    </row>
    <row r="324">
      <c r="A324" s="6"/>
      <c r="B324" s="6"/>
      <c r="C324" s="4"/>
      <c r="D324" s="36">
        <v>0.0</v>
      </c>
      <c r="E324" s="4"/>
      <c r="F324" s="4"/>
      <c r="G324" s="4"/>
      <c r="H324" s="4"/>
      <c r="I324" s="4"/>
      <c r="J324" s="18"/>
      <c r="K324" s="4"/>
      <c r="L324" s="19"/>
      <c r="M324" s="20"/>
    </row>
    <row r="325">
      <c r="A325" s="6"/>
      <c r="B325" s="6"/>
      <c r="C325" s="4"/>
      <c r="D325" s="36">
        <v>0.0</v>
      </c>
      <c r="E325" s="4"/>
      <c r="F325" s="4"/>
      <c r="G325" s="4"/>
      <c r="H325" s="4"/>
      <c r="I325" s="4"/>
      <c r="J325" s="18"/>
      <c r="K325" s="4"/>
      <c r="L325" s="19"/>
      <c r="M325" s="20"/>
    </row>
    <row r="326">
      <c r="A326" s="6"/>
      <c r="B326" s="6"/>
      <c r="C326" s="4"/>
      <c r="D326" s="36">
        <v>0.0</v>
      </c>
      <c r="E326" s="4"/>
      <c r="F326" s="4"/>
      <c r="G326" s="4"/>
      <c r="H326" s="4"/>
      <c r="I326" s="4"/>
      <c r="J326" s="18"/>
      <c r="K326" s="4"/>
      <c r="L326" s="19"/>
      <c r="M326" s="20"/>
    </row>
    <row r="327">
      <c r="A327" s="6"/>
      <c r="B327" s="6"/>
      <c r="C327" s="4"/>
      <c r="D327" s="36">
        <v>0.0</v>
      </c>
      <c r="E327" s="4"/>
      <c r="F327" s="4"/>
      <c r="G327" s="4"/>
      <c r="H327" s="4"/>
      <c r="I327" s="4"/>
      <c r="J327" s="18"/>
      <c r="K327" s="4"/>
      <c r="L327" s="19"/>
      <c r="M327" s="20"/>
    </row>
    <row r="328">
      <c r="A328" s="6"/>
      <c r="B328" s="6"/>
      <c r="C328" s="4"/>
      <c r="D328" s="36">
        <v>0.0</v>
      </c>
      <c r="E328" s="4"/>
      <c r="F328" s="4"/>
      <c r="G328" s="4"/>
      <c r="H328" s="4"/>
      <c r="I328" s="4"/>
      <c r="J328" s="18"/>
      <c r="K328" s="4"/>
      <c r="L328" s="19"/>
      <c r="M328" s="20"/>
    </row>
    <row r="329">
      <c r="A329" s="6"/>
      <c r="B329" s="6"/>
      <c r="C329" s="4"/>
      <c r="D329" s="36">
        <v>0.0</v>
      </c>
      <c r="E329" s="4"/>
      <c r="F329" s="4"/>
      <c r="G329" s="4"/>
      <c r="H329" s="4"/>
      <c r="I329" s="4"/>
      <c r="J329" s="18"/>
      <c r="K329" s="4"/>
      <c r="L329" s="19"/>
      <c r="M329" s="20"/>
    </row>
    <row r="330">
      <c r="A330" s="6"/>
      <c r="B330" s="6"/>
      <c r="C330" s="4"/>
      <c r="D330" s="36">
        <v>0.0</v>
      </c>
      <c r="E330" s="4"/>
      <c r="F330" s="4"/>
      <c r="G330" s="4"/>
      <c r="H330" s="4"/>
      <c r="I330" s="4"/>
      <c r="J330" s="18"/>
      <c r="K330" s="4"/>
      <c r="L330" s="19"/>
      <c r="M330" s="20"/>
    </row>
    <row r="331">
      <c r="A331" s="6"/>
      <c r="B331" s="6"/>
      <c r="C331" s="4"/>
      <c r="D331" s="36">
        <v>0.0</v>
      </c>
      <c r="E331" s="4"/>
      <c r="F331" s="4"/>
      <c r="G331" s="4"/>
      <c r="H331" s="4"/>
      <c r="I331" s="4"/>
      <c r="J331" s="18"/>
      <c r="K331" s="4"/>
      <c r="L331" s="19"/>
      <c r="M331" s="20"/>
    </row>
    <row r="332">
      <c r="A332" s="6"/>
      <c r="B332" s="6"/>
      <c r="C332" s="4"/>
      <c r="D332" s="36">
        <v>0.0</v>
      </c>
      <c r="E332" s="4"/>
      <c r="F332" s="4"/>
      <c r="G332" s="4"/>
      <c r="H332" s="4"/>
      <c r="I332" s="4"/>
      <c r="J332" s="18"/>
      <c r="K332" s="4"/>
      <c r="L332" s="19"/>
      <c r="M332" s="20"/>
    </row>
    <row r="333">
      <c r="A333" s="6"/>
      <c r="B333" s="6"/>
      <c r="C333" s="4"/>
      <c r="D333" s="36">
        <v>0.0</v>
      </c>
      <c r="E333" s="4"/>
      <c r="F333" s="4"/>
      <c r="G333" s="4"/>
      <c r="H333" s="4"/>
      <c r="I333" s="4"/>
      <c r="J333" s="18"/>
      <c r="K333" s="4"/>
      <c r="L333" s="19"/>
      <c r="M333" s="20"/>
    </row>
    <row r="334">
      <c r="A334" s="6"/>
      <c r="B334" s="6"/>
      <c r="C334" s="4"/>
      <c r="D334" s="36">
        <v>0.0</v>
      </c>
      <c r="E334" s="4"/>
      <c r="F334" s="4"/>
      <c r="G334" s="4"/>
      <c r="H334" s="4"/>
      <c r="I334" s="4"/>
      <c r="J334" s="18"/>
      <c r="K334" s="4"/>
      <c r="L334" s="19"/>
      <c r="M334" s="20"/>
    </row>
    <row r="335">
      <c r="A335" s="6"/>
      <c r="B335" s="6"/>
      <c r="C335" s="4"/>
      <c r="D335" s="36">
        <v>0.0</v>
      </c>
      <c r="E335" s="4"/>
      <c r="F335" s="4"/>
      <c r="G335" s="4"/>
      <c r="H335" s="4"/>
      <c r="I335" s="4"/>
      <c r="J335" s="18"/>
      <c r="K335" s="4"/>
      <c r="L335" s="19"/>
      <c r="M335" s="20"/>
    </row>
    <row r="336">
      <c r="A336" s="6"/>
      <c r="B336" s="6"/>
      <c r="C336" s="4"/>
      <c r="D336" s="36">
        <v>0.0</v>
      </c>
      <c r="E336" s="4"/>
      <c r="F336" s="4"/>
      <c r="G336" s="4"/>
      <c r="H336" s="4"/>
      <c r="I336" s="4"/>
      <c r="J336" s="18"/>
      <c r="K336" s="4"/>
      <c r="L336" s="19"/>
      <c r="M336" s="20"/>
    </row>
    <row r="337">
      <c r="A337" s="6"/>
      <c r="B337" s="6"/>
      <c r="C337" s="4"/>
      <c r="D337" s="36">
        <v>0.0</v>
      </c>
      <c r="E337" s="4"/>
      <c r="F337" s="4"/>
      <c r="G337" s="4"/>
      <c r="H337" s="4"/>
      <c r="I337" s="4"/>
      <c r="J337" s="18"/>
      <c r="K337" s="4"/>
      <c r="L337" s="19"/>
      <c r="M337" s="20"/>
    </row>
    <row r="338">
      <c r="A338" s="6"/>
      <c r="B338" s="6"/>
      <c r="C338" s="4"/>
      <c r="D338" s="36">
        <v>0.0</v>
      </c>
      <c r="E338" s="4"/>
      <c r="F338" s="4"/>
      <c r="G338" s="4"/>
      <c r="H338" s="4"/>
      <c r="I338" s="4"/>
      <c r="J338" s="18"/>
      <c r="K338" s="4"/>
      <c r="L338" s="19"/>
      <c r="M338" s="20"/>
    </row>
    <row r="339">
      <c r="A339" s="6"/>
      <c r="B339" s="6"/>
      <c r="C339" s="4"/>
      <c r="D339" s="36">
        <v>0.0</v>
      </c>
      <c r="E339" s="4"/>
      <c r="F339" s="4"/>
      <c r="G339" s="4"/>
      <c r="H339" s="4"/>
      <c r="I339" s="4"/>
      <c r="J339" s="18"/>
      <c r="K339" s="4"/>
      <c r="L339" s="19"/>
      <c r="M339" s="20"/>
    </row>
    <row r="340">
      <c r="A340" s="6"/>
      <c r="B340" s="6"/>
      <c r="C340" s="4"/>
      <c r="D340" s="36">
        <v>0.0</v>
      </c>
      <c r="E340" s="4"/>
      <c r="F340" s="4"/>
      <c r="G340" s="4"/>
      <c r="H340" s="4"/>
      <c r="I340" s="4"/>
      <c r="J340" s="18"/>
      <c r="K340" s="4"/>
      <c r="L340" s="19"/>
      <c r="M340" s="20"/>
    </row>
    <row r="341">
      <c r="A341" s="6"/>
      <c r="B341" s="6"/>
      <c r="C341" s="4"/>
      <c r="D341" s="36">
        <v>0.0</v>
      </c>
      <c r="E341" s="4"/>
      <c r="F341" s="4"/>
      <c r="G341" s="4"/>
      <c r="H341" s="4"/>
      <c r="I341" s="4"/>
      <c r="J341" s="18"/>
      <c r="K341" s="4"/>
      <c r="L341" s="19"/>
      <c r="M341" s="20"/>
    </row>
    <row r="342">
      <c r="A342" s="6"/>
      <c r="B342" s="6"/>
      <c r="C342" s="4"/>
      <c r="D342" s="36">
        <v>0.0</v>
      </c>
      <c r="E342" s="4"/>
      <c r="F342" s="4"/>
      <c r="G342" s="4"/>
      <c r="H342" s="4"/>
      <c r="I342" s="4"/>
      <c r="J342" s="18"/>
      <c r="K342" s="4"/>
      <c r="L342" s="19"/>
      <c r="M342" s="20"/>
    </row>
    <row r="343">
      <c r="A343" s="6"/>
      <c r="B343" s="6"/>
      <c r="C343" s="4"/>
      <c r="D343" s="36">
        <v>0.0</v>
      </c>
      <c r="E343" s="4"/>
      <c r="F343" s="4"/>
      <c r="G343" s="4"/>
      <c r="H343" s="4"/>
      <c r="I343" s="4"/>
      <c r="J343" s="18"/>
      <c r="K343" s="4"/>
      <c r="L343" s="19"/>
      <c r="M343" s="20"/>
    </row>
    <row r="344">
      <c r="A344" s="6"/>
      <c r="B344" s="6"/>
      <c r="C344" s="4"/>
      <c r="D344" s="36">
        <v>0.0</v>
      </c>
      <c r="E344" s="4"/>
      <c r="F344" s="4"/>
      <c r="G344" s="4"/>
      <c r="H344" s="4"/>
      <c r="I344" s="4"/>
      <c r="J344" s="18"/>
      <c r="K344" s="4"/>
      <c r="L344" s="19"/>
      <c r="M344" s="20"/>
    </row>
    <row r="345">
      <c r="A345" s="6"/>
      <c r="B345" s="6"/>
      <c r="C345" s="4"/>
      <c r="D345" s="36">
        <v>0.0</v>
      </c>
      <c r="E345" s="4"/>
      <c r="F345" s="4"/>
      <c r="G345" s="4"/>
      <c r="H345" s="4"/>
      <c r="I345" s="4"/>
      <c r="J345" s="18"/>
      <c r="K345" s="4"/>
      <c r="L345" s="19"/>
      <c r="M345" s="20"/>
    </row>
    <row r="346">
      <c r="A346" s="6"/>
      <c r="B346" s="6"/>
      <c r="C346" s="4"/>
      <c r="D346" s="36">
        <v>0.0</v>
      </c>
      <c r="E346" s="4"/>
      <c r="F346" s="4"/>
      <c r="G346" s="4"/>
      <c r="H346" s="4"/>
      <c r="I346" s="4"/>
      <c r="J346" s="18"/>
      <c r="K346" s="4"/>
      <c r="L346" s="19"/>
      <c r="M346" s="20"/>
    </row>
    <row r="347">
      <c r="A347" s="6"/>
      <c r="B347" s="6"/>
      <c r="C347" s="4"/>
      <c r="D347" s="36">
        <v>0.0</v>
      </c>
      <c r="E347" s="4"/>
      <c r="F347" s="4"/>
      <c r="G347" s="4"/>
      <c r="H347" s="4"/>
      <c r="I347" s="4"/>
      <c r="J347" s="18"/>
      <c r="K347" s="4"/>
      <c r="L347" s="19"/>
      <c r="M347" s="20"/>
    </row>
    <row r="348">
      <c r="A348" s="6"/>
      <c r="B348" s="6"/>
      <c r="C348" s="4"/>
      <c r="D348" s="36">
        <v>0.0</v>
      </c>
      <c r="E348" s="4"/>
      <c r="F348" s="4"/>
      <c r="G348" s="4"/>
      <c r="H348" s="4"/>
      <c r="I348" s="4"/>
      <c r="J348" s="18"/>
      <c r="K348" s="4"/>
      <c r="L348" s="19"/>
      <c r="M348" s="20"/>
    </row>
    <row r="349">
      <c r="A349" s="6"/>
      <c r="B349" s="6"/>
      <c r="C349" s="4"/>
      <c r="D349" s="36">
        <v>0.0</v>
      </c>
      <c r="E349" s="4"/>
      <c r="F349" s="4"/>
      <c r="G349" s="4"/>
      <c r="H349" s="4"/>
      <c r="I349" s="4"/>
      <c r="J349" s="18"/>
      <c r="K349" s="4"/>
      <c r="L349" s="19"/>
      <c r="M349" s="20"/>
    </row>
    <row r="350">
      <c r="A350" s="6"/>
      <c r="B350" s="6"/>
      <c r="C350" s="4"/>
      <c r="D350" s="36">
        <v>0.0</v>
      </c>
      <c r="E350" s="4"/>
      <c r="F350" s="4"/>
      <c r="G350" s="4"/>
      <c r="H350" s="4"/>
      <c r="I350" s="4"/>
      <c r="J350" s="18"/>
      <c r="K350" s="4"/>
      <c r="L350" s="19"/>
      <c r="M350" s="20"/>
    </row>
    <row r="351">
      <c r="A351" s="6"/>
      <c r="B351" s="6"/>
      <c r="C351" s="4"/>
      <c r="D351" s="36">
        <v>0.0</v>
      </c>
      <c r="E351" s="4"/>
      <c r="F351" s="4"/>
      <c r="G351" s="4"/>
      <c r="H351" s="4"/>
      <c r="I351" s="4"/>
      <c r="J351" s="18"/>
      <c r="K351" s="4"/>
      <c r="L351" s="19"/>
      <c r="M351" s="20"/>
    </row>
    <row r="352">
      <c r="A352" s="6"/>
      <c r="B352" s="6"/>
      <c r="C352" s="4"/>
      <c r="D352" s="36">
        <v>0.0</v>
      </c>
      <c r="E352" s="4"/>
      <c r="F352" s="4"/>
      <c r="G352" s="4"/>
      <c r="H352" s="4"/>
      <c r="I352" s="4"/>
      <c r="J352" s="18"/>
      <c r="K352" s="4"/>
      <c r="L352" s="19"/>
      <c r="M352" s="20"/>
    </row>
    <row r="353">
      <c r="A353" s="6"/>
      <c r="B353" s="6"/>
      <c r="C353" s="4"/>
      <c r="D353" s="36">
        <v>0.0</v>
      </c>
      <c r="E353" s="4"/>
      <c r="F353" s="4"/>
      <c r="G353" s="4"/>
      <c r="H353" s="4"/>
      <c r="I353" s="4"/>
      <c r="J353" s="18"/>
      <c r="K353" s="4"/>
      <c r="L353" s="19"/>
      <c r="M353" s="20"/>
    </row>
    <row r="354">
      <c r="A354" s="6"/>
      <c r="B354" s="6"/>
      <c r="C354" s="4"/>
      <c r="D354" s="36">
        <v>0.0</v>
      </c>
      <c r="E354" s="4"/>
      <c r="F354" s="4"/>
      <c r="G354" s="4"/>
      <c r="H354" s="4"/>
      <c r="I354" s="4"/>
      <c r="J354" s="18"/>
      <c r="K354" s="4"/>
      <c r="L354" s="19"/>
      <c r="M354" s="20"/>
    </row>
    <row r="355">
      <c r="A355" s="6"/>
      <c r="B355" s="6"/>
      <c r="C355" s="4"/>
      <c r="D355" s="36">
        <v>0.0</v>
      </c>
      <c r="E355" s="4"/>
      <c r="F355" s="4"/>
      <c r="G355" s="4"/>
      <c r="H355" s="4"/>
      <c r="I355" s="4"/>
      <c r="J355" s="18"/>
      <c r="K355" s="4"/>
      <c r="L355" s="19"/>
      <c r="M355" s="20"/>
    </row>
    <row r="356">
      <c r="A356" s="6"/>
      <c r="B356" s="6"/>
      <c r="C356" s="4"/>
      <c r="D356" s="36">
        <v>0.0</v>
      </c>
      <c r="E356" s="4"/>
      <c r="F356" s="4"/>
      <c r="G356" s="4"/>
      <c r="H356" s="4"/>
      <c r="I356" s="4"/>
      <c r="J356" s="18"/>
      <c r="K356" s="4"/>
      <c r="L356" s="19"/>
      <c r="M356" s="20"/>
    </row>
    <row r="357">
      <c r="A357" s="6"/>
      <c r="B357" s="6"/>
      <c r="C357" s="4"/>
      <c r="D357" s="36">
        <v>0.0</v>
      </c>
      <c r="E357" s="4"/>
      <c r="F357" s="4"/>
      <c r="G357" s="4"/>
      <c r="H357" s="4"/>
      <c r="I357" s="4"/>
      <c r="J357" s="18"/>
      <c r="K357" s="4"/>
      <c r="L357" s="19"/>
      <c r="M357" s="20"/>
    </row>
    <row r="358">
      <c r="A358" s="6"/>
      <c r="B358" s="6"/>
      <c r="C358" s="4"/>
      <c r="D358" s="36">
        <v>0.0</v>
      </c>
      <c r="E358" s="4"/>
      <c r="F358" s="4"/>
      <c r="G358" s="4"/>
      <c r="H358" s="4"/>
      <c r="I358" s="4"/>
      <c r="J358" s="18"/>
      <c r="K358" s="4"/>
      <c r="L358" s="19"/>
      <c r="M358" s="20"/>
    </row>
    <row r="359">
      <c r="A359" s="6"/>
      <c r="B359" s="6"/>
      <c r="C359" s="4"/>
      <c r="D359" s="36">
        <v>0.0</v>
      </c>
      <c r="E359" s="4"/>
      <c r="F359" s="4"/>
      <c r="G359" s="4"/>
      <c r="H359" s="4"/>
      <c r="I359" s="4"/>
      <c r="J359" s="18"/>
      <c r="K359" s="4"/>
      <c r="L359" s="19"/>
      <c r="M359" s="20"/>
    </row>
    <row r="360">
      <c r="A360" s="6"/>
      <c r="B360" s="6"/>
      <c r="C360" s="4"/>
      <c r="D360" s="36">
        <v>0.0</v>
      </c>
      <c r="E360" s="4"/>
      <c r="F360" s="4"/>
      <c r="G360" s="4"/>
      <c r="H360" s="4"/>
      <c r="I360" s="4"/>
      <c r="J360" s="18"/>
      <c r="K360" s="4"/>
      <c r="L360" s="19"/>
      <c r="M360" s="20"/>
    </row>
    <row r="361">
      <c r="A361" s="6"/>
      <c r="B361" s="6"/>
      <c r="C361" s="4"/>
      <c r="D361" s="36">
        <v>0.0</v>
      </c>
      <c r="E361" s="4"/>
      <c r="F361" s="4"/>
      <c r="G361" s="4"/>
      <c r="H361" s="4"/>
      <c r="I361" s="4"/>
      <c r="J361" s="18"/>
      <c r="K361" s="4"/>
      <c r="L361" s="19"/>
      <c r="M361" s="20"/>
    </row>
    <row r="362">
      <c r="A362" s="6"/>
      <c r="B362" s="6"/>
      <c r="C362" s="4"/>
      <c r="D362" s="36">
        <v>0.0</v>
      </c>
      <c r="E362" s="4"/>
      <c r="F362" s="4"/>
      <c r="G362" s="4"/>
      <c r="H362" s="4"/>
      <c r="I362" s="4"/>
      <c r="J362" s="18"/>
      <c r="K362" s="4"/>
      <c r="L362" s="19"/>
      <c r="M362" s="20"/>
    </row>
    <row r="363">
      <c r="A363" s="6"/>
      <c r="B363" s="6"/>
      <c r="C363" s="4"/>
      <c r="D363" s="36">
        <v>0.0</v>
      </c>
      <c r="E363" s="4"/>
      <c r="F363" s="4"/>
      <c r="G363" s="4"/>
      <c r="H363" s="4"/>
      <c r="I363" s="4"/>
      <c r="J363" s="18"/>
      <c r="K363" s="4"/>
      <c r="L363" s="19"/>
      <c r="M363" s="20"/>
    </row>
    <row r="364">
      <c r="A364" s="6"/>
      <c r="B364" s="6"/>
      <c r="C364" s="4"/>
      <c r="D364" s="36">
        <v>0.0</v>
      </c>
      <c r="E364" s="4"/>
      <c r="F364" s="4"/>
      <c r="G364" s="4"/>
      <c r="H364" s="4"/>
      <c r="I364" s="4"/>
      <c r="J364" s="18"/>
      <c r="K364" s="4"/>
      <c r="L364" s="19"/>
      <c r="M364" s="20"/>
    </row>
    <row r="365">
      <c r="A365" s="6"/>
      <c r="B365" s="6"/>
      <c r="C365" s="4"/>
      <c r="D365" s="36">
        <v>0.0</v>
      </c>
      <c r="E365" s="4"/>
      <c r="F365" s="4"/>
      <c r="G365" s="4"/>
      <c r="H365" s="4"/>
      <c r="I365" s="4"/>
      <c r="J365" s="18"/>
      <c r="K365" s="4"/>
      <c r="L365" s="19"/>
      <c r="M365" s="20"/>
    </row>
    <row r="366">
      <c r="A366" s="6"/>
      <c r="B366" s="6"/>
      <c r="C366" s="4"/>
      <c r="D366" s="36">
        <v>0.0</v>
      </c>
      <c r="E366" s="4"/>
      <c r="F366" s="4"/>
      <c r="G366" s="4"/>
      <c r="H366" s="4"/>
      <c r="I366" s="4"/>
      <c r="J366" s="18"/>
      <c r="K366" s="4"/>
      <c r="L366" s="19"/>
      <c r="M366" s="20"/>
    </row>
    <row r="367">
      <c r="A367" s="6"/>
      <c r="B367" s="6"/>
      <c r="C367" s="4"/>
      <c r="D367" s="36">
        <v>0.0</v>
      </c>
      <c r="E367" s="4"/>
      <c r="F367" s="4"/>
      <c r="G367" s="4"/>
      <c r="H367" s="4"/>
      <c r="I367" s="4"/>
      <c r="J367" s="18"/>
      <c r="K367" s="4"/>
      <c r="L367" s="19"/>
      <c r="M367" s="20"/>
    </row>
    <row r="368">
      <c r="A368" s="6"/>
      <c r="B368" s="6"/>
      <c r="C368" s="4"/>
      <c r="D368" s="36">
        <v>0.0</v>
      </c>
      <c r="E368" s="4"/>
      <c r="F368" s="4"/>
      <c r="G368" s="4"/>
      <c r="H368" s="4"/>
      <c r="I368" s="4"/>
      <c r="J368" s="18"/>
      <c r="K368" s="4"/>
      <c r="L368" s="19"/>
      <c r="M368" s="20"/>
    </row>
    <row r="369">
      <c r="A369" s="6"/>
      <c r="B369" s="6"/>
      <c r="C369" s="4"/>
      <c r="D369" s="36">
        <v>0.0</v>
      </c>
      <c r="E369" s="4"/>
      <c r="F369" s="4"/>
      <c r="G369" s="4"/>
      <c r="H369" s="4"/>
      <c r="I369" s="4"/>
      <c r="J369" s="18"/>
      <c r="K369" s="4"/>
      <c r="L369" s="19"/>
      <c r="M369" s="20"/>
    </row>
    <row r="370">
      <c r="A370" s="6"/>
      <c r="B370" s="6"/>
      <c r="C370" s="4"/>
      <c r="D370" s="36">
        <v>0.0</v>
      </c>
      <c r="E370" s="4"/>
      <c r="F370" s="4"/>
      <c r="G370" s="4"/>
      <c r="H370" s="4"/>
      <c r="I370" s="4"/>
      <c r="J370" s="18"/>
      <c r="K370" s="4"/>
      <c r="L370" s="19"/>
      <c r="M370" s="20"/>
    </row>
    <row r="371">
      <c r="A371" s="6"/>
      <c r="B371" s="6"/>
      <c r="C371" s="4"/>
      <c r="D371" s="36">
        <v>0.0</v>
      </c>
      <c r="E371" s="4"/>
      <c r="F371" s="4"/>
      <c r="G371" s="4"/>
      <c r="H371" s="4"/>
      <c r="I371" s="4"/>
      <c r="J371" s="18"/>
      <c r="K371" s="4"/>
      <c r="L371" s="19"/>
      <c r="M371" s="20"/>
    </row>
    <row r="372">
      <c r="A372" s="6"/>
      <c r="B372" s="6"/>
      <c r="C372" s="4"/>
      <c r="D372" s="36">
        <v>0.0</v>
      </c>
      <c r="E372" s="4"/>
      <c r="F372" s="4"/>
      <c r="G372" s="4"/>
      <c r="H372" s="4"/>
      <c r="I372" s="4"/>
      <c r="J372" s="18"/>
      <c r="K372" s="4"/>
      <c r="L372" s="19"/>
      <c r="M372" s="20"/>
    </row>
    <row r="373">
      <c r="A373" s="6"/>
      <c r="B373" s="6"/>
      <c r="C373" s="4"/>
      <c r="D373" s="36">
        <v>0.0</v>
      </c>
      <c r="E373" s="4"/>
      <c r="F373" s="4"/>
      <c r="G373" s="4"/>
      <c r="H373" s="4"/>
      <c r="I373" s="4"/>
      <c r="J373" s="18"/>
      <c r="K373" s="4"/>
      <c r="L373" s="19"/>
      <c r="M373" s="20"/>
    </row>
    <row r="374">
      <c r="A374" s="6"/>
      <c r="B374" s="6"/>
      <c r="C374" s="4"/>
      <c r="D374" s="36">
        <v>0.0</v>
      </c>
      <c r="E374" s="4"/>
      <c r="F374" s="4"/>
      <c r="G374" s="4"/>
      <c r="H374" s="4"/>
      <c r="I374" s="4"/>
      <c r="J374" s="18"/>
      <c r="K374" s="4"/>
      <c r="L374" s="19"/>
      <c r="M374" s="20"/>
    </row>
    <row r="375">
      <c r="A375" s="6"/>
      <c r="B375" s="6"/>
      <c r="C375" s="4"/>
      <c r="D375" s="36">
        <v>0.0</v>
      </c>
      <c r="E375" s="4"/>
      <c r="F375" s="4"/>
      <c r="G375" s="4"/>
      <c r="H375" s="4"/>
      <c r="I375" s="4"/>
      <c r="J375" s="18"/>
      <c r="K375" s="4"/>
      <c r="L375" s="19"/>
      <c r="M375" s="20"/>
    </row>
    <row r="376">
      <c r="A376" s="6"/>
      <c r="B376" s="6"/>
      <c r="C376" s="4"/>
      <c r="D376" s="36">
        <v>0.0</v>
      </c>
      <c r="E376" s="4"/>
      <c r="F376" s="4"/>
      <c r="G376" s="4"/>
      <c r="H376" s="4"/>
      <c r="I376" s="4"/>
      <c r="J376" s="18"/>
      <c r="K376" s="4"/>
      <c r="L376" s="19"/>
      <c r="M376" s="20"/>
    </row>
    <row r="377">
      <c r="A377" s="6"/>
      <c r="B377" s="6"/>
      <c r="C377" s="4"/>
      <c r="D377" s="36">
        <v>0.0</v>
      </c>
      <c r="E377" s="4"/>
      <c r="F377" s="4"/>
      <c r="G377" s="4"/>
      <c r="H377" s="4"/>
      <c r="I377" s="4"/>
      <c r="J377" s="18"/>
      <c r="K377" s="4"/>
      <c r="L377" s="19"/>
      <c r="M377" s="20"/>
    </row>
    <row r="378">
      <c r="A378" s="6"/>
      <c r="B378" s="6"/>
      <c r="C378" s="4"/>
      <c r="D378" s="36">
        <v>0.0</v>
      </c>
      <c r="E378" s="4"/>
      <c r="F378" s="4"/>
      <c r="G378" s="4"/>
      <c r="H378" s="4"/>
      <c r="I378" s="4"/>
      <c r="J378" s="18"/>
      <c r="K378" s="4"/>
      <c r="L378" s="19"/>
      <c r="M378" s="20"/>
    </row>
    <row r="379">
      <c r="A379" s="6"/>
      <c r="B379" s="6"/>
      <c r="C379" s="4"/>
      <c r="D379" s="36">
        <v>0.0</v>
      </c>
      <c r="E379" s="4"/>
      <c r="F379" s="4"/>
      <c r="G379" s="4"/>
      <c r="H379" s="4"/>
      <c r="I379" s="4"/>
      <c r="J379" s="18"/>
      <c r="K379" s="4"/>
      <c r="L379" s="19"/>
      <c r="M379" s="20"/>
    </row>
    <row r="380">
      <c r="A380" s="6"/>
      <c r="B380" s="6"/>
      <c r="C380" s="4"/>
      <c r="D380" s="36">
        <v>0.0</v>
      </c>
      <c r="E380" s="4"/>
      <c r="F380" s="4"/>
      <c r="G380" s="4"/>
      <c r="H380" s="4"/>
      <c r="I380" s="4"/>
      <c r="J380" s="18"/>
      <c r="K380" s="4"/>
      <c r="L380" s="19"/>
      <c r="M380" s="20"/>
    </row>
    <row r="381">
      <c r="A381" s="6"/>
      <c r="B381" s="6"/>
      <c r="C381" s="4"/>
      <c r="D381" s="36">
        <v>0.0</v>
      </c>
      <c r="E381" s="4"/>
      <c r="F381" s="4"/>
      <c r="G381" s="4"/>
      <c r="H381" s="4"/>
      <c r="I381" s="4"/>
      <c r="J381" s="18"/>
      <c r="K381" s="4"/>
      <c r="L381" s="19"/>
      <c r="M381" s="20"/>
    </row>
    <row r="382">
      <c r="A382" s="6"/>
      <c r="B382" s="6"/>
      <c r="C382" s="4"/>
      <c r="D382" s="36">
        <v>0.0</v>
      </c>
      <c r="E382" s="4"/>
      <c r="F382" s="4"/>
      <c r="G382" s="4"/>
      <c r="H382" s="4"/>
      <c r="I382" s="4"/>
      <c r="J382" s="18"/>
      <c r="K382" s="4"/>
      <c r="L382" s="19"/>
      <c r="M382" s="20"/>
    </row>
    <row r="383">
      <c r="A383" s="6"/>
      <c r="B383" s="6"/>
      <c r="C383" s="4"/>
      <c r="D383" s="36">
        <v>0.0</v>
      </c>
      <c r="E383" s="4"/>
      <c r="F383" s="4"/>
      <c r="G383" s="4"/>
      <c r="H383" s="4"/>
      <c r="I383" s="4"/>
      <c r="J383" s="18"/>
      <c r="K383" s="4"/>
      <c r="L383" s="19"/>
      <c r="M383" s="20"/>
    </row>
    <row r="384">
      <c r="A384" s="6"/>
      <c r="B384" s="6"/>
      <c r="C384" s="4"/>
      <c r="D384" s="36">
        <v>0.0</v>
      </c>
      <c r="E384" s="4"/>
      <c r="F384" s="4"/>
      <c r="G384" s="4"/>
      <c r="H384" s="4"/>
      <c r="I384" s="4"/>
      <c r="J384" s="18"/>
      <c r="K384" s="4"/>
      <c r="L384" s="19"/>
      <c r="M384" s="20"/>
    </row>
    <row r="385">
      <c r="A385" s="6"/>
      <c r="B385" s="6"/>
      <c r="C385" s="4"/>
      <c r="D385" s="36">
        <v>0.0</v>
      </c>
      <c r="E385" s="4"/>
      <c r="F385" s="4"/>
      <c r="G385" s="4"/>
      <c r="H385" s="4"/>
      <c r="I385" s="4"/>
      <c r="J385" s="18"/>
      <c r="K385" s="4"/>
      <c r="L385" s="19"/>
      <c r="M385" s="20"/>
    </row>
    <row r="386">
      <c r="A386" s="6"/>
      <c r="B386" s="6"/>
      <c r="C386" s="4"/>
      <c r="D386" s="36">
        <v>0.0</v>
      </c>
      <c r="E386" s="4"/>
      <c r="F386" s="4"/>
      <c r="G386" s="4"/>
      <c r="H386" s="4"/>
      <c r="I386" s="4"/>
      <c r="J386" s="18"/>
      <c r="K386" s="4"/>
      <c r="L386" s="19"/>
      <c r="M386" s="20"/>
    </row>
    <row r="387">
      <c r="A387" s="6"/>
      <c r="B387" s="6"/>
      <c r="C387" s="4"/>
      <c r="D387" s="36">
        <v>0.0</v>
      </c>
      <c r="E387" s="4"/>
      <c r="F387" s="4"/>
      <c r="G387" s="4"/>
      <c r="H387" s="4"/>
      <c r="I387" s="4"/>
      <c r="J387" s="18"/>
      <c r="K387" s="4"/>
      <c r="L387" s="19"/>
      <c r="M387" s="20"/>
    </row>
    <row r="388">
      <c r="A388" s="6"/>
      <c r="B388" s="6"/>
      <c r="C388" s="4"/>
      <c r="D388" s="36">
        <v>0.0</v>
      </c>
      <c r="E388" s="4"/>
      <c r="F388" s="4"/>
      <c r="G388" s="4"/>
      <c r="H388" s="4"/>
      <c r="I388" s="4"/>
      <c r="J388" s="18"/>
      <c r="K388" s="4"/>
      <c r="L388" s="19"/>
      <c r="M388" s="20"/>
    </row>
    <row r="389">
      <c r="A389" s="6"/>
      <c r="B389" s="6"/>
      <c r="C389" s="4"/>
      <c r="D389" s="36">
        <v>0.0</v>
      </c>
      <c r="E389" s="4"/>
      <c r="F389" s="4"/>
      <c r="G389" s="4"/>
      <c r="H389" s="4"/>
      <c r="I389" s="4"/>
      <c r="J389" s="18"/>
      <c r="K389" s="4"/>
      <c r="L389" s="19"/>
      <c r="M389" s="20"/>
    </row>
    <row r="390">
      <c r="A390" s="6"/>
      <c r="B390" s="6"/>
      <c r="C390" s="4"/>
      <c r="D390" s="36">
        <v>0.0</v>
      </c>
      <c r="E390" s="4"/>
      <c r="F390" s="4"/>
      <c r="G390" s="4"/>
      <c r="H390" s="4"/>
      <c r="I390" s="4"/>
      <c r="J390" s="18"/>
      <c r="K390" s="4"/>
      <c r="L390" s="19"/>
      <c r="M390" s="20"/>
    </row>
    <row r="391">
      <c r="A391" s="6"/>
      <c r="B391" s="6"/>
      <c r="C391" s="4"/>
      <c r="D391" s="36">
        <v>0.0</v>
      </c>
      <c r="E391" s="4"/>
      <c r="F391" s="4"/>
      <c r="G391" s="4"/>
      <c r="H391" s="4"/>
      <c r="I391" s="4"/>
      <c r="J391" s="18"/>
      <c r="K391" s="4"/>
      <c r="L391" s="19"/>
      <c r="M391" s="20"/>
    </row>
    <row r="392">
      <c r="A392" s="6"/>
      <c r="B392" s="6"/>
      <c r="C392" s="4"/>
      <c r="D392" s="36">
        <v>0.0</v>
      </c>
      <c r="E392" s="4"/>
      <c r="F392" s="4"/>
      <c r="G392" s="4"/>
      <c r="H392" s="4"/>
      <c r="I392" s="4"/>
      <c r="J392" s="18"/>
      <c r="K392" s="4"/>
      <c r="L392" s="19"/>
      <c r="M392" s="20"/>
    </row>
    <row r="393">
      <c r="A393" s="6"/>
      <c r="B393" s="6"/>
      <c r="C393" s="4"/>
      <c r="D393" s="36">
        <v>0.0</v>
      </c>
      <c r="E393" s="4"/>
      <c r="F393" s="4"/>
      <c r="G393" s="4"/>
      <c r="H393" s="4"/>
      <c r="I393" s="4"/>
      <c r="J393" s="18"/>
      <c r="K393" s="4"/>
      <c r="L393" s="19"/>
      <c r="M393" s="20"/>
    </row>
    <row r="394">
      <c r="A394" s="6"/>
      <c r="B394" s="6"/>
      <c r="C394" s="4"/>
      <c r="D394" s="36">
        <v>0.0</v>
      </c>
      <c r="E394" s="4"/>
      <c r="F394" s="4"/>
      <c r="G394" s="4"/>
      <c r="H394" s="4"/>
      <c r="I394" s="4"/>
      <c r="J394" s="18"/>
      <c r="K394" s="4"/>
      <c r="L394" s="19"/>
      <c r="M394" s="20"/>
    </row>
    <row r="395">
      <c r="A395" s="6"/>
      <c r="B395" s="6"/>
      <c r="C395" s="4"/>
      <c r="D395" s="36">
        <v>0.0</v>
      </c>
      <c r="E395" s="4"/>
      <c r="F395" s="4"/>
      <c r="G395" s="4"/>
      <c r="H395" s="4"/>
      <c r="I395" s="4"/>
      <c r="J395" s="18"/>
      <c r="K395" s="4"/>
      <c r="L395" s="19"/>
      <c r="M395" s="20"/>
    </row>
    <row r="396">
      <c r="A396" s="6"/>
      <c r="B396" s="6"/>
      <c r="C396" s="4"/>
      <c r="D396" s="36">
        <v>0.0</v>
      </c>
      <c r="E396" s="4"/>
      <c r="F396" s="4"/>
      <c r="G396" s="4"/>
      <c r="H396" s="4"/>
      <c r="I396" s="4"/>
      <c r="J396" s="18"/>
      <c r="K396" s="4"/>
      <c r="L396" s="19"/>
      <c r="M396" s="20"/>
    </row>
    <row r="397">
      <c r="A397" s="6"/>
      <c r="B397" s="6"/>
      <c r="C397" s="4"/>
      <c r="D397" s="36">
        <v>0.0</v>
      </c>
      <c r="E397" s="4"/>
      <c r="F397" s="4"/>
      <c r="G397" s="4"/>
      <c r="H397" s="4"/>
      <c r="I397" s="4"/>
      <c r="J397" s="18"/>
      <c r="K397" s="4"/>
      <c r="L397" s="19"/>
      <c r="M397" s="20"/>
    </row>
    <row r="398">
      <c r="A398" s="6"/>
      <c r="B398" s="6"/>
      <c r="C398" s="4"/>
      <c r="D398" s="36">
        <v>0.0</v>
      </c>
      <c r="E398" s="4"/>
      <c r="F398" s="4"/>
      <c r="G398" s="4"/>
      <c r="H398" s="4"/>
      <c r="I398" s="4"/>
      <c r="J398" s="18"/>
      <c r="K398" s="4"/>
      <c r="L398" s="19"/>
      <c r="M398" s="20"/>
    </row>
    <row r="399">
      <c r="A399" s="6"/>
      <c r="B399" s="6"/>
      <c r="C399" s="4"/>
      <c r="D399" s="36">
        <v>0.0</v>
      </c>
      <c r="E399" s="4"/>
      <c r="F399" s="4"/>
      <c r="G399" s="4"/>
      <c r="H399" s="4"/>
      <c r="I399" s="4"/>
      <c r="J399" s="18"/>
      <c r="K399" s="4"/>
      <c r="L399" s="19"/>
      <c r="M399" s="20"/>
    </row>
    <row r="400">
      <c r="A400" s="6"/>
      <c r="B400" s="6"/>
      <c r="C400" s="4"/>
      <c r="D400" s="36">
        <v>0.0</v>
      </c>
      <c r="E400" s="4"/>
      <c r="F400" s="4"/>
      <c r="G400" s="4"/>
      <c r="H400" s="4"/>
      <c r="I400" s="4"/>
      <c r="J400" s="18"/>
      <c r="K400" s="4"/>
      <c r="L400" s="19"/>
      <c r="M400" s="20"/>
    </row>
    <row r="401">
      <c r="A401" s="6"/>
      <c r="B401" s="6"/>
      <c r="C401" s="4"/>
      <c r="D401" s="36">
        <v>0.0</v>
      </c>
      <c r="E401" s="4"/>
      <c r="F401" s="4"/>
      <c r="G401" s="4"/>
      <c r="H401" s="4"/>
      <c r="I401" s="4"/>
      <c r="J401" s="18"/>
      <c r="K401" s="4"/>
      <c r="L401" s="19"/>
      <c r="M401" s="20"/>
    </row>
    <row r="402">
      <c r="A402" s="6"/>
      <c r="B402" s="6"/>
      <c r="C402" s="4"/>
      <c r="D402" s="36">
        <v>0.0</v>
      </c>
      <c r="E402" s="4"/>
      <c r="F402" s="4"/>
      <c r="G402" s="4"/>
      <c r="H402" s="4"/>
      <c r="I402" s="4"/>
      <c r="J402" s="18"/>
      <c r="K402" s="4"/>
      <c r="L402" s="19"/>
      <c r="M402" s="20"/>
    </row>
    <row r="403">
      <c r="A403" s="6"/>
      <c r="B403" s="6"/>
      <c r="C403" s="4"/>
      <c r="D403" s="36">
        <v>0.0</v>
      </c>
      <c r="E403" s="4"/>
      <c r="F403" s="4"/>
      <c r="G403" s="4"/>
      <c r="H403" s="4"/>
      <c r="I403" s="4"/>
      <c r="J403" s="18"/>
      <c r="K403" s="4"/>
      <c r="L403" s="19"/>
      <c r="M403" s="20"/>
    </row>
    <row r="404">
      <c r="A404" s="6"/>
      <c r="B404" s="6"/>
      <c r="C404" s="4"/>
      <c r="D404" s="36">
        <v>0.0</v>
      </c>
      <c r="E404" s="4"/>
      <c r="F404" s="4"/>
      <c r="G404" s="4"/>
      <c r="H404" s="4"/>
      <c r="I404" s="4"/>
      <c r="J404" s="18"/>
      <c r="K404" s="4"/>
      <c r="L404" s="19"/>
      <c r="M404" s="20"/>
    </row>
    <row r="405">
      <c r="A405" s="6"/>
      <c r="B405" s="6"/>
      <c r="C405" s="4"/>
      <c r="D405" s="36">
        <v>0.0</v>
      </c>
      <c r="E405" s="4"/>
      <c r="F405" s="4"/>
      <c r="G405" s="4"/>
      <c r="H405" s="4"/>
      <c r="I405" s="4"/>
      <c r="J405" s="18"/>
      <c r="K405" s="4"/>
      <c r="L405" s="19"/>
      <c r="M405" s="20"/>
    </row>
    <row r="406">
      <c r="A406" s="6"/>
      <c r="B406" s="6"/>
      <c r="C406" s="4"/>
      <c r="D406" s="36">
        <v>0.0</v>
      </c>
      <c r="E406" s="4"/>
      <c r="F406" s="4"/>
      <c r="G406" s="4"/>
      <c r="H406" s="4"/>
      <c r="I406" s="4"/>
      <c r="J406" s="18"/>
      <c r="K406" s="4"/>
      <c r="L406" s="19"/>
      <c r="M406" s="20"/>
    </row>
    <row r="407">
      <c r="A407" s="6"/>
      <c r="B407" s="6"/>
      <c r="C407" s="4"/>
      <c r="D407" s="36">
        <v>0.0</v>
      </c>
      <c r="E407" s="4"/>
      <c r="F407" s="4"/>
      <c r="G407" s="4"/>
      <c r="H407" s="4"/>
      <c r="I407" s="4"/>
      <c r="J407" s="18"/>
      <c r="K407" s="4"/>
      <c r="L407" s="19"/>
      <c r="M407" s="20"/>
    </row>
    <row r="408">
      <c r="A408" s="6"/>
      <c r="B408" s="6"/>
      <c r="C408" s="4"/>
      <c r="D408" s="36">
        <v>0.0</v>
      </c>
      <c r="E408" s="4"/>
      <c r="F408" s="4"/>
      <c r="G408" s="4"/>
      <c r="H408" s="4"/>
      <c r="I408" s="4"/>
      <c r="J408" s="18"/>
      <c r="K408" s="4"/>
      <c r="L408" s="19"/>
      <c r="M408" s="20"/>
    </row>
    <row r="409">
      <c r="A409" s="6"/>
      <c r="B409" s="6"/>
      <c r="C409" s="4"/>
      <c r="D409" s="36">
        <v>0.0</v>
      </c>
      <c r="E409" s="4"/>
      <c r="F409" s="4"/>
      <c r="G409" s="4"/>
      <c r="H409" s="4"/>
      <c r="I409" s="4"/>
      <c r="J409" s="18"/>
      <c r="K409" s="4"/>
      <c r="L409" s="19"/>
      <c r="M409" s="20"/>
    </row>
    <row r="410">
      <c r="A410" s="6"/>
      <c r="B410" s="6"/>
      <c r="C410" s="4"/>
      <c r="D410" s="36">
        <v>0.0</v>
      </c>
      <c r="E410" s="4"/>
      <c r="F410" s="4"/>
      <c r="G410" s="4"/>
      <c r="H410" s="4"/>
      <c r="I410" s="4"/>
      <c r="J410" s="18"/>
      <c r="K410" s="4"/>
      <c r="L410" s="19"/>
      <c r="M410" s="20"/>
    </row>
    <row r="411">
      <c r="A411" s="6"/>
      <c r="B411" s="6"/>
      <c r="C411" s="4"/>
      <c r="D411" s="36">
        <v>0.0</v>
      </c>
      <c r="E411" s="4"/>
      <c r="F411" s="4"/>
      <c r="G411" s="4"/>
      <c r="H411" s="4"/>
      <c r="I411" s="4"/>
      <c r="J411" s="18"/>
      <c r="K411" s="4"/>
      <c r="L411" s="19"/>
      <c r="M411" s="20"/>
    </row>
    <row r="412">
      <c r="A412" s="6"/>
      <c r="B412" s="6"/>
      <c r="C412" s="4"/>
      <c r="D412" s="36">
        <v>0.0</v>
      </c>
      <c r="E412" s="4"/>
      <c r="F412" s="4"/>
      <c r="G412" s="4"/>
      <c r="H412" s="4"/>
      <c r="I412" s="4"/>
      <c r="J412" s="18"/>
      <c r="K412" s="4"/>
      <c r="L412" s="19"/>
      <c r="M412" s="20"/>
    </row>
    <row r="413">
      <c r="A413" s="6"/>
      <c r="B413" s="6"/>
      <c r="C413" s="4"/>
      <c r="D413" s="36">
        <v>0.0</v>
      </c>
      <c r="E413" s="4"/>
      <c r="F413" s="4"/>
      <c r="G413" s="4"/>
      <c r="H413" s="4"/>
      <c r="I413" s="4"/>
      <c r="J413" s="18"/>
      <c r="K413" s="4"/>
      <c r="L413" s="19"/>
      <c r="M413" s="20"/>
    </row>
    <row r="414">
      <c r="A414" s="6"/>
      <c r="B414" s="6"/>
      <c r="C414" s="4"/>
      <c r="D414" s="36">
        <v>0.0</v>
      </c>
      <c r="E414" s="4"/>
      <c r="F414" s="4"/>
      <c r="G414" s="4"/>
      <c r="H414" s="4"/>
      <c r="I414" s="4"/>
      <c r="J414" s="18"/>
      <c r="K414" s="4"/>
      <c r="L414" s="19"/>
      <c r="M414" s="20"/>
    </row>
    <row r="415">
      <c r="A415" s="6"/>
      <c r="B415" s="6"/>
      <c r="C415" s="4"/>
      <c r="D415" s="36">
        <v>0.0</v>
      </c>
      <c r="E415" s="4"/>
      <c r="F415" s="4"/>
      <c r="G415" s="4"/>
      <c r="H415" s="4"/>
      <c r="I415" s="4"/>
      <c r="J415" s="18"/>
      <c r="K415" s="4"/>
      <c r="L415" s="19"/>
      <c r="M415" s="20"/>
    </row>
    <row r="416">
      <c r="A416" s="6"/>
      <c r="B416" s="6"/>
      <c r="C416" s="4"/>
      <c r="D416" s="36">
        <v>0.0</v>
      </c>
      <c r="E416" s="4"/>
      <c r="F416" s="4"/>
      <c r="G416" s="4"/>
      <c r="H416" s="4"/>
      <c r="I416" s="4"/>
      <c r="J416" s="18"/>
      <c r="K416" s="4"/>
      <c r="L416" s="19"/>
      <c r="M416" s="20"/>
    </row>
    <row r="417">
      <c r="A417" s="6"/>
      <c r="B417" s="6"/>
      <c r="C417" s="4"/>
      <c r="D417" s="36">
        <v>0.0</v>
      </c>
      <c r="E417" s="4"/>
      <c r="F417" s="4"/>
      <c r="G417" s="4"/>
      <c r="H417" s="4"/>
      <c r="I417" s="4"/>
      <c r="J417" s="18"/>
      <c r="K417" s="4"/>
      <c r="L417" s="19"/>
      <c r="M417" s="20"/>
    </row>
    <row r="418">
      <c r="A418" s="6"/>
      <c r="B418" s="6"/>
      <c r="C418" s="4"/>
      <c r="D418" s="36">
        <v>0.0</v>
      </c>
      <c r="E418" s="4"/>
      <c r="F418" s="4"/>
      <c r="G418" s="4"/>
      <c r="H418" s="4"/>
      <c r="I418" s="4"/>
      <c r="J418" s="18"/>
      <c r="K418" s="4"/>
      <c r="L418" s="19"/>
      <c r="M418" s="20"/>
    </row>
    <row r="419">
      <c r="A419" s="6"/>
      <c r="B419" s="6"/>
      <c r="C419" s="4"/>
      <c r="D419" s="36">
        <v>0.0</v>
      </c>
      <c r="E419" s="4"/>
      <c r="F419" s="4"/>
      <c r="G419" s="4"/>
      <c r="H419" s="4"/>
      <c r="I419" s="4"/>
      <c r="J419" s="18"/>
      <c r="K419" s="4"/>
      <c r="L419" s="19"/>
      <c r="M419" s="20"/>
    </row>
    <row r="420">
      <c r="A420" s="6"/>
      <c r="B420" s="6"/>
      <c r="C420" s="4"/>
      <c r="D420" s="36">
        <v>0.0</v>
      </c>
      <c r="E420" s="4"/>
      <c r="F420" s="4"/>
      <c r="G420" s="4"/>
      <c r="H420" s="4"/>
      <c r="I420" s="4"/>
      <c r="J420" s="18"/>
      <c r="K420" s="4"/>
      <c r="L420" s="19"/>
      <c r="M420" s="20"/>
    </row>
    <row r="421">
      <c r="A421" s="6"/>
      <c r="B421" s="6"/>
      <c r="C421" s="4"/>
      <c r="D421" s="36">
        <v>0.0</v>
      </c>
      <c r="E421" s="4"/>
      <c r="F421" s="4"/>
      <c r="G421" s="4"/>
      <c r="H421" s="4"/>
      <c r="I421" s="4"/>
      <c r="J421" s="18"/>
      <c r="K421" s="4"/>
      <c r="L421" s="19"/>
      <c r="M421" s="20"/>
    </row>
    <row r="422">
      <c r="A422" s="6"/>
      <c r="B422" s="6"/>
      <c r="C422" s="4"/>
      <c r="D422" s="36">
        <v>0.0</v>
      </c>
      <c r="E422" s="4"/>
      <c r="F422" s="4"/>
      <c r="G422" s="4"/>
      <c r="H422" s="4"/>
      <c r="I422" s="4"/>
      <c r="J422" s="18"/>
      <c r="K422" s="4"/>
      <c r="L422" s="19"/>
      <c r="M422" s="20"/>
    </row>
    <row r="423">
      <c r="A423" s="6"/>
      <c r="B423" s="6"/>
      <c r="C423" s="4"/>
      <c r="D423" s="36">
        <v>0.0</v>
      </c>
      <c r="E423" s="4"/>
      <c r="F423" s="4"/>
      <c r="G423" s="4"/>
      <c r="H423" s="4"/>
      <c r="I423" s="4"/>
      <c r="J423" s="18"/>
      <c r="K423" s="4"/>
      <c r="L423" s="19"/>
      <c r="M423" s="20"/>
    </row>
    <row r="424">
      <c r="A424" s="6"/>
      <c r="B424" s="6"/>
      <c r="C424" s="4"/>
      <c r="D424" s="36">
        <v>0.0</v>
      </c>
      <c r="E424" s="4"/>
      <c r="F424" s="4"/>
      <c r="G424" s="4"/>
      <c r="H424" s="4"/>
      <c r="I424" s="4"/>
      <c r="J424" s="18"/>
      <c r="K424" s="4"/>
      <c r="L424" s="19"/>
      <c r="M424" s="20"/>
    </row>
    <row r="425">
      <c r="A425" s="6"/>
      <c r="B425" s="6"/>
      <c r="C425" s="4"/>
      <c r="D425" s="36">
        <v>0.0</v>
      </c>
      <c r="E425" s="4"/>
      <c r="F425" s="4"/>
      <c r="G425" s="4"/>
      <c r="H425" s="4"/>
      <c r="I425" s="4"/>
      <c r="J425" s="18"/>
      <c r="K425" s="4"/>
      <c r="L425" s="19"/>
      <c r="M425" s="20"/>
    </row>
    <row r="426">
      <c r="A426" s="6"/>
      <c r="B426" s="6"/>
      <c r="C426" s="4"/>
      <c r="D426" s="36">
        <v>0.0</v>
      </c>
      <c r="E426" s="4"/>
      <c r="F426" s="4"/>
      <c r="G426" s="4"/>
      <c r="H426" s="4"/>
      <c r="I426" s="4"/>
      <c r="J426" s="18"/>
      <c r="K426" s="4"/>
      <c r="L426" s="19"/>
      <c r="M426" s="20"/>
    </row>
    <row r="427">
      <c r="A427" s="6"/>
      <c r="B427" s="6"/>
      <c r="C427" s="4"/>
      <c r="D427" s="36">
        <v>0.0</v>
      </c>
      <c r="E427" s="4"/>
      <c r="F427" s="4"/>
      <c r="G427" s="4"/>
      <c r="H427" s="4"/>
      <c r="I427" s="4"/>
      <c r="J427" s="18"/>
      <c r="K427" s="4"/>
      <c r="L427" s="19"/>
      <c r="M427" s="20"/>
    </row>
    <row r="428">
      <c r="A428" s="6"/>
      <c r="B428" s="6"/>
      <c r="C428" s="4"/>
      <c r="D428" s="36">
        <v>0.0</v>
      </c>
      <c r="E428" s="4"/>
      <c r="F428" s="4"/>
      <c r="G428" s="4"/>
      <c r="H428" s="4"/>
      <c r="I428" s="4"/>
      <c r="J428" s="18"/>
      <c r="K428" s="4"/>
      <c r="L428" s="19"/>
      <c r="M428" s="20"/>
    </row>
    <row r="429">
      <c r="A429" s="6"/>
      <c r="B429" s="6"/>
      <c r="C429" s="4"/>
      <c r="D429" s="36">
        <v>0.0</v>
      </c>
      <c r="E429" s="4"/>
      <c r="F429" s="4"/>
      <c r="G429" s="4"/>
      <c r="H429" s="4"/>
      <c r="I429" s="4"/>
      <c r="J429" s="18"/>
      <c r="K429" s="4"/>
      <c r="L429" s="19"/>
      <c r="M429" s="20"/>
    </row>
    <row r="430">
      <c r="A430" s="6"/>
      <c r="B430" s="6"/>
      <c r="C430" s="4"/>
      <c r="D430" s="36">
        <v>0.0</v>
      </c>
      <c r="E430" s="4"/>
      <c r="F430" s="4"/>
      <c r="G430" s="4"/>
      <c r="H430" s="4"/>
      <c r="I430" s="4"/>
      <c r="J430" s="18"/>
      <c r="K430" s="4"/>
      <c r="L430" s="19"/>
      <c r="M430" s="20"/>
    </row>
    <row r="431">
      <c r="A431" s="6"/>
      <c r="B431" s="6"/>
      <c r="C431" s="4"/>
      <c r="D431" s="36">
        <v>0.0</v>
      </c>
      <c r="E431" s="4"/>
      <c r="F431" s="4"/>
      <c r="G431" s="4"/>
      <c r="H431" s="4"/>
      <c r="I431" s="4"/>
      <c r="J431" s="18"/>
      <c r="K431" s="4"/>
      <c r="L431" s="19"/>
      <c r="M431" s="20"/>
    </row>
    <row r="432">
      <c r="A432" s="6"/>
      <c r="B432" s="6"/>
      <c r="C432" s="4"/>
      <c r="D432" s="36">
        <v>0.0</v>
      </c>
      <c r="E432" s="4"/>
      <c r="F432" s="4"/>
      <c r="G432" s="4"/>
      <c r="H432" s="4"/>
      <c r="I432" s="4"/>
      <c r="J432" s="18"/>
      <c r="K432" s="4"/>
      <c r="L432" s="19"/>
      <c r="M432" s="20"/>
    </row>
    <row r="433">
      <c r="A433" s="6"/>
      <c r="B433" s="6"/>
      <c r="C433" s="4"/>
      <c r="D433" s="36">
        <v>0.0</v>
      </c>
      <c r="E433" s="4"/>
      <c r="F433" s="4"/>
      <c r="G433" s="4"/>
      <c r="H433" s="4"/>
      <c r="I433" s="4"/>
      <c r="J433" s="18"/>
      <c r="K433" s="4"/>
      <c r="L433" s="19"/>
      <c r="M433" s="20"/>
    </row>
    <row r="434">
      <c r="A434" s="6"/>
      <c r="B434" s="6"/>
      <c r="C434" s="4"/>
      <c r="D434" s="36">
        <v>0.0</v>
      </c>
      <c r="E434" s="4"/>
      <c r="F434" s="4"/>
      <c r="G434" s="4"/>
      <c r="H434" s="4"/>
      <c r="I434" s="4"/>
      <c r="J434" s="18"/>
      <c r="K434" s="4"/>
      <c r="L434" s="19"/>
      <c r="M434" s="20"/>
    </row>
    <row r="435">
      <c r="A435" s="6"/>
      <c r="B435" s="6"/>
      <c r="C435" s="4"/>
      <c r="D435" s="36">
        <v>0.0</v>
      </c>
      <c r="E435" s="4"/>
      <c r="F435" s="4"/>
      <c r="G435" s="4"/>
      <c r="H435" s="4"/>
      <c r="I435" s="4"/>
      <c r="J435" s="18"/>
      <c r="K435" s="4"/>
      <c r="L435" s="19"/>
      <c r="M435" s="20"/>
    </row>
    <row r="436">
      <c r="A436" s="6"/>
      <c r="B436" s="6"/>
      <c r="C436" s="4"/>
      <c r="D436" s="36">
        <v>0.0</v>
      </c>
      <c r="E436" s="4"/>
      <c r="F436" s="4"/>
      <c r="G436" s="4"/>
      <c r="H436" s="4"/>
      <c r="I436" s="4"/>
      <c r="J436" s="18"/>
      <c r="K436" s="4"/>
      <c r="L436" s="19"/>
      <c r="M436" s="20"/>
    </row>
    <row r="437">
      <c r="A437" s="6"/>
      <c r="B437" s="6"/>
      <c r="C437" s="4"/>
      <c r="D437" s="36">
        <v>0.0</v>
      </c>
      <c r="E437" s="4"/>
      <c r="F437" s="4"/>
      <c r="G437" s="4"/>
      <c r="H437" s="4"/>
      <c r="I437" s="4"/>
      <c r="J437" s="18"/>
      <c r="K437" s="4"/>
      <c r="L437" s="19"/>
      <c r="M437" s="20"/>
    </row>
    <row r="438">
      <c r="A438" s="6"/>
      <c r="B438" s="6"/>
      <c r="C438" s="4"/>
      <c r="D438" s="36">
        <v>0.0</v>
      </c>
      <c r="E438" s="4"/>
      <c r="F438" s="4"/>
      <c r="G438" s="4"/>
      <c r="H438" s="4"/>
      <c r="I438" s="4"/>
      <c r="J438" s="18"/>
      <c r="K438" s="4"/>
      <c r="L438" s="19"/>
      <c r="M438" s="20"/>
    </row>
    <row r="439">
      <c r="A439" s="6"/>
      <c r="B439" s="6"/>
      <c r="C439" s="4"/>
      <c r="D439" s="36">
        <v>0.0</v>
      </c>
      <c r="E439" s="4"/>
      <c r="F439" s="4"/>
      <c r="G439" s="4"/>
      <c r="H439" s="4"/>
      <c r="I439" s="4"/>
      <c r="J439" s="18"/>
      <c r="K439" s="4"/>
      <c r="L439" s="19"/>
      <c r="M439" s="20"/>
    </row>
    <row r="440">
      <c r="A440" s="6"/>
      <c r="B440" s="6"/>
      <c r="C440" s="4"/>
      <c r="D440" s="36">
        <v>0.0</v>
      </c>
      <c r="E440" s="4"/>
      <c r="F440" s="4"/>
      <c r="G440" s="4"/>
      <c r="H440" s="4"/>
      <c r="I440" s="4"/>
      <c r="J440" s="18"/>
      <c r="K440" s="4"/>
      <c r="L440" s="19"/>
      <c r="M440" s="20"/>
    </row>
    <row r="441">
      <c r="A441" s="6"/>
      <c r="B441" s="6"/>
      <c r="C441" s="4"/>
      <c r="D441" s="36">
        <v>0.0</v>
      </c>
      <c r="E441" s="4"/>
      <c r="F441" s="4"/>
      <c r="G441" s="4"/>
      <c r="H441" s="4"/>
      <c r="I441" s="4"/>
      <c r="J441" s="18"/>
      <c r="K441" s="4"/>
      <c r="L441" s="19"/>
      <c r="M441" s="20"/>
    </row>
    <row r="442">
      <c r="A442" s="6"/>
      <c r="B442" s="6"/>
      <c r="C442" s="4"/>
      <c r="D442" s="36">
        <v>0.0</v>
      </c>
      <c r="E442" s="4"/>
      <c r="F442" s="4"/>
      <c r="G442" s="4"/>
      <c r="H442" s="4"/>
      <c r="I442" s="4"/>
      <c r="J442" s="18"/>
      <c r="K442" s="4"/>
      <c r="L442" s="19"/>
      <c r="M442" s="20"/>
    </row>
    <row r="443">
      <c r="A443" s="6"/>
      <c r="B443" s="6"/>
      <c r="C443" s="4"/>
      <c r="D443" s="36">
        <v>0.0</v>
      </c>
      <c r="E443" s="4"/>
      <c r="F443" s="4"/>
      <c r="G443" s="4"/>
      <c r="H443" s="4"/>
      <c r="I443" s="4"/>
      <c r="J443" s="18"/>
      <c r="K443" s="4"/>
      <c r="L443" s="19"/>
      <c r="M443" s="20"/>
    </row>
    <row r="444">
      <c r="A444" s="6"/>
      <c r="B444" s="6"/>
      <c r="C444" s="4"/>
      <c r="D444" s="36">
        <v>0.0</v>
      </c>
      <c r="E444" s="4"/>
      <c r="F444" s="4"/>
      <c r="G444" s="4"/>
      <c r="H444" s="4"/>
      <c r="I444" s="4"/>
      <c r="J444" s="18"/>
      <c r="K444" s="4"/>
      <c r="L444" s="19"/>
      <c r="M444" s="20"/>
    </row>
    <row r="445">
      <c r="A445" s="6"/>
      <c r="B445" s="6"/>
      <c r="C445" s="4"/>
      <c r="D445" s="36">
        <v>0.0</v>
      </c>
      <c r="E445" s="4"/>
      <c r="F445" s="4"/>
      <c r="G445" s="4"/>
      <c r="H445" s="4"/>
      <c r="I445" s="4"/>
      <c r="J445" s="18"/>
      <c r="K445" s="4"/>
      <c r="L445" s="19"/>
      <c r="M445" s="20"/>
    </row>
    <row r="446">
      <c r="A446" s="6"/>
      <c r="B446" s="6"/>
      <c r="C446" s="4"/>
      <c r="D446" s="36">
        <v>0.0</v>
      </c>
      <c r="E446" s="4"/>
      <c r="F446" s="4"/>
      <c r="G446" s="4"/>
      <c r="H446" s="4"/>
      <c r="I446" s="4"/>
      <c r="J446" s="18"/>
      <c r="K446" s="4"/>
      <c r="L446" s="19"/>
      <c r="M446" s="20"/>
    </row>
    <row r="447">
      <c r="A447" s="6"/>
      <c r="B447" s="6"/>
      <c r="C447" s="4"/>
      <c r="D447" s="36">
        <v>0.0</v>
      </c>
      <c r="E447" s="4"/>
      <c r="F447" s="4"/>
      <c r="G447" s="4"/>
      <c r="H447" s="4"/>
      <c r="I447" s="4"/>
      <c r="J447" s="18"/>
      <c r="K447" s="4"/>
      <c r="L447" s="19"/>
      <c r="M447" s="20"/>
    </row>
    <row r="448">
      <c r="A448" s="6"/>
      <c r="B448" s="6"/>
      <c r="C448" s="4"/>
      <c r="D448" s="36">
        <v>0.0</v>
      </c>
      <c r="E448" s="4"/>
      <c r="F448" s="4"/>
      <c r="G448" s="4"/>
      <c r="H448" s="4"/>
      <c r="I448" s="4"/>
      <c r="J448" s="18"/>
      <c r="K448" s="4"/>
      <c r="L448" s="19"/>
      <c r="M448" s="20"/>
    </row>
    <row r="449">
      <c r="A449" s="6"/>
      <c r="B449" s="6"/>
      <c r="C449" s="4"/>
      <c r="D449" s="36">
        <v>0.0</v>
      </c>
      <c r="E449" s="4"/>
      <c r="F449" s="4"/>
      <c r="G449" s="4"/>
      <c r="H449" s="4"/>
      <c r="I449" s="4"/>
      <c r="J449" s="18"/>
      <c r="K449" s="4"/>
      <c r="L449" s="19"/>
      <c r="M449" s="20"/>
    </row>
    <row r="450">
      <c r="A450" s="6"/>
      <c r="B450" s="6"/>
      <c r="C450" s="4"/>
      <c r="D450" s="36">
        <v>0.0</v>
      </c>
      <c r="E450" s="4"/>
      <c r="F450" s="4"/>
      <c r="G450" s="4"/>
      <c r="H450" s="4"/>
      <c r="I450" s="4"/>
      <c r="J450" s="18"/>
      <c r="K450" s="4"/>
      <c r="L450" s="19"/>
      <c r="M450" s="20"/>
    </row>
    <row r="451">
      <c r="A451" s="6"/>
      <c r="B451" s="6"/>
      <c r="C451" s="4"/>
      <c r="D451" s="36">
        <v>0.0</v>
      </c>
      <c r="E451" s="4"/>
      <c r="F451" s="4"/>
      <c r="G451" s="4"/>
      <c r="H451" s="4"/>
      <c r="I451" s="4"/>
      <c r="J451" s="18"/>
      <c r="K451" s="4"/>
      <c r="L451" s="19"/>
      <c r="M451" s="20"/>
    </row>
    <row r="452">
      <c r="A452" s="6"/>
      <c r="B452" s="6"/>
      <c r="C452" s="4"/>
      <c r="D452" s="36">
        <v>0.0</v>
      </c>
      <c r="E452" s="4"/>
      <c r="F452" s="4"/>
      <c r="G452" s="4"/>
      <c r="H452" s="4"/>
      <c r="I452" s="4"/>
      <c r="J452" s="18"/>
      <c r="K452" s="4"/>
      <c r="L452" s="19"/>
      <c r="M452" s="20"/>
    </row>
    <row r="453">
      <c r="A453" s="6"/>
      <c r="B453" s="6"/>
      <c r="C453" s="4"/>
      <c r="D453" s="36">
        <v>0.0</v>
      </c>
      <c r="E453" s="4"/>
      <c r="F453" s="4"/>
      <c r="G453" s="4"/>
      <c r="H453" s="4"/>
      <c r="I453" s="4"/>
      <c r="J453" s="18"/>
      <c r="K453" s="4"/>
      <c r="L453" s="19"/>
      <c r="M453" s="20"/>
    </row>
    <row r="454">
      <c r="A454" s="6"/>
      <c r="B454" s="6"/>
      <c r="C454" s="4"/>
      <c r="D454" s="36">
        <v>0.0</v>
      </c>
      <c r="E454" s="4"/>
      <c r="F454" s="4"/>
      <c r="G454" s="4"/>
      <c r="H454" s="4"/>
      <c r="I454" s="4"/>
      <c r="J454" s="18"/>
      <c r="K454" s="4"/>
      <c r="L454" s="19"/>
      <c r="M454" s="20"/>
    </row>
    <row r="455">
      <c r="A455" s="6"/>
      <c r="B455" s="6"/>
      <c r="C455" s="4"/>
      <c r="D455" s="36">
        <v>0.0</v>
      </c>
      <c r="E455" s="4"/>
      <c r="F455" s="4"/>
      <c r="G455" s="4"/>
      <c r="H455" s="4"/>
      <c r="I455" s="4"/>
      <c r="J455" s="18"/>
      <c r="K455" s="4"/>
      <c r="L455" s="19"/>
      <c r="M455" s="20"/>
    </row>
    <row r="456">
      <c r="A456" s="6"/>
      <c r="B456" s="6"/>
      <c r="C456" s="4"/>
      <c r="D456" s="36">
        <v>0.0</v>
      </c>
      <c r="E456" s="4"/>
      <c r="F456" s="4"/>
      <c r="G456" s="4"/>
      <c r="H456" s="4"/>
      <c r="I456" s="4"/>
      <c r="J456" s="18"/>
      <c r="K456" s="4"/>
      <c r="L456" s="19"/>
      <c r="M456" s="20"/>
    </row>
    <row r="457">
      <c r="A457" s="6"/>
      <c r="B457" s="6"/>
      <c r="C457" s="4"/>
      <c r="D457" s="36">
        <v>0.0</v>
      </c>
      <c r="E457" s="4"/>
      <c r="F457" s="4"/>
      <c r="G457" s="4"/>
      <c r="H457" s="4"/>
      <c r="I457" s="4"/>
      <c r="J457" s="18"/>
      <c r="K457" s="4"/>
      <c r="L457" s="19"/>
      <c r="M457" s="20"/>
    </row>
    <row r="458">
      <c r="A458" s="6"/>
      <c r="B458" s="6"/>
      <c r="C458" s="4"/>
      <c r="D458" s="36">
        <v>0.0</v>
      </c>
      <c r="E458" s="4"/>
      <c r="F458" s="4"/>
      <c r="G458" s="4"/>
      <c r="H458" s="4"/>
      <c r="I458" s="4"/>
      <c r="J458" s="18"/>
      <c r="K458" s="4"/>
      <c r="L458" s="19"/>
      <c r="M458" s="20"/>
    </row>
    <row r="459">
      <c r="A459" s="6"/>
      <c r="B459" s="6"/>
      <c r="C459" s="4"/>
      <c r="D459" s="36">
        <v>0.0</v>
      </c>
      <c r="E459" s="4"/>
      <c r="F459" s="4"/>
      <c r="G459" s="4"/>
      <c r="H459" s="4"/>
      <c r="I459" s="4"/>
      <c r="J459" s="18"/>
      <c r="K459" s="4"/>
      <c r="L459" s="19"/>
      <c r="M459" s="20"/>
    </row>
    <row r="460">
      <c r="A460" s="6"/>
      <c r="B460" s="6"/>
      <c r="C460" s="4"/>
      <c r="D460" s="36">
        <v>0.0</v>
      </c>
      <c r="E460" s="4"/>
      <c r="F460" s="4"/>
      <c r="G460" s="4"/>
      <c r="H460" s="4"/>
      <c r="I460" s="4"/>
      <c r="J460" s="18"/>
      <c r="K460" s="4"/>
      <c r="L460" s="19"/>
      <c r="M460" s="20"/>
    </row>
    <row r="461">
      <c r="A461" s="6"/>
      <c r="B461" s="6"/>
      <c r="C461" s="4"/>
      <c r="D461" s="36">
        <v>0.0</v>
      </c>
      <c r="E461" s="4"/>
      <c r="F461" s="4"/>
      <c r="G461" s="4"/>
      <c r="H461" s="4"/>
      <c r="I461" s="4"/>
      <c r="J461" s="18"/>
      <c r="K461" s="4"/>
      <c r="L461" s="19"/>
      <c r="M461" s="20"/>
    </row>
    <row r="462">
      <c r="A462" s="6"/>
      <c r="B462" s="6"/>
      <c r="C462" s="4"/>
      <c r="D462" s="36">
        <v>0.0</v>
      </c>
      <c r="E462" s="4"/>
      <c r="F462" s="4"/>
      <c r="G462" s="4"/>
      <c r="H462" s="4"/>
      <c r="I462" s="4"/>
      <c r="J462" s="18"/>
      <c r="K462" s="4"/>
      <c r="L462" s="19"/>
      <c r="M462" s="20"/>
    </row>
    <row r="463">
      <c r="A463" s="6"/>
      <c r="B463" s="6"/>
      <c r="C463" s="4"/>
      <c r="D463" s="36">
        <v>0.0</v>
      </c>
      <c r="E463" s="4"/>
      <c r="F463" s="4"/>
      <c r="G463" s="4"/>
      <c r="H463" s="4"/>
      <c r="I463" s="4"/>
      <c r="J463" s="18"/>
      <c r="K463" s="4"/>
      <c r="L463" s="19"/>
      <c r="M463" s="20"/>
    </row>
    <row r="464">
      <c r="A464" s="6"/>
      <c r="B464" s="6"/>
      <c r="C464" s="4"/>
      <c r="D464" s="36">
        <v>0.0</v>
      </c>
      <c r="E464" s="4"/>
      <c r="F464" s="4"/>
      <c r="G464" s="4"/>
      <c r="H464" s="4"/>
      <c r="I464" s="4"/>
      <c r="J464" s="18"/>
      <c r="K464" s="4"/>
      <c r="L464" s="19"/>
      <c r="M464" s="20"/>
    </row>
    <row r="465">
      <c r="A465" s="6"/>
      <c r="B465" s="6"/>
      <c r="C465" s="4"/>
      <c r="D465" s="36">
        <v>0.0</v>
      </c>
      <c r="E465" s="4"/>
      <c r="F465" s="4"/>
      <c r="G465" s="4"/>
      <c r="H465" s="4"/>
      <c r="I465" s="4"/>
      <c r="J465" s="18"/>
      <c r="K465" s="4"/>
      <c r="L465" s="19"/>
      <c r="M465" s="20"/>
    </row>
    <row r="466">
      <c r="A466" s="6"/>
      <c r="B466" s="6"/>
      <c r="C466" s="4"/>
      <c r="D466" s="36">
        <v>0.0</v>
      </c>
      <c r="E466" s="4"/>
      <c r="F466" s="4"/>
      <c r="G466" s="4"/>
      <c r="H466" s="4"/>
      <c r="I466" s="4"/>
      <c r="J466" s="18"/>
      <c r="K466" s="4"/>
      <c r="L466" s="19"/>
      <c r="M466" s="20"/>
    </row>
    <row r="467">
      <c r="A467" s="6"/>
      <c r="B467" s="6"/>
      <c r="C467" s="4"/>
      <c r="D467" s="36">
        <v>0.0</v>
      </c>
      <c r="E467" s="4"/>
      <c r="F467" s="4"/>
      <c r="G467" s="4"/>
      <c r="H467" s="4"/>
      <c r="I467" s="4"/>
      <c r="J467" s="18"/>
      <c r="K467" s="4"/>
      <c r="L467" s="19"/>
      <c r="M467" s="20"/>
    </row>
    <row r="468">
      <c r="A468" s="6"/>
      <c r="B468" s="6"/>
      <c r="C468" s="4"/>
      <c r="D468" s="36">
        <v>0.0</v>
      </c>
      <c r="E468" s="4"/>
      <c r="F468" s="4"/>
      <c r="G468" s="4"/>
      <c r="H468" s="4"/>
      <c r="I468" s="4"/>
      <c r="J468" s="18"/>
      <c r="K468" s="4"/>
      <c r="L468" s="19"/>
      <c r="M468" s="20"/>
    </row>
    <row r="469">
      <c r="A469" s="6"/>
      <c r="B469" s="6"/>
      <c r="C469" s="4"/>
      <c r="D469" s="36">
        <v>0.0</v>
      </c>
      <c r="E469" s="4"/>
      <c r="F469" s="4"/>
      <c r="G469" s="4"/>
      <c r="H469" s="4"/>
      <c r="I469" s="4"/>
      <c r="J469" s="18"/>
      <c r="K469" s="4"/>
      <c r="L469" s="19"/>
      <c r="M469" s="20"/>
    </row>
    <row r="470">
      <c r="A470" s="6"/>
      <c r="B470" s="6"/>
      <c r="C470" s="4"/>
      <c r="D470" s="36">
        <v>0.0</v>
      </c>
      <c r="E470" s="4"/>
      <c r="F470" s="4"/>
      <c r="G470" s="4"/>
      <c r="H470" s="4"/>
      <c r="I470" s="4"/>
      <c r="J470" s="18"/>
      <c r="K470" s="4"/>
      <c r="L470" s="19"/>
      <c r="M470" s="20"/>
    </row>
    <row r="471">
      <c r="A471" s="6"/>
      <c r="B471" s="6"/>
      <c r="C471" s="4"/>
      <c r="D471" s="36">
        <v>0.0</v>
      </c>
      <c r="E471" s="4"/>
      <c r="F471" s="4"/>
      <c r="G471" s="4"/>
      <c r="H471" s="4"/>
      <c r="I471" s="4"/>
      <c r="J471" s="18"/>
      <c r="K471" s="4"/>
      <c r="L471" s="19"/>
      <c r="M471" s="20"/>
    </row>
    <row r="472">
      <c r="A472" s="6"/>
      <c r="B472" s="6"/>
      <c r="C472" s="4"/>
      <c r="D472" s="36">
        <v>0.0</v>
      </c>
      <c r="E472" s="4"/>
      <c r="F472" s="4"/>
      <c r="G472" s="4"/>
      <c r="H472" s="4"/>
      <c r="I472" s="4"/>
      <c r="J472" s="18"/>
      <c r="K472" s="4"/>
      <c r="L472" s="19"/>
      <c r="M472" s="20"/>
    </row>
    <row r="473">
      <c r="A473" s="6"/>
      <c r="B473" s="6"/>
      <c r="C473" s="4"/>
      <c r="D473" s="36">
        <v>0.0</v>
      </c>
      <c r="E473" s="4"/>
      <c r="F473" s="4"/>
      <c r="G473" s="4"/>
      <c r="H473" s="4"/>
      <c r="I473" s="4"/>
      <c r="J473" s="18"/>
      <c r="K473" s="4"/>
      <c r="L473" s="19"/>
      <c r="M473" s="20"/>
    </row>
    <row r="474">
      <c r="A474" s="6"/>
      <c r="B474" s="6"/>
      <c r="C474" s="4"/>
      <c r="D474" s="36">
        <v>0.0</v>
      </c>
      <c r="E474" s="4"/>
      <c r="F474" s="4"/>
      <c r="G474" s="4"/>
      <c r="H474" s="4"/>
      <c r="I474" s="4"/>
      <c r="J474" s="18"/>
      <c r="K474" s="4"/>
      <c r="L474" s="19"/>
      <c r="M474" s="20"/>
    </row>
    <row r="475">
      <c r="A475" s="6"/>
      <c r="B475" s="6"/>
      <c r="C475" s="4"/>
      <c r="D475" s="36">
        <v>0.0</v>
      </c>
      <c r="E475" s="4"/>
      <c r="F475" s="4"/>
      <c r="G475" s="4"/>
      <c r="H475" s="4"/>
      <c r="I475" s="4"/>
      <c r="J475" s="18"/>
      <c r="K475" s="4"/>
      <c r="L475" s="19"/>
      <c r="M475" s="20"/>
    </row>
    <row r="476">
      <c r="A476" s="6"/>
      <c r="B476" s="6"/>
      <c r="C476" s="4"/>
      <c r="D476" s="36">
        <v>0.0</v>
      </c>
      <c r="E476" s="4"/>
      <c r="F476" s="4"/>
      <c r="G476" s="4"/>
      <c r="H476" s="4"/>
      <c r="I476" s="4"/>
      <c r="J476" s="18"/>
      <c r="K476" s="4"/>
      <c r="L476" s="19"/>
      <c r="M476" s="20"/>
    </row>
    <row r="477">
      <c r="A477" s="6"/>
      <c r="B477" s="6"/>
      <c r="C477" s="4"/>
      <c r="D477" s="36">
        <v>0.0</v>
      </c>
      <c r="E477" s="4"/>
      <c r="F477" s="4"/>
      <c r="G477" s="4"/>
      <c r="H477" s="4"/>
      <c r="I477" s="4"/>
      <c r="J477" s="18"/>
      <c r="K477" s="4"/>
      <c r="L477" s="19"/>
      <c r="M477" s="20"/>
    </row>
    <row r="478">
      <c r="A478" s="6"/>
      <c r="B478" s="6"/>
      <c r="C478" s="4"/>
      <c r="D478" s="36">
        <v>0.0</v>
      </c>
      <c r="E478" s="4"/>
      <c r="F478" s="4"/>
      <c r="G478" s="4"/>
      <c r="H478" s="4"/>
      <c r="I478" s="4"/>
      <c r="J478" s="18"/>
      <c r="K478" s="4"/>
      <c r="L478" s="19"/>
      <c r="M478" s="20"/>
    </row>
    <row r="479">
      <c r="A479" s="6"/>
      <c r="B479" s="6"/>
      <c r="C479" s="4"/>
      <c r="D479" s="36">
        <v>0.0</v>
      </c>
      <c r="E479" s="4"/>
      <c r="F479" s="4"/>
      <c r="G479" s="4"/>
      <c r="H479" s="4"/>
      <c r="I479" s="4"/>
      <c r="J479" s="18"/>
      <c r="K479" s="4"/>
      <c r="L479" s="19"/>
      <c r="M479" s="20"/>
    </row>
    <row r="480">
      <c r="A480" s="6"/>
      <c r="B480" s="6"/>
      <c r="C480" s="4"/>
      <c r="D480" s="36">
        <v>0.0</v>
      </c>
      <c r="E480" s="4"/>
      <c r="F480" s="4"/>
      <c r="G480" s="4"/>
      <c r="H480" s="4"/>
      <c r="I480" s="4"/>
      <c r="J480" s="18"/>
      <c r="K480" s="4"/>
      <c r="L480" s="19"/>
      <c r="M480" s="20"/>
    </row>
    <row r="481">
      <c r="A481" s="6"/>
      <c r="B481" s="6"/>
      <c r="C481" s="4"/>
      <c r="D481" s="36">
        <v>0.0</v>
      </c>
      <c r="E481" s="4"/>
      <c r="F481" s="4"/>
      <c r="G481" s="4"/>
      <c r="H481" s="4"/>
      <c r="I481" s="4"/>
      <c r="J481" s="18"/>
      <c r="K481" s="4"/>
      <c r="L481" s="19"/>
      <c r="M481" s="20"/>
    </row>
    <row r="482">
      <c r="A482" s="6"/>
      <c r="B482" s="6"/>
      <c r="C482" s="4"/>
      <c r="D482" s="36">
        <v>0.0</v>
      </c>
      <c r="E482" s="4"/>
      <c r="F482" s="4"/>
      <c r="G482" s="4"/>
      <c r="H482" s="4"/>
      <c r="I482" s="4"/>
      <c r="J482" s="18"/>
      <c r="K482" s="4"/>
      <c r="L482" s="19"/>
      <c r="M482" s="20"/>
    </row>
    <row r="483">
      <c r="A483" s="6"/>
      <c r="B483" s="6"/>
      <c r="C483" s="4"/>
      <c r="D483" s="36">
        <v>0.0</v>
      </c>
      <c r="E483" s="4"/>
      <c r="F483" s="4"/>
      <c r="G483" s="4"/>
      <c r="H483" s="4"/>
      <c r="I483" s="4"/>
      <c r="J483" s="18"/>
      <c r="K483" s="4"/>
      <c r="L483" s="19"/>
      <c r="M483" s="20"/>
    </row>
    <row r="484">
      <c r="A484" s="6"/>
      <c r="B484" s="6"/>
      <c r="C484" s="4"/>
      <c r="D484" s="36">
        <v>0.0</v>
      </c>
      <c r="E484" s="4"/>
      <c r="F484" s="4"/>
      <c r="G484" s="4"/>
      <c r="H484" s="4"/>
      <c r="I484" s="4"/>
      <c r="J484" s="18"/>
      <c r="K484" s="4"/>
      <c r="L484" s="19"/>
      <c r="M484" s="20"/>
    </row>
    <row r="485">
      <c r="A485" s="6"/>
      <c r="B485" s="6"/>
      <c r="C485" s="4"/>
      <c r="D485" s="36">
        <v>0.0</v>
      </c>
      <c r="E485" s="4"/>
      <c r="F485" s="4"/>
      <c r="G485" s="4"/>
      <c r="H485" s="4"/>
      <c r="I485" s="4"/>
      <c r="J485" s="18"/>
      <c r="K485" s="4"/>
      <c r="L485" s="19"/>
      <c r="M485" s="20"/>
    </row>
    <row r="486">
      <c r="A486" s="6"/>
      <c r="B486" s="6"/>
      <c r="C486" s="4"/>
      <c r="D486" s="36">
        <v>0.0</v>
      </c>
      <c r="E486" s="4"/>
      <c r="F486" s="4"/>
      <c r="G486" s="4"/>
      <c r="H486" s="4"/>
      <c r="I486" s="4"/>
      <c r="J486" s="18"/>
      <c r="K486" s="4"/>
      <c r="L486" s="19"/>
      <c r="M486" s="20"/>
    </row>
    <row r="487">
      <c r="A487" s="6"/>
      <c r="B487" s="6"/>
      <c r="C487" s="4"/>
      <c r="D487" s="36">
        <v>0.0</v>
      </c>
      <c r="E487" s="4"/>
      <c r="F487" s="4"/>
      <c r="G487" s="4"/>
      <c r="H487" s="4"/>
      <c r="I487" s="4"/>
      <c r="J487" s="18"/>
      <c r="K487" s="4"/>
      <c r="L487" s="19"/>
      <c r="M487" s="20"/>
    </row>
    <row r="488">
      <c r="A488" s="6"/>
      <c r="B488" s="6"/>
      <c r="C488" s="4"/>
      <c r="D488" s="36">
        <v>0.0</v>
      </c>
      <c r="E488" s="4"/>
      <c r="F488" s="4"/>
      <c r="G488" s="4"/>
      <c r="H488" s="4"/>
      <c r="I488" s="4"/>
      <c r="J488" s="18"/>
      <c r="K488" s="4"/>
      <c r="L488" s="19"/>
      <c r="M488" s="20"/>
    </row>
    <row r="489">
      <c r="A489" s="6"/>
      <c r="B489" s="6"/>
      <c r="C489" s="4"/>
      <c r="D489" s="36">
        <v>0.0</v>
      </c>
      <c r="E489" s="4"/>
      <c r="F489" s="4"/>
      <c r="G489" s="4"/>
      <c r="H489" s="4"/>
      <c r="I489" s="4"/>
      <c r="J489" s="18"/>
      <c r="K489" s="4"/>
      <c r="L489" s="19"/>
      <c r="M489" s="20"/>
    </row>
    <row r="490">
      <c r="A490" s="6"/>
      <c r="B490" s="6"/>
      <c r="C490" s="4"/>
      <c r="D490" s="36">
        <v>0.0</v>
      </c>
      <c r="E490" s="4"/>
      <c r="F490" s="4"/>
      <c r="G490" s="4"/>
      <c r="H490" s="4"/>
      <c r="I490" s="4"/>
      <c r="J490" s="18"/>
      <c r="K490" s="4"/>
      <c r="L490" s="19"/>
      <c r="M490" s="20"/>
    </row>
    <row r="491">
      <c r="A491" s="6"/>
      <c r="B491" s="6"/>
      <c r="C491" s="4"/>
      <c r="D491" s="36">
        <v>0.0</v>
      </c>
      <c r="E491" s="4"/>
      <c r="F491" s="4"/>
      <c r="G491" s="4"/>
      <c r="H491" s="4"/>
      <c r="I491" s="4"/>
      <c r="J491" s="18"/>
      <c r="K491" s="4"/>
      <c r="L491" s="19"/>
      <c r="M491" s="20"/>
    </row>
    <row r="492">
      <c r="A492" s="6"/>
      <c r="B492" s="6"/>
      <c r="C492" s="4"/>
      <c r="D492" s="36">
        <v>0.0</v>
      </c>
      <c r="E492" s="4"/>
      <c r="F492" s="4"/>
      <c r="G492" s="4"/>
      <c r="H492" s="4"/>
      <c r="I492" s="4"/>
      <c r="J492" s="18"/>
      <c r="K492" s="4"/>
      <c r="L492" s="19"/>
      <c r="M492" s="20"/>
    </row>
    <row r="493">
      <c r="A493" s="6"/>
      <c r="B493" s="6"/>
      <c r="C493" s="4"/>
      <c r="D493" s="36">
        <v>0.0</v>
      </c>
      <c r="E493" s="4"/>
      <c r="F493" s="4"/>
      <c r="G493" s="4"/>
      <c r="H493" s="4"/>
      <c r="I493" s="4"/>
      <c r="J493" s="18"/>
      <c r="K493" s="4"/>
      <c r="L493" s="19"/>
      <c r="M493" s="20"/>
    </row>
    <row r="494">
      <c r="A494" s="6"/>
      <c r="B494" s="6"/>
      <c r="C494" s="4"/>
      <c r="D494" s="36">
        <v>0.0</v>
      </c>
      <c r="E494" s="4"/>
      <c r="F494" s="4"/>
      <c r="G494" s="4"/>
      <c r="H494" s="4"/>
      <c r="I494" s="4"/>
      <c r="J494" s="18"/>
      <c r="K494" s="4"/>
      <c r="L494" s="19"/>
      <c r="M494" s="20"/>
    </row>
    <row r="495">
      <c r="A495" s="6"/>
      <c r="B495" s="6"/>
      <c r="C495" s="4"/>
      <c r="D495" s="36">
        <v>0.0</v>
      </c>
      <c r="E495" s="4"/>
      <c r="F495" s="4"/>
      <c r="G495" s="4"/>
      <c r="H495" s="4"/>
      <c r="I495" s="4"/>
      <c r="J495" s="18"/>
      <c r="K495" s="4"/>
      <c r="L495" s="19"/>
      <c r="M495" s="20"/>
    </row>
    <row r="496">
      <c r="A496" s="6"/>
      <c r="B496" s="6"/>
      <c r="C496" s="4"/>
      <c r="D496" s="36">
        <v>0.0</v>
      </c>
      <c r="E496" s="4"/>
      <c r="F496" s="4"/>
      <c r="G496" s="4"/>
      <c r="H496" s="4"/>
      <c r="I496" s="4"/>
      <c r="J496" s="18"/>
      <c r="K496" s="4"/>
      <c r="L496" s="19"/>
      <c r="M496" s="20"/>
    </row>
    <row r="497">
      <c r="A497" s="6"/>
      <c r="B497" s="6"/>
      <c r="C497" s="4"/>
      <c r="D497" s="36">
        <v>0.0</v>
      </c>
      <c r="E497" s="4"/>
      <c r="F497" s="4"/>
      <c r="G497" s="4"/>
      <c r="H497" s="4"/>
      <c r="I497" s="4"/>
      <c r="J497" s="18"/>
      <c r="K497" s="4"/>
      <c r="L497" s="19"/>
      <c r="M497" s="20"/>
    </row>
    <row r="498">
      <c r="A498" s="6"/>
      <c r="B498" s="6"/>
      <c r="C498" s="4"/>
      <c r="D498" s="36">
        <v>0.0</v>
      </c>
      <c r="E498" s="4"/>
      <c r="F498" s="4"/>
      <c r="G498" s="4"/>
      <c r="H498" s="4"/>
      <c r="I498" s="4"/>
      <c r="J498" s="18"/>
      <c r="K498" s="4"/>
      <c r="L498" s="19"/>
      <c r="M498" s="20"/>
    </row>
    <row r="499">
      <c r="A499" s="6"/>
      <c r="B499" s="6"/>
      <c r="C499" s="4"/>
      <c r="D499" s="36">
        <v>0.0</v>
      </c>
      <c r="E499" s="4"/>
      <c r="F499" s="4"/>
      <c r="G499" s="4"/>
      <c r="H499" s="4"/>
      <c r="I499" s="4"/>
      <c r="J499" s="18"/>
      <c r="K499" s="4"/>
      <c r="L499" s="19"/>
      <c r="M499" s="20"/>
    </row>
    <row r="500">
      <c r="A500" s="6"/>
      <c r="B500" s="6"/>
      <c r="C500" s="4"/>
      <c r="D500" s="36">
        <v>0.0</v>
      </c>
      <c r="E500" s="4"/>
      <c r="F500" s="4"/>
      <c r="G500" s="4"/>
      <c r="H500" s="4"/>
      <c r="I500" s="4"/>
      <c r="J500" s="18"/>
      <c r="K500" s="4"/>
      <c r="L500" s="19"/>
      <c r="M500" s="20"/>
    </row>
    <row r="501">
      <c r="A501" s="6"/>
      <c r="B501" s="6"/>
      <c r="C501" s="4"/>
      <c r="D501" s="36">
        <v>0.0</v>
      </c>
      <c r="E501" s="4"/>
      <c r="F501" s="4"/>
      <c r="G501" s="4"/>
      <c r="H501" s="4"/>
      <c r="I501" s="4"/>
      <c r="J501" s="18"/>
      <c r="K501" s="4"/>
      <c r="L501" s="19"/>
      <c r="M501" s="20"/>
    </row>
    <row r="502">
      <c r="A502" s="6"/>
      <c r="B502" s="6"/>
      <c r="C502" s="4"/>
      <c r="D502" s="36">
        <v>0.0</v>
      </c>
      <c r="E502" s="4"/>
      <c r="F502" s="4"/>
      <c r="G502" s="4"/>
      <c r="H502" s="4"/>
      <c r="I502" s="4"/>
      <c r="J502" s="18"/>
      <c r="K502" s="4"/>
      <c r="L502" s="19"/>
      <c r="M502" s="20"/>
    </row>
    <row r="503">
      <c r="A503" s="6"/>
      <c r="B503" s="6"/>
      <c r="C503" s="4"/>
      <c r="D503" s="36">
        <v>0.0</v>
      </c>
      <c r="E503" s="4"/>
      <c r="F503" s="4"/>
      <c r="G503" s="4"/>
      <c r="H503" s="4"/>
      <c r="I503" s="4"/>
      <c r="J503" s="18"/>
      <c r="K503" s="4"/>
      <c r="L503" s="19"/>
      <c r="M503" s="20"/>
    </row>
    <row r="504">
      <c r="A504" s="6"/>
      <c r="B504" s="6"/>
      <c r="C504" s="4"/>
      <c r="D504" s="36">
        <v>0.0</v>
      </c>
      <c r="E504" s="4"/>
      <c r="F504" s="4"/>
      <c r="G504" s="4"/>
      <c r="H504" s="4"/>
      <c r="I504" s="4"/>
      <c r="J504" s="18"/>
      <c r="K504" s="4"/>
      <c r="L504" s="19"/>
      <c r="M504" s="20"/>
    </row>
    <row r="505">
      <c r="A505" s="6"/>
      <c r="B505" s="6"/>
      <c r="C505" s="4"/>
      <c r="D505" s="36">
        <v>0.0</v>
      </c>
      <c r="E505" s="4"/>
      <c r="F505" s="4"/>
      <c r="G505" s="4"/>
      <c r="H505" s="4"/>
      <c r="I505" s="4"/>
      <c r="J505" s="18"/>
      <c r="K505" s="4"/>
      <c r="L505" s="19"/>
      <c r="M505" s="20"/>
    </row>
    <row r="506">
      <c r="A506" s="6"/>
      <c r="B506" s="6"/>
      <c r="C506" s="4"/>
      <c r="D506" s="36">
        <v>0.0</v>
      </c>
      <c r="E506" s="4"/>
      <c r="F506" s="4"/>
      <c r="G506" s="4"/>
      <c r="H506" s="4"/>
      <c r="I506" s="4"/>
      <c r="J506" s="18"/>
      <c r="K506" s="4"/>
      <c r="L506" s="19"/>
      <c r="M506" s="20"/>
    </row>
    <row r="507">
      <c r="A507" s="6"/>
      <c r="B507" s="6"/>
      <c r="C507" s="4"/>
      <c r="D507" s="36">
        <v>0.0</v>
      </c>
      <c r="E507" s="4"/>
      <c r="F507" s="4"/>
      <c r="G507" s="4"/>
      <c r="H507" s="4"/>
      <c r="I507" s="4"/>
      <c r="J507" s="18"/>
      <c r="K507" s="4"/>
      <c r="L507" s="19"/>
      <c r="M507" s="20"/>
    </row>
    <row r="508">
      <c r="A508" s="6"/>
      <c r="B508" s="6"/>
      <c r="C508" s="4"/>
      <c r="D508" s="36">
        <v>0.0</v>
      </c>
      <c r="E508" s="4"/>
      <c r="F508" s="4"/>
      <c r="G508" s="4"/>
      <c r="H508" s="4"/>
      <c r="I508" s="4"/>
      <c r="J508" s="18"/>
      <c r="K508" s="4"/>
      <c r="L508" s="19"/>
      <c r="M508" s="20"/>
    </row>
    <row r="509">
      <c r="A509" s="6"/>
      <c r="B509" s="6"/>
      <c r="C509" s="4"/>
      <c r="D509" s="36">
        <v>0.0</v>
      </c>
      <c r="E509" s="4"/>
      <c r="F509" s="4"/>
      <c r="G509" s="4"/>
      <c r="H509" s="4"/>
      <c r="I509" s="4"/>
      <c r="J509" s="18"/>
      <c r="K509" s="4"/>
      <c r="L509" s="19"/>
      <c r="M509" s="20"/>
    </row>
    <row r="510">
      <c r="A510" s="6"/>
      <c r="B510" s="6"/>
      <c r="C510" s="4"/>
      <c r="D510" s="36">
        <v>0.0</v>
      </c>
      <c r="E510" s="4"/>
      <c r="F510" s="4"/>
      <c r="G510" s="4"/>
      <c r="H510" s="4"/>
      <c r="I510" s="4"/>
      <c r="J510" s="18"/>
      <c r="K510" s="4"/>
      <c r="L510" s="19"/>
      <c r="M510" s="20"/>
    </row>
    <row r="511">
      <c r="A511" s="6"/>
      <c r="B511" s="6"/>
      <c r="C511" s="4"/>
      <c r="D511" s="36">
        <v>0.0</v>
      </c>
      <c r="E511" s="4"/>
      <c r="F511" s="4"/>
      <c r="G511" s="4"/>
      <c r="H511" s="4"/>
      <c r="I511" s="4"/>
      <c r="J511" s="18"/>
      <c r="K511" s="4"/>
      <c r="L511" s="19"/>
      <c r="M511" s="20"/>
    </row>
    <row r="512">
      <c r="A512" s="6"/>
      <c r="B512" s="6"/>
      <c r="C512" s="4"/>
      <c r="D512" s="36">
        <v>0.0</v>
      </c>
      <c r="E512" s="4"/>
      <c r="F512" s="4"/>
      <c r="G512" s="4"/>
      <c r="H512" s="4"/>
      <c r="I512" s="4"/>
      <c r="J512" s="18"/>
      <c r="K512" s="4"/>
      <c r="L512" s="19"/>
      <c r="M512" s="20"/>
    </row>
    <row r="513">
      <c r="A513" s="6"/>
      <c r="B513" s="6"/>
      <c r="C513" s="4"/>
      <c r="D513" s="36">
        <v>0.0</v>
      </c>
      <c r="E513" s="4"/>
      <c r="F513" s="4"/>
      <c r="G513" s="4"/>
      <c r="H513" s="4"/>
      <c r="I513" s="4"/>
      <c r="J513" s="18"/>
      <c r="K513" s="4"/>
      <c r="L513" s="19"/>
      <c r="M513" s="20"/>
    </row>
    <row r="514">
      <c r="A514" s="6"/>
      <c r="B514" s="6"/>
      <c r="C514" s="4"/>
      <c r="D514" s="36">
        <v>0.0</v>
      </c>
      <c r="E514" s="4"/>
      <c r="F514" s="4"/>
      <c r="G514" s="4"/>
      <c r="H514" s="4"/>
      <c r="I514" s="4"/>
      <c r="J514" s="18"/>
      <c r="K514" s="4"/>
      <c r="L514" s="19"/>
      <c r="M514" s="20"/>
    </row>
    <row r="515">
      <c r="A515" s="6"/>
      <c r="B515" s="6"/>
      <c r="C515" s="4"/>
      <c r="D515" s="36">
        <v>0.0</v>
      </c>
      <c r="E515" s="4"/>
      <c r="F515" s="4"/>
      <c r="G515" s="4"/>
      <c r="H515" s="4"/>
      <c r="I515" s="4"/>
      <c r="J515" s="18"/>
      <c r="K515" s="4"/>
      <c r="L515" s="19"/>
      <c r="M515" s="20"/>
    </row>
    <row r="516">
      <c r="A516" s="6"/>
      <c r="B516" s="6"/>
      <c r="C516" s="4"/>
      <c r="D516" s="36">
        <v>0.0</v>
      </c>
      <c r="E516" s="4"/>
      <c r="F516" s="4"/>
      <c r="G516" s="4"/>
      <c r="H516" s="4"/>
      <c r="I516" s="4"/>
      <c r="J516" s="18"/>
      <c r="K516" s="4"/>
      <c r="L516" s="19"/>
      <c r="M516" s="20"/>
    </row>
    <row r="517">
      <c r="A517" s="6"/>
      <c r="B517" s="6"/>
      <c r="C517" s="4"/>
      <c r="D517" s="36">
        <v>0.0</v>
      </c>
      <c r="E517" s="4"/>
      <c r="F517" s="4"/>
      <c r="G517" s="4"/>
      <c r="H517" s="4"/>
      <c r="I517" s="4"/>
      <c r="J517" s="18"/>
      <c r="K517" s="4"/>
      <c r="L517" s="19"/>
      <c r="M517" s="20"/>
    </row>
    <row r="518">
      <c r="A518" s="6"/>
      <c r="B518" s="6"/>
      <c r="C518" s="4"/>
      <c r="D518" s="36">
        <v>0.0</v>
      </c>
      <c r="E518" s="4"/>
      <c r="F518" s="4"/>
      <c r="G518" s="4"/>
      <c r="H518" s="4"/>
      <c r="I518" s="4"/>
      <c r="J518" s="18"/>
      <c r="K518" s="4"/>
      <c r="L518" s="19"/>
      <c r="M518" s="20"/>
    </row>
    <row r="519">
      <c r="A519" s="6"/>
      <c r="B519" s="6"/>
      <c r="C519" s="4"/>
      <c r="D519" s="36">
        <v>0.0</v>
      </c>
      <c r="E519" s="4"/>
      <c r="F519" s="4"/>
      <c r="G519" s="4"/>
      <c r="H519" s="4"/>
      <c r="I519" s="4"/>
      <c r="J519" s="18"/>
      <c r="K519" s="4"/>
      <c r="L519" s="19"/>
      <c r="M519" s="20"/>
    </row>
    <row r="520">
      <c r="A520" s="6"/>
      <c r="B520" s="6"/>
      <c r="C520" s="4"/>
      <c r="D520" s="36">
        <v>0.0</v>
      </c>
      <c r="E520" s="4"/>
      <c r="F520" s="4"/>
      <c r="G520" s="4"/>
      <c r="H520" s="4"/>
      <c r="I520" s="4"/>
      <c r="J520" s="18"/>
      <c r="K520" s="4"/>
      <c r="L520" s="19"/>
      <c r="M520" s="20"/>
    </row>
    <row r="521">
      <c r="A521" s="6"/>
      <c r="B521" s="6"/>
      <c r="C521" s="4"/>
      <c r="D521" s="36">
        <v>0.0</v>
      </c>
      <c r="E521" s="4"/>
      <c r="F521" s="4"/>
      <c r="G521" s="4"/>
      <c r="H521" s="4"/>
      <c r="I521" s="4"/>
      <c r="J521" s="18"/>
      <c r="K521" s="4"/>
      <c r="L521" s="19"/>
      <c r="M521" s="20"/>
    </row>
    <row r="522">
      <c r="A522" s="6"/>
      <c r="B522" s="6"/>
      <c r="C522" s="4"/>
      <c r="D522" s="36">
        <v>0.0</v>
      </c>
      <c r="E522" s="4"/>
      <c r="F522" s="4"/>
      <c r="G522" s="4"/>
      <c r="H522" s="4"/>
      <c r="I522" s="4"/>
      <c r="J522" s="18"/>
      <c r="K522" s="4"/>
      <c r="L522" s="19"/>
      <c r="M522" s="20"/>
    </row>
    <row r="523">
      <c r="A523" s="6"/>
      <c r="B523" s="6"/>
      <c r="C523" s="4"/>
      <c r="D523" s="36">
        <v>0.0</v>
      </c>
      <c r="E523" s="4"/>
      <c r="F523" s="4"/>
      <c r="G523" s="4"/>
      <c r="H523" s="4"/>
      <c r="I523" s="4"/>
      <c r="J523" s="18"/>
      <c r="K523" s="4"/>
      <c r="L523" s="19"/>
      <c r="M523" s="20"/>
    </row>
    <row r="524">
      <c r="A524" s="6"/>
      <c r="B524" s="6"/>
      <c r="C524" s="4"/>
      <c r="D524" s="36">
        <v>0.0</v>
      </c>
      <c r="E524" s="4"/>
      <c r="F524" s="4"/>
      <c r="G524" s="4"/>
      <c r="H524" s="4"/>
      <c r="I524" s="4"/>
      <c r="J524" s="18"/>
      <c r="K524" s="4"/>
      <c r="L524" s="19"/>
      <c r="M524" s="20"/>
    </row>
    <row r="525">
      <c r="A525" s="6"/>
      <c r="B525" s="6"/>
      <c r="C525" s="4"/>
      <c r="D525" s="36">
        <v>0.0</v>
      </c>
      <c r="E525" s="4"/>
      <c r="F525" s="4"/>
      <c r="G525" s="4"/>
      <c r="H525" s="4"/>
      <c r="I525" s="4"/>
      <c r="J525" s="18"/>
      <c r="K525" s="4"/>
      <c r="L525" s="19"/>
      <c r="M525" s="20"/>
    </row>
    <row r="526">
      <c r="A526" s="6"/>
      <c r="B526" s="6"/>
      <c r="C526" s="4"/>
      <c r="D526" s="36">
        <v>0.0</v>
      </c>
      <c r="E526" s="4"/>
      <c r="F526" s="4"/>
      <c r="G526" s="4"/>
      <c r="H526" s="4"/>
      <c r="I526" s="4"/>
      <c r="J526" s="18"/>
      <c r="K526" s="4"/>
      <c r="L526" s="19"/>
      <c r="M526" s="20"/>
    </row>
    <row r="527">
      <c r="A527" s="6"/>
      <c r="B527" s="6"/>
      <c r="C527" s="4"/>
      <c r="D527" s="36">
        <v>0.0</v>
      </c>
      <c r="E527" s="4"/>
      <c r="F527" s="4"/>
      <c r="G527" s="4"/>
      <c r="H527" s="4"/>
      <c r="I527" s="4"/>
      <c r="J527" s="18"/>
      <c r="K527" s="4"/>
      <c r="L527" s="19"/>
      <c r="M527" s="20"/>
    </row>
    <row r="528">
      <c r="A528" s="6"/>
      <c r="B528" s="6"/>
      <c r="C528" s="4"/>
      <c r="D528" s="36">
        <v>0.0</v>
      </c>
      <c r="E528" s="4"/>
      <c r="F528" s="4"/>
      <c r="G528" s="4"/>
      <c r="H528" s="4"/>
      <c r="I528" s="4"/>
      <c r="J528" s="18"/>
      <c r="K528" s="4"/>
      <c r="L528" s="19"/>
      <c r="M528" s="20"/>
    </row>
    <row r="529">
      <c r="A529" s="6"/>
      <c r="B529" s="6"/>
      <c r="C529" s="4"/>
      <c r="D529" s="36">
        <v>0.0</v>
      </c>
      <c r="E529" s="4"/>
      <c r="F529" s="4"/>
      <c r="G529" s="4"/>
      <c r="H529" s="4"/>
      <c r="I529" s="4"/>
      <c r="J529" s="18"/>
      <c r="K529" s="4"/>
      <c r="L529" s="19"/>
      <c r="M529" s="20"/>
    </row>
    <row r="530">
      <c r="A530" s="6"/>
      <c r="B530" s="6"/>
      <c r="C530" s="4"/>
      <c r="D530" s="36">
        <v>0.0</v>
      </c>
      <c r="E530" s="4"/>
      <c r="F530" s="4"/>
      <c r="G530" s="4"/>
      <c r="H530" s="4"/>
      <c r="I530" s="4"/>
      <c r="J530" s="18"/>
      <c r="K530" s="4"/>
      <c r="L530" s="19"/>
      <c r="M530" s="20"/>
    </row>
    <row r="531">
      <c r="A531" s="6"/>
      <c r="B531" s="6"/>
      <c r="C531" s="4"/>
      <c r="D531" s="36">
        <v>0.0</v>
      </c>
      <c r="E531" s="4"/>
      <c r="F531" s="4"/>
      <c r="G531" s="4"/>
      <c r="H531" s="4"/>
      <c r="I531" s="4"/>
      <c r="J531" s="18"/>
      <c r="K531" s="4"/>
      <c r="L531" s="19"/>
      <c r="M531" s="20"/>
    </row>
    <row r="532">
      <c r="A532" s="6"/>
      <c r="B532" s="6"/>
      <c r="C532" s="4"/>
      <c r="D532" s="36">
        <v>0.0</v>
      </c>
      <c r="E532" s="4"/>
      <c r="F532" s="4"/>
      <c r="G532" s="4"/>
      <c r="H532" s="4"/>
      <c r="I532" s="4"/>
      <c r="J532" s="18"/>
      <c r="K532" s="4"/>
      <c r="L532" s="19"/>
      <c r="M532" s="20"/>
    </row>
    <row r="533">
      <c r="A533" s="6"/>
      <c r="B533" s="6"/>
      <c r="C533" s="4"/>
      <c r="D533" s="36">
        <v>0.0</v>
      </c>
      <c r="E533" s="4"/>
      <c r="F533" s="4"/>
      <c r="G533" s="4"/>
      <c r="H533" s="4"/>
      <c r="I533" s="4"/>
      <c r="J533" s="18"/>
      <c r="K533" s="4"/>
      <c r="L533" s="19"/>
      <c r="M533" s="20"/>
    </row>
    <row r="534">
      <c r="A534" s="6"/>
      <c r="B534" s="6"/>
      <c r="C534" s="4"/>
      <c r="D534" s="36">
        <v>0.0</v>
      </c>
      <c r="E534" s="4"/>
      <c r="F534" s="4"/>
      <c r="G534" s="4"/>
      <c r="H534" s="4"/>
      <c r="I534" s="4"/>
      <c r="J534" s="18"/>
      <c r="K534" s="4"/>
      <c r="L534" s="19"/>
      <c r="M534" s="20"/>
    </row>
    <row r="535">
      <c r="A535" s="6"/>
      <c r="B535" s="6"/>
      <c r="C535" s="4"/>
      <c r="D535" s="36">
        <v>0.0</v>
      </c>
      <c r="E535" s="4"/>
      <c r="F535" s="4"/>
      <c r="G535" s="4"/>
      <c r="H535" s="4"/>
      <c r="I535" s="4"/>
      <c r="J535" s="18"/>
      <c r="K535" s="4"/>
      <c r="L535" s="19"/>
      <c r="M535" s="20"/>
    </row>
    <row r="536">
      <c r="A536" s="6"/>
      <c r="B536" s="6"/>
      <c r="C536" s="4"/>
      <c r="D536" s="36">
        <v>0.0</v>
      </c>
      <c r="E536" s="4"/>
      <c r="F536" s="4"/>
      <c r="G536" s="4"/>
      <c r="H536" s="4"/>
      <c r="I536" s="4"/>
      <c r="J536" s="18"/>
      <c r="K536" s="4"/>
      <c r="L536" s="19"/>
      <c r="M536" s="20"/>
    </row>
    <row r="537">
      <c r="A537" s="6"/>
      <c r="B537" s="6"/>
      <c r="C537" s="4"/>
      <c r="D537" s="36">
        <v>0.0</v>
      </c>
      <c r="E537" s="4"/>
      <c r="F537" s="4"/>
      <c r="G537" s="4"/>
      <c r="H537" s="4"/>
      <c r="I537" s="4"/>
      <c r="J537" s="18"/>
      <c r="K537" s="4"/>
      <c r="L537" s="19"/>
      <c r="M537" s="20"/>
    </row>
    <row r="538">
      <c r="A538" s="6"/>
      <c r="B538" s="6"/>
      <c r="C538" s="4"/>
      <c r="D538" s="36">
        <v>0.0</v>
      </c>
      <c r="E538" s="4"/>
      <c r="F538" s="4"/>
      <c r="G538" s="4"/>
      <c r="H538" s="4"/>
      <c r="I538" s="4"/>
      <c r="J538" s="18"/>
      <c r="K538" s="4"/>
      <c r="L538" s="19"/>
      <c r="M538" s="20"/>
    </row>
    <row r="539">
      <c r="A539" s="6"/>
      <c r="B539" s="6"/>
      <c r="C539" s="4"/>
      <c r="D539" s="36">
        <v>0.0</v>
      </c>
      <c r="E539" s="4"/>
      <c r="F539" s="4"/>
      <c r="G539" s="4"/>
      <c r="H539" s="4"/>
      <c r="I539" s="4"/>
      <c r="J539" s="18"/>
      <c r="K539" s="4"/>
      <c r="L539" s="19"/>
      <c r="M539" s="20"/>
    </row>
    <row r="540">
      <c r="A540" s="6"/>
      <c r="B540" s="6"/>
      <c r="C540" s="4"/>
      <c r="D540" s="36">
        <v>0.0</v>
      </c>
      <c r="E540" s="4"/>
      <c r="F540" s="4"/>
      <c r="G540" s="4"/>
      <c r="H540" s="4"/>
      <c r="I540" s="4"/>
      <c r="J540" s="18"/>
      <c r="K540" s="4"/>
      <c r="L540" s="19"/>
      <c r="M540" s="20"/>
    </row>
    <row r="541">
      <c r="A541" s="6"/>
      <c r="B541" s="6"/>
      <c r="C541" s="4"/>
      <c r="D541" s="36">
        <v>0.0</v>
      </c>
      <c r="E541" s="4"/>
      <c r="F541" s="4"/>
      <c r="G541" s="4"/>
      <c r="H541" s="4"/>
      <c r="I541" s="4"/>
      <c r="J541" s="18"/>
      <c r="K541" s="4"/>
      <c r="L541" s="19"/>
      <c r="M541" s="20"/>
    </row>
    <row r="542">
      <c r="A542" s="6"/>
      <c r="B542" s="6"/>
      <c r="C542" s="4"/>
      <c r="D542" s="36">
        <v>0.0</v>
      </c>
      <c r="E542" s="4"/>
      <c r="F542" s="4"/>
      <c r="G542" s="4"/>
      <c r="H542" s="4"/>
      <c r="I542" s="4"/>
      <c r="J542" s="18"/>
      <c r="K542" s="4"/>
      <c r="L542" s="19"/>
      <c r="M542" s="20"/>
    </row>
    <row r="543">
      <c r="A543" s="6"/>
      <c r="B543" s="6"/>
      <c r="C543" s="4"/>
      <c r="D543" s="36">
        <v>0.0</v>
      </c>
      <c r="E543" s="4"/>
      <c r="F543" s="4"/>
      <c r="G543" s="4"/>
      <c r="H543" s="4"/>
      <c r="I543" s="4"/>
      <c r="J543" s="18"/>
      <c r="K543" s="4"/>
      <c r="L543" s="19"/>
      <c r="M543" s="20"/>
    </row>
    <row r="544">
      <c r="A544" s="6"/>
      <c r="B544" s="6"/>
      <c r="C544" s="4"/>
      <c r="D544" s="36">
        <v>0.0</v>
      </c>
      <c r="E544" s="4"/>
      <c r="F544" s="4"/>
      <c r="G544" s="4"/>
      <c r="H544" s="4"/>
      <c r="I544" s="4"/>
      <c r="J544" s="18"/>
      <c r="K544" s="4"/>
      <c r="L544" s="19"/>
      <c r="M544" s="20"/>
    </row>
    <row r="545">
      <c r="A545" s="6"/>
      <c r="B545" s="6"/>
      <c r="C545" s="4"/>
      <c r="D545" s="36">
        <v>0.0</v>
      </c>
      <c r="E545" s="4"/>
      <c r="F545" s="4"/>
      <c r="G545" s="4"/>
      <c r="H545" s="4"/>
      <c r="I545" s="4"/>
      <c r="J545" s="18"/>
      <c r="K545" s="4"/>
      <c r="L545" s="19"/>
      <c r="M545" s="20"/>
    </row>
    <row r="546">
      <c r="A546" s="6"/>
      <c r="B546" s="6"/>
      <c r="C546" s="4"/>
      <c r="D546" s="36">
        <v>0.0</v>
      </c>
      <c r="E546" s="4"/>
      <c r="F546" s="4"/>
      <c r="G546" s="4"/>
      <c r="H546" s="4"/>
      <c r="I546" s="4"/>
      <c r="J546" s="18"/>
      <c r="K546" s="4"/>
      <c r="L546" s="19"/>
      <c r="M546" s="20"/>
    </row>
    <row r="547">
      <c r="A547" s="6"/>
      <c r="B547" s="6"/>
      <c r="C547" s="4"/>
      <c r="D547" s="36">
        <v>0.0</v>
      </c>
      <c r="E547" s="4"/>
      <c r="F547" s="4"/>
      <c r="G547" s="4"/>
      <c r="H547" s="4"/>
      <c r="I547" s="4"/>
      <c r="J547" s="18"/>
      <c r="K547" s="4"/>
      <c r="L547" s="19"/>
      <c r="M547" s="20"/>
    </row>
    <row r="548">
      <c r="A548" s="6"/>
      <c r="B548" s="6"/>
      <c r="C548" s="4"/>
      <c r="D548" s="36">
        <v>0.0</v>
      </c>
      <c r="E548" s="4"/>
      <c r="F548" s="4"/>
      <c r="G548" s="4"/>
      <c r="H548" s="4"/>
      <c r="I548" s="4"/>
      <c r="J548" s="18"/>
      <c r="K548" s="4"/>
      <c r="L548" s="19"/>
      <c r="M548" s="20"/>
    </row>
    <row r="549">
      <c r="A549" s="6"/>
      <c r="B549" s="6"/>
      <c r="C549" s="4"/>
      <c r="D549" s="36">
        <v>0.0</v>
      </c>
      <c r="E549" s="4"/>
      <c r="F549" s="4"/>
      <c r="G549" s="4"/>
      <c r="H549" s="4"/>
      <c r="I549" s="4"/>
      <c r="J549" s="18"/>
      <c r="K549" s="4"/>
      <c r="L549" s="19"/>
      <c r="M549" s="20"/>
    </row>
    <row r="550">
      <c r="A550" s="6"/>
      <c r="B550" s="6"/>
      <c r="C550" s="4"/>
      <c r="D550" s="36">
        <v>0.0</v>
      </c>
      <c r="E550" s="4"/>
      <c r="F550" s="4"/>
      <c r="G550" s="4"/>
      <c r="H550" s="4"/>
      <c r="I550" s="4"/>
      <c r="J550" s="18"/>
      <c r="K550" s="4"/>
      <c r="L550" s="19"/>
      <c r="M550" s="20"/>
    </row>
    <row r="551">
      <c r="A551" s="6"/>
      <c r="B551" s="6"/>
      <c r="C551" s="4"/>
      <c r="D551" s="36">
        <v>0.0</v>
      </c>
      <c r="E551" s="4"/>
      <c r="F551" s="4"/>
      <c r="G551" s="4"/>
      <c r="H551" s="4"/>
      <c r="I551" s="4"/>
      <c r="J551" s="18"/>
      <c r="K551" s="4"/>
      <c r="L551" s="19"/>
      <c r="M551" s="20"/>
    </row>
    <row r="552">
      <c r="A552" s="6"/>
      <c r="B552" s="6"/>
      <c r="C552" s="4"/>
      <c r="D552" s="36">
        <v>0.0</v>
      </c>
      <c r="E552" s="4"/>
      <c r="F552" s="4"/>
      <c r="G552" s="4"/>
      <c r="H552" s="4"/>
      <c r="I552" s="4"/>
      <c r="J552" s="18"/>
      <c r="K552" s="4"/>
      <c r="L552" s="19"/>
      <c r="M552" s="20"/>
    </row>
    <row r="553">
      <c r="A553" s="6"/>
      <c r="B553" s="6"/>
      <c r="C553" s="4"/>
      <c r="D553" s="36">
        <v>0.0</v>
      </c>
      <c r="E553" s="4"/>
      <c r="F553" s="4"/>
      <c r="G553" s="4"/>
      <c r="H553" s="4"/>
      <c r="I553" s="4"/>
      <c r="J553" s="18"/>
      <c r="K553" s="4"/>
      <c r="L553" s="19"/>
      <c r="M553" s="20"/>
    </row>
    <row r="554">
      <c r="A554" s="6"/>
      <c r="B554" s="6"/>
      <c r="C554" s="4"/>
      <c r="D554" s="36">
        <v>0.0</v>
      </c>
      <c r="E554" s="4"/>
      <c r="F554" s="4"/>
      <c r="G554" s="4"/>
      <c r="H554" s="4"/>
      <c r="I554" s="4"/>
      <c r="J554" s="18"/>
      <c r="K554" s="4"/>
      <c r="L554" s="19"/>
      <c r="M554" s="20"/>
    </row>
    <row r="555">
      <c r="A555" s="6"/>
      <c r="B555" s="6"/>
      <c r="C555" s="4"/>
      <c r="D555" s="36">
        <v>0.0</v>
      </c>
      <c r="E555" s="4"/>
      <c r="F555" s="4"/>
      <c r="G555" s="4"/>
      <c r="H555" s="4"/>
      <c r="I555" s="4"/>
      <c r="J555" s="18"/>
      <c r="K555" s="4"/>
      <c r="L555" s="19"/>
      <c r="M555" s="20"/>
    </row>
    <row r="556">
      <c r="A556" s="6"/>
      <c r="B556" s="6"/>
      <c r="C556" s="4"/>
      <c r="D556" s="36">
        <v>0.0</v>
      </c>
      <c r="E556" s="4"/>
      <c r="F556" s="4"/>
      <c r="G556" s="4"/>
      <c r="H556" s="4"/>
      <c r="I556" s="4"/>
      <c r="J556" s="18"/>
      <c r="K556" s="4"/>
      <c r="L556" s="19"/>
      <c r="M556" s="20"/>
    </row>
    <row r="557">
      <c r="A557" s="6"/>
      <c r="B557" s="6"/>
      <c r="C557" s="4"/>
      <c r="D557" s="36">
        <v>0.0</v>
      </c>
      <c r="E557" s="4"/>
      <c r="F557" s="4"/>
      <c r="G557" s="4"/>
      <c r="H557" s="4"/>
      <c r="I557" s="4"/>
      <c r="J557" s="18"/>
      <c r="K557" s="4"/>
      <c r="L557" s="19"/>
      <c r="M557" s="20"/>
    </row>
    <row r="558">
      <c r="A558" s="6"/>
      <c r="B558" s="6"/>
      <c r="C558" s="4"/>
      <c r="D558" s="36">
        <v>0.0</v>
      </c>
      <c r="E558" s="4"/>
      <c r="F558" s="4"/>
      <c r="G558" s="4"/>
      <c r="H558" s="4"/>
      <c r="I558" s="4"/>
      <c r="J558" s="18"/>
      <c r="K558" s="4"/>
      <c r="L558" s="19"/>
      <c r="M558" s="20"/>
    </row>
    <row r="559">
      <c r="A559" s="6"/>
      <c r="B559" s="6"/>
      <c r="C559" s="4"/>
      <c r="D559" s="36">
        <v>0.0</v>
      </c>
      <c r="E559" s="4"/>
      <c r="F559" s="4"/>
      <c r="G559" s="4"/>
      <c r="H559" s="4"/>
      <c r="I559" s="4"/>
      <c r="J559" s="18"/>
      <c r="K559" s="4"/>
      <c r="L559" s="19"/>
      <c r="M559" s="20"/>
    </row>
    <row r="560">
      <c r="A560" s="6"/>
      <c r="B560" s="6"/>
      <c r="C560" s="4"/>
      <c r="D560" s="36">
        <v>0.0</v>
      </c>
      <c r="E560" s="4"/>
      <c r="F560" s="4"/>
      <c r="G560" s="4"/>
      <c r="H560" s="4"/>
      <c r="I560" s="4"/>
      <c r="J560" s="18"/>
      <c r="K560" s="4"/>
      <c r="L560" s="19"/>
      <c r="M560" s="20"/>
    </row>
    <row r="561">
      <c r="A561" s="6"/>
      <c r="B561" s="6"/>
      <c r="C561" s="4"/>
      <c r="D561" s="36">
        <v>0.0</v>
      </c>
      <c r="E561" s="4"/>
      <c r="F561" s="4"/>
      <c r="G561" s="4"/>
      <c r="H561" s="4"/>
      <c r="I561" s="4"/>
      <c r="J561" s="18"/>
      <c r="K561" s="4"/>
      <c r="L561" s="19"/>
      <c r="M561" s="20"/>
    </row>
    <row r="562">
      <c r="A562" s="6"/>
      <c r="B562" s="6"/>
      <c r="C562" s="4"/>
      <c r="D562" s="36">
        <v>0.0</v>
      </c>
      <c r="E562" s="4"/>
      <c r="F562" s="4"/>
      <c r="G562" s="4"/>
      <c r="H562" s="4"/>
      <c r="I562" s="4"/>
      <c r="J562" s="18"/>
      <c r="K562" s="4"/>
      <c r="L562" s="19"/>
      <c r="M562" s="20"/>
    </row>
    <row r="563">
      <c r="A563" s="6"/>
      <c r="B563" s="6"/>
      <c r="C563" s="4"/>
      <c r="D563" s="36">
        <v>0.0</v>
      </c>
      <c r="E563" s="4"/>
      <c r="F563" s="4"/>
      <c r="G563" s="4"/>
      <c r="H563" s="4"/>
      <c r="I563" s="4"/>
      <c r="J563" s="18"/>
      <c r="K563" s="4"/>
      <c r="L563" s="19"/>
      <c r="M563" s="20"/>
    </row>
    <row r="564">
      <c r="A564" s="6"/>
      <c r="B564" s="6"/>
      <c r="C564" s="4"/>
      <c r="D564" s="36">
        <v>0.0</v>
      </c>
      <c r="E564" s="4"/>
      <c r="F564" s="4"/>
      <c r="G564" s="4"/>
      <c r="H564" s="4"/>
      <c r="I564" s="4"/>
      <c r="J564" s="18"/>
      <c r="K564" s="4"/>
      <c r="L564" s="19"/>
      <c r="M564" s="20"/>
    </row>
    <row r="565">
      <c r="A565" s="6"/>
      <c r="B565" s="6"/>
      <c r="C565" s="4"/>
      <c r="D565" s="36">
        <v>0.0</v>
      </c>
      <c r="E565" s="4"/>
      <c r="F565" s="4"/>
      <c r="G565" s="4"/>
      <c r="H565" s="4"/>
      <c r="I565" s="4"/>
      <c r="J565" s="18"/>
      <c r="K565" s="4"/>
      <c r="L565" s="19"/>
      <c r="M565" s="20"/>
    </row>
    <row r="566">
      <c r="A566" s="6"/>
      <c r="B566" s="6"/>
      <c r="C566" s="4"/>
      <c r="D566" s="36">
        <v>0.0</v>
      </c>
      <c r="E566" s="4"/>
      <c r="F566" s="4"/>
      <c r="G566" s="4"/>
      <c r="H566" s="4"/>
      <c r="I566" s="4"/>
      <c r="J566" s="18"/>
      <c r="K566" s="4"/>
      <c r="L566" s="19"/>
      <c r="M566" s="20"/>
    </row>
    <row r="567">
      <c r="A567" s="6"/>
      <c r="B567" s="6"/>
      <c r="C567" s="4"/>
      <c r="D567" s="36">
        <v>0.0</v>
      </c>
      <c r="E567" s="4"/>
      <c r="F567" s="4"/>
      <c r="G567" s="4"/>
      <c r="H567" s="4"/>
      <c r="I567" s="4"/>
      <c r="J567" s="18"/>
      <c r="K567" s="4"/>
      <c r="L567" s="19"/>
      <c r="M567" s="20"/>
    </row>
    <row r="568">
      <c r="A568" s="6"/>
      <c r="B568" s="6"/>
      <c r="C568" s="4"/>
      <c r="D568" s="36">
        <v>0.0</v>
      </c>
      <c r="E568" s="4"/>
      <c r="F568" s="4"/>
      <c r="G568" s="4"/>
      <c r="H568" s="4"/>
      <c r="I568" s="4"/>
      <c r="J568" s="18"/>
      <c r="K568" s="4"/>
      <c r="L568" s="19"/>
      <c r="M568" s="20"/>
    </row>
    <row r="569">
      <c r="A569" s="6"/>
      <c r="B569" s="6"/>
      <c r="C569" s="4"/>
      <c r="D569" s="36">
        <v>0.0</v>
      </c>
      <c r="E569" s="4"/>
      <c r="F569" s="4"/>
      <c r="G569" s="4"/>
      <c r="H569" s="4"/>
      <c r="I569" s="4"/>
      <c r="J569" s="18"/>
      <c r="K569" s="4"/>
      <c r="L569" s="19"/>
      <c r="M569" s="20"/>
    </row>
    <row r="570">
      <c r="A570" s="6"/>
      <c r="B570" s="6"/>
      <c r="C570" s="4"/>
      <c r="D570" s="36">
        <v>0.0</v>
      </c>
      <c r="E570" s="4"/>
      <c r="F570" s="4"/>
      <c r="G570" s="4"/>
      <c r="H570" s="4"/>
      <c r="I570" s="4"/>
      <c r="J570" s="18"/>
      <c r="K570" s="4"/>
      <c r="L570" s="19"/>
      <c r="M570" s="20"/>
    </row>
    <row r="571">
      <c r="A571" s="6"/>
      <c r="B571" s="6"/>
      <c r="C571" s="4"/>
      <c r="D571" s="36">
        <v>0.0</v>
      </c>
      <c r="E571" s="4"/>
      <c r="F571" s="4"/>
      <c r="G571" s="4"/>
      <c r="H571" s="4"/>
      <c r="I571" s="4"/>
      <c r="J571" s="18"/>
      <c r="K571" s="4"/>
      <c r="L571" s="19"/>
      <c r="M571" s="20"/>
    </row>
    <row r="572">
      <c r="A572" s="6"/>
      <c r="B572" s="6"/>
      <c r="C572" s="4"/>
      <c r="D572" s="36">
        <v>0.0</v>
      </c>
      <c r="E572" s="4"/>
      <c r="F572" s="4"/>
      <c r="G572" s="4"/>
      <c r="H572" s="4"/>
      <c r="I572" s="4"/>
      <c r="J572" s="18"/>
      <c r="K572" s="4"/>
      <c r="L572" s="19"/>
      <c r="M572" s="20"/>
    </row>
    <row r="573">
      <c r="A573" s="6"/>
      <c r="B573" s="6"/>
      <c r="C573" s="4"/>
      <c r="D573" s="36">
        <v>0.0</v>
      </c>
      <c r="E573" s="4"/>
      <c r="F573" s="4"/>
      <c r="G573" s="4"/>
      <c r="H573" s="4"/>
      <c r="I573" s="4"/>
      <c r="J573" s="18"/>
      <c r="K573" s="4"/>
      <c r="L573" s="19"/>
      <c r="M573" s="20"/>
    </row>
    <row r="574">
      <c r="A574" s="6"/>
      <c r="B574" s="6"/>
      <c r="C574" s="4"/>
      <c r="D574" s="36">
        <v>0.0</v>
      </c>
      <c r="E574" s="4"/>
      <c r="F574" s="4"/>
      <c r="G574" s="4"/>
      <c r="H574" s="4"/>
      <c r="I574" s="4"/>
      <c r="J574" s="18"/>
      <c r="K574" s="4"/>
      <c r="L574" s="19"/>
      <c r="M574" s="20"/>
    </row>
    <row r="575">
      <c r="A575" s="6"/>
      <c r="B575" s="6"/>
      <c r="C575" s="4"/>
      <c r="D575" s="36">
        <v>0.0</v>
      </c>
      <c r="E575" s="4"/>
      <c r="F575" s="4"/>
      <c r="G575" s="4"/>
      <c r="H575" s="4"/>
      <c r="I575" s="4"/>
      <c r="J575" s="18"/>
      <c r="K575" s="4"/>
      <c r="L575" s="19"/>
      <c r="M575" s="20"/>
    </row>
    <row r="576">
      <c r="A576" s="6"/>
      <c r="B576" s="6"/>
      <c r="C576" s="4"/>
      <c r="D576" s="36">
        <v>0.0</v>
      </c>
      <c r="E576" s="4"/>
      <c r="F576" s="4"/>
      <c r="G576" s="4"/>
      <c r="H576" s="4"/>
      <c r="I576" s="4"/>
      <c r="J576" s="18"/>
      <c r="K576" s="4"/>
      <c r="L576" s="19"/>
      <c r="M576" s="20"/>
    </row>
    <row r="577">
      <c r="A577" s="6"/>
      <c r="B577" s="6"/>
      <c r="C577" s="4"/>
      <c r="D577" s="36">
        <v>0.0</v>
      </c>
      <c r="E577" s="4"/>
      <c r="F577" s="4"/>
      <c r="G577" s="4"/>
      <c r="H577" s="4"/>
      <c r="I577" s="4"/>
      <c r="J577" s="18"/>
      <c r="K577" s="4"/>
      <c r="L577" s="19"/>
      <c r="M577" s="20"/>
    </row>
    <row r="578">
      <c r="A578" s="6"/>
      <c r="B578" s="6"/>
      <c r="C578" s="4"/>
      <c r="D578" s="36">
        <v>0.0</v>
      </c>
      <c r="E578" s="4"/>
      <c r="F578" s="4"/>
      <c r="G578" s="4"/>
      <c r="H578" s="4"/>
      <c r="I578" s="4"/>
      <c r="J578" s="18"/>
      <c r="K578" s="4"/>
      <c r="L578" s="19"/>
      <c r="M578" s="20"/>
    </row>
    <row r="579">
      <c r="A579" s="6"/>
      <c r="B579" s="6"/>
      <c r="C579" s="4"/>
      <c r="D579" s="36">
        <v>0.0</v>
      </c>
      <c r="E579" s="4"/>
      <c r="F579" s="4"/>
      <c r="G579" s="4"/>
      <c r="H579" s="4"/>
      <c r="I579" s="4"/>
      <c r="J579" s="18"/>
      <c r="K579" s="4"/>
      <c r="L579" s="19"/>
      <c r="M579" s="20"/>
    </row>
    <row r="580">
      <c r="A580" s="6"/>
      <c r="B580" s="6"/>
      <c r="C580" s="4"/>
      <c r="D580" s="36">
        <v>0.0</v>
      </c>
      <c r="E580" s="4"/>
      <c r="F580" s="4"/>
      <c r="G580" s="4"/>
      <c r="H580" s="4"/>
      <c r="I580" s="4"/>
      <c r="J580" s="18"/>
      <c r="K580" s="4"/>
      <c r="L580" s="19"/>
      <c r="M580" s="20"/>
    </row>
    <row r="581">
      <c r="A581" s="6"/>
      <c r="B581" s="6"/>
      <c r="C581" s="4"/>
      <c r="D581" s="36">
        <v>0.0</v>
      </c>
      <c r="E581" s="4"/>
      <c r="F581" s="4"/>
      <c r="G581" s="4"/>
      <c r="H581" s="4"/>
      <c r="I581" s="4"/>
      <c r="J581" s="18"/>
      <c r="K581" s="4"/>
      <c r="L581" s="19"/>
      <c r="M581" s="20"/>
    </row>
    <row r="582">
      <c r="A582" s="6"/>
      <c r="B582" s="6"/>
      <c r="C582" s="4"/>
      <c r="D582" s="36">
        <v>0.0</v>
      </c>
      <c r="E582" s="4"/>
      <c r="F582" s="4"/>
      <c r="G582" s="4"/>
      <c r="H582" s="4"/>
      <c r="I582" s="4"/>
      <c r="J582" s="18"/>
      <c r="K582" s="4"/>
      <c r="L582" s="19"/>
      <c r="M582" s="20"/>
    </row>
    <row r="583">
      <c r="A583" s="6"/>
      <c r="B583" s="6"/>
      <c r="C583" s="4"/>
      <c r="D583" s="36">
        <v>0.0</v>
      </c>
      <c r="E583" s="4"/>
      <c r="F583" s="4"/>
      <c r="G583" s="4"/>
      <c r="H583" s="4"/>
      <c r="I583" s="4"/>
      <c r="J583" s="18"/>
      <c r="K583" s="4"/>
      <c r="L583" s="19"/>
      <c r="M583" s="20"/>
    </row>
    <row r="584">
      <c r="A584" s="6"/>
      <c r="B584" s="6"/>
      <c r="C584" s="4"/>
      <c r="D584" s="36">
        <v>0.0</v>
      </c>
      <c r="E584" s="4"/>
      <c r="F584" s="4"/>
      <c r="G584" s="4"/>
      <c r="H584" s="4"/>
      <c r="I584" s="4"/>
      <c r="J584" s="18"/>
      <c r="K584" s="4"/>
      <c r="L584" s="19"/>
      <c r="M584" s="20"/>
    </row>
    <row r="585">
      <c r="A585" s="6"/>
      <c r="B585" s="6"/>
      <c r="C585" s="4"/>
      <c r="D585" s="36">
        <v>0.0</v>
      </c>
      <c r="E585" s="4"/>
      <c r="F585" s="4"/>
      <c r="G585" s="4"/>
      <c r="H585" s="4"/>
      <c r="I585" s="4"/>
      <c r="J585" s="18"/>
      <c r="K585" s="4"/>
      <c r="L585" s="19"/>
      <c r="M585" s="20"/>
    </row>
    <row r="586">
      <c r="A586" s="6"/>
      <c r="B586" s="6"/>
      <c r="C586" s="4"/>
      <c r="D586" s="36">
        <v>0.0</v>
      </c>
      <c r="E586" s="4"/>
      <c r="F586" s="4"/>
      <c r="G586" s="4"/>
      <c r="H586" s="4"/>
      <c r="I586" s="4"/>
      <c r="J586" s="18"/>
      <c r="K586" s="4"/>
      <c r="L586" s="19"/>
      <c r="M586" s="20"/>
    </row>
    <row r="587">
      <c r="A587" s="6"/>
      <c r="B587" s="6"/>
      <c r="C587" s="4"/>
      <c r="D587" s="36">
        <v>0.0</v>
      </c>
      <c r="E587" s="4"/>
      <c r="F587" s="4"/>
      <c r="G587" s="4"/>
      <c r="H587" s="4"/>
      <c r="I587" s="4"/>
      <c r="J587" s="18"/>
      <c r="K587" s="4"/>
      <c r="L587" s="19"/>
      <c r="M587" s="20"/>
    </row>
    <row r="588">
      <c r="A588" s="6"/>
      <c r="B588" s="6"/>
      <c r="C588" s="4"/>
      <c r="D588" s="36">
        <v>0.0</v>
      </c>
      <c r="E588" s="4"/>
      <c r="F588" s="4"/>
      <c r="G588" s="4"/>
      <c r="H588" s="4"/>
      <c r="I588" s="4"/>
      <c r="J588" s="18"/>
      <c r="K588" s="4"/>
      <c r="L588" s="19"/>
      <c r="M588" s="20"/>
    </row>
    <row r="589">
      <c r="A589" s="6"/>
      <c r="B589" s="6"/>
      <c r="C589" s="4"/>
      <c r="D589" s="36">
        <v>0.0</v>
      </c>
      <c r="E589" s="4"/>
      <c r="F589" s="4"/>
      <c r="G589" s="4"/>
      <c r="H589" s="4"/>
      <c r="I589" s="4"/>
      <c r="J589" s="18"/>
      <c r="K589" s="4"/>
      <c r="L589" s="19"/>
      <c r="M589" s="20"/>
    </row>
    <row r="590">
      <c r="A590" s="6"/>
      <c r="B590" s="6"/>
      <c r="C590" s="4"/>
      <c r="D590" s="36">
        <v>0.0</v>
      </c>
      <c r="E590" s="4"/>
      <c r="F590" s="4"/>
      <c r="G590" s="4"/>
      <c r="H590" s="4"/>
      <c r="I590" s="4"/>
      <c r="J590" s="18"/>
      <c r="K590" s="4"/>
      <c r="L590" s="19"/>
      <c r="M590" s="20"/>
    </row>
    <row r="591">
      <c r="A591" s="6"/>
      <c r="B591" s="6"/>
      <c r="C591" s="4"/>
      <c r="D591" s="36">
        <v>0.0</v>
      </c>
      <c r="E591" s="4"/>
      <c r="F591" s="4"/>
      <c r="G591" s="4"/>
      <c r="H591" s="4"/>
      <c r="I591" s="4"/>
      <c r="J591" s="18"/>
      <c r="K591" s="4"/>
      <c r="L591" s="19"/>
      <c r="M591" s="20"/>
    </row>
    <row r="592">
      <c r="A592" s="6"/>
      <c r="B592" s="6"/>
      <c r="C592" s="4"/>
      <c r="D592" s="36">
        <v>0.0</v>
      </c>
      <c r="E592" s="4"/>
      <c r="F592" s="4"/>
      <c r="G592" s="4"/>
      <c r="H592" s="4"/>
      <c r="I592" s="4"/>
      <c r="J592" s="18"/>
      <c r="K592" s="4"/>
      <c r="L592" s="19"/>
      <c r="M592" s="20"/>
    </row>
    <row r="593">
      <c r="A593" s="6"/>
      <c r="B593" s="6"/>
      <c r="C593" s="4"/>
      <c r="D593" s="36">
        <v>0.0</v>
      </c>
      <c r="E593" s="4"/>
      <c r="F593" s="4"/>
      <c r="G593" s="4"/>
      <c r="H593" s="4"/>
      <c r="I593" s="4"/>
      <c r="J593" s="18"/>
      <c r="K593" s="4"/>
      <c r="L593" s="19"/>
      <c r="M593" s="20"/>
    </row>
    <row r="594">
      <c r="A594" s="6"/>
      <c r="B594" s="6"/>
      <c r="C594" s="4"/>
      <c r="D594" s="36">
        <v>0.0</v>
      </c>
      <c r="E594" s="4"/>
      <c r="F594" s="4"/>
      <c r="G594" s="4"/>
      <c r="H594" s="4"/>
      <c r="I594" s="4"/>
      <c r="J594" s="18"/>
      <c r="K594" s="4"/>
      <c r="L594" s="19"/>
      <c r="M594" s="20"/>
    </row>
    <row r="595">
      <c r="A595" s="6"/>
      <c r="B595" s="6"/>
      <c r="C595" s="4"/>
      <c r="D595" s="36">
        <v>0.0</v>
      </c>
      <c r="E595" s="4"/>
      <c r="F595" s="4"/>
      <c r="G595" s="4"/>
      <c r="H595" s="4"/>
      <c r="I595" s="4"/>
      <c r="J595" s="18"/>
      <c r="K595" s="4"/>
      <c r="L595" s="19"/>
      <c r="M595" s="20"/>
    </row>
    <row r="596">
      <c r="A596" s="6"/>
      <c r="B596" s="6"/>
      <c r="C596" s="4"/>
      <c r="D596" s="36">
        <v>0.0</v>
      </c>
      <c r="E596" s="4"/>
      <c r="F596" s="4"/>
      <c r="G596" s="4"/>
      <c r="H596" s="4"/>
      <c r="I596" s="4"/>
      <c r="J596" s="18"/>
      <c r="K596" s="4"/>
      <c r="L596" s="19"/>
      <c r="M596" s="20"/>
    </row>
    <row r="597">
      <c r="A597" s="6"/>
      <c r="B597" s="6"/>
      <c r="C597" s="4"/>
      <c r="D597" s="36">
        <v>0.0</v>
      </c>
      <c r="E597" s="4"/>
      <c r="F597" s="4"/>
      <c r="G597" s="4"/>
      <c r="H597" s="4"/>
      <c r="I597" s="4"/>
      <c r="J597" s="18"/>
      <c r="K597" s="4"/>
      <c r="L597" s="19"/>
      <c r="M597" s="20"/>
    </row>
    <row r="598">
      <c r="A598" s="6"/>
      <c r="B598" s="6"/>
      <c r="C598" s="4"/>
      <c r="D598" s="36">
        <v>0.0</v>
      </c>
      <c r="E598" s="4"/>
      <c r="F598" s="4"/>
      <c r="G598" s="4"/>
      <c r="H598" s="4"/>
      <c r="I598" s="4"/>
      <c r="J598" s="18"/>
      <c r="K598" s="4"/>
      <c r="L598" s="19"/>
      <c r="M598" s="20"/>
    </row>
    <row r="599">
      <c r="A599" s="6"/>
      <c r="B599" s="6"/>
      <c r="C599" s="4"/>
      <c r="D599" s="36">
        <v>0.0</v>
      </c>
      <c r="E599" s="4"/>
      <c r="F599" s="4"/>
      <c r="G599" s="4"/>
      <c r="H599" s="4"/>
      <c r="I599" s="4"/>
      <c r="J599" s="18"/>
      <c r="K599" s="4"/>
      <c r="L599" s="19"/>
      <c r="M599" s="20"/>
    </row>
    <row r="600">
      <c r="A600" s="6"/>
      <c r="B600" s="6"/>
      <c r="C600" s="4"/>
      <c r="D600" s="36">
        <v>0.0</v>
      </c>
      <c r="E600" s="4"/>
      <c r="F600" s="4"/>
      <c r="G600" s="4"/>
      <c r="H600" s="4"/>
      <c r="I600" s="4"/>
      <c r="J600" s="18"/>
      <c r="K600" s="4"/>
      <c r="L600" s="19"/>
      <c r="M600" s="20"/>
    </row>
    <row r="601">
      <c r="A601" s="6"/>
      <c r="B601" s="6"/>
      <c r="C601" s="4"/>
      <c r="D601" s="36">
        <v>0.0</v>
      </c>
      <c r="E601" s="4"/>
      <c r="F601" s="4"/>
      <c r="G601" s="4"/>
      <c r="H601" s="4"/>
      <c r="I601" s="4"/>
      <c r="J601" s="18"/>
      <c r="K601" s="4"/>
      <c r="L601" s="19"/>
      <c r="M601" s="20"/>
    </row>
    <row r="602">
      <c r="A602" s="6"/>
      <c r="B602" s="6"/>
      <c r="C602" s="4"/>
      <c r="D602" s="36">
        <v>0.0</v>
      </c>
      <c r="E602" s="4"/>
      <c r="F602" s="4"/>
      <c r="G602" s="4"/>
      <c r="H602" s="4"/>
      <c r="I602" s="4"/>
      <c r="J602" s="18"/>
      <c r="K602" s="4"/>
      <c r="L602" s="19"/>
      <c r="M602" s="20"/>
    </row>
    <row r="603">
      <c r="A603" s="6"/>
      <c r="B603" s="6"/>
      <c r="C603" s="4"/>
      <c r="D603" s="36">
        <v>0.0</v>
      </c>
      <c r="E603" s="4"/>
      <c r="F603" s="4"/>
      <c r="G603" s="4"/>
      <c r="H603" s="4"/>
      <c r="I603" s="4"/>
      <c r="J603" s="18"/>
      <c r="K603" s="4"/>
      <c r="L603" s="19"/>
      <c r="M603" s="20"/>
    </row>
    <row r="604">
      <c r="A604" s="6"/>
      <c r="B604" s="6"/>
      <c r="C604" s="4"/>
      <c r="D604" s="36">
        <v>0.0</v>
      </c>
      <c r="E604" s="4"/>
      <c r="F604" s="4"/>
      <c r="G604" s="4"/>
      <c r="H604" s="4"/>
      <c r="I604" s="4"/>
      <c r="J604" s="18"/>
      <c r="K604" s="4"/>
      <c r="L604" s="19"/>
      <c r="M604" s="20"/>
    </row>
    <row r="605">
      <c r="A605" s="6"/>
      <c r="B605" s="6"/>
      <c r="C605" s="4"/>
      <c r="D605" s="36">
        <v>0.0</v>
      </c>
      <c r="E605" s="4"/>
      <c r="F605" s="4"/>
      <c r="G605" s="4"/>
      <c r="H605" s="4"/>
      <c r="I605" s="4"/>
      <c r="J605" s="18"/>
      <c r="K605" s="4"/>
      <c r="L605" s="19"/>
      <c r="M605" s="20"/>
    </row>
    <row r="606">
      <c r="A606" s="6"/>
      <c r="B606" s="6"/>
      <c r="C606" s="4"/>
      <c r="D606" s="36">
        <v>0.0</v>
      </c>
      <c r="E606" s="4"/>
      <c r="F606" s="4"/>
      <c r="G606" s="4"/>
      <c r="H606" s="4"/>
      <c r="I606" s="4"/>
      <c r="J606" s="18"/>
      <c r="K606" s="4"/>
      <c r="L606" s="19"/>
      <c r="M606" s="20"/>
    </row>
    <row r="607">
      <c r="A607" s="6"/>
      <c r="B607" s="6"/>
      <c r="C607" s="4"/>
      <c r="D607" s="36">
        <v>0.0</v>
      </c>
      <c r="E607" s="4"/>
      <c r="F607" s="4"/>
      <c r="G607" s="4"/>
      <c r="H607" s="4"/>
      <c r="I607" s="4"/>
      <c r="J607" s="18"/>
      <c r="K607" s="4"/>
      <c r="L607" s="19"/>
      <c r="M607" s="20"/>
    </row>
    <row r="608">
      <c r="A608" s="6"/>
      <c r="B608" s="6"/>
      <c r="C608" s="4"/>
      <c r="D608" s="36">
        <v>0.0</v>
      </c>
      <c r="E608" s="4"/>
      <c r="F608" s="4"/>
      <c r="G608" s="4"/>
      <c r="H608" s="4"/>
      <c r="I608" s="4"/>
      <c r="J608" s="18"/>
      <c r="K608" s="4"/>
      <c r="L608" s="19"/>
      <c r="M608" s="20"/>
    </row>
    <row r="609">
      <c r="A609" s="6"/>
      <c r="B609" s="6"/>
      <c r="C609" s="4"/>
      <c r="D609" s="36">
        <v>0.0</v>
      </c>
      <c r="E609" s="4"/>
      <c r="F609" s="4"/>
      <c r="G609" s="4"/>
      <c r="H609" s="4"/>
      <c r="I609" s="4"/>
      <c r="J609" s="18"/>
      <c r="K609" s="4"/>
      <c r="L609" s="19"/>
      <c r="M609" s="20"/>
    </row>
    <row r="610">
      <c r="A610" s="6"/>
      <c r="B610" s="6"/>
      <c r="C610" s="4"/>
      <c r="D610" s="36">
        <v>0.0</v>
      </c>
      <c r="E610" s="4"/>
      <c r="F610" s="4"/>
      <c r="G610" s="4"/>
      <c r="H610" s="4"/>
      <c r="I610" s="4"/>
      <c r="J610" s="18"/>
      <c r="K610" s="4"/>
      <c r="L610" s="19"/>
      <c r="M610" s="20"/>
    </row>
    <row r="611">
      <c r="A611" s="6"/>
      <c r="B611" s="6"/>
      <c r="C611" s="4"/>
      <c r="D611" s="36">
        <v>0.0</v>
      </c>
      <c r="E611" s="4"/>
      <c r="F611" s="4"/>
      <c r="G611" s="4"/>
      <c r="H611" s="4"/>
      <c r="I611" s="4"/>
      <c r="J611" s="18"/>
      <c r="K611" s="4"/>
      <c r="L611" s="19"/>
      <c r="M611" s="20"/>
    </row>
    <row r="612">
      <c r="A612" s="6"/>
      <c r="B612" s="6"/>
      <c r="C612" s="4"/>
      <c r="D612" s="36">
        <v>0.0</v>
      </c>
      <c r="E612" s="4"/>
      <c r="F612" s="4"/>
      <c r="G612" s="4"/>
      <c r="H612" s="4"/>
      <c r="I612" s="4"/>
      <c r="J612" s="18"/>
      <c r="K612" s="4"/>
      <c r="L612" s="19"/>
      <c r="M612" s="20"/>
    </row>
    <row r="613">
      <c r="A613" s="6"/>
      <c r="B613" s="6"/>
      <c r="C613" s="4"/>
      <c r="D613" s="36">
        <v>0.0</v>
      </c>
      <c r="E613" s="4"/>
      <c r="F613" s="4"/>
      <c r="G613" s="4"/>
      <c r="H613" s="4"/>
      <c r="I613" s="4"/>
      <c r="J613" s="18"/>
      <c r="K613" s="4"/>
      <c r="L613" s="19"/>
      <c r="M613" s="20"/>
    </row>
    <row r="614">
      <c r="A614" s="6"/>
      <c r="B614" s="6"/>
      <c r="C614" s="4"/>
      <c r="D614" s="36">
        <v>0.0</v>
      </c>
      <c r="E614" s="4"/>
      <c r="F614" s="4"/>
      <c r="G614" s="4"/>
      <c r="H614" s="4"/>
      <c r="I614" s="4"/>
      <c r="J614" s="18"/>
      <c r="K614" s="4"/>
      <c r="L614" s="19"/>
      <c r="M614" s="20"/>
    </row>
    <row r="615">
      <c r="A615" s="6"/>
      <c r="B615" s="6"/>
      <c r="C615" s="4"/>
      <c r="D615" s="36">
        <v>0.0</v>
      </c>
      <c r="E615" s="4"/>
      <c r="F615" s="4"/>
      <c r="G615" s="4"/>
      <c r="H615" s="4"/>
      <c r="I615" s="4"/>
      <c r="J615" s="18"/>
      <c r="K615" s="4"/>
      <c r="L615" s="19"/>
      <c r="M615" s="20"/>
    </row>
    <row r="616">
      <c r="A616" s="6"/>
      <c r="B616" s="6"/>
      <c r="C616" s="4"/>
      <c r="D616" s="36">
        <v>0.0</v>
      </c>
      <c r="E616" s="4"/>
      <c r="F616" s="4"/>
      <c r="G616" s="4"/>
      <c r="H616" s="4"/>
      <c r="I616" s="4"/>
      <c r="J616" s="18"/>
      <c r="K616" s="4"/>
      <c r="L616" s="19"/>
      <c r="M616" s="20"/>
    </row>
    <row r="617">
      <c r="A617" s="6"/>
      <c r="B617" s="6"/>
      <c r="C617" s="4"/>
      <c r="D617" s="36">
        <v>0.0</v>
      </c>
      <c r="E617" s="4"/>
      <c r="F617" s="4"/>
      <c r="G617" s="4"/>
      <c r="H617" s="4"/>
      <c r="I617" s="4"/>
      <c r="J617" s="18"/>
      <c r="K617" s="4"/>
      <c r="L617" s="19"/>
      <c r="M617" s="20"/>
    </row>
    <row r="618">
      <c r="A618" s="6"/>
      <c r="B618" s="6"/>
      <c r="C618" s="4"/>
      <c r="D618" s="36">
        <v>0.0</v>
      </c>
      <c r="E618" s="4"/>
      <c r="F618" s="4"/>
      <c r="G618" s="4"/>
      <c r="H618" s="4"/>
      <c r="I618" s="4"/>
      <c r="J618" s="18"/>
      <c r="K618" s="4"/>
      <c r="L618" s="19"/>
      <c r="M618" s="20"/>
    </row>
    <row r="619">
      <c r="A619" s="6"/>
      <c r="B619" s="6"/>
      <c r="C619" s="4"/>
      <c r="D619" s="36">
        <v>0.0</v>
      </c>
      <c r="E619" s="4"/>
      <c r="F619" s="4"/>
      <c r="G619" s="4"/>
      <c r="H619" s="4"/>
      <c r="I619" s="4"/>
      <c r="J619" s="18"/>
      <c r="K619" s="4"/>
      <c r="L619" s="19"/>
      <c r="M619" s="20"/>
    </row>
    <row r="620">
      <c r="A620" s="6"/>
      <c r="B620" s="6"/>
      <c r="C620" s="4"/>
      <c r="D620" s="36">
        <v>0.0</v>
      </c>
      <c r="E620" s="4"/>
      <c r="F620" s="4"/>
      <c r="G620" s="4"/>
      <c r="H620" s="4"/>
      <c r="I620" s="4"/>
      <c r="J620" s="18"/>
      <c r="K620" s="4"/>
      <c r="L620" s="19"/>
      <c r="M620" s="20"/>
    </row>
    <row r="621">
      <c r="A621" s="6"/>
      <c r="B621" s="6"/>
      <c r="C621" s="4"/>
      <c r="D621" s="36">
        <v>0.0</v>
      </c>
      <c r="E621" s="4"/>
      <c r="F621" s="4"/>
      <c r="G621" s="4"/>
      <c r="H621" s="4"/>
      <c r="I621" s="4"/>
      <c r="J621" s="18"/>
      <c r="K621" s="4"/>
      <c r="L621" s="19"/>
      <c r="M621" s="20"/>
    </row>
    <row r="622">
      <c r="A622" s="6"/>
      <c r="B622" s="6"/>
      <c r="C622" s="4"/>
      <c r="D622" s="36">
        <v>0.0</v>
      </c>
      <c r="E622" s="4"/>
      <c r="F622" s="4"/>
      <c r="G622" s="4"/>
      <c r="H622" s="4"/>
      <c r="I622" s="4"/>
      <c r="J622" s="18"/>
      <c r="K622" s="4"/>
      <c r="L622" s="19"/>
      <c r="M622" s="20"/>
    </row>
    <row r="623">
      <c r="A623" s="6"/>
      <c r="B623" s="6"/>
      <c r="C623" s="4"/>
      <c r="D623" s="36">
        <v>0.0</v>
      </c>
      <c r="E623" s="4"/>
      <c r="F623" s="4"/>
      <c r="G623" s="4"/>
      <c r="H623" s="4"/>
      <c r="I623" s="4"/>
      <c r="J623" s="18"/>
      <c r="K623" s="4"/>
      <c r="L623" s="19"/>
      <c r="M623" s="20"/>
    </row>
    <row r="624">
      <c r="A624" s="6"/>
      <c r="B624" s="6"/>
      <c r="C624" s="4"/>
      <c r="D624" s="36">
        <v>0.0</v>
      </c>
      <c r="E624" s="4"/>
      <c r="F624" s="4"/>
      <c r="G624" s="4"/>
      <c r="H624" s="4"/>
      <c r="I624" s="4"/>
      <c r="J624" s="18"/>
      <c r="K624" s="4"/>
      <c r="L624" s="19"/>
      <c r="M624" s="20"/>
    </row>
    <row r="625">
      <c r="A625" s="6"/>
      <c r="B625" s="6"/>
      <c r="C625" s="4"/>
      <c r="D625" s="36">
        <v>0.0</v>
      </c>
      <c r="E625" s="4"/>
      <c r="F625" s="4"/>
      <c r="G625" s="4"/>
      <c r="H625" s="4"/>
      <c r="I625" s="4"/>
      <c r="J625" s="18"/>
      <c r="K625" s="4"/>
      <c r="L625" s="19"/>
      <c r="M625" s="20"/>
    </row>
    <row r="626">
      <c r="A626" s="6"/>
      <c r="B626" s="6"/>
      <c r="C626" s="4"/>
      <c r="D626" s="36">
        <v>0.0</v>
      </c>
      <c r="E626" s="4"/>
      <c r="F626" s="4"/>
      <c r="G626" s="4"/>
      <c r="H626" s="4"/>
      <c r="I626" s="4"/>
      <c r="J626" s="18"/>
      <c r="K626" s="4"/>
      <c r="L626" s="19"/>
      <c r="M626" s="20"/>
    </row>
    <row r="627">
      <c r="A627" s="6"/>
      <c r="B627" s="6"/>
      <c r="C627" s="4"/>
      <c r="D627" s="36">
        <v>0.0</v>
      </c>
      <c r="E627" s="4"/>
      <c r="F627" s="4"/>
      <c r="G627" s="4"/>
      <c r="H627" s="4"/>
      <c r="I627" s="4"/>
      <c r="J627" s="18"/>
      <c r="K627" s="4"/>
      <c r="L627" s="19"/>
      <c r="M627" s="20"/>
    </row>
    <row r="628">
      <c r="A628" s="6"/>
      <c r="B628" s="6"/>
      <c r="C628" s="4"/>
      <c r="D628" s="36">
        <v>0.0</v>
      </c>
      <c r="E628" s="4"/>
      <c r="F628" s="4"/>
      <c r="G628" s="4"/>
      <c r="H628" s="4"/>
      <c r="I628" s="4"/>
      <c r="J628" s="18"/>
      <c r="K628" s="4"/>
      <c r="L628" s="19"/>
      <c r="M628" s="20"/>
    </row>
    <row r="629">
      <c r="A629" s="6"/>
      <c r="B629" s="6"/>
      <c r="C629" s="4"/>
      <c r="D629" s="36">
        <v>0.0</v>
      </c>
      <c r="E629" s="4"/>
      <c r="F629" s="4"/>
      <c r="G629" s="4"/>
      <c r="H629" s="4"/>
      <c r="I629" s="4"/>
      <c r="J629" s="18"/>
      <c r="K629" s="4"/>
      <c r="L629" s="19"/>
      <c r="M629" s="20"/>
    </row>
    <row r="630">
      <c r="A630" s="6"/>
      <c r="B630" s="6"/>
      <c r="C630" s="4"/>
      <c r="D630" s="36">
        <v>0.0</v>
      </c>
      <c r="E630" s="4"/>
      <c r="F630" s="4"/>
      <c r="G630" s="4"/>
      <c r="H630" s="4"/>
      <c r="I630" s="4"/>
      <c r="J630" s="18"/>
      <c r="K630" s="4"/>
      <c r="L630" s="19"/>
      <c r="M630" s="20"/>
    </row>
    <row r="631">
      <c r="A631" s="6"/>
      <c r="B631" s="6"/>
      <c r="C631" s="4"/>
      <c r="D631" s="36">
        <v>0.0</v>
      </c>
      <c r="E631" s="4"/>
      <c r="F631" s="4"/>
      <c r="G631" s="4"/>
      <c r="H631" s="4"/>
      <c r="I631" s="4"/>
      <c r="J631" s="18"/>
      <c r="K631" s="4"/>
      <c r="L631" s="19"/>
      <c r="M631" s="20"/>
    </row>
    <row r="632">
      <c r="A632" s="6"/>
      <c r="B632" s="6"/>
      <c r="C632" s="4"/>
      <c r="D632" s="36">
        <v>0.0</v>
      </c>
      <c r="E632" s="4"/>
      <c r="F632" s="4"/>
      <c r="G632" s="4"/>
      <c r="H632" s="4"/>
      <c r="I632" s="4"/>
      <c r="J632" s="18"/>
      <c r="K632" s="4"/>
      <c r="L632" s="19"/>
      <c r="M632" s="20"/>
    </row>
    <row r="633">
      <c r="A633" s="6"/>
      <c r="B633" s="6"/>
      <c r="C633" s="4"/>
      <c r="D633" s="36">
        <v>0.0</v>
      </c>
      <c r="E633" s="4"/>
      <c r="F633" s="4"/>
      <c r="G633" s="4"/>
      <c r="H633" s="4"/>
      <c r="I633" s="4"/>
      <c r="J633" s="18"/>
      <c r="K633" s="4"/>
      <c r="L633" s="19"/>
      <c r="M633" s="20"/>
    </row>
    <row r="634">
      <c r="A634" s="6"/>
      <c r="B634" s="6"/>
      <c r="C634" s="4"/>
      <c r="D634" s="36">
        <v>0.0</v>
      </c>
      <c r="E634" s="4"/>
      <c r="F634" s="4"/>
      <c r="G634" s="4"/>
      <c r="H634" s="4"/>
      <c r="I634" s="4"/>
      <c r="J634" s="18"/>
      <c r="K634" s="4"/>
      <c r="L634" s="19"/>
      <c r="M634" s="20"/>
    </row>
    <row r="635">
      <c r="A635" s="6"/>
      <c r="B635" s="6"/>
      <c r="C635" s="4"/>
      <c r="D635" s="36">
        <v>0.0</v>
      </c>
      <c r="E635" s="4"/>
      <c r="F635" s="4"/>
      <c r="G635" s="4"/>
      <c r="H635" s="4"/>
      <c r="I635" s="4"/>
      <c r="J635" s="18"/>
      <c r="K635" s="4"/>
      <c r="L635" s="19"/>
      <c r="M635" s="20"/>
    </row>
    <row r="636">
      <c r="A636" s="6"/>
      <c r="B636" s="6"/>
      <c r="C636" s="4"/>
      <c r="D636" s="36">
        <v>0.0</v>
      </c>
      <c r="E636" s="4"/>
      <c r="F636" s="4"/>
      <c r="G636" s="4"/>
      <c r="H636" s="4"/>
      <c r="I636" s="4"/>
      <c r="J636" s="18"/>
      <c r="K636" s="4"/>
      <c r="L636" s="19"/>
      <c r="M636" s="20"/>
    </row>
    <row r="637">
      <c r="A637" s="6"/>
      <c r="B637" s="6"/>
      <c r="C637" s="4"/>
      <c r="D637" s="36">
        <v>0.0</v>
      </c>
      <c r="E637" s="4"/>
      <c r="F637" s="4"/>
      <c r="G637" s="4"/>
      <c r="H637" s="4"/>
      <c r="I637" s="4"/>
      <c r="J637" s="18"/>
      <c r="K637" s="4"/>
      <c r="L637" s="19"/>
      <c r="M637" s="20"/>
    </row>
    <row r="638">
      <c r="A638" s="6"/>
      <c r="B638" s="6"/>
      <c r="C638" s="4"/>
      <c r="D638" s="36">
        <v>0.0</v>
      </c>
      <c r="E638" s="4"/>
      <c r="F638" s="4"/>
      <c r="G638" s="4"/>
      <c r="H638" s="4"/>
      <c r="I638" s="4"/>
      <c r="J638" s="18"/>
      <c r="K638" s="4"/>
      <c r="L638" s="19"/>
      <c r="M638" s="20"/>
    </row>
    <row r="639">
      <c r="A639" s="6"/>
      <c r="B639" s="6"/>
      <c r="C639" s="4"/>
      <c r="D639" s="36">
        <v>0.0</v>
      </c>
      <c r="E639" s="4"/>
      <c r="F639" s="4"/>
      <c r="G639" s="4"/>
      <c r="H639" s="4"/>
      <c r="I639" s="4"/>
      <c r="J639" s="18"/>
      <c r="K639" s="4"/>
      <c r="L639" s="19"/>
      <c r="M639" s="20"/>
    </row>
    <row r="640">
      <c r="A640" s="6"/>
      <c r="B640" s="6"/>
      <c r="C640" s="4"/>
      <c r="D640" s="36">
        <v>0.0</v>
      </c>
      <c r="E640" s="4"/>
      <c r="F640" s="4"/>
      <c r="G640" s="4"/>
      <c r="H640" s="4"/>
      <c r="I640" s="4"/>
      <c r="J640" s="18"/>
      <c r="K640" s="4"/>
      <c r="L640" s="19"/>
      <c r="M640" s="20"/>
    </row>
    <row r="641">
      <c r="A641" s="6"/>
      <c r="B641" s="6"/>
      <c r="C641" s="4"/>
      <c r="D641" s="36">
        <v>0.0</v>
      </c>
      <c r="E641" s="4"/>
      <c r="F641" s="4"/>
      <c r="G641" s="4"/>
      <c r="H641" s="4"/>
      <c r="I641" s="4"/>
      <c r="J641" s="18"/>
      <c r="K641" s="4"/>
      <c r="L641" s="19"/>
      <c r="M641" s="20"/>
    </row>
    <row r="642">
      <c r="A642" s="6"/>
      <c r="B642" s="6"/>
      <c r="C642" s="4"/>
      <c r="D642" s="36">
        <v>0.0</v>
      </c>
      <c r="E642" s="4"/>
      <c r="F642" s="4"/>
      <c r="G642" s="4"/>
      <c r="H642" s="4"/>
      <c r="I642" s="4"/>
      <c r="J642" s="18"/>
      <c r="K642" s="4"/>
      <c r="L642" s="19"/>
      <c r="M642" s="20"/>
    </row>
    <row r="643">
      <c r="A643" s="6"/>
      <c r="B643" s="6"/>
      <c r="C643" s="4"/>
      <c r="D643" s="36">
        <v>0.0</v>
      </c>
      <c r="E643" s="4"/>
      <c r="F643" s="4"/>
      <c r="G643" s="4"/>
      <c r="H643" s="4"/>
      <c r="I643" s="4"/>
      <c r="J643" s="18"/>
      <c r="K643" s="4"/>
      <c r="L643" s="19"/>
      <c r="M643" s="20"/>
    </row>
    <row r="644">
      <c r="A644" s="6"/>
      <c r="B644" s="6"/>
      <c r="C644" s="4"/>
      <c r="D644" s="36">
        <v>0.0</v>
      </c>
      <c r="E644" s="4"/>
      <c r="F644" s="4"/>
      <c r="G644" s="4"/>
      <c r="H644" s="4"/>
      <c r="I644" s="4"/>
      <c r="J644" s="18"/>
      <c r="K644" s="4"/>
      <c r="L644" s="19"/>
      <c r="M644" s="20"/>
    </row>
    <row r="645">
      <c r="A645" s="6"/>
      <c r="B645" s="6"/>
      <c r="C645" s="4"/>
      <c r="D645" s="36">
        <v>0.0</v>
      </c>
      <c r="E645" s="4"/>
      <c r="F645" s="4"/>
      <c r="G645" s="4"/>
      <c r="H645" s="4"/>
      <c r="I645" s="4"/>
      <c r="J645" s="18"/>
      <c r="K645" s="4"/>
      <c r="L645" s="19"/>
      <c r="M645" s="20"/>
    </row>
    <row r="646">
      <c r="A646" s="6"/>
      <c r="B646" s="6"/>
      <c r="C646" s="4"/>
      <c r="D646" s="36">
        <v>0.0</v>
      </c>
      <c r="E646" s="4"/>
      <c r="F646" s="4"/>
      <c r="G646" s="4"/>
      <c r="H646" s="4"/>
      <c r="I646" s="4"/>
      <c r="J646" s="18"/>
      <c r="K646" s="4"/>
      <c r="L646" s="19"/>
      <c r="M646" s="20"/>
    </row>
    <row r="647">
      <c r="A647" s="6"/>
      <c r="B647" s="6"/>
      <c r="C647" s="4"/>
      <c r="D647" s="36">
        <v>0.0</v>
      </c>
      <c r="E647" s="4"/>
      <c r="F647" s="4"/>
      <c r="G647" s="4"/>
      <c r="H647" s="4"/>
      <c r="I647" s="4"/>
      <c r="J647" s="18"/>
      <c r="K647" s="4"/>
      <c r="L647" s="19"/>
      <c r="M647" s="20"/>
    </row>
    <row r="648">
      <c r="A648" s="6"/>
      <c r="B648" s="6"/>
      <c r="C648" s="4"/>
      <c r="D648" s="36">
        <v>0.0</v>
      </c>
      <c r="E648" s="4"/>
      <c r="F648" s="4"/>
      <c r="G648" s="4"/>
      <c r="H648" s="4"/>
      <c r="I648" s="4"/>
      <c r="J648" s="18"/>
      <c r="K648" s="4"/>
      <c r="L648" s="19"/>
      <c r="M648" s="20"/>
    </row>
    <row r="649">
      <c r="A649" s="6"/>
      <c r="B649" s="6"/>
      <c r="C649" s="4"/>
      <c r="D649" s="36">
        <v>0.0</v>
      </c>
      <c r="E649" s="4"/>
      <c r="F649" s="4"/>
      <c r="G649" s="4"/>
      <c r="H649" s="4"/>
      <c r="I649" s="4"/>
      <c r="J649" s="18"/>
      <c r="K649" s="4"/>
      <c r="L649" s="19"/>
      <c r="M649" s="20"/>
    </row>
    <row r="650">
      <c r="A650" s="6"/>
      <c r="B650" s="6"/>
      <c r="C650" s="4"/>
      <c r="D650" s="36">
        <v>0.0</v>
      </c>
      <c r="E650" s="4"/>
      <c r="F650" s="4"/>
      <c r="G650" s="4"/>
      <c r="H650" s="4"/>
      <c r="I650" s="4"/>
      <c r="J650" s="18"/>
      <c r="K650" s="4"/>
      <c r="L650" s="19"/>
      <c r="M650" s="20"/>
    </row>
    <row r="651">
      <c r="A651" s="6"/>
      <c r="B651" s="6"/>
      <c r="C651" s="4"/>
      <c r="D651" s="36">
        <v>0.0</v>
      </c>
      <c r="E651" s="4"/>
      <c r="F651" s="4"/>
      <c r="G651" s="4"/>
      <c r="H651" s="4"/>
      <c r="I651" s="4"/>
      <c r="J651" s="18"/>
      <c r="K651" s="4"/>
      <c r="L651" s="19"/>
      <c r="M651" s="20"/>
    </row>
    <row r="652">
      <c r="A652" s="6"/>
      <c r="B652" s="6"/>
      <c r="C652" s="4"/>
      <c r="D652" s="36">
        <v>0.0</v>
      </c>
      <c r="E652" s="4"/>
      <c r="F652" s="4"/>
      <c r="G652" s="4"/>
      <c r="H652" s="4"/>
      <c r="I652" s="4"/>
      <c r="J652" s="18"/>
      <c r="K652" s="4"/>
      <c r="L652" s="19"/>
      <c r="M652" s="20"/>
    </row>
    <row r="653">
      <c r="A653" s="6"/>
      <c r="B653" s="6"/>
      <c r="C653" s="4"/>
      <c r="D653" s="36">
        <v>0.0</v>
      </c>
      <c r="E653" s="4"/>
      <c r="F653" s="4"/>
      <c r="G653" s="4"/>
      <c r="H653" s="4"/>
      <c r="I653" s="4"/>
      <c r="J653" s="18"/>
      <c r="K653" s="4"/>
      <c r="L653" s="19"/>
      <c r="M653" s="20"/>
    </row>
    <row r="654">
      <c r="A654" s="6"/>
      <c r="B654" s="6"/>
      <c r="C654" s="4"/>
      <c r="D654" s="36">
        <v>0.0</v>
      </c>
      <c r="E654" s="4"/>
      <c r="F654" s="4"/>
      <c r="G654" s="4"/>
      <c r="H654" s="4"/>
      <c r="I654" s="4"/>
      <c r="J654" s="18"/>
      <c r="K654" s="4"/>
      <c r="L654" s="19"/>
      <c r="M654" s="20"/>
    </row>
    <row r="655">
      <c r="A655" s="6"/>
      <c r="B655" s="6"/>
      <c r="C655" s="4"/>
      <c r="D655" s="36">
        <v>0.0</v>
      </c>
      <c r="E655" s="4"/>
      <c r="F655" s="4"/>
      <c r="G655" s="4"/>
      <c r="H655" s="4"/>
      <c r="I655" s="4"/>
      <c r="J655" s="18"/>
      <c r="K655" s="4"/>
      <c r="L655" s="19"/>
      <c r="M655" s="20"/>
    </row>
    <row r="656">
      <c r="A656" s="6"/>
      <c r="B656" s="6"/>
      <c r="C656" s="4"/>
      <c r="D656" s="36">
        <v>0.0</v>
      </c>
      <c r="E656" s="4"/>
      <c r="F656" s="4"/>
      <c r="G656" s="4"/>
      <c r="H656" s="4"/>
      <c r="I656" s="4"/>
      <c r="J656" s="18"/>
      <c r="K656" s="4"/>
      <c r="L656" s="19"/>
      <c r="M656" s="20"/>
    </row>
    <row r="657">
      <c r="A657" s="6"/>
      <c r="B657" s="6"/>
      <c r="C657" s="4"/>
      <c r="D657" s="36">
        <v>0.0</v>
      </c>
      <c r="E657" s="4"/>
      <c r="F657" s="4"/>
      <c r="G657" s="4"/>
      <c r="H657" s="4"/>
      <c r="I657" s="4"/>
      <c r="J657" s="18"/>
      <c r="K657" s="4"/>
      <c r="L657" s="19"/>
      <c r="M657" s="20"/>
    </row>
    <row r="658">
      <c r="A658" s="6"/>
      <c r="B658" s="6"/>
      <c r="C658" s="4"/>
      <c r="D658" s="36">
        <v>0.0</v>
      </c>
      <c r="E658" s="4"/>
      <c r="F658" s="4"/>
      <c r="G658" s="4"/>
      <c r="H658" s="4"/>
      <c r="I658" s="4"/>
      <c r="J658" s="18"/>
      <c r="K658" s="4"/>
      <c r="L658" s="19"/>
      <c r="M658" s="20"/>
    </row>
    <row r="659">
      <c r="A659" s="6"/>
      <c r="B659" s="6"/>
      <c r="C659" s="4"/>
      <c r="D659" s="36">
        <v>0.0</v>
      </c>
      <c r="E659" s="4"/>
      <c r="F659" s="4"/>
      <c r="G659" s="4"/>
      <c r="H659" s="4"/>
      <c r="I659" s="4"/>
      <c r="J659" s="18"/>
      <c r="K659" s="4"/>
      <c r="L659" s="19"/>
      <c r="M659" s="20"/>
    </row>
    <row r="660">
      <c r="A660" s="6"/>
      <c r="B660" s="6"/>
      <c r="C660" s="4"/>
      <c r="D660" s="36">
        <v>0.0</v>
      </c>
      <c r="E660" s="4"/>
      <c r="F660" s="4"/>
      <c r="G660" s="4"/>
      <c r="H660" s="4"/>
      <c r="I660" s="4"/>
      <c r="J660" s="18"/>
      <c r="K660" s="4"/>
      <c r="L660" s="19"/>
      <c r="M660" s="20"/>
    </row>
    <row r="661">
      <c r="A661" s="6"/>
      <c r="B661" s="6"/>
      <c r="C661" s="4"/>
      <c r="D661" s="36">
        <v>0.0</v>
      </c>
      <c r="E661" s="4"/>
      <c r="F661" s="4"/>
      <c r="G661" s="4"/>
      <c r="H661" s="4"/>
      <c r="I661" s="4"/>
      <c r="J661" s="18"/>
      <c r="K661" s="4"/>
      <c r="L661" s="19"/>
      <c r="M661" s="20"/>
    </row>
    <row r="662">
      <c r="A662" s="6"/>
      <c r="B662" s="6"/>
      <c r="C662" s="4"/>
      <c r="D662" s="36">
        <v>0.0</v>
      </c>
      <c r="E662" s="4"/>
      <c r="F662" s="4"/>
      <c r="G662" s="4"/>
      <c r="H662" s="4"/>
      <c r="I662" s="4"/>
      <c r="J662" s="18"/>
      <c r="K662" s="4"/>
      <c r="L662" s="19"/>
      <c r="M662" s="20"/>
    </row>
    <row r="663">
      <c r="A663" s="6"/>
      <c r="B663" s="6"/>
      <c r="C663" s="4"/>
      <c r="D663" s="36">
        <v>0.0</v>
      </c>
      <c r="E663" s="4"/>
      <c r="F663" s="4"/>
      <c r="G663" s="4"/>
      <c r="H663" s="4"/>
      <c r="I663" s="4"/>
      <c r="J663" s="18"/>
      <c r="K663" s="4"/>
      <c r="L663" s="19"/>
      <c r="M663" s="20"/>
    </row>
    <row r="664">
      <c r="A664" s="6"/>
      <c r="B664" s="6"/>
      <c r="C664" s="4"/>
      <c r="D664" s="36">
        <v>0.0</v>
      </c>
      <c r="E664" s="4"/>
      <c r="F664" s="4"/>
      <c r="G664" s="4"/>
      <c r="H664" s="4"/>
      <c r="I664" s="4"/>
      <c r="J664" s="18"/>
      <c r="K664" s="4"/>
      <c r="L664" s="19"/>
      <c r="M664" s="20"/>
    </row>
    <row r="665">
      <c r="A665" s="6"/>
      <c r="B665" s="6"/>
      <c r="C665" s="4"/>
      <c r="D665" s="36">
        <v>0.0</v>
      </c>
      <c r="E665" s="4"/>
      <c r="F665" s="4"/>
      <c r="G665" s="4"/>
      <c r="H665" s="4"/>
      <c r="I665" s="4"/>
      <c r="J665" s="18"/>
      <c r="K665" s="4"/>
      <c r="L665" s="19"/>
      <c r="M665" s="20"/>
    </row>
    <row r="666">
      <c r="A666" s="6"/>
      <c r="B666" s="6"/>
      <c r="C666" s="4"/>
      <c r="D666" s="36">
        <v>0.0</v>
      </c>
      <c r="E666" s="4"/>
      <c r="F666" s="4"/>
      <c r="G666" s="4"/>
      <c r="H666" s="4"/>
      <c r="I666" s="4"/>
      <c r="J666" s="18"/>
      <c r="K666" s="4"/>
      <c r="L666" s="19"/>
      <c r="M666" s="20"/>
    </row>
    <row r="667">
      <c r="A667" s="6"/>
      <c r="B667" s="6"/>
      <c r="C667" s="4"/>
      <c r="D667" s="36">
        <v>0.0</v>
      </c>
      <c r="E667" s="4"/>
      <c r="F667" s="4"/>
      <c r="G667" s="4"/>
      <c r="H667" s="4"/>
      <c r="I667" s="4"/>
      <c r="J667" s="18"/>
      <c r="K667" s="4"/>
      <c r="L667" s="19"/>
      <c r="M667" s="20"/>
    </row>
    <row r="668">
      <c r="A668" s="6"/>
      <c r="B668" s="6"/>
      <c r="C668" s="4"/>
      <c r="D668" s="36">
        <v>0.0</v>
      </c>
      <c r="E668" s="4"/>
      <c r="F668" s="4"/>
      <c r="G668" s="4"/>
      <c r="H668" s="4"/>
      <c r="I668" s="4"/>
      <c r="J668" s="18"/>
      <c r="K668" s="4"/>
      <c r="L668" s="19"/>
      <c r="M668" s="20"/>
    </row>
    <row r="669">
      <c r="A669" s="6"/>
      <c r="B669" s="6"/>
      <c r="C669" s="4"/>
      <c r="D669" s="36">
        <v>0.0</v>
      </c>
      <c r="E669" s="4"/>
      <c r="F669" s="4"/>
      <c r="G669" s="4"/>
      <c r="H669" s="4"/>
      <c r="I669" s="4"/>
      <c r="J669" s="18"/>
      <c r="K669" s="4"/>
      <c r="L669" s="19"/>
      <c r="M669" s="20"/>
    </row>
    <row r="670">
      <c r="A670" s="6"/>
      <c r="B670" s="6"/>
      <c r="C670" s="4"/>
      <c r="D670" s="36">
        <v>0.0</v>
      </c>
      <c r="E670" s="4"/>
      <c r="F670" s="4"/>
      <c r="G670" s="4"/>
      <c r="H670" s="4"/>
      <c r="I670" s="4"/>
      <c r="J670" s="18"/>
      <c r="K670" s="4"/>
      <c r="L670" s="19"/>
      <c r="M670" s="20"/>
    </row>
    <row r="671">
      <c r="A671" s="6"/>
      <c r="B671" s="6"/>
      <c r="C671" s="4"/>
      <c r="D671" s="36">
        <v>0.0</v>
      </c>
      <c r="E671" s="4"/>
      <c r="F671" s="4"/>
      <c r="G671" s="4"/>
      <c r="H671" s="4"/>
      <c r="I671" s="4"/>
      <c r="J671" s="18"/>
      <c r="K671" s="4"/>
      <c r="L671" s="19"/>
      <c r="M671" s="20"/>
    </row>
    <row r="672">
      <c r="A672" s="6"/>
      <c r="B672" s="6"/>
      <c r="C672" s="4"/>
      <c r="D672" s="36">
        <v>0.0</v>
      </c>
      <c r="E672" s="4"/>
      <c r="F672" s="4"/>
      <c r="G672" s="4"/>
      <c r="H672" s="4"/>
      <c r="I672" s="4"/>
      <c r="J672" s="18"/>
      <c r="K672" s="4"/>
      <c r="L672" s="19"/>
      <c r="M672" s="20"/>
    </row>
    <row r="673">
      <c r="A673" s="6"/>
      <c r="B673" s="6"/>
      <c r="C673" s="4"/>
      <c r="D673" s="36">
        <v>0.0</v>
      </c>
      <c r="E673" s="4"/>
      <c r="F673" s="4"/>
      <c r="G673" s="4"/>
      <c r="H673" s="4"/>
      <c r="I673" s="4"/>
      <c r="J673" s="18"/>
      <c r="K673" s="4"/>
      <c r="L673" s="19"/>
      <c r="M673" s="20"/>
    </row>
    <row r="674">
      <c r="A674" s="6"/>
      <c r="B674" s="6"/>
      <c r="C674" s="4"/>
      <c r="D674" s="36">
        <v>0.0</v>
      </c>
      <c r="E674" s="4"/>
      <c r="F674" s="4"/>
      <c r="G674" s="4"/>
      <c r="H674" s="4"/>
      <c r="I674" s="4"/>
      <c r="J674" s="18"/>
      <c r="K674" s="4"/>
      <c r="L674" s="19"/>
      <c r="M674" s="20"/>
    </row>
    <row r="675">
      <c r="A675" s="6"/>
      <c r="B675" s="6"/>
      <c r="C675" s="4"/>
      <c r="D675" s="36">
        <v>0.0</v>
      </c>
      <c r="E675" s="4"/>
      <c r="F675" s="4"/>
      <c r="G675" s="4"/>
      <c r="H675" s="4"/>
      <c r="I675" s="4"/>
      <c r="J675" s="18"/>
      <c r="K675" s="4"/>
      <c r="L675" s="19"/>
      <c r="M675" s="20"/>
    </row>
    <row r="676">
      <c r="A676" s="6"/>
      <c r="B676" s="6"/>
      <c r="C676" s="4"/>
      <c r="D676" s="36">
        <v>0.0</v>
      </c>
      <c r="E676" s="4"/>
      <c r="F676" s="4"/>
      <c r="G676" s="4"/>
      <c r="H676" s="4"/>
      <c r="I676" s="4"/>
      <c r="J676" s="18"/>
      <c r="K676" s="4"/>
      <c r="L676" s="19"/>
      <c r="M676" s="20"/>
    </row>
    <row r="677">
      <c r="A677" s="6"/>
      <c r="B677" s="6"/>
      <c r="C677" s="4"/>
      <c r="D677" s="36">
        <v>0.0</v>
      </c>
      <c r="E677" s="4"/>
      <c r="F677" s="4"/>
      <c r="G677" s="4"/>
      <c r="H677" s="4"/>
      <c r="I677" s="4"/>
      <c r="J677" s="18"/>
      <c r="K677" s="4"/>
      <c r="L677" s="19"/>
      <c r="M677" s="20"/>
    </row>
    <row r="678">
      <c r="A678" s="6"/>
      <c r="B678" s="6"/>
      <c r="C678" s="4"/>
      <c r="D678" s="36">
        <v>0.0</v>
      </c>
      <c r="E678" s="4"/>
      <c r="F678" s="4"/>
      <c r="G678" s="4"/>
      <c r="H678" s="4"/>
      <c r="I678" s="4"/>
      <c r="J678" s="18"/>
      <c r="K678" s="4"/>
      <c r="L678" s="19"/>
      <c r="M678" s="20"/>
    </row>
    <row r="679">
      <c r="A679" s="6"/>
      <c r="B679" s="6"/>
      <c r="C679" s="4"/>
      <c r="D679" s="36">
        <v>0.0</v>
      </c>
      <c r="E679" s="4"/>
      <c r="F679" s="4"/>
      <c r="G679" s="4"/>
      <c r="H679" s="4"/>
      <c r="I679" s="4"/>
      <c r="J679" s="18"/>
      <c r="K679" s="4"/>
      <c r="L679" s="19"/>
      <c r="M679" s="20"/>
    </row>
    <row r="680">
      <c r="A680" s="6"/>
      <c r="B680" s="6"/>
      <c r="C680" s="4"/>
      <c r="D680" s="36">
        <v>0.0</v>
      </c>
      <c r="E680" s="4"/>
      <c r="F680" s="4"/>
      <c r="G680" s="4"/>
      <c r="H680" s="4"/>
      <c r="I680" s="4"/>
      <c r="J680" s="18"/>
      <c r="K680" s="4"/>
      <c r="L680" s="19"/>
      <c r="M680" s="20"/>
    </row>
    <row r="681">
      <c r="A681" s="6"/>
      <c r="B681" s="6"/>
      <c r="C681" s="4"/>
      <c r="D681" s="36">
        <v>0.0</v>
      </c>
      <c r="E681" s="4"/>
      <c r="F681" s="4"/>
      <c r="G681" s="4"/>
      <c r="H681" s="4"/>
      <c r="I681" s="4"/>
      <c r="J681" s="18"/>
      <c r="K681" s="4"/>
      <c r="L681" s="19"/>
      <c r="M681" s="20"/>
    </row>
    <row r="682">
      <c r="A682" s="6"/>
      <c r="B682" s="6"/>
      <c r="C682" s="4"/>
      <c r="D682" s="36">
        <v>0.0</v>
      </c>
      <c r="E682" s="4"/>
      <c r="F682" s="4"/>
      <c r="G682" s="4"/>
      <c r="H682" s="4"/>
      <c r="I682" s="4"/>
      <c r="J682" s="18"/>
      <c r="K682" s="4"/>
      <c r="L682" s="19"/>
      <c r="M682" s="20"/>
    </row>
    <row r="683">
      <c r="A683" s="6"/>
      <c r="B683" s="6"/>
      <c r="C683" s="4"/>
      <c r="D683" s="36">
        <v>0.0</v>
      </c>
      <c r="E683" s="4"/>
      <c r="F683" s="4"/>
      <c r="G683" s="4"/>
      <c r="H683" s="4"/>
      <c r="I683" s="4"/>
      <c r="J683" s="18"/>
      <c r="K683" s="4"/>
      <c r="L683" s="19"/>
      <c r="M683" s="20"/>
    </row>
    <row r="684">
      <c r="A684" s="6"/>
      <c r="B684" s="6"/>
      <c r="C684" s="4"/>
      <c r="D684" s="36">
        <v>0.0</v>
      </c>
      <c r="E684" s="4"/>
      <c r="F684" s="4"/>
      <c r="G684" s="4"/>
      <c r="H684" s="4"/>
      <c r="I684" s="4"/>
      <c r="J684" s="18"/>
      <c r="K684" s="4"/>
      <c r="L684" s="19"/>
      <c r="M684" s="20"/>
    </row>
    <row r="685">
      <c r="A685" s="6"/>
      <c r="B685" s="6"/>
      <c r="C685" s="4"/>
      <c r="D685" s="36">
        <v>0.0</v>
      </c>
      <c r="E685" s="4"/>
      <c r="F685" s="4"/>
      <c r="G685" s="4"/>
      <c r="H685" s="4"/>
      <c r="I685" s="4"/>
      <c r="J685" s="18"/>
      <c r="K685" s="4"/>
      <c r="L685" s="19"/>
      <c r="M685" s="20"/>
    </row>
    <row r="686">
      <c r="A686" s="6"/>
      <c r="B686" s="6"/>
      <c r="C686" s="4"/>
      <c r="D686" s="36">
        <v>0.0</v>
      </c>
      <c r="E686" s="4"/>
      <c r="F686" s="4"/>
      <c r="G686" s="4"/>
      <c r="H686" s="4"/>
      <c r="I686" s="4"/>
      <c r="J686" s="18"/>
      <c r="K686" s="4"/>
      <c r="L686" s="19"/>
      <c r="M686" s="20"/>
    </row>
    <row r="687">
      <c r="A687" s="6"/>
      <c r="B687" s="6"/>
      <c r="C687" s="4"/>
      <c r="D687" s="36">
        <v>0.0</v>
      </c>
      <c r="E687" s="4"/>
      <c r="F687" s="4"/>
      <c r="G687" s="4"/>
      <c r="H687" s="4"/>
      <c r="I687" s="4"/>
      <c r="J687" s="18"/>
      <c r="K687" s="4"/>
      <c r="L687" s="19"/>
      <c r="M687" s="20"/>
    </row>
    <row r="688">
      <c r="A688" s="6"/>
      <c r="B688" s="6"/>
      <c r="C688" s="4"/>
      <c r="D688" s="36">
        <v>0.0</v>
      </c>
      <c r="E688" s="4"/>
      <c r="F688" s="4"/>
      <c r="G688" s="4"/>
      <c r="H688" s="4"/>
      <c r="I688" s="4"/>
      <c r="J688" s="18"/>
      <c r="K688" s="4"/>
      <c r="L688" s="19"/>
      <c r="M688" s="20"/>
    </row>
    <row r="689">
      <c r="A689" s="6"/>
      <c r="B689" s="6"/>
      <c r="C689" s="4"/>
      <c r="D689" s="36">
        <v>0.0</v>
      </c>
      <c r="E689" s="4"/>
      <c r="F689" s="4"/>
      <c r="G689" s="4"/>
      <c r="H689" s="4"/>
      <c r="I689" s="4"/>
      <c r="J689" s="18"/>
      <c r="K689" s="4"/>
      <c r="L689" s="19"/>
      <c r="M689" s="20"/>
    </row>
    <row r="690">
      <c r="A690" s="6"/>
      <c r="B690" s="6"/>
      <c r="C690" s="4"/>
      <c r="D690" s="36">
        <v>0.0</v>
      </c>
      <c r="E690" s="4"/>
      <c r="F690" s="4"/>
      <c r="G690" s="4"/>
      <c r="H690" s="4"/>
      <c r="I690" s="4"/>
      <c r="J690" s="18"/>
      <c r="K690" s="4"/>
      <c r="L690" s="19"/>
      <c r="M690" s="20"/>
    </row>
    <row r="691">
      <c r="A691" s="6"/>
      <c r="B691" s="6"/>
      <c r="C691" s="4"/>
      <c r="D691" s="36">
        <v>0.0</v>
      </c>
      <c r="E691" s="4"/>
      <c r="F691" s="4"/>
      <c r="G691" s="4"/>
      <c r="H691" s="4"/>
      <c r="I691" s="4"/>
      <c r="J691" s="18"/>
      <c r="K691" s="4"/>
      <c r="L691" s="19"/>
      <c r="M691" s="20"/>
    </row>
    <row r="692">
      <c r="A692" s="6"/>
      <c r="B692" s="6"/>
      <c r="C692" s="4"/>
      <c r="D692" s="36">
        <v>0.0</v>
      </c>
      <c r="E692" s="4"/>
      <c r="F692" s="4"/>
      <c r="G692" s="4"/>
      <c r="H692" s="4"/>
      <c r="I692" s="4"/>
      <c r="J692" s="18"/>
      <c r="K692" s="4"/>
      <c r="L692" s="19"/>
      <c r="M692" s="20"/>
    </row>
    <row r="693">
      <c r="A693" s="6"/>
      <c r="B693" s="6"/>
      <c r="C693" s="4"/>
      <c r="D693" s="36">
        <v>0.0</v>
      </c>
      <c r="E693" s="4"/>
      <c r="F693" s="4"/>
      <c r="G693" s="4"/>
      <c r="H693" s="4"/>
      <c r="I693" s="4"/>
      <c r="J693" s="18"/>
      <c r="K693" s="4"/>
      <c r="L693" s="19"/>
      <c r="M693" s="20"/>
    </row>
    <row r="694">
      <c r="A694" s="6"/>
      <c r="B694" s="6"/>
      <c r="C694" s="4"/>
      <c r="D694" s="36">
        <v>0.0</v>
      </c>
      <c r="E694" s="4"/>
      <c r="F694" s="4"/>
      <c r="G694" s="4"/>
      <c r="H694" s="4"/>
      <c r="I694" s="4"/>
      <c r="J694" s="18"/>
      <c r="K694" s="4"/>
      <c r="L694" s="19"/>
      <c r="M694" s="20"/>
    </row>
    <row r="695">
      <c r="A695" s="6"/>
      <c r="B695" s="6"/>
      <c r="C695" s="4"/>
      <c r="D695" s="36">
        <v>0.0</v>
      </c>
      <c r="E695" s="4"/>
      <c r="F695" s="4"/>
      <c r="G695" s="4"/>
      <c r="H695" s="4"/>
      <c r="I695" s="4"/>
      <c r="J695" s="18"/>
      <c r="K695" s="4"/>
      <c r="L695" s="19"/>
      <c r="M695" s="20"/>
    </row>
    <row r="696">
      <c r="A696" s="6"/>
      <c r="B696" s="6"/>
      <c r="C696" s="4"/>
      <c r="D696" s="36">
        <v>0.0</v>
      </c>
      <c r="E696" s="4"/>
      <c r="F696" s="4"/>
      <c r="G696" s="4"/>
      <c r="H696" s="4"/>
      <c r="I696" s="4"/>
      <c r="J696" s="18"/>
      <c r="K696" s="4"/>
      <c r="L696" s="19"/>
      <c r="M696" s="20"/>
    </row>
    <row r="697">
      <c r="A697" s="6"/>
      <c r="B697" s="6"/>
      <c r="C697" s="4"/>
      <c r="D697" s="36">
        <v>0.0</v>
      </c>
      <c r="E697" s="4"/>
      <c r="F697" s="4"/>
      <c r="G697" s="4"/>
      <c r="H697" s="4"/>
      <c r="I697" s="4"/>
      <c r="J697" s="18"/>
      <c r="K697" s="4"/>
      <c r="L697" s="19"/>
      <c r="M697" s="20"/>
    </row>
    <row r="698">
      <c r="A698" s="6"/>
      <c r="B698" s="6"/>
      <c r="C698" s="4"/>
      <c r="D698" s="36">
        <v>0.0</v>
      </c>
      <c r="E698" s="4"/>
      <c r="F698" s="4"/>
      <c r="G698" s="4"/>
      <c r="H698" s="4"/>
      <c r="I698" s="4"/>
      <c r="J698" s="18"/>
      <c r="K698" s="4"/>
      <c r="L698" s="19"/>
      <c r="M698" s="20"/>
    </row>
    <row r="699">
      <c r="A699" s="6"/>
      <c r="B699" s="6"/>
      <c r="C699" s="4"/>
      <c r="D699" s="36">
        <v>0.0</v>
      </c>
      <c r="E699" s="4"/>
      <c r="F699" s="4"/>
      <c r="G699" s="4"/>
      <c r="H699" s="4"/>
      <c r="I699" s="4"/>
      <c r="J699" s="18"/>
      <c r="K699" s="4"/>
      <c r="L699" s="19"/>
      <c r="M699" s="20"/>
    </row>
    <row r="700">
      <c r="A700" s="6"/>
      <c r="B700" s="6"/>
      <c r="C700" s="4"/>
      <c r="D700" s="36">
        <v>0.0</v>
      </c>
      <c r="E700" s="4"/>
      <c r="F700" s="4"/>
      <c r="G700" s="4"/>
      <c r="H700" s="4"/>
      <c r="I700" s="4"/>
      <c r="J700" s="18"/>
      <c r="K700" s="4"/>
      <c r="L700" s="19"/>
      <c r="M700" s="20"/>
    </row>
    <row r="701">
      <c r="A701" s="6"/>
      <c r="B701" s="6"/>
      <c r="C701" s="4"/>
      <c r="D701" s="36">
        <v>0.0</v>
      </c>
      <c r="E701" s="4"/>
      <c r="F701" s="4"/>
      <c r="G701" s="4"/>
      <c r="H701" s="4"/>
      <c r="I701" s="4"/>
      <c r="J701" s="18"/>
      <c r="K701" s="4"/>
      <c r="L701" s="19"/>
      <c r="M701" s="20"/>
    </row>
    <row r="702">
      <c r="A702" s="6"/>
      <c r="B702" s="6"/>
      <c r="C702" s="4"/>
      <c r="D702" s="36">
        <v>0.0</v>
      </c>
      <c r="E702" s="4"/>
      <c r="F702" s="4"/>
      <c r="G702" s="4"/>
      <c r="H702" s="4"/>
      <c r="I702" s="4"/>
      <c r="J702" s="18"/>
      <c r="K702" s="4"/>
      <c r="L702" s="19"/>
      <c r="M702" s="20"/>
    </row>
    <row r="703">
      <c r="A703" s="6"/>
      <c r="B703" s="6"/>
      <c r="C703" s="4"/>
      <c r="D703" s="36">
        <v>0.0</v>
      </c>
      <c r="E703" s="4"/>
      <c r="F703" s="4"/>
      <c r="G703" s="4"/>
      <c r="H703" s="4"/>
      <c r="I703" s="4"/>
      <c r="J703" s="18"/>
      <c r="K703" s="4"/>
      <c r="L703" s="19"/>
      <c r="M703" s="20"/>
    </row>
    <row r="704">
      <c r="A704" s="6"/>
      <c r="B704" s="6"/>
      <c r="C704" s="4"/>
      <c r="D704" s="36">
        <v>0.0</v>
      </c>
      <c r="E704" s="4"/>
      <c r="F704" s="4"/>
      <c r="G704" s="4"/>
      <c r="H704" s="4"/>
      <c r="I704" s="4"/>
      <c r="J704" s="18"/>
      <c r="K704" s="4"/>
      <c r="L704" s="19"/>
      <c r="M704" s="20"/>
    </row>
    <row r="705">
      <c r="A705" s="6"/>
      <c r="B705" s="6"/>
      <c r="C705" s="4"/>
      <c r="D705" s="36">
        <v>0.0</v>
      </c>
      <c r="E705" s="4"/>
      <c r="F705" s="4"/>
      <c r="G705" s="4"/>
      <c r="H705" s="4"/>
      <c r="I705" s="4"/>
      <c r="J705" s="18"/>
      <c r="K705" s="4"/>
      <c r="L705" s="19"/>
      <c r="M705" s="20"/>
    </row>
    <row r="706">
      <c r="A706" s="6"/>
      <c r="B706" s="6"/>
      <c r="C706" s="4"/>
      <c r="D706" s="36">
        <v>0.0</v>
      </c>
      <c r="E706" s="4"/>
      <c r="F706" s="4"/>
      <c r="G706" s="4"/>
      <c r="H706" s="4"/>
      <c r="I706" s="4"/>
      <c r="J706" s="18"/>
      <c r="K706" s="4"/>
      <c r="L706" s="19"/>
      <c r="M706" s="20"/>
    </row>
    <row r="707">
      <c r="A707" s="6"/>
      <c r="B707" s="6"/>
      <c r="C707" s="4"/>
      <c r="D707" s="36">
        <v>0.0</v>
      </c>
      <c r="E707" s="4"/>
      <c r="F707" s="4"/>
      <c r="G707" s="4"/>
      <c r="H707" s="4"/>
      <c r="I707" s="4"/>
      <c r="J707" s="18"/>
      <c r="K707" s="4"/>
      <c r="L707" s="19"/>
      <c r="M707" s="20"/>
    </row>
    <row r="708">
      <c r="A708" s="6"/>
      <c r="B708" s="6"/>
      <c r="C708" s="4"/>
      <c r="D708" s="36">
        <v>0.0</v>
      </c>
      <c r="E708" s="4"/>
      <c r="F708" s="4"/>
      <c r="G708" s="4"/>
      <c r="H708" s="4"/>
      <c r="I708" s="4"/>
      <c r="J708" s="18"/>
      <c r="K708" s="4"/>
      <c r="L708" s="19"/>
      <c r="M708" s="20"/>
    </row>
    <row r="709">
      <c r="A709" s="6"/>
      <c r="B709" s="6"/>
      <c r="C709" s="4"/>
      <c r="D709" s="36">
        <v>0.0</v>
      </c>
      <c r="E709" s="4"/>
      <c r="F709" s="4"/>
      <c r="G709" s="4"/>
      <c r="H709" s="4"/>
      <c r="I709" s="4"/>
      <c r="J709" s="18"/>
      <c r="K709" s="4"/>
      <c r="L709" s="19"/>
      <c r="M709" s="20"/>
    </row>
    <row r="710">
      <c r="A710" s="6"/>
      <c r="B710" s="6"/>
      <c r="C710" s="4"/>
      <c r="D710" s="36">
        <v>0.0</v>
      </c>
      <c r="E710" s="4"/>
      <c r="F710" s="4"/>
      <c r="G710" s="4"/>
      <c r="H710" s="4"/>
      <c r="I710" s="4"/>
      <c r="J710" s="18"/>
      <c r="K710" s="4"/>
      <c r="L710" s="19"/>
      <c r="M710" s="20"/>
    </row>
    <row r="711">
      <c r="A711" s="6"/>
      <c r="B711" s="6"/>
      <c r="C711" s="4"/>
      <c r="D711" s="36">
        <v>0.0</v>
      </c>
      <c r="E711" s="4"/>
      <c r="F711" s="4"/>
      <c r="G711" s="4"/>
      <c r="H711" s="4"/>
      <c r="I711" s="4"/>
      <c r="J711" s="18"/>
      <c r="K711" s="4"/>
      <c r="L711" s="19"/>
      <c r="M711" s="20"/>
    </row>
    <row r="712">
      <c r="A712" s="6"/>
      <c r="B712" s="6"/>
      <c r="C712" s="4"/>
      <c r="D712" s="36">
        <v>0.0</v>
      </c>
      <c r="E712" s="4"/>
      <c r="F712" s="4"/>
      <c r="G712" s="4"/>
      <c r="H712" s="4"/>
      <c r="I712" s="4"/>
      <c r="J712" s="18"/>
      <c r="K712" s="4"/>
      <c r="L712" s="19"/>
      <c r="M712" s="20"/>
    </row>
    <row r="713">
      <c r="A713" s="6"/>
      <c r="B713" s="6"/>
      <c r="C713" s="4"/>
      <c r="D713" s="36">
        <v>0.0</v>
      </c>
      <c r="E713" s="4"/>
      <c r="F713" s="4"/>
      <c r="G713" s="4"/>
      <c r="H713" s="4"/>
      <c r="I713" s="4"/>
      <c r="J713" s="18"/>
      <c r="K713" s="4"/>
      <c r="L713" s="19"/>
      <c r="M713" s="20"/>
    </row>
    <row r="714">
      <c r="A714" s="6"/>
      <c r="B714" s="6"/>
      <c r="C714" s="4"/>
      <c r="D714" s="36">
        <v>0.0</v>
      </c>
      <c r="E714" s="4"/>
      <c r="F714" s="4"/>
      <c r="G714" s="4"/>
      <c r="H714" s="4"/>
      <c r="I714" s="4"/>
      <c r="J714" s="18"/>
      <c r="K714" s="4"/>
      <c r="L714" s="19"/>
      <c r="M714" s="20"/>
    </row>
    <row r="715">
      <c r="A715" s="6"/>
      <c r="B715" s="6"/>
      <c r="C715" s="4"/>
      <c r="D715" s="36">
        <v>0.0</v>
      </c>
      <c r="E715" s="4"/>
      <c r="F715" s="4"/>
      <c r="G715" s="4"/>
      <c r="H715" s="4"/>
      <c r="I715" s="4"/>
      <c r="J715" s="18"/>
      <c r="K715" s="4"/>
      <c r="L715" s="19"/>
      <c r="M715" s="20"/>
    </row>
    <row r="716">
      <c r="A716" s="6"/>
      <c r="B716" s="6"/>
      <c r="C716" s="4"/>
      <c r="D716" s="36">
        <v>0.0</v>
      </c>
      <c r="E716" s="4"/>
      <c r="F716" s="4"/>
      <c r="G716" s="4"/>
      <c r="H716" s="4"/>
      <c r="I716" s="4"/>
      <c r="J716" s="18"/>
      <c r="K716" s="4"/>
      <c r="L716" s="19"/>
      <c r="M716" s="20"/>
    </row>
    <row r="717">
      <c r="A717" s="6"/>
      <c r="B717" s="6"/>
      <c r="C717" s="4"/>
      <c r="D717" s="36">
        <v>0.0</v>
      </c>
      <c r="E717" s="4"/>
      <c r="F717" s="4"/>
      <c r="G717" s="4"/>
      <c r="H717" s="4"/>
      <c r="I717" s="4"/>
      <c r="J717" s="18"/>
      <c r="K717" s="4"/>
      <c r="L717" s="19"/>
      <c r="M717" s="20"/>
    </row>
    <row r="718">
      <c r="A718" s="6"/>
      <c r="B718" s="6"/>
      <c r="C718" s="4"/>
      <c r="D718" s="36">
        <v>0.0</v>
      </c>
      <c r="E718" s="4"/>
      <c r="F718" s="4"/>
      <c r="G718" s="4"/>
      <c r="H718" s="4"/>
      <c r="I718" s="4"/>
      <c r="J718" s="18"/>
      <c r="K718" s="4"/>
      <c r="L718" s="19"/>
      <c r="M718" s="20"/>
    </row>
    <row r="719">
      <c r="A719" s="6"/>
      <c r="B719" s="6"/>
      <c r="C719" s="4"/>
      <c r="D719" s="36">
        <v>0.0</v>
      </c>
      <c r="E719" s="4"/>
      <c r="F719" s="4"/>
      <c r="G719" s="4"/>
      <c r="H719" s="4"/>
      <c r="I719" s="4"/>
      <c r="J719" s="18"/>
      <c r="K719" s="4"/>
      <c r="L719" s="19"/>
      <c r="M719" s="20"/>
    </row>
    <row r="720">
      <c r="A720" s="6"/>
      <c r="B720" s="6"/>
      <c r="C720" s="4"/>
      <c r="D720" s="36">
        <v>0.0</v>
      </c>
      <c r="E720" s="4"/>
      <c r="F720" s="4"/>
      <c r="G720" s="4"/>
      <c r="H720" s="4"/>
      <c r="I720" s="4"/>
      <c r="J720" s="18"/>
      <c r="K720" s="4"/>
      <c r="L720" s="19"/>
      <c r="M720" s="20"/>
    </row>
    <row r="721">
      <c r="A721" s="6"/>
      <c r="B721" s="6"/>
      <c r="C721" s="4"/>
      <c r="D721" s="36">
        <v>0.0</v>
      </c>
      <c r="E721" s="4"/>
      <c r="F721" s="4"/>
      <c r="G721" s="4"/>
      <c r="H721" s="4"/>
      <c r="I721" s="4"/>
      <c r="J721" s="18"/>
      <c r="K721" s="4"/>
      <c r="L721" s="19"/>
      <c r="M721" s="20"/>
    </row>
    <row r="722">
      <c r="A722" s="6"/>
      <c r="B722" s="6"/>
      <c r="C722" s="4"/>
      <c r="D722" s="36">
        <v>0.0</v>
      </c>
      <c r="E722" s="4"/>
      <c r="F722" s="4"/>
      <c r="G722" s="4"/>
      <c r="H722" s="4"/>
      <c r="I722" s="4"/>
      <c r="J722" s="18"/>
      <c r="K722" s="4"/>
      <c r="L722" s="19"/>
      <c r="M722" s="20"/>
    </row>
    <row r="723">
      <c r="A723" s="6"/>
      <c r="B723" s="6"/>
      <c r="C723" s="4"/>
      <c r="D723" s="36">
        <v>0.0</v>
      </c>
      <c r="E723" s="4"/>
      <c r="F723" s="4"/>
      <c r="G723" s="4"/>
      <c r="H723" s="4"/>
      <c r="I723" s="4"/>
      <c r="J723" s="18"/>
      <c r="K723" s="4"/>
      <c r="L723" s="19"/>
      <c r="M723" s="20"/>
    </row>
    <row r="724">
      <c r="A724" s="6"/>
      <c r="B724" s="6"/>
      <c r="C724" s="4"/>
      <c r="D724" s="36">
        <v>0.0</v>
      </c>
      <c r="E724" s="4"/>
      <c r="F724" s="4"/>
      <c r="G724" s="4"/>
      <c r="H724" s="4"/>
      <c r="I724" s="4"/>
      <c r="J724" s="18"/>
      <c r="K724" s="4"/>
      <c r="L724" s="19"/>
      <c r="M724" s="20"/>
    </row>
    <row r="725">
      <c r="A725" s="6"/>
      <c r="B725" s="6"/>
      <c r="C725" s="4"/>
      <c r="D725" s="36">
        <v>0.0</v>
      </c>
      <c r="E725" s="4"/>
      <c r="F725" s="4"/>
      <c r="G725" s="4"/>
      <c r="H725" s="4"/>
      <c r="I725" s="4"/>
      <c r="J725" s="18"/>
      <c r="K725" s="4"/>
      <c r="L725" s="19"/>
      <c r="M725" s="20"/>
    </row>
    <row r="726">
      <c r="A726" s="6"/>
      <c r="B726" s="6"/>
      <c r="C726" s="4"/>
      <c r="D726" s="36">
        <v>0.0</v>
      </c>
      <c r="E726" s="4"/>
      <c r="F726" s="4"/>
      <c r="G726" s="4"/>
      <c r="H726" s="4"/>
      <c r="I726" s="4"/>
      <c r="J726" s="18"/>
      <c r="K726" s="4"/>
      <c r="L726" s="19"/>
      <c r="M726" s="20"/>
    </row>
    <row r="727">
      <c r="A727" s="6"/>
      <c r="B727" s="6"/>
      <c r="C727" s="4"/>
      <c r="D727" s="36">
        <v>0.0</v>
      </c>
      <c r="E727" s="4"/>
      <c r="F727" s="4"/>
      <c r="G727" s="4"/>
      <c r="H727" s="4"/>
      <c r="I727" s="4"/>
      <c r="J727" s="18"/>
      <c r="K727" s="4"/>
      <c r="L727" s="19"/>
      <c r="M727" s="20"/>
    </row>
    <row r="728">
      <c r="A728" s="6"/>
      <c r="B728" s="6"/>
      <c r="C728" s="4"/>
      <c r="D728" s="36">
        <v>0.0</v>
      </c>
      <c r="E728" s="4"/>
      <c r="F728" s="4"/>
      <c r="G728" s="4"/>
      <c r="H728" s="4"/>
      <c r="I728" s="4"/>
      <c r="J728" s="18"/>
      <c r="K728" s="4"/>
      <c r="L728" s="19"/>
      <c r="M728" s="20"/>
    </row>
    <row r="729">
      <c r="A729" s="6"/>
      <c r="B729" s="6"/>
      <c r="C729" s="4"/>
      <c r="D729" s="36">
        <v>0.0</v>
      </c>
      <c r="E729" s="4"/>
      <c r="F729" s="4"/>
      <c r="G729" s="4"/>
      <c r="H729" s="4"/>
      <c r="I729" s="4"/>
      <c r="J729" s="18"/>
      <c r="K729" s="4"/>
      <c r="L729" s="19"/>
      <c r="M729" s="20"/>
    </row>
    <row r="730">
      <c r="A730" s="6"/>
      <c r="B730" s="6"/>
      <c r="C730" s="4"/>
      <c r="D730" s="36">
        <v>0.0</v>
      </c>
      <c r="E730" s="4"/>
      <c r="F730" s="4"/>
      <c r="G730" s="4"/>
      <c r="H730" s="4"/>
      <c r="I730" s="4"/>
      <c r="J730" s="18"/>
      <c r="K730" s="4"/>
      <c r="L730" s="19"/>
      <c r="M730" s="20"/>
    </row>
    <row r="731">
      <c r="A731" s="6"/>
      <c r="B731" s="6"/>
      <c r="C731" s="4"/>
      <c r="D731" s="36">
        <v>0.0</v>
      </c>
      <c r="E731" s="4"/>
      <c r="F731" s="4"/>
      <c r="G731" s="4"/>
      <c r="H731" s="4"/>
      <c r="I731" s="4"/>
      <c r="J731" s="18"/>
      <c r="K731" s="4"/>
      <c r="L731" s="19"/>
      <c r="M731" s="20"/>
    </row>
    <row r="732">
      <c r="A732" s="6"/>
      <c r="B732" s="6"/>
      <c r="C732" s="4"/>
      <c r="D732" s="36">
        <v>0.0</v>
      </c>
      <c r="E732" s="4"/>
      <c r="F732" s="4"/>
      <c r="G732" s="4"/>
      <c r="H732" s="4"/>
      <c r="I732" s="4"/>
      <c r="J732" s="18"/>
      <c r="K732" s="4"/>
      <c r="L732" s="19"/>
      <c r="M732" s="20"/>
    </row>
    <row r="733">
      <c r="A733" s="6"/>
      <c r="B733" s="6"/>
      <c r="C733" s="4"/>
      <c r="D733" s="36">
        <v>0.0</v>
      </c>
      <c r="E733" s="4"/>
      <c r="F733" s="4"/>
      <c r="G733" s="4"/>
      <c r="H733" s="4"/>
      <c r="I733" s="4"/>
      <c r="J733" s="18"/>
      <c r="K733" s="4"/>
      <c r="L733" s="19"/>
      <c r="M733" s="20"/>
    </row>
    <row r="734">
      <c r="A734" s="6"/>
      <c r="B734" s="6"/>
      <c r="C734" s="4"/>
      <c r="D734" s="36">
        <v>0.0</v>
      </c>
      <c r="E734" s="4"/>
      <c r="F734" s="4"/>
      <c r="G734" s="4"/>
      <c r="H734" s="4"/>
      <c r="I734" s="4"/>
      <c r="J734" s="18"/>
      <c r="K734" s="4"/>
      <c r="L734" s="19"/>
      <c r="M734" s="20"/>
    </row>
    <row r="735">
      <c r="A735" s="6"/>
      <c r="B735" s="6"/>
      <c r="C735" s="4"/>
      <c r="D735" s="36">
        <v>0.0</v>
      </c>
      <c r="E735" s="4"/>
      <c r="F735" s="4"/>
      <c r="G735" s="4"/>
      <c r="H735" s="4"/>
      <c r="I735" s="4"/>
      <c r="J735" s="18"/>
      <c r="K735" s="4"/>
      <c r="L735" s="19"/>
      <c r="M735" s="20"/>
    </row>
    <row r="736">
      <c r="A736" s="6"/>
      <c r="B736" s="6"/>
      <c r="C736" s="4"/>
      <c r="D736" s="36">
        <v>0.0</v>
      </c>
      <c r="E736" s="4"/>
      <c r="F736" s="4"/>
      <c r="G736" s="4"/>
      <c r="H736" s="4"/>
      <c r="I736" s="4"/>
      <c r="J736" s="18"/>
      <c r="K736" s="4"/>
      <c r="L736" s="19"/>
      <c r="M736" s="20"/>
    </row>
    <row r="737">
      <c r="A737" s="6"/>
      <c r="B737" s="6"/>
      <c r="C737" s="4"/>
      <c r="D737" s="36">
        <v>0.0</v>
      </c>
      <c r="E737" s="4"/>
      <c r="F737" s="4"/>
      <c r="G737" s="4"/>
      <c r="H737" s="4"/>
      <c r="I737" s="4"/>
      <c r="J737" s="18"/>
      <c r="K737" s="4"/>
      <c r="L737" s="19"/>
      <c r="M737" s="20"/>
    </row>
    <row r="738">
      <c r="A738" s="6"/>
      <c r="B738" s="6"/>
      <c r="C738" s="4"/>
      <c r="D738" s="36">
        <v>0.0</v>
      </c>
      <c r="E738" s="4"/>
      <c r="F738" s="4"/>
      <c r="G738" s="4"/>
      <c r="H738" s="4"/>
      <c r="I738" s="4"/>
      <c r="J738" s="18"/>
      <c r="K738" s="4"/>
      <c r="L738" s="19"/>
      <c r="M738" s="20"/>
    </row>
    <row r="739">
      <c r="A739" s="6"/>
      <c r="B739" s="6"/>
      <c r="C739" s="4"/>
      <c r="D739" s="36">
        <v>0.0</v>
      </c>
      <c r="E739" s="4"/>
      <c r="F739" s="4"/>
      <c r="G739" s="4"/>
      <c r="H739" s="4"/>
      <c r="I739" s="4"/>
      <c r="J739" s="18"/>
      <c r="K739" s="4"/>
      <c r="L739" s="19"/>
      <c r="M739" s="20"/>
    </row>
    <row r="740">
      <c r="A740" s="6"/>
      <c r="B740" s="6"/>
      <c r="C740" s="4"/>
      <c r="D740" s="36">
        <v>0.0</v>
      </c>
      <c r="E740" s="4"/>
      <c r="F740" s="4"/>
      <c r="G740" s="4"/>
      <c r="H740" s="4"/>
      <c r="I740" s="4"/>
      <c r="J740" s="18"/>
      <c r="K740" s="4"/>
      <c r="L740" s="19"/>
      <c r="M740" s="20"/>
    </row>
    <row r="741">
      <c r="A741" s="6"/>
      <c r="B741" s="6"/>
      <c r="C741" s="4"/>
      <c r="D741" s="36">
        <v>0.0</v>
      </c>
      <c r="E741" s="4"/>
      <c r="F741" s="4"/>
      <c r="G741" s="4"/>
      <c r="H741" s="4"/>
      <c r="I741" s="4"/>
      <c r="J741" s="18"/>
      <c r="K741" s="4"/>
      <c r="L741" s="19"/>
      <c r="M741" s="20"/>
    </row>
    <row r="742">
      <c r="A742" s="6"/>
      <c r="B742" s="6"/>
      <c r="C742" s="4"/>
      <c r="D742" s="36">
        <v>0.0</v>
      </c>
      <c r="E742" s="4"/>
      <c r="F742" s="4"/>
      <c r="G742" s="4"/>
      <c r="H742" s="4"/>
      <c r="I742" s="4"/>
      <c r="J742" s="18"/>
      <c r="K742" s="4"/>
      <c r="L742" s="19"/>
      <c r="M742" s="20"/>
    </row>
    <row r="743">
      <c r="A743" s="6"/>
      <c r="B743" s="6"/>
      <c r="C743" s="4"/>
      <c r="D743" s="36">
        <v>0.0</v>
      </c>
      <c r="E743" s="4"/>
      <c r="F743" s="4"/>
      <c r="G743" s="4"/>
      <c r="H743" s="4"/>
      <c r="I743" s="4"/>
      <c r="J743" s="18"/>
      <c r="K743" s="4"/>
      <c r="L743" s="19"/>
      <c r="M743" s="20"/>
    </row>
    <row r="744">
      <c r="A744" s="6"/>
      <c r="B744" s="6"/>
      <c r="C744" s="4"/>
      <c r="D744" s="36">
        <v>0.0</v>
      </c>
      <c r="E744" s="4"/>
      <c r="F744" s="4"/>
      <c r="G744" s="4"/>
      <c r="H744" s="4"/>
      <c r="I744" s="4"/>
      <c r="J744" s="18"/>
      <c r="K744" s="4"/>
      <c r="L744" s="19"/>
      <c r="M744" s="20"/>
    </row>
    <row r="745">
      <c r="A745" s="6"/>
      <c r="B745" s="6"/>
      <c r="C745" s="4"/>
      <c r="D745" s="36">
        <v>0.0</v>
      </c>
      <c r="E745" s="4"/>
      <c r="F745" s="4"/>
      <c r="G745" s="4"/>
      <c r="H745" s="4"/>
      <c r="I745" s="4"/>
      <c r="J745" s="18"/>
      <c r="K745" s="4"/>
      <c r="L745" s="19"/>
      <c r="M745" s="20"/>
    </row>
    <row r="746">
      <c r="A746" s="6"/>
      <c r="B746" s="6"/>
      <c r="C746" s="4"/>
      <c r="D746" s="36">
        <v>0.0</v>
      </c>
      <c r="E746" s="4"/>
      <c r="F746" s="4"/>
      <c r="G746" s="4"/>
      <c r="H746" s="4"/>
      <c r="I746" s="4"/>
      <c r="J746" s="18"/>
      <c r="K746" s="4"/>
      <c r="L746" s="19"/>
      <c r="M746" s="20"/>
    </row>
    <row r="747">
      <c r="A747" s="6"/>
      <c r="B747" s="6"/>
      <c r="C747" s="4"/>
      <c r="D747" s="36">
        <v>0.0</v>
      </c>
      <c r="E747" s="4"/>
      <c r="F747" s="4"/>
      <c r="G747" s="4"/>
      <c r="H747" s="4"/>
      <c r="I747" s="4"/>
      <c r="J747" s="18"/>
      <c r="K747" s="4"/>
      <c r="L747" s="19"/>
      <c r="M747" s="20"/>
    </row>
    <row r="748">
      <c r="A748" s="6"/>
      <c r="B748" s="6"/>
      <c r="C748" s="4"/>
      <c r="D748" s="36">
        <v>0.0</v>
      </c>
      <c r="E748" s="4"/>
      <c r="F748" s="4"/>
      <c r="G748" s="4"/>
      <c r="H748" s="4"/>
      <c r="I748" s="4"/>
      <c r="J748" s="18"/>
      <c r="K748" s="4"/>
      <c r="L748" s="19"/>
      <c r="M748" s="20"/>
    </row>
    <row r="749">
      <c r="A749" s="6"/>
      <c r="B749" s="6"/>
      <c r="C749" s="4"/>
      <c r="D749" s="36">
        <v>0.0</v>
      </c>
      <c r="E749" s="4"/>
      <c r="F749" s="4"/>
      <c r="G749" s="4"/>
      <c r="H749" s="4"/>
      <c r="I749" s="4"/>
      <c r="J749" s="18"/>
      <c r="K749" s="4"/>
      <c r="L749" s="19"/>
      <c r="M749" s="20"/>
    </row>
    <row r="750">
      <c r="A750" s="6"/>
      <c r="B750" s="6"/>
      <c r="C750" s="4"/>
      <c r="D750" s="36">
        <v>0.0</v>
      </c>
      <c r="E750" s="4"/>
      <c r="F750" s="4"/>
      <c r="G750" s="4"/>
      <c r="H750" s="4"/>
      <c r="I750" s="4"/>
      <c r="J750" s="18"/>
      <c r="K750" s="4"/>
      <c r="L750" s="19"/>
      <c r="M750" s="20"/>
    </row>
    <row r="751">
      <c r="A751" s="6"/>
      <c r="B751" s="6"/>
      <c r="C751" s="4"/>
      <c r="D751" s="36">
        <v>0.0</v>
      </c>
      <c r="E751" s="4"/>
      <c r="F751" s="4"/>
      <c r="G751" s="4"/>
      <c r="H751" s="4"/>
      <c r="I751" s="4"/>
      <c r="J751" s="18"/>
      <c r="K751" s="4"/>
      <c r="L751" s="19"/>
      <c r="M751" s="20"/>
    </row>
    <row r="752">
      <c r="A752" s="6"/>
      <c r="B752" s="6"/>
      <c r="C752" s="4"/>
      <c r="D752" s="36">
        <v>0.0</v>
      </c>
      <c r="E752" s="4"/>
      <c r="F752" s="4"/>
      <c r="G752" s="4"/>
      <c r="H752" s="4"/>
      <c r="I752" s="4"/>
      <c r="J752" s="18"/>
      <c r="K752" s="4"/>
      <c r="L752" s="19"/>
      <c r="M752" s="20"/>
    </row>
    <row r="753">
      <c r="A753" s="6"/>
      <c r="B753" s="6"/>
      <c r="C753" s="4"/>
      <c r="D753" s="36">
        <v>0.0</v>
      </c>
      <c r="E753" s="4"/>
      <c r="F753" s="4"/>
      <c r="G753" s="4"/>
      <c r="H753" s="4"/>
      <c r="I753" s="4"/>
      <c r="J753" s="18"/>
      <c r="K753" s="4"/>
      <c r="L753" s="19"/>
      <c r="M753" s="20"/>
    </row>
    <row r="754">
      <c r="A754" s="6"/>
      <c r="B754" s="6"/>
      <c r="C754" s="4"/>
      <c r="D754" s="36">
        <v>0.0</v>
      </c>
      <c r="E754" s="4"/>
      <c r="F754" s="4"/>
      <c r="G754" s="4"/>
      <c r="H754" s="4"/>
      <c r="I754" s="4"/>
      <c r="J754" s="18"/>
      <c r="K754" s="4"/>
      <c r="L754" s="19"/>
      <c r="M754" s="20"/>
    </row>
    <row r="755">
      <c r="A755" s="6"/>
      <c r="B755" s="6"/>
      <c r="C755" s="4"/>
      <c r="D755" s="36">
        <v>0.0</v>
      </c>
      <c r="E755" s="4"/>
      <c r="F755" s="4"/>
      <c r="G755" s="4"/>
      <c r="H755" s="4"/>
      <c r="I755" s="4"/>
      <c r="J755" s="18"/>
      <c r="K755" s="4"/>
      <c r="L755" s="19"/>
      <c r="M755" s="20"/>
    </row>
    <row r="756">
      <c r="A756" s="6"/>
      <c r="B756" s="6"/>
      <c r="C756" s="4"/>
      <c r="D756" s="36">
        <v>0.0</v>
      </c>
      <c r="E756" s="4"/>
      <c r="F756" s="4"/>
      <c r="G756" s="4"/>
      <c r="H756" s="4"/>
      <c r="I756" s="4"/>
      <c r="J756" s="18"/>
      <c r="K756" s="4"/>
      <c r="L756" s="19"/>
      <c r="M756" s="20"/>
    </row>
    <row r="757">
      <c r="A757" s="6"/>
      <c r="B757" s="6"/>
      <c r="C757" s="4"/>
      <c r="D757" s="36">
        <v>0.0</v>
      </c>
      <c r="E757" s="4"/>
      <c r="F757" s="4"/>
      <c r="G757" s="4"/>
      <c r="H757" s="4"/>
      <c r="I757" s="4"/>
      <c r="J757" s="18"/>
      <c r="K757" s="4"/>
      <c r="L757" s="19"/>
      <c r="M757" s="20"/>
    </row>
    <row r="758">
      <c r="A758" s="6"/>
      <c r="B758" s="6"/>
      <c r="C758" s="4"/>
      <c r="D758" s="36">
        <v>0.0</v>
      </c>
      <c r="E758" s="4"/>
      <c r="F758" s="4"/>
      <c r="G758" s="4"/>
      <c r="H758" s="4"/>
      <c r="I758" s="4"/>
      <c r="J758" s="18"/>
      <c r="K758" s="4"/>
      <c r="L758" s="19"/>
      <c r="M758" s="20"/>
    </row>
    <row r="759">
      <c r="A759" s="6"/>
      <c r="B759" s="6"/>
      <c r="C759" s="4"/>
      <c r="D759" s="36">
        <v>0.0</v>
      </c>
      <c r="E759" s="4"/>
      <c r="F759" s="4"/>
      <c r="G759" s="4"/>
      <c r="H759" s="4"/>
      <c r="I759" s="4"/>
      <c r="J759" s="18"/>
      <c r="K759" s="4"/>
      <c r="L759" s="19"/>
      <c r="M759" s="20"/>
    </row>
    <row r="760">
      <c r="A760" s="6"/>
      <c r="B760" s="6"/>
      <c r="C760" s="4"/>
      <c r="D760" s="36">
        <v>0.0</v>
      </c>
      <c r="E760" s="4"/>
      <c r="F760" s="4"/>
      <c r="G760" s="4"/>
      <c r="H760" s="4"/>
      <c r="I760" s="4"/>
      <c r="J760" s="18"/>
      <c r="K760" s="4"/>
      <c r="L760" s="19"/>
      <c r="M760" s="20"/>
    </row>
    <row r="761">
      <c r="A761" s="6"/>
      <c r="B761" s="6"/>
      <c r="C761" s="4"/>
      <c r="D761" s="36">
        <v>0.0</v>
      </c>
      <c r="E761" s="4"/>
      <c r="F761" s="4"/>
      <c r="G761" s="4"/>
      <c r="H761" s="4"/>
      <c r="I761" s="4"/>
      <c r="J761" s="18"/>
      <c r="K761" s="4"/>
      <c r="L761" s="19"/>
      <c r="M761" s="20"/>
    </row>
    <row r="762">
      <c r="A762" s="6"/>
      <c r="B762" s="6"/>
      <c r="C762" s="4"/>
      <c r="D762" s="36">
        <v>0.0</v>
      </c>
      <c r="E762" s="4"/>
      <c r="F762" s="4"/>
      <c r="G762" s="4"/>
      <c r="H762" s="4"/>
      <c r="I762" s="4"/>
      <c r="J762" s="18"/>
      <c r="K762" s="4"/>
      <c r="L762" s="19"/>
      <c r="M762" s="20"/>
    </row>
    <row r="763">
      <c r="A763" s="6"/>
      <c r="B763" s="6"/>
      <c r="C763" s="4"/>
      <c r="D763" s="36">
        <v>0.0</v>
      </c>
      <c r="E763" s="4"/>
      <c r="F763" s="4"/>
      <c r="G763" s="4"/>
      <c r="H763" s="4"/>
      <c r="I763" s="4"/>
      <c r="J763" s="18"/>
      <c r="K763" s="4"/>
      <c r="L763" s="19"/>
      <c r="M763" s="20"/>
    </row>
    <row r="764">
      <c r="A764" s="6"/>
      <c r="B764" s="6"/>
      <c r="C764" s="4"/>
      <c r="D764" s="36">
        <v>0.0</v>
      </c>
      <c r="E764" s="4"/>
      <c r="F764" s="4"/>
      <c r="G764" s="4"/>
      <c r="H764" s="4"/>
      <c r="I764" s="4"/>
      <c r="J764" s="18"/>
      <c r="K764" s="4"/>
      <c r="L764" s="19"/>
      <c r="M764" s="20"/>
    </row>
    <row r="765">
      <c r="A765" s="6"/>
      <c r="B765" s="6"/>
      <c r="C765" s="4"/>
      <c r="D765" s="36">
        <v>0.0</v>
      </c>
      <c r="E765" s="4"/>
      <c r="F765" s="4"/>
      <c r="G765" s="4"/>
      <c r="H765" s="4"/>
      <c r="I765" s="4"/>
      <c r="J765" s="18"/>
      <c r="K765" s="4"/>
      <c r="L765" s="19"/>
      <c r="M765" s="20"/>
    </row>
    <row r="766">
      <c r="A766" s="6"/>
      <c r="B766" s="6"/>
      <c r="C766" s="4"/>
      <c r="D766" s="36">
        <v>0.0</v>
      </c>
      <c r="E766" s="4"/>
      <c r="F766" s="4"/>
      <c r="G766" s="4"/>
      <c r="H766" s="4"/>
      <c r="I766" s="4"/>
      <c r="J766" s="18"/>
      <c r="K766" s="4"/>
      <c r="L766" s="19"/>
      <c r="M766" s="20"/>
    </row>
    <row r="767">
      <c r="A767" s="6"/>
      <c r="B767" s="6"/>
      <c r="C767" s="4"/>
      <c r="D767" s="36">
        <v>0.0</v>
      </c>
      <c r="E767" s="4"/>
      <c r="F767" s="4"/>
      <c r="G767" s="4"/>
      <c r="H767" s="4"/>
      <c r="I767" s="4"/>
      <c r="J767" s="18"/>
      <c r="K767" s="4"/>
      <c r="L767" s="19"/>
      <c r="M767" s="20"/>
    </row>
    <row r="768">
      <c r="A768" s="6"/>
      <c r="B768" s="6"/>
      <c r="C768" s="4"/>
      <c r="D768" s="36">
        <v>0.0</v>
      </c>
      <c r="E768" s="4"/>
      <c r="F768" s="4"/>
      <c r="G768" s="4"/>
      <c r="H768" s="4"/>
      <c r="I768" s="4"/>
      <c r="J768" s="18"/>
      <c r="K768" s="4"/>
      <c r="L768" s="19"/>
      <c r="M768" s="20"/>
    </row>
    <row r="769">
      <c r="A769" s="6"/>
      <c r="B769" s="6"/>
      <c r="C769" s="4"/>
      <c r="D769" s="36">
        <v>0.0</v>
      </c>
      <c r="E769" s="4"/>
      <c r="F769" s="4"/>
      <c r="G769" s="4"/>
      <c r="H769" s="4"/>
      <c r="I769" s="4"/>
      <c r="J769" s="18"/>
      <c r="K769" s="4"/>
      <c r="L769" s="19"/>
      <c r="M769" s="20"/>
    </row>
    <row r="770">
      <c r="A770" s="6"/>
      <c r="B770" s="6"/>
      <c r="C770" s="4"/>
      <c r="D770" s="36">
        <v>0.0</v>
      </c>
      <c r="E770" s="4"/>
      <c r="F770" s="4"/>
      <c r="G770" s="4"/>
      <c r="H770" s="4"/>
      <c r="I770" s="4"/>
      <c r="J770" s="18"/>
      <c r="K770" s="4"/>
      <c r="L770" s="19"/>
      <c r="M770" s="20"/>
    </row>
    <row r="771">
      <c r="A771" s="6"/>
      <c r="B771" s="6"/>
      <c r="C771" s="4"/>
      <c r="D771" s="36">
        <v>0.0</v>
      </c>
      <c r="E771" s="4"/>
      <c r="F771" s="4"/>
      <c r="G771" s="4"/>
      <c r="H771" s="4"/>
      <c r="I771" s="4"/>
      <c r="J771" s="18"/>
      <c r="K771" s="4"/>
      <c r="L771" s="19"/>
      <c r="M771" s="20"/>
    </row>
    <row r="772">
      <c r="A772" s="6"/>
      <c r="B772" s="6"/>
      <c r="C772" s="4"/>
      <c r="D772" s="36">
        <v>0.0</v>
      </c>
      <c r="E772" s="4"/>
      <c r="F772" s="4"/>
      <c r="G772" s="4"/>
      <c r="H772" s="4"/>
      <c r="I772" s="4"/>
      <c r="J772" s="18"/>
      <c r="K772" s="4"/>
      <c r="L772" s="19"/>
      <c r="M772" s="20"/>
    </row>
    <row r="773">
      <c r="A773" s="6"/>
      <c r="B773" s="6"/>
      <c r="C773" s="4"/>
      <c r="D773" s="36">
        <v>0.0</v>
      </c>
      <c r="E773" s="4"/>
      <c r="F773" s="4"/>
      <c r="G773" s="4"/>
      <c r="H773" s="4"/>
      <c r="I773" s="4"/>
      <c r="J773" s="18"/>
      <c r="K773" s="4"/>
      <c r="L773" s="19"/>
      <c r="M773" s="20"/>
    </row>
    <row r="774">
      <c r="A774" s="6"/>
      <c r="B774" s="6"/>
      <c r="C774" s="4"/>
      <c r="D774" s="36">
        <v>0.0</v>
      </c>
      <c r="E774" s="4"/>
      <c r="F774" s="4"/>
      <c r="G774" s="4"/>
      <c r="H774" s="4"/>
      <c r="I774" s="4"/>
      <c r="J774" s="18"/>
      <c r="K774" s="4"/>
      <c r="L774" s="19"/>
      <c r="M774" s="20"/>
    </row>
    <row r="775">
      <c r="A775" s="6"/>
      <c r="B775" s="6"/>
      <c r="C775" s="4"/>
      <c r="D775" s="36">
        <v>0.0</v>
      </c>
      <c r="E775" s="4"/>
      <c r="F775" s="4"/>
      <c r="G775" s="4"/>
      <c r="H775" s="4"/>
      <c r="I775" s="4"/>
      <c r="J775" s="18"/>
      <c r="K775" s="4"/>
      <c r="L775" s="19"/>
      <c r="M775" s="20"/>
    </row>
    <row r="776">
      <c r="A776" s="6"/>
      <c r="B776" s="6"/>
      <c r="C776" s="4"/>
      <c r="D776" s="36">
        <v>0.0</v>
      </c>
      <c r="E776" s="4"/>
      <c r="F776" s="4"/>
      <c r="G776" s="4"/>
      <c r="H776" s="4"/>
      <c r="I776" s="4"/>
      <c r="J776" s="18"/>
      <c r="K776" s="4"/>
      <c r="L776" s="19"/>
      <c r="M776" s="20"/>
    </row>
    <row r="777">
      <c r="A777" s="6"/>
      <c r="B777" s="6"/>
      <c r="C777" s="4"/>
      <c r="D777" s="36">
        <v>0.0</v>
      </c>
      <c r="E777" s="4"/>
      <c r="F777" s="4"/>
      <c r="G777" s="4"/>
      <c r="H777" s="4"/>
      <c r="I777" s="4"/>
      <c r="J777" s="18"/>
      <c r="K777" s="4"/>
      <c r="L777" s="19"/>
      <c r="M777" s="20"/>
    </row>
    <row r="778">
      <c r="A778" s="6"/>
      <c r="B778" s="6"/>
      <c r="C778" s="4"/>
      <c r="D778" s="36">
        <v>0.0</v>
      </c>
      <c r="E778" s="4"/>
      <c r="F778" s="4"/>
      <c r="G778" s="4"/>
      <c r="H778" s="4"/>
      <c r="I778" s="4"/>
      <c r="J778" s="18"/>
      <c r="K778" s="4"/>
      <c r="L778" s="19"/>
      <c r="M778" s="20"/>
    </row>
    <row r="779">
      <c r="A779" s="6"/>
      <c r="B779" s="6"/>
      <c r="C779" s="4"/>
      <c r="D779" s="36">
        <v>0.0</v>
      </c>
      <c r="E779" s="4"/>
      <c r="F779" s="4"/>
      <c r="G779" s="4"/>
      <c r="H779" s="4"/>
      <c r="I779" s="4"/>
      <c r="J779" s="18"/>
      <c r="K779" s="4"/>
      <c r="L779" s="19"/>
      <c r="M779" s="20"/>
    </row>
    <row r="780">
      <c r="A780" s="6"/>
      <c r="B780" s="6"/>
      <c r="C780" s="4"/>
      <c r="D780" s="36">
        <v>0.0</v>
      </c>
      <c r="E780" s="4"/>
      <c r="F780" s="4"/>
      <c r="G780" s="4"/>
      <c r="H780" s="4"/>
      <c r="I780" s="4"/>
      <c r="J780" s="18"/>
      <c r="K780" s="4"/>
      <c r="L780" s="19"/>
      <c r="M780" s="20"/>
    </row>
    <row r="781">
      <c r="A781" s="6"/>
      <c r="B781" s="6"/>
      <c r="C781" s="4"/>
      <c r="D781" s="36">
        <v>0.0</v>
      </c>
      <c r="E781" s="4"/>
      <c r="F781" s="4"/>
      <c r="G781" s="4"/>
      <c r="H781" s="4"/>
      <c r="I781" s="4"/>
      <c r="J781" s="18"/>
      <c r="K781" s="4"/>
      <c r="L781" s="19"/>
      <c r="M781" s="20"/>
    </row>
    <row r="782">
      <c r="A782" s="6"/>
      <c r="B782" s="6"/>
      <c r="C782" s="4"/>
      <c r="D782" s="36">
        <v>0.0</v>
      </c>
      <c r="E782" s="4"/>
      <c r="F782" s="4"/>
      <c r="G782" s="4"/>
      <c r="H782" s="4"/>
      <c r="I782" s="4"/>
      <c r="J782" s="18"/>
      <c r="K782" s="4"/>
      <c r="L782" s="19"/>
      <c r="M782" s="20"/>
    </row>
    <row r="783">
      <c r="A783" s="6"/>
      <c r="B783" s="6"/>
      <c r="C783" s="4"/>
      <c r="D783" s="36">
        <v>0.0</v>
      </c>
      <c r="E783" s="4"/>
      <c r="F783" s="4"/>
      <c r="G783" s="4"/>
      <c r="H783" s="4"/>
      <c r="I783" s="4"/>
      <c r="J783" s="18"/>
      <c r="K783" s="4"/>
      <c r="L783" s="19"/>
      <c r="M783" s="20"/>
    </row>
    <row r="784">
      <c r="A784" s="6"/>
      <c r="B784" s="6"/>
      <c r="C784" s="4"/>
      <c r="D784" s="36">
        <v>0.0</v>
      </c>
      <c r="E784" s="4"/>
      <c r="F784" s="4"/>
      <c r="G784" s="4"/>
      <c r="H784" s="4"/>
      <c r="I784" s="4"/>
      <c r="J784" s="18"/>
      <c r="K784" s="4"/>
      <c r="L784" s="19"/>
      <c r="M784" s="20"/>
    </row>
    <row r="785">
      <c r="A785" s="6"/>
      <c r="B785" s="6"/>
      <c r="C785" s="4"/>
      <c r="D785" s="36">
        <v>0.0</v>
      </c>
      <c r="E785" s="4"/>
      <c r="F785" s="4"/>
      <c r="G785" s="4"/>
      <c r="H785" s="4"/>
      <c r="I785" s="4"/>
      <c r="J785" s="18"/>
      <c r="K785" s="4"/>
      <c r="L785" s="19"/>
      <c r="M785" s="20"/>
    </row>
    <row r="786">
      <c r="A786" s="6"/>
      <c r="B786" s="6"/>
      <c r="C786" s="4"/>
      <c r="D786" s="36">
        <v>0.0</v>
      </c>
      <c r="E786" s="4"/>
      <c r="F786" s="4"/>
      <c r="G786" s="4"/>
      <c r="H786" s="4"/>
      <c r="I786" s="4"/>
      <c r="J786" s="18"/>
      <c r="K786" s="4"/>
      <c r="L786" s="19"/>
      <c r="M786" s="20"/>
    </row>
    <row r="787">
      <c r="A787" s="6"/>
      <c r="B787" s="6"/>
      <c r="C787" s="4"/>
      <c r="D787" s="36">
        <v>0.0</v>
      </c>
      <c r="E787" s="4"/>
      <c r="F787" s="4"/>
      <c r="G787" s="4"/>
      <c r="H787" s="4"/>
      <c r="I787" s="4"/>
      <c r="J787" s="18"/>
      <c r="K787" s="4"/>
      <c r="L787" s="19"/>
      <c r="M787" s="20"/>
    </row>
    <row r="788">
      <c r="A788" s="6"/>
      <c r="B788" s="6"/>
      <c r="C788" s="4"/>
      <c r="D788" s="36">
        <v>0.0</v>
      </c>
      <c r="E788" s="4"/>
      <c r="F788" s="4"/>
      <c r="G788" s="4"/>
      <c r="H788" s="4"/>
      <c r="I788" s="4"/>
      <c r="J788" s="18"/>
      <c r="K788" s="4"/>
      <c r="L788" s="19"/>
      <c r="M788" s="20"/>
    </row>
    <row r="789">
      <c r="A789" s="6"/>
      <c r="B789" s="6"/>
      <c r="C789" s="4"/>
      <c r="D789" s="36">
        <v>0.0</v>
      </c>
      <c r="E789" s="4"/>
      <c r="F789" s="4"/>
      <c r="G789" s="4"/>
      <c r="H789" s="4"/>
      <c r="I789" s="4"/>
      <c r="J789" s="18"/>
      <c r="K789" s="4"/>
      <c r="L789" s="19"/>
      <c r="M789" s="20"/>
    </row>
    <row r="790">
      <c r="A790" s="6"/>
      <c r="B790" s="6"/>
      <c r="C790" s="4"/>
      <c r="D790" s="36">
        <v>0.0</v>
      </c>
      <c r="E790" s="4"/>
      <c r="F790" s="4"/>
      <c r="G790" s="4"/>
      <c r="H790" s="4"/>
      <c r="I790" s="4"/>
      <c r="J790" s="18"/>
      <c r="K790" s="4"/>
      <c r="L790" s="19"/>
      <c r="M790" s="20"/>
    </row>
    <row r="791">
      <c r="A791" s="6"/>
      <c r="B791" s="6"/>
      <c r="C791" s="4"/>
      <c r="D791" s="36">
        <v>0.0</v>
      </c>
      <c r="E791" s="4"/>
      <c r="F791" s="4"/>
      <c r="G791" s="4"/>
      <c r="H791" s="4"/>
      <c r="I791" s="4"/>
      <c r="J791" s="18"/>
      <c r="K791" s="4"/>
      <c r="L791" s="19"/>
      <c r="M791" s="20"/>
    </row>
    <row r="792">
      <c r="A792" s="6"/>
      <c r="B792" s="6"/>
      <c r="C792" s="4"/>
      <c r="D792" s="36">
        <v>0.0</v>
      </c>
      <c r="E792" s="4"/>
      <c r="F792" s="4"/>
      <c r="G792" s="4"/>
      <c r="H792" s="4"/>
      <c r="I792" s="4"/>
      <c r="J792" s="18"/>
      <c r="K792" s="4"/>
      <c r="L792" s="19"/>
      <c r="M792" s="20"/>
    </row>
    <row r="793">
      <c r="A793" s="6"/>
      <c r="B793" s="6"/>
      <c r="C793" s="4"/>
      <c r="D793" s="36">
        <v>0.0</v>
      </c>
      <c r="E793" s="4"/>
      <c r="F793" s="4"/>
      <c r="G793" s="4"/>
      <c r="H793" s="4"/>
      <c r="I793" s="4"/>
      <c r="J793" s="18"/>
      <c r="K793" s="4"/>
      <c r="L793" s="19"/>
      <c r="M793" s="20"/>
    </row>
    <row r="794">
      <c r="A794" s="6"/>
      <c r="B794" s="6"/>
      <c r="C794" s="4"/>
      <c r="D794" s="36">
        <v>0.0</v>
      </c>
      <c r="E794" s="4"/>
      <c r="F794" s="4"/>
      <c r="G794" s="4"/>
      <c r="H794" s="4"/>
      <c r="I794" s="4"/>
      <c r="J794" s="18"/>
      <c r="K794" s="4"/>
      <c r="L794" s="19"/>
      <c r="M794" s="20"/>
    </row>
    <row r="795">
      <c r="A795" s="6"/>
      <c r="B795" s="6"/>
      <c r="C795" s="4"/>
      <c r="D795" s="36">
        <v>0.0</v>
      </c>
      <c r="E795" s="4"/>
      <c r="F795" s="4"/>
      <c r="G795" s="4"/>
      <c r="H795" s="4"/>
      <c r="I795" s="4"/>
      <c r="J795" s="18"/>
      <c r="K795" s="4"/>
      <c r="L795" s="19"/>
      <c r="M795" s="20"/>
    </row>
    <row r="796">
      <c r="A796" s="6"/>
      <c r="B796" s="6"/>
      <c r="C796" s="4"/>
      <c r="D796" s="36">
        <v>0.0</v>
      </c>
      <c r="E796" s="4"/>
      <c r="F796" s="4"/>
      <c r="G796" s="4"/>
      <c r="H796" s="4"/>
      <c r="I796" s="4"/>
      <c r="J796" s="18"/>
      <c r="K796" s="4"/>
      <c r="L796" s="19"/>
      <c r="M796" s="20"/>
    </row>
    <row r="797">
      <c r="A797" s="6"/>
      <c r="B797" s="6"/>
      <c r="C797" s="4"/>
      <c r="D797" s="36">
        <v>0.0</v>
      </c>
      <c r="E797" s="4"/>
      <c r="F797" s="4"/>
      <c r="G797" s="4"/>
      <c r="H797" s="4"/>
      <c r="I797" s="4"/>
      <c r="J797" s="18"/>
      <c r="K797" s="4"/>
      <c r="L797" s="19"/>
      <c r="M797" s="20"/>
    </row>
    <row r="798">
      <c r="A798" s="6"/>
      <c r="B798" s="6"/>
      <c r="C798" s="4"/>
      <c r="D798" s="36">
        <v>0.0</v>
      </c>
      <c r="E798" s="4"/>
      <c r="F798" s="4"/>
      <c r="G798" s="4"/>
      <c r="H798" s="4"/>
      <c r="I798" s="4"/>
      <c r="J798" s="18"/>
      <c r="K798" s="4"/>
      <c r="L798" s="19"/>
      <c r="M798" s="20"/>
    </row>
    <row r="799">
      <c r="A799" s="6"/>
      <c r="B799" s="6"/>
      <c r="C799" s="4"/>
      <c r="D799" s="36">
        <v>0.0</v>
      </c>
      <c r="E799" s="4"/>
      <c r="F799" s="4"/>
      <c r="G799" s="4"/>
      <c r="H799" s="4"/>
      <c r="I799" s="4"/>
      <c r="J799" s="18"/>
      <c r="K799" s="4"/>
      <c r="L799" s="19"/>
      <c r="M799" s="20"/>
    </row>
    <row r="800">
      <c r="A800" s="6"/>
      <c r="B800" s="6"/>
      <c r="C800" s="4"/>
      <c r="D800" s="36">
        <v>0.0</v>
      </c>
      <c r="E800" s="4"/>
      <c r="F800" s="4"/>
      <c r="G800" s="4"/>
      <c r="H800" s="4"/>
      <c r="I800" s="4"/>
      <c r="J800" s="18"/>
      <c r="K800" s="4"/>
      <c r="L800" s="19"/>
      <c r="M800" s="20"/>
    </row>
    <row r="801">
      <c r="A801" s="6"/>
      <c r="B801" s="6"/>
      <c r="C801" s="4"/>
      <c r="D801" s="36">
        <v>0.0</v>
      </c>
      <c r="E801" s="4"/>
      <c r="F801" s="4"/>
      <c r="G801" s="4"/>
      <c r="H801" s="4"/>
      <c r="I801" s="4"/>
      <c r="J801" s="18"/>
      <c r="K801" s="4"/>
      <c r="L801" s="19"/>
      <c r="M801" s="20"/>
    </row>
    <row r="802">
      <c r="A802" s="6"/>
      <c r="B802" s="6"/>
      <c r="C802" s="4"/>
      <c r="D802" s="36">
        <v>0.0</v>
      </c>
      <c r="E802" s="4"/>
      <c r="F802" s="4"/>
      <c r="G802" s="4"/>
      <c r="H802" s="4"/>
      <c r="I802" s="4"/>
      <c r="J802" s="18"/>
      <c r="K802" s="4"/>
      <c r="L802" s="19"/>
      <c r="M802" s="20"/>
    </row>
    <row r="803">
      <c r="A803" s="6"/>
      <c r="B803" s="6"/>
      <c r="C803" s="4"/>
      <c r="D803" s="36">
        <v>0.0</v>
      </c>
      <c r="E803" s="4"/>
      <c r="F803" s="4"/>
      <c r="G803" s="4"/>
      <c r="H803" s="4"/>
      <c r="I803" s="4"/>
      <c r="J803" s="18"/>
      <c r="K803" s="4"/>
      <c r="L803" s="19"/>
      <c r="M803" s="20"/>
    </row>
    <row r="804">
      <c r="A804" s="6"/>
      <c r="B804" s="6"/>
      <c r="C804" s="4"/>
      <c r="D804" s="36">
        <v>0.0</v>
      </c>
      <c r="E804" s="4"/>
      <c r="F804" s="4"/>
      <c r="G804" s="4"/>
      <c r="H804" s="4"/>
      <c r="I804" s="4"/>
      <c r="J804" s="18"/>
      <c r="K804" s="4"/>
      <c r="L804" s="19"/>
      <c r="M804" s="20"/>
    </row>
    <row r="805">
      <c r="A805" s="6"/>
      <c r="B805" s="6"/>
      <c r="C805" s="4"/>
      <c r="D805" s="36">
        <v>0.0</v>
      </c>
      <c r="E805" s="4"/>
      <c r="F805" s="4"/>
      <c r="G805" s="4"/>
      <c r="H805" s="4"/>
      <c r="I805" s="4"/>
      <c r="J805" s="18"/>
      <c r="K805" s="4"/>
      <c r="L805" s="19"/>
      <c r="M805" s="20"/>
    </row>
    <row r="806">
      <c r="A806" s="6"/>
      <c r="B806" s="6"/>
      <c r="C806" s="4"/>
      <c r="D806" s="36">
        <v>0.0</v>
      </c>
      <c r="E806" s="4"/>
      <c r="F806" s="4"/>
      <c r="G806" s="4"/>
      <c r="H806" s="4"/>
      <c r="I806" s="4"/>
      <c r="J806" s="18"/>
      <c r="K806" s="4"/>
      <c r="L806" s="19"/>
      <c r="M806" s="20"/>
    </row>
    <row r="807">
      <c r="A807" s="6"/>
      <c r="B807" s="6"/>
      <c r="C807" s="4"/>
      <c r="D807" s="36">
        <v>0.0</v>
      </c>
      <c r="E807" s="4"/>
      <c r="F807" s="4"/>
      <c r="G807" s="4"/>
      <c r="H807" s="4"/>
      <c r="I807" s="4"/>
      <c r="J807" s="18"/>
      <c r="K807" s="4"/>
      <c r="L807" s="19"/>
      <c r="M807" s="20"/>
    </row>
    <row r="808">
      <c r="A808" s="6"/>
      <c r="B808" s="6"/>
      <c r="C808" s="4"/>
      <c r="D808" s="36">
        <v>0.0</v>
      </c>
      <c r="E808" s="4"/>
      <c r="F808" s="4"/>
      <c r="G808" s="4"/>
      <c r="H808" s="4"/>
      <c r="I808" s="4"/>
      <c r="J808" s="18"/>
      <c r="K808" s="4"/>
      <c r="L808" s="19"/>
      <c r="M808" s="20"/>
    </row>
    <row r="809">
      <c r="A809" s="6"/>
      <c r="B809" s="6"/>
      <c r="C809" s="4"/>
      <c r="D809" s="36">
        <v>0.0</v>
      </c>
      <c r="E809" s="4"/>
      <c r="F809" s="4"/>
      <c r="G809" s="4"/>
      <c r="H809" s="4"/>
      <c r="I809" s="4"/>
      <c r="J809" s="18"/>
      <c r="K809" s="4"/>
      <c r="L809" s="19"/>
      <c r="M809" s="20"/>
    </row>
    <row r="810">
      <c r="A810" s="6"/>
      <c r="B810" s="6"/>
      <c r="C810" s="4"/>
      <c r="D810" s="36">
        <v>0.0</v>
      </c>
      <c r="E810" s="4"/>
      <c r="F810" s="4"/>
      <c r="G810" s="4"/>
      <c r="H810" s="4"/>
      <c r="I810" s="4"/>
      <c r="J810" s="18"/>
      <c r="K810" s="4"/>
      <c r="L810" s="19"/>
      <c r="M810" s="20"/>
    </row>
    <row r="811">
      <c r="A811" s="6"/>
      <c r="B811" s="6"/>
      <c r="C811" s="4"/>
      <c r="D811" s="36">
        <v>0.0</v>
      </c>
      <c r="E811" s="4"/>
      <c r="F811" s="4"/>
      <c r="G811" s="4"/>
      <c r="H811" s="4"/>
      <c r="I811" s="4"/>
      <c r="J811" s="18"/>
      <c r="K811" s="4"/>
      <c r="L811" s="19"/>
      <c r="M811" s="20"/>
    </row>
    <row r="812">
      <c r="A812" s="6"/>
      <c r="B812" s="6"/>
      <c r="C812" s="4"/>
      <c r="D812" s="36">
        <v>0.0</v>
      </c>
      <c r="E812" s="4"/>
      <c r="F812" s="4"/>
      <c r="G812" s="4"/>
      <c r="H812" s="4"/>
      <c r="I812" s="4"/>
      <c r="J812" s="18"/>
      <c r="K812" s="4"/>
      <c r="L812" s="19"/>
      <c r="M812" s="20"/>
    </row>
    <row r="813">
      <c r="A813" s="6"/>
      <c r="B813" s="6"/>
      <c r="C813" s="4"/>
      <c r="D813" s="36">
        <v>0.0</v>
      </c>
      <c r="E813" s="4"/>
      <c r="F813" s="4"/>
      <c r="G813" s="4"/>
      <c r="H813" s="4"/>
      <c r="I813" s="4"/>
      <c r="J813" s="18"/>
      <c r="K813" s="4"/>
      <c r="L813" s="19"/>
      <c r="M813" s="20"/>
    </row>
    <row r="814">
      <c r="A814" s="6"/>
      <c r="B814" s="6"/>
      <c r="C814" s="4"/>
      <c r="D814" s="36">
        <v>0.0</v>
      </c>
      <c r="E814" s="4"/>
      <c r="F814" s="4"/>
      <c r="G814" s="4"/>
      <c r="H814" s="4"/>
      <c r="I814" s="4"/>
      <c r="J814" s="18"/>
      <c r="K814" s="4"/>
      <c r="L814" s="19"/>
      <c r="M814" s="20"/>
    </row>
    <row r="815">
      <c r="A815" s="6"/>
      <c r="B815" s="6"/>
      <c r="C815" s="4"/>
      <c r="D815" s="36">
        <v>0.0</v>
      </c>
      <c r="E815" s="4"/>
      <c r="F815" s="4"/>
      <c r="G815" s="4"/>
      <c r="H815" s="4"/>
      <c r="I815" s="4"/>
      <c r="J815" s="18"/>
      <c r="K815" s="4"/>
      <c r="L815" s="19"/>
      <c r="M815" s="20"/>
    </row>
    <row r="816">
      <c r="A816" s="6"/>
      <c r="B816" s="6"/>
      <c r="C816" s="4"/>
      <c r="D816" s="36">
        <v>0.0</v>
      </c>
      <c r="E816" s="4"/>
      <c r="F816" s="4"/>
      <c r="G816" s="4"/>
      <c r="H816" s="4"/>
      <c r="I816" s="4"/>
      <c r="J816" s="18"/>
      <c r="K816" s="4"/>
      <c r="L816" s="19"/>
      <c r="M816" s="20"/>
    </row>
    <row r="817">
      <c r="A817" s="6"/>
      <c r="B817" s="6"/>
      <c r="C817" s="4"/>
      <c r="D817" s="36">
        <v>0.0</v>
      </c>
      <c r="E817" s="4"/>
      <c r="F817" s="4"/>
      <c r="G817" s="4"/>
      <c r="H817" s="4"/>
      <c r="I817" s="4"/>
      <c r="J817" s="18"/>
      <c r="K817" s="4"/>
      <c r="L817" s="19"/>
      <c r="M817" s="20"/>
    </row>
    <row r="818">
      <c r="A818" s="6"/>
      <c r="B818" s="6"/>
      <c r="C818" s="4"/>
      <c r="D818" s="36">
        <v>0.0</v>
      </c>
      <c r="E818" s="4"/>
      <c r="F818" s="4"/>
      <c r="G818" s="4"/>
      <c r="H818" s="4"/>
      <c r="I818" s="4"/>
      <c r="J818" s="18"/>
      <c r="K818" s="4"/>
      <c r="L818" s="19"/>
      <c r="M818" s="20"/>
    </row>
    <row r="819">
      <c r="A819" s="6"/>
      <c r="B819" s="6"/>
      <c r="C819" s="4"/>
      <c r="D819" s="36">
        <v>0.0</v>
      </c>
      <c r="E819" s="4"/>
      <c r="F819" s="4"/>
      <c r="G819" s="4"/>
      <c r="H819" s="4"/>
      <c r="I819" s="4"/>
      <c r="J819" s="18"/>
      <c r="K819" s="4"/>
      <c r="L819" s="19"/>
      <c r="M819" s="20"/>
    </row>
    <row r="820">
      <c r="A820" s="6"/>
      <c r="B820" s="6"/>
      <c r="C820" s="4"/>
      <c r="D820" s="36">
        <v>0.0</v>
      </c>
      <c r="E820" s="4"/>
      <c r="F820" s="4"/>
      <c r="G820" s="4"/>
      <c r="H820" s="4"/>
      <c r="I820" s="4"/>
      <c r="J820" s="18"/>
      <c r="K820" s="4"/>
      <c r="L820" s="19"/>
      <c r="M820" s="20"/>
    </row>
    <row r="821">
      <c r="A821" s="6"/>
      <c r="B821" s="6"/>
      <c r="C821" s="4"/>
      <c r="D821" s="36">
        <v>0.0</v>
      </c>
      <c r="E821" s="4"/>
      <c r="F821" s="4"/>
      <c r="G821" s="4"/>
      <c r="H821" s="4"/>
      <c r="I821" s="4"/>
      <c r="J821" s="18"/>
      <c r="K821" s="4"/>
      <c r="L821" s="19"/>
      <c r="M821" s="20"/>
    </row>
    <row r="822">
      <c r="A822" s="6"/>
      <c r="B822" s="6"/>
      <c r="C822" s="4"/>
      <c r="D822" s="36">
        <v>0.0</v>
      </c>
      <c r="E822" s="4"/>
      <c r="F822" s="4"/>
      <c r="G822" s="4"/>
      <c r="H822" s="4"/>
      <c r="I822" s="4"/>
      <c r="J822" s="18"/>
      <c r="K822" s="4"/>
      <c r="L822" s="19"/>
      <c r="M822" s="20"/>
    </row>
    <row r="823">
      <c r="A823" s="6"/>
      <c r="B823" s="6"/>
      <c r="C823" s="4"/>
      <c r="D823" s="36">
        <v>0.0</v>
      </c>
      <c r="E823" s="4"/>
      <c r="F823" s="4"/>
      <c r="G823" s="4"/>
      <c r="H823" s="4"/>
      <c r="I823" s="4"/>
      <c r="J823" s="18"/>
      <c r="K823" s="4"/>
      <c r="L823" s="19"/>
      <c r="M823" s="20"/>
    </row>
    <row r="824">
      <c r="A824" s="6"/>
      <c r="B824" s="6"/>
      <c r="C824" s="4"/>
      <c r="D824" s="36">
        <v>0.0</v>
      </c>
      <c r="E824" s="4"/>
      <c r="F824" s="4"/>
      <c r="G824" s="4"/>
      <c r="H824" s="4"/>
      <c r="I824" s="4"/>
      <c r="J824" s="18"/>
      <c r="K824" s="4"/>
      <c r="L824" s="19"/>
      <c r="M824" s="20"/>
    </row>
    <row r="825">
      <c r="A825" s="6"/>
      <c r="B825" s="6"/>
      <c r="C825" s="4"/>
      <c r="D825" s="36">
        <v>0.0</v>
      </c>
      <c r="E825" s="4"/>
      <c r="F825" s="4"/>
      <c r="G825" s="4"/>
      <c r="H825" s="4"/>
      <c r="I825" s="4"/>
      <c r="J825" s="18"/>
      <c r="K825" s="4"/>
      <c r="L825" s="19"/>
      <c r="M825" s="20"/>
    </row>
    <row r="826">
      <c r="A826" s="6"/>
      <c r="B826" s="6"/>
      <c r="C826" s="4"/>
      <c r="D826" s="36">
        <v>0.0</v>
      </c>
      <c r="E826" s="4"/>
      <c r="F826" s="4"/>
      <c r="G826" s="4"/>
      <c r="H826" s="4"/>
      <c r="I826" s="4"/>
      <c r="J826" s="18"/>
      <c r="K826" s="4"/>
      <c r="L826" s="19"/>
      <c r="M826" s="20"/>
    </row>
    <row r="827">
      <c r="A827" s="6"/>
      <c r="B827" s="6"/>
      <c r="C827" s="4"/>
      <c r="D827" s="36">
        <v>0.0</v>
      </c>
      <c r="E827" s="4"/>
      <c r="F827" s="4"/>
      <c r="G827" s="4"/>
      <c r="H827" s="4"/>
      <c r="I827" s="4"/>
      <c r="J827" s="18"/>
      <c r="K827" s="4"/>
      <c r="L827" s="19"/>
      <c r="M827" s="20"/>
    </row>
    <row r="828">
      <c r="A828" s="6"/>
      <c r="B828" s="6"/>
      <c r="C828" s="4"/>
      <c r="D828" s="36">
        <v>0.0</v>
      </c>
      <c r="E828" s="4"/>
      <c r="F828" s="4"/>
      <c r="G828" s="4"/>
      <c r="H828" s="4"/>
      <c r="I828" s="4"/>
      <c r="J828" s="18"/>
      <c r="K828" s="4"/>
      <c r="L828" s="19"/>
      <c r="M828" s="20"/>
    </row>
    <row r="829">
      <c r="A829" s="6"/>
      <c r="B829" s="6"/>
      <c r="C829" s="4"/>
      <c r="D829" s="36">
        <v>0.0</v>
      </c>
      <c r="E829" s="4"/>
      <c r="F829" s="4"/>
      <c r="G829" s="4"/>
      <c r="H829" s="4"/>
      <c r="I829" s="4"/>
      <c r="J829" s="18"/>
      <c r="K829" s="4"/>
      <c r="L829" s="19"/>
      <c r="M829" s="20"/>
    </row>
    <row r="830">
      <c r="A830" s="6"/>
      <c r="B830" s="6"/>
      <c r="C830" s="4"/>
      <c r="D830" s="36">
        <v>0.0</v>
      </c>
      <c r="E830" s="4"/>
      <c r="F830" s="4"/>
      <c r="G830" s="4"/>
      <c r="H830" s="4"/>
      <c r="I830" s="4"/>
      <c r="J830" s="18"/>
      <c r="K830" s="4"/>
      <c r="L830" s="19"/>
      <c r="M830" s="20"/>
    </row>
    <row r="831">
      <c r="A831" s="6"/>
      <c r="B831" s="6"/>
      <c r="C831" s="4"/>
      <c r="D831" s="36">
        <v>0.0</v>
      </c>
      <c r="E831" s="4"/>
      <c r="F831" s="4"/>
      <c r="G831" s="4"/>
      <c r="H831" s="4"/>
      <c r="I831" s="4"/>
      <c r="J831" s="18"/>
      <c r="K831" s="4"/>
      <c r="L831" s="19"/>
      <c r="M831" s="20"/>
    </row>
    <row r="832">
      <c r="A832" s="6"/>
      <c r="B832" s="6"/>
      <c r="C832" s="4"/>
      <c r="D832" s="36">
        <v>0.0</v>
      </c>
      <c r="E832" s="4"/>
      <c r="F832" s="4"/>
      <c r="G832" s="4"/>
      <c r="H832" s="4"/>
      <c r="I832" s="4"/>
      <c r="J832" s="18"/>
      <c r="K832" s="4"/>
      <c r="L832" s="19"/>
      <c r="M832" s="20"/>
    </row>
    <row r="833">
      <c r="A833" s="6"/>
      <c r="B833" s="6"/>
      <c r="C833" s="4"/>
      <c r="D833" s="36">
        <v>0.0</v>
      </c>
      <c r="E833" s="4"/>
      <c r="F833" s="4"/>
      <c r="G833" s="4"/>
      <c r="H833" s="4"/>
      <c r="I833" s="4"/>
      <c r="J833" s="18"/>
      <c r="K833" s="4"/>
      <c r="L833" s="19"/>
      <c r="M833" s="20"/>
    </row>
    <row r="834">
      <c r="A834" s="6"/>
      <c r="B834" s="6"/>
      <c r="C834" s="4"/>
      <c r="D834" s="36">
        <v>0.0</v>
      </c>
      <c r="E834" s="4"/>
      <c r="F834" s="4"/>
      <c r="G834" s="4"/>
      <c r="H834" s="4"/>
      <c r="I834" s="4"/>
      <c r="J834" s="18"/>
      <c r="K834" s="4"/>
      <c r="L834" s="19"/>
      <c r="M834" s="20"/>
    </row>
    <row r="835">
      <c r="A835" s="6"/>
      <c r="B835" s="6"/>
      <c r="C835" s="4"/>
      <c r="D835" s="36">
        <v>0.0</v>
      </c>
      <c r="E835" s="4"/>
      <c r="F835" s="4"/>
      <c r="G835" s="4"/>
      <c r="H835" s="4"/>
      <c r="I835" s="4"/>
      <c r="J835" s="18"/>
      <c r="K835" s="4"/>
      <c r="L835" s="19"/>
      <c r="M835" s="20"/>
    </row>
    <row r="836">
      <c r="A836" s="6"/>
      <c r="B836" s="6"/>
      <c r="C836" s="4"/>
      <c r="D836" s="36">
        <v>0.0</v>
      </c>
      <c r="E836" s="4"/>
      <c r="F836" s="4"/>
      <c r="G836" s="4"/>
      <c r="H836" s="4"/>
      <c r="I836" s="4"/>
      <c r="J836" s="18"/>
      <c r="K836" s="4"/>
      <c r="L836" s="19"/>
      <c r="M836" s="20"/>
    </row>
    <row r="837">
      <c r="A837" s="6"/>
      <c r="B837" s="6"/>
      <c r="C837" s="4"/>
      <c r="D837" s="36">
        <v>0.0</v>
      </c>
      <c r="E837" s="4"/>
      <c r="F837" s="4"/>
      <c r="G837" s="4"/>
      <c r="H837" s="4"/>
      <c r="I837" s="4"/>
      <c r="J837" s="18"/>
      <c r="K837" s="4"/>
      <c r="L837" s="19"/>
      <c r="M837" s="20"/>
    </row>
    <row r="838">
      <c r="A838" s="6"/>
      <c r="B838" s="6"/>
      <c r="C838" s="4"/>
      <c r="D838" s="36">
        <v>0.0</v>
      </c>
      <c r="E838" s="4"/>
      <c r="F838" s="4"/>
      <c r="G838" s="4"/>
      <c r="H838" s="4"/>
      <c r="I838" s="4"/>
      <c r="J838" s="18"/>
      <c r="K838" s="4"/>
      <c r="L838" s="19"/>
      <c r="M838" s="20"/>
    </row>
    <row r="839">
      <c r="A839" s="6"/>
      <c r="B839" s="6"/>
      <c r="C839" s="4"/>
      <c r="D839" s="36">
        <v>0.0</v>
      </c>
      <c r="E839" s="4"/>
      <c r="F839" s="4"/>
      <c r="G839" s="4"/>
      <c r="H839" s="4"/>
      <c r="I839" s="4"/>
      <c r="J839" s="18"/>
      <c r="K839" s="4"/>
      <c r="L839" s="19"/>
      <c r="M839" s="20"/>
    </row>
    <row r="840">
      <c r="A840" s="6"/>
      <c r="B840" s="6"/>
      <c r="C840" s="4"/>
      <c r="D840" s="36">
        <v>0.0</v>
      </c>
      <c r="E840" s="4"/>
      <c r="F840" s="4"/>
      <c r="G840" s="4"/>
      <c r="H840" s="4"/>
      <c r="I840" s="4"/>
      <c r="J840" s="18"/>
      <c r="K840" s="4"/>
      <c r="L840" s="19"/>
      <c r="M840" s="20"/>
    </row>
    <row r="841">
      <c r="A841" s="6"/>
      <c r="B841" s="6"/>
      <c r="C841" s="4"/>
      <c r="D841" s="36">
        <v>0.0</v>
      </c>
      <c r="E841" s="4"/>
      <c r="F841" s="4"/>
      <c r="G841" s="4"/>
      <c r="H841" s="4"/>
      <c r="I841" s="4"/>
      <c r="J841" s="18"/>
      <c r="K841" s="4"/>
      <c r="L841" s="19"/>
      <c r="M841" s="20"/>
    </row>
    <row r="842">
      <c r="A842" s="6"/>
      <c r="B842" s="6"/>
      <c r="C842" s="4"/>
      <c r="D842" s="36">
        <v>0.0</v>
      </c>
      <c r="E842" s="4"/>
      <c r="F842" s="4"/>
      <c r="G842" s="4"/>
      <c r="H842" s="4"/>
      <c r="I842" s="4"/>
      <c r="J842" s="18"/>
      <c r="K842" s="4"/>
      <c r="L842" s="19"/>
      <c r="M842" s="20"/>
    </row>
    <row r="843">
      <c r="A843" s="6"/>
      <c r="B843" s="6"/>
      <c r="C843" s="4"/>
      <c r="D843" s="36">
        <v>0.0</v>
      </c>
      <c r="E843" s="4"/>
      <c r="F843" s="4"/>
      <c r="G843" s="4"/>
      <c r="H843" s="4"/>
      <c r="I843" s="4"/>
      <c r="J843" s="18"/>
      <c r="K843" s="4"/>
      <c r="L843" s="19"/>
      <c r="M843" s="20"/>
    </row>
    <row r="844">
      <c r="A844" s="6"/>
      <c r="B844" s="6"/>
      <c r="C844" s="4"/>
      <c r="D844" s="36">
        <v>0.0</v>
      </c>
      <c r="E844" s="4"/>
      <c r="F844" s="4"/>
      <c r="G844" s="4"/>
      <c r="H844" s="4"/>
      <c r="I844" s="4"/>
      <c r="J844" s="18"/>
      <c r="K844" s="4"/>
      <c r="L844" s="19"/>
      <c r="M844" s="20"/>
    </row>
    <row r="845">
      <c r="A845" s="6"/>
      <c r="B845" s="6"/>
      <c r="C845" s="4"/>
      <c r="D845" s="36">
        <v>0.0</v>
      </c>
      <c r="E845" s="4"/>
      <c r="F845" s="4"/>
      <c r="G845" s="4"/>
      <c r="H845" s="4"/>
      <c r="I845" s="4"/>
      <c r="J845" s="18"/>
      <c r="K845" s="4"/>
      <c r="L845" s="19"/>
      <c r="M845" s="20"/>
    </row>
    <row r="846">
      <c r="A846" s="6"/>
      <c r="B846" s="6"/>
      <c r="C846" s="4"/>
      <c r="D846" s="36">
        <v>0.0</v>
      </c>
      <c r="E846" s="4"/>
      <c r="F846" s="4"/>
      <c r="G846" s="4"/>
      <c r="H846" s="4"/>
      <c r="I846" s="4"/>
      <c r="J846" s="18"/>
      <c r="K846" s="4"/>
      <c r="L846" s="19"/>
      <c r="M846" s="20"/>
    </row>
    <row r="847">
      <c r="A847" s="6"/>
      <c r="B847" s="6"/>
      <c r="C847" s="4"/>
      <c r="D847" s="36">
        <v>0.0</v>
      </c>
      <c r="E847" s="4"/>
      <c r="F847" s="4"/>
      <c r="G847" s="4"/>
      <c r="H847" s="4"/>
      <c r="I847" s="4"/>
      <c r="J847" s="18"/>
      <c r="K847" s="4"/>
      <c r="L847" s="19"/>
      <c r="M847" s="20"/>
    </row>
    <row r="848">
      <c r="A848" s="6"/>
      <c r="B848" s="6"/>
      <c r="C848" s="4"/>
      <c r="D848" s="36">
        <v>0.0</v>
      </c>
      <c r="E848" s="4"/>
      <c r="F848" s="4"/>
      <c r="G848" s="4"/>
      <c r="H848" s="4"/>
      <c r="I848" s="4"/>
      <c r="J848" s="18"/>
      <c r="K848" s="4"/>
      <c r="L848" s="19"/>
      <c r="M848" s="20"/>
    </row>
    <row r="849">
      <c r="A849" s="6"/>
      <c r="B849" s="6"/>
      <c r="C849" s="4"/>
      <c r="D849" s="36">
        <v>0.0</v>
      </c>
      <c r="E849" s="4"/>
      <c r="F849" s="4"/>
      <c r="G849" s="4"/>
      <c r="H849" s="4"/>
      <c r="I849" s="4"/>
      <c r="J849" s="18"/>
      <c r="K849" s="4"/>
      <c r="L849" s="19"/>
      <c r="M849" s="20"/>
    </row>
    <row r="850">
      <c r="A850" s="6"/>
      <c r="B850" s="6"/>
      <c r="C850" s="4"/>
      <c r="D850" s="36">
        <v>0.0</v>
      </c>
      <c r="E850" s="4"/>
      <c r="F850" s="4"/>
      <c r="G850" s="4"/>
      <c r="H850" s="4"/>
      <c r="I850" s="4"/>
      <c r="J850" s="18"/>
      <c r="K850" s="4"/>
      <c r="L850" s="19"/>
      <c r="M850" s="20"/>
    </row>
    <row r="851">
      <c r="A851" s="6"/>
      <c r="B851" s="6"/>
      <c r="C851" s="4"/>
      <c r="D851" s="36">
        <v>0.0</v>
      </c>
      <c r="E851" s="4"/>
      <c r="F851" s="4"/>
      <c r="G851" s="4"/>
      <c r="H851" s="4"/>
      <c r="I851" s="4"/>
      <c r="J851" s="18"/>
      <c r="K851" s="4"/>
      <c r="L851" s="19"/>
      <c r="M851" s="20"/>
    </row>
    <row r="852">
      <c r="A852" s="6"/>
      <c r="B852" s="6"/>
      <c r="C852" s="4"/>
      <c r="D852" s="36">
        <v>0.0</v>
      </c>
      <c r="E852" s="4"/>
      <c r="F852" s="4"/>
      <c r="G852" s="4"/>
      <c r="H852" s="4"/>
      <c r="I852" s="4"/>
      <c r="J852" s="18"/>
      <c r="K852" s="4"/>
      <c r="L852" s="19"/>
      <c r="M852" s="20"/>
    </row>
    <row r="853">
      <c r="A853" s="6"/>
      <c r="B853" s="6"/>
      <c r="C853" s="4"/>
      <c r="D853" s="36">
        <v>0.0</v>
      </c>
      <c r="E853" s="4"/>
      <c r="F853" s="4"/>
      <c r="G853" s="4"/>
      <c r="H853" s="4"/>
      <c r="I853" s="4"/>
      <c r="J853" s="18"/>
      <c r="K853" s="4"/>
      <c r="L853" s="19"/>
      <c r="M853" s="20"/>
    </row>
    <row r="854">
      <c r="A854" s="6"/>
      <c r="B854" s="6"/>
      <c r="C854" s="4"/>
      <c r="D854" s="36">
        <v>0.0</v>
      </c>
      <c r="E854" s="4"/>
      <c r="F854" s="4"/>
      <c r="G854" s="4"/>
      <c r="H854" s="4"/>
      <c r="I854" s="4"/>
      <c r="J854" s="18"/>
      <c r="K854" s="4"/>
      <c r="L854" s="19"/>
      <c r="M854" s="20"/>
    </row>
    <row r="855">
      <c r="A855" s="6"/>
      <c r="B855" s="6"/>
      <c r="C855" s="4"/>
      <c r="D855" s="36">
        <v>0.0</v>
      </c>
      <c r="E855" s="4"/>
      <c r="F855" s="4"/>
      <c r="G855" s="4"/>
      <c r="H855" s="4"/>
      <c r="I855" s="4"/>
      <c r="J855" s="18"/>
      <c r="K855" s="4"/>
      <c r="L855" s="19"/>
      <c r="M855" s="20"/>
    </row>
    <row r="856">
      <c r="A856" s="6"/>
      <c r="B856" s="6"/>
      <c r="C856" s="4"/>
      <c r="D856" s="36">
        <v>0.0</v>
      </c>
      <c r="E856" s="4"/>
      <c r="F856" s="4"/>
      <c r="G856" s="4"/>
      <c r="H856" s="4"/>
      <c r="I856" s="4"/>
      <c r="J856" s="18"/>
      <c r="K856" s="4"/>
      <c r="L856" s="19"/>
      <c r="M856" s="20"/>
    </row>
    <row r="857">
      <c r="A857" s="6"/>
      <c r="B857" s="6"/>
      <c r="C857" s="4"/>
      <c r="D857" s="36">
        <v>0.0</v>
      </c>
      <c r="E857" s="4"/>
      <c r="F857" s="4"/>
      <c r="G857" s="4"/>
      <c r="H857" s="4"/>
      <c r="I857" s="4"/>
      <c r="J857" s="18"/>
      <c r="K857" s="4"/>
      <c r="L857" s="19"/>
      <c r="M857" s="20"/>
    </row>
    <row r="858">
      <c r="A858" s="6"/>
      <c r="B858" s="6"/>
      <c r="C858" s="4"/>
      <c r="D858" s="36">
        <v>0.0</v>
      </c>
      <c r="E858" s="4"/>
      <c r="F858" s="4"/>
      <c r="G858" s="4"/>
      <c r="H858" s="4"/>
      <c r="I858" s="4"/>
      <c r="J858" s="18"/>
      <c r="K858" s="4"/>
      <c r="L858" s="19"/>
      <c r="M858" s="20"/>
    </row>
    <row r="859">
      <c r="A859" s="6"/>
      <c r="B859" s="6"/>
      <c r="C859" s="4"/>
      <c r="D859" s="36">
        <v>0.0</v>
      </c>
      <c r="E859" s="4"/>
      <c r="F859" s="4"/>
      <c r="G859" s="4"/>
      <c r="H859" s="4"/>
      <c r="I859" s="4"/>
      <c r="J859" s="18"/>
      <c r="K859" s="4"/>
      <c r="L859" s="19"/>
      <c r="M859" s="20"/>
    </row>
    <row r="860">
      <c r="A860" s="6"/>
      <c r="B860" s="6"/>
      <c r="C860" s="4"/>
      <c r="D860" s="36">
        <v>0.0</v>
      </c>
      <c r="E860" s="4"/>
      <c r="F860" s="4"/>
      <c r="G860" s="4"/>
      <c r="H860" s="4"/>
      <c r="I860" s="4"/>
      <c r="J860" s="18"/>
      <c r="K860" s="4"/>
      <c r="L860" s="19"/>
      <c r="M860" s="20"/>
    </row>
    <row r="861">
      <c r="A861" s="6"/>
      <c r="B861" s="6"/>
      <c r="C861" s="4"/>
      <c r="D861" s="36">
        <v>0.0</v>
      </c>
      <c r="E861" s="4"/>
      <c r="F861" s="4"/>
      <c r="G861" s="4"/>
      <c r="H861" s="4"/>
      <c r="I861" s="4"/>
      <c r="J861" s="18"/>
      <c r="K861" s="4"/>
      <c r="L861" s="19"/>
      <c r="M861" s="20"/>
    </row>
    <row r="862">
      <c r="A862" s="6"/>
      <c r="B862" s="6"/>
      <c r="C862" s="4"/>
      <c r="D862" s="36">
        <v>0.0</v>
      </c>
      <c r="E862" s="4"/>
      <c r="F862" s="4"/>
      <c r="G862" s="4"/>
      <c r="H862" s="4"/>
      <c r="I862" s="4"/>
      <c r="J862" s="18"/>
      <c r="K862" s="4"/>
      <c r="L862" s="19"/>
      <c r="M862" s="20"/>
    </row>
    <row r="863">
      <c r="A863" s="6"/>
      <c r="B863" s="6"/>
      <c r="C863" s="4"/>
      <c r="D863" s="36">
        <v>0.0</v>
      </c>
      <c r="E863" s="4"/>
      <c r="F863" s="4"/>
      <c r="G863" s="4"/>
      <c r="H863" s="4"/>
      <c r="I863" s="4"/>
      <c r="J863" s="18"/>
      <c r="K863" s="4"/>
      <c r="L863" s="19"/>
      <c r="M863" s="20"/>
    </row>
    <row r="864">
      <c r="A864" s="6"/>
      <c r="B864" s="6"/>
      <c r="C864" s="4"/>
      <c r="D864" s="36">
        <v>0.0</v>
      </c>
      <c r="E864" s="4"/>
      <c r="F864" s="4"/>
      <c r="G864" s="4"/>
      <c r="H864" s="4"/>
      <c r="I864" s="4"/>
      <c r="J864" s="18"/>
      <c r="K864" s="4"/>
      <c r="L864" s="19"/>
      <c r="M864" s="20"/>
    </row>
    <row r="865">
      <c r="A865" s="6"/>
      <c r="B865" s="6"/>
      <c r="C865" s="4"/>
      <c r="D865" s="36">
        <v>0.0</v>
      </c>
      <c r="E865" s="4"/>
      <c r="F865" s="4"/>
      <c r="G865" s="4"/>
      <c r="H865" s="4"/>
      <c r="I865" s="4"/>
      <c r="J865" s="18"/>
      <c r="K865" s="4"/>
      <c r="L865" s="19"/>
      <c r="M865" s="20"/>
    </row>
    <row r="866">
      <c r="A866" s="6"/>
      <c r="B866" s="6"/>
      <c r="C866" s="4"/>
      <c r="D866" s="36">
        <v>0.0</v>
      </c>
      <c r="E866" s="4"/>
      <c r="F866" s="4"/>
      <c r="G866" s="4"/>
      <c r="H866" s="4"/>
      <c r="I866" s="4"/>
      <c r="J866" s="18"/>
      <c r="K866" s="4"/>
      <c r="L866" s="19"/>
      <c r="M866" s="20"/>
    </row>
    <row r="867">
      <c r="A867" s="6"/>
      <c r="B867" s="6"/>
      <c r="C867" s="4"/>
      <c r="D867" s="36">
        <v>0.0</v>
      </c>
      <c r="E867" s="4"/>
      <c r="F867" s="4"/>
      <c r="G867" s="4"/>
      <c r="H867" s="4"/>
      <c r="I867" s="4"/>
      <c r="J867" s="18"/>
      <c r="K867" s="4"/>
      <c r="L867" s="19"/>
      <c r="M867" s="20"/>
    </row>
    <row r="868">
      <c r="A868" s="6"/>
      <c r="B868" s="6"/>
      <c r="C868" s="4"/>
      <c r="D868" s="36">
        <v>0.0</v>
      </c>
      <c r="E868" s="4"/>
      <c r="F868" s="4"/>
      <c r="G868" s="4"/>
      <c r="H868" s="4"/>
      <c r="I868" s="4"/>
      <c r="J868" s="18"/>
      <c r="K868" s="4"/>
      <c r="L868" s="19"/>
      <c r="M868" s="20"/>
    </row>
    <row r="869">
      <c r="A869" s="6"/>
      <c r="B869" s="6"/>
      <c r="C869" s="4"/>
      <c r="D869" s="36">
        <v>0.0</v>
      </c>
      <c r="E869" s="4"/>
      <c r="F869" s="4"/>
      <c r="G869" s="4"/>
      <c r="H869" s="4"/>
      <c r="I869" s="4"/>
      <c r="J869" s="18"/>
      <c r="K869" s="4"/>
      <c r="L869" s="19"/>
      <c r="M869" s="20"/>
    </row>
    <row r="870">
      <c r="A870" s="6"/>
      <c r="B870" s="6"/>
      <c r="C870" s="4"/>
      <c r="D870" s="36">
        <v>0.0</v>
      </c>
      <c r="E870" s="4"/>
      <c r="F870" s="4"/>
      <c r="G870" s="4"/>
      <c r="H870" s="4"/>
      <c r="I870" s="4"/>
      <c r="J870" s="18"/>
      <c r="K870" s="4"/>
      <c r="L870" s="19"/>
      <c r="M870" s="20"/>
    </row>
    <row r="871">
      <c r="A871" s="6"/>
      <c r="B871" s="6"/>
      <c r="C871" s="4"/>
      <c r="D871" s="36">
        <v>0.0</v>
      </c>
      <c r="E871" s="4"/>
      <c r="F871" s="4"/>
      <c r="G871" s="4"/>
      <c r="H871" s="4"/>
      <c r="I871" s="4"/>
      <c r="J871" s="18"/>
      <c r="K871" s="4"/>
      <c r="L871" s="19"/>
      <c r="M871" s="20"/>
    </row>
    <row r="872">
      <c r="A872" s="6"/>
      <c r="B872" s="6"/>
      <c r="C872" s="4"/>
      <c r="D872" s="36">
        <v>0.0</v>
      </c>
      <c r="E872" s="4"/>
      <c r="F872" s="4"/>
      <c r="G872" s="4"/>
      <c r="H872" s="4"/>
      <c r="I872" s="4"/>
      <c r="J872" s="18"/>
      <c r="K872" s="4"/>
      <c r="L872" s="19"/>
      <c r="M872" s="20"/>
    </row>
    <row r="873">
      <c r="A873" s="6"/>
      <c r="B873" s="6"/>
      <c r="C873" s="4"/>
      <c r="D873" s="36">
        <v>0.0</v>
      </c>
      <c r="E873" s="4"/>
      <c r="F873" s="4"/>
      <c r="G873" s="4"/>
      <c r="H873" s="4"/>
      <c r="I873" s="4"/>
      <c r="J873" s="18"/>
      <c r="K873" s="4"/>
      <c r="L873" s="19"/>
      <c r="M873" s="20"/>
    </row>
    <row r="874">
      <c r="A874" s="6"/>
      <c r="B874" s="6"/>
      <c r="C874" s="4"/>
      <c r="D874" s="36">
        <v>0.0</v>
      </c>
      <c r="E874" s="4"/>
      <c r="F874" s="4"/>
      <c r="G874" s="4"/>
      <c r="H874" s="4"/>
      <c r="I874" s="4"/>
      <c r="J874" s="18"/>
      <c r="K874" s="4"/>
      <c r="L874" s="19"/>
      <c r="M874" s="20"/>
    </row>
    <row r="875">
      <c r="A875" s="6"/>
      <c r="B875" s="6"/>
      <c r="C875" s="4"/>
      <c r="D875" s="36">
        <v>0.0</v>
      </c>
      <c r="E875" s="4"/>
      <c r="F875" s="4"/>
      <c r="G875" s="4"/>
      <c r="H875" s="4"/>
      <c r="I875" s="4"/>
      <c r="J875" s="18"/>
      <c r="K875" s="4"/>
      <c r="L875" s="19"/>
      <c r="M875" s="20"/>
    </row>
    <row r="876">
      <c r="A876" s="6"/>
      <c r="B876" s="6"/>
      <c r="C876" s="4"/>
      <c r="D876" s="36">
        <v>0.0</v>
      </c>
      <c r="E876" s="4"/>
      <c r="F876" s="4"/>
      <c r="G876" s="4"/>
      <c r="H876" s="4"/>
      <c r="I876" s="4"/>
      <c r="J876" s="18"/>
      <c r="K876" s="4"/>
      <c r="L876" s="19"/>
      <c r="M876" s="20"/>
    </row>
    <row r="877">
      <c r="A877" s="6"/>
      <c r="B877" s="6"/>
      <c r="C877" s="4"/>
      <c r="D877" s="36">
        <v>0.0</v>
      </c>
      <c r="E877" s="4"/>
      <c r="F877" s="4"/>
      <c r="G877" s="4"/>
      <c r="H877" s="4"/>
      <c r="I877" s="4"/>
      <c r="J877" s="18"/>
      <c r="K877" s="4"/>
      <c r="L877" s="19"/>
      <c r="M877" s="20"/>
    </row>
    <row r="878">
      <c r="A878" s="6"/>
      <c r="B878" s="6"/>
      <c r="C878" s="4"/>
      <c r="D878" s="36">
        <v>0.0</v>
      </c>
      <c r="E878" s="4"/>
      <c r="F878" s="4"/>
      <c r="G878" s="4"/>
      <c r="H878" s="4"/>
      <c r="I878" s="4"/>
      <c r="J878" s="18"/>
      <c r="K878" s="4"/>
      <c r="L878" s="19"/>
      <c r="M878" s="20"/>
    </row>
    <row r="879">
      <c r="A879" s="6"/>
      <c r="B879" s="6"/>
      <c r="C879" s="4"/>
      <c r="D879" s="36">
        <v>0.0</v>
      </c>
      <c r="E879" s="4"/>
      <c r="F879" s="4"/>
      <c r="G879" s="4"/>
      <c r="H879" s="4"/>
      <c r="I879" s="4"/>
      <c r="J879" s="18"/>
      <c r="K879" s="4"/>
      <c r="L879" s="19"/>
      <c r="M879" s="20"/>
    </row>
    <row r="880">
      <c r="A880" s="6"/>
      <c r="B880" s="6"/>
      <c r="C880" s="4"/>
      <c r="D880" s="36">
        <v>0.0</v>
      </c>
      <c r="E880" s="4"/>
      <c r="F880" s="4"/>
      <c r="G880" s="4"/>
      <c r="H880" s="4"/>
      <c r="I880" s="4"/>
      <c r="J880" s="18"/>
      <c r="K880" s="4"/>
      <c r="L880" s="19"/>
      <c r="M880" s="20"/>
    </row>
    <row r="881">
      <c r="A881" s="6"/>
      <c r="B881" s="6"/>
      <c r="C881" s="4"/>
      <c r="D881" s="36">
        <v>0.0</v>
      </c>
      <c r="E881" s="4"/>
      <c r="F881" s="4"/>
      <c r="G881" s="4"/>
      <c r="H881" s="4"/>
      <c r="I881" s="4"/>
      <c r="J881" s="18"/>
      <c r="K881" s="4"/>
      <c r="L881" s="19"/>
      <c r="M881" s="20"/>
    </row>
    <row r="882">
      <c r="A882" s="6"/>
      <c r="B882" s="6"/>
      <c r="C882" s="4"/>
      <c r="D882" s="36">
        <v>0.0</v>
      </c>
      <c r="E882" s="4"/>
      <c r="F882" s="4"/>
      <c r="G882" s="4"/>
      <c r="H882" s="4"/>
      <c r="I882" s="4"/>
      <c r="J882" s="18"/>
      <c r="K882" s="4"/>
      <c r="L882" s="19"/>
      <c r="M882" s="20"/>
    </row>
    <row r="883">
      <c r="A883" s="6"/>
      <c r="B883" s="6"/>
      <c r="C883" s="4"/>
      <c r="D883" s="36">
        <v>0.0</v>
      </c>
      <c r="E883" s="4"/>
      <c r="F883" s="4"/>
      <c r="G883" s="4"/>
      <c r="H883" s="4"/>
      <c r="I883" s="4"/>
      <c r="J883" s="18"/>
      <c r="K883" s="4"/>
      <c r="L883" s="19"/>
      <c r="M883" s="20"/>
    </row>
    <row r="884">
      <c r="A884" s="6"/>
      <c r="B884" s="6"/>
      <c r="C884" s="4"/>
      <c r="D884" s="36">
        <v>0.0</v>
      </c>
      <c r="E884" s="4"/>
      <c r="F884" s="4"/>
      <c r="G884" s="4"/>
      <c r="H884" s="4"/>
      <c r="I884" s="4"/>
      <c r="J884" s="18"/>
      <c r="K884" s="4"/>
      <c r="L884" s="19"/>
      <c r="M884" s="20"/>
    </row>
    <row r="885">
      <c r="A885" s="6"/>
      <c r="B885" s="6"/>
      <c r="C885" s="4"/>
      <c r="D885" s="36">
        <v>0.0</v>
      </c>
      <c r="E885" s="4"/>
      <c r="F885" s="4"/>
      <c r="G885" s="4"/>
      <c r="H885" s="4"/>
      <c r="I885" s="4"/>
      <c r="J885" s="18"/>
      <c r="K885" s="4"/>
      <c r="L885" s="19"/>
      <c r="M885" s="20"/>
    </row>
    <row r="886">
      <c r="A886" s="6"/>
      <c r="B886" s="6"/>
      <c r="C886" s="4"/>
      <c r="D886" s="36">
        <v>0.0</v>
      </c>
      <c r="E886" s="4"/>
      <c r="F886" s="4"/>
      <c r="G886" s="4"/>
      <c r="H886" s="4"/>
      <c r="I886" s="4"/>
      <c r="J886" s="18"/>
      <c r="K886" s="4"/>
      <c r="L886" s="19"/>
      <c r="M886" s="20"/>
    </row>
    <row r="887">
      <c r="A887" s="6"/>
      <c r="B887" s="6"/>
      <c r="C887" s="4"/>
      <c r="D887" s="36">
        <v>0.0</v>
      </c>
      <c r="E887" s="4"/>
      <c r="F887" s="4"/>
      <c r="G887" s="4"/>
      <c r="H887" s="4"/>
      <c r="I887" s="4"/>
      <c r="J887" s="18"/>
      <c r="K887" s="4"/>
      <c r="L887" s="19"/>
      <c r="M887" s="20"/>
    </row>
    <row r="888">
      <c r="A888" s="6"/>
      <c r="B888" s="6"/>
      <c r="C888" s="4"/>
      <c r="D888" s="36">
        <v>0.0</v>
      </c>
      <c r="E888" s="4"/>
      <c r="F888" s="4"/>
      <c r="G888" s="4"/>
      <c r="H888" s="4"/>
      <c r="I888" s="4"/>
      <c r="J888" s="18"/>
      <c r="K888" s="4"/>
      <c r="L888" s="19"/>
      <c r="M888" s="20"/>
    </row>
    <row r="889">
      <c r="A889" s="6"/>
      <c r="B889" s="6"/>
      <c r="C889" s="4"/>
      <c r="D889" s="36">
        <v>0.0</v>
      </c>
      <c r="E889" s="4"/>
      <c r="F889" s="4"/>
      <c r="G889" s="4"/>
      <c r="H889" s="4"/>
      <c r="I889" s="4"/>
      <c r="J889" s="18"/>
      <c r="K889" s="4"/>
      <c r="L889" s="19"/>
      <c r="M889" s="20"/>
    </row>
    <row r="890">
      <c r="A890" s="6"/>
      <c r="B890" s="6"/>
      <c r="C890" s="4"/>
      <c r="D890" s="36">
        <v>0.0</v>
      </c>
      <c r="E890" s="4"/>
      <c r="F890" s="4"/>
      <c r="G890" s="4"/>
      <c r="H890" s="4"/>
      <c r="I890" s="4"/>
      <c r="J890" s="18"/>
      <c r="K890" s="4"/>
      <c r="L890" s="19"/>
      <c r="M890" s="20"/>
    </row>
    <row r="891">
      <c r="A891" s="6"/>
      <c r="B891" s="6"/>
      <c r="C891" s="4"/>
      <c r="D891" s="36">
        <v>0.0</v>
      </c>
      <c r="E891" s="4"/>
      <c r="F891" s="4"/>
      <c r="G891" s="4"/>
      <c r="H891" s="4"/>
      <c r="I891" s="4"/>
      <c r="J891" s="18"/>
      <c r="K891" s="4"/>
      <c r="L891" s="19"/>
      <c r="M891" s="20"/>
    </row>
    <row r="892">
      <c r="A892" s="6"/>
      <c r="B892" s="6"/>
      <c r="C892" s="4"/>
      <c r="D892" s="36">
        <v>0.0</v>
      </c>
      <c r="E892" s="4"/>
      <c r="F892" s="4"/>
      <c r="G892" s="4"/>
      <c r="H892" s="4"/>
      <c r="I892" s="4"/>
      <c r="J892" s="18"/>
      <c r="K892" s="4"/>
      <c r="L892" s="19"/>
      <c r="M892" s="20"/>
    </row>
    <row r="893">
      <c r="A893" s="6"/>
      <c r="B893" s="6"/>
      <c r="C893" s="4"/>
      <c r="D893" s="36">
        <v>0.0</v>
      </c>
      <c r="E893" s="4"/>
      <c r="F893" s="4"/>
      <c r="G893" s="4"/>
      <c r="H893" s="4"/>
      <c r="I893" s="4"/>
      <c r="J893" s="18"/>
      <c r="K893" s="4"/>
      <c r="L893" s="19"/>
      <c r="M893" s="20"/>
    </row>
    <row r="894">
      <c r="A894" s="6"/>
      <c r="B894" s="6"/>
      <c r="C894" s="4"/>
      <c r="D894" s="36">
        <v>0.0</v>
      </c>
      <c r="E894" s="4"/>
      <c r="F894" s="4"/>
      <c r="G894" s="4"/>
      <c r="H894" s="4"/>
      <c r="I894" s="4"/>
      <c r="J894" s="18"/>
      <c r="K894" s="4"/>
      <c r="L894" s="19"/>
      <c r="M894" s="20"/>
    </row>
    <row r="895">
      <c r="A895" s="6"/>
      <c r="B895" s="6"/>
      <c r="C895" s="4"/>
      <c r="D895" s="36">
        <v>0.0</v>
      </c>
      <c r="E895" s="4"/>
      <c r="F895" s="4"/>
      <c r="G895" s="4"/>
      <c r="H895" s="4"/>
      <c r="I895" s="4"/>
      <c r="J895" s="18"/>
      <c r="K895" s="4"/>
      <c r="L895" s="19"/>
      <c r="M895" s="20"/>
    </row>
    <row r="896">
      <c r="A896" s="6"/>
      <c r="B896" s="6"/>
      <c r="C896" s="4"/>
      <c r="D896" s="36">
        <v>0.0</v>
      </c>
      <c r="E896" s="4"/>
      <c r="F896" s="4"/>
      <c r="G896" s="4"/>
      <c r="H896" s="4"/>
      <c r="I896" s="4"/>
      <c r="J896" s="18"/>
      <c r="K896" s="4"/>
      <c r="L896" s="19"/>
      <c r="M896" s="20"/>
    </row>
    <row r="897">
      <c r="A897" s="6"/>
      <c r="B897" s="6"/>
      <c r="C897" s="4"/>
      <c r="D897" s="36">
        <v>0.0</v>
      </c>
      <c r="E897" s="4"/>
      <c r="F897" s="4"/>
      <c r="G897" s="4"/>
      <c r="H897" s="4"/>
      <c r="I897" s="4"/>
      <c r="J897" s="18"/>
      <c r="K897" s="4"/>
      <c r="L897" s="19"/>
      <c r="M897" s="20"/>
    </row>
    <row r="898">
      <c r="A898" s="6"/>
      <c r="B898" s="6"/>
      <c r="C898" s="4"/>
      <c r="D898" s="36">
        <v>0.0</v>
      </c>
      <c r="E898" s="4"/>
      <c r="F898" s="4"/>
      <c r="G898" s="4"/>
      <c r="H898" s="4"/>
      <c r="I898" s="4"/>
      <c r="J898" s="18"/>
      <c r="K898" s="4"/>
      <c r="L898" s="19"/>
      <c r="M898" s="20"/>
    </row>
    <row r="899">
      <c r="A899" s="6"/>
      <c r="B899" s="6"/>
      <c r="C899" s="4"/>
      <c r="D899" s="36">
        <v>0.0</v>
      </c>
      <c r="E899" s="4"/>
      <c r="F899" s="4"/>
      <c r="G899" s="4"/>
      <c r="H899" s="4"/>
      <c r="I899" s="4"/>
      <c r="J899" s="18"/>
      <c r="K899" s="4"/>
      <c r="L899" s="19"/>
      <c r="M899" s="20"/>
    </row>
    <row r="900">
      <c r="A900" s="6"/>
      <c r="B900" s="6"/>
      <c r="C900" s="4"/>
      <c r="D900" s="36">
        <v>0.0</v>
      </c>
      <c r="E900" s="4"/>
      <c r="F900" s="4"/>
      <c r="G900" s="4"/>
      <c r="H900" s="4"/>
      <c r="I900" s="4"/>
      <c r="J900" s="18"/>
      <c r="K900" s="4"/>
      <c r="L900" s="19"/>
      <c r="M900" s="20"/>
    </row>
    <row r="901">
      <c r="A901" s="6"/>
      <c r="B901" s="6"/>
      <c r="C901" s="4"/>
      <c r="D901" s="36">
        <v>0.0</v>
      </c>
      <c r="E901" s="4"/>
      <c r="F901" s="4"/>
      <c r="G901" s="4"/>
      <c r="H901" s="4"/>
      <c r="I901" s="4"/>
      <c r="J901" s="18"/>
      <c r="K901" s="4"/>
      <c r="L901" s="19"/>
      <c r="M901" s="20"/>
    </row>
    <row r="902">
      <c r="A902" s="6"/>
      <c r="B902" s="6"/>
      <c r="C902" s="4"/>
      <c r="D902" s="36">
        <v>0.0</v>
      </c>
      <c r="E902" s="4"/>
      <c r="F902" s="4"/>
      <c r="G902" s="4"/>
      <c r="H902" s="4"/>
      <c r="I902" s="4"/>
      <c r="J902" s="18"/>
      <c r="K902" s="4"/>
      <c r="L902" s="19"/>
      <c r="M902" s="20"/>
    </row>
    <row r="903">
      <c r="A903" s="6"/>
      <c r="B903" s="6"/>
      <c r="C903" s="4"/>
      <c r="D903" s="36">
        <v>0.0</v>
      </c>
      <c r="E903" s="4"/>
      <c r="F903" s="4"/>
      <c r="G903" s="4"/>
      <c r="H903" s="4"/>
      <c r="I903" s="4"/>
      <c r="J903" s="18"/>
      <c r="K903" s="4"/>
      <c r="L903" s="19"/>
      <c r="M903" s="20"/>
    </row>
    <row r="904">
      <c r="A904" s="6"/>
      <c r="B904" s="6"/>
      <c r="C904" s="4"/>
      <c r="D904" s="36">
        <v>0.0</v>
      </c>
      <c r="E904" s="4"/>
      <c r="F904" s="4"/>
      <c r="G904" s="4"/>
      <c r="H904" s="4"/>
      <c r="I904" s="4"/>
      <c r="J904" s="18"/>
      <c r="K904" s="4"/>
      <c r="L904" s="19"/>
      <c r="M904" s="20"/>
    </row>
    <row r="905">
      <c r="A905" s="6"/>
      <c r="B905" s="6"/>
      <c r="C905" s="4"/>
      <c r="D905" s="36">
        <v>0.0</v>
      </c>
      <c r="E905" s="4"/>
      <c r="F905" s="4"/>
      <c r="G905" s="4"/>
      <c r="H905" s="4"/>
      <c r="I905" s="4"/>
      <c r="J905" s="18"/>
      <c r="K905" s="4"/>
      <c r="L905" s="19"/>
      <c r="M905" s="20"/>
    </row>
    <row r="906">
      <c r="A906" s="6"/>
      <c r="B906" s="6"/>
      <c r="C906" s="4"/>
      <c r="D906" s="36">
        <v>0.0</v>
      </c>
      <c r="E906" s="4"/>
      <c r="F906" s="4"/>
      <c r="G906" s="4"/>
      <c r="H906" s="4"/>
      <c r="I906" s="4"/>
      <c r="J906" s="18"/>
      <c r="K906" s="4"/>
      <c r="L906" s="19"/>
      <c r="M906" s="20"/>
    </row>
    <row r="907">
      <c r="A907" s="6"/>
      <c r="B907" s="6"/>
      <c r="C907" s="4"/>
      <c r="D907" s="36">
        <v>0.0</v>
      </c>
      <c r="E907" s="4"/>
      <c r="F907" s="4"/>
      <c r="G907" s="4"/>
      <c r="H907" s="4"/>
      <c r="I907" s="4"/>
      <c r="J907" s="18"/>
      <c r="K907" s="4"/>
      <c r="L907" s="19"/>
      <c r="M907" s="20"/>
    </row>
    <row r="908">
      <c r="A908" s="6"/>
      <c r="B908" s="6"/>
      <c r="C908" s="4"/>
      <c r="D908" s="36">
        <v>0.0</v>
      </c>
      <c r="E908" s="4"/>
      <c r="F908" s="4"/>
      <c r="G908" s="4"/>
      <c r="H908" s="4"/>
      <c r="I908" s="4"/>
      <c r="J908" s="18"/>
      <c r="K908" s="4"/>
      <c r="L908" s="19"/>
      <c r="M908" s="20"/>
    </row>
    <row r="909">
      <c r="A909" s="6"/>
      <c r="B909" s="6"/>
      <c r="C909" s="4"/>
      <c r="D909" s="36">
        <v>0.0</v>
      </c>
      <c r="E909" s="4"/>
      <c r="F909" s="4"/>
      <c r="G909" s="4"/>
      <c r="H909" s="4"/>
      <c r="I909" s="4"/>
      <c r="J909" s="18"/>
      <c r="K909" s="4"/>
      <c r="L909" s="19"/>
      <c r="M909" s="20"/>
    </row>
    <row r="910">
      <c r="A910" s="6"/>
      <c r="B910" s="6"/>
      <c r="C910" s="4"/>
      <c r="D910" s="36">
        <v>0.0</v>
      </c>
      <c r="E910" s="4"/>
      <c r="F910" s="4"/>
      <c r="G910" s="4"/>
      <c r="H910" s="4"/>
      <c r="I910" s="4"/>
      <c r="J910" s="18"/>
      <c r="K910" s="4"/>
      <c r="L910" s="19"/>
      <c r="M910" s="20"/>
    </row>
    <row r="911">
      <c r="A911" s="6"/>
      <c r="B911" s="6"/>
      <c r="C911" s="4"/>
      <c r="D911" s="36">
        <v>0.0</v>
      </c>
      <c r="E911" s="4"/>
      <c r="F911" s="4"/>
      <c r="G911" s="4"/>
      <c r="H911" s="4"/>
      <c r="I911" s="4"/>
      <c r="J911" s="18"/>
      <c r="K911" s="4"/>
      <c r="L911" s="19"/>
      <c r="M911" s="20"/>
    </row>
    <row r="912">
      <c r="A912" s="6"/>
      <c r="B912" s="6"/>
      <c r="C912" s="4"/>
      <c r="D912" s="36">
        <v>0.0</v>
      </c>
      <c r="E912" s="4"/>
      <c r="F912" s="4"/>
      <c r="G912" s="4"/>
      <c r="H912" s="4"/>
      <c r="I912" s="4"/>
      <c r="J912" s="18"/>
      <c r="K912" s="4"/>
      <c r="L912" s="19"/>
      <c r="M912" s="20"/>
    </row>
    <row r="913">
      <c r="A913" s="6"/>
      <c r="B913" s="6"/>
      <c r="C913" s="4"/>
      <c r="D913" s="36">
        <v>0.0</v>
      </c>
      <c r="E913" s="4"/>
      <c r="F913" s="4"/>
      <c r="G913" s="4"/>
      <c r="H913" s="4"/>
      <c r="I913" s="4"/>
      <c r="J913" s="18"/>
      <c r="K913" s="4"/>
      <c r="L913" s="19"/>
      <c r="M913" s="20"/>
    </row>
    <row r="914">
      <c r="A914" s="6"/>
      <c r="B914" s="6"/>
      <c r="C914" s="4"/>
      <c r="D914" s="36">
        <v>0.0</v>
      </c>
      <c r="E914" s="4"/>
      <c r="F914" s="4"/>
      <c r="G914" s="4"/>
      <c r="H914" s="4"/>
      <c r="I914" s="4"/>
      <c r="J914" s="18"/>
      <c r="K914" s="4"/>
      <c r="L914" s="19"/>
      <c r="M914" s="20"/>
    </row>
    <row r="915">
      <c r="A915" s="6"/>
      <c r="B915" s="6"/>
      <c r="C915" s="4"/>
      <c r="D915" s="36">
        <v>0.0</v>
      </c>
      <c r="E915" s="4"/>
      <c r="F915" s="4"/>
      <c r="G915" s="4"/>
      <c r="H915" s="4"/>
      <c r="I915" s="4"/>
      <c r="J915" s="18"/>
      <c r="K915" s="4"/>
      <c r="L915" s="19"/>
      <c r="M915" s="20"/>
    </row>
    <row r="916">
      <c r="A916" s="6"/>
      <c r="B916" s="6"/>
      <c r="C916" s="4"/>
      <c r="D916" s="36">
        <v>0.0</v>
      </c>
      <c r="E916" s="4"/>
      <c r="F916" s="4"/>
      <c r="G916" s="4"/>
      <c r="H916" s="4"/>
      <c r="I916" s="4"/>
      <c r="J916" s="18"/>
      <c r="K916" s="4"/>
      <c r="L916" s="19"/>
      <c r="M916" s="20"/>
    </row>
    <row r="917">
      <c r="A917" s="6"/>
      <c r="B917" s="6"/>
      <c r="C917" s="4"/>
      <c r="D917" s="36">
        <v>0.0</v>
      </c>
      <c r="E917" s="4"/>
      <c r="F917" s="4"/>
      <c r="G917" s="4"/>
      <c r="H917" s="4"/>
      <c r="I917" s="4"/>
      <c r="J917" s="18"/>
      <c r="K917" s="4"/>
      <c r="L917" s="19"/>
      <c r="M917" s="20"/>
    </row>
    <row r="918">
      <c r="A918" s="6"/>
      <c r="B918" s="6"/>
      <c r="C918" s="4"/>
      <c r="D918" s="36">
        <v>0.0</v>
      </c>
      <c r="E918" s="4"/>
      <c r="F918" s="4"/>
      <c r="G918" s="4"/>
      <c r="H918" s="4"/>
      <c r="I918" s="4"/>
      <c r="J918" s="18"/>
      <c r="K918" s="4"/>
      <c r="L918" s="19"/>
      <c r="M918" s="20"/>
    </row>
    <row r="919">
      <c r="A919" s="6"/>
      <c r="B919" s="6"/>
      <c r="C919" s="4"/>
      <c r="D919" s="36">
        <v>0.0</v>
      </c>
      <c r="E919" s="4"/>
      <c r="F919" s="4"/>
      <c r="G919" s="4"/>
      <c r="H919" s="4"/>
      <c r="I919" s="4"/>
      <c r="J919" s="18"/>
      <c r="K919" s="4"/>
      <c r="L919" s="19"/>
      <c r="M919" s="20"/>
    </row>
    <row r="920">
      <c r="A920" s="6"/>
      <c r="B920" s="6"/>
      <c r="C920" s="4"/>
      <c r="D920" s="36">
        <v>0.0</v>
      </c>
      <c r="E920" s="4"/>
      <c r="F920" s="4"/>
      <c r="G920" s="4"/>
      <c r="H920" s="4"/>
      <c r="I920" s="4"/>
      <c r="J920" s="18"/>
      <c r="K920" s="4"/>
      <c r="L920" s="19"/>
      <c r="M920" s="20"/>
    </row>
    <row r="921">
      <c r="A921" s="6"/>
      <c r="B921" s="6"/>
      <c r="C921" s="4"/>
      <c r="D921" s="36">
        <v>0.0</v>
      </c>
      <c r="E921" s="4"/>
      <c r="F921" s="4"/>
      <c r="G921" s="4"/>
      <c r="H921" s="4"/>
      <c r="I921" s="4"/>
      <c r="J921" s="18"/>
      <c r="K921" s="4"/>
      <c r="L921" s="19"/>
      <c r="M921" s="20"/>
    </row>
    <row r="922">
      <c r="A922" s="6"/>
      <c r="B922" s="6"/>
      <c r="C922" s="4"/>
      <c r="D922" s="36">
        <v>0.0</v>
      </c>
      <c r="E922" s="4"/>
      <c r="F922" s="4"/>
      <c r="G922" s="4"/>
      <c r="H922" s="4"/>
      <c r="I922" s="4"/>
      <c r="J922" s="18"/>
      <c r="K922" s="4"/>
      <c r="L922" s="19"/>
      <c r="M922" s="20"/>
    </row>
    <row r="923">
      <c r="A923" s="6"/>
      <c r="B923" s="6"/>
      <c r="C923" s="4"/>
      <c r="D923" s="36">
        <v>0.0</v>
      </c>
      <c r="E923" s="4"/>
      <c r="F923" s="4"/>
      <c r="G923" s="4"/>
      <c r="H923" s="4"/>
      <c r="I923" s="4"/>
      <c r="J923" s="18"/>
      <c r="K923" s="4"/>
      <c r="L923" s="19"/>
      <c r="M923" s="20"/>
    </row>
    <row r="924">
      <c r="A924" s="6"/>
      <c r="B924" s="6"/>
      <c r="C924" s="4"/>
      <c r="D924" s="36">
        <v>0.0</v>
      </c>
      <c r="E924" s="4"/>
      <c r="F924" s="4"/>
      <c r="G924" s="4"/>
      <c r="H924" s="4"/>
      <c r="I924" s="4"/>
      <c r="J924" s="18"/>
      <c r="K924" s="4"/>
      <c r="L924" s="19"/>
      <c r="M924" s="20"/>
    </row>
    <row r="925">
      <c r="A925" s="6"/>
      <c r="B925" s="6"/>
      <c r="C925" s="4"/>
      <c r="D925" s="36">
        <v>0.0</v>
      </c>
      <c r="E925" s="4"/>
      <c r="F925" s="4"/>
      <c r="G925" s="4"/>
      <c r="H925" s="4"/>
      <c r="I925" s="4"/>
      <c r="J925" s="18"/>
      <c r="K925" s="4"/>
      <c r="L925" s="19"/>
      <c r="M925" s="20"/>
    </row>
    <row r="926">
      <c r="A926" s="6"/>
      <c r="B926" s="6"/>
      <c r="C926" s="4"/>
      <c r="D926" s="36">
        <v>0.0</v>
      </c>
      <c r="E926" s="4"/>
      <c r="F926" s="4"/>
      <c r="G926" s="4"/>
      <c r="H926" s="4"/>
      <c r="I926" s="4"/>
      <c r="J926" s="18"/>
      <c r="K926" s="4"/>
      <c r="L926" s="19"/>
      <c r="M926" s="20"/>
    </row>
    <row r="927">
      <c r="A927" s="6"/>
      <c r="B927" s="6"/>
      <c r="C927" s="4"/>
      <c r="D927" s="36">
        <v>0.0</v>
      </c>
      <c r="E927" s="4"/>
      <c r="F927" s="4"/>
      <c r="G927" s="4"/>
      <c r="H927" s="4"/>
      <c r="I927" s="4"/>
      <c r="J927" s="18"/>
      <c r="K927" s="4"/>
      <c r="L927" s="19"/>
      <c r="M927" s="20"/>
    </row>
    <row r="928">
      <c r="A928" s="6"/>
      <c r="B928" s="6"/>
      <c r="C928" s="4"/>
      <c r="D928" s="36">
        <v>0.0</v>
      </c>
      <c r="E928" s="4"/>
      <c r="F928" s="4"/>
      <c r="G928" s="4"/>
      <c r="H928" s="4"/>
      <c r="I928" s="4"/>
      <c r="J928" s="18"/>
      <c r="K928" s="4"/>
      <c r="L928" s="19"/>
      <c r="M928" s="20"/>
    </row>
    <row r="929">
      <c r="A929" s="6"/>
      <c r="B929" s="6"/>
      <c r="C929" s="4"/>
      <c r="D929" s="36">
        <v>0.0</v>
      </c>
      <c r="E929" s="4"/>
      <c r="F929" s="4"/>
      <c r="G929" s="4"/>
      <c r="H929" s="4"/>
      <c r="I929" s="4"/>
      <c r="J929" s="18"/>
      <c r="K929" s="4"/>
      <c r="L929" s="19"/>
      <c r="M929" s="20"/>
    </row>
    <row r="930">
      <c r="A930" s="6"/>
      <c r="B930" s="6"/>
      <c r="C930" s="4"/>
      <c r="D930" s="36">
        <v>0.0</v>
      </c>
      <c r="E930" s="4"/>
      <c r="F930" s="4"/>
      <c r="G930" s="4"/>
      <c r="H930" s="4"/>
      <c r="I930" s="4"/>
      <c r="J930" s="18"/>
      <c r="K930" s="4"/>
      <c r="L930" s="19"/>
      <c r="M930" s="20"/>
    </row>
    <row r="931">
      <c r="A931" s="6"/>
      <c r="B931" s="6"/>
      <c r="C931" s="4"/>
      <c r="D931" s="36">
        <v>0.0</v>
      </c>
      <c r="E931" s="4"/>
      <c r="F931" s="4"/>
      <c r="G931" s="4"/>
      <c r="H931" s="4"/>
      <c r="I931" s="4"/>
      <c r="J931" s="18"/>
      <c r="K931" s="4"/>
      <c r="L931" s="19"/>
      <c r="M931" s="20"/>
    </row>
    <row r="932">
      <c r="A932" s="6"/>
      <c r="B932" s="6"/>
      <c r="C932" s="4"/>
      <c r="D932" s="36">
        <v>0.0</v>
      </c>
      <c r="E932" s="4"/>
      <c r="F932" s="4"/>
      <c r="G932" s="4"/>
      <c r="H932" s="4"/>
      <c r="I932" s="4"/>
      <c r="J932" s="18"/>
      <c r="K932" s="4"/>
      <c r="L932" s="19"/>
      <c r="M932" s="20"/>
    </row>
    <row r="933">
      <c r="A933" s="6"/>
      <c r="B933" s="6"/>
      <c r="C933" s="4"/>
      <c r="D933" s="36">
        <v>0.0</v>
      </c>
      <c r="E933" s="4"/>
      <c r="F933" s="4"/>
      <c r="G933" s="4"/>
      <c r="H933" s="4"/>
      <c r="I933" s="4"/>
      <c r="J933" s="18"/>
      <c r="K933" s="4"/>
      <c r="L933" s="19"/>
      <c r="M933" s="20"/>
    </row>
    <row r="934">
      <c r="A934" s="6"/>
      <c r="B934" s="6"/>
      <c r="C934" s="4"/>
      <c r="D934" s="36">
        <v>0.0</v>
      </c>
      <c r="E934" s="4"/>
      <c r="F934" s="4"/>
      <c r="G934" s="4"/>
      <c r="H934" s="4"/>
      <c r="I934" s="4"/>
      <c r="J934" s="18"/>
      <c r="K934" s="4"/>
      <c r="L934" s="19"/>
      <c r="M934" s="20"/>
    </row>
    <row r="935">
      <c r="A935" s="6"/>
      <c r="B935" s="6"/>
      <c r="C935" s="4"/>
      <c r="D935" s="36">
        <v>0.0</v>
      </c>
      <c r="E935" s="4"/>
      <c r="F935" s="4"/>
      <c r="G935" s="4"/>
      <c r="H935" s="4"/>
      <c r="I935" s="4"/>
      <c r="J935" s="18"/>
      <c r="K935" s="4"/>
      <c r="L935" s="19"/>
      <c r="M935" s="20"/>
    </row>
    <row r="936">
      <c r="A936" s="6"/>
      <c r="B936" s="6"/>
      <c r="C936" s="4"/>
      <c r="D936" s="36">
        <v>0.0</v>
      </c>
      <c r="E936" s="4"/>
      <c r="F936" s="4"/>
      <c r="G936" s="4"/>
      <c r="H936" s="4"/>
      <c r="I936" s="4"/>
      <c r="J936" s="18"/>
      <c r="K936" s="4"/>
      <c r="L936" s="19"/>
      <c r="M936" s="20"/>
    </row>
    <row r="937">
      <c r="A937" s="6"/>
      <c r="B937" s="6"/>
      <c r="C937" s="4"/>
      <c r="D937" s="36">
        <v>0.0</v>
      </c>
      <c r="E937" s="4"/>
      <c r="F937" s="4"/>
      <c r="G937" s="4"/>
      <c r="H937" s="4"/>
      <c r="I937" s="4"/>
      <c r="J937" s="18"/>
      <c r="K937" s="4"/>
      <c r="L937" s="19"/>
      <c r="M937" s="20"/>
    </row>
    <row r="938">
      <c r="A938" s="6"/>
      <c r="B938" s="6"/>
      <c r="C938" s="4"/>
      <c r="D938" s="36">
        <v>0.0</v>
      </c>
      <c r="E938" s="4"/>
      <c r="F938" s="4"/>
      <c r="G938" s="4"/>
      <c r="H938" s="4"/>
      <c r="I938" s="4"/>
      <c r="J938" s="18"/>
      <c r="K938" s="4"/>
      <c r="L938" s="19"/>
      <c r="M938" s="20"/>
    </row>
    <row r="939">
      <c r="A939" s="6"/>
      <c r="B939" s="6"/>
      <c r="C939" s="4"/>
      <c r="D939" s="36">
        <v>0.0</v>
      </c>
      <c r="E939" s="4"/>
      <c r="F939" s="4"/>
      <c r="G939" s="4"/>
      <c r="H939" s="4"/>
      <c r="I939" s="4"/>
      <c r="J939" s="18"/>
      <c r="K939" s="4"/>
      <c r="L939" s="19"/>
      <c r="M939" s="20"/>
    </row>
    <row r="940">
      <c r="A940" s="6"/>
      <c r="B940" s="6"/>
      <c r="C940" s="4"/>
      <c r="D940" s="36">
        <v>0.0</v>
      </c>
      <c r="E940" s="4"/>
      <c r="F940" s="4"/>
      <c r="G940" s="4"/>
      <c r="H940" s="4"/>
      <c r="I940" s="4"/>
      <c r="J940" s="18"/>
      <c r="K940" s="4"/>
      <c r="L940" s="19"/>
      <c r="M940" s="20"/>
    </row>
    <row r="941">
      <c r="A941" s="6"/>
      <c r="B941" s="6"/>
      <c r="C941" s="4"/>
      <c r="D941" s="36">
        <v>0.0</v>
      </c>
      <c r="E941" s="4"/>
      <c r="F941" s="4"/>
      <c r="G941" s="4"/>
      <c r="H941" s="4"/>
      <c r="I941" s="4"/>
      <c r="J941" s="18"/>
      <c r="K941" s="4"/>
      <c r="L941" s="19"/>
      <c r="M941" s="20"/>
    </row>
    <row r="942">
      <c r="A942" s="6"/>
      <c r="B942" s="6"/>
      <c r="C942" s="4"/>
      <c r="D942" s="36">
        <v>0.0</v>
      </c>
      <c r="E942" s="4"/>
      <c r="F942" s="4"/>
      <c r="G942" s="4"/>
      <c r="H942" s="4"/>
      <c r="I942" s="4"/>
      <c r="J942" s="18"/>
      <c r="K942" s="4"/>
      <c r="L942" s="19"/>
      <c r="M942" s="20"/>
    </row>
    <row r="943">
      <c r="A943" s="6"/>
      <c r="B943" s="6"/>
      <c r="C943" s="4"/>
      <c r="D943" s="36">
        <v>0.0</v>
      </c>
      <c r="E943" s="4"/>
      <c r="F943" s="4"/>
      <c r="G943" s="4"/>
      <c r="H943" s="4"/>
      <c r="I943" s="4"/>
      <c r="J943" s="18"/>
      <c r="K943" s="4"/>
      <c r="L943" s="19"/>
      <c r="M943" s="20"/>
    </row>
    <row r="944">
      <c r="A944" s="6"/>
      <c r="B944" s="6"/>
      <c r="C944" s="4"/>
      <c r="D944" s="36">
        <v>0.0</v>
      </c>
      <c r="E944" s="4"/>
      <c r="F944" s="4"/>
      <c r="G944" s="4"/>
      <c r="H944" s="4"/>
      <c r="I944" s="4"/>
      <c r="J944" s="18"/>
      <c r="K944" s="4"/>
      <c r="L944" s="19"/>
      <c r="M944" s="20"/>
    </row>
    <row r="945">
      <c r="A945" s="6"/>
      <c r="B945" s="6"/>
      <c r="C945" s="4"/>
      <c r="D945" s="36">
        <v>0.0</v>
      </c>
      <c r="E945" s="4"/>
      <c r="F945" s="4"/>
      <c r="G945" s="4"/>
      <c r="H945" s="4"/>
      <c r="I945" s="4"/>
      <c r="J945" s="18"/>
      <c r="K945" s="4"/>
      <c r="L945" s="19"/>
      <c r="M945" s="20"/>
    </row>
    <row r="946">
      <c r="A946" s="6"/>
      <c r="B946" s="6"/>
      <c r="C946" s="4"/>
      <c r="D946" s="36">
        <v>0.0</v>
      </c>
      <c r="E946" s="4"/>
      <c r="F946" s="4"/>
      <c r="G946" s="4"/>
      <c r="H946" s="4"/>
      <c r="I946" s="4"/>
      <c r="J946" s="18"/>
      <c r="K946" s="4"/>
      <c r="L946" s="19"/>
      <c r="M946" s="20"/>
    </row>
    <row r="947">
      <c r="A947" s="6"/>
      <c r="B947" s="6"/>
      <c r="C947" s="4"/>
      <c r="D947" s="36">
        <v>0.0</v>
      </c>
      <c r="E947" s="4"/>
      <c r="F947" s="4"/>
      <c r="G947" s="4"/>
      <c r="H947" s="4"/>
      <c r="I947" s="4"/>
      <c r="J947" s="18"/>
      <c r="K947" s="4"/>
      <c r="L947" s="19"/>
      <c r="M947" s="20"/>
    </row>
    <row r="948">
      <c r="A948" s="6"/>
      <c r="B948" s="6"/>
      <c r="C948" s="4"/>
      <c r="D948" s="36">
        <v>0.0</v>
      </c>
      <c r="E948" s="4"/>
      <c r="F948" s="4"/>
      <c r="G948" s="4"/>
      <c r="H948" s="4"/>
      <c r="I948" s="4"/>
      <c r="J948" s="18"/>
      <c r="K948" s="4"/>
      <c r="L948" s="19"/>
      <c r="M948" s="20"/>
    </row>
    <row r="949">
      <c r="A949" s="6"/>
      <c r="B949" s="6"/>
      <c r="C949" s="4"/>
      <c r="D949" s="36">
        <v>0.0</v>
      </c>
      <c r="E949" s="4"/>
      <c r="F949" s="4"/>
      <c r="G949" s="4"/>
      <c r="H949" s="4"/>
      <c r="I949" s="4"/>
      <c r="J949" s="18"/>
      <c r="K949" s="4"/>
      <c r="L949" s="19"/>
      <c r="M949" s="20"/>
    </row>
    <row r="950">
      <c r="A950" s="6"/>
      <c r="B950" s="6"/>
      <c r="C950" s="4"/>
      <c r="D950" s="36">
        <v>0.0</v>
      </c>
      <c r="E950" s="4"/>
      <c r="F950" s="4"/>
      <c r="G950" s="4"/>
      <c r="H950" s="4"/>
      <c r="I950" s="4"/>
      <c r="J950" s="18"/>
      <c r="K950" s="4"/>
      <c r="L950" s="19"/>
      <c r="M950" s="20"/>
    </row>
    <row r="951">
      <c r="A951" s="6"/>
      <c r="B951" s="6"/>
      <c r="C951" s="4"/>
      <c r="D951" s="36">
        <v>0.0</v>
      </c>
      <c r="E951" s="4"/>
      <c r="F951" s="4"/>
      <c r="G951" s="4"/>
      <c r="H951" s="4"/>
      <c r="I951" s="4"/>
      <c r="J951" s="18"/>
      <c r="K951" s="4"/>
      <c r="L951" s="19"/>
      <c r="M951" s="20"/>
    </row>
    <row r="952">
      <c r="A952" s="6"/>
      <c r="B952" s="6"/>
      <c r="C952" s="4"/>
      <c r="D952" s="36">
        <v>0.0</v>
      </c>
      <c r="E952" s="4"/>
      <c r="F952" s="4"/>
      <c r="G952" s="4"/>
      <c r="H952" s="4"/>
      <c r="I952" s="4"/>
      <c r="J952" s="18"/>
      <c r="K952" s="4"/>
      <c r="L952" s="19"/>
      <c r="M952" s="20"/>
    </row>
    <row r="953">
      <c r="A953" s="6"/>
      <c r="B953" s="6"/>
      <c r="C953" s="4"/>
      <c r="D953" s="36">
        <v>0.0</v>
      </c>
      <c r="E953" s="4"/>
      <c r="F953" s="4"/>
      <c r="G953" s="4"/>
      <c r="H953" s="4"/>
      <c r="I953" s="4"/>
      <c r="J953" s="18"/>
      <c r="K953" s="4"/>
      <c r="L953" s="19"/>
      <c r="M953" s="20"/>
    </row>
    <row r="954">
      <c r="A954" s="6"/>
      <c r="B954" s="6"/>
      <c r="C954" s="4"/>
      <c r="D954" s="36">
        <v>0.0</v>
      </c>
      <c r="E954" s="4"/>
      <c r="F954" s="4"/>
      <c r="G954" s="4"/>
      <c r="H954" s="4"/>
      <c r="I954" s="4"/>
      <c r="J954" s="18"/>
      <c r="K954" s="4"/>
      <c r="L954" s="19"/>
      <c r="M954" s="20"/>
    </row>
    <row r="955">
      <c r="A955" s="6"/>
      <c r="B955" s="6"/>
      <c r="C955" s="4"/>
      <c r="D955" s="36">
        <v>0.0</v>
      </c>
      <c r="E955" s="4"/>
      <c r="F955" s="4"/>
      <c r="G955" s="4"/>
      <c r="H955" s="4"/>
      <c r="I955" s="4"/>
      <c r="J955" s="18"/>
      <c r="K955" s="4"/>
      <c r="L955" s="19"/>
      <c r="M955" s="20"/>
    </row>
    <row r="956">
      <c r="A956" s="6"/>
      <c r="B956" s="6"/>
      <c r="C956" s="4"/>
      <c r="D956" s="36">
        <v>0.0</v>
      </c>
      <c r="E956" s="4"/>
      <c r="F956" s="4"/>
      <c r="G956" s="4"/>
      <c r="H956" s="4"/>
      <c r="I956" s="4"/>
      <c r="J956" s="18"/>
      <c r="K956" s="4"/>
      <c r="L956" s="19"/>
      <c r="M956" s="20"/>
    </row>
    <row r="957">
      <c r="A957" s="6"/>
      <c r="B957" s="6"/>
      <c r="C957" s="4"/>
      <c r="D957" s="36">
        <v>0.0</v>
      </c>
      <c r="E957" s="4"/>
      <c r="F957" s="4"/>
      <c r="G957" s="4"/>
      <c r="H957" s="4"/>
      <c r="I957" s="4"/>
      <c r="J957" s="18"/>
      <c r="K957" s="4"/>
      <c r="L957" s="19"/>
      <c r="M957" s="20"/>
    </row>
    <row r="958">
      <c r="A958" s="6"/>
      <c r="B958" s="6"/>
      <c r="C958" s="4"/>
      <c r="D958" s="36">
        <v>0.0</v>
      </c>
      <c r="E958" s="4"/>
      <c r="F958" s="4"/>
      <c r="G958" s="4"/>
      <c r="H958" s="4"/>
      <c r="I958" s="4"/>
      <c r="J958" s="18"/>
      <c r="K958" s="4"/>
      <c r="L958" s="19"/>
      <c r="M958" s="20"/>
    </row>
    <row r="959">
      <c r="A959" s="6"/>
      <c r="B959" s="6"/>
      <c r="C959" s="4"/>
      <c r="D959" s="36">
        <v>0.0</v>
      </c>
      <c r="E959" s="4"/>
      <c r="F959" s="4"/>
      <c r="G959" s="4"/>
      <c r="H959" s="4"/>
      <c r="I959" s="4"/>
      <c r="J959" s="18"/>
      <c r="K959" s="4"/>
      <c r="L959" s="19"/>
      <c r="M959" s="20"/>
    </row>
    <row r="960">
      <c r="A960" s="6"/>
      <c r="B960" s="6"/>
      <c r="C960" s="4"/>
      <c r="D960" s="36">
        <v>0.0</v>
      </c>
      <c r="E960" s="4"/>
      <c r="F960" s="4"/>
      <c r="G960" s="4"/>
      <c r="H960" s="4"/>
      <c r="I960" s="4"/>
      <c r="J960" s="18"/>
      <c r="K960" s="4"/>
      <c r="L960" s="19"/>
      <c r="M960" s="20"/>
    </row>
    <row r="961">
      <c r="A961" s="6"/>
      <c r="B961" s="6"/>
      <c r="C961" s="4"/>
      <c r="D961" s="36">
        <v>0.0</v>
      </c>
      <c r="E961" s="4"/>
      <c r="F961" s="4"/>
      <c r="G961" s="4"/>
      <c r="H961" s="4"/>
      <c r="I961" s="4"/>
      <c r="J961" s="18"/>
      <c r="K961" s="4"/>
      <c r="L961" s="19"/>
      <c r="M961" s="20"/>
    </row>
    <row r="962">
      <c r="A962" s="6"/>
      <c r="B962" s="6"/>
      <c r="C962" s="4"/>
      <c r="D962" s="36">
        <v>0.0</v>
      </c>
      <c r="E962" s="4"/>
      <c r="F962" s="4"/>
      <c r="G962" s="4"/>
      <c r="H962" s="4"/>
      <c r="I962" s="4"/>
      <c r="J962" s="18"/>
      <c r="K962" s="4"/>
      <c r="L962" s="19"/>
      <c r="M962" s="20"/>
    </row>
    <row r="963">
      <c r="A963" s="6"/>
      <c r="B963" s="6"/>
      <c r="C963" s="4"/>
      <c r="D963" s="36">
        <v>0.0</v>
      </c>
      <c r="E963" s="4"/>
      <c r="F963" s="4"/>
      <c r="G963" s="4"/>
      <c r="H963" s="4"/>
      <c r="I963" s="4"/>
      <c r="J963" s="18"/>
      <c r="K963" s="4"/>
      <c r="L963" s="19"/>
      <c r="M963" s="20"/>
    </row>
    <row r="964">
      <c r="A964" s="6"/>
      <c r="B964" s="6"/>
      <c r="C964" s="4"/>
      <c r="D964" s="36">
        <v>0.0</v>
      </c>
      <c r="E964" s="4"/>
      <c r="F964" s="4"/>
      <c r="G964" s="4"/>
      <c r="H964" s="4"/>
      <c r="I964" s="4"/>
      <c r="J964" s="18"/>
      <c r="K964" s="4"/>
      <c r="L964" s="19"/>
      <c r="M964" s="20"/>
    </row>
    <row r="965">
      <c r="A965" s="6"/>
      <c r="B965" s="6"/>
      <c r="C965" s="4"/>
      <c r="D965" s="36">
        <v>0.0</v>
      </c>
      <c r="E965" s="4"/>
      <c r="F965" s="4"/>
      <c r="G965" s="4"/>
      <c r="H965" s="4"/>
      <c r="I965" s="4"/>
      <c r="J965" s="18"/>
      <c r="K965" s="4"/>
      <c r="L965" s="19"/>
      <c r="M965" s="20"/>
    </row>
    <row r="966">
      <c r="A966" s="6"/>
      <c r="B966" s="6"/>
      <c r="C966" s="4"/>
      <c r="D966" s="36">
        <v>0.0</v>
      </c>
      <c r="E966" s="4"/>
      <c r="F966" s="4"/>
      <c r="G966" s="4"/>
      <c r="H966" s="4"/>
      <c r="I966" s="4"/>
      <c r="J966" s="18"/>
      <c r="K966" s="4"/>
      <c r="L966" s="19"/>
      <c r="M966" s="20"/>
    </row>
    <row r="967">
      <c r="A967" s="6"/>
      <c r="B967" s="6"/>
      <c r="C967" s="4"/>
      <c r="D967" s="36">
        <v>0.0</v>
      </c>
      <c r="E967" s="4"/>
      <c r="F967" s="4"/>
      <c r="G967" s="4"/>
      <c r="H967" s="4"/>
      <c r="I967" s="4"/>
      <c r="J967" s="18"/>
      <c r="K967" s="4"/>
      <c r="L967" s="19"/>
      <c r="M967" s="20"/>
    </row>
    <row r="968">
      <c r="A968" s="6"/>
      <c r="B968" s="6"/>
      <c r="C968" s="4"/>
      <c r="D968" s="36">
        <v>0.0</v>
      </c>
      <c r="E968" s="4"/>
      <c r="F968" s="4"/>
      <c r="G968" s="4"/>
      <c r="H968" s="4"/>
      <c r="I968" s="4"/>
      <c r="J968" s="18"/>
      <c r="K968" s="4"/>
      <c r="L968" s="19"/>
      <c r="M968" s="20"/>
    </row>
    <row r="969">
      <c r="A969" s="6"/>
      <c r="B969" s="6"/>
      <c r="C969" s="4"/>
      <c r="D969" s="36">
        <v>0.0</v>
      </c>
      <c r="E969" s="4"/>
      <c r="F969" s="4"/>
      <c r="G969" s="4"/>
      <c r="H969" s="4"/>
      <c r="I969" s="4"/>
      <c r="J969" s="18"/>
      <c r="K969" s="4"/>
      <c r="L969" s="19"/>
      <c r="M969" s="20"/>
    </row>
    <row r="970">
      <c r="A970" s="6"/>
      <c r="B970" s="6"/>
      <c r="C970" s="4"/>
      <c r="D970" s="36">
        <v>0.0</v>
      </c>
      <c r="E970" s="4"/>
      <c r="F970" s="4"/>
      <c r="G970" s="4"/>
      <c r="H970" s="4"/>
      <c r="I970" s="4"/>
      <c r="J970" s="18"/>
      <c r="K970" s="4"/>
      <c r="L970" s="19"/>
      <c r="M970" s="20"/>
    </row>
    <row r="971">
      <c r="A971" s="6"/>
      <c r="B971" s="6"/>
      <c r="C971" s="4"/>
      <c r="D971" s="36">
        <v>0.0</v>
      </c>
      <c r="E971" s="4"/>
      <c r="F971" s="4"/>
      <c r="G971" s="4"/>
      <c r="H971" s="4"/>
      <c r="I971" s="4"/>
      <c r="J971" s="18"/>
      <c r="K971" s="4"/>
      <c r="L971" s="19"/>
      <c r="M971" s="20"/>
    </row>
    <row r="972">
      <c r="A972" s="6"/>
      <c r="B972" s="6"/>
      <c r="C972" s="4"/>
      <c r="D972" s="36">
        <v>0.0</v>
      </c>
      <c r="E972" s="4"/>
      <c r="F972" s="4"/>
      <c r="G972" s="4"/>
      <c r="H972" s="4"/>
      <c r="I972" s="4"/>
      <c r="J972" s="18"/>
      <c r="K972" s="4"/>
      <c r="L972" s="19"/>
      <c r="M972" s="20"/>
    </row>
    <row r="973">
      <c r="A973" s="6"/>
      <c r="B973" s="6"/>
      <c r="C973" s="4"/>
      <c r="D973" s="36">
        <v>0.0</v>
      </c>
      <c r="E973" s="4"/>
      <c r="F973" s="4"/>
      <c r="G973" s="4"/>
      <c r="H973" s="4"/>
      <c r="I973" s="4"/>
      <c r="J973" s="18"/>
      <c r="K973" s="4"/>
      <c r="L973" s="19"/>
      <c r="M973" s="20"/>
    </row>
    <row r="974">
      <c r="A974" s="6"/>
      <c r="B974" s="6"/>
      <c r="C974" s="4"/>
      <c r="D974" s="36">
        <v>0.0</v>
      </c>
      <c r="E974" s="4"/>
      <c r="F974" s="4"/>
      <c r="G974" s="4"/>
      <c r="H974" s="4"/>
      <c r="I974" s="4"/>
      <c r="J974" s="18"/>
      <c r="K974" s="4"/>
      <c r="L974" s="19"/>
      <c r="M974" s="20"/>
    </row>
    <row r="975">
      <c r="A975" s="6"/>
      <c r="B975" s="6"/>
      <c r="C975" s="4"/>
      <c r="D975" s="36">
        <v>0.0</v>
      </c>
      <c r="E975" s="4"/>
      <c r="F975" s="4"/>
      <c r="G975" s="4"/>
      <c r="H975" s="4"/>
      <c r="I975" s="4"/>
      <c r="J975" s="18"/>
      <c r="K975" s="4"/>
      <c r="L975" s="19"/>
      <c r="M975" s="20"/>
    </row>
    <row r="976">
      <c r="A976" s="6"/>
      <c r="B976" s="6"/>
      <c r="C976" s="4"/>
      <c r="D976" s="36">
        <v>0.0</v>
      </c>
      <c r="E976" s="4"/>
      <c r="F976" s="4"/>
      <c r="G976" s="4"/>
      <c r="H976" s="4"/>
      <c r="I976" s="4"/>
      <c r="J976" s="18"/>
      <c r="K976" s="4"/>
      <c r="L976" s="19"/>
      <c r="M976" s="20"/>
    </row>
    <row r="977">
      <c r="A977" s="6"/>
      <c r="B977" s="6"/>
      <c r="C977" s="4"/>
      <c r="D977" s="36">
        <v>0.0</v>
      </c>
      <c r="E977" s="4"/>
      <c r="F977" s="4"/>
      <c r="G977" s="4"/>
      <c r="H977" s="4"/>
      <c r="I977" s="4"/>
      <c r="J977" s="18"/>
      <c r="K977" s="4"/>
      <c r="L977" s="19"/>
      <c r="M977" s="20"/>
    </row>
    <row r="978">
      <c r="A978" s="6"/>
      <c r="B978" s="6"/>
      <c r="C978" s="4"/>
      <c r="D978" s="36">
        <v>0.0</v>
      </c>
      <c r="E978" s="4"/>
      <c r="F978" s="4"/>
      <c r="G978" s="4"/>
      <c r="H978" s="4"/>
      <c r="I978" s="4"/>
      <c r="J978" s="18"/>
      <c r="K978" s="4"/>
      <c r="L978" s="19"/>
      <c r="M978" s="20"/>
    </row>
    <row r="979">
      <c r="A979" s="6"/>
      <c r="B979" s="6"/>
      <c r="C979" s="4"/>
      <c r="D979" s="36">
        <v>0.0</v>
      </c>
      <c r="E979" s="4"/>
      <c r="F979" s="4"/>
      <c r="G979" s="4"/>
      <c r="H979" s="4"/>
      <c r="I979" s="4"/>
      <c r="J979" s="18"/>
      <c r="K979" s="4"/>
      <c r="L979" s="19"/>
      <c r="M979" s="20"/>
    </row>
    <row r="980">
      <c r="A980" s="6"/>
      <c r="B980" s="6"/>
      <c r="C980" s="4"/>
      <c r="D980" s="36">
        <v>0.0</v>
      </c>
      <c r="E980" s="4"/>
      <c r="F980" s="4"/>
      <c r="G980" s="4"/>
      <c r="H980" s="4"/>
      <c r="I980" s="4"/>
      <c r="J980" s="18"/>
      <c r="K980" s="4"/>
      <c r="L980" s="19"/>
      <c r="M980" s="20"/>
    </row>
    <row r="981">
      <c r="A981" s="6"/>
      <c r="B981" s="6"/>
      <c r="C981" s="4"/>
      <c r="D981" s="36">
        <v>0.0</v>
      </c>
      <c r="E981" s="4"/>
      <c r="F981" s="4"/>
      <c r="G981" s="4"/>
      <c r="H981" s="4"/>
      <c r="I981" s="4"/>
      <c r="J981" s="18"/>
      <c r="K981" s="4"/>
      <c r="L981" s="19"/>
      <c r="M981" s="20"/>
    </row>
    <row r="982">
      <c r="A982" s="6"/>
      <c r="B982" s="6"/>
      <c r="C982" s="4"/>
      <c r="D982" s="36">
        <v>0.0</v>
      </c>
      <c r="E982" s="4"/>
      <c r="F982" s="4"/>
      <c r="G982" s="4"/>
      <c r="H982" s="4"/>
      <c r="I982" s="4"/>
      <c r="J982" s="18"/>
      <c r="K982" s="4"/>
      <c r="L982" s="19"/>
      <c r="M982" s="20"/>
    </row>
    <row r="983">
      <c r="A983" s="6"/>
      <c r="B983" s="6"/>
      <c r="C983" s="4"/>
      <c r="D983" s="36">
        <v>0.0</v>
      </c>
      <c r="E983" s="4"/>
      <c r="F983" s="4"/>
      <c r="G983" s="4"/>
      <c r="H983" s="4"/>
      <c r="I983" s="4"/>
      <c r="J983" s="18"/>
      <c r="K983" s="4"/>
      <c r="L983" s="19"/>
      <c r="M983" s="20"/>
    </row>
    <row r="984">
      <c r="A984" s="6"/>
      <c r="B984" s="6"/>
      <c r="C984" s="4"/>
      <c r="D984" s="36">
        <v>0.0</v>
      </c>
      <c r="E984" s="4"/>
      <c r="F984" s="4"/>
      <c r="G984" s="4"/>
      <c r="H984" s="4"/>
      <c r="I984" s="4"/>
      <c r="J984" s="18"/>
      <c r="K984" s="4"/>
      <c r="L984" s="19"/>
      <c r="M984" s="20"/>
    </row>
    <row r="985">
      <c r="A985" s="6"/>
      <c r="B985" s="6"/>
      <c r="C985" s="4"/>
      <c r="D985" s="36">
        <v>0.0</v>
      </c>
      <c r="E985" s="4"/>
      <c r="F985" s="4"/>
      <c r="G985" s="4"/>
      <c r="H985" s="4"/>
      <c r="I985" s="4"/>
      <c r="J985" s="18"/>
      <c r="K985" s="4"/>
      <c r="L985" s="19"/>
      <c r="M985" s="20"/>
    </row>
    <row r="986">
      <c r="A986" s="6"/>
      <c r="B986" s="6"/>
      <c r="C986" s="4"/>
      <c r="D986" s="36">
        <v>0.0</v>
      </c>
      <c r="E986" s="4"/>
      <c r="F986" s="4"/>
      <c r="G986" s="4"/>
      <c r="H986" s="4"/>
      <c r="I986" s="4"/>
      <c r="J986" s="18"/>
      <c r="K986" s="4"/>
      <c r="L986" s="19"/>
      <c r="M986" s="20"/>
    </row>
    <row r="987">
      <c r="A987" s="6"/>
      <c r="B987" s="6"/>
      <c r="C987" s="4"/>
      <c r="D987" s="36">
        <v>0.0</v>
      </c>
      <c r="E987" s="4"/>
      <c r="F987" s="4"/>
      <c r="G987" s="4"/>
      <c r="H987" s="4"/>
      <c r="I987" s="4"/>
      <c r="J987" s="18"/>
      <c r="K987" s="4"/>
      <c r="L987" s="19"/>
      <c r="M987" s="20"/>
    </row>
    <row r="988">
      <c r="A988" s="6"/>
      <c r="B988" s="6"/>
      <c r="C988" s="4"/>
      <c r="D988" s="36">
        <v>0.0</v>
      </c>
      <c r="E988" s="4"/>
      <c r="F988" s="4"/>
      <c r="G988" s="4"/>
      <c r="H988" s="4"/>
      <c r="I988" s="4"/>
      <c r="J988" s="18"/>
      <c r="K988" s="4"/>
      <c r="L988" s="19"/>
      <c r="M988" s="20"/>
    </row>
    <row r="989">
      <c r="A989" s="6"/>
      <c r="B989" s="6"/>
      <c r="C989" s="4"/>
      <c r="D989" s="36">
        <v>0.0</v>
      </c>
      <c r="E989" s="4"/>
      <c r="F989" s="4"/>
      <c r="G989" s="4"/>
      <c r="H989" s="4"/>
      <c r="I989" s="4"/>
      <c r="J989" s="18"/>
      <c r="K989" s="4"/>
      <c r="L989" s="19"/>
      <c r="M989" s="20"/>
    </row>
    <row r="990">
      <c r="A990" s="6"/>
      <c r="B990" s="6"/>
      <c r="C990" s="4"/>
      <c r="D990" s="36">
        <v>0.0</v>
      </c>
      <c r="E990" s="4"/>
      <c r="F990" s="4"/>
      <c r="G990" s="4"/>
      <c r="H990" s="4"/>
      <c r="I990" s="4"/>
      <c r="J990" s="18"/>
      <c r="K990" s="4"/>
      <c r="L990" s="19"/>
      <c r="M990" s="20"/>
    </row>
    <row r="991">
      <c r="A991" s="6"/>
      <c r="B991" s="6"/>
      <c r="C991" s="4"/>
      <c r="D991" s="36">
        <v>0.0</v>
      </c>
      <c r="E991" s="4"/>
      <c r="F991" s="4"/>
      <c r="G991" s="4"/>
      <c r="H991" s="4"/>
      <c r="I991" s="4"/>
      <c r="J991" s="18"/>
      <c r="K991" s="4"/>
      <c r="L991" s="19"/>
      <c r="M991" s="20"/>
    </row>
    <row r="992">
      <c r="A992" s="6"/>
      <c r="B992" s="6"/>
      <c r="C992" s="4"/>
      <c r="D992" s="36">
        <v>0.0</v>
      </c>
      <c r="E992" s="4"/>
      <c r="F992" s="4"/>
      <c r="G992" s="4"/>
      <c r="H992" s="4"/>
      <c r="I992" s="4"/>
      <c r="J992" s="18"/>
      <c r="K992" s="4"/>
      <c r="L992" s="19"/>
      <c r="M992" s="20"/>
    </row>
    <row r="993">
      <c r="A993" s="6"/>
      <c r="B993" s="6"/>
      <c r="C993" s="4"/>
      <c r="D993" s="36">
        <v>0.0</v>
      </c>
      <c r="E993" s="4"/>
      <c r="F993" s="4"/>
      <c r="G993" s="4"/>
      <c r="H993" s="4"/>
      <c r="I993" s="4"/>
      <c r="J993" s="18"/>
      <c r="K993" s="4"/>
      <c r="L993" s="19"/>
      <c r="M993" s="20"/>
    </row>
    <row r="994">
      <c r="A994" s="6"/>
      <c r="B994" s="6"/>
      <c r="C994" s="4"/>
      <c r="D994" s="36">
        <v>0.0</v>
      </c>
      <c r="E994" s="4"/>
      <c r="F994" s="4"/>
      <c r="G994" s="4"/>
      <c r="H994" s="4"/>
      <c r="I994" s="4"/>
      <c r="J994" s="18"/>
      <c r="K994" s="4"/>
      <c r="L994" s="19"/>
      <c r="M994" s="20"/>
    </row>
    <row r="995">
      <c r="A995" s="6"/>
      <c r="B995" s="6"/>
      <c r="C995" s="4"/>
      <c r="D995" s="36">
        <v>0.0</v>
      </c>
      <c r="E995" s="4"/>
      <c r="F995" s="4"/>
      <c r="G995" s="4"/>
      <c r="H995" s="4"/>
      <c r="I995" s="4"/>
      <c r="J995" s="18"/>
      <c r="K995" s="4"/>
      <c r="L995" s="19"/>
      <c r="M995" s="20"/>
    </row>
    <row r="996">
      <c r="A996" s="6"/>
      <c r="B996" s="6"/>
      <c r="C996" s="4"/>
      <c r="D996" s="36">
        <v>0.0</v>
      </c>
      <c r="E996" s="4"/>
      <c r="F996" s="4"/>
      <c r="G996" s="4"/>
      <c r="H996" s="4"/>
      <c r="I996" s="4"/>
      <c r="J996" s="18"/>
      <c r="K996" s="4"/>
      <c r="L996" s="19"/>
      <c r="M996" s="20"/>
    </row>
    <row r="997">
      <c r="A997" s="6"/>
      <c r="B997" s="6"/>
      <c r="C997" s="4"/>
      <c r="D997" s="36">
        <v>0.0</v>
      </c>
      <c r="E997" s="4"/>
      <c r="F997" s="4"/>
      <c r="G997" s="4"/>
      <c r="H997" s="4"/>
      <c r="I997" s="4"/>
      <c r="J997" s="18"/>
      <c r="K997" s="4"/>
      <c r="L997" s="19"/>
      <c r="M997" s="20"/>
    </row>
    <row r="998">
      <c r="A998" s="6"/>
      <c r="B998" s="6"/>
      <c r="C998" s="4"/>
      <c r="D998" s="36">
        <v>0.0</v>
      </c>
      <c r="E998" s="4"/>
      <c r="F998" s="4"/>
      <c r="G998" s="4"/>
      <c r="H998" s="4"/>
      <c r="I998" s="4"/>
      <c r="J998" s="18"/>
      <c r="K998" s="4"/>
      <c r="L998" s="19"/>
      <c r="M998" s="20"/>
    </row>
    <row r="999">
      <c r="A999" s="6"/>
      <c r="B999" s="6"/>
      <c r="C999" s="4"/>
      <c r="D999" s="36">
        <v>0.0</v>
      </c>
      <c r="E999" s="4"/>
      <c r="F999" s="4"/>
      <c r="G999" s="4"/>
      <c r="H999" s="4"/>
      <c r="I999" s="4"/>
      <c r="J999" s="18"/>
      <c r="K999" s="4"/>
      <c r="L999" s="19"/>
      <c r="M999" s="20"/>
    </row>
    <row r="1000">
      <c r="A1000" s="6"/>
      <c r="B1000" s="6"/>
      <c r="C1000" s="4"/>
      <c r="D1000" s="36">
        <v>0.0</v>
      </c>
      <c r="E1000" s="4"/>
      <c r="F1000" s="4"/>
      <c r="G1000" s="4"/>
      <c r="H1000" s="4"/>
      <c r="I1000" s="4"/>
      <c r="J1000" s="18"/>
      <c r="K1000" s="4"/>
      <c r="L1000" s="19"/>
      <c r="M1000" s="20"/>
    </row>
    <row r="1001">
      <c r="A1001" s="6"/>
      <c r="B1001" s="6"/>
      <c r="C1001" s="2"/>
      <c r="D1001" s="36" t="s">
        <v>3</v>
      </c>
      <c r="E1001" s="38" t="s">
        <v>1</v>
      </c>
      <c r="F1001" s="4"/>
      <c r="G1001" s="4"/>
      <c r="H1001" s="4"/>
      <c r="I1001" s="4"/>
      <c r="J1001" s="18"/>
      <c r="K1001" s="4"/>
      <c r="L1001" s="19"/>
      <c r="M1001" s="20"/>
    </row>
    <row r="1002">
      <c r="A1002" s="6"/>
      <c r="B1002" s="6"/>
      <c r="C1002" s="4"/>
      <c r="D1002" s="36">
        <v>224.000554</v>
      </c>
      <c r="E1002" s="4" t="s">
        <v>1218</v>
      </c>
      <c r="F1002" s="4"/>
      <c r="G1002" s="4"/>
      <c r="H1002" s="4"/>
      <c r="I1002" s="4"/>
      <c r="J1002" s="18"/>
      <c r="K1002" s="4"/>
      <c r="L1002" s="19"/>
      <c r="M1002" s="20"/>
    </row>
    <row r="1003">
      <c r="A1003" s="6"/>
      <c r="B1003" s="6"/>
      <c r="C1003" s="4"/>
      <c r="D1003" s="36">
        <v>22.400055</v>
      </c>
      <c r="E1003" s="4" t="s">
        <v>3190</v>
      </c>
      <c r="F1003" s="4"/>
      <c r="G1003" s="4"/>
      <c r="H1003" s="4"/>
      <c r="I1003" s="4"/>
      <c r="J1003" s="18"/>
      <c r="K1003" s="4"/>
      <c r="L1003" s="19"/>
      <c r="M1003" s="20"/>
    </row>
    <row r="1004">
      <c r="A1004" s="6"/>
      <c r="B1004" s="6"/>
      <c r="C1004" s="4"/>
      <c r="D1004" s="36">
        <v>224.000554</v>
      </c>
      <c r="E1004" s="4" t="s">
        <v>8952</v>
      </c>
      <c r="F1004" s="4"/>
      <c r="G1004" s="4"/>
      <c r="H1004" s="4"/>
      <c r="I1004" s="4"/>
      <c r="J1004" s="18"/>
      <c r="K1004" s="4"/>
      <c r="L1004" s="19"/>
      <c r="M1004" s="20"/>
    </row>
    <row r="1005">
      <c r="A1005" s="6"/>
      <c r="B1005" s="6"/>
      <c r="C1005" s="4"/>
      <c r="D1005" s="36">
        <v>45.457118</v>
      </c>
      <c r="E1005" s="4" t="s">
        <v>6587</v>
      </c>
      <c r="F1005" s="4"/>
      <c r="G1005" s="4"/>
      <c r="H1005" s="4"/>
      <c r="I1005" s="4"/>
      <c r="J1005" s="18"/>
      <c r="K1005" s="4"/>
      <c r="L1005" s="19"/>
      <c r="M1005" s="20"/>
    </row>
    <row r="1006">
      <c r="A1006" s="6"/>
      <c r="B1006" s="6"/>
      <c r="C1006" s="4"/>
      <c r="D1006" s="36">
        <v>224.000554</v>
      </c>
      <c r="E1006" s="4" t="s">
        <v>1091</v>
      </c>
      <c r="F1006" s="4"/>
      <c r="G1006" s="4"/>
      <c r="H1006" s="4"/>
      <c r="I1006" s="4"/>
      <c r="J1006" s="18"/>
      <c r="K1006" s="4"/>
      <c r="L1006" s="19"/>
      <c r="M1006" s="20"/>
    </row>
    <row r="1007">
      <c r="A1007" s="6"/>
      <c r="B1007" s="6"/>
      <c r="C1007" s="4"/>
      <c r="D1007" s="36">
        <v>38.981056</v>
      </c>
      <c r="E1007" s="4" t="s">
        <v>8953</v>
      </c>
      <c r="F1007" s="4"/>
      <c r="G1007" s="4"/>
      <c r="H1007" s="4"/>
      <c r="I1007" s="4"/>
      <c r="J1007" s="18"/>
      <c r="K1007" s="4"/>
      <c r="L1007" s="19"/>
      <c r="M1007" s="20"/>
    </row>
    <row r="1008">
      <c r="A1008" s="6"/>
      <c r="B1008" s="6"/>
      <c r="C1008" s="4"/>
      <c r="D1008" s="36">
        <v>116.139411</v>
      </c>
      <c r="E1008" s="4" t="s">
        <v>2112</v>
      </c>
      <c r="F1008" s="4"/>
      <c r="G1008" s="4"/>
      <c r="H1008" s="4"/>
      <c r="I1008" s="4"/>
      <c r="J1008" s="18"/>
      <c r="K1008" s="4"/>
      <c r="L1008" s="19"/>
      <c r="M1008" s="20"/>
    </row>
    <row r="1009">
      <c r="A1009" s="6"/>
      <c r="B1009" s="6"/>
      <c r="C1009" s="4"/>
      <c r="D1009" s="36">
        <v>119.085493</v>
      </c>
      <c r="E1009" s="4" t="s">
        <v>8643</v>
      </c>
      <c r="F1009" s="4"/>
      <c r="G1009" s="4"/>
      <c r="H1009" s="4"/>
      <c r="I1009" s="4"/>
      <c r="J1009" s="18"/>
      <c r="K1009" s="4"/>
      <c r="L1009" s="19"/>
      <c r="M1009" s="20"/>
    </row>
    <row r="1010">
      <c r="A1010" s="6"/>
      <c r="B1010" s="6"/>
      <c r="C1010" s="4"/>
      <c r="D1010" s="36">
        <v>68.699196</v>
      </c>
      <c r="E1010" s="4" t="s">
        <v>6764</v>
      </c>
      <c r="F1010" s="4"/>
      <c r="G1010" s="4"/>
      <c r="H1010" s="4"/>
      <c r="I1010" s="4"/>
      <c r="J1010" s="18"/>
      <c r="K1010" s="4"/>
      <c r="L1010" s="19"/>
      <c r="M1010" s="20"/>
    </row>
    <row r="1011">
      <c r="A1011" s="6"/>
      <c r="B1011" s="6"/>
      <c r="C1011" s="4"/>
      <c r="D1011" s="36">
        <v>224.000554</v>
      </c>
      <c r="E1011" s="4" t="s">
        <v>8954</v>
      </c>
      <c r="F1011" s="4"/>
      <c r="G1011" s="4"/>
      <c r="H1011" s="4"/>
      <c r="I1011" s="4"/>
      <c r="J1011" s="18"/>
      <c r="K1011" s="4"/>
      <c r="L1011" s="19"/>
      <c r="M1011" s="20"/>
    </row>
    <row r="1012">
      <c r="A1012" s="6"/>
      <c r="B1012" s="6"/>
      <c r="C1012" s="4"/>
      <c r="D1012" s="36">
        <v>172.929876</v>
      </c>
      <c r="E1012" s="4" t="s">
        <v>8955</v>
      </c>
      <c r="F1012" s="4"/>
      <c r="G1012" s="4"/>
      <c r="H1012" s="4"/>
      <c r="I1012" s="4"/>
      <c r="J1012" s="18"/>
      <c r="K1012" s="4"/>
      <c r="L1012" s="19"/>
      <c r="M1012" s="20"/>
    </row>
    <row r="1013">
      <c r="A1013" s="6"/>
      <c r="B1013" s="6"/>
      <c r="C1013" s="4"/>
      <c r="D1013" s="36">
        <v>224.000554</v>
      </c>
      <c r="E1013" s="4" t="s">
        <v>8956</v>
      </c>
      <c r="F1013" s="4"/>
      <c r="G1013" s="4"/>
      <c r="H1013" s="4"/>
      <c r="I1013" s="4"/>
      <c r="J1013" s="18"/>
      <c r="K1013" s="4"/>
      <c r="L1013" s="19"/>
      <c r="M1013" s="20"/>
    </row>
    <row r="1014">
      <c r="A1014" s="6"/>
      <c r="B1014" s="6"/>
      <c r="C1014" s="4"/>
      <c r="D1014" s="36">
        <v>41.794396</v>
      </c>
      <c r="E1014" s="4" t="s">
        <v>6175</v>
      </c>
      <c r="F1014" s="4"/>
      <c r="G1014" s="4"/>
      <c r="H1014" s="4"/>
      <c r="I1014" s="4"/>
      <c r="J1014" s="18"/>
      <c r="K1014" s="4"/>
      <c r="L1014" s="19"/>
      <c r="M1014" s="20"/>
    </row>
    <row r="1015">
      <c r="A1015" s="6"/>
      <c r="B1015" s="6"/>
      <c r="C1015" s="4"/>
      <c r="D1015" s="36">
        <v>224.000554</v>
      </c>
      <c r="E1015" s="4" t="s">
        <v>7610</v>
      </c>
      <c r="F1015" s="4"/>
      <c r="G1015" s="4"/>
      <c r="H1015" s="4"/>
      <c r="I1015" s="4"/>
      <c r="J1015" s="18"/>
      <c r="K1015" s="4"/>
      <c r="L1015" s="19"/>
      <c r="M1015" s="20"/>
    </row>
    <row r="1016">
      <c r="A1016" s="6"/>
      <c r="B1016" s="6"/>
      <c r="C1016" s="4"/>
      <c r="D1016" s="36">
        <v>54.752166</v>
      </c>
      <c r="E1016" s="4" t="s">
        <v>699</v>
      </c>
      <c r="F1016" s="4"/>
      <c r="G1016" s="4"/>
      <c r="H1016" s="4"/>
      <c r="I1016" s="4"/>
      <c r="J1016" s="18"/>
      <c r="K1016" s="4"/>
      <c r="L1016" s="19"/>
      <c r="M1016" s="20"/>
    </row>
    <row r="1017">
      <c r="A1017" s="6"/>
      <c r="B1017" s="6"/>
      <c r="C1017" s="4"/>
      <c r="D1017" s="36">
        <v>224.000554</v>
      </c>
      <c r="E1017" s="4" t="s">
        <v>8957</v>
      </c>
      <c r="F1017" s="4"/>
      <c r="G1017" s="4"/>
      <c r="H1017" s="4"/>
      <c r="I1017" s="4"/>
      <c r="J1017" s="18"/>
      <c r="K1017" s="4"/>
      <c r="L1017" s="19"/>
      <c r="M1017" s="20"/>
    </row>
    <row r="1018">
      <c r="A1018" s="6"/>
      <c r="B1018" s="6"/>
      <c r="C1018" s="4"/>
      <c r="D1018" s="36">
        <v>115.079091</v>
      </c>
      <c r="E1018" s="4" t="s">
        <v>5565</v>
      </c>
      <c r="F1018" s="4"/>
      <c r="G1018" s="4"/>
      <c r="H1018" s="4"/>
      <c r="I1018" s="4"/>
      <c r="J1018" s="18"/>
      <c r="K1018" s="4"/>
      <c r="L1018" s="19"/>
      <c r="M1018" s="20"/>
    </row>
    <row r="1019">
      <c r="A1019" s="6"/>
      <c r="B1019" s="6"/>
      <c r="C1019" s="4"/>
      <c r="D1019" s="36">
        <v>224.000554</v>
      </c>
      <c r="E1019" s="4" t="s">
        <v>8591</v>
      </c>
      <c r="F1019" s="4"/>
      <c r="G1019" s="4"/>
      <c r="H1019" s="4"/>
      <c r="I1019" s="4"/>
      <c r="J1019" s="18"/>
      <c r="K1019" s="4"/>
      <c r="L1019" s="19"/>
      <c r="M1019" s="20"/>
    </row>
    <row r="1020">
      <c r="A1020" s="6"/>
      <c r="B1020" s="6"/>
      <c r="C1020" s="4"/>
      <c r="D1020" s="36">
        <v>224.000554</v>
      </c>
      <c r="E1020" s="4" t="s">
        <v>817</v>
      </c>
      <c r="F1020" s="4"/>
      <c r="G1020" s="4"/>
      <c r="H1020" s="4"/>
      <c r="I1020" s="4"/>
      <c r="J1020" s="18"/>
      <c r="K1020" s="4"/>
      <c r="L1020" s="19"/>
      <c r="M1020" s="20"/>
    </row>
    <row r="1021">
      <c r="A1021" s="6"/>
      <c r="B1021" s="6"/>
      <c r="C1021" s="4"/>
      <c r="D1021" s="36">
        <v>45.77125</v>
      </c>
      <c r="E1021" s="4" t="s">
        <v>2914</v>
      </c>
      <c r="F1021" s="4"/>
      <c r="G1021" s="4"/>
      <c r="H1021" s="4"/>
      <c r="I1021" s="4"/>
      <c r="J1021" s="18"/>
      <c r="K1021" s="4"/>
      <c r="L1021" s="19"/>
      <c r="M1021" s="20"/>
    </row>
    <row r="1022">
      <c r="A1022" s="6"/>
      <c r="B1022" s="6"/>
      <c r="C1022" s="4"/>
      <c r="D1022" s="36">
        <v>21.63113</v>
      </c>
      <c r="E1022" s="4" t="s">
        <v>8600</v>
      </c>
      <c r="F1022" s="4"/>
      <c r="G1022" s="4"/>
      <c r="H1022" s="4"/>
      <c r="I1022" s="4"/>
      <c r="J1022" s="18"/>
      <c r="K1022" s="4"/>
      <c r="L1022" s="19"/>
      <c r="M1022" s="20"/>
    </row>
    <row r="1023">
      <c r="A1023" s="6"/>
      <c r="B1023" s="6"/>
      <c r="C1023" s="4"/>
      <c r="D1023" s="36">
        <v>83.70905</v>
      </c>
      <c r="E1023" s="4" t="s">
        <v>390</v>
      </c>
      <c r="F1023" s="4"/>
      <c r="G1023" s="4"/>
      <c r="H1023" s="4"/>
      <c r="I1023" s="4"/>
      <c r="J1023" s="18"/>
      <c r="K1023" s="4"/>
      <c r="L1023" s="19"/>
      <c r="M1023" s="20"/>
    </row>
    <row r="1024">
      <c r="A1024" s="6"/>
      <c r="B1024" s="6"/>
      <c r="C1024" s="4"/>
      <c r="D1024" s="36">
        <v>77.742162</v>
      </c>
      <c r="E1024" s="4" t="s">
        <v>1240</v>
      </c>
      <c r="F1024" s="4"/>
      <c r="G1024" s="4"/>
      <c r="H1024" s="4"/>
      <c r="I1024" s="4"/>
      <c r="J1024" s="18"/>
      <c r="K1024" s="4"/>
      <c r="L1024" s="19"/>
      <c r="M1024" s="20"/>
    </row>
    <row r="1025">
      <c r="A1025" s="6"/>
      <c r="B1025" s="6"/>
      <c r="C1025" s="4"/>
      <c r="D1025" s="36">
        <v>224.000554</v>
      </c>
      <c r="E1025" s="4" t="s">
        <v>373</v>
      </c>
      <c r="F1025" s="4"/>
      <c r="G1025" s="4"/>
      <c r="H1025" s="4"/>
      <c r="I1025" s="4"/>
      <c r="J1025" s="18"/>
      <c r="K1025" s="4"/>
      <c r="L1025" s="19"/>
      <c r="M1025" s="20"/>
    </row>
    <row r="1026">
      <c r="A1026" s="6"/>
      <c r="B1026" s="6"/>
      <c r="C1026" s="4"/>
      <c r="D1026" s="36">
        <v>216.525408</v>
      </c>
      <c r="E1026" s="4" t="s">
        <v>8958</v>
      </c>
      <c r="F1026" s="4"/>
      <c r="G1026" s="4"/>
      <c r="H1026" s="4"/>
      <c r="I1026" s="4"/>
      <c r="J1026" s="18"/>
      <c r="K1026" s="4"/>
      <c r="L1026" s="19"/>
      <c r="M1026" s="20"/>
    </row>
    <row r="1027">
      <c r="A1027" s="6"/>
      <c r="B1027" s="6"/>
      <c r="C1027" s="4"/>
      <c r="D1027" s="36">
        <v>170.900389</v>
      </c>
      <c r="E1027" s="4" t="s">
        <v>8959</v>
      </c>
      <c r="F1027" s="4"/>
      <c r="G1027" s="4"/>
      <c r="H1027" s="4"/>
      <c r="I1027" s="4"/>
      <c r="J1027" s="18"/>
      <c r="K1027" s="4"/>
      <c r="L1027" s="19"/>
      <c r="M1027" s="20"/>
    </row>
    <row r="1028">
      <c r="A1028" s="6"/>
      <c r="B1028" s="6"/>
      <c r="C1028" s="4"/>
      <c r="D1028" s="36">
        <v>224.000554</v>
      </c>
      <c r="E1028" s="4" t="s">
        <v>1739</v>
      </c>
      <c r="F1028" s="4"/>
      <c r="G1028" s="4"/>
      <c r="H1028" s="4"/>
      <c r="I1028" s="4"/>
      <c r="J1028" s="18"/>
      <c r="K1028" s="4"/>
      <c r="L1028" s="19"/>
      <c r="M1028" s="20"/>
    </row>
    <row r="1029">
      <c r="A1029" s="6"/>
      <c r="B1029" s="6"/>
      <c r="C1029" s="4"/>
      <c r="D1029" s="36">
        <v>224.000554</v>
      </c>
      <c r="E1029" s="4" t="s">
        <v>2225</v>
      </c>
      <c r="F1029" s="4"/>
      <c r="G1029" s="4"/>
      <c r="H1029" s="4"/>
      <c r="I1029" s="4"/>
      <c r="J1029" s="18"/>
      <c r="K1029" s="4"/>
      <c r="L1029" s="19"/>
      <c r="M1029" s="20"/>
    </row>
    <row r="1030">
      <c r="A1030" s="6"/>
      <c r="B1030" s="6"/>
      <c r="C1030" s="4"/>
      <c r="D1030" s="36">
        <v>224.000554</v>
      </c>
      <c r="E1030" s="4" t="s">
        <v>8521</v>
      </c>
      <c r="F1030" s="4"/>
      <c r="G1030" s="4"/>
      <c r="H1030" s="4"/>
      <c r="I1030" s="4"/>
      <c r="J1030" s="18"/>
      <c r="K1030" s="4"/>
      <c r="L1030" s="19"/>
      <c r="M1030" s="20"/>
    </row>
    <row r="1031">
      <c r="A1031" s="6"/>
      <c r="B1031" s="6"/>
      <c r="C1031" s="4"/>
      <c r="D1031" s="36">
        <v>56.000138</v>
      </c>
      <c r="E1031" s="4" t="s">
        <v>6088</v>
      </c>
      <c r="F1031" s="4"/>
      <c r="G1031" s="4"/>
      <c r="H1031" s="4"/>
      <c r="I1031" s="4"/>
      <c r="J1031" s="18"/>
      <c r="K1031" s="4"/>
      <c r="L1031" s="19"/>
      <c r="M1031" s="20"/>
    </row>
    <row r="1032">
      <c r="A1032" s="6"/>
      <c r="B1032" s="6"/>
      <c r="C1032" s="4"/>
      <c r="D1032" s="36">
        <v>167.788955</v>
      </c>
      <c r="E1032" s="4" t="s">
        <v>8960</v>
      </c>
      <c r="F1032" s="4"/>
      <c r="G1032" s="4"/>
      <c r="H1032" s="4"/>
      <c r="I1032" s="4"/>
      <c r="J1032" s="18"/>
      <c r="K1032" s="4"/>
      <c r="L1032" s="19"/>
      <c r="M1032" s="20"/>
    </row>
    <row r="1033">
      <c r="A1033" s="6"/>
      <c r="B1033" s="6"/>
      <c r="C1033" s="4"/>
      <c r="D1033" s="36">
        <v>201.366418</v>
      </c>
      <c r="E1033" s="4" t="s">
        <v>8961</v>
      </c>
      <c r="F1033" s="4"/>
      <c r="G1033" s="4"/>
      <c r="H1033" s="4"/>
      <c r="I1033" s="4"/>
      <c r="J1033" s="18"/>
      <c r="K1033" s="4"/>
      <c r="L1033" s="19"/>
      <c r="M1033" s="20"/>
    </row>
    <row r="1034">
      <c r="A1034" s="6"/>
      <c r="B1034" s="6"/>
      <c r="C1034" s="4"/>
      <c r="D1034" s="36">
        <v>200.630974</v>
      </c>
      <c r="E1034" s="4" t="s">
        <v>8962</v>
      </c>
      <c r="F1034" s="4"/>
      <c r="G1034" s="4"/>
      <c r="H1034" s="4"/>
      <c r="I1034" s="4"/>
      <c r="J1034" s="18"/>
      <c r="K1034" s="4"/>
      <c r="L1034" s="19"/>
      <c r="M1034" s="20"/>
    </row>
    <row r="1035">
      <c r="A1035" s="6"/>
      <c r="B1035" s="6"/>
      <c r="C1035" s="4"/>
      <c r="D1035" s="36">
        <v>167.664414</v>
      </c>
      <c r="E1035" s="4" t="s">
        <v>8874</v>
      </c>
      <c r="F1035" s="4"/>
      <c r="G1035" s="4"/>
      <c r="H1035" s="4"/>
      <c r="I1035" s="4"/>
      <c r="J1035" s="18"/>
      <c r="K1035" s="4"/>
      <c r="L1035" s="19"/>
      <c r="M1035" s="20"/>
    </row>
    <row r="1036">
      <c r="A1036" s="6"/>
      <c r="B1036" s="6"/>
      <c r="C1036" s="4"/>
      <c r="D1036" s="36">
        <v>82.879176</v>
      </c>
      <c r="E1036" s="4" t="s">
        <v>8963</v>
      </c>
      <c r="F1036" s="4"/>
      <c r="G1036" s="4"/>
      <c r="H1036" s="4"/>
      <c r="I1036" s="4"/>
      <c r="J1036" s="18"/>
      <c r="K1036" s="4"/>
      <c r="L1036" s="19"/>
      <c r="M1036" s="20"/>
    </row>
    <row r="1037">
      <c r="A1037" s="6"/>
      <c r="B1037" s="6"/>
      <c r="C1037" s="4"/>
      <c r="D1037" s="36">
        <v>68.506963</v>
      </c>
      <c r="E1037" s="4" t="s">
        <v>8964</v>
      </c>
      <c r="F1037" s="4"/>
      <c r="G1037" s="4"/>
      <c r="H1037" s="4"/>
      <c r="I1037" s="4"/>
      <c r="J1037" s="18"/>
      <c r="K1037" s="4"/>
      <c r="L1037" s="19"/>
      <c r="M1037" s="20"/>
    </row>
    <row r="1038">
      <c r="A1038" s="6"/>
      <c r="B1038" s="6"/>
      <c r="C1038" s="4"/>
      <c r="D1038" s="36">
        <v>224.000554</v>
      </c>
      <c r="E1038" s="4" t="s">
        <v>4202</v>
      </c>
      <c r="F1038" s="4"/>
      <c r="G1038" s="4"/>
      <c r="H1038" s="4"/>
      <c r="I1038" s="4"/>
      <c r="J1038" s="18"/>
      <c r="K1038" s="4"/>
      <c r="L1038" s="19"/>
      <c r="M1038" s="20"/>
    </row>
    <row r="1039">
      <c r="A1039" s="6"/>
      <c r="B1039" s="6"/>
      <c r="C1039" s="4"/>
      <c r="D1039" s="36">
        <v>112.404531</v>
      </c>
      <c r="E1039" s="4" t="s">
        <v>3843</v>
      </c>
      <c r="F1039" s="4"/>
      <c r="G1039" s="4"/>
      <c r="H1039" s="4"/>
      <c r="I1039" s="4"/>
      <c r="J1039" s="18"/>
      <c r="K1039" s="4"/>
      <c r="L1039" s="19"/>
      <c r="M1039" s="20"/>
    </row>
    <row r="1040">
      <c r="A1040" s="6"/>
      <c r="B1040" s="6"/>
      <c r="C1040" s="4"/>
      <c r="D1040" s="36">
        <v>224.000554</v>
      </c>
      <c r="E1040" s="4" t="s">
        <v>501</v>
      </c>
      <c r="F1040" s="4"/>
      <c r="G1040" s="4"/>
      <c r="H1040" s="4"/>
      <c r="I1040" s="4"/>
      <c r="J1040" s="18"/>
      <c r="K1040" s="4"/>
      <c r="L1040" s="19"/>
      <c r="M1040" s="20"/>
    </row>
    <row r="1041">
      <c r="A1041" s="6"/>
      <c r="B1041" s="6"/>
      <c r="C1041" s="4"/>
      <c r="D1041" s="36">
        <v>38.785412</v>
      </c>
      <c r="E1041" s="4" t="s">
        <v>8965</v>
      </c>
      <c r="F1041" s="4"/>
      <c r="G1041" s="4"/>
      <c r="H1041" s="4"/>
      <c r="I1041" s="4"/>
      <c r="J1041" s="18"/>
      <c r="K1041" s="4"/>
      <c r="L1041" s="19"/>
      <c r="M1041" s="20"/>
    </row>
    <row r="1042">
      <c r="A1042" s="6"/>
      <c r="B1042" s="6"/>
      <c r="C1042" s="4"/>
      <c r="D1042" s="36">
        <v>224.000554</v>
      </c>
      <c r="E1042" s="4" t="s">
        <v>8966</v>
      </c>
      <c r="F1042" s="4"/>
      <c r="G1042" s="4"/>
      <c r="H1042" s="4"/>
      <c r="I1042" s="4"/>
      <c r="J1042" s="18"/>
      <c r="K1042" s="4"/>
      <c r="L1042" s="19"/>
      <c r="M1042" s="20"/>
    </row>
    <row r="1043">
      <c r="A1043" s="6"/>
      <c r="B1043" s="6"/>
      <c r="C1043" s="4"/>
      <c r="D1043" s="36">
        <v>224.000554</v>
      </c>
      <c r="E1043" s="4" t="s">
        <v>6981</v>
      </c>
      <c r="F1043" s="4"/>
      <c r="G1043" s="4"/>
      <c r="H1043" s="4"/>
      <c r="I1043" s="4"/>
      <c r="J1043" s="18"/>
      <c r="K1043" s="4"/>
      <c r="L1043" s="19"/>
      <c r="M1043" s="20"/>
    </row>
    <row r="1044">
      <c r="A1044" s="6"/>
      <c r="B1044" s="6"/>
      <c r="C1044" s="4"/>
      <c r="D1044" s="36">
        <v>180.827681</v>
      </c>
      <c r="E1044" s="4" t="s">
        <v>1631</v>
      </c>
      <c r="F1044" s="4"/>
      <c r="G1044" s="4"/>
      <c r="H1044" s="4"/>
      <c r="I1044" s="4"/>
      <c r="J1044" s="18"/>
      <c r="K1044" s="4"/>
      <c r="L1044" s="19"/>
      <c r="M1044" s="20"/>
    </row>
    <row r="1045">
      <c r="A1045" s="6"/>
      <c r="B1045" s="6"/>
      <c r="C1045" s="4"/>
      <c r="D1045" s="36">
        <v>177.200227</v>
      </c>
      <c r="E1045" s="4" t="s">
        <v>1189</v>
      </c>
      <c r="F1045" s="4"/>
      <c r="G1045" s="4"/>
      <c r="H1045" s="4"/>
      <c r="I1045" s="4"/>
      <c r="J1045" s="18"/>
      <c r="K1045" s="4"/>
      <c r="L1045" s="19"/>
      <c r="M1045" s="20"/>
    </row>
    <row r="1046">
      <c r="A1046" s="6"/>
      <c r="B1046" s="6"/>
      <c r="C1046" s="4"/>
      <c r="D1046" s="36">
        <v>224.000554</v>
      </c>
      <c r="E1046" s="4" t="s">
        <v>6325</v>
      </c>
      <c r="F1046" s="4"/>
      <c r="G1046" s="4"/>
      <c r="H1046" s="4"/>
      <c r="I1046" s="4"/>
      <c r="J1046" s="18"/>
      <c r="K1046" s="4"/>
      <c r="L1046" s="19"/>
      <c r="M1046" s="20"/>
    </row>
    <row r="1047">
      <c r="A1047" s="6"/>
      <c r="B1047" s="6"/>
      <c r="C1047" s="4"/>
      <c r="D1047" s="36">
        <v>169.33613</v>
      </c>
      <c r="E1047" s="4" t="s">
        <v>346</v>
      </c>
      <c r="F1047" s="4"/>
      <c r="G1047" s="4"/>
      <c r="H1047" s="4"/>
      <c r="I1047" s="4"/>
      <c r="J1047" s="18"/>
      <c r="K1047" s="4"/>
      <c r="L1047" s="19"/>
      <c r="M1047" s="20"/>
    </row>
    <row r="1048">
      <c r="A1048" s="6"/>
      <c r="B1048" s="6"/>
      <c r="C1048" s="4"/>
      <c r="D1048" s="36">
        <v>112.017661</v>
      </c>
      <c r="E1048" s="4" t="s">
        <v>8670</v>
      </c>
      <c r="F1048" s="4"/>
      <c r="G1048" s="4"/>
      <c r="H1048" s="4"/>
      <c r="I1048" s="4"/>
      <c r="J1048" s="18"/>
      <c r="K1048" s="4"/>
      <c r="L1048" s="19"/>
      <c r="M1048" s="20"/>
    </row>
    <row r="1049">
      <c r="A1049" s="6"/>
      <c r="B1049" s="6"/>
      <c r="C1049" s="4"/>
      <c r="D1049" s="36">
        <v>134.400332</v>
      </c>
      <c r="E1049" s="4" t="s">
        <v>5752</v>
      </c>
      <c r="F1049" s="4"/>
      <c r="G1049" s="4"/>
      <c r="H1049" s="4"/>
      <c r="I1049" s="4"/>
      <c r="J1049" s="18"/>
      <c r="K1049" s="4"/>
      <c r="L1049" s="19"/>
      <c r="M1049" s="20"/>
    </row>
    <row r="1050">
      <c r="A1050" s="6"/>
      <c r="B1050" s="6"/>
      <c r="C1050" s="4"/>
      <c r="D1050" s="36">
        <v>213.063305</v>
      </c>
      <c r="E1050" s="4" t="s">
        <v>8967</v>
      </c>
      <c r="F1050" s="4"/>
      <c r="G1050" s="4"/>
      <c r="H1050" s="4"/>
      <c r="I1050" s="4"/>
      <c r="J1050" s="18"/>
      <c r="K1050" s="4"/>
      <c r="L1050" s="19"/>
      <c r="M1050" s="20"/>
    </row>
    <row r="1051">
      <c r="A1051" s="6"/>
      <c r="B1051" s="6"/>
      <c r="C1051" s="4"/>
      <c r="D1051" s="36">
        <v>134.436021</v>
      </c>
      <c r="E1051" s="4" t="s">
        <v>3338</v>
      </c>
      <c r="F1051" s="4"/>
      <c r="G1051" s="4"/>
      <c r="H1051" s="4"/>
      <c r="I1051" s="4"/>
      <c r="J1051" s="18"/>
      <c r="K1051" s="4"/>
      <c r="L1051" s="19"/>
      <c r="M1051" s="20"/>
    </row>
    <row r="1052">
      <c r="A1052" s="6"/>
      <c r="B1052" s="6"/>
      <c r="C1052" s="4"/>
      <c r="D1052" s="36">
        <v>224.000554</v>
      </c>
      <c r="E1052" s="4" t="s">
        <v>8968</v>
      </c>
      <c r="F1052" s="4"/>
      <c r="G1052" s="4"/>
      <c r="H1052" s="4"/>
      <c r="I1052" s="4"/>
      <c r="J1052" s="18"/>
      <c r="K1052" s="4"/>
      <c r="L1052" s="19"/>
      <c r="M1052" s="20"/>
    </row>
    <row r="1053">
      <c r="A1053" s="6"/>
      <c r="B1053" s="6"/>
      <c r="C1053" s="4"/>
      <c r="D1053" s="36">
        <v>224.000554</v>
      </c>
      <c r="E1053" s="4" t="s">
        <v>8969</v>
      </c>
      <c r="F1053" s="4"/>
      <c r="G1053" s="4"/>
      <c r="H1053" s="4"/>
      <c r="I1053" s="4"/>
      <c r="J1053" s="18"/>
      <c r="K1053" s="4"/>
      <c r="L1053" s="19"/>
      <c r="M1053" s="20"/>
    </row>
    <row r="1054">
      <c r="A1054" s="6"/>
      <c r="B1054" s="6"/>
      <c r="C1054" s="4"/>
      <c r="D1054" s="36">
        <v>224.000554</v>
      </c>
      <c r="E1054" s="4" t="s">
        <v>8970</v>
      </c>
      <c r="F1054" s="4"/>
      <c r="G1054" s="4"/>
      <c r="H1054" s="4"/>
      <c r="I1054" s="4"/>
      <c r="J1054" s="18"/>
      <c r="K1054" s="4"/>
      <c r="L1054" s="19"/>
      <c r="M1054" s="20"/>
    </row>
    <row r="1055">
      <c r="A1055" s="6"/>
      <c r="B1055" s="6"/>
      <c r="C1055" s="4"/>
      <c r="D1055" s="36">
        <v>163.479754</v>
      </c>
      <c r="E1055" s="4" t="s">
        <v>8971</v>
      </c>
      <c r="F1055" s="4"/>
      <c r="G1055" s="4"/>
      <c r="H1055" s="4"/>
      <c r="I1055" s="4"/>
      <c r="J1055" s="18"/>
      <c r="K1055" s="4"/>
      <c r="L1055" s="19"/>
      <c r="M1055" s="20"/>
    </row>
    <row r="1056">
      <c r="A1056" s="6"/>
      <c r="B1056" s="6"/>
      <c r="C1056" s="4"/>
      <c r="D1056" s="36">
        <v>194.208849</v>
      </c>
      <c r="E1056" s="4" t="s">
        <v>8606</v>
      </c>
      <c r="F1056" s="4"/>
      <c r="G1056" s="4"/>
      <c r="H1056" s="4"/>
      <c r="I1056" s="4"/>
      <c r="J1056" s="18"/>
      <c r="K1056" s="4"/>
      <c r="L1056" s="19"/>
      <c r="M1056" s="20"/>
    </row>
    <row r="1057">
      <c r="A1057" s="6"/>
      <c r="B1057" s="6"/>
      <c r="C1057" s="4"/>
      <c r="D1057" s="36">
        <v>224.000554</v>
      </c>
      <c r="E1057" s="4" t="s">
        <v>1656</v>
      </c>
      <c r="F1057" s="4"/>
      <c r="G1057" s="4"/>
      <c r="H1057" s="4"/>
      <c r="I1057" s="4"/>
      <c r="J1057" s="18"/>
      <c r="K1057" s="4"/>
      <c r="L1057" s="19"/>
      <c r="M1057" s="20"/>
    </row>
    <row r="1058">
      <c r="A1058" s="6"/>
      <c r="B1058" s="6"/>
      <c r="C1058" s="4"/>
      <c r="D1058" s="36">
        <v>112.235927</v>
      </c>
      <c r="E1058" s="4" t="s">
        <v>1514</v>
      </c>
      <c r="F1058" s="4"/>
      <c r="G1058" s="4"/>
      <c r="H1058" s="4"/>
      <c r="I1058" s="4"/>
      <c r="J1058" s="18"/>
      <c r="K1058" s="4"/>
      <c r="L1058" s="19"/>
      <c r="M1058" s="20"/>
    </row>
    <row r="1059">
      <c r="A1059" s="6"/>
      <c r="B1059" s="6"/>
      <c r="C1059" s="4"/>
      <c r="D1059" s="36">
        <v>133.273049</v>
      </c>
      <c r="E1059" s="4" t="s">
        <v>8511</v>
      </c>
      <c r="F1059" s="4"/>
      <c r="G1059" s="4"/>
      <c r="H1059" s="4"/>
      <c r="I1059" s="4"/>
      <c r="J1059" s="18"/>
      <c r="K1059" s="4"/>
      <c r="L1059" s="19"/>
      <c r="M1059" s="20"/>
    </row>
    <row r="1060">
      <c r="A1060" s="6"/>
      <c r="B1060" s="6"/>
      <c r="C1060" s="4"/>
      <c r="D1060" s="36">
        <v>224.000554</v>
      </c>
      <c r="E1060" s="4" t="s">
        <v>784</v>
      </c>
      <c r="F1060" s="4"/>
      <c r="G1060" s="4"/>
      <c r="H1060" s="4"/>
      <c r="I1060" s="4"/>
      <c r="J1060" s="18"/>
      <c r="K1060" s="4"/>
      <c r="L1060" s="19"/>
      <c r="M1060" s="20"/>
    </row>
    <row r="1061">
      <c r="A1061" s="6"/>
      <c r="B1061" s="6"/>
      <c r="C1061" s="4"/>
      <c r="D1061" s="36">
        <v>34.065935</v>
      </c>
      <c r="E1061" s="4" t="s">
        <v>8972</v>
      </c>
      <c r="F1061" s="4"/>
      <c r="G1061" s="4"/>
      <c r="H1061" s="4"/>
      <c r="I1061" s="4"/>
      <c r="J1061" s="18"/>
      <c r="K1061" s="4"/>
      <c r="L1061" s="19"/>
      <c r="M1061" s="20"/>
    </row>
    <row r="1062">
      <c r="A1062" s="6"/>
      <c r="B1062" s="6"/>
      <c r="C1062" s="4"/>
      <c r="D1062" s="36">
        <v>116.076808</v>
      </c>
      <c r="E1062" s="4" t="s">
        <v>8973</v>
      </c>
      <c r="F1062" s="4"/>
      <c r="G1062" s="4"/>
      <c r="H1062" s="4"/>
      <c r="I1062" s="4"/>
      <c r="J1062" s="18"/>
      <c r="K1062" s="4"/>
      <c r="L1062" s="19"/>
      <c r="M1062" s="20"/>
    </row>
    <row r="1063">
      <c r="A1063" s="6"/>
      <c r="B1063" s="6"/>
      <c r="C1063" s="4"/>
      <c r="D1063" s="36">
        <v>33.731462</v>
      </c>
      <c r="E1063" s="4" t="s">
        <v>1101</v>
      </c>
      <c r="F1063" s="4"/>
      <c r="G1063" s="4"/>
      <c r="H1063" s="4"/>
      <c r="I1063" s="4"/>
      <c r="J1063" s="18"/>
      <c r="K1063" s="4"/>
      <c r="L1063" s="19"/>
      <c r="M1063" s="20"/>
    </row>
    <row r="1064">
      <c r="A1064" s="6"/>
      <c r="B1064" s="6"/>
      <c r="C1064" s="4"/>
      <c r="D1064" s="36">
        <v>224.000554</v>
      </c>
      <c r="E1064" s="4" t="s">
        <v>8974</v>
      </c>
      <c r="F1064" s="4"/>
      <c r="G1064" s="4"/>
      <c r="H1064" s="4"/>
      <c r="I1064" s="4"/>
      <c r="J1064" s="18"/>
      <c r="K1064" s="4"/>
      <c r="L1064" s="19"/>
      <c r="M1064" s="20"/>
    </row>
    <row r="1065">
      <c r="A1065" s="6"/>
      <c r="B1065" s="6"/>
      <c r="C1065" s="4"/>
      <c r="D1065" s="36">
        <v>84.63452</v>
      </c>
      <c r="E1065" s="4" t="s">
        <v>8975</v>
      </c>
      <c r="F1065" s="4"/>
      <c r="G1065" s="4"/>
      <c r="H1065" s="4"/>
      <c r="I1065" s="4"/>
      <c r="J1065" s="18"/>
      <c r="K1065" s="4"/>
      <c r="L1065" s="19"/>
      <c r="M1065" s="20"/>
    </row>
    <row r="1066">
      <c r="A1066" s="6"/>
      <c r="B1066" s="6"/>
      <c r="C1066" s="4"/>
      <c r="D1066" s="36">
        <v>224.000554</v>
      </c>
      <c r="E1066" s="4" t="s">
        <v>8976</v>
      </c>
      <c r="F1066" s="4"/>
      <c r="G1066" s="4"/>
      <c r="H1066" s="4"/>
      <c r="I1066" s="4"/>
      <c r="J1066" s="18"/>
      <c r="K1066" s="4"/>
      <c r="L1066" s="19"/>
      <c r="M1066" s="20"/>
    </row>
    <row r="1067">
      <c r="A1067" s="6"/>
      <c r="B1067" s="6"/>
      <c r="C1067" s="4"/>
      <c r="D1067" s="36">
        <v>73.472181</v>
      </c>
      <c r="E1067" s="4" t="s">
        <v>1183</v>
      </c>
      <c r="F1067" s="4"/>
      <c r="G1067" s="4"/>
      <c r="H1067" s="4"/>
      <c r="I1067" s="4"/>
      <c r="J1067" s="18"/>
      <c r="K1067" s="4"/>
      <c r="L1067" s="19"/>
      <c r="M1067" s="20"/>
    </row>
    <row r="1068">
      <c r="A1068" s="6"/>
      <c r="B1068" s="6"/>
      <c r="C1068" s="4"/>
      <c r="D1068" s="36">
        <v>224.000554</v>
      </c>
      <c r="E1068" s="4" t="s">
        <v>185</v>
      </c>
      <c r="F1068" s="4"/>
      <c r="G1068" s="4"/>
      <c r="H1068" s="4"/>
      <c r="I1068" s="4"/>
      <c r="J1068" s="18"/>
      <c r="K1068" s="4"/>
      <c r="L1068" s="19"/>
      <c r="M1068" s="20"/>
    </row>
    <row r="1069">
      <c r="A1069" s="6"/>
      <c r="B1069" s="6"/>
      <c r="C1069" s="4"/>
      <c r="D1069" s="36">
        <v>77.443529</v>
      </c>
      <c r="E1069" s="4" t="s">
        <v>1628</v>
      </c>
      <c r="F1069" s="4"/>
      <c r="G1069" s="4"/>
      <c r="H1069" s="4"/>
      <c r="I1069" s="4"/>
      <c r="J1069" s="18"/>
      <c r="K1069" s="4"/>
      <c r="L1069" s="19"/>
      <c r="M1069" s="20"/>
    </row>
    <row r="1070">
      <c r="A1070" s="6"/>
      <c r="B1070" s="6"/>
      <c r="C1070" s="4"/>
      <c r="D1070" s="36">
        <v>37.064314</v>
      </c>
      <c r="E1070" s="4" t="s">
        <v>8706</v>
      </c>
      <c r="F1070" s="4"/>
      <c r="G1070" s="4"/>
      <c r="H1070" s="4"/>
      <c r="I1070" s="4"/>
      <c r="J1070" s="18"/>
      <c r="K1070" s="4"/>
      <c r="L1070" s="19"/>
      <c r="M1070" s="20"/>
    </row>
    <row r="1071">
      <c r="A1071" s="6"/>
      <c r="B1071" s="6"/>
      <c r="C1071" s="4"/>
      <c r="D1071" s="36">
        <v>108.00287</v>
      </c>
      <c r="E1071" s="4" t="s">
        <v>8977</v>
      </c>
      <c r="F1071" s="4"/>
      <c r="G1071" s="4"/>
      <c r="H1071" s="4"/>
      <c r="I1071" s="4"/>
      <c r="J1071" s="18"/>
      <c r="K1071" s="4"/>
      <c r="L1071" s="19"/>
      <c r="M1071" s="20"/>
    </row>
    <row r="1072">
      <c r="A1072" s="6"/>
      <c r="B1072" s="6"/>
      <c r="C1072" s="4"/>
      <c r="D1072" s="36">
        <v>224.000554</v>
      </c>
      <c r="E1072" s="4" t="s">
        <v>5105</v>
      </c>
      <c r="F1072" s="4"/>
      <c r="G1072" s="4"/>
      <c r="H1072" s="4"/>
      <c r="I1072" s="4"/>
      <c r="J1072" s="18"/>
      <c r="K1072" s="4"/>
      <c r="L1072" s="19"/>
      <c r="M1072" s="20"/>
    </row>
    <row r="1073">
      <c r="A1073" s="6"/>
      <c r="B1073" s="6"/>
      <c r="C1073" s="4"/>
      <c r="D1073" s="36">
        <v>57.295901</v>
      </c>
      <c r="E1073" s="4" t="s">
        <v>8978</v>
      </c>
      <c r="F1073" s="4"/>
      <c r="G1073" s="4"/>
      <c r="H1073" s="4"/>
      <c r="I1073" s="4"/>
      <c r="J1073" s="18"/>
      <c r="K1073" s="4"/>
      <c r="L1073" s="19"/>
      <c r="M1073" s="20"/>
    </row>
    <row r="1074">
      <c r="A1074" s="6"/>
      <c r="B1074" s="6"/>
      <c r="C1074" s="4"/>
      <c r="D1074" s="36">
        <v>224.000554</v>
      </c>
      <c r="E1074" s="4" t="s">
        <v>8649</v>
      </c>
      <c r="F1074" s="4"/>
      <c r="G1074" s="4"/>
      <c r="H1074" s="4"/>
      <c r="I1074" s="4"/>
      <c r="J1074" s="18"/>
      <c r="K1074" s="4"/>
      <c r="L1074" s="19"/>
      <c r="M1074" s="20"/>
    </row>
    <row r="1075">
      <c r="A1075" s="6"/>
      <c r="B1075" s="6"/>
      <c r="C1075" s="4"/>
      <c r="D1075" s="36">
        <v>112.118443</v>
      </c>
      <c r="E1075" s="4" t="s">
        <v>8083</v>
      </c>
      <c r="F1075" s="4"/>
      <c r="G1075" s="4"/>
      <c r="H1075" s="4"/>
      <c r="I1075" s="4"/>
      <c r="J1075" s="18"/>
      <c r="K1075" s="4"/>
      <c r="L1075" s="19"/>
      <c r="M1075" s="20"/>
    </row>
    <row r="1076">
      <c r="A1076" s="6"/>
      <c r="B1076" s="6"/>
      <c r="C1076" s="4"/>
      <c r="D1076" s="36">
        <v>67.628957</v>
      </c>
      <c r="E1076" s="4" t="s">
        <v>8979</v>
      </c>
      <c r="F1076" s="4"/>
      <c r="G1076" s="4"/>
      <c r="H1076" s="4"/>
      <c r="I1076" s="4"/>
      <c r="J1076" s="18"/>
      <c r="K1076" s="4"/>
      <c r="L1076" s="19"/>
      <c r="M1076" s="20"/>
    </row>
    <row r="1077">
      <c r="A1077" s="6"/>
      <c r="B1077" s="6"/>
      <c r="C1077" s="4"/>
      <c r="D1077" s="36">
        <v>224.000554</v>
      </c>
      <c r="E1077" s="4" t="s">
        <v>1621</v>
      </c>
      <c r="F1077" s="4"/>
      <c r="G1077" s="4"/>
      <c r="H1077" s="4"/>
      <c r="I1077" s="4"/>
      <c r="J1077" s="18"/>
      <c r="K1077" s="4"/>
      <c r="L1077" s="19"/>
      <c r="M1077" s="20"/>
    </row>
    <row r="1078">
      <c r="A1078" s="6"/>
      <c r="B1078" s="6"/>
      <c r="C1078" s="4"/>
      <c r="D1078" s="36">
        <v>56.062858</v>
      </c>
      <c r="E1078" s="4" t="s">
        <v>8980</v>
      </c>
      <c r="F1078" s="4"/>
      <c r="G1078" s="4"/>
      <c r="H1078" s="4"/>
      <c r="I1078" s="4"/>
      <c r="J1078" s="18"/>
      <c r="K1078" s="4"/>
      <c r="L1078" s="19"/>
      <c r="M1078" s="20"/>
    </row>
    <row r="1079">
      <c r="A1079" s="6"/>
      <c r="B1079" s="6"/>
      <c r="C1079" s="4"/>
      <c r="D1079" s="36">
        <v>224.000554</v>
      </c>
      <c r="E1079" s="4" t="s">
        <v>8981</v>
      </c>
      <c r="F1079" s="4"/>
      <c r="G1079" s="4"/>
      <c r="H1079" s="4"/>
      <c r="I1079" s="4"/>
      <c r="J1079" s="18"/>
      <c r="K1079" s="4"/>
      <c r="L1079" s="19"/>
      <c r="M1079" s="20"/>
    </row>
    <row r="1080">
      <c r="A1080" s="6"/>
      <c r="B1080" s="6"/>
      <c r="C1080" s="4"/>
      <c r="D1080" s="36">
        <v>35.646147</v>
      </c>
      <c r="E1080" s="4" t="s">
        <v>8982</v>
      </c>
      <c r="F1080" s="4"/>
      <c r="G1080" s="4"/>
      <c r="H1080" s="4"/>
      <c r="I1080" s="4"/>
      <c r="J1080" s="18"/>
      <c r="K1080" s="4"/>
      <c r="L1080" s="19"/>
      <c r="M1080" s="20"/>
    </row>
    <row r="1081">
      <c r="A1081" s="6"/>
      <c r="B1081" s="6"/>
      <c r="C1081" s="4"/>
      <c r="D1081" s="36">
        <v>200.554357</v>
      </c>
      <c r="E1081" s="4" t="s">
        <v>8983</v>
      </c>
      <c r="F1081" s="4"/>
      <c r="G1081" s="4"/>
      <c r="H1081" s="4"/>
      <c r="I1081" s="4"/>
      <c r="J1081" s="18"/>
      <c r="K1081" s="4"/>
      <c r="L1081" s="19"/>
      <c r="M1081" s="20"/>
    </row>
    <row r="1082">
      <c r="A1082" s="6"/>
      <c r="B1082" s="6"/>
      <c r="C1082" s="4"/>
      <c r="D1082" s="36">
        <v>8.388203</v>
      </c>
      <c r="E1082" s="4" t="s">
        <v>7744</v>
      </c>
      <c r="F1082" s="4"/>
      <c r="G1082" s="4"/>
      <c r="H1082" s="4"/>
      <c r="I1082" s="4"/>
      <c r="J1082" s="18"/>
      <c r="K1082" s="4"/>
      <c r="L1082" s="19"/>
      <c r="M1082" s="20"/>
    </row>
    <row r="1083">
      <c r="A1083" s="6"/>
      <c r="B1083" s="6"/>
      <c r="C1083" s="4"/>
      <c r="D1083" s="36">
        <v>34.932571</v>
      </c>
      <c r="E1083" s="4" t="s">
        <v>8984</v>
      </c>
      <c r="F1083" s="4"/>
      <c r="G1083" s="4"/>
      <c r="H1083" s="4"/>
      <c r="I1083" s="4"/>
      <c r="J1083" s="18"/>
      <c r="K1083" s="4"/>
      <c r="L1083" s="19"/>
      <c r="M1083" s="20"/>
    </row>
    <row r="1084">
      <c r="A1084" s="6"/>
      <c r="B1084" s="6"/>
      <c r="C1084" s="4"/>
      <c r="D1084" s="36">
        <v>45.873793</v>
      </c>
      <c r="E1084" s="4" t="s">
        <v>5717</v>
      </c>
      <c r="F1084" s="4"/>
      <c r="G1084" s="4"/>
      <c r="H1084" s="4"/>
      <c r="I1084" s="4"/>
      <c r="J1084" s="18"/>
      <c r="K1084" s="4"/>
      <c r="L1084" s="19"/>
      <c r="M1084" s="20"/>
    </row>
    <row r="1085">
      <c r="A1085" s="6"/>
      <c r="B1085" s="6"/>
      <c r="C1085" s="4"/>
      <c r="D1085" s="36">
        <v>224.000554</v>
      </c>
      <c r="E1085" s="4" t="s">
        <v>1774</v>
      </c>
      <c r="F1085" s="4"/>
      <c r="G1085" s="4"/>
      <c r="H1085" s="4"/>
      <c r="I1085" s="4"/>
      <c r="J1085" s="18"/>
      <c r="K1085" s="4"/>
      <c r="L1085" s="19"/>
      <c r="M1085" s="20"/>
    </row>
    <row r="1086">
      <c r="A1086" s="6"/>
      <c r="B1086" s="6"/>
      <c r="C1086" s="4"/>
      <c r="D1086" s="36">
        <v>100.381043</v>
      </c>
      <c r="E1086" s="4" t="s">
        <v>239</v>
      </c>
      <c r="F1086" s="4"/>
      <c r="G1086" s="4"/>
      <c r="H1086" s="4"/>
      <c r="I1086" s="4"/>
      <c r="J1086" s="18"/>
      <c r="K1086" s="4"/>
      <c r="L1086" s="19"/>
      <c r="M1086" s="20"/>
    </row>
    <row r="1087">
      <c r="A1087" s="6"/>
      <c r="B1087" s="6"/>
      <c r="C1087" s="4"/>
      <c r="D1087" s="36">
        <v>79.02421</v>
      </c>
      <c r="E1087" s="4" t="s">
        <v>8985</v>
      </c>
      <c r="F1087" s="4"/>
      <c r="G1087" s="4"/>
      <c r="H1087" s="4"/>
      <c r="I1087" s="4"/>
      <c r="J1087" s="18"/>
      <c r="K1087" s="4"/>
      <c r="L1087" s="19"/>
      <c r="M1087" s="20"/>
    </row>
    <row r="1088">
      <c r="A1088" s="6"/>
      <c r="B1088" s="6"/>
      <c r="C1088" s="4"/>
      <c r="D1088" s="36">
        <v>101.02016</v>
      </c>
      <c r="E1088" s="4" t="s">
        <v>7052</v>
      </c>
      <c r="F1088" s="4"/>
      <c r="G1088" s="4"/>
      <c r="H1088" s="4"/>
      <c r="I1088" s="4"/>
      <c r="J1088" s="18"/>
      <c r="K1088" s="4"/>
      <c r="L1088" s="19"/>
      <c r="M1088" s="20"/>
    </row>
    <row r="1089">
      <c r="A1089" s="6"/>
      <c r="B1089" s="6"/>
      <c r="C1089" s="4"/>
      <c r="D1089" s="36">
        <v>77.799311</v>
      </c>
      <c r="E1089" s="4" t="s">
        <v>6891</v>
      </c>
      <c r="F1089" s="4"/>
      <c r="G1089" s="4"/>
      <c r="H1089" s="4"/>
      <c r="I1089" s="4"/>
      <c r="J1089" s="18"/>
      <c r="K1089" s="4"/>
      <c r="L1089" s="19"/>
      <c r="M1089" s="20"/>
    </row>
    <row r="1090">
      <c r="A1090" s="6"/>
      <c r="B1090" s="6"/>
      <c r="C1090" s="4"/>
      <c r="D1090" s="36">
        <v>42.4521</v>
      </c>
      <c r="E1090" s="4" t="s">
        <v>8986</v>
      </c>
      <c r="F1090" s="4"/>
      <c r="G1090" s="4"/>
      <c r="H1090" s="4"/>
      <c r="I1090" s="4"/>
      <c r="J1090" s="18"/>
      <c r="K1090" s="4"/>
      <c r="L1090" s="19"/>
      <c r="M1090" s="20"/>
    </row>
    <row r="1091">
      <c r="A1091" s="6"/>
      <c r="B1091" s="6"/>
      <c r="C1091" s="4"/>
      <c r="D1091" s="36">
        <v>224.000554</v>
      </c>
      <c r="E1091" s="4" t="s">
        <v>8907</v>
      </c>
      <c r="F1091" s="4"/>
      <c r="G1091" s="4"/>
      <c r="H1091" s="4"/>
      <c r="I1091" s="4"/>
      <c r="J1091" s="18"/>
      <c r="K1091" s="4"/>
      <c r="L1091" s="19"/>
      <c r="M1091" s="20"/>
    </row>
    <row r="1092">
      <c r="A1092" s="6"/>
      <c r="B1092" s="6"/>
      <c r="C1092" s="4"/>
      <c r="D1092" s="36">
        <v>125.108423</v>
      </c>
      <c r="E1092" s="4" t="s">
        <v>8987</v>
      </c>
      <c r="F1092" s="4"/>
      <c r="G1092" s="4"/>
      <c r="H1092" s="4"/>
      <c r="I1092" s="4"/>
      <c r="J1092" s="18"/>
      <c r="K1092" s="4"/>
      <c r="L1092" s="19"/>
      <c r="M1092" s="20"/>
    </row>
    <row r="1093">
      <c r="A1093" s="6"/>
      <c r="B1093" s="6"/>
      <c r="C1093" s="4"/>
      <c r="D1093" s="36">
        <v>67.231877</v>
      </c>
      <c r="E1093" s="4" t="s">
        <v>8988</v>
      </c>
      <c r="F1093" s="4"/>
      <c r="G1093" s="4"/>
      <c r="H1093" s="4"/>
      <c r="I1093" s="4"/>
      <c r="J1093" s="18"/>
      <c r="K1093" s="4"/>
      <c r="L1093" s="19"/>
      <c r="M1093" s="20"/>
    </row>
    <row r="1094">
      <c r="A1094" s="6"/>
      <c r="B1094" s="6"/>
      <c r="C1094" s="4"/>
      <c r="D1094" s="36">
        <v>63.728157</v>
      </c>
      <c r="E1094" s="4" t="s">
        <v>8989</v>
      </c>
      <c r="F1094" s="4"/>
      <c r="G1094" s="4"/>
      <c r="H1094" s="4"/>
      <c r="I1094" s="4"/>
      <c r="J1094" s="18"/>
      <c r="K1094" s="4"/>
      <c r="L1094" s="19"/>
      <c r="M1094" s="20"/>
    </row>
    <row r="1095">
      <c r="A1095" s="6"/>
      <c r="B1095" s="6"/>
      <c r="C1095" s="4"/>
      <c r="D1095" s="36">
        <v>224.000554</v>
      </c>
      <c r="E1095" s="4" t="s">
        <v>2806</v>
      </c>
      <c r="F1095" s="4"/>
      <c r="G1095" s="4"/>
      <c r="H1095" s="4"/>
      <c r="I1095" s="4"/>
      <c r="J1095" s="18"/>
      <c r="K1095" s="4"/>
      <c r="L1095" s="19"/>
      <c r="M1095" s="20"/>
    </row>
    <row r="1096">
      <c r="A1096" s="6"/>
      <c r="B1096" s="6"/>
      <c r="C1096" s="4"/>
      <c r="D1096" s="36">
        <v>119.101352</v>
      </c>
      <c r="E1096" s="4" t="s">
        <v>5940</v>
      </c>
      <c r="F1096" s="4"/>
      <c r="G1096" s="4"/>
      <c r="H1096" s="4"/>
      <c r="I1096" s="4"/>
      <c r="J1096" s="18"/>
      <c r="K1096" s="4"/>
      <c r="L1096" s="19"/>
      <c r="M1096" s="20"/>
    </row>
    <row r="1097">
      <c r="A1097" s="6"/>
      <c r="B1097" s="6"/>
      <c r="C1097" s="4"/>
      <c r="D1097" s="36">
        <v>224.000554</v>
      </c>
      <c r="E1097" s="4" t="s">
        <v>8990</v>
      </c>
      <c r="F1097" s="4"/>
      <c r="G1097" s="4"/>
      <c r="H1097" s="4"/>
      <c r="I1097" s="4"/>
      <c r="J1097" s="18"/>
      <c r="K1097" s="4"/>
      <c r="L1097" s="19"/>
      <c r="M1097" s="20"/>
    </row>
    <row r="1098">
      <c r="A1098" s="6"/>
      <c r="B1098" s="6"/>
      <c r="C1098" s="4"/>
      <c r="D1098" s="36">
        <v>224.000554</v>
      </c>
      <c r="E1098" s="4" t="s">
        <v>1667</v>
      </c>
      <c r="F1098" s="4"/>
      <c r="G1098" s="4"/>
      <c r="H1098" s="4"/>
      <c r="I1098" s="4"/>
      <c r="J1098" s="18"/>
      <c r="K1098" s="4"/>
      <c r="L1098" s="19"/>
      <c r="M1098" s="20"/>
    </row>
    <row r="1099">
      <c r="A1099" s="6"/>
      <c r="B1099" s="6"/>
      <c r="C1099" s="4"/>
      <c r="D1099" s="36">
        <v>179.200443</v>
      </c>
      <c r="E1099" s="4" t="s">
        <v>6009</v>
      </c>
      <c r="F1099" s="4"/>
      <c r="G1099" s="4"/>
      <c r="H1099" s="4"/>
      <c r="I1099" s="4"/>
      <c r="J1099" s="18"/>
      <c r="K1099" s="4"/>
      <c r="L1099" s="19"/>
      <c r="M1099" s="20"/>
    </row>
    <row r="1100">
      <c r="A1100" s="6"/>
      <c r="B1100" s="6"/>
      <c r="C1100" s="4"/>
      <c r="D1100" s="36">
        <v>60.592248</v>
      </c>
      <c r="E1100" s="4" t="s">
        <v>8991</v>
      </c>
      <c r="F1100" s="4"/>
      <c r="G1100" s="4"/>
      <c r="H1100" s="4"/>
      <c r="I1100" s="4"/>
      <c r="J1100" s="18"/>
      <c r="K1100" s="4"/>
      <c r="L1100" s="19"/>
      <c r="M1100" s="20"/>
    </row>
    <row r="1101">
      <c r="A1101" s="6"/>
      <c r="B1101" s="6"/>
      <c r="C1101" s="4"/>
      <c r="D1101" s="36">
        <v>224.000554</v>
      </c>
      <c r="E1101" s="4" t="s">
        <v>952</v>
      </c>
      <c r="F1101" s="4"/>
      <c r="G1101" s="4"/>
      <c r="H1101" s="4"/>
      <c r="I1101" s="4"/>
      <c r="J1101" s="18"/>
      <c r="K1101" s="4"/>
      <c r="L1101" s="19"/>
      <c r="M1101" s="20"/>
    </row>
    <row r="1102">
      <c r="A1102" s="6"/>
      <c r="B1102" s="6"/>
      <c r="C1102" s="4"/>
      <c r="D1102" s="36">
        <v>59.411432</v>
      </c>
      <c r="E1102" s="4" t="s">
        <v>587</v>
      </c>
      <c r="F1102" s="4"/>
      <c r="G1102" s="4"/>
      <c r="H1102" s="4"/>
      <c r="I1102" s="4"/>
      <c r="J1102" s="18"/>
      <c r="K1102" s="4"/>
      <c r="L1102" s="19"/>
      <c r="M1102" s="20"/>
    </row>
    <row r="1103">
      <c r="A1103" s="6"/>
      <c r="B1103" s="6"/>
      <c r="C1103" s="4"/>
      <c r="D1103" s="36">
        <v>33.600083</v>
      </c>
      <c r="E1103" s="4" t="s">
        <v>7073</v>
      </c>
      <c r="F1103" s="4"/>
      <c r="G1103" s="4"/>
      <c r="H1103" s="4"/>
      <c r="I1103" s="4"/>
      <c r="J1103" s="18"/>
      <c r="K1103" s="4"/>
      <c r="L1103" s="19"/>
      <c r="M1103" s="20"/>
    </row>
    <row r="1104">
      <c r="A1104" s="6"/>
      <c r="B1104" s="6"/>
      <c r="C1104" s="4"/>
      <c r="D1104" s="36">
        <v>221.807826</v>
      </c>
      <c r="E1104" s="4" t="s">
        <v>8992</v>
      </c>
      <c r="F1104" s="4"/>
      <c r="G1104" s="4"/>
      <c r="H1104" s="4"/>
      <c r="I1104" s="4"/>
      <c r="J1104" s="18"/>
      <c r="K1104" s="4"/>
      <c r="L1104" s="19"/>
      <c r="M1104" s="20"/>
    </row>
    <row r="1105">
      <c r="A1105" s="6"/>
      <c r="B1105" s="6"/>
      <c r="C1105" s="4"/>
      <c r="D1105" s="36">
        <v>198.24049</v>
      </c>
      <c r="E1105" s="4" t="s">
        <v>3887</v>
      </c>
      <c r="F1105" s="4"/>
      <c r="G1105" s="4"/>
      <c r="H1105" s="4"/>
      <c r="I1105" s="4"/>
      <c r="J1105" s="18"/>
      <c r="K1105" s="4"/>
      <c r="L1105" s="19"/>
      <c r="M1105" s="20"/>
    </row>
    <row r="1106">
      <c r="A1106" s="6"/>
      <c r="B1106" s="6"/>
      <c r="C1106" s="4"/>
      <c r="D1106" s="36">
        <v>100.824873</v>
      </c>
      <c r="E1106" s="4" t="s">
        <v>6220</v>
      </c>
      <c r="F1106" s="4"/>
      <c r="G1106" s="4"/>
      <c r="H1106" s="4"/>
      <c r="I1106" s="4"/>
      <c r="J1106" s="18"/>
      <c r="K1106" s="4"/>
      <c r="L1106" s="19"/>
      <c r="M1106" s="20"/>
    </row>
    <row r="1107">
      <c r="A1107" s="6"/>
      <c r="B1107" s="6"/>
      <c r="C1107" s="4"/>
      <c r="D1107" s="36">
        <v>56.980653</v>
      </c>
      <c r="E1107" s="4" t="s">
        <v>8645</v>
      </c>
      <c r="F1107" s="4"/>
      <c r="G1107" s="4"/>
      <c r="H1107" s="4"/>
      <c r="I1107" s="4"/>
      <c r="J1107" s="18"/>
      <c r="K1107" s="4"/>
      <c r="L1107" s="19"/>
      <c r="M1107" s="20"/>
    </row>
    <row r="1108">
      <c r="A1108" s="6"/>
      <c r="B1108" s="6"/>
      <c r="C1108" s="4"/>
      <c r="D1108" s="36">
        <v>65.55443</v>
      </c>
      <c r="E1108" s="4" t="s">
        <v>7491</v>
      </c>
      <c r="F1108" s="4"/>
      <c r="G1108" s="4"/>
      <c r="H1108" s="4"/>
      <c r="I1108" s="4"/>
      <c r="J1108" s="18"/>
      <c r="K1108" s="4"/>
      <c r="L1108" s="19"/>
      <c r="M1108" s="20"/>
    </row>
    <row r="1109">
      <c r="A1109" s="6"/>
      <c r="B1109" s="6"/>
      <c r="C1109" s="4"/>
      <c r="D1109" s="36">
        <v>224.000554</v>
      </c>
      <c r="E1109" s="4" t="s">
        <v>8547</v>
      </c>
      <c r="F1109" s="4"/>
      <c r="G1109" s="4"/>
      <c r="H1109" s="4"/>
      <c r="I1109" s="4"/>
      <c r="J1109" s="18"/>
      <c r="K1109" s="4"/>
      <c r="L1109" s="19"/>
      <c r="M1109" s="20"/>
    </row>
    <row r="1110">
      <c r="A1110" s="6"/>
      <c r="B1110" s="6"/>
      <c r="C1110" s="4"/>
      <c r="D1110" s="36">
        <v>63.324264</v>
      </c>
      <c r="E1110" s="4" t="s">
        <v>8993</v>
      </c>
      <c r="F1110" s="4"/>
      <c r="G1110" s="4"/>
      <c r="H1110" s="4"/>
      <c r="I1110" s="4"/>
      <c r="J1110" s="18"/>
      <c r="K1110" s="4"/>
      <c r="L1110" s="19"/>
      <c r="M1110" s="20"/>
    </row>
    <row r="1111">
      <c r="A1111" s="6"/>
      <c r="B1111" s="6"/>
      <c r="C1111" s="4"/>
      <c r="D1111" s="36">
        <v>112.094163</v>
      </c>
      <c r="E1111" s="4" t="s">
        <v>8994</v>
      </c>
      <c r="F1111" s="4"/>
      <c r="G1111" s="4"/>
      <c r="H1111" s="4"/>
      <c r="I1111" s="4"/>
      <c r="J1111" s="18"/>
      <c r="K1111" s="4"/>
      <c r="L1111" s="19"/>
      <c r="M1111" s="20"/>
    </row>
    <row r="1112">
      <c r="A1112" s="6"/>
      <c r="B1112" s="6"/>
      <c r="C1112" s="4"/>
      <c r="D1112" s="36">
        <v>219.120592</v>
      </c>
      <c r="E1112" s="4" t="s">
        <v>683</v>
      </c>
      <c r="F1112" s="4"/>
      <c r="G1112" s="4"/>
      <c r="H1112" s="4"/>
      <c r="I1112" s="4"/>
      <c r="J1112" s="18"/>
      <c r="K1112" s="4"/>
      <c r="L1112" s="19"/>
      <c r="M1112" s="20"/>
    </row>
    <row r="1113">
      <c r="A1113" s="6"/>
      <c r="B1113" s="6"/>
      <c r="C1113" s="4"/>
      <c r="D1113" s="36">
        <v>56.017514</v>
      </c>
      <c r="E1113" s="4" t="s">
        <v>8995</v>
      </c>
      <c r="F1113" s="4"/>
      <c r="G1113" s="4"/>
      <c r="H1113" s="4"/>
      <c r="I1113" s="4"/>
      <c r="J1113" s="18"/>
      <c r="K1113" s="4"/>
      <c r="L1113" s="19"/>
      <c r="M1113" s="20"/>
    </row>
    <row r="1114">
      <c r="A1114" s="6"/>
      <c r="B1114" s="6"/>
      <c r="C1114" s="4"/>
      <c r="D1114" s="36">
        <v>224.000554</v>
      </c>
      <c r="E1114" s="4" t="s">
        <v>8996</v>
      </c>
      <c r="F1114" s="4"/>
      <c r="G1114" s="4"/>
      <c r="H1114" s="4"/>
      <c r="I1114" s="4"/>
      <c r="J1114" s="18"/>
      <c r="K1114" s="4"/>
      <c r="L1114" s="19"/>
      <c r="M1114" s="20"/>
    </row>
    <row r="1115">
      <c r="A1115" s="6"/>
      <c r="B1115" s="6"/>
      <c r="C1115" s="4"/>
      <c r="D1115" s="36">
        <v>104.744523</v>
      </c>
      <c r="E1115" s="4" t="s">
        <v>2762</v>
      </c>
      <c r="F1115" s="4"/>
      <c r="G1115" s="4"/>
      <c r="H1115" s="4"/>
      <c r="I1115" s="4"/>
      <c r="J1115" s="18"/>
      <c r="K1115" s="4"/>
      <c r="L1115" s="19"/>
      <c r="M1115" s="20"/>
    </row>
    <row r="1116">
      <c r="A1116" s="6"/>
      <c r="B1116" s="6"/>
      <c r="C1116" s="4"/>
      <c r="D1116" s="36">
        <v>224.000554</v>
      </c>
      <c r="E1116" s="4" t="s">
        <v>8997</v>
      </c>
      <c r="F1116" s="4"/>
      <c r="G1116" s="4"/>
      <c r="H1116" s="4"/>
      <c r="I1116" s="4"/>
      <c r="J1116" s="18"/>
      <c r="K1116" s="4"/>
      <c r="L1116" s="19"/>
      <c r="M1116" s="20"/>
    </row>
    <row r="1117">
      <c r="A1117" s="6"/>
      <c r="B1117" s="6"/>
      <c r="C1117" s="4"/>
      <c r="D1117" s="36">
        <v>224.000554</v>
      </c>
      <c r="E1117" s="4" t="s">
        <v>8998</v>
      </c>
      <c r="F1117" s="4"/>
      <c r="G1117" s="4"/>
      <c r="H1117" s="4"/>
      <c r="I1117" s="4"/>
      <c r="J1117" s="18"/>
      <c r="K1117" s="4"/>
      <c r="L1117" s="19"/>
      <c r="M1117" s="20"/>
    </row>
    <row r="1118">
      <c r="A1118" s="6"/>
      <c r="B1118" s="6"/>
      <c r="C1118" s="4"/>
      <c r="D1118" s="36">
        <v>30.597206</v>
      </c>
      <c r="E1118" s="4" t="s">
        <v>5124</v>
      </c>
      <c r="F1118" s="4"/>
      <c r="G1118" s="4"/>
      <c r="H1118" s="4"/>
      <c r="I1118" s="4"/>
      <c r="J1118" s="18"/>
      <c r="K1118" s="4"/>
      <c r="L1118" s="19"/>
      <c r="M1118" s="20"/>
    </row>
    <row r="1119">
      <c r="A1119" s="6"/>
      <c r="B1119" s="6"/>
      <c r="C1119" s="4"/>
      <c r="D1119" s="36">
        <v>224.000554</v>
      </c>
      <c r="E1119" s="4" t="s">
        <v>8999</v>
      </c>
      <c r="F1119" s="4"/>
      <c r="G1119" s="4"/>
      <c r="H1119" s="4"/>
      <c r="I1119" s="4"/>
      <c r="J1119" s="18"/>
      <c r="K1119" s="4"/>
      <c r="L1119" s="19"/>
      <c r="M1119" s="20"/>
    </row>
    <row r="1120">
      <c r="A1120" s="6"/>
      <c r="B1120" s="6"/>
      <c r="C1120" s="4"/>
      <c r="D1120" s="36">
        <v>201.442182</v>
      </c>
      <c r="E1120" s="4" t="s">
        <v>8694</v>
      </c>
      <c r="F1120" s="4"/>
      <c r="G1120" s="4"/>
      <c r="H1120" s="4"/>
      <c r="I1120" s="4"/>
      <c r="J1120" s="18"/>
      <c r="K1120" s="4"/>
      <c r="L1120" s="19"/>
      <c r="M1120" s="20"/>
    </row>
    <row r="1121">
      <c r="A1121" s="6"/>
      <c r="B1121" s="6"/>
      <c r="C1121" s="4"/>
      <c r="D1121" s="36">
        <v>224.000554</v>
      </c>
      <c r="E1121" s="4" t="s">
        <v>8698</v>
      </c>
      <c r="F1121" s="4"/>
      <c r="G1121" s="4"/>
      <c r="H1121" s="4"/>
      <c r="I1121" s="4"/>
      <c r="J1121" s="18"/>
      <c r="K1121" s="4"/>
      <c r="L1121" s="19"/>
      <c r="M1121" s="20"/>
    </row>
    <row r="1122">
      <c r="A1122" s="6"/>
      <c r="B1122" s="6"/>
      <c r="C1122" s="4"/>
      <c r="D1122" s="36">
        <v>224.000554</v>
      </c>
      <c r="E1122" s="4" t="s">
        <v>966</v>
      </c>
      <c r="F1122" s="4"/>
      <c r="G1122" s="4"/>
      <c r="H1122" s="4"/>
      <c r="I1122" s="4"/>
      <c r="J1122" s="18"/>
      <c r="K1122" s="4"/>
      <c r="L1122" s="19"/>
      <c r="M1122" s="20"/>
    </row>
    <row r="1123">
      <c r="A1123" s="6"/>
      <c r="B1123" s="6"/>
      <c r="C1123" s="4"/>
      <c r="D1123" s="36">
        <v>33.603133</v>
      </c>
      <c r="E1123" s="4" t="s">
        <v>1066</v>
      </c>
      <c r="F1123" s="4"/>
      <c r="G1123" s="4"/>
      <c r="H1123" s="4"/>
      <c r="I1123" s="4"/>
      <c r="J1123" s="18"/>
      <c r="K1123" s="4"/>
      <c r="L1123" s="19"/>
      <c r="M1123" s="20"/>
    </row>
    <row r="1124">
      <c r="A1124" s="6"/>
      <c r="B1124" s="6"/>
      <c r="C1124" s="4"/>
      <c r="D1124" s="36">
        <v>97.846778</v>
      </c>
      <c r="E1124" s="4" t="s">
        <v>1154</v>
      </c>
      <c r="F1124" s="4"/>
      <c r="G1124" s="4"/>
      <c r="H1124" s="4"/>
      <c r="I1124" s="4"/>
      <c r="J1124" s="18"/>
      <c r="K1124" s="4"/>
      <c r="L1124" s="19"/>
      <c r="M1124" s="20"/>
    </row>
    <row r="1125">
      <c r="A1125" s="6"/>
      <c r="B1125" s="6"/>
      <c r="C1125" s="4"/>
      <c r="D1125" s="36">
        <v>224.000554</v>
      </c>
      <c r="E1125" s="4" t="s">
        <v>367</v>
      </c>
      <c r="F1125" s="4"/>
      <c r="G1125" s="4"/>
      <c r="H1125" s="4"/>
      <c r="I1125" s="4"/>
      <c r="J1125" s="18"/>
      <c r="K1125" s="4"/>
      <c r="L1125" s="19"/>
      <c r="M1125" s="20"/>
    </row>
    <row r="1126">
      <c r="A1126" s="6"/>
      <c r="B1126" s="6"/>
      <c r="C1126" s="4"/>
      <c r="D1126" s="36">
        <v>96.778499</v>
      </c>
      <c r="E1126" s="4" t="s">
        <v>9000</v>
      </c>
      <c r="F1126" s="4"/>
      <c r="G1126" s="4"/>
      <c r="H1126" s="4"/>
      <c r="I1126" s="4"/>
      <c r="J1126" s="18"/>
      <c r="K1126" s="4"/>
      <c r="L1126" s="19"/>
      <c r="M1126" s="20"/>
    </row>
    <row r="1127">
      <c r="A1127" s="6"/>
      <c r="B1127" s="6"/>
      <c r="C1127" s="4"/>
      <c r="D1127" s="36">
        <v>77.806694</v>
      </c>
      <c r="E1127" s="4" t="s">
        <v>9001</v>
      </c>
      <c r="F1127" s="4"/>
      <c r="G1127" s="4"/>
      <c r="H1127" s="4"/>
      <c r="I1127" s="4"/>
      <c r="J1127" s="18"/>
      <c r="K1127" s="4"/>
      <c r="L1127" s="19"/>
      <c r="M1127" s="20"/>
    </row>
    <row r="1128">
      <c r="A1128" s="6"/>
      <c r="B1128" s="6"/>
      <c r="C1128" s="4"/>
      <c r="D1128" s="36">
        <v>224.000554</v>
      </c>
      <c r="E1128" s="4" t="s">
        <v>8701</v>
      </c>
      <c r="F1128" s="4"/>
      <c r="G1128" s="4"/>
      <c r="H1128" s="4"/>
      <c r="I1128" s="4"/>
      <c r="J1128" s="18"/>
      <c r="K1128" s="4"/>
      <c r="L1128" s="19"/>
      <c r="M1128" s="20"/>
    </row>
    <row r="1129">
      <c r="A1129" s="6"/>
      <c r="B1129" s="6"/>
      <c r="C1129" s="4"/>
      <c r="D1129" s="36">
        <v>67.443487</v>
      </c>
      <c r="E1129" s="4" t="s">
        <v>7910</v>
      </c>
      <c r="F1129" s="4"/>
      <c r="G1129" s="4"/>
      <c r="H1129" s="4"/>
      <c r="I1129" s="4"/>
      <c r="J1129" s="18"/>
      <c r="K1129" s="4"/>
      <c r="L1129" s="19"/>
      <c r="M1129" s="20"/>
    </row>
    <row r="1130">
      <c r="A1130" s="6"/>
      <c r="B1130" s="6"/>
      <c r="C1130" s="4"/>
      <c r="D1130" s="36">
        <v>224.000554</v>
      </c>
      <c r="E1130" s="4" t="s">
        <v>977</v>
      </c>
      <c r="F1130" s="4"/>
      <c r="G1130" s="4"/>
      <c r="H1130" s="4"/>
      <c r="I1130" s="4"/>
      <c r="J1130" s="18"/>
      <c r="K1130" s="4"/>
      <c r="L1130" s="19"/>
      <c r="M1130" s="20"/>
    </row>
    <row r="1131">
      <c r="A1131" s="6"/>
      <c r="B1131" s="6"/>
      <c r="C1131" s="4"/>
      <c r="D1131" s="36">
        <v>145.825412</v>
      </c>
      <c r="E1131" s="4" t="s">
        <v>1524</v>
      </c>
      <c r="F1131" s="4"/>
      <c r="G1131" s="4"/>
      <c r="H1131" s="4"/>
      <c r="I1131" s="4"/>
      <c r="J1131" s="18"/>
      <c r="K1131" s="4"/>
      <c r="L1131" s="19"/>
      <c r="M1131" s="20"/>
    </row>
    <row r="1132">
      <c r="A1132" s="6"/>
      <c r="B1132" s="6"/>
      <c r="C1132" s="4"/>
      <c r="D1132" s="36">
        <v>33.600083</v>
      </c>
      <c r="E1132" s="4" t="s">
        <v>5479</v>
      </c>
      <c r="F1132" s="4"/>
      <c r="G1132" s="4"/>
      <c r="H1132" s="4"/>
      <c r="I1132" s="4"/>
      <c r="J1132" s="18"/>
      <c r="K1132" s="4"/>
      <c r="L1132" s="19"/>
      <c r="M1132" s="20"/>
    </row>
    <row r="1133">
      <c r="A1133" s="6"/>
      <c r="B1133" s="6"/>
      <c r="C1133" s="4"/>
      <c r="D1133" s="36">
        <v>63.111148</v>
      </c>
      <c r="E1133" s="4" t="s">
        <v>6717</v>
      </c>
      <c r="F1133" s="4"/>
      <c r="G1133" s="4"/>
      <c r="H1133" s="4"/>
      <c r="I1133" s="4"/>
      <c r="J1133" s="18"/>
      <c r="K1133" s="4"/>
      <c r="L1133" s="19"/>
      <c r="M1133" s="20"/>
    </row>
    <row r="1134">
      <c r="A1134" s="6"/>
      <c r="B1134" s="6"/>
      <c r="C1134" s="4"/>
      <c r="D1134" s="36">
        <v>74.898184</v>
      </c>
      <c r="E1134" s="4" t="s">
        <v>2156</v>
      </c>
      <c r="F1134" s="4"/>
      <c r="G1134" s="4"/>
      <c r="H1134" s="4"/>
      <c r="I1134" s="4"/>
      <c r="J1134" s="18"/>
      <c r="K1134" s="4"/>
      <c r="L1134" s="19"/>
      <c r="M1134" s="20"/>
    </row>
    <row r="1135">
      <c r="A1135" s="6"/>
      <c r="B1135" s="6"/>
      <c r="C1135" s="4"/>
      <c r="D1135" s="36">
        <v>52.019485</v>
      </c>
      <c r="E1135" s="4" t="s">
        <v>9002</v>
      </c>
      <c r="F1135" s="4"/>
      <c r="G1135" s="4"/>
      <c r="H1135" s="4"/>
      <c r="I1135" s="4"/>
      <c r="J1135" s="18"/>
      <c r="K1135" s="4"/>
      <c r="L1135" s="19"/>
      <c r="M1135" s="20"/>
    </row>
    <row r="1136">
      <c r="A1136" s="6"/>
      <c r="B1136" s="6"/>
      <c r="C1136" s="4"/>
      <c r="D1136" s="36">
        <v>25.241133</v>
      </c>
      <c r="E1136" s="4" t="s">
        <v>9003</v>
      </c>
      <c r="F1136" s="4"/>
      <c r="G1136" s="4"/>
      <c r="H1136" s="4"/>
      <c r="I1136" s="4"/>
      <c r="J1136" s="18"/>
      <c r="K1136" s="4"/>
      <c r="L1136" s="19"/>
      <c r="M1136" s="20"/>
    </row>
    <row r="1137">
      <c r="A1137" s="6"/>
      <c r="B1137" s="6"/>
      <c r="C1137" s="4"/>
      <c r="D1137" s="36">
        <v>89.600221</v>
      </c>
      <c r="E1137" s="4" t="s">
        <v>8630</v>
      </c>
      <c r="F1137" s="4"/>
      <c r="G1137" s="4"/>
      <c r="H1137" s="4"/>
      <c r="I1137" s="4"/>
      <c r="J1137" s="18"/>
      <c r="K1137" s="4"/>
      <c r="L1137" s="19"/>
      <c r="M1137" s="20"/>
    </row>
    <row r="1138">
      <c r="A1138" s="6"/>
      <c r="B1138" s="6"/>
      <c r="C1138" s="4"/>
      <c r="D1138" s="36">
        <v>97.888495</v>
      </c>
      <c r="E1138" s="4" t="s">
        <v>1495</v>
      </c>
      <c r="F1138" s="4"/>
      <c r="G1138" s="4"/>
      <c r="H1138" s="4"/>
      <c r="I1138" s="4"/>
      <c r="J1138" s="18"/>
      <c r="K1138" s="4"/>
      <c r="L1138" s="19"/>
      <c r="M1138" s="20"/>
    </row>
    <row r="1139">
      <c r="A1139" s="6"/>
      <c r="B1139" s="6"/>
      <c r="C1139" s="4"/>
      <c r="D1139" s="36">
        <v>224.000554</v>
      </c>
      <c r="E1139" s="4" t="s">
        <v>135</v>
      </c>
      <c r="F1139" s="4"/>
      <c r="G1139" s="4"/>
      <c r="H1139" s="4"/>
      <c r="I1139" s="4"/>
      <c r="J1139" s="18"/>
      <c r="K1139" s="4"/>
      <c r="L1139" s="19"/>
      <c r="M1139" s="20"/>
    </row>
    <row r="1140">
      <c r="A1140" s="6"/>
      <c r="B1140" s="6"/>
      <c r="C1140" s="4"/>
      <c r="D1140" s="36">
        <v>135.039302</v>
      </c>
      <c r="E1140" s="4" t="s">
        <v>9004</v>
      </c>
      <c r="F1140" s="4"/>
      <c r="G1140" s="4"/>
      <c r="H1140" s="4"/>
      <c r="I1140" s="4"/>
      <c r="J1140" s="18"/>
      <c r="K1140" s="4"/>
      <c r="L1140" s="19"/>
      <c r="M1140" s="20"/>
    </row>
    <row r="1141">
      <c r="A1141" s="6"/>
      <c r="B1141" s="6"/>
      <c r="C1141" s="4"/>
      <c r="D1141" s="36">
        <v>224.000554</v>
      </c>
      <c r="E1141" s="4" t="s">
        <v>9005</v>
      </c>
      <c r="F1141" s="4"/>
      <c r="G1141" s="4"/>
      <c r="H1141" s="4"/>
      <c r="I1141" s="4"/>
      <c r="J1141" s="18"/>
      <c r="K1141" s="4"/>
      <c r="L1141" s="19"/>
      <c r="M1141" s="20"/>
    </row>
    <row r="1142">
      <c r="A1142" s="6"/>
      <c r="B1142" s="6"/>
      <c r="C1142" s="4"/>
      <c r="D1142" s="36">
        <v>120.87151</v>
      </c>
      <c r="E1142" s="4" t="s">
        <v>9006</v>
      </c>
      <c r="F1142" s="4"/>
      <c r="G1142" s="4"/>
      <c r="H1142" s="4"/>
      <c r="I1142" s="4"/>
      <c r="J1142" s="18"/>
      <c r="K1142" s="4"/>
      <c r="L1142" s="19"/>
      <c r="M1142" s="20"/>
    </row>
    <row r="1143">
      <c r="A1143" s="6"/>
      <c r="B1143" s="6"/>
      <c r="C1143" s="4"/>
      <c r="D1143" s="36">
        <v>33.152532</v>
      </c>
      <c r="E1143" s="4" t="s">
        <v>9007</v>
      </c>
      <c r="F1143" s="4"/>
      <c r="G1143" s="4"/>
      <c r="H1143" s="4"/>
      <c r="I1143" s="4"/>
      <c r="J1143" s="18"/>
      <c r="K1143" s="4"/>
      <c r="L1143" s="19"/>
      <c r="M1143" s="20"/>
    </row>
    <row r="1144">
      <c r="A1144" s="6"/>
      <c r="B1144" s="6"/>
      <c r="C1144" s="4"/>
      <c r="D1144" s="36">
        <v>224.000554</v>
      </c>
      <c r="E1144" s="4" t="s">
        <v>9008</v>
      </c>
      <c r="F1144" s="4"/>
      <c r="G1144" s="4"/>
      <c r="H1144" s="4"/>
      <c r="I1144" s="4"/>
      <c r="J1144" s="18"/>
      <c r="K1144" s="4"/>
      <c r="L1144" s="19"/>
      <c r="M1144" s="20"/>
    </row>
    <row r="1145">
      <c r="A1145" s="6"/>
      <c r="B1145" s="6"/>
      <c r="C1145" s="4"/>
      <c r="D1145" s="36">
        <v>79.277098</v>
      </c>
      <c r="E1145" s="4" t="s">
        <v>475</v>
      </c>
      <c r="F1145" s="4"/>
      <c r="G1145" s="4"/>
      <c r="H1145" s="4"/>
      <c r="I1145" s="4"/>
      <c r="J1145" s="18"/>
      <c r="K1145" s="4"/>
      <c r="L1145" s="19"/>
      <c r="M1145" s="20"/>
    </row>
    <row r="1146">
      <c r="A1146" s="6"/>
      <c r="B1146" s="6"/>
      <c r="C1146" s="4"/>
      <c r="D1146" s="36">
        <v>37.34686</v>
      </c>
      <c r="E1146" s="4" t="s">
        <v>3239</v>
      </c>
      <c r="F1146" s="4"/>
      <c r="G1146" s="4"/>
      <c r="H1146" s="4"/>
      <c r="I1146" s="4"/>
      <c r="J1146" s="18"/>
      <c r="K1146" s="4"/>
      <c r="L1146" s="19"/>
      <c r="M1146" s="20"/>
    </row>
    <row r="1147">
      <c r="A1147" s="6"/>
      <c r="B1147" s="6"/>
      <c r="C1147" s="4"/>
      <c r="D1147" s="36">
        <v>143.391666</v>
      </c>
      <c r="E1147" s="4" t="s">
        <v>31</v>
      </c>
      <c r="F1147" s="4"/>
      <c r="G1147" s="4"/>
      <c r="H1147" s="4"/>
      <c r="I1147" s="4"/>
      <c r="J1147" s="18"/>
      <c r="K1147" s="4"/>
      <c r="L1147" s="19"/>
      <c r="M1147" s="20"/>
    </row>
    <row r="1148">
      <c r="A1148" s="6"/>
      <c r="B1148" s="6"/>
      <c r="C1148" s="4"/>
      <c r="D1148" s="36">
        <v>194.68765</v>
      </c>
      <c r="E1148" s="4" t="s">
        <v>1639</v>
      </c>
      <c r="F1148" s="4"/>
      <c r="G1148" s="4"/>
      <c r="H1148" s="4"/>
      <c r="I1148" s="4"/>
      <c r="J1148" s="18"/>
      <c r="K1148" s="4"/>
      <c r="L1148" s="19"/>
      <c r="M1148" s="20"/>
    </row>
    <row r="1149">
      <c r="A1149" s="6"/>
      <c r="B1149" s="6"/>
      <c r="C1149" s="4"/>
      <c r="D1149" s="36">
        <v>200.402386</v>
      </c>
      <c r="E1149" s="4" t="s">
        <v>534</v>
      </c>
      <c r="F1149" s="4"/>
      <c r="G1149" s="4"/>
      <c r="H1149" s="4"/>
      <c r="I1149" s="4"/>
      <c r="J1149" s="18"/>
      <c r="K1149" s="4"/>
      <c r="L1149" s="19"/>
      <c r="M1149" s="20"/>
    </row>
    <row r="1150">
      <c r="A1150" s="6"/>
      <c r="B1150" s="6"/>
      <c r="C1150" s="4"/>
      <c r="D1150" s="36">
        <v>224.000554</v>
      </c>
      <c r="E1150" s="4" t="s">
        <v>1121</v>
      </c>
      <c r="F1150" s="4"/>
      <c r="G1150" s="4"/>
      <c r="H1150" s="4"/>
      <c r="I1150" s="4"/>
      <c r="J1150" s="18"/>
      <c r="K1150" s="4"/>
      <c r="L1150" s="19"/>
      <c r="M1150" s="20"/>
    </row>
    <row r="1151">
      <c r="A1151" s="6"/>
      <c r="B1151" s="6"/>
      <c r="C1151" s="4"/>
      <c r="D1151" s="36">
        <v>111.386574</v>
      </c>
      <c r="E1151" s="4" t="s">
        <v>554</v>
      </c>
      <c r="F1151" s="4"/>
      <c r="G1151" s="4"/>
      <c r="H1151" s="4"/>
      <c r="I1151" s="4"/>
      <c r="J1151" s="18"/>
      <c r="K1151" s="4"/>
      <c r="L1151" s="19"/>
      <c r="M1151" s="20"/>
    </row>
    <row r="1152">
      <c r="A1152" s="6"/>
      <c r="B1152" s="6"/>
      <c r="C1152" s="4"/>
      <c r="D1152" s="36">
        <v>92.199412</v>
      </c>
      <c r="E1152" s="4" t="s">
        <v>929</v>
      </c>
      <c r="F1152" s="4"/>
      <c r="G1152" s="4"/>
      <c r="H1152" s="4"/>
      <c r="I1152" s="4"/>
      <c r="J1152" s="18"/>
      <c r="K1152" s="4"/>
      <c r="L1152" s="19"/>
      <c r="M1152" s="20"/>
    </row>
    <row r="1153">
      <c r="A1153" s="6"/>
      <c r="B1153" s="6"/>
      <c r="C1153" s="4"/>
      <c r="D1153" s="36">
        <v>35.191984</v>
      </c>
      <c r="E1153" s="4" t="s">
        <v>338</v>
      </c>
      <c r="F1153" s="4"/>
      <c r="G1153" s="4"/>
      <c r="H1153" s="4"/>
      <c r="I1153" s="4"/>
      <c r="J1153" s="18"/>
      <c r="K1153" s="4"/>
      <c r="L1153" s="19"/>
      <c r="M1153" s="20"/>
    </row>
    <row r="1154">
      <c r="A1154" s="6"/>
      <c r="B1154" s="6"/>
      <c r="C1154" s="4"/>
      <c r="D1154" s="36">
        <v>220.476437</v>
      </c>
      <c r="E1154" s="4" t="s">
        <v>9009</v>
      </c>
      <c r="F1154" s="4"/>
      <c r="G1154" s="4"/>
      <c r="H1154" s="4"/>
      <c r="I1154" s="4"/>
      <c r="J1154" s="18"/>
      <c r="K1154" s="4"/>
      <c r="L1154" s="19"/>
      <c r="M1154" s="20"/>
    </row>
    <row r="1155">
      <c r="A1155" s="6"/>
      <c r="B1155" s="6"/>
      <c r="C1155" s="4"/>
      <c r="D1155" s="36">
        <v>82.665564</v>
      </c>
      <c r="E1155" s="4" t="s">
        <v>5818</v>
      </c>
      <c r="F1155" s="4"/>
      <c r="G1155" s="4"/>
      <c r="H1155" s="4"/>
      <c r="I1155" s="4"/>
      <c r="J1155" s="18"/>
      <c r="K1155" s="4"/>
      <c r="L1155" s="19"/>
      <c r="M1155" s="20"/>
    </row>
    <row r="1156">
      <c r="A1156" s="6"/>
      <c r="B1156" s="6"/>
      <c r="C1156" s="4"/>
      <c r="D1156" s="36">
        <v>71.133114</v>
      </c>
      <c r="E1156" s="4" t="s">
        <v>8685</v>
      </c>
      <c r="F1156" s="4"/>
      <c r="G1156" s="4"/>
      <c r="H1156" s="4"/>
      <c r="I1156" s="4"/>
      <c r="J1156" s="18"/>
      <c r="K1156" s="4"/>
      <c r="L1156" s="19"/>
      <c r="M1156" s="20"/>
    </row>
    <row r="1157">
      <c r="A1157" s="6"/>
      <c r="B1157" s="6"/>
      <c r="C1157" s="4"/>
      <c r="D1157" s="36">
        <v>224.000554</v>
      </c>
      <c r="E1157" s="4" t="s">
        <v>9010</v>
      </c>
      <c r="F1157" s="4"/>
      <c r="G1157" s="4"/>
      <c r="H1157" s="4"/>
      <c r="I1157" s="4"/>
      <c r="J1157" s="18"/>
      <c r="K1157" s="4"/>
      <c r="L1157" s="19"/>
      <c r="M1157" s="20"/>
    </row>
    <row r="1158">
      <c r="A1158" s="6"/>
      <c r="B1158" s="6"/>
      <c r="C1158" s="4"/>
      <c r="D1158" s="36">
        <v>224.000554</v>
      </c>
      <c r="E1158" s="4" t="s">
        <v>673</v>
      </c>
      <c r="F1158" s="4"/>
      <c r="G1158" s="4"/>
      <c r="H1158" s="4"/>
      <c r="I1158" s="4"/>
      <c r="J1158" s="18"/>
      <c r="K1158" s="4"/>
      <c r="L1158" s="19"/>
      <c r="M1158" s="20"/>
    </row>
    <row r="1159">
      <c r="A1159" s="6"/>
      <c r="B1159" s="6"/>
      <c r="C1159" s="4"/>
      <c r="D1159" s="36">
        <v>224.000554</v>
      </c>
      <c r="E1159" s="4" t="s">
        <v>4576</v>
      </c>
      <c r="F1159" s="4"/>
      <c r="G1159" s="4"/>
      <c r="H1159" s="4"/>
      <c r="I1159" s="4"/>
      <c r="J1159" s="18"/>
      <c r="K1159" s="4"/>
      <c r="L1159" s="19"/>
      <c r="M1159" s="20"/>
    </row>
    <row r="1160">
      <c r="A1160" s="6"/>
      <c r="B1160" s="6"/>
      <c r="C1160" s="4"/>
      <c r="D1160" s="36">
        <v>198.97044</v>
      </c>
      <c r="E1160" s="4" t="s">
        <v>2981</v>
      </c>
      <c r="F1160" s="4"/>
      <c r="G1160" s="4"/>
      <c r="H1160" s="4"/>
      <c r="I1160" s="4"/>
      <c r="J1160" s="18"/>
      <c r="K1160" s="4"/>
      <c r="L1160" s="19"/>
      <c r="M1160" s="20"/>
    </row>
    <row r="1161">
      <c r="A1161" s="6"/>
      <c r="B1161" s="6"/>
      <c r="C1161" s="4"/>
      <c r="D1161" s="36">
        <v>91.74141</v>
      </c>
      <c r="E1161" s="4" t="s">
        <v>834</v>
      </c>
      <c r="F1161" s="4"/>
      <c r="G1161" s="4"/>
      <c r="H1161" s="4"/>
      <c r="I1161" s="4"/>
      <c r="J1161" s="18"/>
      <c r="K1161" s="4"/>
      <c r="L1161" s="19"/>
      <c r="M1161" s="20"/>
    </row>
    <row r="1162">
      <c r="A1162" s="6"/>
      <c r="B1162" s="6"/>
      <c r="C1162" s="4"/>
      <c r="D1162" s="36">
        <v>224.000554</v>
      </c>
      <c r="E1162" s="4" t="s">
        <v>9011</v>
      </c>
      <c r="F1162" s="4"/>
      <c r="G1162" s="4"/>
      <c r="H1162" s="4"/>
      <c r="I1162" s="4"/>
      <c r="J1162" s="18"/>
      <c r="K1162" s="4"/>
      <c r="L1162" s="19"/>
      <c r="M1162" s="20"/>
    </row>
    <row r="1163">
      <c r="A1163" s="6"/>
      <c r="B1163" s="6"/>
      <c r="C1163" s="4"/>
      <c r="D1163" s="36">
        <v>11.135972</v>
      </c>
      <c r="E1163" s="4" t="s">
        <v>9012</v>
      </c>
      <c r="F1163" s="4"/>
      <c r="G1163" s="4"/>
      <c r="H1163" s="4"/>
      <c r="I1163" s="4"/>
      <c r="J1163" s="18"/>
      <c r="K1163" s="4"/>
      <c r="L1163" s="19"/>
      <c r="M1163" s="20"/>
    </row>
    <row r="1164">
      <c r="A1164" s="6"/>
      <c r="B1164" s="6"/>
      <c r="C1164" s="4"/>
      <c r="D1164" s="36">
        <v>44.060319</v>
      </c>
      <c r="E1164" s="4" t="s">
        <v>8640</v>
      </c>
      <c r="F1164" s="4"/>
      <c r="G1164" s="4"/>
      <c r="H1164" s="4"/>
      <c r="I1164" s="4"/>
      <c r="J1164" s="18"/>
      <c r="K1164" s="4"/>
      <c r="L1164" s="19"/>
      <c r="M1164" s="20"/>
    </row>
    <row r="1165">
      <c r="A1165" s="6"/>
      <c r="B1165" s="6"/>
      <c r="C1165" s="4"/>
      <c r="D1165" s="36">
        <v>224.000554</v>
      </c>
      <c r="E1165" s="4" t="s">
        <v>1241</v>
      </c>
      <c r="F1165" s="4"/>
      <c r="G1165" s="4"/>
      <c r="H1165" s="4"/>
      <c r="I1165" s="4"/>
      <c r="J1165" s="18"/>
      <c r="K1165" s="4"/>
      <c r="L1165" s="19"/>
      <c r="M1165" s="20"/>
    </row>
    <row r="1166">
      <c r="A1166" s="6"/>
      <c r="B1166" s="6"/>
      <c r="C1166" s="4"/>
      <c r="D1166" s="36">
        <v>224.000554</v>
      </c>
      <c r="E1166" s="4" t="s">
        <v>9013</v>
      </c>
      <c r="F1166" s="4"/>
      <c r="G1166" s="4"/>
      <c r="H1166" s="4"/>
      <c r="I1166" s="4"/>
      <c r="J1166" s="18"/>
      <c r="K1166" s="4"/>
      <c r="L1166" s="19"/>
      <c r="M1166" s="20"/>
    </row>
    <row r="1167">
      <c r="A1167" s="6"/>
      <c r="B1167" s="6"/>
      <c r="C1167" s="4"/>
      <c r="D1167" s="36">
        <v>68.568753</v>
      </c>
      <c r="E1167" s="4" t="s">
        <v>8726</v>
      </c>
      <c r="F1167" s="4"/>
      <c r="G1167" s="4"/>
      <c r="H1167" s="4"/>
      <c r="I1167" s="4"/>
      <c r="J1167" s="18"/>
      <c r="K1167" s="4"/>
      <c r="L1167" s="19"/>
      <c r="M1167" s="20"/>
    </row>
    <row r="1168">
      <c r="A1168" s="6"/>
      <c r="B1168" s="6"/>
      <c r="C1168" s="4"/>
      <c r="D1168" s="36">
        <v>56.449098</v>
      </c>
      <c r="E1168" s="4" t="s">
        <v>9014</v>
      </c>
      <c r="F1168" s="4"/>
      <c r="G1168" s="4"/>
      <c r="H1168" s="4"/>
      <c r="I1168" s="4"/>
      <c r="J1168" s="18"/>
      <c r="K1168" s="4"/>
      <c r="L1168" s="19"/>
      <c r="M1168" s="20"/>
    </row>
    <row r="1169">
      <c r="A1169" s="6"/>
      <c r="B1169" s="6"/>
      <c r="C1169" s="4"/>
      <c r="D1169" s="36">
        <v>33.609926</v>
      </c>
      <c r="E1169" s="4" t="s">
        <v>7066</v>
      </c>
      <c r="F1169" s="4"/>
      <c r="G1169" s="4"/>
      <c r="H1169" s="4"/>
      <c r="I1169" s="4"/>
      <c r="J1169" s="18"/>
      <c r="K1169" s="4"/>
      <c r="L1169" s="19"/>
      <c r="M1169" s="20"/>
    </row>
    <row r="1170">
      <c r="A1170" s="6"/>
      <c r="B1170" s="6"/>
      <c r="C1170" s="4"/>
      <c r="D1170" s="36">
        <v>102.928114</v>
      </c>
      <c r="E1170" s="4" t="s">
        <v>5278</v>
      </c>
      <c r="F1170" s="4"/>
      <c r="G1170" s="4"/>
      <c r="H1170" s="4"/>
      <c r="I1170" s="4"/>
      <c r="J1170" s="18"/>
      <c r="K1170" s="4"/>
      <c r="L1170" s="19"/>
      <c r="M1170" s="20"/>
    </row>
    <row r="1171">
      <c r="A1171" s="6"/>
      <c r="B1171" s="6"/>
      <c r="C1171" s="4"/>
      <c r="D1171" s="36">
        <v>76.97804</v>
      </c>
      <c r="E1171" s="4" t="s">
        <v>107</v>
      </c>
      <c r="F1171" s="4"/>
      <c r="G1171" s="4"/>
      <c r="H1171" s="4"/>
      <c r="I1171" s="4"/>
      <c r="J1171" s="18"/>
      <c r="K1171" s="4"/>
      <c r="L1171" s="19"/>
      <c r="M1171" s="20"/>
    </row>
    <row r="1172">
      <c r="A1172" s="6"/>
      <c r="B1172" s="6"/>
      <c r="C1172" s="4"/>
      <c r="D1172" s="36">
        <v>56.000138</v>
      </c>
      <c r="E1172" s="4" t="s">
        <v>8321</v>
      </c>
      <c r="F1172" s="4"/>
      <c r="G1172" s="4"/>
      <c r="H1172" s="4"/>
      <c r="I1172" s="4"/>
      <c r="J1172" s="18"/>
      <c r="K1172" s="4"/>
      <c r="L1172" s="19"/>
      <c r="M1172" s="20"/>
    </row>
    <row r="1173">
      <c r="A1173" s="6"/>
      <c r="B1173" s="6"/>
      <c r="C1173" s="4"/>
      <c r="D1173" s="36">
        <v>224.000554</v>
      </c>
      <c r="E1173" s="4" t="s">
        <v>9015</v>
      </c>
      <c r="F1173" s="4"/>
      <c r="G1173" s="4"/>
      <c r="H1173" s="4"/>
      <c r="I1173" s="4"/>
      <c r="J1173" s="18"/>
      <c r="K1173" s="4"/>
      <c r="L1173" s="19"/>
      <c r="M1173" s="20"/>
    </row>
    <row r="1174">
      <c r="A1174" s="6"/>
      <c r="B1174" s="6"/>
      <c r="C1174" s="4"/>
      <c r="D1174" s="36">
        <v>224.000554</v>
      </c>
      <c r="E1174" s="4" t="s">
        <v>7465</v>
      </c>
      <c r="F1174" s="4"/>
      <c r="G1174" s="4"/>
      <c r="H1174" s="4"/>
      <c r="I1174" s="4"/>
      <c r="J1174" s="18"/>
      <c r="K1174" s="4"/>
      <c r="L1174" s="19"/>
      <c r="M1174" s="20"/>
    </row>
    <row r="1175">
      <c r="A1175" s="6"/>
      <c r="B1175" s="6"/>
      <c r="C1175" s="4"/>
      <c r="D1175" s="36">
        <v>150.080371</v>
      </c>
      <c r="E1175" s="4" t="s">
        <v>9016</v>
      </c>
      <c r="F1175" s="4"/>
      <c r="G1175" s="4"/>
      <c r="H1175" s="4"/>
      <c r="I1175" s="4"/>
      <c r="J1175" s="18"/>
      <c r="K1175" s="4"/>
      <c r="L1175" s="19"/>
      <c r="M1175" s="20"/>
    </row>
    <row r="1176">
      <c r="A1176" s="6"/>
      <c r="B1176" s="6"/>
      <c r="C1176" s="4"/>
      <c r="D1176" s="36">
        <v>224.000554</v>
      </c>
      <c r="E1176" s="4" t="s">
        <v>485</v>
      </c>
      <c r="F1176" s="4"/>
      <c r="G1176" s="4"/>
      <c r="H1176" s="4"/>
      <c r="I1176" s="4"/>
      <c r="J1176" s="18"/>
      <c r="K1176" s="4"/>
      <c r="L1176" s="19"/>
      <c r="M1176" s="20"/>
    </row>
    <row r="1177">
      <c r="A1177" s="6"/>
      <c r="B1177" s="6"/>
      <c r="C1177" s="4"/>
      <c r="D1177" s="36">
        <v>56.084471</v>
      </c>
      <c r="E1177" s="4" t="s">
        <v>8581</v>
      </c>
      <c r="F1177" s="4"/>
      <c r="G1177" s="4"/>
      <c r="H1177" s="4"/>
      <c r="I1177" s="4"/>
      <c r="J1177" s="18"/>
      <c r="K1177" s="4"/>
      <c r="L1177" s="19"/>
      <c r="M1177" s="20"/>
    </row>
    <row r="1178">
      <c r="A1178" s="6"/>
      <c r="B1178" s="6"/>
      <c r="C1178" s="4"/>
      <c r="D1178" s="36">
        <v>122.848917</v>
      </c>
      <c r="E1178" s="4" t="s">
        <v>675</v>
      </c>
      <c r="F1178" s="4"/>
      <c r="G1178" s="4"/>
      <c r="H1178" s="4"/>
      <c r="I1178" s="4"/>
      <c r="J1178" s="18"/>
      <c r="K1178" s="4"/>
      <c r="L1178" s="19"/>
      <c r="M1178" s="20"/>
    </row>
    <row r="1179">
      <c r="A1179" s="6"/>
      <c r="B1179" s="6"/>
      <c r="C1179" s="4"/>
      <c r="D1179" s="36">
        <v>59.076001</v>
      </c>
      <c r="E1179" s="4" t="s">
        <v>3626</v>
      </c>
      <c r="F1179" s="4"/>
      <c r="G1179" s="4"/>
      <c r="H1179" s="4"/>
      <c r="I1179" s="4"/>
      <c r="J1179" s="18"/>
      <c r="K1179" s="4"/>
      <c r="L1179" s="19"/>
      <c r="M1179" s="20"/>
    </row>
    <row r="1180">
      <c r="A1180" s="6"/>
      <c r="B1180" s="6"/>
      <c r="C1180" s="4"/>
      <c r="D1180" s="36">
        <v>224.000554</v>
      </c>
      <c r="E1180" s="4" t="s">
        <v>1283</v>
      </c>
      <c r="F1180" s="4"/>
      <c r="G1180" s="4"/>
      <c r="H1180" s="4"/>
      <c r="I1180" s="4"/>
      <c r="J1180" s="18"/>
      <c r="K1180" s="4"/>
      <c r="L1180" s="19"/>
      <c r="M1180" s="20"/>
    </row>
    <row r="1181">
      <c r="A1181" s="6"/>
      <c r="B1181" s="6"/>
      <c r="C1181" s="4"/>
      <c r="D1181" s="36">
        <v>27.229322</v>
      </c>
      <c r="E1181" s="4" t="s">
        <v>6761</v>
      </c>
      <c r="F1181" s="4"/>
      <c r="G1181" s="4"/>
      <c r="H1181" s="4"/>
      <c r="I1181" s="4"/>
      <c r="J1181" s="18"/>
      <c r="K1181" s="4"/>
      <c r="L1181" s="19"/>
      <c r="M1181" s="20"/>
    </row>
    <row r="1182">
      <c r="A1182" s="6"/>
      <c r="B1182" s="6"/>
      <c r="C1182" s="4"/>
      <c r="D1182" s="36">
        <v>100.811449</v>
      </c>
      <c r="E1182" s="4" t="s">
        <v>9017</v>
      </c>
      <c r="F1182" s="4"/>
      <c r="G1182" s="4"/>
      <c r="H1182" s="4"/>
      <c r="I1182" s="4"/>
      <c r="J1182" s="18"/>
      <c r="K1182" s="4"/>
      <c r="L1182" s="19"/>
      <c r="M1182" s="20"/>
    </row>
    <row r="1183">
      <c r="A1183" s="6"/>
      <c r="B1183" s="6"/>
      <c r="C1183" s="4"/>
      <c r="D1183" s="36">
        <v>224.000554</v>
      </c>
      <c r="E1183" s="4" t="s">
        <v>8453</v>
      </c>
      <c r="F1183" s="4"/>
      <c r="G1183" s="4"/>
      <c r="H1183" s="4"/>
      <c r="I1183" s="4"/>
      <c r="J1183" s="18"/>
      <c r="K1183" s="4"/>
      <c r="L1183" s="19"/>
      <c r="M1183" s="20"/>
    </row>
    <row r="1184">
      <c r="A1184" s="6"/>
      <c r="B1184" s="6"/>
      <c r="C1184" s="4"/>
      <c r="D1184" s="36">
        <v>68.127717</v>
      </c>
      <c r="E1184" s="4" t="s">
        <v>3737</v>
      </c>
      <c r="F1184" s="4"/>
      <c r="G1184" s="4"/>
      <c r="H1184" s="4"/>
      <c r="I1184" s="4"/>
      <c r="J1184" s="18"/>
      <c r="K1184" s="4"/>
      <c r="L1184" s="19"/>
      <c r="M1184" s="20"/>
    </row>
    <row r="1185">
      <c r="A1185" s="6"/>
      <c r="B1185" s="6"/>
      <c r="C1185" s="4"/>
      <c r="D1185" s="36">
        <v>224.000554</v>
      </c>
      <c r="E1185" s="4" t="s">
        <v>9018</v>
      </c>
      <c r="F1185" s="4"/>
      <c r="G1185" s="4"/>
      <c r="H1185" s="4"/>
      <c r="I1185" s="4"/>
      <c r="J1185" s="18"/>
      <c r="K1185" s="4"/>
      <c r="L1185" s="19"/>
      <c r="M1185" s="20"/>
    </row>
    <row r="1186">
      <c r="A1186" s="6"/>
      <c r="B1186" s="6"/>
      <c r="C1186" s="4"/>
      <c r="D1186" s="36">
        <v>224.000554</v>
      </c>
      <c r="E1186" s="4" t="s">
        <v>9019</v>
      </c>
      <c r="F1186" s="4"/>
      <c r="G1186" s="4"/>
      <c r="H1186" s="4"/>
      <c r="I1186" s="4"/>
      <c r="J1186" s="18"/>
      <c r="K1186" s="4"/>
      <c r="L1186" s="19"/>
      <c r="M1186" s="20"/>
    </row>
    <row r="1187">
      <c r="A1187" s="6"/>
      <c r="B1187" s="6"/>
      <c r="C1187" s="4"/>
      <c r="D1187" s="36">
        <v>224.000554</v>
      </c>
      <c r="E1187" s="4" t="s">
        <v>9020</v>
      </c>
      <c r="F1187" s="4"/>
      <c r="G1187" s="4"/>
      <c r="H1187" s="4"/>
      <c r="I1187" s="4"/>
      <c r="J1187" s="18"/>
      <c r="K1187" s="4"/>
      <c r="L1187" s="19"/>
      <c r="M1187" s="20"/>
    </row>
    <row r="1188">
      <c r="A1188" s="6"/>
      <c r="B1188" s="6"/>
      <c r="C1188" s="4"/>
      <c r="D1188" s="36">
        <v>224.000554</v>
      </c>
      <c r="E1188" s="4" t="s">
        <v>9021</v>
      </c>
      <c r="F1188" s="4"/>
      <c r="G1188" s="4"/>
      <c r="H1188" s="4"/>
      <c r="I1188" s="4"/>
      <c r="J1188" s="18"/>
      <c r="K1188" s="4"/>
      <c r="L1188" s="19"/>
      <c r="M1188" s="20"/>
    </row>
    <row r="1189">
      <c r="A1189" s="6"/>
      <c r="B1189" s="6"/>
      <c r="C1189" s="4"/>
      <c r="D1189" s="36">
        <v>98.457607</v>
      </c>
      <c r="E1189" s="4" t="s">
        <v>8753</v>
      </c>
      <c r="F1189" s="4"/>
      <c r="G1189" s="4"/>
      <c r="H1189" s="4"/>
      <c r="I1189" s="4"/>
      <c r="J1189" s="18"/>
      <c r="K1189" s="4"/>
      <c r="L1189" s="19"/>
      <c r="M1189" s="20"/>
    </row>
    <row r="1190">
      <c r="A1190" s="6"/>
      <c r="B1190" s="6"/>
      <c r="C1190" s="4"/>
      <c r="D1190" s="36">
        <v>224.000554</v>
      </c>
      <c r="E1190" s="4" t="s">
        <v>6172</v>
      </c>
      <c r="F1190" s="4"/>
      <c r="G1190" s="4"/>
      <c r="H1190" s="4"/>
      <c r="I1190" s="4"/>
      <c r="J1190" s="18"/>
      <c r="K1190" s="4"/>
      <c r="L1190" s="19"/>
      <c r="M1190" s="20"/>
    </row>
    <row r="1191">
      <c r="A1191" s="6"/>
      <c r="B1191" s="6"/>
      <c r="C1191" s="4"/>
      <c r="D1191" s="36">
        <v>217.171556</v>
      </c>
      <c r="E1191" s="4" t="s">
        <v>2999</v>
      </c>
      <c r="F1191" s="4"/>
      <c r="G1191" s="4"/>
      <c r="H1191" s="4"/>
      <c r="I1191" s="4"/>
      <c r="J1191" s="18"/>
      <c r="K1191" s="4"/>
      <c r="L1191" s="19"/>
      <c r="M1191" s="20"/>
    </row>
    <row r="1192">
      <c r="A1192" s="6"/>
      <c r="B1192" s="6"/>
      <c r="C1192" s="4"/>
      <c r="D1192" s="36">
        <v>97.642988</v>
      </c>
      <c r="E1192" s="4" t="s">
        <v>9022</v>
      </c>
      <c r="F1192" s="4"/>
      <c r="G1192" s="4"/>
      <c r="H1192" s="4"/>
      <c r="I1192" s="4"/>
      <c r="J1192" s="18"/>
      <c r="K1192" s="4"/>
      <c r="L1192" s="19"/>
      <c r="M1192" s="20"/>
    </row>
    <row r="1193">
      <c r="A1193" s="6"/>
      <c r="B1193" s="6"/>
      <c r="C1193" s="4"/>
      <c r="D1193" s="36">
        <v>63.346504</v>
      </c>
      <c r="E1193" s="4" t="s">
        <v>5958</v>
      </c>
      <c r="F1193" s="4"/>
      <c r="G1193" s="4"/>
      <c r="H1193" s="4"/>
      <c r="I1193" s="4"/>
      <c r="J1193" s="18"/>
      <c r="K1193" s="4"/>
      <c r="L1193" s="19"/>
      <c r="M1193" s="20"/>
    </row>
    <row r="1194">
      <c r="A1194" s="6"/>
      <c r="B1194" s="6"/>
      <c r="C1194" s="4"/>
      <c r="D1194" s="36">
        <v>224.000554</v>
      </c>
      <c r="E1194" s="4" t="s">
        <v>8716</v>
      </c>
      <c r="F1194" s="4"/>
      <c r="G1194" s="4"/>
      <c r="H1194" s="4"/>
      <c r="I1194" s="4"/>
      <c r="J1194" s="18"/>
      <c r="K1194" s="4"/>
      <c r="L1194" s="19"/>
      <c r="M1194" s="20"/>
    </row>
    <row r="1195">
      <c r="A1195" s="6"/>
      <c r="B1195" s="6"/>
      <c r="C1195" s="4"/>
      <c r="D1195" s="36">
        <v>224.000554</v>
      </c>
      <c r="E1195" s="4" t="s">
        <v>1576</v>
      </c>
      <c r="F1195" s="4"/>
      <c r="G1195" s="4"/>
      <c r="H1195" s="4"/>
      <c r="I1195" s="4"/>
      <c r="J1195" s="18"/>
      <c r="K1195" s="4"/>
      <c r="L1195" s="19"/>
      <c r="M1195" s="20"/>
    </row>
    <row r="1196">
      <c r="A1196" s="6"/>
      <c r="B1196" s="6"/>
      <c r="C1196" s="4"/>
      <c r="D1196" s="36">
        <v>33.663225</v>
      </c>
      <c r="E1196" s="4" t="s">
        <v>9023</v>
      </c>
      <c r="F1196" s="4"/>
      <c r="G1196" s="4"/>
      <c r="H1196" s="4"/>
      <c r="I1196" s="4"/>
      <c r="J1196" s="18"/>
      <c r="K1196" s="4"/>
      <c r="L1196" s="19"/>
      <c r="M1196" s="20"/>
    </row>
    <row r="1197">
      <c r="A1197" s="6"/>
      <c r="B1197" s="6"/>
      <c r="C1197" s="4"/>
      <c r="D1197" s="36">
        <v>224.000554</v>
      </c>
      <c r="E1197" s="4" t="s">
        <v>613</v>
      </c>
      <c r="F1197" s="4"/>
      <c r="G1197" s="4"/>
      <c r="H1197" s="4"/>
      <c r="I1197" s="4"/>
      <c r="J1197" s="18"/>
      <c r="K1197" s="4"/>
      <c r="L1197" s="19"/>
      <c r="M1197" s="20"/>
    </row>
    <row r="1198">
      <c r="A1198" s="6"/>
      <c r="B1198" s="6"/>
      <c r="C1198" s="4"/>
      <c r="D1198" s="36">
        <v>113.708904</v>
      </c>
      <c r="E1198" s="4" t="s">
        <v>3261</v>
      </c>
      <c r="F1198" s="4"/>
      <c r="G1198" s="4"/>
      <c r="H1198" s="4"/>
      <c r="I1198" s="4"/>
      <c r="J1198" s="18"/>
      <c r="K1198" s="4"/>
      <c r="L1198" s="19"/>
      <c r="M1198" s="20"/>
    </row>
    <row r="1199">
      <c r="A1199" s="6"/>
      <c r="B1199" s="6"/>
      <c r="C1199" s="4"/>
      <c r="D1199" s="36">
        <v>224.000554</v>
      </c>
      <c r="E1199" s="4" t="s">
        <v>9024</v>
      </c>
      <c r="F1199" s="4"/>
      <c r="G1199" s="4"/>
      <c r="H1199" s="4"/>
      <c r="I1199" s="4"/>
      <c r="J1199" s="18"/>
      <c r="K1199" s="4"/>
      <c r="L1199" s="19"/>
      <c r="M1199" s="20"/>
    </row>
    <row r="1200">
      <c r="A1200" s="6"/>
      <c r="B1200" s="6"/>
      <c r="C1200" s="4"/>
      <c r="D1200" s="36">
        <v>37.038088</v>
      </c>
      <c r="E1200" s="4" t="s">
        <v>8587</v>
      </c>
      <c r="F1200" s="4"/>
      <c r="G1200" s="4"/>
      <c r="H1200" s="4"/>
      <c r="I1200" s="4"/>
      <c r="J1200" s="18"/>
      <c r="K1200" s="4"/>
      <c r="L1200" s="19"/>
      <c r="M1200" s="20"/>
    </row>
    <row r="1201">
      <c r="A1201" s="6"/>
      <c r="B1201" s="6"/>
      <c r="C1201" s="4"/>
      <c r="D1201" s="36">
        <v>136.921075</v>
      </c>
      <c r="E1201" s="4" t="s">
        <v>8535</v>
      </c>
      <c r="F1201" s="4"/>
      <c r="G1201" s="4"/>
      <c r="H1201" s="4"/>
      <c r="I1201" s="4"/>
      <c r="J1201" s="18"/>
      <c r="K1201" s="4"/>
      <c r="L1201" s="19"/>
      <c r="M1201" s="20"/>
    </row>
    <row r="1202">
      <c r="A1202" s="6"/>
      <c r="B1202" s="6"/>
      <c r="C1202" s="4"/>
      <c r="D1202" s="36">
        <v>456.878902</v>
      </c>
      <c r="E1202" s="4" t="s">
        <v>9009</v>
      </c>
      <c r="F1202" s="4"/>
      <c r="G1202" s="4"/>
      <c r="H1202" s="4"/>
      <c r="I1202" s="4"/>
      <c r="J1202" s="18"/>
      <c r="K1202" s="4"/>
      <c r="L1202" s="19"/>
      <c r="M1202" s="20"/>
    </row>
    <row r="1203">
      <c r="A1203" s="6"/>
      <c r="B1203" s="6"/>
      <c r="C1203" s="4"/>
      <c r="D1203" s="36">
        <v>465.107548</v>
      </c>
      <c r="E1203" s="4" t="s">
        <v>367</v>
      </c>
      <c r="F1203" s="4"/>
      <c r="G1203" s="4"/>
      <c r="H1203" s="4"/>
      <c r="I1203" s="4"/>
      <c r="J1203" s="18"/>
      <c r="K1203" s="4"/>
      <c r="L1203" s="19"/>
      <c r="M1203" s="20"/>
    </row>
    <row r="1204">
      <c r="A1204" s="6"/>
      <c r="B1204" s="6"/>
      <c r="C1204" s="4"/>
      <c r="D1204" s="36">
        <v>465.107548</v>
      </c>
      <c r="E1204" s="4" t="s">
        <v>8701</v>
      </c>
      <c r="F1204" s="4"/>
      <c r="G1204" s="4"/>
      <c r="H1204" s="4"/>
      <c r="I1204" s="4"/>
      <c r="J1204" s="18"/>
      <c r="K1204" s="4"/>
      <c r="L1204" s="19"/>
      <c r="M1204" s="20"/>
    </row>
    <row r="1205">
      <c r="A1205" s="6"/>
      <c r="B1205" s="6"/>
      <c r="C1205" s="4"/>
      <c r="D1205" s="36">
        <v>254.587279</v>
      </c>
      <c r="E1205" s="4" t="s">
        <v>9025</v>
      </c>
      <c r="F1205" s="4"/>
      <c r="G1205" s="4"/>
      <c r="H1205" s="4"/>
      <c r="I1205" s="4"/>
      <c r="J1205" s="18"/>
      <c r="K1205" s="4"/>
      <c r="L1205" s="19"/>
      <c r="M1205" s="20"/>
    </row>
    <row r="1206">
      <c r="A1206" s="6"/>
      <c r="B1206" s="6"/>
      <c r="C1206" s="4"/>
      <c r="D1206" s="36">
        <v>465.107548</v>
      </c>
      <c r="E1206" s="4" t="s">
        <v>2806</v>
      </c>
      <c r="F1206" s="4"/>
      <c r="G1206" s="4"/>
      <c r="H1206" s="4"/>
      <c r="I1206" s="4"/>
      <c r="J1206" s="18"/>
      <c r="K1206" s="4"/>
      <c r="L1206" s="19"/>
      <c r="M1206" s="20"/>
    </row>
    <row r="1207">
      <c r="A1207" s="6"/>
      <c r="B1207" s="6"/>
      <c r="C1207" s="4"/>
      <c r="D1207" s="36">
        <v>465.107548</v>
      </c>
      <c r="E1207" s="4" t="s">
        <v>8970</v>
      </c>
      <c r="F1207" s="4"/>
      <c r="G1207" s="4"/>
      <c r="H1207" s="4"/>
      <c r="I1207" s="4"/>
      <c r="J1207" s="18"/>
      <c r="K1207" s="4"/>
      <c r="L1207" s="19"/>
      <c r="M1207" s="20"/>
    </row>
    <row r="1208">
      <c r="A1208" s="6"/>
      <c r="B1208" s="6"/>
      <c r="C1208" s="4"/>
      <c r="D1208" s="36">
        <v>465.107548</v>
      </c>
      <c r="E1208" s="4" t="s">
        <v>9018</v>
      </c>
      <c r="F1208" s="4"/>
      <c r="G1208" s="4"/>
      <c r="H1208" s="4"/>
      <c r="I1208" s="4"/>
      <c r="J1208" s="18"/>
      <c r="K1208" s="4"/>
      <c r="L1208" s="19"/>
      <c r="M1208" s="20"/>
    </row>
    <row r="1209">
      <c r="A1209" s="6"/>
      <c r="B1209" s="6"/>
      <c r="C1209" s="4"/>
      <c r="D1209" s="36">
        <v>390.5928</v>
      </c>
      <c r="E1209" s="4" t="s">
        <v>9026</v>
      </c>
      <c r="F1209" s="4"/>
      <c r="G1209" s="4"/>
      <c r="H1209" s="4"/>
      <c r="I1209" s="4"/>
      <c r="J1209" s="18"/>
      <c r="K1209" s="4"/>
      <c r="L1209" s="19"/>
      <c r="M1209" s="20"/>
    </row>
    <row r="1210">
      <c r="A1210" s="6"/>
      <c r="B1210" s="6"/>
      <c r="C1210" s="4"/>
      <c r="D1210" s="36">
        <v>422.224632</v>
      </c>
      <c r="E1210" s="4" t="s">
        <v>1713</v>
      </c>
      <c r="F1210" s="4"/>
      <c r="G1210" s="4"/>
      <c r="H1210" s="4"/>
      <c r="I1210" s="4"/>
      <c r="J1210" s="18"/>
      <c r="K1210" s="4"/>
      <c r="L1210" s="19"/>
      <c r="M1210" s="20"/>
    </row>
    <row r="1211">
      <c r="A1211" s="6"/>
      <c r="B1211" s="6"/>
      <c r="C1211" s="4"/>
      <c r="D1211" s="36">
        <v>465.107548</v>
      </c>
      <c r="E1211" s="4" t="s">
        <v>1091</v>
      </c>
      <c r="F1211" s="4"/>
      <c r="G1211" s="4"/>
      <c r="H1211" s="4"/>
      <c r="I1211" s="4"/>
      <c r="J1211" s="18"/>
      <c r="K1211" s="4"/>
      <c r="L1211" s="19"/>
      <c r="M1211" s="20"/>
    </row>
    <row r="1212">
      <c r="A1212" s="6"/>
      <c r="B1212" s="6"/>
      <c r="C1212" s="4"/>
      <c r="D1212" s="36">
        <v>465.107548</v>
      </c>
      <c r="E1212" s="4" t="s">
        <v>9020</v>
      </c>
      <c r="F1212" s="4"/>
      <c r="G1212" s="4"/>
      <c r="H1212" s="4"/>
      <c r="I1212" s="4"/>
      <c r="J1212" s="18"/>
      <c r="K1212" s="4"/>
      <c r="L1212" s="19"/>
      <c r="M1212" s="20"/>
    </row>
    <row r="1213">
      <c r="A1213" s="6"/>
      <c r="B1213" s="6"/>
      <c r="C1213" s="4"/>
      <c r="D1213" s="36">
        <v>465.107548</v>
      </c>
      <c r="E1213" s="4" t="s">
        <v>8521</v>
      </c>
      <c r="F1213" s="4"/>
      <c r="G1213" s="4"/>
      <c r="H1213" s="4"/>
      <c r="I1213" s="4"/>
      <c r="J1213" s="18"/>
      <c r="K1213" s="4"/>
      <c r="L1213" s="19"/>
      <c r="M1213" s="20"/>
    </row>
    <row r="1214">
      <c r="A1214" s="6"/>
      <c r="B1214" s="6"/>
      <c r="C1214" s="4"/>
      <c r="D1214" s="36">
        <v>410.59719</v>
      </c>
      <c r="E1214" s="4" t="s">
        <v>9027</v>
      </c>
      <c r="F1214" s="4"/>
      <c r="G1214" s="4"/>
      <c r="H1214" s="4"/>
      <c r="I1214" s="4"/>
      <c r="J1214" s="18"/>
      <c r="K1214" s="4"/>
      <c r="L1214" s="19"/>
      <c r="M1214" s="20"/>
    </row>
    <row r="1215">
      <c r="A1215" s="6"/>
      <c r="B1215" s="6"/>
      <c r="C1215" s="4"/>
      <c r="D1215" s="36">
        <v>465.107548</v>
      </c>
      <c r="E1215" s="4" t="s">
        <v>8601</v>
      </c>
      <c r="F1215" s="4"/>
      <c r="G1215" s="4"/>
      <c r="H1215" s="4"/>
      <c r="I1215" s="4"/>
      <c r="J1215" s="18"/>
      <c r="K1215" s="4"/>
      <c r="L1215" s="19"/>
      <c r="M1215" s="20"/>
    </row>
    <row r="1216">
      <c r="A1216" s="6"/>
      <c r="B1216" s="6"/>
      <c r="C1216" s="4"/>
      <c r="D1216" s="36">
        <v>465.107548</v>
      </c>
      <c r="E1216" s="4" t="s">
        <v>1576</v>
      </c>
      <c r="F1216" s="4"/>
      <c r="G1216" s="4"/>
      <c r="H1216" s="4"/>
      <c r="I1216" s="4"/>
      <c r="J1216" s="18"/>
      <c r="K1216" s="4"/>
      <c r="L1216" s="19"/>
      <c r="M1216" s="20"/>
    </row>
    <row r="1217">
      <c r="A1217" s="6"/>
      <c r="B1217" s="6"/>
      <c r="C1217" s="4"/>
      <c r="D1217" s="36">
        <v>415.6531</v>
      </c>
      <c r="E1217" s="4" t="s">
        <v>534</v>
      </c>
      <c r="F1217" s="4"/>
      <c r="G1217" s="4"/>
      <c r="H1217" s="4"/>
      <c r="I1217" s="4"/>
      <c r="J1217" s="18"/>
      <c r="K1217" s="4"/>
      <c r="L1217" s="19"/>
      <c r="M1217" s="20"/>
    </row>
    <row r="1218">
      <c r="A1218" s="6"/>
      <c r="B1218" s="6"/>
      <c r="C1218" s="4"/>
      <c r="D1218" s="36">
        <v>465.107548</v>
      </c>
      <c r="E1218" s="4" t="s">
        <v>8716</v>
      </c>
      <c r="F1218" s="4"/>
      <c r="G1218" s="4"/>
      <c r="H1218" s="4"/>
      <c r="I1218" s="4"/>
      <c r="J1218" s="18"/>
      <c r="K1218" s="4"/>
      <c r="L1218" s="19"/>
      <c r="M1218" s="20"/>
    </row>
    <row r="1219">
      <c r="A1219" s="6"/>
      <c r="B1219" s="6"/>
      <c r="C1219" s="4"/>
      <c r="D1219" s="36">
        <v>465.107548</v>
      </c>
      <c r="E1219" s="4" t="s">
        <v>9028</v>
      </c>
      <c r="F1219" s="4"/>
      <c r="G1219" s="4"/>
      <c r="H1219" s="4"/>
      <c r="I1219" s="4"/>
      <c r="J1219" s="18"/>
      <c r="K1219" s="4"/>
      <c r="L1219" s="19"/>
      <c r="M1219" s="20"/>
    </row>
    <row r="1220">
      <c r="A1220" s="6"/>
      <c r="B1220" s="6"/>
      <c r="C1220" s="4"/>
      <c r="D1220" s="36">
        <v>459.8133</v>
      </c>
      <c r="E1220" s="4" t="s">
        <v>8992</v>
      </c>
      <c r="F1220" s="4"/>
      <c r="G1220" s="4"/>
      <c r="H1220" s="4"/>
      <c r="I1220" s="4"/>
      <c r="J1220" s="18"/>
      <c r="K1220" s="4"/>
      <c r="L1220" s="19"/>
      <c r="M1220" s="20"/>
    </row>
    <row r="1221">
      <c r="A1221" s="6"/>
      <c r="B1221" s="6"/>
      <c r="C1221" s="4"/>
      <c r="D1221" s="36">
        <v>465.107548</v>
      </c>
      <c r="E1221" s="4" t="s">
        <v>8952</v>
      </c>
      <c r="F1221" s="4"/>
      <c r="G1221" s="4"/>
      <c r="H1221" s="4"/>
      <c r="I1221" s="4"/>
      <c r="J1221" s="18"/>
      <c r="K1221" s="4"/>
      <c r="L1221" s="19"/>
      <c r="M1221" s="20"/>
    </row>
    <row r="1222">
      <c r="A1222" s="6"/>
      <c r="B1222" s="6"/>
      <c r="C1222" s="4"/>
      <c r="D1222" s="36">
        <v>336.051326</v>
      </c>
      <c r="E1222" s="4" t="s">
        <v>9029</v>
      </c>
      <c r="F1222" s="4"/>
      <c r="G1222" s="4"/>
      <c r="H1222" s="4"/>
      <c r="I1222" s="4"/>
      <c r="J1222" s="18"/>
      <c r="K1222" s="4"/>
      <c r="L1222" s="19"/>
      <c r="M1222" s="20"/>
    </row>
    <row r="1223">
      <c r="A1223" s="6"/>
      <c r="B1223" s="6"/>
      <c r="C1223" s="4"/>
      <c r="D1223" s="36">
        <v>46.544253</v>
      </c>
      <c r="E1223" s="4" t="s">
        <v>8957</v>
      </c>
      <c r="F1223" s="4"/>
      <c r="G1223" s="4"/>
      <c r="H1223" s="4"/>
      <c r="I1223" s="4"/>
      <c r="J1223" s="18"/>
      <c r="K1223" s="4"/>
      <c r="L1223" s="19"/>
      <c r="M1223" s="20"/>
    </row>
    <row r="1224">
      <c r="A1224" s="6"/>
      <c r="B1224" s="6"/>
      <c r="C1224" s="4"/>
      <c r="D1224" s="36">
        <v>465.107548</v>
      </c>
      <c r="E1224" s="4" t="s">
        <v>1667</v>
      </c>
      <c r="F1224" s="4"/>
      <c r="G1224" s="4"/>
      <c r="H1224" s="4"/>
      <c r="I1224" s="4"/>
      <c r="J1224" s="18"/>
      <c r="K1224" s="4"/>
      <c r="L1224" s="19"/>
      <c r="M1224" s="20"/>
    </row>
    <row r="1225">
      <c r="A1225" s="6"/>
      <c r="B1225" s="6"/>
      <c r="C1225" s="4"/>
      <c r="D1225" s="36">
        <v>372.086038</v>
      </c>
      <c r="E1225" s="4" t="s">
        <v>8586</v>
      </c>
      <c r="F1225" s="4"/>
      <c r="G1225" s="4"/>
      <c r="H1225" s="4"/>
      <c r="I1225" s="4"/>
      <c r="J1225" s="18"/>
      <c r="K1225" s="4"/>
      <c r="L1225" s="19"/>
      <c r="M1225" s="20"/>
    </row>
    <row r="1226">
      <c r="A1226" s="6"/>
      <c r="B1226" s="6"/>
      <c r="C1226" s="4"/>
      <c r="D1226" s="36">
        <v>57.022185</v>
      </c>
      <c r="E1226" s="4" t="s">
        <v>9030</v>
      </c>
      <c r="F1226" s="4"/>
      <c r="G1226" s="4"/>
      <c r="H1226" s="4"/>
      <c r="I1226" s="4"/>
      <c r="J1226" s="18"/>
      <c r="K1226" s="4"/>
      <c r="L1226" s="19"/>
      <c r="M1226" s="20"/>
    </row>
    <row r="1227">
      <c r="A1227" s="6"/>
      <c r="B1227" s="6"/>
      <c r="C1227" s="4"/>
      <c r="D1227" s="36">
        <v>206.211514</v>
      </c>
      <c r="E1227" s="4" t="s">
        <v>239</v>
      </c>
      <c r="F1227" s="4"/>
      <c r="G1227" s="4"/>
      <c r="H1227" s="4"/>
      <c r="I1227" s="4"/>
      <c r="J1227" s="18"/>
      <c r="K1227" s="4"/>
      <c r="L1227" s="19"/>
      <c r="M1227" s="20"/>
    </row>
    <row r="1228">
      <c r="A1228" s="6"/>
      <c r="B1228" s="6"/>
      <c r="C1228" s="4"/>
      <c r="D1228" s="36">
        <v>317.230751</v>
      </c>
      <c r="E1228" s="4" t="s">
        <v>9021</v>
      </c>
      <c r="F1228" s="4"/>
      <c r="G1228" s="4"/>
      <c r="H1228" s="4"/>
      <c r="I1228" s="4"/>
      <c r="J1228" s="18"/>
      <c r="K1228" s="4"/>
      <c r="L1228" s="19"/>
      <c r="M1228" s="20"/>
    </row>
    <row r="1229">
      <c r="A1229" s="6"/>
      <c r="B1229" s="6"/>
      <c r="C1229" s="4"/>
      <c r="D1229" s="36">
        <v>465.107548</v>
      </c>
      <c r="E1229" s="4" t="s">
        <v>683</v>
      </c>
      <c r="F1229" s="4"/>
      <c r="G1229" s="4"/>
      <c r="H1229" s="4"/>
      <c r="I1229" s="4"/>
      <c r="J1229" s="18"/>
      <c r="K1229" s="4"/>
      <c r="L1229" s="19"/>
      <c r="M1229" s="20"/>
    </row>
    <row r="1230">
      <c r="A1230" s="6"/>
      <c r="B1230" s="6"/>
      <c r="C1230" s="4"/>
      <c r="D1230" s="36">
        <v>465.107548</v>
      </c>
      <c r="E1230" s="4" t="s">
        <v>1218</v>
      </c>
      <c r="F1230" s="4"/>
      <c r="G1230" s="4"/>
      <c r="H1230" s="4"/>
      <c r="I1230" s="4"/>
      <c r="J1230" s="18"/>
      <c r="K1230" s="4"/>
      <c r="L1230" s="19"/>
      <c r="M1230" s="20"/>
    </row>
    <row r="1231">
      <c r="A1231" s="6"/>
      <c r="B1231" s="6"/>
      <c r="C1231" s="4"/>
      <c r="D1231" s="36">
        <v>137.423352</v>
      </c>
      <c r="E1231" s="4" t="s">
        <v>5105</v>
      </c>
      <c r="F1231" s="4"/>
      <c r="G1231" s="4"/>
      <c r="H1231" s="4"/>
      <c r="I1231" s="4"/>
      <c r="J1231" s="18"/>
      <c r="K1231" s="4"/>
      <c r="L1231" s="19"/>
      <c r="M1231" s="20"/>
    </row>
    <row r="1232">
      <c r="A1232" s="6"/>
      <c r="B1232" s="6"/>
      <c r="C1232" s="4"/>
      <c r="D1232" s="36">
        <v>281.948195</v>
      </c>
      <c r="E1232" s="4" t="s">
        <v>8715</v>
      </c>
      <c r="F1232" s="4"/>
      <c r="G1232" s="4"/>
      <c r="H1232" s="4"/>
      <c r="I1232" s="4"/>
      <c r="J1232" s="18"/>
      <c r="K1232" s="4"/>
      <c r="L1232" s="19"/>
      <c r="M1232" s="20"/>
    </row>
    <row r="1233">
      <c r="A1233" s="6"/>
      <c r="B1233" s="6"/>
      <c r="C1233" s="4"/>
      <c r="D1233" s="36">
        <v>465.107548</v>
      </c>
      <c r="E1233" s="4" t="s">
        <v>8999</v>
      </c>
      <c r="F1233" s="4"/>
      <c r="G1233" s="4"/>
      <c r="H1233" s="4"/>
      <c r="I1233" s="4"/>
      <c r="J1233" s="18"/>
      <c r="K1233" s="4"/>
      <c r="L1233" s="19"/>
      <c r="M1233" s="20"/>
    </row>
    <row r="1234">
      <c r="A1234" s="6"/>
      <c r="B1234" s="6"/>
      <c r="C1234" s="4"/>
      <c r="D1234" s="36">
        <v>159.614393</v>
      </c>
      <c r="E1234" s="4" t="s">
        <v>107</v>
      </c>
      <c r="F1234" s="4"/>
      <c r="G1234" s="4"/>
      <c r="H1234" s="4"/>
      <c r="I1234" s="4"/>
      <c r="J1234" s="18"/>
      <c r="K1234" s="4"/>
      <c r="L1234" s="19"/>
      <c r="M1234" s="20"/>
    </row>
    <row r="1235">
      <c r="A1235" s="6"/>
      <c r="B1235" s="6"/>
      <c r="C1235" s="4"/>
      <c r="D1235" s="36">
        <v>204.965001</v>
      </c>
      <c r="E1235" s="4" t="s">
        <v>4576</v>
      </c>
      <c r="F1235" s="4"/>
      <c r="G1235" s="4"/>
      <c r="H1235" s="4"/>
      <c r="I1235" s="4"/>
      <c r="J1235" s="18"/>
      <c r="K1235" s="4"/>
      <c r="L1235" s="19"/>
      <c r="M1235" s="20"/>
    </row>
    <row r="1236">
      <c r="A1236" s="6"/>
      <c r="B1236" s="6"/>
      <c r="C1236" s="4"/>
      <c r="D1236" s="36">
        <v>465.107548</v>
      </c>
      <c r="E1236" s="4" t="s">
        <v>8547</v>
      </c>
      <c r="F1236" s="4"/>
      <c r="G1236" s="4"/>
      <c r="H1236" s="4"/>
      <c r="I1236" s="4"/>
      <c r="J1236" s="18"/>
      <c r="K1236" s="4"/>
      <c r="L1236" s="19"/>
      <c r="M1236" s="20"/>
    </row>
    <row r="1237">
      <c r="A1237" s="6"/>
      <c r="B1237" s="6"/>
      <c r="C1237" s="4"/>
      <c r="D1237" s="36">
        <v>459.022734</v>
      </c>
      <c r="E1237" s="4" t="s">
        <v>784</v>
      </c>
      <c r="F1237" s="4"/>
      <c r="G1237" s="4"/>
      <c r="H1237" s="4"/>
      <c r="I1237" s="4"/>
      <c r="J1237" s="18"/>
      <c r="K1237" s="4"/>
      <c r="L1237" s="19"/>
      <c r="M1237" s="20"/>
    </row>
    <row r="1238">
      <c r="A1238" s="6"/>
      <c r="B1238" s="6"/>
      <c r="C1238" s="4"/>
      <c r="D1238" s="36">
        <v>465.107548</v>
      </c>
      <c r="E1238" s="4" t="s">
        <v>9024</v>
      </c>
      <c r="F1238" s="4"/>
      <c r="G1238" s="4"/>
      <c r="H1238" s="4"/>
      <c r="I1238" s="4"/>
      <c r="J1238" s="18"/>
      <c r="K1238" s="4"/>
      <c r="L1238" s="19"/>
      <c r="M1238" s="20"/>
    </row>
    <row r="1239">
      <c r="A1239" s="6"/>
      <c r="B1239" s="6"/>
      <c r="C1239" s="4"/>
      <c r="D1239" s="36">
        <v>465.107548</v>
      </c>
      <c r="E1239" s="4" t="s">
        <v>1125</v>
      </c>
      <c r="F1239" s="4"/>
      <c r="G1239" s="4"/>
      <c r="H1239" s="4"/>
      <c r="I1239" s="4"/>
      <c r="J1239" s="18"/>
      <c r="K1239" s="4"/>
      <c r="L1239" s="19"/>
      <c r="M1239" s="20"/>
    </row>
    <row r="1240">
      <c r="A1240" s="6"/>
      <c r="B1240" s="6"/>
      <c r="C1240" s="4"/>
      <c r="D1240" s="36">
        <v>399.170734</v>
      </c>
      <c r="E1240" s="4" t="s">
        <v>8606</v>
      </c>
      <c r="F1240" s="4"/>
      <c r="G1240" s="4"/>
      <c r="H1240" s="4"/>
      <c r="I1240" s="4"/>
      <c r="J1240" s="18"/>
      <c r="K1240" s="4"/>
      <c r="L1240" s="19"/>
      <c r="M1240" s="20"/>
    </row>
    <row r="1241">
      <c r="A1241" s="6"/>
      <c r="B1241" s="6"/>
      <c r="C1241" s="4"/>
      <c r="D1241" s="36">
        <v>465.107548</v>
      </c>
      <c r="E1241" s="4" t="s">
        <v>9015</v>
      </c>
      <c r="F1241" s="4"/>
      <c r="G1241" s="4"/>
      <c r="H1241" s="4"/>
      <c r="I1241" s="4"/>
      <c r="J1241" s="18"/>
      <c r="K1241" s="4"/>
      <c r="L1241" s="19"/>
      <c r="M1241" s="20"/>
    </row>
    <row r="1242">
      <c r="A1242" s="6"/>
      <c r="B1242" s="6"/>
      <c r="C1242" s="4"/>
      <c r="D1242" s="36">
        <v>465.107548</v>
      </c>
      <c r="E1242" s="4" t="s">
        <v>952</v>
      </c>
      <c r="F1242" s="4"/>
      <c r="G1242" s="4"/>
      <c r="H1242" s="4"/>
      <c r="I1242" s="4"/>
      <c r="J1242" s="18"/>
      <c r="K1242" s="4"/>
      <c r="L1242" s="19"/>
      <c r="M1242" s="20"/>
    </row>
    <row r="1243">
      <c r="A1243" s="6"/>
      <c r="B1243" s="6"/>
      <c r="C1243" s="4"/>
      <c r="D1243" s="36">
        <v>215.632454</v>
      </c>
      <c r="E1243" s="4" t="s">
        <v>9031</v>
      </c>
      <c r="F1243" s="4"/>
      <c r="G1243" s="4"/>
      <c r="H1243" s="4"/>
      <c r="I1243" s="4"/>
      <c r="J1243" s="18"/>
      <c r="K1243" s="4"/>
      <c r="L1243" s="19"/>
      <c r="M1243" s="20"/>
    </row>
    <row r="1244">
      <c r="A1244" s="6"/>
      <c r="B1244" s="6"/>
      <c r="C1244" s="4"/>
      <c r="D1244" s="36">
        <v>465.107548</v>
      </c>
      <c r="E1244" s="4" t="s">
        <v>9005</v>
      </c>
      <c r="F1244" s="4"/>
      <c r="G1244" s="4"/>
      <c r="H1244" s="4"/>
      <c r="I1244" s="4"/>
      <c r="J1244" s="18"/>
      <c r="K1244" s="4"/>
      <c r="L1244" s="19"/>
      <c r="M1244" s="20"/>
    </row>
    <row r="1245">
      <c r="A1245" s="6"/>
      <c r="B1245" s="6"/>
      <c r="C1245" s="4"/>
      <c r="D1245" s="36">
        <v>465.107548</v>
      </c>
      <c r="E1245" s="4" t="s">
        <v>8517</v>
      </c>
      <c r="F1245" s="4"/>
      <c r="G1245" s="4"/>
      <c r="H1245" s="4"/>
      <c r="I1245" s="4"/>
      <c r="J1245" s="18"/>
      <c r="K1245" s="4"/>
      <c r="L1245" s="19"/>
      <c r="M1245" s="20"/>
    </row>
    <row r="1246">
      <c r="A1246" s="6"/>
      <c r="B1246" s="6"/>
      <c r="C1246" s="4"/>
      <c r="D1246" s="36">
        <v>362.086082</v>
      </c>
      <c r="E1246" s="4" t="s">
        <v>4202</v>
      </c>
      <c r="F1246" s="4"/>
      <c r="G1246" s="4"/>
      <c r="H1246" s="4"/>
      <c r="I1246" s="4"/>
      <c r="J1246" s="18"/>
      <c r="K1246" s="4"/>
      <c r="L1246" s="19"/>
      <c r="M1246" s="20"/>
    </row>
    <row r="1247">
      <c r="A1247" s="6"/>
      <c r="B1247" s="6"/>
      <c r="C1247" s="4"/>
      <c r="D1247" s="36">
        <v>163.876272</v>
      </c>
      <c r="E1247" s="4" t="s">
        <v>475</v>
      </c>
      <c r="F1247" s="4"/>
      <c r="G1247" s="4"/>
      <c r="H1247" s="4"/>
      <c r="I1247" s="4"/>
      <c r="J1247" s="18"/>
      <c r="K1247" s="4"/>
      <c r="L1247" s="19"/>
      <c r="M1247" s="20"/>
    </row>
    <row r="1248">
      <c r="A1248" s="6"/>
      <c r="B1248" s="6"/>
      <c r="C1248" s="4"/>
      <c r="D1248" s="36">
        <v>271.808851</v>
      </c>
      <c r="E1248" s="4" t="s">
        <v>1541</v>
      </c>
      <c r="F1248" s="4"/>
      <c r="G1248" s="4"/>
      <c r="H1248" s="4"/>
      <c r="I1248" s="4"/>
      <c r="J1248" s="18"/>
      <c r="K1248" s="4"/>
      <c r="L1248" s="19"/>
      <c r="M1248" s="20"/>
    </row>
    <row r="1249">
      <c r="A1249" s="6"/>
      <c r="B1249" s="6"/>
      <c r="C1249" s="4"/>
      <c r="D1249" s="36">
        <v>445.759074</v>
      </c>
      <c r="E1249" s="4" t="s">
        <v>453</v>
      </c>
      <c r="F1249" s="4"/>
      <c r="G1249" s="4"/>
      <c r="H1249" s="4"/>
      <c r="I1249" s="4"/>
      <c r="J1249" s="18"/>
      <c r="K1249" s="4"/>
      <c r="L1249" s="19"/>
      <c r="M1249" s="20"/>
    </row>
    <row r="1250">
      <c r="A1250" s="6"/>
      <c r="B1250" s="6"/>
      <c r="C1250" s="4"/>
      <c r="D1250" s="36">
        <v>465.107548</v>
      </c>
      <c r="E1250" s="4" t="s">
        <v>8968</v>
      </c>
      <c r="F1250" s="4"/>
      <c r="G1250" s="4"/>
      <c r="H1250" s="4"/>
      <c r="I1250" s="4"/>
      <c r="J1250" s="18"/>
      <c r="K1250" s="4"/>
      <c r="L1250" s="19"/>
      <c r="M1250" s="20"/>
    </row>
    <row r="1251">
      <c r="A1251" s="6"/>
      <c r="B1251" s="6"/>
      <c r="C1251" s="4"/>
      <c r="D1251" s="36">
        <v>9.397637</v>
      </c>
      <c r="E1251" s="4" t="s">
        <v>817</v>
      </c>
      <c r="F1251" s="4"/>
      <c r="G1251" s="4"/>
      <c r="H1251" s="4"/>
      <c r="I1251" s="4"/>
      <c r="J1251" s="18"/>
      <c r="K1251" s="4"/>
      <c r="L1251" s="19"/>
      <c r="M1251" s="20"/>
    </row>
    <row r="1252">
      <c r="A1252" s="6"/>
      <c r="B1252" s="6"/>
      <c r="C1252" s="4"/>
      <c r="D1252" s="36">
        <v>348.830661</v>
      </c>
      <c r="E1252" s="4" t="s">
        <v>664</v>
      </c>
      <c r="F1252" s="4"/>
      <c r="G1252" s="4"/>
      <c r="H1252" s="4"/>
      <c r="I1252" s="4"/>
      <c r="J1252" s="18"/>
      <c r="K1252" s="4"/>
      <c r="L1252" s="19"/>
      <c r="M1252" s="20"/>
    </row>
    <row r="1253">
      <c r="A1253" s="6"/>
      <c r="B1253" s="6"/>
      <c r="C1253" s="4"/>
      <c r="D1253" s="36">
        <v>337.6232</v>
      </c>
      <c r="E1253" s="4" t="s">
        <v>8971</v>
      </c>
      <c r="F1253" s="4"/>
      <c r="G1253" s="4"/>
      <c r="H1253" s="4"/>
      <c r="I1253" s="4"/>
      <c r="J1253" s="18"/>
      <c r="K1253" s="4"/>
      <c r="L1253" s="19"/>
      <c r="M1253" s="20"/>
    </row>
    <row r="1254">
      <c r="A1254" s="6"/>
      <c r="B1254" s="6"/>
      <c r="C1254" s="4"/>
      <c r="D1254" s="36">
        <v>275.367602</v>
      </c>
      <c r="E1254" s="4" t="s">
        <v>9032</v>
      </c>
      <c r="F1254" s="4"/>
      <c r="G1254" s="4"/>
      <c r="H1254" s="4"/>
      <c r="I1254" s="4"/>
      <c r="J1254" s="18"/>
      <c r="K1254" s="4"/>
      <c r="L1254" s="19"/>
      <c r="M1254" s="20"/>
    </row>
    <row r="1255">
      <c r="A1255" s="6"/>
      <c r="B1255" s="6"/>
      <c r="C1255" s="4"/>
      <c r="D1255" s="36">
        <v>372.086038</v>
      </c>
      <c r="E1255" s="4" t="s">
        <v>977</v>
      </c>
      <c r="F1255" s="4"/>
      <c r="G1255" s="4"/>
      <c r="H1255" s="4"/>
      <c r="I1255" s="4"/>
      <c r="J1255" s="18"/>
      <c r="K1255" s="4"/>
      <c r="L1255" s="19"/>
      <c r="M1255" s="20"/>
    </row>
    <row r="1256">
      <c r="A1256" s="6"/>
      <c r="B1256" s="6"/>
      <c r="C1256" s="4"/>
      <c r="D1256" s="36">
        <v>465.107548</v>
      </c>
      <c r="E1256" s="4" t="s">
        <v>1774</v>
      </c>
      <c r="F1256" s="4"/>
      <c r="G1256" s="4"/>
      <c r="H1256" s="4"/>
      <c r="I1256" s="4"/>
      <c r="J1256" s="18"/>
      <c r="K1256" s="4"/>
      <c r="L1256" s="19"/>
      <c r="M1256" s="20"/>
    </row>
    <row r="1257">
      <c r="A1257" s="6"/>
      <c r="B1257" s="6"/>
      <c r="C1257" s="4"/>
      <c r="D1257" s="36">
        <v>465.107548</v>
      </c>
      <c r="E1257" s="4" t="s">
        <v>9033</v>
      </c>
      <c r="F1257" s="4"/>
      <c r="G1257" s="4"/>
      <c r="H1257" s="4"/>
      <c r="I1257" s="4"/>
      <c r="J1257" s="18"/>
      <c r="K1257" s="4"/>
      <c r="L1257" s="19"/>
      <c r="M1257" s="20"/>
    </row>
    <row r="1258">
      <c r="A1258" s="6"/>
      <c r="B1258" s="6"/>
      <c r="C1258" s="4"/>
      <c r="D1258" s="36">
        <v>465.107548</v>
      </c>
      <c r="E1258" s="4" t="s">
        <v>8525</v>
      </c>
      <c r="F1258" s="4"/>
      <c r="G1258" s="4"/>
      <c r="H1258" s="4"/>
      <c r="I1258" s="4"/>
      <c r="J1258" s="18"/>
      <c r="K1258" s="4"/>
      <c r="L1258" s="19"/>
      <c r="M1258" s="20"/>
    </row>
    <row r="1259">
      <c r="A1259" s="6"/>
      <c r="B1259" s="6"/>
      <c r="C1259" s="4"/>
      <c r="D1259" s="36">
        <v>465.107548</v>
      </c>
      <c r="E1259" s="4" t="s">
        <v>8976</v>
      </c>
      <c r="F1259" s="4"/>
      <c r="G1259" s="4"/>
      <c r="H1259" s="4"/>
      <c r="I1259" s="4"/>
      <c r="J1259" s="18"/>
      <c r="K1259" s="4"/>
      <c r="L1259" s="19"/>
      <c r="M1259" s="20"/>
    </row>
    <row r="1260">
      <c r="A1260" s="6"/>
      <c r="B1260" s="6"/>
      <c r="C1260" s="4"/>
      <c r="D1260" s="36">
        <v>419.650808</v>
      </c>
      <c r="E1260" s="4" t="s">
        <v>8966</v>
      </c>
      <c r="F1260" s="4"/>
      <c r="G1260" s="4"/>
      <c r="H1260" s="4"/>
      <c r="I1260" s="4"/>
      <c r="J1260" s="18"/>
      <c r="K1260" s="4"/>
      <c r="L1260" s="19"/>
      <c r="M1260" s="20"/>
    </row>
    <row r="1261">
      <c r="A1261" s="6"/>
      <c r="B1261" s="6"/>
      <c r="C1261" s="4"/>
      <c r="D1261" s="36">
        <v>332.198729</v>
      </c>
      <c r="E1261" s="4" t="s">
        <v>9034</v>
      </c>
      <c r="F1261" s="4"/>
      <c r="G1261" s="4"/>
      <c r="H1261" s="4"/>
      <c r="I1261" s="4"/>
      <c r="J1261" s="18"/>
      <c r="K1261" s="4"/>
      <c r="L1261" s="19"/>
      <c r="M1261" s="20"/>
    </row>
    <row r="1262">
      <c r="A1262" s="6"/>
      <c r="B1262" s="6"/>
      <c r="C1262" s="4"/>
      <c r="D1262" s="36">
        <v>465.107548</v>
      </c>
      <c r="E1262" s="4" t="s">
        <v>1656</v>
      </c>
      <c r="F1262" s="4"/>
      <c r="G1262" s="4"/>
      <c r="H1262" s="4"/>
      <c r="I1262" s="4"/>
      <c r="J1262" s="18"/>
      <c r="K1262" s="4"/>
      <c r="L1262" s="19"/>
      <c r="M1262" s="20"/>
    </row>
    <row r="1263">
      <c r="A1263" s="6"/>
      <c r="B1263" s="6"/>
      <c r="C1263" s="4"/>
      <c r="D1263" s="36">
        <v>199.045014</v>
      </c>
      <c r="E1263" s="4" t="s">
        <v>8534</v>
      </c>
      <c r="F1263" s="4"/>
      <c r="G1263" s="4"/>
      <c r="H1263" s="4"/>
      <c r="I1263" s="4"/>
      <c r="J1263" s="18"/>
      <c r="K1263" s="4"/>
      <c r="L1263" s="19"/>
      <c r="M1263" s="20"/>
    </row>
    <row r="1264">
      <c r="A1264" s="6"/>
      <c r="B1264" s="6"/>
      <c r="C1264" s="4"/>
      <c r="D1264" s="36">
        <v>381.799772</v>
      </c>
      <c r="E1264" s="4" t="s">
        <v>8512</v>
      </c>
      <c r="F1264" s="4"/>
      <c r="G1264" s="4"/>
      <c r="H1264" s="4"/>
      <c r="I1264" s="4"/>
      <c r="J1264" s="18"/>
      <c r="K1264" s="4"/>
      <c r="L1264" s="19"/>
      <c r="M1264" s="20"/>
    </row>
    <row r="1265">
      <c r="A1265" s="6"/>
      <c r="B1265" s="6"/>
      <c r="C1265" s="4"/>
      <c r="D1265" s="36">
        <v>465.107548</v>
      </c>
      <c r="E1265" s="4" t="s">
        <v>8907</v>
      </c>
      <c r="F1265" s="4"/>
      <c r="G1265" s="4"/>
      <c r="H1265" s="4"/>
      <c r="I1265" s="4"/>
      <c r="J1265" s="18"/>
      <c r="K1265" s="4"/>
      <c r="L1265" s="19"/>
      <c r="M1265" s="20"/>
    </row>
    <row r="1266">
      <c r="A1266" s="6"/>
      <c r="B1266" s="6"/>
      <c r="C1266" s="4"/>
      <c r="D1266" s="36">
        <v>233.390967</v>
      </c>
      <c r="E1266" s="4" t="s">
        <v>1493</v>
      </c>
      <c r="F1266" s="4"/>
      <c r="G1266" s="4"/>
      <c r="H1266" s="4"/>
      <c r="I1266" s="4"/>
      <c r="J1266" s="18"/>
      <c r="K1266" s="4"/>
      <c r="L1266" s="19"/>
      <c r="M1266" s="20"/>
    </row>
    <row r="1267">
      <c r="A1267" s="6"/>
      <c r="B1267" s="6"/>
      <c r="C1267" s="4"/>
      <c r="D1267" s="36">
        <v>265.566147</v>
      </c>
      <c r="E1267" s="4" t="s">
        <v>9035</v>
      </c>
      <c r="F1267" s="4"/>
      <c r="G1267" s="4"/>
      <c r="H1267" s="4"/>
      <c r="I1267" s="4"/>
      <c r="J1267" s="18"/>
      <c r="K1267" s="4"/>
      <c r="L1267" s="19"/>
      <c r="M1267" s="20"/>
    </row>
    <row r="1268">
      <c r="A1268" s="6"/>
      <c r="B1268" s="6"/>
      <c r="C1268" s="4"/>
      <c r="D1268" s="36">
        <v>465.107548</v>
      </c>
      <c r="E1268" s="4" t="s">
        <v>8996</v>
      </c>
      <c r="F1268" s="4"/>
      <c r="G1268" s="4"/>
      <c r="H1268" s="4"/>
      <c r="I1268" s="4"/>
      <c r="J1268" s="18"/>
      <c r="K1268" s="4"/>
      <c r="L1268" s="19"/>
      <c r="M1268" s="20"/>
    </row>
    <row r="1269">
      <c r="A1269" s="6"/>
      <c r="B1269" s="6"/>
      <c r="C1269" s="4"/>
      <c r="D1269" s="36">
        <v>465.107548</v>
      </c>
      <c r="E1269" s="4" t="s">
        <v>613</v>
      </c>
      <c r="F1269" s="4"/>
      <c r="G1269" s="4"/>
      <c r="H1269" s="4"/>
      <c r="I1269" s="4"/>
      <c r="J1269" s="18"/>
      <c r="K1269" s="4"/>
      <c r="L1269" s="19"/>
      <c r="M1269" s="20"/>
    </row>
    <row r="1270">
      <c r="A1270" s="6"/>
      <c r="B1270" s="6"/>
      <c r="C1270" s="4"/>
      <c r="D1270" s="36">
        <v>412.722041</v>
      </c>
      <c r="E1270" s="4" t="s">
        <v>8962</v>
      </c>
      <c r="F1270" s="4"/>
      <c r="G1270" s="4"/>
      <c r="H1270" s="4"/>
      <c r="I1270" s="4"/>
      <c r="J1270" s="18"/>
      <c r="K1270" s="4"/>
      <c r="L1270" s="19"/>
      <c r="M1270" s="20"/>
    </row>
    <row r="1271">
      <c r="A1271" s="6"/>
      <c r="B1271" s="6"/>
      <c r="C1271" s="4"/>
      <c r="D1271" s="36">
        <v>362.199322</v>
      </c>
      <c r="E1271" s="4" t="s">
        <v>1121</v>
      </c>
      <c r="F1271" s="4"/>
      <c r="G1271" s="4"/>
      <c r="H1271" s="4"/>
      <c r="I1271" s="4"/>
      <c r="J1271" s="18"/>
      <c r="K1271" s="4"/>
      <c r="L1271" s="19"/>
      <c r="M1271" s="20"/>
    </row>
    <row r="1272">
      <c r="A1272" s="6"/>
      <c r="B1272" s="6"/>
      <c r="C1272" s="4"/>
      <c r="D1272" s="36">
        <v>465.107548</v>
      </c>
      <c r="E1272" s="4" t="s">
        <v>4068</v>
      </c>
      <c r="F1272" s="4"/>
      <c r="G1272" s="4"/>
      <c r="H1272" s="4"/>
      <c r="I1272" s="4"/>
      <c r="J1272" s="18"/>
      <c r="K1272" s="4"/>
      <c r="L1272" s="19"/>
      <c r="M1272" s="20"/>
    </row>
    <row r="1273">
      <c r="A1273" s="6"/>
      <c r="B1273" s="6"/>
      <c r="C1273" s="4"/>
      <c r="D1273" s="36">
        <v>446.080851</v>
      </c>
      <c r="E1273" s="4" t="s">
        <v>9036</v>
      </c>
      <c r="F1273" s="4"/>
      <c r="G1273" s="4"/>
      <c r="H1273" s="4"/>
      <c r="I1273" s="4"/>
      <c r="J1273" s="18"/>
      <c r="K1273" s="4"/>
      <c r="L1273" s="19"/>
      <c r="M1273" s="20"/>
    </row>
    <row r="1274">
      <c r="A1274" s="6"/>
      <c r="B1274" s="6"/>
      <c r="C1274" s="4"/>
      <c r="D1274" s="36">
        <v>465.107548</v>
      </c>
      <c r="E1274" s="4" t="s">
        <v>9037</v>
      </c>
      <c r="F1274" s="4"/>
      <c r="G1274" s="4"/>
      <c r="H1274" s="4"/>
      <c r="I1274" s="4"/>
      <c r="J1274" s="18"/>
      <c r="K1274" s="4"/>
      <c r="L1274" s="19"/>
      <c r="M1274" s="20"/>
    </row>
    <row r="1275">
      <c r="A1275" s="6"/>
      <c r="B1275" s="6"/>
      <c r="C1275" s="4"/>
      <c r="D1275" s="36">
        <v>168.640638</v>
      </c>
      <c r="E1275" s="4" t="s">
        <v>8981</v>
      </c>
      <c r="F1275" s="4"/>
      <c r="G1275" s="4"/>
      <c r="H1275" s="4"/>
      <c r="I1275" s="4"/>
      <c r="J1275" s="18"/>
      <c r="K1275" s="4"/>
      <c r="L1275" s="19"/>
      <c r="M1275" s="20"/>
    </row>
    <row r="1276">
      <c r="A1276" s="6"/>
      <c r="B1276" s="6"/>
      <c r="C1276" s="4"/>
      <c r="D1276" s="36">
        <v>465.107548</v>
      </c>
      <c r="E1276" s="4" t="s">
        <v>8998</v>
      </c>
      <c r="F1276" s="4"/>
      <c r="G1276" s="4"/>
      <c r="H1276" s="4"/>
      <c r="I1276" s="4"/>
      <c r="J1276" s="18"/>
      <c r="K1276" s="4"/>
      <c r="L1276" s="19"/>
      <c r="M1276" s="20"/>
    </row>
    <row r="1277">
      <c r="A1277" s="6"/>
      <c r="B1277" s="6"/>
      <c r="C1277" s="4"/>
      <c r="D1277" s="36">
        <v>397.215336</v>
      </c>
      <c r="E1277" s="4" t="s">
        <v>9038</v>
      </c>
      <c r="F1277" s="4"/>
      <c r="G1277" s="4"/>
      <c r="H1277" s="4"/>
      <c r="I1277" s="4"/>
      <c r="J1277" s="18"/>
      <c r="K1277" s="4"/>
      <c r="L1277" s="19"/>
      <c r="M1277" s="20"/>
    </row>
    <row r="1278">
      <c r="A1278" s="6"/>
      <c r="B1278" s="6"/>
      <c r="C1278" s="4"/>
      <c r="D1278" s="36">
        <v>465.107548</v>
      </c>
      <c r="E1278" s="4" t="s">
        <v>8974</v>
      </c>
      <c r="F1278" s="4"/>
      <c r="G1278" s="4"/>
      <c r="H1278" s="4"/>
      <c r="I1278" s="4"/>
      <c r="J1278" s="18"/>
      <c r="K1278" s="4"/>
      <c r="L1278" s="19"/>
      <c r="M1278" s="20"/>
    </row>
    <row r="1279">
      <c r="A1279" s="6"/>
      <c r="B1279" s="6"/>
      <c r="C1279" s="4"/>
      <c r="D1279" s="36">
        <v>465.107548</v>
      </c>
      <c r="E1279" s="4" t="s">
        <v>135</v>
      </c>
      <c r="F1279" s="4"/>
      <c r="G1279" s="4"/>
      <c r="H1279" s="4"/>
      <c r="I1279" s="4"/>
      <c r="J1279" s="18"/>
      <c r="K1279" s="4"/>
      <c r="L1279" s="19"/>
      <c r="M1279" s="20"/>
    </row>
    <row r="1280">
      <c r="A1280" s="6"/>
      <c r="B1280" s="6"/>
      <c r="C1280" s="4"/>
      <c r="D1280" s="36">
        <v>177.18498</v>
      </c>
      <c r="E1280" s="4" t="s">
        <v>8976</v>
      </c>
      <c r="F1280" s="4"/>
      <c r="G1280" s="4"/>
      <c r="H1280" s="4"/>
      <c r="I1280" s="4"/>
      <c r="J1280" s="18"/>
      <c r="K1280" s="4"/>
      <c r="L1280" s="19"/>
      <c r="M1280" s="20"/>
    </row>
    <row r="1281">
      <c r="A1281" s="6"/>
      <c r="B1281" s="6"/>
      <c r="C1281" s="4"/>
      <c r="D1281" s="36">
        <v>509.136905</v>
      </c>
      <c r="E1281" s="4" t="s">
        <v>8907</v>
      </c>
      <c r="F1281" s="4"/>
      <c r="G1281" s="4"/>
      <c r="H1281" s="4"/>
      <c r="I1281" s="4"/>
      <c r="J1281" s="18"/>
      <c r="K1281" s="4"/>
      <c r="L1281" s="19"/>
      <c r="M1281" s="20"/>
    </row>
    <row r="1282">
      <c r="A1282" s="6"/>
      <c r="B1282" s="6"/>
      <c r="C1282" s="4"/>
      <c r="D1282" s="36">
        <v>242.749342</v>
      </c>
      <c r="E1282" s="4" t="s">
        <v>1656</v>
      </c>
      <c r="F1282" s="4"/>
      <c r="G1282" s="4"/>
      <c r="H1282" s="4"/>
      <c r="I1282" s="4"/>
      <c r="J1282" s="18"/>
      <c r="K1282" s="4"/>
      <c r="L1282" s="19"/>
      <c r="M1282" s="20"/>
    </row>
    <row r="1283">
      <c r="A1283" s="6"/>
      <c r="B1283" s="6"/>
      <c r="C1283" s="4"/>
      <c r="D1283" s="36">
        <v>1668.567045</v>
      </c>
      <c r="E1283" s="4" t="s">
        <v>8547</v>
      </c>
      <c r="F1283" s="4"/>
      <c r="G1283" s="4"/>
      <c r="H1283" s="4"/>
      <c r="I1283" s="4"/>
      <c r="J1283" s="18"/>
      <c r="K1283" s="4"/>
      <c r="L1283" s="19"/>
      <c r="M1283" s="20"/>
    </row>
    <row r="1284">
      <c r="A1284" s="6"/>
      <c r="B1284" s="6"/>
      <c r="C1284" s="4"/>
      <c r="D1284" s="36">
        <v>679.0009</v>
      </c>
      <c r="E1284" s="4" t="s">
        <v>4068</v>
      </c>
      <c r="F1284" s="4"/>
      <c r="G1284" s="4"/>
      <c r="H1284" s="4"/>
      <c r="I1284" s="4"/>
      <c r="J1284" s="18"/>
      <c r="K1284" s="4"/>
      <c r="L1284" s="19"/>
      <c r="M1284" s="20"/>
    </row>
    <row r="1285">
      <c r="A1285" s="6"/>
      <c r="B1285" s="6"/>
      <c r="C1285" s="4"/>
      <c r="D1285" s="36">
        <v>1929.956464</v>
      </c>
      <c r="E1285" s="4" t="s">
        <v>8992</v>
      </c>
      <c r="F1285" s="4"/>
      <c r="G1285" s="4"/>
      <c r="H1285" s="4"/>
      <c r="I1285" s="4"/>
      <c r="J1285" s="18"/>
      <c r="K1285" s="4"/>
      <c r="L1285" s="19"/>
      <c r="M1285" s="20"/>
    </row>
    <row r="1286">
      <c r="A1286" s="6"/>
      <c r="B1286" s="6"/>
      <c r="C1286" s="4"/>
      <c r="D1286" s="36">
        <v>6.733403</v>
      </c>
      <c r="E1286" s="4" t="s">
        <v>489</v>
      </c>
      <c r="F1286" s="4"/>
      <c r="G1286" s="4"/>
      <c r="H1286" s="4"/>
      <c r="I1286" s="4"/>
      <c r="J1286" s="18"/>
      <c r="K1286" s="4"/>
      <c r="L1286" s="19"/>
      <c r="M1286" s="20"/>
    </row>
    <row r="1287">
      <c r="A1287" s="6"/>
      <c r="B1287" s="6"/>
      <c r="C1287" s="4"/>
      <c r="D1287" s="36">
        <v>293.502544</v>
      </c>
      <c r="E1287" s="4" t="s">
        <v>135</v>
      </c>
      <c r="F1287" s="4"/>
      <c r="G1287" s="4"/>
      <c r="H1287" s="4"/>
      <c r="I1287" s="4"/>
      <c r="J1287" s="18"/>
      <c r="K1287" s="4"/>
      <c r="L1287" s="19"/>
      <c r="M1287" s="20"/>
    </row>
    <row r="1288">
      <c r="A1288" s="6"/>
      <c r="B1288" s="6"/>
      <c r="C1288" s="4"/>
      <c r="D1288" s="36">
        <v>5341.282276</v>
      </c>
      <c r="E1288" s="4" t="s">
        <v>1576</v>
      </c>
      <c r="F1288" s="4"/>
      <c r="G1288" s="4"/>
      <c r="H1288" s="4"/>
      <c r="I1288" s="4"/>
      <c r="J1288" s="18"/>
      <c r="K1288" s="4"/>
      <c r="L1288" s="19"/>
      <c r="M1288" s="20"/>
    </row>
    <row r="1289">
      <c r="A1289" s="6"/>
      <c r="B1289" s="6"/>
      <c r="C1289" s="4"/>
      <c r="D1289" s="36">
        <v>43.792855</v>
      </c>
      <c r="E1289" s="4" t="s">
        <v>8962</v>
      </c>
      <c r="F1289" s="4"/>
      <c r="G1289" s="4"/>
      <c r="H1289" s="4"/>
      <c r="I1289" s="4"/>
      <c r="J1289" s="18"/>
      <c r="K1289" s="4"/>
      <c r="L1289" s="19"/>
      <c r="M1289" s="20"/>
    </row>
    <row r="1290">
      <c r="A1290" s="6"/>
      <c r="B1290" s="6"/>
      <c r="C1290" s="4"/>
      <c r="D1290" s="36">
        <v>629.29006</v>
      </c>
      <c r="E1290" s="4" t="s">
        <v>8996</v>
      </c>
      <c r="F1290" s="4"/>
      <c r="G1290" s="4"/>
      <c r="H1290" s="4"/>
      <c r="I1290" s="4"/>
      <c r="J1290" s="18"/>
      <c r="K1290" s="4"/>
      <c r="L1290" s="19"/>
      <c r="M1290" s="20"/>
    </row>
    <row r="1291">
      <c r="A1291" s="6"/>
      <c r="B1291" s="6"/>
      <c r="C1291" s="4"/>
      <c r="D1291" s="36">
        <v>33.522185</v>
      </c>
      <c r="E1291" s="4" t="s">
        <v>8624</v>
      </c>
      <c r="F1291" s="4"/>
      <c r="G1291" s="4"/>
      <c r="H1291" s="4"/>
      <c r="I1291" s="4"/>
      <c r="J1291" s="18"/>
      <c r="K1291" s="4"/>
      <c r="L1291" s="19"/>
      <c r="M1291" s="20"/>
    </row>
    <row r="1292">
      <c r="A1292" s="6"/>
      <c r="B1292" s="6"/>
      <c r="C1292" s="4"/>
      <c r="D1292" s="36">
        <v>14.883134</v>
      </c>
      <c r="E1292" s="4" t="s">
        <v>9039</v>
      </c>
      <c r="F1292" s="4"/>
      <c r="G1292" s="4"/>
      <c r="H1292" s="4"/>
      <c r="I1292" s="4"/>
      <c r="J1292" s="18"/>
      <c r="K1292" s="4"/>
      <c r="L1292" s="19"/>
      <c r="M1292" s="20"/>
    </row>
    <row r="1293">
      <c r="A1293" s="6"/>
      <c r="B1293" s="6"/>
      <c r="C1293" s="4"/>
      <c r="D1293" s="36">
        <v>661.95975</v>
      </c>
      <c r="E1293" s="4" t="s">
        <v>8716</v>
      </c>
      <c r="F1293" s="4"/>
      <c r="G1293" s="4"/>
      <c r="H1293" s="4"/>
      <c r="I1293" s="4"/>
      <c r="J1293" s="18"/>
      <c r="K1293" s="4"/>
      <c r="L1293" s="19"/>
      <c r="M1293" s="20"/>
    </row>
    <row r="1294">
      <c r="A1294" s="6"/>
      <c r="B1294" s="6"/>
      <c r="C1294" s="4"/>
      <c r="D1294" s="36">
        <v>766.888581</v>
      </c>
      <c r="E1294" s="4" t="s">
        <v>1667</v>
      </c>
      <c r="F1294" s="4"/>
      <c r="G1294" s="4"/>
      <c r="H1294" s="4"/>
      <c r="I1294" s="4"/>
      <c r="J1294" s="18"/>
      <c r="K1294" s="4"/>
      <c r="L1294" s="19"/>
      <c r="M1294" s="20"/>
    </row>
    <row r="1295">
      <c r="A1295" s="6"/>
      <c r="B1295" s="6"/>
      <c r="C1295" s="4"/>
      <c r="D1295" s="36">
        <v>14.535571</v>
      </c>
      <c r="E1295" s="4" t="s">
        <v>738</v>
      </c>
      <c r="F1295" s="4"/>
      <c r="G1295" s="4"/>
      <c r="H1295" s="4"/>
      <c r="I1295" s="4"/>
      <c r="J1295" s="18"/>
      <c r="K1295" s="4"/>
      <c r="L1295" s="19"/>
      <c r="M1295" s="20"/>
    </row>
    <row r="1296">
      <c r="A1296" s="6"/>
      <c r="B1296" s="6"/>
      <c r="C1296" s="4"/>
      <c r="D1296" s="36">
        <v>1772.0169</v>
      </c>
      <c r="E1296" s="4" t="s">
        <v>1774</v>
      </c>
      <c r="F1296" s="4"/>
      <c r="G1296" s="4"/>
      <c r="H1296" s="4"/>
      <c r="I1296" s="4"/>
      <c r="J1296" s="18"/>
      <c r="K1296" s="4"/>
      <c r="L1296" s="19"/>
      <c r="M1296" s="20"/>
    </row>
    <row r="1297">
      <c r="A1297" s="6"/>
      <c r="B1297" s="6"/>
      <c r="C1297" s="4"/>
      <c r="D1297" s="36">
        <v>1066.750888</v>
      </c>
      <c r="E1297" s="4" t="s">
        <v>8971</v>
      </c>
      <c r="F1297" s="4"/>
      <c r="G1297" s="4"/>
      <c r="H1297" s="4"/>
      <c r="I1297" s="4"/>
      <c r="J1297" s="18"/>
      <c r="K1297" s="4"/>
      <c r="L1297" s="19"/>
      <c r="M1297" s="20"/>
    </row>
    <row r="1298">
      <c r="A1298" s="6"/>
      <c r="B1298" s="6"/>
      <c r="C1298" s="4"/>
      <c r="D1298" s="36">
        <v>129.12199</v>
      </c>
      <c r="E1298" s="4" t="s">
        <v>8970</v>
      </c>
      <c r="F1298" s="4"/>
      <c r="G1298" s="4"/>
      <c r="H1298" s="4"/>
      <c r="I1298" s="4"/>
      <c r="J1298" s="18"/>
      <c r="K1298" s="4"/>
      <c r="L1298" s="19"/>
      <c r="M1298" s="20"/>
    </row>
    <row r="1299">
      <c r="A1299" s="6"/>
      <c r="B1299" s="6"/>
      <c r="C1299" s="4"/>
      <c r="D1299" s="36">
        <v>901.186675</v>
      </c>
      <c r="E1299" s="4" t="s">
        <v>9009</v>
      </c>
      <c r="F1299" s="4"/>
      <c r="G1299" s="4"/>
      <c r="H1299" s="4"/>
      <c r="I1299" s="4"/>
      <c r="J1299" s="18"/>
      <c r="K1299" s="4"/>
      <c r="L1299" s="19"/>
      <c r="M1299" s="20"/>
    </row>
    <row r="1300">
      <c r="A1300" s="6"/>
      <c r="B1300" s="6"/>
      <c r="C1300" s="4"/>
      <c r="D1300" s="36">
        <v>522.42748</v>
      </c>
      <c r="E1300" s="4" t="s">
        <v>952</v>
      </c>
      <c r="F1300" s="4"/>
      <c r="G1300" s="4"/>
      <c r="H1300" s="4"/>
      <c r="I1300" s="4"/>
      <c r="J1300" s="18"/>
      <c r="K1300" s="4"/>
      <c r="L1300" s="19"/>
      <c r="M1300" s="20"/>
    </row>
    <row r="1301">
      <c r="A1301" s="6"/>
      <c r="B1301" s="6"/>
      <c r="C1301" s="4"/>
      <c r="D1301" s="36">
        <v>64.560995</v>
      </c>
      <c r="E1301" s="4" t="s">
        <v>8999</v>
      </c>
      <c r="F1301" s="4"/>
      <c r="G1301" s="4"/>
      <c r="H1301" s="4"/>
      <c r="I1301" s="4"/>
      <c r="J1301" s="18"/>
      <c r="K1301" s="4"/>
      <c r="L1301" s="19"/>
      <c r="M1301" s="20"/>
    </row>
    <row r="1302">
      <c r="A1302" s="6"/>
      <c r="B1302" s="6"/>
      <c r="C1302" s="4"/>
      <c r="D1302" s="36">
        <v>410.37551</v>
      </c>
      <c r="E1302" s="4" t="s">
        <v>8601</v>
      </c>
      <c r="F1302" s="4"/>
      <c r="G1302" s="4"/>
      <c r="H1302" s="4"/>
      <c r="I1302" s="4"/>
      <c r="J1302" s="18"/>
      <c r="K1302" s="4"/>
      <c r="L1302" s="19"/>
      <c r="M1302" s="20"/>
    </row>
    <row r="1303">
      <c r="A1303" s="6"/>
      <c r="B1303" s="6"/>
      <c r="C1303" s="4"/>
      <c r="D1303" s="36">
        <v>43.912313</v>
      </c>
      <c r="E1303" s="4" t="s">
        <v>9001</v>
      </c>
      <c r="F1303" s="4"/>
      <c r="G1303" s="4"/>
      <c r="H1303" s="4"/>
      <c r="I1303" s="4"/>
      <c r="J1303" s="18"/>
      <c r="K1303" s="4"/>
      <c r="L1303" s="19"/>
      <c r="M1303" s="20"/>
    </row>
    <row r="1304">
      <c r="A1304" s="6"/>
      <c r="B1304" s="6"/>
      <c r="C1304" s="4"/>
      <c r="D1304" s="36">
        <v>182.703243</v>
      </c>
      <c r="E1304" s="4" t="s">
        <v>417</v>
      </c>
      <c r="F1304" s="4"/>
      <c r="G1304" s="4"/>
      <c r="H1304" s="4"/>
      <c r="I1304" s="4"/>
      <c r="J1304" s="18"/>
      <c r="K1304" s="4"/>
      <c r="L1304" s="19"/>
      <c r="M1304" s="20"/>
    </row>
    <row r="1305">
      <c r="A1305" s="6"/>
      <c r="B1305" s="6"/>
      <c r="C1305" s="4"/>
      <c r="D1305" s="36">
        <v>84.723498</v>
      </c>
      <c r="E1305" s="4" t="s">
        <v>1218</v>
      </c>
      <c r="F1305" s="4"/>
      <c r="G1305" s="4"/>
      <c r="H1305" s="4"/>
      <c r="I1305" s="4"/>
      <c r="J1305" s="18"/>
      <c r="K1305" s="4"/>
      <c r="L1305" s="19"/>
      <c r="M1305" s="20"/>
    </row>
    <row r="1306">
      <c r="A1306" s="6"/>
      <c r="B1306" s="6"/>
      <c r="C1306" s="4"/>
      <c r="D1306" s="36">
        <v>2587.100754</v>
      </c>
      <c r="E1306" s="4" t="s">
        <v>8606</v>
      </c>
      <c r="F1306" s="4"/>
      <c r="G1306" s="4"/>
      <c r="H1306" s="4"/>
      <c r="I1306" s="4"/>
      <c r="J1306" s="18"/>
      <c r="K1306" s="4"/>
      <c r="L1306" s="19"/>
      <c r="M1306" s="20"/>
    </row>
    <row r="1307">
      <c r="A1307" s="6"/>
      <c r="B1307" s="6"/>
      <c r="C1307" s="4"/>
      <c r="D1307" s="36">
        <v>536.062856</v>
      </c>
      <c r="E1307" s="4" t="s">
        <v>8974</v>
      </c>
      <c r="F1307" s="4"/>
      <c r="G1307" s="4"/>
      <c r="H1307" s="4"/>
      <c r="I1307" s="4"/>
      <c r="J1307" s="18"/>
      <c r="K1307" s="4"/>
      <c r="L1307" s="19"/>
      <c r="M1307" s="20"/>
    </row>
    <row r="1308">
      <c r="A1308" s="6"/>
      <c r="B1308" s="6"/>
      <c r="C1308" s="4"/>
      <c r="D1308" s="36">
        <v>852.205138</v>
      </c>
      <c r="E1308" s="4" t="s">
        <v>8998</v>
      </c>
      <c r="F1308" s="4"/>
      <c r="G1308" s="4"/>
      <c r="H1308" s="4"/>
      <c r="I1308" s="4"/>
      <c r="J1308" s="18"/>
      <c r="K1308" s="4"/>
      <c r="L1308" s="19"/>
      <c r="M1308" s="20"/>
    </row>
    <row r="1309">
      <c r="A1309" s="6"/>
      <c r="B1309" s="6"/>
      <c r="C1309" s="4"/>
      <c r="D1309" s="36">
        <v>581.066818</v>
      </c>
      <c r="E1309" s="4" t="s">
        <v>8952</v>
      </c>
      <c r="F1309" s="4"/>
      <c r="G1309" s="4"/>
      <c r="H1309" s="4"/>
      <c r="I1309" s="4"/>
      <c r="J1309" s="18"/>
      <c r="K1309" s="4"/>
      <c r="L1309" s="19"/>
      <c r="M1309" s="20"/>
    </row>
    <row r="1310">
      <c r="A1310" s="6"/>
      <c r="B1310" s="6"/>
      <c r="C1310" s="4"/>
      <c r="D1310" s="36">
        <v>38.736597</v>
      </c>
      <c r="E1310" s="4" t="s">
        <v>9040</v>
      </c>
      <c r="F1310" s="4"/>
      <c r="G1310" s="4"/>
      <c r="H1310" s="4"/>
      <c r="I1310" s="4"/>
      <c r="J1310" s="18"/>
      <c r="K1310" s="4"/>
      <c r="L1310" s="19"/>
      <c r="M1310" s="20"/>
    </row>
    <row r="1311">
      <c r="A1311" s="6"/>
      <c r="B1311" s="6"/>
      <c r="C1311" s="4"/>
      <c r="D1311" s="36">
        <v>69.17952</v>
      </c>
      <c r="E1311" s="4" t="s">
        <v>1091</v>
      </c>
      <c r="F1311" s="4"/>
      <c r="G1311" s="4"/>
      <c r="H1311" s="4"/>
      <c r="I1311" s="4"/>
      <c r="J1311" s="18"/>
      <c r="K1311" s="4"/>
      <c r="L1311" s="19"/>
      <c r="M1311" s="20"/>
    </row>
    <row r="1312">
      <c r="A1312" s="6"/>
      <c r="B1312" s="6"/>
      <c r="C1312" s="4"/>
      <c r="D1312" s="36">
        <v>300.432616</v>
      </c>
      <c r="E1312" s="4" t="s">
        <v>1344</v>
      </c>
      <c r="F1312" s="4"/>
      <c r="G1312" s="4"/>
      <c r="H1312" s="4"/>
      <c r="I1312" s="4"/>
      <c r="J1312" s="18"/>
      <c r="K1312" s="4"/>
      <c r="L1312" s="19"/>
      <c r="M1312" s="20"/>
    </row>
    <row r="1313">
      <c r="A1313" s="6"/>
      <c r="B1313" s="6"/>
      <c r="C1313" s="4"/>
      <c r="D1313" s="36">
        <v>206.864764</v>
      </c>
      <c r="E1313" s="4" t="s">
        <v>475</v>
      </c>
      <c r="F1313" s="4"/>
      <c r="G1313" s="4"/>
      <c r="H1313" s="4"/>
      <c r="I1313" s="4"/>
      <c r="J1313" s="18"/>
      <c r="K1313" s="4"/>
      <c r="L1313" s="19"/>
      <c r="M1313" s="20"/>
    </row>
    <row r="1314">
      <c r="A1314" s="6"/>
      <c r="B1314" s="6"/>
      <c r="C1314" s="4"/>
      <c r="D1314" s="36">
        <v>3073.769025</v>
      </c>
      <c r="E1314" s="4" t="s">
        <v>8517</v>
      </c>
      <c r="F1314" s="4"/>
      <c r="G1314" s="4"/>
      <c r="H1314" s="4"/>
      <c r="I1314" s="4"/>
      <c r="J1314" s="18"/>
      <c r="K1314" s="4"/>
      <c r="L1314" s="19"/>
      <c r="M1314" s="20"/>
    </row>
    <row r="1315">
      <c r="A1315" s="6"/>
      <c r="B1315" s="6"/>
      <c r="C1315" s="4"/>
      <c r="D1315" s="36">
        <v>429.568148</v>
      </c>
      <c r="E1315" s="4" t="s">
        <v>9041</v>
      </c>
      <c r="F1315" s="4"/>
      <c r="G1315" s="4"/>
      <c r="H1315" s="4"/>
      <c r="I1315" s="4"/>
      <c r="J1315" s="18"/>
      <c r="K1315" s="4"/>
      <c r="L1315" s="19"/>
      <c r="M1315" s="20"/>
    </row>
    <row r="1316">
      <c r="A1316" s="6"/>
      <c r="B1316" s="6"/>
      <c r="C1316" s="4"/>
      <c r="D1316" s="36">
        <v>189.236143</v>
      </c>
      <c r="E1316" s="4" t="s">
        <v>9034</v>
      </c>
      <c r="F1316" s="4"/>
      <c r="G1316" s="4"/>
      <c r="H1316" s="4"/>
      <c r="I1316" s="4"/>
      <c r="J1316" s="18"/>
      <c r="K1316" s="4"/>
      <c r="L1316" s="19"/>
      <c r="M1316" s="20"/>
    </row>
    <row r="1317">
      <c r="A1317" s="6"/>
      <c r="B1317" s="6"/>
      <c r="C1317" s="4"/>
      <c r="D1317" s="36">
        <v>124.076704</v>
      </c>
      <c r="E1317" s="4" t="s">
        <v>9018</v>
      </c>
      <c r="F1317" s="4"/>
      <c r="G1317" s="4"/>
      <c r="H1317" s="4"/>
      <c r="I1317" s="4"/>
      <c r="J1317" s="18"/>
      <c r="K1317" s="4"/>
      <c r="L1317" s="19"/>
      <c r="M1317" s="20"/>
    </row>
    <row r="1318">
      <c r="A1318" s="6"/>
      <c r="B1318" s="6"/>
      <c r="C1318" s="4"/>
      <c r="D1318" s="36">
        <v>670.648126</v>
      </c>
      <c r="E1318" s="4" t="s">
        <v>534</v>
      </c>
      <c r="F1318" s="4"/>
      <c r="G1318" s="4"/>
      <c r="H1318" s="4"/>
      <c r="I1318" s="4"/>
      <c r="J1318" s="18"/>
      <c r="K1318" s="4"/>
      <c r="L1318" s="19"/>
      <c r="M1318" s="20"/>
    </row>
    <row r="1319">
      <c r="A1319" s="6"/>
      <c r="B1319" s="6"/>
      <c r="C1319" s="4"/>
      <c r="D1319" s="36">
        <v>165.276148</v>
      </c>
      <c r="E1319" s="4" t="s">
        <v>8701</v>
      </c>
      <c r="F1319" s="4"/>
      <c r="G1319" s="4"/>
      <c r="H1319" s="4"/>
      <c r="I1319" s="4"/>
      <c r="J1319" s="18"/>
      <c r="K1319" s="4"/>
      <c r="L1319" s="19"/>
      <c r="M1319" s="20"/>
    </row>
    <row r="1320">
      <c r="A1320" s="6"/>
      <c r="B1320" s="6"/>
      <c r="C1320" s="4"/>
      <c r="D1320" s="36">
        <v>338.302229</v>
      </c>
      <c r="E1320" s="4" t="s">
        <v>8968</v>
      </c>
      <c r="F1320" s="4"/>
      <c r="G1320" s="4"/>
      <c r="H1320" s="4"/>
      <c r="I1320" s="4"/>
      <c r="J1320" s="18"/>
      <c r="K1320" s="4"/>
      <c r="L1320" s="19"/>
      <c r="M1320" s="20"/>
    </row>
    <row r="1321">
      <c r="A1321" s="6"/>
      <c r="B1321" s="6"/>
      <c r="C1321" s="4"/>
      <c r="D1321" s="36">
        <v>81.89662</v>
      </c>
      <c r="E1321" s="4" t="s">
        <v>683</v>
      </c>
      <c r="F1321" s="4"/>
      <c r="G1321" s="4"/>
      <c r="H1321" s="4"/>
      <c r="I1321" s="4"/>
      <c r="J1321" s="18"/>
      <c r="K1321" s="4"/>
      <c r="L1321" s="19"/>
      <c r="M1321" s="20"/>
    </row>
    <row r="1322">
      <c r="A1322" s="6"/>
      <c r="B1322" s="6"/>
      <c r="C1322" s="4"/>
      <c r="D1322" s="36">
        <v>1549.463888</v>
      </c>
      <c r="E1322" s="4" t="s">
        <v>9042</v>
      </c>
      <c r="F1322" s="4"/>
      <c r="G1322" s="4"/>
      <c r="H1322" s="4"/>
      <c r="I1322" s="4"/>
      <c r="J1322" s="18"/>
      <c r="K1322" s="4"/>
      <c r="L1322" s="19"/>
      <c r="M1322" s="20"/>
    </row>
    <row r="1323">
      <c r="A1323" s="6"/>
      <c r="B1323" s="6"/>
      <c r="C1323" s="4"/>
      <c r="D1323" s="36">
        <v>0.0</v>
      </c>
      <c r="E1323" s="4"/>
      <c r="F1323" s="4"/>
      <c r="G1323" s="4"/>
      <c r="H1323" s="4"/>
      <c r="I1323" s="4"/>
      <c r="J1323" s="18"/>
      <c r="K1323" s="4"/>
      <c r="L1323" s="19"/>
      <c r="M1323" s="20"/>
    </row>
    <row r="1324">
      <c r="A1324" s="6"/>
      <c r="B1324" s="6"/>
      <c r="C1324" s="4"/>
      <c r="D1324" s="36">
        <v>0.0</v>
      </c>
      <c r="E1324" s="4"/>
      <c r="F1324" s="4"/>
      <c r="G1324" s="4"/>
      <c r="H1324" s="4"/>
      <c r="I1324" s="4"/>
      <c r="J1324" s="18"/>
      <c r="K1324" s="4"/>
      <c r="L1324" s="19"/>
      <c r="M1324" s="20"/>
    </row>
    <row r="1325">
      <c r="A1325" s="6"/>
      <c r="B1325" s="6"/>
      <c r="C1325" s="4"/>
      <c r="D1325" s="36">
        <v>0.0</v>
      </c>
      <c r="E1325" s="4"/>
      <c r="F1325" s="4"/>
      <c r="G1325" s="4"/>
      <c r="H1325" s="4"/>
      <c r="I1325" s="4"/>
      <c r="J1325" s="18"/>
      <c r="K1325" s="4"/>
      <c r="L1325" s="19"/>
      <c r="M1325" s="20"/>
    </row>
    <row r="1326">
      <c r="A1326" s="6"/>
      <c r="B1326" s="6"/>
      <c r="C1326" s="4"/>
      <c r="D1326" s="36">
        <v>0.0</v>
      </c>
      <c r="E1326" s="4"/>
      <c r="F1326" s="4"/>
      <c r="G1326" s="4"/>
      <c r="H1326" s="4"/>
      <c r="I1326" s="4"/>
      <c r="J1326" s="18"/>
      <c r="K1326" s="4"/>
      <c r="L1326" s="19"/>
      <c r="M1326" s="20"/>
    </row>
    <row r="1327">
      <c r="A1327" s="6"/>
      <c r="B1327" s="6"/>
      <c r="C1327" s="4"/>
      <c r="D1327" s="36">
        <v>0.0</v>
      </c>
      <c r="E1327" s="4"/>
      <c r="F1327" s="4"/>
      <c r="G1327" s="4"/>
      <c r="H1327" s="4"/>
      <c r="I1327" s="4"/>
      <c r="J1327" s="18"/>
      <c r="K1327" s="4"/>
      <c r="L1327" s="19"/>
      <c r="M1327" s="20"/>
    </row>
    <row r="1328">
      <c r="A1328" s="6"/>
      <c r="B1328" s="6"/>
      <c r="C1328" s="4"/>
      <c r="D1328" s="36">
        <v>0.0</v>
      </c>
      <c r="E1328" s="4"/>
      <c r="F1328" s="4"/>
      <c r="G1328" s="4"/>
      <c r="H1328" s="4"/>
      <c r="I1328" s="4"/>
      <c r="J1328" s="18"/>
      <c r="K1328" s="4"/>
      <c r="L1328" s="19"/>
      <c r="M1328" s="20"/>
    </row>
    <row r="1329">
      <c r="A1329" s="6"/>
      <c r="B1329" s="6"/>
      <c r="C1329" s="4"/>
      <c r="D1329" s="36">
        <v>0.0</v>
      </c>
      <c r="E1329" s="4"/>
      <c r="F1329" s="4"/>
      <c r="G1329" s="4"/>
      <c r="H1329" s="4"/>
      <c r="I1329" s="4"/>
      <c r="J1329" s="18"/>
      <c r="K1329" s="4"/>
      <c r="L1329" s="19"/>
      <c r="M1329" s="20"/>
    </row>
    <row r="1330">
      <c r="A1330" s="6"/>
      <c r="B1330" s="6"/>
      <c r="C1330" s="4"/>
      <c r="D1330" s="36">
        <v>0.0</v>
      </c>
      <c r="E1330" s="4"/>
      <c r="F1330" s="4"/>
      <c r="G1330" s="4"/>
      <c r="H1330" s="4"/>
      <c r="I1330" s="4"/>
      <c r="J1330" s="18"/>
      <c r="K1330" s="4"/>
      <c r="L1330" s="19"/>
      <c r="M1330" s="20"/>
    </row>
    <row r="1331">
      <c r="A1331" s="6"/>
      <c r="B1331" s="6"/>
      <c r="C1331" s="4"/>
      <c r="D1331" s="36">
        <v>0.0</v>
      </c>
      <c r="E1331" s="4"/>
      <c r="F1331" s="4"/>
      <c r="G1331" s="4"/>
      <c r="H1331" s="4"/>
      <c r="I1331" s="4"/>
      <c r="J1331" s="18"/>
      <c r="K1331" s="4"/>
      <c r="L1331" s="19"/>
      <c r="M1331" s="20"/>
    </row>
    <row r="1332">
      <c r="A1332" s="6"/>
      <c r="B1332" s="6"/>
      <c r="C1332" s="4"/>
      <c r="D1332" s="36">
        <v>0.0</v>
      </c>
      <c r="E1332" s="4"/>
      <c r="F1332" s="4"/>
      <c r="G1332" s="4"/>
      <c r="H1332" s="4"/>
      <c r="I1332" s="4"/>
      <c r="J1332" s="18"/>
      <c r="K1332" s="4"/>
      <c r="L1332" s="19"/>
      <c r="M1332" s="20"/>
    </row>
    <row r="1333">
      <c r="A1333" s="6"/>
      <c r="B1333" s="6"/>
      <c r="C1333" s="4"/>
      <c r="D1333" s="36">
        <v>0.0</v>
      </c>
      <c r="E1333" s="4"/>
      <c r="F1333" s="4"/>
      <c r="G1333" s="4"/>
      <c r="H1333" s="4"/>
      <c r="I1333" s="4"/>
      <c r="J1333" s="18"/>
      <c r="K1333" s="4"/>
      <c r="L1333" s="19"/>
      <c r="M1333" s="20"/>
    </row>
    <row r="1334">
      <c r="A1334" s="6"/>
      <c r="B1334" s="6"/>
      <c r="C1334" s="4"/>
      <c r="D1334" s="36">
        <v>0.0</v>
      </c>
      <c r="E1334" s="4"/>
      <c r="F1334" s="4"/>
      <c r="G1334" s="4"/>
      <c r="H1334" s="4"/>
      <c r="I1334" s="4"/>
      <c r="J1334" s="18"/>
      <c r="K1334" s="4"/>
      <c r="L1334" s="19"/>
      <c r="M1334" s="20"/>
    </row>
    <row r="1335">
      <c r="A1335" s="6"/>
      <c r="B1335" s="6"/>
      <c r="C1335" s="4"/>
      <c r="D1335" s="36">
        <v>0.0</v>
      </c>
      <c r="E1335" s="4"/>
      <c r="F1335" s="4"/>
      <c r="G1335" s="4"/>
      <c r="H1335" s="4"/>
      <c r="I1335" s="4"/>
      <c r="J1335" s="18"/>
      <c r="K1335" s="4"/>
      <c r="L1335" s="19"/>
      <c r="M1335" s="20"/>
    </row>
    <row r="1336">
      <c r="A1336" s="6"/>
      <c r="B1336" s="6"/>
      <c r="C1336" s="4"/>
      <c r="D1336" s="36">
        <v>0.0</v>
      </c>
      <c r="E1336" s="4"/>
      <c r="F1336" s="4"/>
      <c r="G1336" s="4"/>
      <c r="H1336" s="4"/>
      <c r="I1336" s="4"/>
      <c r="J1336" s="18"/>
      <c r="K1336" s="4"/>
      <c r="L1336" s="19"/>
      <c r="M1336" s="20"/>
    </row>
    <row r="1337">
      <c r="A1337" s="6"/>
      <c r="B1337" s="6"/>
      <c r="C1337" s="4"/>
      <c r="D1337" s="36">
        <v>0.0</v>
      </c>
      <c r="E1337" s="4"/>
      <c r="F1337" s="4"/>
      <c r="G1337" s="4"/>
      <c r="H1337" s="4"/>
      <c r="I1337" s="4"/>
      <c r="J1337" s="18"/>
      <c r="K1337" s="4"/>
      <c r="L1337" s="19"/>
      <c r="M1337" s="20"/>
    </row>
    <row r="1338">
      <c r="A1338" s="6"/>
      <c r="B1338" s="6"/>
      <c r="C1338" s="4"/>
      <c r="D1338" s="36">
        <v>0.0</v>
      </c>
      <c r="E1338" s="4"/>
      <c r="F1338" s="4"/>
      <c r="G1338" s="4"/>
      <c r="H1338" s="4"/>
      <c r="I1338" s="4"/>
      <c r="J1338" s="18"/>
      <c r="K1338" s="4"/>
      <c r="L1338" s="19"/>
      <c r="M1338" s="20"/>
    </row>
    <row r="1339">
      <c r="A1339" s="6"/>
      <c r="B1339" s="6"/>
      <c r="C1339" s="4"/>
      <c r="D1339" s="36">
        <v>0.0</v>
      </c>
      <c r="E1339" s="4"/>
      <c r="F1339" s="4"/>
      <c r="G1339" s="4"/>
      <c r="H1339" s="4"/>
      <c r="I1339" s="4"/>
      <c r="J1339" s="18"/>
      <c r="K1339" s="4"/>
      <c r="L1339" s="19"/>
      <c r="M1339" s="20"/>
    </row>
    <row r="1340">
      <c r="A1340" s="6"/>
      <c r="B1340" s="6"/>
      <c r="C1340" s="4"/>
      <c r="D1340" s="36">
        <v>0.0</v>
      </c>
      <c r="E1340" s="4"/>
      <c r="F1340" s="4"/>
      <c r="G1340" s="4"/>
      <c r="H1340" s="4"/>
      <c r="I1340" s="4"/>
      <c r="J1340" s="18"/>
      <c r="K1340" s="4"/>
      <c r="L1340" s="19"/>
      <c r="M1340" s="20"/>
    </row>
    <row r="1341">
      <c r="A1341" s="6"/>
      <c r="B1341" s="6"/>
      <c r="C1341" s="4"/>
      <c r="D1341" s="36">
        <v>0.0</v>
      </c>
      <c r="E1341" s="4"/>
      <c r="F1341" s="4"/>
      <c r="G1341" s="4"/>
      <c r="H1341" s="4"/>
      <c r="I1341" s="4"/>
      <c r="J1341" s="18"/>
      <c r="K1341" s="4"/>
      <c r="L1341" s="19"/>
      <c r="M1341" s="20"/>
    </row>
    <row r="1342">
      <c r="A1342" s="6"/>
      <c r="B1342" s="6"/>
      <c r="C1342" s="4"/>
      <c r="D1342" s="36">
        <v>0.0</v>
      </c>
      <c r="E1342" s="4"/>
      <c r="F1342" s="4"/>
      <c r="G1342" s="4"/>
      <c r="H1342" s="4"/>
      <c r="I1342" s="4"/>
      <c r="J1342" s="18"/>
      <c r="K1342" s="4"/>
      <c r="L1342" s="19"/>
      <c r="M1342" s="20"/>
    </row>
    <row r="1343">
      <c r="A1343" s="6"/>
      <c r="B1343" s="6"/>
      <c r="C1343" s="4"/>
      <c r="D1343" s="36">
        <v>0.0</v>
      </c>
      <c r="E1343" s="4"/>
      <c r="F1343" s="4"/>
      <c r="G1343" s="4"/>
      <c r="H1343" s="4"/>
      <c r="I1343" s="4"/>
      <c r="J1343" s="18"/>
      <c r="K1343" s="4"/>
      <c r="L1343" s="19"/>
      <c r="M1343" s="20"/>
    </row>
    <row r="1344">
      <c r="A1344" s="6"/>
      <c r="B1344" s="6"/>
      <c r="C1344" s="4"/>
      <c r="D1344" s="36">
        <v>0.0</v>
      </c>
      <c r="E1344" s="4"/>
      <c r="F1344" s="4"/>
      <c r="G1344" s="4"/>
      <c r="H1344" s="4"/>
      <c r="I1344" s="4"/>
      <c r="J1344" s="18"/>
      <c r="K1344" s="4"/>
      <c r="L1344" s="19"/>
      <c r="M1344" s="20"/>
    </row>
    <row r="1345">
      <c r="A1345" s="6"/>
      <c r="B1345" s="6"/>
      <c r="C1345" s="4"/>
      <c r="D1345" s="36">
        <v>0.0</v>
      </c>
      <c r="E1345" s="4"/>
      <c r="F1345" s="4"/>
      <c r="G1345" s="4"/>
      <c r="H1345" s="4"/>
      <c r="I1345" s="4"/>
      <c r="J1345" s="18"/>
      <c r="K1345" s="4"/>
      <c r="L1345" s="19"/>
      <c r="M1345" s="20"/>
    </row>
    <row r="1346">
      <c r="A1346" s="6"/>
      <c r="B1346" s="6"/>
      <c r="C1346" s="4"/>
      <c r="D1346" s="36">
        <v>0.0</v>
      </c>
      <c r="E1346" s="4"/>
      <c r="F1346" s="4"/>
      <c r="G1346" s="4"/>
      <c r="H1346" s="4"/>
      <c r="I1346" s="4"/>
      <c r="J1346" s="18"/>
      <c r="K1346" s="4"/>
      <c r="L1346" s="19"/>
      <c r="M1346" s="20"/>
    </row>
    <row r="1347">
      <c r="A1347" s="6"/>
      <c r="B1347" s="6"/>
      <c r="C1347" s="4"/>
      <c r="D1347" s="36">
        <v>0.0</v>
      </c>
      <c r="E1347" s="4"/>
      <c r="F1347" s="4"/>
      <c r="G1347" s="4"/>
      <c r="H1347" s="4"/>
      <c r="I1347" s="4"/>
      <c r="J1347" s="18"/>
      <c r="K1347" s="4"/>
      <c r="L1347" s="19"/>
      <c r="M1347" s="20"/>
    </row>
    <row r="1348">
      <c r="A1348" s="6"/>
      <c r="B1348" s="6"/>
      <c r="C1348" s="4"/>
      <c r="D1348" s="36">
        <v>0.0</v>
      </c>
      <c r="E1348" s="4"/>
      <c r="F1348" s="4"/>
      <c r="G1348" s="4"/>
      <c r="H1348" s="4"/>
      <c r="I1348" s="4"/>
      <c r="J1348" s="18"/>
      <c r="K1348" s="4"/>
      <c r="L1348" s="19"/>
      <c r="M1348" s="20"/>
    </row>
    <row r="1349">
      <c r="A1349" s="6"/>
      <c r="B1349" s="6"/>
      <c r="C1349" s="4"/>
      <c r="D1349" s="36">
        <v>0.0</v>
      </c>
      <c r="E1349" s="4"/>
      <c r="F1349" s="4"/>
      <c r="G1349" s="4"/>
      <c r="H1349" s="4"/>
      <c r="I1349" s="4"/>
      <c r="J1349" s="18"/>
      <c r="K1349" s="4"/>
      <c r="L1349" s="19"/>
      <c r="M1349" s="20"/>
    </row>
    <row r="1350">
      <c r="A1350" s="6"/>
      <c r="B1350" s="6"/>
      <c r="C1350" s="4"/>
      <c r="D1350" s="36">
        <v>0.0</v>
      </c>
      <c r="E1350" s="4"/>
      <c r="F1350" s="4"/>
      <c r="G1350" s="4"/>
      <c r="H1350" s="4"/>
      <c r="I1350" s="4"/>
      <c r="J1350" s="18"/>
      <c r="K1350" s="4"/>
      <c r="L1350" s="19"/>
      <c r="M1350" s="20"/>
    </row>
    <row r="1351">
      <c r="A1351" s="6"/>
      <c r="B1351" s="6"/>
      <c r="C1351" s="4"/>
      <c r="D1351" s="36">
        <v>0.0</v>
      </c>
      <c r="E1351" s="4"/>
      <c r="F1351" s="4"/>
      <c r="G1351" s="4"/>
      <c r="H1351" s="4"/>
      <c r="I1351" s="4"/>
      <c r="J1351" s="18"/>
      <c r="K1351" s="4"/>
      <c r="L1351" s="19"/>
      <c r="M1351" s="20"/>
    </row>
    <row r="1352">
      <c r="A1352" s="6"/>
      <c r="B1352" s="6"/>
      <c r="C1352" s="4"/>
      <c r="D1352" s="36">
        <v>0.0</v>
      </c>
      <c r="E1352" s="4"/>
      <c r="F1352" s="4"/>
      <c r="G1352" s="4"/>
      <c r="H1352" s="4"/>
      <c r="I1352" s="4"/>
      <c r="J1352" s="18"/>
      <c r="K1352" s="4"/>
      <c r="L1352" s="19"/>
      <c r="M1352" s="20"/>
    </row>
    <row r="1353">
      <c r="A1353" s="6"/>
      <c r="B1353" s="6"/>
      <c r="C1353" s="4"/>
      <c r="D1353" s="36">
        <v>0.0</v>
      </c>
      <c r="E1353" s="4"/>
      <c r="F1353" s="4"/>
      <c r="G1353" s="4"/>
      <c r="H1353" s="4"/>
      <c r="I1353" s="4"/>
      <c r="J1353" s="18"/>
      <c r="K1353" s="4"/>
      <c r="L1353" s="19"/>
      <c r="M1353" s="20"/>
    </row>
    <row r="1354">
      <c r="A1354" s="6"/>
      <c r="B1354" s="6"/>
      <c r="C1354" s="4"/>
      <c r="D1354" s="36">
        <v>0.0</v>
      </c>
      <c r="E1354" s="4"/>
      <c r="F1354" s="4"/>
      <c r="G1354" s="4"/>
      <c r="H1354" s="4"/>
      <c r="I1354" s="4"/>
      <c r="J1354" s="18"/>
      <c r="K1354" s="4"/>
      <c r="L1354" s="19"/>
      <c r="M1354" s="20"/>
    </row>
    <row r="1355">
      <c r="A1355" s="6"/>
      <c r="B1355" s="6"/>
      <c r="C1355" s="4"/>
      <c r="D1355" s="36">
        <v>0.0</v>
      </c>
      <c r="E1355" s="4"/>
      <c r="F1355" s="4"/>
      <c r="G1355" s="4"/>
      <c r="H1355" s="4"/>
      <c r="I1355" s="4"/>
      <c r="J1355" s="18"/>
      <c r="K1355" s="4"/>
      <c r="L1355" s="19"/>
      <c r="M1355" s="20"/>
    </row>
    <row r="1356">
      <c r="A1356" s="6"/>
      <c r="B1356" s="6"/>
      <c r="C1356" s="4"/>
      <c r="D1356" s="36">
        <v>0.0</v>
      </c>
      <c r="E1356" s="4"/>
      <c r="F1356" s="4"/>
      <c r="G1356" s="4"/>
      <c r="H1356" s="4"/>
      <c r="I1356" s="4"/>
      <c r="J1356" s="18"/>
      <c r="K1356" s="4"/>
      <c r="L1356" s="19"/>
      <c r="M1356" s="20"/>
    </row>
    <row r="1357">
      <c r="A1357" s="6"/>
      <c r="B1357" s="6"/>
      <c r="C1357" s="4"/>
      <c r="D1357" s="36">
        <v>0.0</v>
      </c>
      <c r="E1357" s="4"/>
      <c r="F1357" s="4"/>
      <c r="G1357" s="4"/>
      <c r="H1357" s="4"/>
      <c r="I1357" s="4"/>
      <c r="J1357" s="18"/>
      <c r="K1357" s="4"/>
      <c r="L1357" s="19"/>
      <c r="M1357" s="20"/>
    </row>
    <row r="1358">
      <c r="A1358" s="6"/>
      <c r="B1358" s="6"/>
      <c r="C1358" s="4"/>
      <c r="D1358" s="36">
        <v>0.0</v>
      </c>
      <c r="E1358" s="4"/>
      <c r="F1358" s="4"/>
      <c r="G1358" s="4"/>
      <c r="H1358" s="4"/>
      <c r="I1358" s="4"/>
      <c r="J1358" s="18"/>
      <c r="K1358" s="4"/>
      <c r="L1358" s="19"/>
      <c r="M1358" s="20"/>
    </row>
    <row r="1359">
      <c r="A1359" s="6"/>
      <c r="B1359" s="6"/>
      <c r="C1359" s="4"/>
      <c r="D1359" s="36">
        <v>0.0</v>
      </c>
      <c r="E1359" s="4"/>
      <c r="F1359" s="4"/>
      <c r="G1359" s="4"/>
      <c r="H1359" s="4"/>
      <c r="I1359" s="4"/>
      <c r="J1359" s="18"/>
      <c r="K1359" s="4"/>
      <c r="L1359" s="19"/>
      <c r="M1359" s="20"/>
    </row>
    <row r="1360">
      <c r="A1360" s="6"/>
      <c r="B1360" s="6"/>
      <c r="C1360" s="4"/>
      <c r="D1360" s="36">
        <v>0.0</v>
      </c>
      <c r="E1360" s="4"/>
      <c r="F1360" s="4"/>
      <c r="G1360" s="4"/>
      <c r="H1360" s="4"/>
      <c r="I1360" s="4"/>
      <c r="J1360" s="18"/>
      <c r="K1360" s="4"/>
      <c r="L1360" s="19"/>
      <c r="M1360" s="20"/>
    </row>
    <row r="1361">
      <c r="A1361" s="6"/>
      <c r="B1361" s="6"/>
      <c r="C1361" s="4"/>
      <c r="D1361" s="36">
        <v>0.0</v>
      </c>
      <c r="E1361" s="4"/>
      <c r="F1361" s="4"/>
      <c r="G1361" s="4"/>
      <c r="H1361" s="4"/>
      <c r="I1361" s="4"/>
      <c r="J1361" s="18"/>
      <c r="K1361" s="4"/>
      <c r="L1361" s="19"/>
      <c r="M1361" s="20"/>
    </row>
    <row r="1362">
      <c r="A1362" s="6"/>
      <c r="B1362" s="6"/>
      <c r="C1362" s="4"/>
      <c r="D1362" s="36">
        <v>0.0</v>
      </c>
      <c r="E1362" s="4"/>
      <c r="F1362" s="4"/>
      <c r="G1362" s="4"/>
      <c r="H1362" s="4"/>
      <c r="I1362" s="4"/>
      <c r="J1362" s="18"/>
      <c r="K1362" s="4"/>
      <c r="L1362" s="19"/>
      <c r="M1362" s="20"/>
    </row>
    <row r="1363">
      <c r="A1363" s="6"/>
      <c r="B1363" s="6"/>
      <c r="C1363" s="4"/>
      <c r="D1363" s="36">
        <v>0.0</v>
      </c>
      <c r="E1363" s="4"/>
      <c r="F1363" s="4"/>
      <c r="G1363" s="4"/>
      <c r="H1363" s="4"/>
      <c r="I1363" s="4"/>
      <c r="J1363" s="18"/>
      <c r="K1363" s="4"/>
      <c r="L1363" s="19"/>
      <c r="M1363" s="20"/>
    </row>
    <row r="1364">
      <c r="A1364" s="6"/>
      <c r="B1364" s="6"/>
      <c r="C1364" s="4"/>
      <c r="D1364" s="36">
        <v>0.0</v>
      </c>
      <c r="E1364" s="4"/>
      <c r="F1364" s="4"/>
      <c r="G1364" s="4"/>
      <c r="H1364" s="4"/>
      <c r="I1364" s="4"/>
      <c r="J1364" s="18"/>
      <c r="K1364" s="4"/>
      <c r="L1364" s="19"/>
      <c r="M1364" s="20"/>
    </row>
    <row r="1365">
      <c r="A1365" s="6"/>
      <c r="B1365" s="6"/>
      <c r="C1365" s="4"/>
      <c r="D1365" s="36">
        <v>0.0</v>
      </c>
      <c r="E1365" s="4"/>
      <c r="F1365" s="4"/>
      <c r="G1365" s="4"/>
      <c r="H1365" s="4"/>
      <c r="I1365" s="4"/>
      <c r="J1365" s="18"/>
      <c r="K1365" s="4"/>
      <c r="L1365" s="19"/>
      <c r="M1365" s="20"/>
    </row>
    <row r="1366">
      <c r="A1366" s="6"/>
      <c r="B1366" s="6"/>
      <c r="C1366" s="4"/>
      <c r="D1366" s="36">
        <v>0.0</v>
      </c>
      <c r="E1366" s="4"/>
      <c r="F1366" s="4"/>
      <c r="G1366" s="4"/>
      <c r="H1366" s="4"/>
      <c r="I1366" s="4"/>
      <c r="J1366" s="18"/>
      <c r="K1366" s="4"/>
      <c r="L1366" s="19"/>
      <c r="M1366" s="20"/>
    </row>
    <row r="1367">
      <c r="A1367" s="6"/>
      <c r="B1367" s="6"/>
      <c r="C1367" s="4"/>
      <c r="D1367" s="36">
        <v>0.0</v>
      </c>
      <c r="E1367" s="4"/>
      <c r="F1367" s="4"/>
      <c r="G1367" s="4"/>
      <c r="H1367" s="4"/>
      <c r="I1367" s="4"/>
      <c r="J1367" s="18"/>
      <c r="K1367" s="4"/>
      <c r="L1367" s="19"/>
      <c r="M1367" s="20"/>
    </row>
    <row r="1368">
      <c r="A1368" s="6"/>
      <c r="B1368" s="6"/>
      <c r="C1368" s="4"/>
      <c r="D1368" s="36">
        <v>0.0</v>
      </c>
      <c r="E1368" s="4"/>
      <c r="F1368" s="4"/>
      <c r="G1368" s="4"/>
      <c r="H1368" s="4"/>
      <c r="I1368" s="4"/>
      <c r="J1368" s="18"/>
      <c r="K1368" s="4"/>
      <c r="L1368" s="19"/>
      <c r="M1368" s="20"/>
    </row>
    <row r="1369">
      <c r="A1369" s="6"/>
      <c r="B1369" s="6"/>
      <c r="C1369" s="4"/>
      <c r="D1369" s="36">
        <v>0.0</v>
      </c>
      <c r="E1369" s="4"/>
      <c r="F1369" s="4"/>
      <c r="G1369" s="4"/>
      <c r="H1369" s="4"/>
      <c r="I1369" s="4"/>
      <c r="J1369" s="18"/>
      <c r="K1369" s="4"/>
      <c r="L1369" s="19"/>
      <c r="M1369" s="20"/>
    </row>
    <row r="1370">
      <c r="A1370" s="6"/>
      <c r="B1370" s="6"/>
      <c r="C1370" s="4"/>
      <c r="D1370" s="36">
        <v>0.0</v>
      </c>
      <c r="E1370" s="4"/>
      <c r="F1370" s="4"/>
      <c r="G1370" s="4"/>
      <c r="H1370" s="4"/>
      <c r="I1370" s="4"/>
      <c r="J1370" s="18"/>
      <c r="K1370" s="4"/>
      <c r="L1370" s="19"/>
      <c r="M1370" s="20"/>
    </row>
    <row r="1371">
      <c r="A1371" s="6"/>
      <c r="B1371" s="6"/>
      <c r="C1371" s="4"/>
      <c r="D1371" s="36">
        <v>0.0</v>
      </c>
      <c r="E1371" s="4"/>
      <c r="F1371" s="4"/>
      <c r="G1371" s="4"/>
      <c r="H1371" s="4"/>
      <c r="I1371" s="4"/>
      <c r="J1371" s="18"/>
      <c r="K1371" s="4"/>
      <c r="L1371" s="19"/>
      <c r="M1371" s="20"/>
    </row>
    <row r="1372">
      <c r="A1372" s="6"/>
      <c r="B1372" s="6"/>
      <c r="C1372" s="4"/>
      <c r="D1372" s="36">
        <v>0.0</v>
      </c>
      <c r="E1372" s="4"/>
      <c r="F1372" s="4"/>
      <c r="G1372" s="4"/>
      <c r="H1372" s="4"/>
      <c r="I1372" s="4"/>
      <c r="J1372" s="18"/>
      <c r="K1372" s="4"/>
      <c r="L1372" s="19"/>
      <c r="M1372" s="20"/>
    </row>
    <row r="1373">
      <c r="A1373" s="6"/>
      <c r="B1373" s="6"/>
      <c r="C1373" s="4"/>
      <c r="D1373" s="36">
        <v>0.0</v>
      </c>
      <c r="E1373" s="4"/>
      <c r="F1373" s="4"/>
      <c r="G1373" s="4"/>
      <c r="H1373" s="4"/>
      <c r="I1373" s="4"/>
      <c r="J1373" s="18"/>
      <c r="K1373" s="4"/>
      <c r="L1373" s="19"/>
      <c r="M1373" s="20"/>
    </row>
    <row r="1374">
      <c r="A1374" s="6"/>
      <c r="B1374" s="6"/>
      <c r="C1374" s="4"/>
      <c r="D1374" s="36">
        <v>0.0</v>
      </c>
      <c r="E1374" s="4"/>
      <c r="F1374" s="4"/>
      <c r="G1374" s="4"/>
      <c r="H1374" s="4"/>
      <c r="I1374" s="4"/>
      <c r="J1374" s="18"/>
      <c r="K1374" s="4"/>
      <c r="L1374" s="19"/>
      <c r="M1374" s="20"/>
    </row>
    <row r="1375">
      <c r="A1375" s="6"/>
      <c r="B1375" s="6"/>
      <c r="C1375" s="4"/>
      <c r="D1375" s="36">
        <v>0.0</v>
      </c>
      <c r="E1375" s="4"/>
      <c r="F1375" s="4"/>
      <c r="G1375" s="4"/>
      <c r="H1375" s="4"/>
      <c r="I1375" s="4"/>
      <c r="J1375" s="18"/>
      <c r="K1375" s="4"/>
      <c r="L1375" s="19"/>
      <c r="M1375" s="20"/>
    </row>
    <row r="1376">
      <c r="A1376" s="6"/>
      <c r="B1376" s="6"/>
      <c r="C1376" s="4"/>
      <c r="D1376" s="36">
        <v>0.0</v>
      </c>
      <c r="E1376" s="4"/>
      <c r="F1376" s="4"/>
      <c r="G1376" s="4"/>
      <c r="H1376" s="4"/>
      <c r="I1376" s="4"/>
      <c r="J1376" s="18"/>
      <c r="K1376" s="4"/>
      <c r="L1376" s="19"/>
      <c r="M1376" s="20"/>
    </row>
    <row r="1377">
      <c r="A1377" s="6"/>
      <c r="B1377" s="6"/>
      <c r="C1377" s="4"/>
      <c r="D1377" s="36">
        <v>0.0</v>
      </c>
      <c r="E1377" s="4"/>
      <c r="F1377" s="4"/>
      <c r="G1377" s="4"/>
      <c r="H1377" s="4"/>
      <c r="I1377" s="4"/>
      <c r="J1377" s="18"/>
      <c r="K1377" s="4"/>
      <c r="L1377" s="19"/>
      <c r="M1377" s="20"/>
    </row>
    <row r="1378">
      <c r="A1378" s="6"/>
      <c r="B1378" s="6"/>
      <c r="C1378" s="4"/>
      <c r="D1378" s="36">
        <v>0.0</v>
      </c>
      <c r="E1378" s="4"/>
      <c r="F1378" s="4"/>
      <c r="G1378" s="4"/>
      <c r="H1378" s="4"/>
      <c r="I1378" s="4"/>
      <c r="J1378" s="18"/>
      <c r="K1378" s="4"/>
      <c r="L1378" s="19"/>
      <c r="M1378" s="20"/>
    </row>
    <row r="1379">
      <c r="A1379" s="6"/>
      <c r="B1379" s="6"/>
      <c r="C1379" s="4"/>
      <c r="D1379" s="36">
        <v>0.0</v>
      </c>
      <c r="E1379" s="4"/>
      <c r="F1379" s="4"/>
      <c r="G1379" s="4"/>
      <c r="H1379" s="4"/>
      <c r="I1379" s="4"/>
      <c r="J1379" s="18"/>
      <c r="K1379" s="4"/>
      <c r="L1379" s="19"/>
      <c r="M1379" s="20"/>
    </row>
    <row r="1380">
      <c r="A1380" s="6"/>
      <c r="B1380" s="6"/>
      <c r="C1380" s="4"/>
      <c r="D1380" s="36">
        <v>0.0</v>
      </c>
      <c r="E1380" s="4"/>
      <c r="F1380" s="4"/>
      <c r="G1380" s="4"/>
      <c r="H1380" s="4"/>
      <c r="I1380" s="4"/>
      <c r="J1380" s="18"/>
      <c r="K1380" s="4"/>
      <c r="L1380" s="19"/>
      <c r="M1380" s="20"/>
    </row>
    <row r="1381">
      <c r="A1381" s="6"/>
      <c r="B1381" s="6"/>
      <c r="C1381" s="4"/>
      <c r="D1381" s="36">
        <v>0.0</v>
      </c>
      <c r="E1381" s="4"/>
      <c r="F1381" s="4"/>
      <c r="G1381" s="4"/>
      <c r="H1381" s="4"/>
      <c r="I1381" s="4"/>
      <c r="J1381" s="18"/>
      <c r="K1381" s="4"/>
      <c r="L1381" s="19"/>
      <c r="M1381" s="20"/>
    </row>
    <row r="1382">
      <c r="A1382" s="6"/>
      <c r="B1382" s="6"/>
      <c r="C1382" s="4"/>
      <c r="D1382" s="36">
        <v>0.0</v>
      </c>
      <c r="E1382" s="4"/>
      <c r="F1382" s="4"/>
      <c r="G1382" s="4"/>
      <c r="H1382" s="4"/>
      <c r="I1382" s="4"/>
      <c r="J1382" s="18"/>
      <c r="K1382" s="4"/>
      <c r="L1382" s="19"/>
      <c r="M1382" s="20"/>
    </row>
    <row r="1383">
      <c r="A1383" s="6"/>
      <c r="B1383" s="6"/>
      <c r="C1383" s="4"/>
      <c r="D1383" s="36">
        <v>0.0</v>
      </c>
      <c r="E1383" s="4"/>
      <c r="F1383" s="4"/>
      <c r="G1383" s="4"/>
      <c r="H1383" s="4"/>
      <c r="I1383" s="4"/>
      <c r="J1383" s="18"/>
      <c r="K1383" s="4"/>
      <c r="L1383" s="19"/>
      <c r="M1383" s="20"/>
    </row>
    <row r="1384">
      <c r="A1384" s="6"/>
      <c r="B1384" s="6"/>
      <c r="C1384" s="4"/>
      <c r="D1384" s="36">
        <v>0.0</v>
      </c>
      <c r="E1384" s="4"/>
      <c r="F1384" s="4"/>
      <c r="G1384" s="4"/>
      <c r="H1384" s="4"/>
      <c r="I1384" s="4"/>
      <c r="J1384" s="18"/>
      <c r="K1384" s="4"/>
      <c r="L1384" s="19"/>
      <c r="M1384" s="20"/>
    </row>
    <row r="1385">
      <c r="A1385" s="6"/>
      <c r="B1385" s="6"/>
      <c r="C1385" s="4"/>
      <c r="D1385" s="36">
        <v>0.0</v>
      </c>
      <c r="E1385" s="4"/>
      <c r="F1385" s="4"/>
      <c r="G1385" s="4"/>
      <c r="H1385" s="4"/>
      <c r="I1385" s="4"/>
      <c r="J1385" s="18"/>
      <c r="K1385" s="4"/>
      <c r="L1385" s="19"/>
      <c r="M1385" s="20"/>
    </row>
    <row r="1386">
      <c r="A1386" s="6"/>
      <c r="B1386" s="6"/>
      <c r="C1386" s="4"/>
      <c r="D1386" s="36">
        <v>0.0</v>
      </c>
      <c r="E1386" s="4"/>
      <c r="F1386" s="4"/>
      <c r="G1386" s="4"/>
      <c r="H1386" s="4"/>
      <c r="I1386" s="4"/>
      <c r="J1386" s="18"/>
      <c r="K1386" s="4"/>
      <c r="L1386" s="19"/>
      <c r="M1386" s="20"/>
    </row>
    <row r="1387">
      <c r="A1387" s="6"/>
      <c r="B1387" s="6"/>
      <c r="C1387" s="4"/>
      <c r="D1387" s="36">
        <v>0.0</v>
      </c>
      <c r="E1387" s="4"/>
      <c r="F1387" s="4"/>
      <c r="G1387" s="4"/>
      <c r="H1387" s="4"/>
      <c r="I1387" s="4"/>
      <c r="J1387" s="18"/>
      <c r="K1387" s="4"/>
      <c r="L1387" s="19"/>
      <c r="M1387" s="20"/>
    </row>
    <row r="1388">
      <c r="A1388" s="6"/>
      <c r="B1388" s="6"/>
      <c r="C1388" s="4"/>
      <c r="D1388" s="36">
        <v>0.0</v>
      </c>
      <c r="E1388" s="4"/>
      <c r="F1388" s="4"/>
      <c r="G1388" s="4"/>
      <c r="H1388" s="4"/>
      <c r="I1388" s="4"/>
      <c r="J1388" s="18"/>
      <c r="K1388" s="4"/>
      <c r="L1388" s="19"/>
      <c r="M1388" s="20"/>
    </row>
    <row r="1389">
      <c r="A1389" s="6"/>
      <c r="B1389" s="6"/>
      <c r="C1389" s="4"/>
      <c r="D1389" s="36">
        <v>0.0</v>
      </c>
      <c r="E1389" s="4"/>
      <c r="F1389" s="4"/>
      <c r="G1389" s="4"/>
      <c r="H1389" s="4"/>
      <c r="I1389" s="4"/>
      <c r="J1389" s="18"/>
      <c r="K1389" s="4"/>
      <c r="L1389" s="19"/>
      <c r="M1389" s="20"/>
    </row>
    <row r="1390">
      <c r="A1390" s="6"/>
      <c r="B1390" s="6"/>
      <c r="C1390" s="4"/>
      <c r="D1390" s="36">
        <v>0.0</v>
      </c>
      <c r="E1390" s="4"/>
      <c r="F1390" s="4"/>
      <c r="G1390" s="4"/>
      <c r="H1390" s="4"/>
      <c r="I1390" s="4"/>
      <c r="J1390" s="18"/>
      <c r="K1390" s="4"/>
      <c r="L1390" s="19"/>
      <c r="M1390" s="20"/>
    </row>
    <row r="1391">
      <c r="A1391" s="6"/>
      <c r="B1391" s="6"/>
      <c r="C1391" s="4"/>
      <c r="D1391" s="36">
        <v>0.0</v>
      </c>
      <c r="E1391" s="4"/>
      <c r="F1391" s="4"/>
      <c r="G1391" s="4"/>
      <c r="H1391" s="4"/>
      <c r="I1391" s="4"/>
      <c r="J1391" s="18"/>
      <c r="K1391" s="4"/>
      <c r="L1391" s="19"/>
      <c r="M1391" s="20"/>
    </row>
    <row r="1392">
      <c r="A1392" s="6"/>
      <c r="B1392" s="6"/>
      <c r="C1392" s="4"/>
      <c r="D1392" s="36">
        <v>0.0</v>
      </c>
      <c r="E1392" s="4"/>
      <c r="F1392" s="4"/>
      <c r="G1392" s="4"/>
      <c r="H1392" s="4"/>
      <c r="I1392" s="4"/>
      <c r="J1392" s="18"/>
      <c r="K1392" s="4"/>
      <c r="L1392" s="19"/>
      <c r="M1392" s="20"/>
    </row>
    <row r="1393">
      <c r="A1393" s="6"/>
      <c r="B1393" s="6"/>
      <c r="C1393" s="4"/>
      <c r="D1393" s="36">
        <v>0.0</v>
      </c>
      <c r="E1393" s="4"/>
      <c r="F1393" s="4"/>
      <c r="G1393" s="4"/>
      <c r="H1393" s="4"/>
      <c r="I1393" s="4"/>
      <c r="J1393" s="18"/>
      <c r="K1393" s="4"/>
      <c r="L1393" s="19"/>
      <c r="M1393" s="20"/>
    </row>
    <row r="1394">
      <c r="A1394" s="6"/>
      <c r="B1394" s="6"/>
      <c r="C1394" s="4"/>
      <c r="D1394" s="36">
        <v>0.0</v>
      </c>
      <c r="E1394" s="4"/>
      <c r="F1394" s="4"/>
      <c r="G1394" s="4"/>
      <c r="H1394" s="4"/>
      <c r="I1394" s="4"/>
      <c r="J1394" s="18"/>
      <c r="K1394" s="4"/>
      <c r="L1394" s="19"/>
      <c r="M1394" s="20"/>
    </row>
    <row r="1395">
      <c r="A1395" s="6"/>
      <c r="B1395" s="6"/>
      <c r="C1395" s="4"/>
      <c r="D1395" s="36">
        <v>0.0</v>
      </c>
      <c r="E1395" s="4"/>
      <c r="F1395" s="4"/>
      <c r="G1395" s="4"/>
      <c r="H1395" s="4"/>
      <c r="I1395" s="4"/>
      <c r="J1395" s="18"/>
      <c r="K1395" s="4"/>
      <c r="L1395" s="19"/>
      <c r="M1395" s="20"/>
    </row>
    <row r="1396">
      <c r="A1396" s="6"/>
      <c r="B1396" s="6"/>
      <c r="C1396" s="4"/>
      <c r="D1396" s="36">
        <v>0.0</v>
      </c>
      <c r="E1396" s="4"/>
      <c r="F1396" s="4"/>
      <c r="G1396" s="4"/>
      <c r="H1396" s="4"/>
      <c r="I1396" s="4"/>
      <c r="J1396" s="18"/>
      <c r="K1396" s="4"/>
      <c r="L1396" s="19"/>
      <c r="M1396" s="20"/>
    </row>
    <row r="1397">
      <c r="A1397" s="6"/>
      <c r="B1397" s="6"/>
      <c r="C1397" s="4"/>
      <c r="D1397" s="36">
        <v>0.0</v>
      </c>
      <c r="E1397" s="4"/>
      <c r="F1397" s="4"/>
      <c r="G1397" s="4"/>
      <c r="H1397" s="4"/>
      <c r="I1397" s="4"/>
      <c r="J1397" s="18"/>
      <c r="K1397" s="4"/>
      <c r="L1397" s="19"/>
      <c r="M1397" s="20"/>
    </row>
    <row r="1398">
      <c r="A1398" s="6"/>
      <c r="B1398" s="6"/>
      <c r="C1398" s="4"/>
      <c r="D1398" s="36">
        <v>0.0</v>
      </c>
      <c r="E1398" s="4"/>
      <c r="F1398" s="4"/>
      <c r="G1398" s="4"/>
      <c r="H1398" s="4"/>
      <c r="I1398" s="4"/>
      <c r="J1398" s="18"/>
      <c r="K1398" s="4"/>
      <c r="L1398" s="19"/>
      <c r="M1398" s="20"/>
    </row>
    <row r="1399">
      <c r="A1399" s="6"/>
      <c r="B1399" s="6"/>
      <c r="C1399" s="4"/>
      <c r="D1399" s="36">
        <v>0.0</v>
      </c>
      <c r="E1399" s="4"/>
      <c r="F1399" s="4"/>
      <c r="G1399" s="4"/>
      <c r="H1399" s="4"/>
      <c r="I1399" s="4"/>
      <c r="J1399" s="18"/>
      <c r="K1399" s="4"/>
      <c r="L1399" s="19"/>
      <c r="M1399" s="20"/>
    </row>
    <row r="1400">
      <c r="A1400" s="6"/>
      <c r="B1400" s="6"/>
      <c r="C1400" s="4"/>
      <c r="D1400" s="36">
        <v>0.0</v>
      </c>
      <c r="E1400" s="4"/>
      <c r="F1400" s="4"/>
      <c r="G1400" s="4"/>
      <c r="H1400" s="4"/>
      <c r="I1400" s="4"/>
      <c r="J1400" s="18"/>
      <c r="K1400" s="4"/>
      <c r="L1400" s="19"/>
      <c r="M1400" s="20"/>
    </row>
    <row r="1401">
      <c r="A1401" s="6"/>
      <c r="B1401" s="6"/>
      <c r="C1401" s="4"/>
      <c r="D1401" s="36">
        <v>0.0</v>
      </c>
      <c r="E1401" s="4"/>
      <c r="F1401" s="4"/>
      <c r="G1401" s="4"/>
      <c r="H1401" s="4"/>
      <c r="I1401" s="4"/>
      <c r="J1401" s="18"/>
      <c r="K1401" s="4"/>
      <c r="L1401" s="19"/>
      <c r="M1401" s="20"/>
    </row>
    <row r="1402">
      <c r="A1402" s="6"/>
      <c r="B1402" s="6"/>
      <c r="C1402" s="4"/>
      <c r="D1402" s="36">
        <v>0.0</v>
      </c>
      <c r="E1402" s="4"/>
      <c r="F1402" s="4"/>
      <c r="G1402" s="4"/>
      <c r="H1402" s="4"/>
      <c r="I1402" s="4"/>
      <c r="J1402" s="18"/>
      <c r="K1402" s="4"/>
      <c r="L1402" s="19"/>
      <c r="M1402" s="20"/>
    </row>
    <row r="1403">
      <c r="A1403" s="6"/>
      <c r="B1403" s="6"/>
      <c r="C1403" s="4"/>
      <c r="D1403" s="36">
        <v>0.0</v>
      </c>
      <c r="E1403" s="4"/>
      <c r="F1403" s="4"/>
      <c r="G1403" s="4"/>
      <c r="H1403" s="4"/>
      <c r="I1403" s="4"/>
      <c r="J1403" s="18"/>
      <c r="K1403" s="4"/>
      <c r="L1403" s="19"/>
      <c r="M1403" s="20"/>
    </row>
    <row r="1404">
      <c r="A1404" s="6"/>
      <c r="B1404" s="6"/>
      <c r="C1404" s="4"/>
      <c r="D1404" s="36">
        <v>0.0</v>
      </c>
      <c r="E1404" s="4"/>
      <c r="F1404" s="4"/>
      <c r="G1404" s="4"/>
      <c r="H1404" s="4"/>
      <c r="I1404" s="4"/>
      <c r="J1404" s="18"/>
      <c r="K1404" s="4"/>
      <c r="L1404" s="19"/>
      <c r="M1404" s="20"/>
    </row>
    <row r="1405">
      <c r="A1405" s="6"/>
      <c r="B1405" s="6"/>
      <c r="C1405" s="4"/>
      <c r="D1405" s="36">
        <v>0.0</v>
      </c>
      <c r="E1405" s="4"/>
      <c r="F1405" s="4"/>
      <c r="G1405" s="4"/>
      <c r="H1405" s="4"/>
      <c r="I1405" s="4"/>
      <c r="J1405" s="18"/>
      <c r="K1405" s="4"/>
      <c r="L1405" s="19"/>
      <c r="M1405" s="20"/>
    </row>
    <row r="1406">
      <c r="A1406" s="6"/>
      <c r="B1406" s="6"/>
      <c r="C1406" s="4"/>
      <c r="D1406" s="36">
        <v>0.0</v>
      </c>
      <c r="E1406" s="4"/>
      <c r="F1406" s="4"/>
      <c r="G1406" s="4"/>
      <c r="H1406" s="4"/>
      <c r="I1406" s="4"/>
      <c r="J1406" s="18"/>
      <c r="K1406" s="4"/>
      <c r="L1406" s="19"/>
      <c r="M1406" s="20"/>
    </row>
    <row r="1407">
      <c r="A1407" s="6"/>
      <c r="B1407" s="6"/>
      <c r="C1407" s="4"/>
      <c r="D1407" s="36">
        <v>0.0</v>
      </c>
      <c r="E1407" s="4"/>
      <c r="F1407" s="4"/>
      <c r="G1407" s="4"/>
      <c r="H1407" s="4"/>
      <c r="I1407" s="4"/>
      <c r="J1407" s="18"/>
      <c r="K1407" s="4"/>
      <c r="L1407" s="19"/>
      <c r="M1407" s="20"/>
    </row>
    <row r="1408">
      <c r="A1408" s="6"/>
      <c r="B1408" s="6"/>
      <c r="C1408" s="4"/>
      <c r="D1408" s="36">
        <v>0.0</v>
      </c>
      <c r="E1408" s="4"/>
      <c r="F1408" s="4"/>
      <c r="G1408" s="4"/>
      <c r="H1408" s="4"/>
      <c r="I1408" s="4"/>
      <c r="J1408" s="18"/>
      <c r="K1408" s="4"/>
      <c r="L1408" s="19"/>
      <c r="M1408" s="20"/>
    </row>
    <row r="1409">
      <c r="A1409" s="6"/>
      <c r="B1409" s="6"/>
      <c r="C1409" s="4"/>
      <c r="D1409" s="36">
        <v>0.0</v>
      </c>
      <c r="E1409" s="4"/>
      <c r="F1409" s="4"/>
      <c r="G1409" s="4"/>
      <c r="H1409" s="4"/>
      <c r="I1409" s="4"/>
      <c r="J1409" s="18"/>
      <c r="K1409" s="4"/>
      <c r="L1409" s="19"/>
      <c r="M1409" s="20"/>
    </row>
    <row r="1410">
      <c r="A1410" s="6"/>
      <c r="B1410" s="6"/>
      <c r="C1410" s="4"/>
      <c r="D1410" s="36">
        <v>0.0</v>
      </c>
      <c r="E1410" s="4"/>
      <c r="F1410" s="4"/>
      <c r="G1410" s="4"/>
      <c r="H1410" s="4"/>
      <c r="I1410" s="4"/>
      <c r="J1410" s="18"/>
      <c r="K1410" s="4"/>
      <c r="L1410" s="19"/>
      <c r="M1410" s="20"/>
    </row>
    <row r="1411">
      <c r="A1411" s="6"/>
      <c r="B1411" s="6"/>
      <c r="C1411" s="4"/>
      <c r="D1411" s="36">
        <v>0.0</v>
      </c>
      <c r="E1411" s="4"/>
      <c r="F1411" s="4"/>
      <c r="G1411" s="4"/>
      <c r="H1411" s="4"/>
      <c r="I1411" s="4"/>
      <c r="J1411" s="18"/>
      <c r="K1411" s="4"/>
      <c r="L1411" s="19"/>
      <c r="M1411" s="20"/>
    </row>
    <row r="1412">
      <c r="A1412" s="6"/>
      <c r="B1412" s="6"/>
      <c r="C1412" s="4"/>
      <c r="D1412" s="36">
        <v>0.0</v>
      </c>
      <c r="E1412" s="4"/>
      <c r="F1412" s="4"/>
      <c r="G1412" s="4"/>
      <c r="H1412" s="4"/>
      <c r="I1412" s="4"/>
      <c r="J1412" s="18"/>
      <c r="K1412" s="4"/>
      <c r="L1412" s="19"/>
      <c r="M1412" s="20"/>
    </row>
    <row r="1413">
      <c r="A1413" s="6"/>
      <c r="B1413" s="6"/>
      <c r="C1413" s="4"/>
      <c r="D1413" s="36">
        <v>0.0</v>
      </c>
      <c r="E1413" s="4"/>
      <c r="F1413" s="4"/>
      <c r="G1413" s="4"/>
      <c r="H1413" s="4"/>
      <c r="I1413" s="4"/>
      <c r="J1413" s="18"/>
      <c r="K1413" s="4"/>
      <c r="L1413" s="19"/>
      <c r="M1413" s="20"/>
    </row>
    <row r="1414">
      <c r="A1414" s="6"/>
      <c r="B1414" s="6"/>
      <c r="C1414" s="4"/>
      <c r="D1414" s="36">
        <v>0.0</v>
      </c>
      <c r="E1414" s="4"/>
      <c r="F1414" s="4"/>
      <c r="G1414" s="4"/>
      <c r="H1414" s="4"/>
      <c r="I1414" s="4"/>
      <c r="J1414" s="18"/>
      <c r="K1414" s="4"/>
      <c r="L1414" s="19"/>
      <c r="M1414" s="20"/>
    </row>
    <row r="1415">
      <c r="A1415" s="6"/>
      <c r="B1415" s="6"/>
      <c r="C1415" s="4"/>
      <c r="D1415" s="36">
        <v>0.0</v>
      </c>
      <c r="E1415" s="4"/>
      <c r="F1415" s="4"/>
      <c r="G1415" s="4"/>
      <c r="H1415" s="4"/>
      <c r="I1415" s="4"/>
      <c r="J1415" s="18"/>
      <c r="K1415" s="4"/>
      <c r="L1415" s="19"/>
      <c r="M1415" s="20"/>
    </row>
    <row r="1416">
      <c r="A1416" s="6"/>
      <c r="B1416" s="6"/>
      <c r="C1416" s="4"/>
      <c r="D1416" s="36">
        <v>0.0</v>
      </c>
      <c r="E1416" s="4"/>
      <c r="F1416" s="4"/>
      <c r="G1416" s="4"/>
      <c r="H1416" s="4"/>
      <c r="I1416" s="4"/>
      <c r="J1416" s="18"/>
      <c r="K1416" s="4"/>
      <c r="L1416" s="19"/>
      <c r="M1416" s="20"/>
    </row>
    <row r="1417">
      <c r="A1417" s="6"/>
      <c r="B1417" s="6"/>
      <c r="C1417" s="4"/>
      <c r="D1417" s="36">
        <v>0.0</v>
      </c>
      <c r="E1417" s="4"/>
      <c r="F1417" s="4"/>
      <c r="G1417" s="4"/>
      <c r="H1417" s="4"/>
      <c r="I1417" s="4"/>
      <c r="J1417" s="18"/>
      <c r="K1417" s="4"/>
      <c r="L1417" s="19"/>
      <c r="M1417" s="20"/>
    </row>
    <row r="1418">
      <c r="A1418" s="6"/>
      <c r="B1418" s="6"/>
      <c r="C1418" s="4"/>
      <c r="D1418" s="36">
        <v>0.0</v>
      </c>
      <c r="E1418" s="4"/>
      <c r="F1418" s="4"/>
      <c r="G1418" s="4"/>
      <c r="H1418" s="4"/>
      <c r="I1418" s="4"/>
      <c r="J1418" s="18"/>
      <c r="K1418" s="4"/>
      <c r="L1418" s="19"/>
      <c r="M1418" s="20"/>
    </row>
    <row r="1419">
      <c r="A1419" s="6"/>
      <c r="B1419" s="6"/>
      <c r="C1419" s="4"/>
      <c r="D1419" s="36">
        <v>0.0</v>
      </c>
      <c r="E1419" s="4"/>
      <c r="F1419" s="4"/>
      <c r="G1419" s="4"/>
      <c r="H1419" s="4"/>
      <c r="I1419" s="4"/>
      <c r="J1419" s="18"/>
      <c r="K1419" s="4"/>
      <c r="L1419" s="19"/>
      <c r="M1419" s="20"/>
    </row>
    <row r="1420">
      <c r="A1420" s="6"/>
      <c r="B1420" s="6"/>
      <c r="C1420" s="4"/>
      <c r="D1420" s="36">
        <v>0.0</v>
      </c>
      <c r="E1420" s="4"/>
      <c r="F1420" s="4"/>
      <c r="G1420" s="4"/>
      <c r="H1420" s="4"/>
      <c r="I1420" s="4"/>
      <c r="J1420" s="18"/>
      <c r="K1420" s="4"/>
      <c r="L1420" s="19"/>
      <c r="M1420" s="20"/>
    </row>
    <row r="1421">
      <c r="A1421" s="6"/>
      <c r="B1421" s="6"/>
      <c r="C1421" s="4"/>
      <c r="D1421" s="36">
        <v>0.0</v>
      </c>
      <c r="E1421" s="4"/>
      <c r="F1421" s="4"/>
      <c r="G1421" s="4"/>
      <c r="H1421" s="4"/>
      <c r="I1421" s="4"/>
      <c r="J1421" s="18"/>
      <c r="K1421" s="4"/>
      <c r="L1421" s="19"/>
      <c r="M1421" s="20"/>
    </row>
    <row r="1422">
      <c r="A1422" s="6"/>
      <c r="B1422" s="6"/>
      <c r="C1422" s="4"/>
      <c r="D1422" s="36">
        <v>0.0</v>
      </c>
      <c r="E1422" s="4"/>
      <c r="F1422" s="4"/>
      <c r="G1422" s="4"/>
      <c r="H1422" s="4"/>
      <c r="I1422" s="4"/>
      <c r="J1422" s="18"/>
      <c r="K1422" s="4"/>
      <c r="L1422" s="19"/>
      <c r="M1422" s="20"/>
    </row>
    <row r="1423">
      <c r="A1423" s="6"/>
      <c r="B1423" s="6"/>
      <c r="C1423" s="4"/>
      <c r="D1423" s="36">
        <v>0.0</v>
      </c>
      <c r="E1423" s="4"/>
      <c r="F1423" s="4"/>
      <c r="G1423" s="4"/>
      <c r="H1423" s="4"/>
      <c r="I1423" s="4"/>
      <c r="J1423" s="18"/>
      <c r="K1423" s="4"/>
      <c r="L1423" s="19"/>
      <c r="M1423" s="20"/>
    </row>
    <row r="1424">
      <c r="A1424" s="6"/>
      <c r="B1424" s="6"/>
      <c r="C1424" s="4"/>
      <c r="D1424" s="36">
        <v>0.0</v>
      </c>
      <c r="E1424" s="4"/>
      <c r="F1424" s="4"/>
      <c r="G1424" s="4"/>
      <c r="H1424" s="4"/>
      <c r="I1424" s="4"/>
      <c r="J1424" s="18"/>
      <c r="K1424" s="4"/>
      <c r="L1424" s="19"/>
      <c r="M1424" s="20"/>
    </row>
    <row r="1425">
      <c r="A1425" s="6"/>
      <c r="B1425" s="6"/>
      <c r="C1425" s="4"/>
      <c r="D1425" s="36">
        <v>0.0</v>
      </c>
      <c r="E1425" s="4"/>
      <c r="F1425" s="4"/>
      <c r="G1425" s="4"/>
      <c r="H1425" s="4"/>
      <c r="I1425" s="4"/>
      <c r="J1425" s="18"/>
      <c r="K1425" s="4"/>
      <c r="L1425" s="19"/>
      <c r="M1425" s="20"/>
    </row>
    <row r="1426">
      <c r="A1426" s="6"/>
      <c r="B1426" s="6"/>
      <c r="C1426" s="4"/>
      <c r="D1426" s="36">
        <v>0.0</v>
      </c>
      <c r="E1426" s="4"/>
      <c r="F1426" s="4"/>
      <c r="G1426" s="4"/>
      <c r="H1426" s="4"/>
      <c r="I1426" s="4"/>
      <c r="J1426" s="18"/>
      <c r="K1426" s="4"/>
      <c r="L1426" s="19"/>
      <c r="M1426" s="20"/>
    </row>
    <row r="1427">
      <c r="A1427" s="6"/>
      <c r="B1427" s="6"/>
      <c r="C1427" s="4"/>
      <c r="D1427" s="36">
        <v>0.0</v>
      </c>
      <c r="E1427" s="4"/>
      <c r="F1427" s="4"/>
      <c r="G1427" s="4"/>
      <c r="H1427" s="4"/>
      <c r="I1427" s="4"/>
      <c r="J1427" s="18"/>
      <c r="K1427" s="4"/>
      <c r="L1427" s="19"/>
      <c r="M1427" s="20"/>
    </row>
    <row r="1428">
      <c r="A1428" s="6"/>
      <c r="B1428" s="6"/>
      <c r="C1428" s="4"/>
      <c r="D1428" s="36">
        <v>0.0</v>
      </c>
      <c r="E1428" s="4"/>
      <c r="F1428" s="4"/>
      <c r="G1428" s="4"/>
      <c r="H1428" s="4"/>
      <c r="I1428" s="4"/>
      <c r="J1428" s="18"/>
      <c r="K1428" s="4"/>
      <c r="L1428" s="19"/>
      <c r="M1428" s="20"/>
    </row>
    <row r="1429">
      <c r="A1429" s="6"/>
      <c r="B1429" s="6"/>
      <c r="C1429" s="4"/>
      <c r="D1429" s="36">
        <v>0.0</v>
      </c>
      <c r="E1429" s="4"/>
      <c r="F1429" s="4"/>
      <c r="G1429" s="4"/>
      <c r="H1429" s="4"/>
      <c r="I1429" s="4"/>
      <c r="J1429" s="18"/>
      <c r="K1429" s="4"/>
      <c r="L1429" s="19"/>
      <c r="M1429" s="20"/>
    </row>
    <row r="1430">
      <c r="A1430" s="6"/>
      <c r="B1430" s="6"/>
      <c r="C1430" s="4"/>
      <c r="D1430" s="36">
        <v>0.0</v>
      </c>
      <c r="E1430" s="4"/>
      <c r="F1430" s="4"/>
      <c r="G1430" s="4"/>
      <c r="H1430" s="4"/>
      <c r="I1430" s="4"/>
      <c r="J1430" s="18"/>
      <c r="K1430" s="4"/>
      <c r="L1430" s="19"/>
      <c r="M1430" s="20"/>
    </row>
    <row r="1431">
      <c r="A1431" s="6"/>
      <c r="B1431" s="6"/>
      <c r="C1431" s="4"/>
      <c r="D1431" s="36">
        <v>0.0</v>
      </c>
      <c r="E1431" s="4"/>
      <c r="F1431" s="4"/>
      <c r="G1431" s="4"/>
      <c r="H1431" s="4"/>
      <c r="I1431" s="4"/>
      <c r="J1431" s="18"/>
      <c r="K1431" s="4"/>
      <c r="L1431" s="19"/>
      <c r="M1431" s="20"/>
    </row>
    <row r="1432">
      <c r="A1432" s="6"/>
      <c r="B1432" s="6"/>
      <c r="C1432" s="4"/>
      <c r="D1432" s="36">
        <v>0.0</v>
      </c>
      <c r="E1432" s="4"/>
      <c r="F1432" s="4"/>
      <c r="G1432" s="4"/>
      <c r="H1432" s="4"/>
      <c r="I1432" s="4"/>
      <c r="J1432" s="18"/>
      <c r="K1432" s="4"/>
      <c r="L1432" s="19"/>
      <c r="M1432" s="20"/>
    </row>
    <row r="1433">
      <c r="A1433" s="6"/>
      <c r="B1433" s="6"/>
      <c r="C1433" s="4"/>
      <c r="D1433" s="36">
        <v>0.0</v>
      </c>
      <c r="E1433" s="4"/>
      <c r="F1433" s="4"/>
      <c r="G1433" s="4"/>
      <c r="H1433" s="4"/>
      <c r="I1433" s="4"/>
      <c r="J1433" s="18"/>
      <c r="K1433" s="4"/>
      <c r="L1433" s="19"/>
      <c r="M1433" s="20"/>
    </row>
    <row r="1434">
      <c r="A1434" s="6"/>
      <c r="B1434" s="6"/>
      <c r="C1434" s="4"/>
      <c r="D1434" s="36">
        <v>0.0</v>
      </c>
      <c r="E1434" s="4"/>
      <c r="F1434" s="4"/>
      <c r="G1434" s="4"/>
      <c r="H1434" s="4"/>
      <c r="I1434" s="4"/>
      <c r="J1434" s="18"/>
      <c r="K1434" s="4"/>
      <c r="L1434" s="19"/>
      <c r="M1434" s="20"/>
    </row>
    <row r="1435">
      <c r="A1435" s="6"/>
      <c r="B1435" s="6"/>
      <c r="C1435" s="4"/>
      <c r="D1435" s="36">
        <v>0.0</v>
      </c>
      <c r="E1435" s="4"/>
      <c r="F1435" s="4"/>
      <c r="G1435" s="4"/>
      <c r="H1435" s="4"/>
      <c r="I1435" s="4"/>
      <c r="J1435" s="18"/>
      <c r="K1435" s="4"/>
      <c r="L1435" s="19"/>
      <c r="M1435" s="20"/>
    </row>
    <row r="1436">
      <c r="A1436" s="6"/>
      <c r="B1436" s="6"/>
      <c r="C1436" s="4"/>
      <c r="D1436" s="36">
        <v>0.0</v>
      </c>
      <c r="E1436" s="4"/>
      <c r="F1436" s="4"/>
      <c r="G1436" s="4"/>
      <c r="H1436" s="4"/>
      <c r="I1436" s="4"/>
      <c r="J1436" s="18"/>
      <c r="K1436" s="4"/>
      <c r="L1436" s="19"/>
      <c r="M1436" s="20"/>
    </row>
    <row r="1437">
      <c r="A1437" s="6"/>
      <c r="B1437" s="6"/>
      <c r="C1437" s="4"/>
      <c r="D1437" s="36">
        <v>0.0</v>
      </c>
      <c r="E1437" s="4"/>
      <c r="F1437" s="4"/>
      <c r="G1437" s="4"/>
      <c r="H1437" s="4"/>
      <c r="I1437" s="4"/>
      <c r="J1437" s="18"/>
      <c r="K1437" s="4"/>
      <c r="L1437" s="19"/>
      <c r="M1437" s="20"/>
    </row>
    <row r="1438">
      <c r="A1438" s="6"/>
      <c r="B1438" s="6"/>
      <c r="C1438" s="4"/>
      <c r="D1438" s="36">
        <v>0.0</v>
      </c>
      <c r="E1438" s="4"/>
      <c r="F1438" s="4"/>
      <c r="G1438" s="4"/>
      <c r="H1438" s="4"/>
      <c r="I1438" s="4"/>
      <c r="J1438" s="18"/>
      <c r="K1438" s="4"/>
      <c r="L1438" s="19"/>
      <c r="M1438" s="20"/>
    </row>
    <row r="1439">
      <c r="A1439" s="6"/>
      <c r="B1439" s="6"/>
      <c r="C1439" s="4"/>
      <c r="D1439" s="36">
        <v>0.0</v>
      </c>
      <c r="E1439" s="4"/>
      <c r="F1439" s="4"/>
      <c r="G1439" s="4"/>
      <c r="H1439" s="4"/>
      <c r="I1439" s="4"/>
      <c r="J1439" s="18"/>
      <c r="K1439" s="4"/>
      <c r="L1439" s="19"/>
      <c r="M1439" s="20"/>
    </row>
    <row r="1440">
      <c r="A1440" s="6"/>
      <c r="B1440" s="6"/>
      <c r="C1440" s="4"/>
      <c r="D1440" s="36">
        <v>0.0</v>
      </c>
      <c r="E1440" s="4"/>
      <c r="F1440" s="4"/>
      <c r="G1440" s="4"/>
      <c r="H1440" s="4"/>
      <c r="I1440" s="4"/>
      <c r="J1440" s="18"/>
      <c r="K1440" s="4"/>
      <c r="L1440" s="19"/>
      <c r="M1440" s="20"/>
    </row>
    <row r="1441">
      <c r="A1441" s="6"/>
      <c r="B1441" s="6"/>
      <c r="C1441" s="4"/>
      <c r="D1441" s="36">
        <v>0.0</v>
      </c>
      <c r="E1441" s="4"/>
      <c r="F1441" s="4"/>
      <c r="G1441" s="4"/>
      <c r="H1441" s="4"/>
      <c r="I1441" s="4"/>
      <c r="J1441" s="18"/>
      <c r="K1441" s="4"/>
      <c r="L1441" s="19"/>
      <c r="M1441" s="20"/>
    </row>
    <row r="1442">
      <c r="A1442" s="6"/>
      <c r="B1442" s="6"/>
      <c r="C1442" s="4"/>
      <c r="D1442" s="36">
        <v>0.0</v>
      </c>
      <c r="E1442" s="4"/>
      <c r="F1442" s="4"/>
      <c r="G1442" s="4"/>
      <c r="H1442" s="4"/>
      <c r="I1442" s="4"/>
      <c r="J1442" s="18"/>
      <c r="K1442" s="4"/>
      <c r="L1442" s="19"/>
      <c r="M1442" s="20"/>
    </row>
    <row r="1443">
      <c r="A1443" s="6"/>
      <c r="B1443" s="6"/>
      <c r="C1443" s="4"/>
      <c r="D1443" s="36">
        <v>0.0</v>
      </c>
      <c r="E1443" s="4"/>
      <c r="F1443" s="4"/>
      <c r="G1443" s="4"/>
      <c r="H1443" s="4"/>
      <c r="I1443" s="4"/>
      <c r="J1443" s="18"/>
      <c r="K1443" s="4"/>
      <c r="L1443" s="19"/>
      <c r="M1443" s="20"/>
    </row>
    <row r="1444">
      <c r="A1444" s="6"/>
      <c r="B1444" s="6"/>
      <c r="C1444" s="4"/>
      <c r="D1444" s="36">
        <v>0.0</v>
      </c>
      <c r="E1444" s="4"/>
      <c r="F1444" s="4"/>
      <c r="G1444" s="4"/>
      <c r="H1444" s="4"/>
      <c r="I1444" s="4"/>
      <c r="J1444" s="18"/>
      <c r="K1444" s="4"/>
      <c r="L1444" s="19"/>
      <c r="M1444" s="20"/>
    </row>
    <row r="1445">
      <c r="A1445" s="6"/>
      <c r="B1445" s="6"/>
      <c r="C1445" s="4"/>
      <c r="D1445" s="36">
        <v>0.0</v>
      </c>
      <c r="E1445" s="4"/>
      <c r="F1445" s="4"/>
      <c r="G1445" s="4"/>
      <c r="H1445" s="4"/>
      <c r="I1445" s="4"/>
      <c r="J1445" s="18"/>
      <c r="K1445" s="4"/>
      <c r="L1445" s="19"/>
      <c r="M1445" s="20"/>
    </row>
    <row r="1446">
      <c r="A1446" s="6"/>
      <c r="B1446" s="6"/>
      <c r="C1446" s="4"/>
      <c r="D1446" s="36">
        <v>0.0</v>
      </c>
      <c r="E1446" s="4"/>
      <c r="F1446" s="4"/>
      <c r="G1446" s="4"/>
      <c r="H1446" s="4"/>
      <c r="I1446" s="4"/>
      <c r="J1446" s="18"/>
      <c r="K1446" s="4"/>
      <c r="L1446" s="19"/>
      <c r="M1446" s="20"/>
    </row>
    <row r="1447">
      <c r="A1447" s="6"/>
      <c r="B1447" s="6"/>
      <c r="C1447" s="4"/>
      <c r="D1447" s="36">
        <v>0.0</v>
      </c>
      <c r="E1447" s="4"/>
      <c r="F1447" s="4"/>
      <c r="G1447" s="4"/>
      <c r="H1447" s="4"/>
      <c r="I1447" s="4"/>
      <c r="J1447" s="18"/>
      <c r="K1447" s="4"/>
      <c r="L1447" s="19"/>
      <c r="M1447" s="20"/>
    </row>
    <row r="1448">
      <c r="A1448" s="6"/>
      <c r="B1448" s="6"/>
      <c r="C1448" s="4"/>
      <c r="D1448" s="36">
        <v>0.0</v>
      </c>
      <c r="E1448" s="4"/>
      <c r="F1448" s="4"/>
      <c r="G1448" s="4"/>
      <c r="H1448" s="4"/>
      <c r="I1448" s="4"/>
      <c r="J1448" s="18"/>
      <c r="K1448" s="4"/>
      <c r="L1448" s="19"/>
      <c r="M1448" s="20"/>
    </row>
    <row r="1449">
      <c r="A1449" s="6"/>
      <c r="B1449" s="6"/>
      <c r="C1449" s="4"/>
      <c r="D1449" s="36">
        <v>0.0</v>
      </c>
      <c r="E1449" s="4"/>
      <c r="F1449" s="4"/>
      <c r="G1449" s="4"/>
      <c r="H1449" s="4"/>
      <c r="I1449" s="4"/>
      <c r="J1449" s="18"/>
      <c r="K1449" s="4"/>
      <c r="L1449" s="19"/>
      <c r="M1449" s="20"/>
    </row>
    <row r="1450">
      <c r="A1450" s="6"/>
      <c r="B1450" s="6"/>
      <c r="C1450" s="4"/>
      <c r="D1450" s="36">
        <v>0.0</v>
      </c>
      <c r="E1450" s="4"/>
      <c r="F1450" s="4"/>
      <c r="G1450" s="4"/>
      <c r="H1450" s="4"/>
      <c r="I1450" s="4"/>
      <c r="J1450" s="18"/>
      <c r="K1450" s="4"/>
      <c r="L1450" s="19"/>
      <c r="M1450" s="20"/>
    </row>
    <row r="1451">
      <c r="A1451" s="6"/>
      <c r="B1451" s="6"/>
      <c r="C1451" s="4"/>
      <c r="D1451" s="36">
        <v>0.0</v>
      </c>
      <c r="E1451" s="4"/>
      <c r="F1451" s="4"/>
      <c r="G1451" s="4"/>
      <c r="H1451" s="4"/>
      <c r="I1451" s="4"/>
      <c r="J1451" s="18"/>
      <c r="K1451" s="4"/>
      <c r="L1451" s="19"/>
      <c r="M1451" s="20"/>
    </row>
    <row r="1452">
      <c r="A1452" s="6"/>
      <c r="B1452" s="6"/>
      <c r="C1452" s="4"/>
      <c r="D1452" s="36">
        <v>0.0</v>
      </c>
      <c r="E1452" s="4"/>
      <c r="F1452" s="4"/>
      <c r="G1452" s="4"/>
      <c r="H1452" s="4"/>
      <c r="I1452" s="4"/>
      <c r="J1452" s="18"/>
      <c r="K1452" s="4"/>
      <c r="L1452" s="19"/>
      <c r="M1452" s="20"/>
    </row>
    <row r="1453">
      <c r="A1453" s="6"/>
      <c r="B1453" s="6"/>
      <c r="C1453" s="4"/>
      <c r="D1453" s="36">
        <v>0.0</v>
      </c>
      <c r="E1453" s="4"/>
      <c r="F1453" s="4"/>
      <c r="G1453" s="4"/>
      <c r="H1453" s="4"/>
      <c r="I1453" s="4"/>
      <c r="J1453" s="18"/>
      <c r="K1453" s="4"/>
      <c r="L1453" s="19"/>
      <c r="M1453" s="20"/>
    </row>
    <row r="1454">
      <c r="A1454" s="6"/>
      <c r="B1454" s="6"/>
      <c r="C1454" s="4"/>
      <c r="D1454" s="36">
        <v>0.0</v>
      </c>
      <c r="E1454" s="4"/>
      <c r="F1454" s="4"/>
      <c r="G1454" s="4"/>
      <c r="H1454" s="4"/>
      <c r="I1454" s="4"/>
      <c r="J1454" s="18"/>
      <c r="K1454" s="4"/>
      <c r="L1454" s="19"/>
      <c r="M1454" s="20"/>
    </row>
    <row r="1455">
      <c r="A1455" s="6"/>
      <c r="B1455" s="6"/>
      <c r="C1455" s="4"/>
      <c r="D1455" s="36">
        <v>0.0</v>
      </c>
      <c r="E1455" s="4"/>
      <c r="F1455" s="4"/>
      <c r="G1455" s="4"/>
      <c r="H1455" s="4"/>
      <c r="I1455" s="4"/>
      <c r="J1455" s="18"/>
      <c r="K1455" s="4"/>
      <c r="L1455" s="19"/>
      <c r="M1455" s="20"/>
    </row>
    <row r="1456">
      <c r="A1456" s="6"/>
      <c r="B1456" s="6"/>
      <c r="C1456" s="4"/>
      <c r="D1456" s="36">
        <v>0.0</v>
      </c>
      <c r="E1456" s="4"/>
      <c r="F1456" s="4"/>
      <c r="G1456" s="4"/>
      <c r="H1456" s="4"/>
      <c r="I1456" s="4"/>
      <c r="J1456" s="18"/>
      <c r="K1456" s="4"/>
      <c r="L1456" s="19"/>
      <c r="M1456" s="20"/>
    </row>
    <row r="1457">
      <c r="A1457" s="6"/>
      <c r="B1457" s="6"/>
      <c r="C1457" s="4"/>
      <c r="D1457" s="36">
        <v>0.0</v>
      </c>
      <c r="E1457" s="4"/>
      <c r="F1457" s="4"/>
      <c r="G1457" s="4"/>
      <c r="H1457" s="4"/>
      <c r="I1457" s="4"/>
      <c r="J1457" s="18"/>
      <c r="K1457" s="4"/>
      <c r="L1457" s="19"/>
      <c r="M1457" s="20"/>
    </row>
    <row r="1458">
      <c r="A1458" s="6"/>
      <c r="B1458" s="6"/>
      <c r="C1458" s="4"/>
      <c r="D1458" s="36">
        <v>0.0</v>
      </c>
      <c r="E1458" s="4"/>
      <c r="F1458" s="4"/>
      <c r="G1458" s="4"/>
      <c r="H1458" s="4"/>
      <c r="I1458" s="4"/>
      <c r="J1458" s="18"/>
      <c r="K1458" s="4"/>
      <c r="L1458" s="19"/>
      <c r="M1458" s="20"/>
    </row>
    <row r="1459">
      <c r="A1459" s="6"/>
      <c r="B1459" s="6"/>
      <c r="C1459" s="4"/>
      <c r="D1459" s="36">
        <v>0.0</v>
      </c>
      <c r="E1459" s="4"/>
      <c r="F1459" s="4"/>
      <c r="G1459" s="4"/>
      <c r="H1459" s="4"/>
      <c r="I1459" s="4"/>
      <c r="J1459" s="18"/>
      <c r="K1459" s="4"/>
      <c r="L1459" s="19"/>
      <c r="M1459" s="20"/>
    </row>
    <row r="1460">
      <c r="A1460" s="6"/>
      <c r="B1460" s="6"/>
      <c r="C1460" s="4"/>
      <c r="D1460" s="36">
        <v>0.0</v>
      </c>
      <c r="E1460" s="4"/>
      <c r="F1460" s="4"/>
      <c r="G1460" s="4"/>
      <c r="H1460" s="4"/>
      <c r="I1460" s="4"/>
      <c r="J1460" s="18"/>
      <c r="K1460" s="4"/>
      <c r="L1460" s="19"/>
      <c r="M1460" s="20"/>
    </row>
    <row r="1461">
      <c r="A1461" s="6"/>
      <c r="B1461" s="6"/>
      <c r="C1461" s="4"/>
      <c r="D1461" s="36">
        <v>0.0</v>
      </c>
      <c r="E1461" s="4"/>
      <c r="F1461" s="4"/>
      <c r="G1461" s="4"/>
      <c r="H1461" s="4"/>
      <c r="I1461" s="4"/>
      <c r="J1461" s="18"/>
      <c r="K1461" s="4"/>
      <c r="L1461" s="19"/>
      <c r="M1461" s="20"/>
    </row>
    <row r="1462">
      <c r="A1462" s="6"/>
      <c r="B1462" s="6"/>
      <c r="C1462" s="4"/>
      <c r="D1462" s="36">
        <v>0.0</v>
      </c>
      <c r="E1462" s="4"/>
      <c r="F1462" s="4"/>
      <c r="G1462" s="4"/>
      <c r="H1462" s="4"/>
      <c r="I1462" s="4"/>
      <c r="J1462" s="18"/>
      <c r="K1462" s="4"/>
      <c r="L1462" s="19"/>
      <c r="M1462" s="20"/>
    </row>
    <row r="1463">
      <c r="A1463" s="6"/>
      <c r="B1463" s="6"/>
      <c r="C1463" s="4"/>
      <c r="D1463" s="36">
        <v>0.0</v>
      </c>
      <c r="E1463" s="4"/>
      <c r="F1463" s="4"/>
      <c r="G1463" s="4"/>
      <c r="H1463" s="4"/>
      <c r="I1463" s="4"/>
      <c r="J1463" s="18"/>
      <c r="K1463" s="4"/>
      <c r="L1463" s="19"/>
      <c r="M1463" s="20"/>
    </row>
    <row r="1464">
      <c r="A1464" s="6"/>
      <c r="B1464" s="6"/>
      <c r="C1464" s="4"/>
      <c r="D1464" s="36">
        <v>0.0</v>
      </c>
      <c r="E1464" s="4"/>
      <c r="F1464" s="4"/>
      <c r="G1464" s="4"/>
      <c r="H1464" s="4"/>
      <c r="I1464" s="4"/>
      <c r="J1464" s="18"/>
      <c r="K1464" s="4"/>
      <c r="L1464" s="19"/>
      <c r="M1464" s="20"/>
    </row>
    <row r="1465">
      <c r="A1465" s="6"/>
      <c r="B1465" s="6"/>
      <c r="C1465" s="4"/>
      <c r="D1465" s="36">
        <v>0.0</v>
      </c>
      <c r="E1465" s="4"/>
      <c r="F1465" s="4"/>
      <c r="G1465" s="4"/>
      <c r="H1465" s="4"/>
      <c r="I1465" s="4"/>
      <c r="J1465" s="18"/>
      <c r="K1465" s="4"/>
      <c r="L1465" s="19"/>
      <c r="M1465" s="20"/>
    </row>
    <row r="1466">
      <c r="A1466" s="6"/>
      <c r="B1466" s="6"/>
      <c r="C1466" s="4"/>
      <c r="D1466" s="36">
        <v>0.0</v>
      </c>
      <c r="E1466" s="4"/>
      <c r="F1466" s="4"/>
      <c r="G1466" s="4"/>
      <c r="H1466" s="4"/>
      <c r="I1466" s="4"/>
      <c r="J1466" s="18"/>
      <c r="K1466" s="4"/>
      <c r="L1466" s="19"/>
      <c r="M1466" s="20"/>
    </row>
    <row r="1467">
      <c r="A1467" s="6"/>
      <c r="B1467" s="6"/>
      <c r="C1467" s="4"/>
      <c r="D1467" s="36">
        <v>0.0</v>
      </c>
      <c r="E1467" s="4"/>
      <c r="F1467" s="4"/>
      <c r="G1467" s="4"/>
      <c r="H1467" s="4"/>
      <c r="I1467" s="4"/>
      <c r="J1467" s="18"/>
      <c r="K1467" s="4"/>
      <c r="L1467" s="19"/>
      <c r="M1467" s="20"/>
    </row>
    <row r="1468">
      <c r="A1468" s="6"/>
      <c r="B1468" s="6"/>
      <c r="C1468" s="4"/>
      <c r="D1468" s="36">
        <v>0.0</v>
      </c>
      <c r="E1468" s="4"/>
      <c r="F1468" s="4"/>
      <c r="G1468" s="4"/>
      <c r="H1468" s="4"/>
      <c r="I1468" s="4"/>
      <c r="J1468" s="18"/>
      <c r="K1468" s="4"/>
      <c r="L1468" s="19"/>
      <c r="M1468" s="20"/>
    </row>
    <row r="1469">
      <c r="A1469" s="6"/>
      <c r="B1469" s="6"/>
      <c r="C1469" s="4"/>
      <c r="D1469" s="36">
        <v>0.0</v>
      </c>
      <c r="E1469" s="4"/>
      <c r="F1469" s="4"/>
      <c r="G1469" s="4"/>
      <c r="H1469" s="4"/>
      <c r="I1469" s="4"/>
      <c r="J1469" s="18"/>
      <c r="K1469" s="4"/>
      <c r="L1469" s="19"/>
      <c r="M1469" s="20"/>
    </row>
    <row r="1470">
      <c r="A1470" s="6"/>
      <c r="B1470" s="6"/>
      <c r="C1470" s="4"/>
      <c r="D1470" s="36">
        <v>0.0</v>
      </c>
      <c r="E1470" s="4"/>
      <c r="F1470" s="4"/>
      <c r="G1470" s="4"/>
      <c r="H1470" s="4"/>
      <c r="I1470" s="4"/>
      <c r="J1470" s="18"/>
      <c r="K1470" s="4"/>
      <c r="L1470" s="19"/>
      <c r="M1470" s="20"/>
    </row>
    <row r="1471">
      <c r="A1471" s="6"/>
      <c r="B1471" s="6"/>
      <c r="C1471" s="4"/>
      <c r="D1471" s="36">
        <v>0.0</v>
      </c>
      <c r="E1471" s="4"/>
      <c r="F1471" s="4"/>
      <c r="G1471" s="4"/>
      <c r="H1471" s="4"/>
      <c r="I1471" s="4"/>
      <c r="J1471" s="18"/>
      <c r="K1471" s="4"/>
      <c r="L1471" s="19"/>
      <c r="M1471" s="20"/>
    </row>
    <row r="1472">
      <c r="A1472" s="6"/>
      <c r="B1472" s="6"/>
      <c r="C1472" s="4"/>
      <c r="D1472" s="36">
        <v>0.0</v>
      </c>
      <c r="E1472" s="4"/>
      <c r="F1472" s="4"/>
      <c r="G1472" s="4"/>
      <c r="H1472" s="4"/>
      <c r="I1472" s="4"/>
      <c r="J1472" s="18"/>
      <c r="K1472" s="4"/>
      <c r="L1472" s="19"/>
      <c r="M1472" s="20"/>
    </row>
    <row r="1473">
      <c r="A1473" s="6"/>
      <c r="B1473" s="6"/>
      <c r="C1473" s="4"/>
      <c r="D1473" s="36">
        <v>0.0</v>
      </c>
      <c r="E1473" s="4"/>
      <c r="F1473" s="4"/>
      <c r="G1473" s="4"/>
      <c r="H1473" s="4"/>
      <c r="I1473" s="4"/>
      <c r="J1473" s="18"/>
      <c r="K1473" s="4"/>
      <c r="L1473" s="19"/>
      <c r="M1473" s="20"/>
    </row>
    <row r="1474">
      <c r="A1474" s="6"/>
      <c r="B1474" s="6"/>
      <c r="C1474" s="4"/>
      <c r="D1474" s="36">
        <v>0.0</v>
      </c>
      <c r="E1474" s="4"/>
      <c r="F1474" s="4"/>
      <c r="G1474" s="4"/>
      <c r="H1474" s="4"/>
      <c r="I1474" s="4"/>
      <c r="J1474" s="18"/>
      <c r="K1474" s="4"/>
      <c r="L1474" s="19"/>
      <c r="M1474" s="20"/>
    </row>
    <row r="1475">
      <c r="A1475" s="6"/>
      <c r="B1475" s="6"/>
      <c r="C1475" s="4"/>
      <c r="D1475" s="36">
        <v>0.0</v>
      </c>
      <c r="E1475" s="4"/>
      <c r="F1475" s="4"/>
      <c r="G1475" s="4"/>
      <c r="H1475" s="4"/>
      <c r="I1475" s="4"/>
      <c r="J1475" s="18"/>
      <c r="K1475" s="4"/>
      <c r="L1475" s="19"/>
      <c r="M1475" s="20"/>
    </row>
    <row r="1476">
      <c r="A1476" s="6"/>
      <c r="B1476" s="6"/>
      <c r="C1476" s="4"/>
      <c r="D1476" s="36">
        <v>0.0</v>
      </c>
      <c r="E1476" s="4"/>
      <c r="F1476" s="4"/>
      <c r="G1476" s="4"/>
      <c r="H1476" s="4"/>
      <c r="I1476" s="4"/>
      <c r="J1476" s="18"/>
      <c r="K1476" s="4"/>
      <c r="L1476" s="19"/>
      <c r="M1476" s="20"/>
    </row>
    <row r="1477">
      <c r="A1477" s="6"/>
      <c r="B1477" s="6"/>
      <c r="C1477" s="4"/>
      <c r="D1477" s="36">
        <v>0.0</v>
      </c>
      <c r="E1477" s="4"/>
      <c r="F1477" s="4"/>
      <c r="G1477" s="4"/>
      <c r="H1477" s="4"/>
      <c r="I1477" s="4"/>
      <c r="J1477" s="18"/>
      <c r="K1477" s="4"/>
      <c r="L1477" s="19"/>
      <c r="M1477" s="20"/>
    </row>
    <row r="1478">
      <c r="A1478" s="6"/>
      <c r="B1478" s="6"/>
      <c r="C1478" s="4"/>
      <c r="D1478" s="36">
        <v>0.0</v>
      </c>
      <c r="E1478" s="4"/>
      <c r="F1478" s="4"/>
      <c r="G1478" s="4"/>
      <c r="H1478" s="4"/>
      <c r="I1478" s="4"/>
      <c r="J1478" s="18"/>
      <c r="K1478" s="4"/>
      <c r="L1478" s="19"/>
      <c r="M1478" s="20"/>
    </row>
    <row r="1479">
      <c r="A1479" s="6"/>
      <c r="B1479" s="6"/>
      <c r="C1479" s="4"/>
      <c r="D1479" s="36">
        <v>0.0</v>
      </c>
      <c r="E1479" s="4"/>
      <c r="F1479" s="4"/>
      <c r="G1479" s="4"/>
      <c r="H1479" s="4"/>
      <c r="I1479" s="4"/>
      <c r="J1479" s="18"/>
      <c r="K1479" s="4"/>
      <c r="L1479" s="19"/>
      <c r="M1479" s="20"/>
    </row>
    <row r="1480">
      <c r="A1480" s="6"/>
      <c r="B1480" s="6"/>
      <c r="C1480" s="4"/>
      <c r="D1480" s="36">
        <v>0.0</v>
      </c>
      <c r="E1480" s="4"/>
      <c r="F1480" s="4"/>
      <c r="G1480" s="4"/>
      <c r="H1480" s="4"/>
      <c r="I1480" s="4"/>
      <c r="J1480" s="18"/>
      <c r="K1480" s="4"/>
      <c r="L1480" s="19"/>
      <c r="M1480" s="20"/>
    </row>
    <row r="1481">
      <c r="A1481" s="6"/>
      <c r="B1481" s="6"/>
      <c r="C1481" s="4"/>
      <c r="D1481" s="36">
        <v>0.0</v>
      </c>
      <c r="E1481" s="4"/>
      <c r="F1481" s="4"/>
      <c r="G1481" s="4"/>
      <c r="H1481" s="4"/>
      <c r="I1481" s="4"/>
      <c r="J1481" s="18"/>
      <c r="K1481" s="4"/>
      <c r="L1481" s="19"/>
      <c r="M1481" s="20"/>
    </row>
    <row r="1482">
      <c r="A1482" s="6"/>
      <c r="B1482" s="6"/>
      <c r="C1482" s="4"/>
      <c r="D1482" s="36">
        <v>0.0</v>
      </c>
      <c r="E1482" s="4"/>
      <c r="F1482" s="4"/>
      <c r="G1482" s="4"/>
      <c r="H1482" s="4"/>
      <c r="I1482" s="4"/>
      <c r="J1482" s="18"/>
      <c r="K1482" s="4"/>
      <c r="L1482" s="19"/>
      <c r="M1482" s="20"/>
    </row>
    <row r="1483">
      <c r="A1483" s="6"/>
      <c r="B1483" s="6"/>
      <c r="C1483" s="4"/>
      <c r="D1483" s="36">
        <v>0.0</v>
      </c>
      <c r="E1483" s="4"/>
      <c r="F1483" s="4"/>
      <c r="G1483" s="4"/>
      <c r="H1483" s="4"/>
      <c r="I1483" s="4"/>
      <c r="J1483" s="18"/>
      <c r="K1483" s="4"/>
      <c r="L1483" s="19"/>
      <c r="M1483" s="20"/>
    </row>
    <row r="1484">
      <c r="A1484" s="6"/>
      <c r="B1484" s="6"/>
      <c r="C1484" s="4"/>
      <c r="D1484" s="36">
        <v>0.0</v>
      </c>
      <c r="E1484" s="4"/>
      <c r="F1484" s="4"/>
      <c r="G1484" s="4"/>
      <c r="H1484" s="4"/>
      <c r="I1484" s="4"/>
      <c r="J1484" s="18"/>
      <c r="K1484" s="4"/>
      <c r="L1484" s="19"/>
      <c r="M1484" s="20"/>
    </row>
    <row r="1485">
      <c r="A1485" s="6"/>
      <c r="B1485" s="6"/>
      <c r="C1485" s="4"/>
      <c r="D1485" s="36">
        <v>0.0</v>
      </c>
      <c r="E1485" s="4"/>
      <c r="F1485" s="4"/>
      <c r="G1485" s="4"/>
      <c r="H1485" s="4"/>
      <c r="I1485" s="4"/>
      <c r="J1485" s="18"/>
      <c r="K1485" s="4"/>
      <c r="L1485" s="19"/>
      <c r="M1485" s="20"/>
    </row>
    <row r="1486">
      <c r="A1486" s="6"/>
      <c r="B1486" s="6"/>
      <c r="C1486" s="4"/>
      <c r="D1486" s="36">
        <v>0.0</v>
      </c>
      <c r="E1486" s="4"/>
      <c r="F1486" s="4"/>
      <c r="G1486" s="4"/>
      <c r="H1486" s="4"/>
      <c r="I1486" s="4"/>
      <c r="J1486" s="18"/>
      <c r="K1486" s="4"/>
      <c r="L1486" s="19"/>
      <c r="M1486" s="20"/>
    </row>
    <row r="1487">
      <c r="A1487" s="6"/>
      <c r="B1487" s="6"/>
      <c r="C1487" s="4"/>
      <c r="D1487" s="36">
        <v>0.0</v>
      </c>
      <c r="E1487" s="4"/>
      <c r="F1487" s="4"/>
      <c r="G1487" s="4"/>
      <c r="H1487" s="4"/>
      <c r="I1487" s="4"/>
      <c r="J1487" s="18"/>
      <c r="K1487" s="4"/>
      <c r="L1487" s="19"/>
      <c r="M1487" s="20"/>
    </row>
    <row r="1488">
      <c r="A1488" s="6"/>
      <c r="B1488" s="6"/>
      <c r="C1488" s="4"/>
      <c r="D1488" s="36">
        <v>0.0</v>
      </c>
      <c r="E1488" s="4"/>
      <c r="F1488" s="4"/>
      <c r="G1488" s="4"/>
      <c r="H1488" s="4"/>
      <c r="I1488" s="4"/>
      <c r="J1488" s="18"/>
      <c r="K1488" s="4"/>
      <c r="L1488" s="19"/>
      <c r="M1488" s="20"/>
    </row>
    <row r="1489">
      <c r="A1489" s="6"/>
      <c r="B1489" s="6"/>
      <c r="C1489" s="4"/>
      <c r="D1489" s="36">
        <v>0.0</v>
      </c>
      <c r="E1489" s="4"/>
      <c r="F1489" s="4"/>
      <c r="G1489" s="4"/>
      <c r="H1489" s="4"/>
      <c r="I1489" s="4"/>
      <c r="J1489" s="18"/>
      <c r="K1489" s="4"/>
      <c r="L1489" s="19"/>
      <c r="M1489" s="20"/>
    </row>
    <row r="1490">
      <c r="A1490" s="6"/>
      <c r="B1490" s="6"/>
      <c r="C1490" s="4"/>
      <c r="D1490" s="36">
        <v>0.0</v>
      </c>
      <c r="E1490" s="4"/>
      <c r="F1490" s="4"/>
      <c r="G1490" s="4"/>
      <c r="H1490" s="4"/>
      <c r="I1490" s="4"/>
      <c r="J1490" s="18"/>
      <c r="K1490" s="4"/>
      <c r="L1490" s="19"/>
      <c r="M1490" s="20"/>
    </row>
    <row r="1491">
      <c r="A1491" s="6"/>
      <c r="B1491" s="6"/>
      <c r="C1491" s="4"/>
      <c r="D1491" s="36">
        <v>0.0</v>
      </c>
      <c r="E1491" s="4"/>
      <c r="F1491" s="4"/>
      <c r="G1491" s="4"/>
      <c r="H1491" s="4"/>
      <c r="I1491" s="4"/>
      <c r="J1491" s="18"/>
      <c r="K1491" s="4"/>
      <c r="L1491" s="19"/>
      <c r="M1491" s="20"/>
    </row>
    <row r="1492">
      <c r="A1492" s="6"/>
      <c r="B1492" s="6"/>
      <c r="C1492" s="4"/>
      <c r="D1492" s="36">
        <v>0.0</v>
      </c>
      <c r="E1492" s="4"/>
      <c r="F1492" s="4"/>
      <c r="G1492" s="4"/>
      <c r="H1492" s="4"/>
      <c r="I1492" s="4"/>
      <c r="J1492" s="18"/>
      <c r="K1492" s="4"/>
      <c r="L1492" s="19"/>
      <c r="M1492" s="20"/>
    </row>
    <row r="1493">
      <c r="A1493" s="6"/>
      <c r="B1493" s="6"/>
      <c r="C1493" s="4"/>
      <c r="D1493" s="36">
        <v>0.0</v>
      </c>
      <c r="E1493" s="4"/>
      <c r="F1493" s="4"/>
      <c r="G1493" s="4"/>
      <c r="H1493" s="4"/>
      <c r="I1493" s="4"/>
      <c r="J1493" s="18"/>
      <c r="K1493" s="4"/>
      <c r="L1493" s="19"/>
      <c r="M1493" s="20"/>
    </row>
    <row r="1494">
      <c r="A1494" s="6"/>
      <c r="B1494" s="6"/>
      <c r="C1494" s="4"/>
      <c r="D1494" s="36">
        <v>0.0</v>
      </c>
      <c r="E1494" s="4"/>
      <c r="F1494" s="4"/>
      <c r="G1494" s="4"/>
      <c r="H1494" s="4"/>
      <c r="I1494" s="4"/>
      <c r="J1494" s="18"/>
      <c r="K1494" s="4"/>
      <c r="L1494" s="19"/>
      <c r="M1494" s="20"/>
    </row>
    <row r="1495">
      <c r="A1495" s="6"/>
      <c r="B1495" s="6"/>
      <c r="C1495" s="4"/>
      <c r="D1495" s="36">
        <v>0.0</v>
      </c>
      <c r="E1495" s="4"/>
      <c r="F1495" s="4"/>
      <c r="G1495" s="4"/>
      <c r="H1495" s="4"/>
      <c r="I1495" s="4"/>
      <c r="J1495" s="18"/>
      <c r="K1495" s="4"/>
      <c r="L1495" s="19"/>
      <c r="M1495" s="20"/>
    </row>
    <row r="1496">
      <c r="A1496" s="6"/>
      <c r="B1496" s="6"/>
      <c r="C1496" s="4"/>
      <c r="D1496" s="36">
        <v>0.0</v>
      </c>
      <c r="E1496" s="4"/>
      <c r="F1496" s="4"/>
      <c r="G1496" s="4"/>
      <c r="H1496" s="4"/>
      <c r="I1496" s="4"/>
      <c r="J1496" s="18"/>
      <c r="K1496" s="4"/>
      <c r="L1496" s="19"/>
      <c r="M1496" s="20"/>
    </row>
    <row r="1497">
      <c r="A1497" s="6"/>
      <c r="B1497" s="6"/>
      <c r="C1497" s="4"/>
      <c r="D1497" s="36">
        <v>0.0</v>
      </c>
      <c r="E1497" s="4"/>
      <c r="F1497" s="4"/>
      <c r="G1497" s="4"/>
      <c r="H1497" s="4"/>
      <c r="I1497" s="4"/>
      <c r="J1497" s="18"/>
      <c r="K1497" s="4"/>
      <c r="L1497" s="19"/>
      <c r="M1497" s="20"/>
    </row>
    <row r="1498">
      <c r="A1498" s="6"/>
      <c r="B1498" s="6"/>
      <c r="C1498" s="4"/>
      <c r="D1498" s="36">
        <v>0.0</v>
      </c>
      <c r="E1498" s="4"/>
      <c r="F1498" s="4"/>
      <c r="G1498" s="4"/>
      <c r="H1498" s="4"/>
      <c r="I1498" s="4"/>
      <c r="J1498" s="18"/>
      <c r="K1498" s="4"/>
      <c r="L1498" s="19"/>
      <c r="M1498" s="20"/>
    </row>
    <row r="1499">
      <c r="A1499" s="6"/>
      <c r="B1499" s="6"/>
      <c r="C1499" s="4"/>
      <c r="D1499" s="36">
        <v>0.0</v>
      </c>
      <c r="E1499" s="4"/>
      <c r="F1499" s="4"/>
      <c r="G1499" s="4"/>
      <c r="H1499" s="4"/>
      <c r="I1499" s="4"/>
      <c r="J1499" s="18"/>
      <c r="K1499" s="4"/>
      <c r="L1499" s="19"/>
      <c r="M1499" s="20"/>
    </row>
    <row r="1500">
      <c r="A1500" s="6"/>
      <c r="B1500" s="6"/>
      <c r="C1500" s="4"/>
      <c r="D1500" s="36">
        <v>0.0</v>
      </c>
      <c r="E1500" s="4"/>
      <c r="F1500" s="4"/>
      <c r="G1500" s="4"/>
      <c r="H1500" s="4"/>
      <c r="I1500" s="4"/>
      <c r="J1500" s="18"/>
      <c r="K1500" s="4"/>
      <c r="L1500" s="19"/>
      <c r="M1500" s="20"/>
    </row>
    <row r="1501">
      <c r="A1501" s="6"/>
      <c r="B1501" s="6"/>
      <c r="C1501" s="4"/>
      <c r="D1501" s="36">
        <v>0.0</v>
      </c>
      <c r="E1501" s="4"/>
      <c r="F1501" s="4"/>
      <c r="G1501" s="4"/>
      <c r="H1501" s="4"/>
      <c r="I1501" s="4"/>
      <c r="J1501" s="18"/>
      <c r="K1501" s="4"/>
      <c r="L1501" s="19"/>
      <c r="M1501" s="20"/>
    </row>
    <row r="1502">
      <c r="A1502" s="6"/>
      <c r="B1502" s="6"/>
      <c r="C1502" s="4"/>
      <c r="D1502" s="36">
        <v>0.0</v>
      </c>
      <c r="E1502" s="4"/>
      <c r="F1502" s="4"/>
      <c r="G1502" s="4"/>
      <c r="H1502" s="4"/>
      <c r="I1502" s="4"/>
      <c r="J1502" s="18"/>
      <c r="K1502" s="4"/>
      <c r="L1502" s="19"/>
      <c r="M1502" s="20"/>
    </row>
    <row r="1503">
      <c r="A1503" s="6"/>
      <c r="B1503" s="6"/>
      <c r="C1503" s="4"/>
      <c r="D1503" s="36">
        <v>0.0</v>
      </c>
      <c r="E1503" s="4"/>
      <c r="F1503" s="4"/>
      <c r="G1503" s="4"/>
      <c r="H1503" s="4"/>
      <c r="I1503" s="4"/>
      <c r="J1503" s="18"/>
      <c r="K1503" s="4"/>
      <c r="L1503" s="19"/>
      <c r="M1503" s="20"/>
    </row>
    <row r="1504">
      <c r="A1504" s="6"/>
      <c r="B1504" s="6"/>
      <c r="C1504" s="4"/>
      <c r="D1504" s="36">
        <v>0.0</v>
      </c>
      <c r="E1504" s="4"/>
      <c r="F1504" s="4"/>
      <c r="G1504" s="4"/>
      <c r="H1504" s="4"/>
      <c r="I1504" s="4"/>
      <c r="J1504" s="18"/>
      <c r="K1504" s="4"/>
      <c r="L1504" s="19"/>
      <c r="M1504" s="20"/>
    </row>
    <row r="1505">
      <c r="A1505" s="6"/>
      <c r="B1505" s="6"/>
      <c r="C1505" s="4"/>
      <c r="D1505" s="36">
        <v>0.0</v>
      </c>
      <c r="E1505" s="4"/>
      <c r="F1505" s="4"/>
      <c r="G1505" s="4"/>
      <c r="H1505" s="4"/>
      <c r="I1505" s="4"/>
      <c r="J1505" s="18"/>
      <c r="K1505" s="4"/>
      <c r="L1505" s="19"/>
      <c r="M1505" s="20"/>
    </row>
    <row r="1506">
      <c r="A1506" s="6"/>
      <c r="B1506" s="6"/>
      <c r="C1506" s="4"/>
      <c r="D1506" s="36">
        <v>0.0</v>
      </c>
      <c r="E1506" s="4"/>
      <c r="F1506" s="4"/>
      <c r="G1506" s="4"/>
      <c r="H1506" s="4"/>
      <c r="I1506" s="4"/>
      <c r="J1506" s="18"/>
      <c r="K1506" s="4"/>
      <c r="L1506" s="19"/>
      <c r="M1506" s="20"/>
    </row>
    <row r="1507">
      <c r="A1507" s="6"/>
      <c r="B1507" s="6"/>
      <c r="C1507" s="4"/>
      <c r="D1507" s="36">
        <v>0.0</v>
      </c>
      <c r="E1507" s="4"/>
      <c r="F1507" s="4"/>
      <c r="G1507" s="4"/>
      <c r="H1507" s="4"/>
      <c r="I1507" s="4"/>
      <c r="J1507" s="18"/>
      <c r="K1507" s="4"/>
      <c r="L1507" s="19"/>
      <c r="M1507" s="20"/>
    </row>
    <row r="1508">
      <c r="A1508" s="6"/>
      <c r="B1508" s="6"/>
      <c r="C1508" s="4"/>
      <c r="D1508" s="36">
        <v>0.0</v>
      </c>
      <c r="E1508" s="4"/>
      <c r="F1508" s="4"/>
      <c r="G1508" s="4"/>
      <c r="H1508" s="4"/>
      <c r="I1508" s="4"/>
      <c r="J1508" s="18"/>
      <c r="K1508" s="4"/>
      <c r="L1508" s="19"/>
      <c r="M1508" s="20"/>
    </row>
    <row r="1509">
      <c r="A1509" s="6"/>
      <c r="B1509" s="6"/>
      <c r="C1509" s="4"/>
      <c r="D1509" s="36">
        <v>0.0</v>
      </c>
      <c r="E1509" s="4"/>
      <c r="F1509" s="4"/>
      <c r="G1509" s="4"/>
      <c r="H1509" s="4"/>
      <c r="I1509" s="4"/>
      <c r="J1509" s="18"/>
      <c r="K1509" s="4"/>
      <c r="L1509" s="19"/>
      <c r="M1509" s="20"/>
    </row>
    <row r="1510">
      <c r="A1510" s="6"/>
      <c r="B1510" s="6"/>
      <c r="C1510" s="4"/>
      <c r="D1510" s="36">
        <v>0.0</v>
      </c>
      <c r="E1510" s="4"/>
      <c r="F1510" s="4"/>
      <c r="G1510" s="4"/>
      <c r="H1510" s="4"/>
      <c r="I1510" s="4"/>
      <c r="J1510" s="18"/>
      <c r="K1510" s="4"/>
      <c r="L1510" s="19"/>
      <c r="M1510" s="20"/>
    </row>
    <row r="1511">
      <c r="A1511" s="6"/>
      <c r="B1511" s="6"/>
      <c r="C1511" s="4"/>
      <c r="D1511" s="36">
        <v>0.0</v>
      </c>
      <c r="E1511" s="4"/>
      <c r="F1511" s="4"/>
      <c r="G1511" s="4"/>
      <c r="H1511" s="4"/>
      <c r="I1511" s="4"/>
      <c r="J1511" s="18"/>
      <c r="K1511" s="4"/>
      <c r="L1511" s="19"/>
      <c r="M1511" s="20"/>
    </row>
    <row r="1512">
      <c r="A1512" s="6"/>
      <c r="B1512" s="6"/>
      <c r="C1512" s="4"/>
      <c r="D1512" s="36">
        <v>0.0</v>
      </c>
      <c r="E1512" s="4"/>
      <c r="F1512" s="4"/>
      <c r="G1512" s="4"/>
      <c r="H1512" s="4"/>
      <c r="I1512" s="4"/>
      <c r="J1512" s="18"/>
      <c r="K1512" s="4"/>
      <c r="L1512" s="19"/>
      <c r="M1512" s="20"/>
    </row>
    <row r="1513">
      <c r="A1513" s="6"/>
      <c r="B1513" s="6"/>
      <c r="C1513" s="4"/>
      <c r="D1513" s="36">
        <v>0.0</v>
      </c>
      <c r="E1513" s="4"/>
      <c r="F1513" s="4"/>
      <c r="G1513" s="4"/>
      <c r="H1513" s="4"/>
      <c r="I1513" s="4"/>
      <c r="J1513" s="18"/>
      <c r="K1513" s="4"/>
      <c r="L1513" s="19"/>
      <c r="M1513" s="20"/>
    </row>
    <row r="1514">
      <c r="A1514" s="6"/>
      <c r="B1514" s="6"/>
      <c r="C1514" s="4"/>
      <c r="D1514" s="36">
        <v>0.0</v>
      </c>
      <c r="E1514" s="4"/>
      <c r="F1514" s="4"/>
      <c r="G1514" s="4"/>
      <c r="H1514" s="4"/>
      <c r="I1514" s="4"/>
      <c r="J1514" s="18"/>
      <c r="K1514" s="4"/>
      <c r="L1514" s="19"/>
      <c r="M1514" s="20"/>
    </row>
    <row r="1515">
      <c r="A1515" s="6"/>
      <c r="B1515" s="6"/>
      <c r="C1515" s="4"/>
      <c r="D1515" s="36">
        <v>0.0</v>
      </c>
      <c r="E1515" s="4"/>
      <c r="F1515" s="4"/>
      <c r="G1515" s="4"/>
      <c r="H1515" s="4"/>
      <c r="I1515" s="4"/>
      <c r="J1515" s="18"/>
      <c r="K1515" s="4"/>
      <c r="L1515" s="19"/>
      <c r="M1515" s="20"/>
    </row>
    <row r="1516">
      <c r="A1516" s="6"/>
      <c r="B1516" s="6"/>
      <c r="C1516" s="4"/>
      <c r="D1516" s="36">
        <v>0.0</v>
      </c>
      <c r="E1516" s="4"/>
      <c r="F1516" s="4"/>
      <c r="G1516" s="4"/>
      <c r="H1516" s="4"/>
      <c r="I1516" s="4"/>
      <c r="J1516" s="18"/>
      <c r="K1516" s="4"/>
      <c r="L1516" s="19"/>
      <c r="M1516" s="20"/>
    </row>
    <row r="1517">
      <c r="A1517" s="6"/>
      <c r="B1517" s="6"/>
      <c r="C1517" s="4"/>
      <c r="D1517" s="36">
        <v>0.0</v>
      </c>
      <c r="E1517" s="4"/>
      <c r="F1517" s="4"/>
      <c r="G1517" s="4"/>
      <c r="H1517" s="4"/>
      <c r="I1517" s="4"/>
      <c r="J1517" s="18"/>
      <c r="K1517" s="4"/>
      <c r="L1517" s="19"/>
      <c r="M1517" s="20"/>
    </row>
    <row r="1518">
      <c r="A1518" s="6"/>
      <c r="B1518" s="6"/>
      <c r="C1518" s="4"/>
      <c r="D1518" s="36">
        <v>0.0</v>
      </c>
      <c r="E1518" s="4"/>
      <c r="F1518" s="4"/>
      <c r="G1518" s="4"/>
      <c r="H1518" s="4"/>
      <c r="I1518" s="4"/>
      <c r="J1518" s="18"/>
      <c r="K1518" s="4"/>
      <c r="L1518" s="19"/>
      <c r="M1518" s="20"/>
    </row>
    <row r="1519">
      <c r="A1519" s="6"/>
      <c r="B1519" s="6"/>
      <c r="C1519" s="4"/>
      <c r="D1519" s="36">
        <v>0.0</v>
      </c>
      <c r="E1519" s="4"/>
      <c r="F1519" s="4"/>
      <c r="G1519" s="4"/>
      <c r="H1519" s="4"/>
      <c r="I1519" s="4"/>
      <c r="J1519" s="18"/>
      <c r="K1519" s="4"/>
      <c r="L1519" s="19"/>
      <c r="M1519" s="20"/>
    </row>
    <row r="1520">
      <c r="A1520" s="6"/>
      <c r="B1520" s="6"/>
      <c r="C1520" s="4"/>
      <c r="D1520" s="36">
        <v>0.0</v>
      </c>
      <c r="E1520" s="4"/>
      <c r="F1520" s="4"/>
      <c r="G1520" s="4"/>
      <c r="H1520" s="4"/>
      <c r="I1520" s="4"/>
      <c r="J1520" s="18"/>
      <c r="K1520" s="4"/>
      <c r="L1520" s="19"/>
      <c r="M1520" s="20"/>
    </row>
    <row r="1521">
      <c r="A1521" s="6"/>
      <c r="B1521" s="6"/>
      <c r="C1521" s="4"/>
      <c r="D1521" s="36">
        <v>0.0</v>
      </c>
      <c r="E1521" s="4"/>
      <c r="F1521" s="4"/>
      <c r="G1521" s="4"/>
      <c r="H1521" s="4"/>
      <c r="I1521" s="4"/>
      <c r="J1521" s="18"/>
      <c r="K1521" s="4"/>
      <c r="L1521" s="19"/>
      <c r="M1521" s="20"/>
    </row>
    <row r="1522">
      <c r="A1522" s="6"/>
      <c r="B1522" s="6"/>
      <c r="C1522" s="4"/>
      <c r="D1522" s="36">
        <v>0.0</v>
      </c>
      <c r="E1522" s="4"/>
      <c r="F1522" s="4"/>
      <c r="G1522" s="4"/>
      <c r="H1522" s="4"/>
      <c r="I1522" s="4"/>
      <c r="J1522" s="18"/>
      <c r="K1522" s="4"/>
      <c r="L1522" s="19"/>
      <c r="M1522" s="20"/>
    </row>
    <row r="1523">
      <c r="A1523" s="6"/>
      <c r="B1523" s="6"/>
      <c r="C1523" s="4"/>
      <c r="D1523" s="36">
        <v>0.0</v>
      </c>
      <c r="E1523" s="4"/>
      <c r="F1523" s="4"/>
      <c r="G1523" s="4"/>
      <c r="H1523" s="4"/>
      <c r="I1523" s="4"/>
      <c r="J1523" s="18"/>
      <c r="K1523" s="4"/>
      <c r="L1523" s="19"/>
      <c r="M1523" s="20"/>
    </row>
    <row r="1524">
      <c r="A1524" s="6"/>
      <c r="B1524" s="6"/>
      <c r="C1524" s="4"/>
      <c r="D1524" s="36">
        <v>0.0</v>
      </c>
      <c r="E1524" s="4"/>
      <c r="F1524" s="4"/>
      <c r="G1524" s="4"/>
      <c r="H1524" s="4"/>
      <c r="I1524" s="4"/>
      <c r="J1524" s="18"/>
      <c r="K1524" s="4"/>
      <c r="L1524" s="19"/>
      <c r="M1524" s="20"/>
    </row>
    <row r="1525">
      <c r="A1525" s="6"/>
      <c r="B1525" s="6"/>
      <c r="C1525" s="4"/>
      <c r="D1525" s="36">
        <v>0.0</v>
      </c>
      <c r="E1525" s="4"/>
      <c r="F1525" s="4"/>
      <c r="G1525" s="4"/>
      <c r="H1525" s="4"/>
      <c r="I1525" s="4"/>
      <c r="J1525" s="18"/>
      <c r="K1525" s="4"/>
      <c r="L1525" s="19"/>
      <c r="M1525" s="20"/>
    </row>
    <row r="1526">
      <c r="A1526" s="6"/>
      <c r="B1526" s="6"/>
      <c r="C1526" s="4"/>
      <c r="D1526" s="36">
        <v>0.0</v>
      </c>
      <c r="E1526" s="4"/>
      <c r="F1526" s="4"/>
      <c r="G1526" s="4"/>
      <c r="H1526" s="4"/>
      <c r="I1526" s="4"/>
      <c r="J1526" s="18"/>
      <c r="K1526" s="4"/>
      <c r="L1526" s="19"/>
      <c r="M1526" s="20"/>
    </row>
    <row r="1527">
      <c r="A1527" s="6"/>
      <c r="B1527" s="6"/>
      <c r="C1527" s="4"/>
      <c r="D1527" s="36">
        <v>0.0</v>
      </c>
      <c r="E1527" s="4"/>
      <c r="F1527" s="4"/>
      <c r="G1527" s="4"/>
      <c r="H1527" s="4"/>
      <c r="I1527" s="4"/>
      <c r="J1527" s="18"/>
      <c r="K1527" s="4"/>
      <c r="L1527" s="19"/>
      <c r="M1527" s="20"/>
    </row>
    <row r="1528">
      <c r="A1528" s="6"/>
      <c r="B1528" s="6"/>
      <c r="C1528" s="4"/>
      <c r="D1528" s="36">
        <v>0.0</v>
      </c>
      <c r="E1528" s="4"/>
      <c r="F1528" s="4"/>
      <c r="G1528" s="4"/>
      <c r="H1528" s="4"/>
      <c r="I1528" s="4"/>
      <c r="J1528" s="18"/>
      <c r="K1528" s="4"/>
      <c r="L1528" s="19"/>
      <c r="M1528" s="20"/>
    </row>
    <row r="1529">
      <c r="A1529" s="6"/>
      <c r="B1529" s="6"/>
      <c r="C1529" s="4"/>
      <c r="D1529" s="36">
        <v>0.0</v>
      </c>
      <c r="E1529" s="4"/>
      <c r="F1529" s="4"/>
      <c r="G1529" s="4"/>
      <c r="H1529" s="4"/>
      <c r="I1529" s="4"/>
      <c r="J1529" s="18"/>
      <c r="K1529" s="4"/>
      <c r="L1529" s="19"/>
      <c r="M1529" s="20"/>
    </row>
    <row r="1530">
      <c r="A1530" s="6"/>
      <c r="B1530" s="6"/>
      <c r="C1530" s="4"/>
      <c r="D1530" s="36">
        <v>0.0</v>
      </c>
      <c r="E1530" s="4"/>
      <c r="F1530" s="4"/>
      <c r="G1530" s="4"/>
      <c r="H1530" s="4"/>
      <c r="I1530" s="4"/>
      <c r="J1530" s="18"/>
      <c r="K1530" s="4"/>
      <c r="L1530" s="19"/>
      <c r="M1530" s="20"/>
    </row>
    <row r="1531">
      <c r="A1531" s="6"/>
      <c r="B1531" s="6"/>
      <c r="C1531" s="4"/>
      <c r="D1531" s="36">
        <v>0.0</v>
      </c>
      <c r="E1531" s="4"/>
      <c r="F1531" s="4"/>
      <c r="G1531" s="4"/>
      <c r="H1531" s="4"/>
      <c r="I1531" s="4"/>
      <c r="J1531" s="18"/>
      <c r="K1531" s="4"/>
      <c r="L1531" s="19"/>
      <c r="M1531" s="20"/>
    </row>
    <row r="1532">
      <c r="A1532" s="6"/>
      <c r="B1532" s="6"/>
      <c r="C1532" s="4"/>
      <c r="D1532" s="36">
        <v>0.0</v>
      </c>
      <c r="E1532" s="4"/>
      <c r="F1532" s="4"/>
      <c r="G1532" s="4"/>
      <c r="H1532" s="4"/>
      <c r="I1532" s="4"/>
      <c r="J1532" s="18"/>
      <c r="K1532" s="4"/>
      <c r="L1532" s="19"/>
      <c r="M1532" s="20"/>
    </row>
    <row r="1533">
      <c r="A1533" s="6"/>
      <c r="B1533" s="6"/>
      <c r="C1533" s="4"/>
      <c r="D1533" s="36">
        <v>0.0</v>
      </c>
      <c r="E1533" s="4"/>
      <c r="F1533" s="4"/>
      <c r="G1533" s="4"/>
      <c r="H1533" s="4"/>
      <c r="I1533" s="4"/>
      <c r="J1533" s="18"/>
      <c r="K1533" s="4"/>
      <c r="L1533" s="19"/>
      <c r="M1533" s="20"/>
    </row>
    <row r="1534">
      <c r="A1534" s="6"/>
      <c r="B1534" s="6"/>
      <c r="C1534" s="4"/>
      <c r="D1534" s="36">
        <v>0.0</v>
      </c>
      <c r="E1534" s="4"/>
      <c r="F1534" s="4"/>
      <c r="G1534" s="4"/>
      <c r="H1534" s="4"/>
      <c r="I1534" s="4"/>
      <c r="J1534" s="18"/>
      <c r="K1534" s="4"/>
      <c r="L1534" s="19"/>
      <c r="M1534" s="20"/>
    </row>
    <row r="1535">
      <c r="A1535" s="6"/>
      <c r="B1535" s="6"/>
      <c r="C1535" s="4"/>
      <c r="D1535" s="36">
        <v>0.0</v>
      </c>
      <c r="E1535" s="4"/>
      <c r="F1535" s="4"/>
      <c r="G1535" s="4"/>
      <c r="H1535" s="4"/>
      <c r="I1535" s="4"/>
      <c r="J1535" s="18"/>
      <c r="K1535" s="4"/>
      <c r="L1535" s="19"/>
      <c r="M1535" s="20"/>
    </row>
    <row r="1536">
      <c r="A1536" s="6"/>
      <c r="B1536" s="6"/>
      <c r="C1536" s="4"/>
      <c r="D1536" s="36">
        <v>0.0</v>
      </c>
      <c r="E1536" s="4"/>
      <c r="F1536" s="4"/>
      <c r="G1536" s="4"/>
      <c r="H1536" s="4"/>
      <c r="I1536" s="4"/>
      <c r="J1536" s="18"/>
      <c r="K1536" s="4"/>
      <c r="L1536" s="19"/>
      <c r="M1536" s="20"/>
    </row>
    <row r="1537">
      <c r="A1537" s="6"/>
      <c r="B1537" s="6"/>
      <c r="C1537" s="4"/>
      <c r="D1537" s="36">
        <v>0.0</v>
      </c>
      <c r="E1537" s="4"/>
      <c r="F1537" s="4"/>
      <c r="G1537" s="4"/>
      <c r="H1537" s="4"/>
      <c r="I1537" s="4"/>
      <c r="J1537" s="18"/>
      <c r="K1537" s="4"/>
      <c r="L1537" s="19"/>
      <c r="M1537" s="20"/>
    </row>
    <row r="1538">
      <c r="A1538" s="6"/>
      <c r="B1538" s="6"/>
      <c r="C1538" s="4"/>
      <c r="D1538" s="36">
        <v>0.0</v>
      </c>
      <c r="E1538" s="4"/>
      <c r="F1538" s="4"/>
      <c r="G1538" s="4"/>
      <c r="H1538" s="4"/>
      <c r="I1538" s="4"/>
      <c r="J1538" s="18"/>
      <c r="K1538" s="4"/>
      <c r="L1538" s="19"/>
      <c r="M1538" s="20"/>
    </row>
    <row r="1539">
      <c r="A1539" s="6"/>
      <c r="B1539" s="6"/>
      <c r="C1539" s="4"/>
      <c r="D1539" s="36">
        <v>0.0</v>
      </c>
      <c r="E1539" s="4"/>
      <c r="F1539" s="4"/>
      <c r="G1539" s="4"/>
      <c r="H1539" s="4"/>
      <c r="I1539" s="4"/>
      <c r="J1539" s="18"/>
      <c r="K1539" s="4"/>
      <c r="L1539" s="19"/>
      <c r="M1539" s="20"/>
    </row>
    <row r="1540">
      <c r="A1540" s="6"/>
      <c r="B1540" s="6"/>
      <c r="C1540" s="4"/>
      <c r="D1540" s="36">
        <v>0.0</v>
      </c>
      <c r="E1540" s="4"/>
      <c r="F1540" s="4"/>
      <c r="G1540" s="4"/>
      <c r="H1540" s="4"/>
      <c r="I1540" s="4"/>
      <c r="J1540" s="18"/>
      <c r="K1540" s="4"/>
      <c r="L1540" s="19"/>
      <c r="M1540" s="20"/>
    </row>
    <row r="1541">
      <c r="A1541" s="6"/>
      <c r="B1541" s="6"/>
      <c r="C1541" s="4"/>
      <c r="D1541" s="36">
        <v>0.0</v>
      </c>
      <c r="E1541" s="4"/>
      <c r="F1541" s="4"/>
      <c r="G1541" s="4"/>
      <c r="H1541" s="4"/>
      <c r="I1541" s="4"/>
      <c r="J1541" s="18"/>
      <c r="K1541" s="4"/>
      <c r="L1541" s="19"/>
      <c r="M1541" s="20"/>
    </row>
    <row r="1542">
      <c r="A1542" s="6"/>
      <c r="B1542" s="6"/>
      <c r="C1542" s="4"/>
      <c r="D1542" s="36">
        <v>0.0</v>
      </c>
      <c r="E1542" s="4"/>
      <c r="F1542" s="4"/>
      <c r="G1542" s="4"/>
      <c r="H1542" s="4"/>
      <c r="I1542" s="4"/>
      <c r="J1542" s="18"/>
      <c r="K1542" s="4"/>
      <c r="L1542" s="19"/>
      <c r="M1542" s="20"/>
    </row>
    <row r="1543">
      <c r="A1543" s="6"/>
      <c r="B1543" s="6"/>
      <c r="C1543" s="4"/>
      <c r="D1543" s="36">
        <v>0.0</v>
      </c>
      <c r="E1543" s="4"/>
      <c r="F1543" s="4"/>
      <c r="G1543" s="4"/>
      <c r="H1543" s="4"/>
      <c r="I1543" s="4"/>
      <c r="J1543" s="18"/>
      <c r="K1543" s="4"/>
      <c r="L1543" s="19"/>
      <c r="M1543" s="20"/>
    </row>
    <row r="1544">
      <c r="A1544" s="6"/>
      <c r="B1544" s="6"/>
      <c r="C1544" s="4"/>
      <c r="D1544" s="36">
        <v>0.0</v>
      </c>
      <c r="E1544" s="4"/>
      <c r="F1544" s="4"/>
      <c r="G1544" s="4"/>
      <c r="H1544" s="4"/>
      <c r="I1544" s="4"/>
      <c r="J1544" s="18"/>
      <c r="K1544" s="4"/>
      <c r="L1544" s="19"/>
      <c r="M1544" s="20"/>
    </row>
    <row r="1545">
      <c r="A1545" s="6"/>
      <c r="B1545" s="6"/>
      <c r="C1545" s="4"/>
      <c r="D1545" s="36">
        <v>0.0</v>
      </c>
      <c r="E1545" s="4"/>
      <c r="F1545" s="4"/>
      <c r="G1545" s="4"/>
      <c r="H1545" s="4"/>
      <c r="I1545" s="4"/>
      <c r="J1545" s="18"/>
      <c r="K1545" s="4"/>
      <c r="L1545" s="19"/>
      <c r="M1545" s="20"/>
    </row>
    <row r="1546">
      <c r="A1546" s="6"/>
      <c r="B1546" s="6"/>
      <c r="C1546" s="4"/>
      <c r="D1546" s="36">
        <v>0.0</v>
      </c>
      <c r="E1546" s="4"/>
      <c r="F1546" s="4"/>
      <c r="G1546" s="4"/>
      <c r="H1546" s="4"/>
      <c r="I1546" s="4"/>
      <c r="J1546" s="18"/>
      <c r="K1546" s="4"/>
      <c r="L1546" s="19"/>
      <c r="M1546" s="20"/>
    </row>
    <row r="1547">
      <c r="A1547" s="6"/>
      <c r="B1547" s="6"/>
      <c r="C1547" s="4"/>
      <c r="D1547" s="36">
        <v>0.0</v>
      </c>
      <c r="E1547" s="4"/>
      <c r="F1547" s="4"/>
      <c r="G1547" s="4"/>
      <c r="H1547" s="4"/>
      <c r="I1547" s="4"/>
      <c r="J1547" s="18"/>
      <c r="K1547" s="4"/>
      <c r="L1547" s="19"/>
      <c r="M1547" s="20"/>
    </row>
    <row r="1548">
      <c r="A1548" s="6"/>
      <c r="B1548" s="6"/>
      <c r="C1548" s="4"/>
      <c r="D1548" s="36">
        <v>0.0</v>
      </c>
      <c r="E1548" s="4"/>
      <c r="F1548" s="4"/>
      <c r="G1548" s="4"/>
      <c r="H1548" s="4"/>
      <c r="I1548" s="4"/>
      <c r="J1548" s="18"/>
      <c r="K1548" s="4"/>
      <c r="L1548" s="19"/>
      <c r="M1548" s="20"/>
    </row>
    <row r="1549">
      <c r="A1549" s="6"/>
      <c r="B1549" s="6"/>
      <c r="C1549" s="4"/>
      <c r="D1549" s="36">
        <v>0.0</v>
      </c>
      <c r="E1549" s="4"/>
      <c r="F1549" s="4"/>
      <c r="G1549" s="4"/>
      <c r="H1549" s="4"/>
      <c r="I1549" s="4"/>
      <c r="J1549" s="18"/>
      <c r="K1549" s="4"/>
      <c r="L1549" s="19"/>
      <c r="M1549" s="20"/>
    </row>
    <row r="1550">
      <c r="A1550" s="6"/>
      <c r="B1550" s="6"/>
      <c r="C1550" s="4"/>
      <c r="D1550" s="36">
        <v>0.0</v>
      </c>
      <c r="E1550" s="4"/>
      <c r="F1550" s="4"/>
      <c r="G1550" s="4"/>
      <c r="H1550" s="4"/>
      <c r="I1550" s="4"/>
      <c r="J1550" s="18"/>
      <c r="K1550" s="4"/>
      <c r="L1550" s="19"/>
      <c r="M1550" s="20"/>
    </row>
    <row r="1551">
      <c r="A1551" s="6"/>
      <c r="B1551" s="6"/>
      <c r="C1551" s="4"/>
      <c r="D1551" s="36">
        <v>0.0</v>
      </c>
      <c r="E1551" s="4"/>
      <c r="F1551" s="4"/>
      <c r="G1551" s="4"/>
      <c r="H1551" s="4"/>
      <c r="I1551" s="4"/>
      <c r="J1551" s="18"/>
      <c r="K1551" s="4"/>
      <c r="L1551" s="19"/>
      <c r="M1551" s="20"/>
    </row>
    <row r="1552">
      <c r="A1552" s="6"/>
      <c r="B1552" s="6"/>
      <c r="C1552" s="4"/>
      <c r="D1552" s="36">
        <v>0.0</v>
      </c>
      <c r="E1552" s="4"/>
      <c r="F1552" s="4"/>
      <c r="G1552" s="4"/>
      <c r="H1552" s="4"/>
      <c r="I1552" s="4"/>
      <c r="J1552" s="18"/>
      <c r="K1552" s="4"/>
      <c r="L1552" s="19"/>
      <c r="M1552" s="20"/>
    </row>
    <row r="1553">
      <c r="A1553" s="6"/>
      <c r="B1553" s="6"/>
      <c r="C1553" s="4"/>
      <c r="D1553" s="36">
        <v>0.0</v>
      </c>
      <c r="E1553" s="4"/>
      <c r="F1553" s="4"/>
      <c r="G1553" s="4"/>
      <c r="H1553" s="4"/>
      <c r="I1553" s="4"/>
      <c r="J1553" s="18"/>
      <c r="K1553" s="4"/>
      <c r="L1553" s="19"/>
      <c r="M1553" s="20"/>
    </row>
    <row r="1554">
      <c r="A1554" s="6"/>
      <c r="B1554" s="6"/>
      <c r="C1554" s="4"/>
      <c r="D1554" s="36">
        <v>0.0</v>
      </c>
      <c r="E1554" s="4"/>
      <c r="F1554" s="4"/>
      <c r="G1554" s="4"/>
      <c r="H1554" s="4"/>
      <c r="I1554" s="4"/>
      <c r="J1554" s="18"/>
      <c r="K1554" s="4"/>
      <c r="L1554" s="19"/>
      <c r="M1554" s="20"/>
    </row>
    <row r="1555">
      <c r="A1555" s="6"/>
      <c r="B1555" s="6"/>
      <c r="C1555" s="4"/>
      <c r="D1555" s="36">
        <v>0.0</v>
      </c>
      <c r="E1555" s="4"/>
      <c r="F1555" s="4"/>
      <c r="G1555" s="4"/>
      <c r="H1555" s="4"/>
      <c r="I1555" s="4"/>
      <c r="J1555" s="18"/>
      <c r="K1555" s="4"/>
      <c r="L1555" s="19"/>
      <c r="M1555" s="20"/>
    </row>
    <row r="1556">
      <c r="A1556" s="6"/>
      <c r="B1556" s="6"/>
      <c r="C1556" s="4"/>
      <c r="D1556" s="36">
        <v>0.0</v>
      </c>
      <c r="E1556" s="4"/>
      <c r="F1556" s="4"/>
      <c r="G1556" s="4"/>
      <c r="H1556" s="4"/>
      <c r="I1556" s="4"/>
      <c r="J1556" s="18"/>
      <c r="K1556" s="4"/>
      <c r="L1556" s="19"/>
      <c r="M1556" s="20"/>
    </row>
    <row r="1557">
      <c r="A1557" s="6"/>
      <c r="B1557" s="6"/>
      <c r="C1557" s="4"/>
      <c r="D1557" s="36">
        <v>0.0</v>
      </c>
      <c r="E1557" s="4"/>
      <c r="F1557" s="4"/>
      <c r="G1557" s="4"/>
      <c r="H1557" s="4"/>
      <c r="I1557" s="4"/>
      <c r="J1557" s="18"/>
      <c r="K1557" s="4"/>
      <c r="L1557" s="19"/>
      <c r="M1557" s="20"/>
    </row>
    <row r="1558">
      <c r="A1558" s="6"/>
      <c r="B1558" s="6"/>
      <c r="C1558" s="4"/>
      <c r="D1558" s="36">
        <v>0.0</v>
      </c>
      <c r="E1558" s="4"/>
      <c r="F1558" s="4"/>
      <c r="G1558" s="4"/>
      <c r="H1558" s="4"/>
      <c r="I1558" s="4"/>
      <c r="J1558" s="18"/>
      <c r="K1558" s="4"/>
      <c r="L1558" s="19"/>
      <c r="M1558" s="20"/>
    </row>
    <row r="1559">
      <c r="A1559" s="6"/>
      <c r="B1559" s="6"/>
      <c r="C1559" s="4"/>
      <c r="D1559" s="36">
        <v>0.0</v>
      </c>
      <c r="E1559" s="4"/>
      <c r="F1559" s="4"/>
      <c r="G1559" s="4"/>
      <c r="H1559" s="4"/>
      <c r="I1559" s="4"/>
      <c r="J1559" s="18"/>
      <c r="K1559" s="4"/>
      <c r="L1559" s="19"/>
      <c r="M1559" s="20"/>
    </row>
    <row r="1560">
      <c r="A1560" s="6"/>
      <c r="B1560" s="6"/>
      <c r="C1560" s="4"/>
      <c r="D1560" s="36">
        <v>0.0</v>
      </c>
      <c r="E1560" s="4"/>
      <c r="F1560" s="4"/>
      <c r="G1560" s="4"/>
      <c r="H1560" s="4"/>
      <c r="I1560" s="4"/>
      <c r="J1560" s="18"/>
      <c r="K1560" s="4"/>
      <c r="L1560" s="19"/>
      <c r="M1560" s="20"/>
    </row>
    <row r="1561">
      <c r="A1561" s="6"/>
      <c r="B1561" s="6"/>
      <c r="C1561" s="4"/>
      <c r="D1561" s="36">
        <v>0.0</v>
      </c>
      <c r="E1561" s="4"/>
      <c r="F1561" s="4"/>
      <c r="G1561" s="4"/>
      <c r="H1561" s="4"/>
      <c r="I1561" s="4"/>
      <c r="J1561" s="18"/>
      <c r="K1561" s="4"/>
      <c r="L1561" s="19"/>
      <c r="M1561" s="20"/>
    </row>
    <row r="1562">
      <c r="A1562" s="6"/>
      <c r="B1562" s="6"/>
      <c r="C1562" s="4"/>
      <c r="D1562" s="36">
        <v>0.0</v>
      </c>
      <c r="E1562" s="4"/>
      <c r="F1562" s="4"/>
      <c r="G1562" s="4"/>
      <c r="H1562" s="4"/>
      <c r="I1562" s="4"/>
      <c r="J1562" s="18"/>
      <c r="K1562" s="4"/>
      <c r="L1562" s="19"/>
      <c r="M1562" s="20"/>
    </row>
    <row r="1563">
      <c r="A1563" s="6"/>
      <c r="B1563" s="6"/>
      <c r="C1563" s="4"/>
      <c r="D1563" s="36">
        <v>0.0</v>
      </c>
      <c r="E1563" s="4"/>
      <c r="F1563" s="4"/>
      <c r="G1563" s="4"/>
      <c r="H1563" s="4"/>
      <c r="I1563" s="4"/>
      <c r="J1563" s="18"/>
      <c r="K1563" s="4"/>
      <c r="L1563" s="19"/>
      <c r="M1563" s="20"/>
    </row>
    <row r="1564">
      <c r="A1564" s="6"/>
      <c r="B1564" s="6"/>
      <c r="C1564" s="4"/>
      <c r="D1564" s="36">
        <v>0.0</v>
      </c>
      <c r="E1564" s="4"/>
      <c r="F1564" s="4"/>
      <c r="G1564" s="4"/>
      <c r="H1564" s="4"/>
      <c r="I1564" s="4"/>
      <c r="J1564" s="18"/>
      <c r="K1564" s="4"/>
      <c r="L1564" s="19"/>
      <c r="M1564" s="20"/>
    </row>
    <row r="1565">
      <c r="A1565" s="6"/>
      <c r="B1565" s="6"/>
      <c r="C1565" s="4"/>
      <c r="D1565" s="36">
        <v>0.0</v>
      </c>
      <c r="E1565" s="4"/>
      <c r="F1565" s="4"/>
      <c r="G1565" s="4"/>
      <c r="H1565" s="4"/>
      <c r="I1565" s="4"/>
      <c r="J1565" s="18"/>
      <c r="K1565" s="4"/>
      <c r="L1565" s="19"/>
      <c r="M1565" s="20"/>
    </row>
    <row r="1566">
      <c r="A1566" s="6"/>
      <c r="B1566" s="6"/>
      <c r="C1566" s="4"/>
      <c r="D1566" s="36">
        <v>0.0</v>
      </c>
      <c r="E1566" s="4"/>
      <c r="F1566" s="4"/>
      <c r="G1566" s="4"/>
      <c r="H1566" s="4"/>
      <c r="I1566" s="4"/>
      <c r="J1566" s="18"/>
      <c r="K1566" s="4"/>
      <c r="L1566" s="19"/>
      <c r="M1566" s="20"/>
    </row>
    <row r="1567">
      <c r="A1567" s="6"/>
      <c r="B1567" s="6"/>
      <c r="C1567" s="4"/>
      <c r="D1567" s="36">
        <v>0.0</v>
      </c>
      <c r="E1567" s="4"/>
      <c r="F1567" s="4"/>
      <c r="G1567" s="4"/>
      <c r="H1567" s="4"/>
      <c r="I1567" s="4"/>
      <c r="J1567" s="18"/>
      <c r="K1567" s="4"/>
      <c r="L1567" s="19"/>
      <c r="M1567" s="20"/>
    </row>
    <row r="1568">
      <c r="A1568" s="6"/>
      <c r="B1568" s="6"/>
      <c r="C1568" s="4"/>
      <c r="D1568" s="36">
        <v>0.0</v>
      </c>
      <c r="E1568" s="4"/>
      <c r="F1568" s="4"/>
      <c r="G1568" s="4"/>
      <c r="H1568" s="4"/>
      <c r="I1568" s="4"/>
      <c r="J1568" s="18"/>
      <c r="K1568" s="4"/>
      <c r="L1568" s="19"/>
      <c r="M1568" s="20"/>
    </row>
    <row r="1569">
      <c r="A1569" s="6"/>
      <c r="B1569" s="6"/>
      <c r="C1569" s="4"/>
      <c r="D1569" s="36">
        <v>0.0</v>
      </c>
      <c r="E1569" s="4"/>
      <c r="F1569" s="4"/>
      <c r="G1569" s="4"/>
      <c r="H1569" s="4"/>
      <c r="I1569" s="4"/>
      <c r="J1569" s="18"/>
      <c r="K1569" s="4"/>
      <c r="L1569" s="19"/>
      <c r="M1569" s="20"/>
    </row>
    <row r="1570">
      <c r="A1570" s="6"/>
      <c r="B1570" s="6"/>
      <c r="C1570" s="4"/>
      <c r="D1570" s="36">
        <v>0.0</v>
      </c>
      <c r="E1570" s="4"/>
      <c r="F1570" s="4"/>
      <c r="G1570" s="4"/>
      <c r="H1570" s="4"/>
      <c r="I1570" s="4"/>
      <c r="J1570" s="18"/>
      <c r="K1570" s="4"/>
      <c r="L1570" s="19"/>
      <c r="M1570" s="20"/>
    </row>
    <row r="1571">
      <c r="A1571" s="6"/>
      <c r="B1571" s="6"/>
      <c r="C1571" s="4"/>
      <c r="D1571" s="36">
        <v>0.0</v>
      </c>
      <c r="E1571" s="4"/>
      <c r="F1571" s="4"/>
      <c r="G1571" s="4"/>
      <c r="H1571" s="4"/>
      <c r="I1571" s="4"/>
      <c r="J1571" s="18"/>
      <c r="K1571" s="4"/>
      <c r="L1571" s="19"/>
      <c r="M1571" s="20"/>
    </row>
    <row r="1572">
      <c r="A1572" s="6"/>
      <c r="B1572" s="6"/>
      <c r="C1572" s="4"/>
      <c r="D1572" s="36">
        <v>0.0</v>
      </c>
      <c r="E1572" s="4"/>
      <c r="F1572" s="4"/>
      <c r="G1572" s="4"/>
      <c r="H1572" s="4"/>
      <c r="I1572" s="4"/>
      <c r="J1572" s="18"/>
      <c r="K1572" s="4"/>
      <c r="L1572" s="19"/>
      <c r="M1572" s="20"/>
    </row>
    <row r="1573">
      <c r="A1573" s="6"/>
      <c r="B1573" s="6"/>
      <c r="C1573" s="4"/>
      <c r="D1573" s="36">
        <v>0.0</v>
      </c>
      <c r="E1573" s="4"/>
      <c r="F1573" s="4"/>
      <c r="G1573" s="4"/>
      <c r="H1573" s="4"/>
      <c r="I1573" s="4"/>
      <c r="J1573" s="18"/>
      <c r="K1573" s="4"/>
      <c r="L1573" s="19"/>
      <c r="M1573" s="20"/>
    </row>
    <row r="1574">
      <c r="A1574" s="6"/>
      <c r="B1574" s="6"/>
      <c r="C1574" s="4"/>
      <c r="D1574" s="36">
        <v>0.0</v>
      </c>
      <c r="E1574" s="4"/>
      <c r="F1574" s="4"/>
      <c r="G1574" s="4"/>
      <c r="H1574" s="4"/>
      <c r="I1574" s="4"/>
      <c r="J1574" s="18"/>
      <c r="K1574" s="4"/>
      <c r="L1574" s="19"/>
      <c r="M1574" s="20"/>
    </row>
    <row r="1575">
      <c r="A1575" s="6"/>
      <c r="B1575" s="6"/>
      <c r="C1575" s="4"/>
      <c r="D1575" s="36">
        <v>0.0</v>
      </c>
      <c r="E1575" s="4"/>
      <c r="F1575" s="4"/>
      <c r="G1575" s="4"/>
      <c r="H1575" s="4"/>
      <c r="I1575" s="4"/>
      <c r="J1575" s="18"/>
      <c r="K1575" s="4"/>
      <c r="L1575" s="19"/>
      <c r="M1575" s="20"/>
    </row>
    <row r="1576">
      <c r="A1576" s="6"/>
      <c r="B1576" s="6"/>
      <c r="C1576" s="4"/>
      <c r="D1576" s="36">
        <v>0.0</v>
      </c>
      <c r="E1576" s="4"/>
      <c r="F1576" s="4"/>
      <c r="G1576" s="4"/>
      <c r="H1576" s="4"/>
      <c r="I1576" s="4"/>
      <c r="J1576" s="18"/>
      <c r="K1576" s="4"/>
      <c r="L1576" s="19"/>
      <c r="M1576" s="20"/>
    </row>
    <row r="1577">
      <c r="A1577" s="6"/>
      <c r="B1577" s="6"/>
      <c r="C1577" s="4"/>
      <c r="D1577" s="36">
        <v>0.0</v>
      </c>
      <c r="E1577" s="4"/>
      <c r="F1577" s="4"/>
      <c r="G1577" s="4"/>
      <c r="H1577" s="4"/>
      <c r="I1577" s="4"/>
      <c r="J1577" s="18"/>
      <c r="K1577" s="4"/>
      <c r="L1577" s="19"/>
      <c r="M1577" s="20"/>
    </row>
    <row r="1578">
      <c r="A1578" s="6"/>
      <c r="B1578" s="6"/>
      <c r="C1578" s="4"/>
      <c r="D1578" s="36">
        <v>0.0</v>
      </c>
      <c r="E1578" s="4"/>
      <c r="F1578" s="4"/>
      <c r="G1578" s="4"/>
      <c r="H1578" s="4"/>
      <c r="I1578" s="4"/>
      <c r="J1578" s="18"/>
      <c r="K1578" s="4"/>
      <c r="L1578" s="19"/>
      <c r="M1578" s="20"/>
    </row>
    <row r="1579">
      <c r="A1579" s="6"/>
      <c r="B1579" s="6"/>
      <c r="C1579" s="4"/>
      <c r="D1579" s="36">
        <v>0.0</v>
      </c>
      <c r="E1579" s="4"/>
      <c r="F1579" s="4"/>
      <c r="G1579" s="4"/>
      <c r="H1579" s="4"/>
      <c r="I1579" s="4"/>
      <c r="J1579" s="18"/>
      <c r="K1579" s="4"/>
      <c r="L1579" s="19"/>
      <c r="M1579" s="20"/>
    </row>
    <row r="1580">
      <c r="A1580" s="6"/>
      <c r="B1580" s="6"/>
      <c r="C1580" s="4"/>
      <c r="D1580" s="36">
        <v>0.0</v>
      </c>
      <c r="E1580" s="4"/>
      <c r="F1580" s="4"/>
      <c r="G1580" s="4"/>
      <c r="H1580" s="4"/>
      <c r="I1580" s="4"/>
      <c r="J1580" s="18"/>
      <c r="K1580" s="4"/>
      <c r="L1580" s="19"/>
      <c r="M1580" s="20"/>
    </row>
    <row r="1581">
      <c r="A1581" s="6"/>
      <c r="B1581" s="6"/>
      <c r="C1581" s="4"/>
      <c r="D1581" s="36">
        <v>0.0</v>
      </c>
      <c r="E1581" s="4"/>
      <c r="F1581" s="4"/>
      <c r="G1581" s="4"/>
      <c r="H1581" s="4"/>
      <c r="I1581" s="4"/>
      <c r="J1581" s="18"/>
      <c r="K1581" s="4"/>
      <c r="L1581" s="19"/>
      <c r="M1581" s="20"/>
    </row>
    <row r="1582">
      <c r="A1582" s="6"/>
      <c r="B1582" s="6"/>
      <c r="C1582" s="4"/>
      <c r="D1582" s="36">
        <v>0.0</v>
      </c>
      <c r="E1582" s="4"/>
      <c r="F1582" s="4"/>
      <c r="G1582" s="4"/>
      <c r="H1582" s="4"/>
      <c r="I1582" s="4"/>
      <c r="J1582" s="18"/>
      <c r="K1582" s="4"/>
      <c r="L1582" s="19"/>
      <c r="M1582" s="20"/>
    </row>
    <row r="1583">
      <c r="A1583" s="6"/>
      <c r="B1583" s="6"/>
      <c r="C1583" s="4"/>
      <c r="D1583" s="36">
        <v>0.0</v>
      </c>
      <c r="E1583" s="4"/>
      <c r="F1583" s="4"/>
      <c r="G1583" s="4"/>
      <c r="H1583" s="4"/>
      <c r="I1583" s="4"/>
      <c r="J1583" s="18"/>
      <c r="K1583" s="4"/>
      <c r="L1583" s="19"/>
      <c r="M1583" s="20"/>
    </row>
    <row r="1584">
      <c r="A1584" s="6"/>
      <c r="B1584" s="6"/>
      <c r="C1584" s="4"/>
      <c r="D1584" s="36">
        <v>0.0</v>
      </c>
      <c r="E1584" s="4"/>
      <c r="F1584" s="4"/>
      <c r="G1584" s="4"/>
      <c r="H1584" s="4"/>
      <c r="I1584" s="4"/>
      <c r="J1584" s="18"/>
      <c r="K1584" s="4"/>
      <c r="L1584" s="19"/>
      <c r="M1584" s="20"/>
    </row>
    <row r="1585">
      <c r="A1585" s="6"/>
      <c r="B1585" s="6"/>
      <c r="C1585" s="4"/>
      <c r="D1585" s="36">
        <v>0.0</v>
      </c>
      <c r="E1585" s="4"/>
      <c r="F1585" s="4"/>
      <c r="G1585" s="4"/>
      <c r="H1585" s="4"/>
      <c r="I1585" s="4"/>
      <c r="J1585" s="18"/>
      <c r="K1585" s="4"/>
      <c r="L1585" s="19"/>
      <c r="M1585" s="20"/>
    </row>
    <row r="1586">
      <c r="A1586" s="6"/>
      <c r="B1586" s="6"/>
      <c r="C1586" s="4"/>
      <c r="D1586" s="36">
        <v>0.0</v>
      </c>
      <c r="E1586" s="4"/>
      <c r="F1586" s="4"/>
      <c r="G1586" s="4"/>
      <c r="H1586" s="4"/>
      <c r="I1586" s="4"/>
      <c r="J1586" s="18"/>
      <c r="K1586" s="4"/>
      <c r="L1586" s="19"/>
      <c r="M1586" s="20"/>
    </row>
    <row r="1587">
      <c r="A1587" s="6"/>
      <c r="B1587" s="6"/>
      <c r="C1587" s="4"/>
      <c r="D1587" s="36">
        <v>0.0</v>
      </c>
      <c r="E1587" s="4"/>
      <c r="F1587" s="4"/>
      <c r="G1587" s="4"/>
      <c r="H1587" s="4"/>
      <c r="I1587" s="4"/>
      <c r="J1587" s="18"/>
      <c r="K1587" s="4"/>
      <c r="L1587" s="19"/>
      <c r="M1587" s="20"/>
    </row>
    <row r="1588">
      <c r="A1588" s="6"/>
      <c r="B1588" s="6"/>
      <c r="C1588" s="4"/>
      <c r="D1588" s="36">
        <v>0.0</v>
      </c>
      <c r="E1588" s="4"/>
      <c r="F1588" s="4"/>
      <c r="G1588" s="4"/>
      <c r="H1588" s="4"/>
      <c r="I1588" s="4"/>
      <c r="J1588" s="18"/>
      <c r="K1588" s="4"/>
      <c r="L1588" s="19"/>
      <c r="M1588" s="20"/>
    </row>
    <row r="1589">
      <c r="A1589" s="6"/>
      <c r="B1589" s="6"/>
      <c r="C1589" s="4"/>
      <c r="D1589" s="36">
        <v>0.0</v>
      </c>
      <c r="E1589" s="4"/>
      <c r="F1589" s="4"/>
      <c r="G1589" s="4"/>
      <c r="H1589" s="4"/>
      <c r="I1589" s="4"/>
      <c r="J1589" s="18"/>
      <c r="K1589" s="4"/>
      <c r="L1589" s="19"/>
      <c r="M1589" s="20"/>
    </row>
    <row r="1590">
      <c r="A1590" s="6"/>
      <c r="B1590" s="6"/>
      <c r="C1590" s="4"/>
      <c r="D1590" s="36">
        <v>0.0</v>
      </c>
      <c r="E1590" s="4"/>
      <c r="F1590" s="4"/>
      <c r="G1590" s="4"/>
      <c r="H1590" s="4"/>
      <c r="I1590" s="4"/>
      <c r="J1590" s="18"/>
      <c r="K1590" s="4"/>
      <c r="L1590" s="19"/>
      <c r="M1590" s="20"/>
    </row>
    <row r="1591">
      <c r="A1591" s="6"/>
      <c r="B1591" s="6"/>
      <c r="C1591" s="4"/>
      <c r="D1591" s="36">
        <v>0.0</v>
      </c>
      <c r="E1591" s="4"/>
      <c r="F1591" s="4"/>
      <c r="G1591" s="4"/>
      <c r="H1591" s="4"/>
      <c r="I1591" s="4"/>
      <c r="J1591" s="18"/>
      <c r="K1591" s="4"/>
      <c r="L1591" s="19"/>
      <c r="M1591" s="20"/>
    </row>
    <row r="1592">
      <c r="A1592" s="6"/>
      <c r="B1592" s="6"/>
      <c r="C1592" s="4"/>
      <c r="D1592" s="36">
        <v>0.0</v>
      </c>
      <c r="E1592" s="4"/>
      <c r="F1592" s="4"/>
      <c r="G1592" s="4"/>
      <c r="H1592" s="4"/>
      <c r="I1592" s="4"/>
      <c r="J1592" s="18"/>
      <c r="K1592" s="4"/>
      <c r="L1592" s="19"/>
      <c r="M1592" s="20"/>
    </row>
    <row r="1593">
      <c r="A1593" s="6"/>
      <c r="B1593" s="6"/>
      <c r="C1593" s="4"/>
      <c r="D1593" s="36">
        <v>0.0</v>
      </c>
      <c r="E1593" s="4"/>
      <c r="F1593" s="4"/>
      <c r="G1593" s="4"/>
      <c r="H1593" s="4"/>
      <c r="I1593" s="4"/>
      <c r="J1593" s="18"/>
      <c r="K1593" s="4"/>
      <c r="L1593" s="19"/>
      <c r="M1593" s="20"/>
    </row>
    <row r="1594">
      <c r="A1594" s="6"/>
      <c r="B1594" s="6"/>
      <c r="C1594" s="4"/>
      <c r="D1594" s="36">
        <v>0.0</v>
      </c>
      <c r="E1594" s="4"/>
      <c r="F1594" s="4"/>
      <c r="G1594" s="4"/>
      <c r="H1594" s="4"/>
      <c r="I1594" s="4"/>
      <c r="J1594" s="18"/>
      <c r="K1594" s="4"/>
      <c r="L1594" s="19"/>
      <c r="M1594" s="20"/>
    </row>
    <row r="1595">
      <c r="A1595" s="6"/>
      <c r="B1595" s="6"/>
      <c r="C1595" s="4"/>
      <c r="D1595" s="36">
        <v>0.0</v>
      </c>
      <c r="E1595" s="4"/>
      <c r="F1595" s="4"/>
      <c r="G1595" s="4"/>
      <c r="H1595" s="4"/>
      <c r="I1595" s="4"/>
      <c r="J1595" s="18"/>
      <c r="K1595" s="4"/>
      <c r="L1595" s="19"/>
      <c r="M1595" s="20"/>
    </row>
    <row r="1596">
      <c r="A1596" s="6"/>
      <c r="B1596" s="6"/>
      <c r="C1596" s="4"/>
      <c r="D1596" s="36">
        <v>0.0</v>
      </c>
      <c r="E1596" s="4"/>
      <c r="F1596" s="4"/>
      <c r="G1596" s="4"/>
      <c r="H1596" s="4"/>
      <c r="I1596" s="4"/>
      <c r="J1596" s="18"/>
      <c r="K1596" s="4"/>
      <c r="L1596" s="19"/>
      <c r="M1596" s="20"/>
    </row>
    <row r="1597">
      <c r="A1597" s="6"/>
      <c r="B1597" s="6"/>
      <c r="C1597" s="4"/>
      <c r="D1597" s="36">
        <v>0.0</v>
      </c>
      <c r="E1597" s="4"/>
      <c r="F1597" s="4"/>
      <c r="G1597" s="4"/>
      <c r="H1597" s="4"/>
      <c r="I1597" s="4"/>
      <c r="J1597" s="18"/>
      <c r="K1597" s="4"/>
      <c r="L1597" s="19"/>
      <c r="M1597" s="20"/>
    </row>
    <row r="1598">
      <c r="A1598" s="6"/>
      <c r="B1598" s="6"/>
      <c r="C1598" s="4"/>
      <c r="D1598" s="36">
        <v>0.0</v>
      </c>
      <c r="E1598" s="4"/>
      <c r="F1598" s="4"/>
      <c r="G1598" s="4"/>
      <c r="H1598" s="4"/>
      <c r="I1598" s="4"/>
      <c r="J1598" s="18"/>
      <c r="K1598" s="4"/>
      <c r="L1598" s="19"/>
      <c r="M1598" s="20"/>
    </row>
    <row r="1599">
      <c r="A1599" s="6"/>
      <c r="B1599" s="6"/>
      <c r="C1599" s="4"/>
      <c r="D1599" s="36">
        <v>0.0</v>
      </c>
      <c r="E1599" s="4"/>
      <c r="F1599" s="4"/>
      <c r="G1599" s="4"/>
      <c r="H1599" s="4"/>
      <c r="I1599" s="4"/>
      <c r="J1599" s="18"/>
      <c r="K1599" s="4"/>
      <c r="L1599" s="19"/>
      <c r="M1599" s="20"/>
    </row>
    <row r="1600">
      <c r="A1600" s="6"/>
      <c r="B1600" s="6"/>
      <c r="C1600" s="4"/>
      <c r="D1600" s="36">
        <v>0.0</v>
      </c>
      <c r="E1600" s="4"/>
      <c r="F1600" s="4"/>
      <c r="G1600" s="4"/>
      <c r="H1600" s="4"/>
      <c r="I1600" s="4"/>
      <c r="J1600" s="18"/>
      <c r="K1600" s="4"/>
      <c r="L1600" s="19"/>
      <c r="M1600" s="20"/>
    </row>
    <row r="1601">
      <c r="A1601" s="6"/>
      <c r="B1601" s="6"/>
      <c r="C1601" s="4"/>
      <c r="D1601" s="36">
        <v>0.0</v>
      </c>
      <c r="E1601" s="4"/>
      <c r="F1601" s="4"/>
      <c r="G1601" s="4"/>
      <c r="H1601" s="4"/>
      <c r="I1601" s="4"/>
      <c r="J1601" s="18"/>
      <c r="K1601" s="4"/>
      <c r="L1601" s="19"/>
      <c r="M1601" s="20"/>
    </row>
    <row r="1602">
      <c r="A1602" s="6"/>
      <c r="B1602" s="6"/>
      <c r="C1602" s="4"/>
      <c r="D1602" s="36">
        <v>0.0</v>
      </c>
      <c r="E1602" s="4"/>
      <c r="F1602" s="4"/>
      <c r="G1602" s="4"/>
      <c r="H1602" s="4"/>
      <c r="I1602" s="4"/>
      <c r="J1602" s="18"/>
      <c r="K1602" s="4"/>
      <c r="L1602" s="19"/>
      <c r="M1602" s="20"/>
    </row>
    <row r="1603">
      <c r="A1603" s="6"/>
      <c r="B1603" s="6"/>
      <c r="C1603" s="4"/>
      <c r="D1603" s="36">
        <v>0.0</v>
      </c>
      <c r="E1603" s="4"/>
      <c r="F1603" s="4"/>
      <c r="G1603" s="4"/>
      <c r="H1603" s="4"/>
      <c r="I1603" s="4"/>
      <c r="J1603" s="18"/>
      <c r="K1603" s="4"/>
      <c r="L1603" s="19"/>
      <c r="M1603" s="20"/>
    </row>
    <row r="1604">
      <c r="A1604" s="6"/>
      <c r="B1604" s="6"/>
      <c r="C1604" s="4"/>
      <c r="D1604" s="36">
        <v>0.0</v>
      </c>
      <c r="E1604" s="4"/>
      <c r="F1604" s="4"/>
      <c r="G1604" s="4"/>
      <c r="H1604" s="4"/>
      <c r="I1604" s="4"/>
      <c r="J1604" s="18"/>
      <c r="K1604" s="4"/>
      <c r="L1604" s="19"/>
      <c r="M1604" s="20"/>
    </row>
    <row r="1605">
      <c r="A1605" s="6"/>
      <c r="B1605" s="6"/>
      <c r="C1605" s="4"/>
      <c r="D1605" s="36">
        <v>0.0</v>
      </c>
      <c r="E1605" s="4"/>
      <c r="F1605" s="4"/>
      <c r="G1605" s="4"/>
      <c r="H1605" s="4"/>
      <c r="I1605" s="4"/>
      <c r="J1605" s="18"/>
      <c r="K1605" s="4"/>
      <c r="L1605" s="19"/>
      <c r="M1605" s="20"/>
    </row>
    <row r="1606">
      <c r="A1606" s="6"/>
      <c r="B1606" s="6"/>
      <c r="C1606" s="4"/>
      <c r="D1606" s="36">
        <v>0.0</v>
      </c>
      <c r="E1606" s="4"/>
      <c r="F1606" s="4"/>
      <c r="G1606" s="4"/>
      <c r="H1606" s="4"/>
      <c r="I1606" s="4"/>
      <c r="J1606" s="18"/>
      <c r="K1606" s="4"/>
      <c r="L1606" s="19"/>
      <c r="M1606" s="20"/>
    </row>
    <row r="1607">
      <c r="A1607" s="6"/>
      <c r="B1607" s="6"/>
      <c r="C1607" s="4"/>
      <c r="D1607" s="36">
        <v>0.0</v>
      </c>
      <c r="E1607" s="4"/>
      <c r="F1607" s="4"/>
      <c r="G1607" s="4"/>
      <c r="H1607" s="4"/>
      <c r="I1607" s="4"/>
      <c r="J1607" s="18"/>
      <c r="K1607" s="4"/>
      <c r="L1607" s="19"/>
      <c r="M1607" s="20"/>
    </row>
    <row r="1608">
      <c r="A1608" s="6"/>
      <c r="B1608" s="6"/>
      <c r="C1608" s="4"/>
      <c r="D1608" s="36">
        <v>0.0</v>
      </c>
      <c r="E1608" s="4"/>
      <c r="F1608" s="4"/>
      <c r="G1608" s="4"/>
      <c r="H1608" s="4"/>
      <c r="I1608" s="4"/>
      <c r="J1608" s="18"/>
      <c r="K1608" s="4"/>
      <c r="L1608" s="19"/>
      <c r="M1608" s="20"/>
    </row>
    <row r="1609">
      <c r="A1609" s="6"/>
      <c r="B1609" s="6"/>
      <c r="C1609" s="4"/>
      <c r="D1609" s="36">
        <v>0.0</v>
      </c>
      <c r="E1609" s="4"/>
      <c r="F1609" s="4"/>
      <c r="G1609" s="4"/>
      <c r="H1609" s="4"/>
      <c r="I1609" s="4"/>
      <c r="J1609" s="18"/>
      <c r="K1609" s="4"/>
      <c r="L1609" s="19"/>
      <c r="M1609" s="20"/>
    </row>
    <row r="1610">
      <c r="A1610" s="6"/>
      <c r="B1610" s="6"/>
      <c r="C1610" s="4"/>
      <c r="D1610" s="36">
        <v>0.0</v>
      </c>
      <c r="E1610" s="4"/>
      <c r="F1610" s="4"/>
      <c r="G1610" s="4"/>
      <c r="H1610" s="4"/>
      <c r="I1610" s="4"/>
      <c r="J1610" s="18"/>
      <c r="K1610" s="4"/>
      <c r="L1610" s="19"/>
      <c r="M1610" s="20"/>
    </row>
    <row r="1611">
      <c r="A1611" s="6"/>
      <c r="B1611" s="6"/>
      <c r="C1611" s="4"/>
      <c r="D1611" s="36">
        <v>0.0</v>
      </c>
      <c r="E1611" s="4"/>
      <c r="F1611" s="4"/>
      <c r="G1611" s="4"/>
      <c r="H1611" s="4"/>
      <c r="I1611" s="4"/>
      <c r="J1611" s="18"/>
      <c r="K1611" s="4"/>
      <c r="L1611" s="19"/>
      <c r="M1611" s="20"/>
    </row>
    <row r="1612">
      <c r="A1612" s="6"/>
      <c r="B1612" s="6"/>
      <c r="C1612" s="4"/>
      <c r="D1612" s="36">
        <v>0.0</v>
      </c>
      <c r="E1612" s="4"/>
      <c r="F1612" s="4"/>
      <c r="G1612" s="4"/>
      <c r="H1612" s="4"/>
      <c r="I1612" s="4"/>
      <c r="J1612" s="18"/>
      <c r="K1612" s="4"/>
      <c r="L1612" s="19"/>
      <c r="M1612" s="20"/>
    </row>
    <row r="1613">
      <c r="A1613" s="6"/>
      <c r="B1613" s="6"/>
      <c r="C1613" s="4"/>
      <c r="D1613" s="36">
        <v>0.0</v>
      </c>
      <c r="E1613" s="4"/>
      <c r="F1613" s="4"/>
      <c r="G1613" s="4"/>
      <c r="H1613" s="4"/>
      <c r="I1613" s="4"/>
      <c r="J1613" s="18"/>
      <c r="K1613" s="4"/>
      <c r="L1613" s="19"/>
      <c r="M1613" s="20"/>
    </row>
    <row r="1614">
      <c r="A1614" s="6"/>
      <c r="B1614" s="6"/>
      <c r="C1614" s="4"/>
      <c r="D1614" s="36">
        <v>0.0</v>
      </c>
      <c r="E1614" s="4"/>
      <c r="F1614" s="4"/>
      <c r="G1614" s="4"/>
      <c r="H1614" s="4"/>
      <c r="I1614" s="4"/>
      <c r="J1614" s="18"/>
      <c r="K1614" s="4"/>
      <c r="L1614" s="19"/>
      <c r="M1614" s="20"/>
    </row>
    <row r="1615">
      <c r="A1615" s="6"/>
      <c r="B1615" s="6"/>
      <c r="C1615" s="4"/>
      <c r="D1615" s="36">
        <v>0.0</v>
      </c>
      <c r="E1615" s="4"/>
      <c r="F1615" s="4"/>
      <c r="G1615" s="4"/>
      <c r="H1615" s="4"/>
      <c r="I1615" s="4"/>
      <c r="J1615" s="18"/>
      <c r="K1615" s="4"/>
      <c r="L1615" s="19"/>
      <c r="M1615" s="20"/>
    </row>
    <row r="1616">
      <c r="A1616" s="6"/>
      <c r="B1616" s="6"/>
      <c r="C1616" s="4"/>
      <c r="D1616" s="36">
        <v>0.0</v>
      </c>
      <c r="E1616" s="4"/>
      <c r="F1616" s="4"/>
      <c r="G1616" s="4"/>
      <c r="H1616" s="4"/>
      <c r="I1616" s="4"/>
      <c r="J1616" s="18"/>
      <c r="K1616" s="4"/>
      <c r="L1616" s="19"/>
      <c r="M1616" s="20"/>
    </row>
    <row r="1617">
      <c r="A1617" s="6"/>
      <c r="B1617" s="6"/>
      <c r="C1617" s="4"/>
      <c r="D1617" s="36">
        <v>0.0</v>
      </c>
      <c r="E1617" s="4"/>
      <c r="F1617" s="4"/>
      <c r="G1617" s="4"/>
      <c r="H1617" s="4"/>
      <c r="I1617" s="4"/>
      <c r="J1617" s="18"/>
      <c r="K1617" s="4"/>
      <c r="L1617" s="19"/>
      <c r="M1617" s="20"/>
    </row>
    <row r="1618">
      <c r="A1618" s="6"/>
      <c r="B1618" s="6"/>
      <c r="C1618" s="4"/>
      <c r="D1618" s="36">
        <v>0.0</v>
      </c>
      <c r="E1618" s="4"/>
      <c r="F1618" s="4"/>
      <c r="G1618" s="4"/>
      <c r="H1618" s="4"/>
      <c r="I1618" s="4"/>
      <c r="J1618" s="18"/>
      <c r="K1618" s="4"/>
      <c r="L1618" s="19"/>
      <c r="M1618" s="20"/>
    </row>
    <row r="1619">
      <c r="A1619" s="6"/>
      <c r="B1619" s="6"/>
      <c r="C1619" s="4"/>
      <c r="D1619" s="36">
        <v>0.0</v>
      </c>
      <c r="E1619" s="4"/>
      <c r="F1619" s="4"/>
      <c r="G1619" s="4"/>
      <c r="H1619" s="4"/>
      <c r="I1619" s="4"/>
      <c r="J1619" s="18"/>
      <c r="K1619" s="4"/>
      <c r="L1619" s="19"/>
      <c r="M1619" s="20"/>
    </row>
    <row r="1620">
      <c r="A1620" s="6"/>
      <c r="B1620" s="6"/>
      <c r="C1620" s="4"/>
      <c r="D1620" s="36">
        <v>0.0</v>
      </c>
      <c r="E1620" s="4"/>
      <c r="F1620" s="4"/>
      <c r="G1620" s="4"/>
      <c r="H1620" s="4"/>
      <c r="I1620" s="4"/>
      <c r="J1620" s="18"/>
      <c r="K1620" s="4"/>
      <c r="L1620" s="19"/>
      <c r="M1620" s="20"/>
    </row>
    <row r="1621">
      <c r="A1621" s="6"/>
      <c r="B1621" s="6"/>
      <c r="C1621" s="4"/>
      <c r="D1621" s="36">
        <v>0.0</v>
      </c>
      <c r="E1621" s="4"/>
      <c r="F1621" s="4"/>
      <c r="G1621" s="4"/>
      <c r="H1621" s="4"/>
      <c r="I1621" s="4"/>
      <c r="J1621" s="18"/>
      <c r="K1621" s="4"/>
      <c r="L1621" s="19"/>
      <c r="M1621" s="20"/>
    </row>
    <row r="1622">
      <c r="A1622" s="6"/>
      <c r="B1622" s="6"/>
      <c r="C1622" s="4"/>
      <c r="D1622" s="36">
        <v>0.0</v>
      </c>
      <c r="E1622" s="4"/>
      <c r="F1622" s="4"/>
      <c r="G1622" s="4"/>
      <c r="H1622" s="4"/>
      <c r="I1622" s="4"/>
      <c r="J1622" s="18"/>
      <c r="K1622" s="4"/>
      <c r="L1622" s="19"/>
      <c r="M1622" s="20"/>
    </row>
    <row r="1623">
      <c r="A1623" s="6"/>
      <c r="B1623" s="6"/>
      <c r="C1623" s="4"/>
      <c r="D1623" s="36">
        <v>0.0</v>
      </c>
      <c r="E1623" s="4"/>
      <c r="F1623" s="4"/>
      <c r="G1623" s="4"/>
      <c r="H1623" s="4"/>
      <c r="I1623" s="4"/>
      <c r="J1623" s="18"/>
      <c r="K1623" s="4"/>
      <c r="L1623" s="19"/>
      <c r="M1623" s="20"/>
    </row>
    <row r="1624">
      <c r="A1624" s="6"/>
      <c r="B1624" s="6"/>
      <c r="C1624" s="4"/>
      <c r="D1624" s="36">
        <v>0.0</v>
      </c>
      <c r="E1624" s="4"/>
      <c r="F1624" s="4"/>
      <c r="G1624" s="4"/>
      <c r="H1624" s="4"/>
      <c r="I1624" s="4"/>
      <c r="J1624" s="18"/>
      <c r="K1624" s="4"/>
      <c r="L1624" s="19"/>
      <c r="M1624" s="20"/>
    </row>
    <row r="1625">
      <c r="A1625" s="6"/>
      <c r="B1625" s="6"/>
      <c r="C1625" s="4"/>
      <c r="D1625" s="36">
        <v>0.0</v>
      </c>
      <c r="E1625" s="4"/>
      <c r="F1625" s="4"/>
      <c r="G1625" s="4"/>
      <c r="H1625" s="4"/>
      <c r="I1625" s="4"/>
      <c r="J1625" s="18"/>
      <c r="K1625" s="4"/>
      <c r="L1625" s="19"/>
      <c r="M1625" s="20"/>
    </row>
    <row r="1626">
      <c r="A1626" s="6"/>
      <c r="B1626" s="6"/>
      <c r="C1626" s="4"/>
      <c r="D1626" s="36">
        <v>0.0</v>
      </c>
      <c r="E1626" s="4"/>
      <c r="F1626" s="4"/>
      <c r="G1626" s="4"/>
      <c r="H1626" s="4"/>
      <c r="I1626" s="4"/>
      <c r="J1626" s="18"/>
      <c r="K1626" s="4"/>
      <c r="L1626" s="19"/>
      <c r="M1626" s="20"/>
    </row>
    <row r="1627">
      <c r="A1627" s="6"/>
      <c r="B1627" s="6"/>
      <c r="C1627" s="4"/>
      <c r="D1627" s="36">
        <v>0.0</v>
      </c>
      <c r="E1627" s="4"/>
      <c r="F1627" s="4"/>
      <c r="G1627" s="4"/>
      <c r="H1627" s="4"/>
      <c r="I1627" s="4"/>
      <c r="J1627" s="18"/>
      <c r="K1627" s="4"/>
      <c r="L1627" s="19"/>
      <c r="M1627" s="20"/>
    </row>
    <row r="1628">
      <c r="A1628" s="6"/>
      <c r="B1628" s="6"/>
      <c r="C1628" s="4"/>
      <c r="D1628" s="36">
        <v>0.0</v>
      </c>
      <c r="E1628" s="4"/>
      <c r="F1628" s="4"/>
      <c r="G1628" s="4"/>
      <c r="H1628" s="4"/>
      <c r="I1628" s="4"/>
      <c r="J1628" s="18"/>
      <c r="K1628" s="4"/>
      <c r="L1628" s="19"/>
      <c r="M1628" s="20"/>
    </row>
    <row r="1629">
      <c r="A1629" s="6"/>
      <c r="B1629" s="6"/>
      <c r="C1629" s="4"/>
      <c r="D1629" s="36">
        <v>0.0</v>
      </c>
      <c r="E1629" s="4"/>
      <c r="F1629" s="4"/>
      <c r="G1629" s="4"/>
      <c r="H1629" s="4"/>
      <c r="I1629" s="4"/>
      <c r="J1629" s="18"/>
      <c r="K1629" s="4"/>
      <c r="L1629" s="19"/>
      <c r="M1629" s="20"/>
    </row>
    <row r="1630">
      <c r="A1630" s="6"/>
      <c r="B1630" s="6"/>
      <c r="C1630" s="4"/>
      <c r="D1630" s="36">
        <v>0.0</v>
      </c>
      <c r="E1630" s="4"/>
      <c r="F1630" s="4"/>
      <c r="G1630" s="4"/>
      <c r="H1630" s="4"/>
      <c r="I1630" s="4"/>
      <c r="J1630" s="18"/>
      <c r="K1630" s="4"/>
      <c r="L1630" s="19"/>
      <c r="M1630" s="20"/>
    </row>
    <row r="1631">
      <c r="A1631" s="6"/>
      <c r="B1631" s="6"/>
      <c r="C1631" s="4"/>
      <c r="D1631" s="36">
        <v>0.0</v>
      </c>
      <c r="E1631" s="4"/>
      <c r="F1631" s="4"/>
      <c r="G1631" s="4"/>
      <c r="H1631" s="4"/>
      <c r="I1631" s="4"/>
      <c r="J1631" s="18"/>
      <c r="K1631" s="4"/>
      <c r="L1631" s="19"/>
      <c r="M1631" s="20"/>
    </row>
    <row r="1632">
      <c r="A1632" s="6"/>
      <c r="B1632" s="6"/>
      <c r="C1632" s="4"/>
      <c r="D1632" s="36">
        <v>0.0</v>
      </c>
      <c r="E1632" s="4"/>
      <c r="F1632" s="4"/>
      <c r="G1632" s="4"/>
      <c r="H1632" s="4"/>
      <c r="I1632" s="4"/>
      <c r="J1632" s="18"/>
      <c r="K1632" s="4"/>
      <c r="L1632" s="19"/>
      <c r="M1632" s="20"/>
    </row>
    <row r="1633">
      <c r="A1633" s="6"/>
      <c r="B1633" s="6"/>
      <c r="C1633" s="4"/>
      <c r="D1633" s="36">
        <v>0.0</v>
      </c>
      <c r="E1633" s="4"/>
      <c r="F1633" s="4"/>
      <c r="G1633" s="4"/>
      <c r="H1633" s="4"/>
      <c r="I1633" s="4"/>
      <c r="J1633" s="18"/>
      <c r="K1633" s="4"/>
      <c r="L1633" s="19"/>
      <c r="M1633" s="20"/>
    </row>
    <row r="1634">
      <c r="A1634" s="6"/>
      <c r="B1634" s="6"/>
      <c r="C1634" s="4"/>
      <c r="D1634" s="36">
        <v>0.0</v>
      </c>
      <c r="E1634" s="4"/>
      <c r="F1634" s="4"/>
      <c r="G1634" s="4"/>
      <c r="H1634" s="4"/>
      <c r="I1634" s="4"/>
      <c r="J1634" s="18"/>
      <c r="K1634" s="4"/>
      <c r="L1634" s="19"/>
      <c r="M1634" s="20"/>
    </row>
    <row r="1635">
      <c r="A1635" s="6"/>
      <c r="B1635" s="6"/>
      <c r="C1635" s="4"/>
      <c r="D1635" s="36">
        <v>0.0</v>
      </c>
      <c r="E1635" s="4"/>
      <c r="F1635" s="4"/>
      <c r="G1635" s="4"/>
      <c r="H1635" s="4"/>
      <c r="I1635" s="4"/>
      <c r="J1635" s="18"/>
      <c r="K1635" s="4"/>
      <c r="L1635" s="19"/>
      <c r="M1635" s="20"/>
    </row>
    <row r="1636">
      <c r="A1636" s="6"/>
      <c r="B1636" s="6"/>
      <c r="C1636" s="4"/>
      <c r="D1636" s="36">
        <v>0.0</v>
      </c>
      <c r="E1636" s="4"/>
      <c r="F1636" s="4"/>
      <c r="G1636" s="4"/>
      <c r="H1636" s="4"/>
      <c r="I1636" s="4"/>
      <c r="J1636" s="18"/>
      <c r="K1636" s="4"/>
      <c r="L1636" s="19"/>
      <c r="M1636" s="20"/>
    </row>
    <row r="1637">
      <c r="A1637" s="6"/>
      <c r="B1637" s="6"/>
      <c r="C1637" s="4"/>
      <c r="D1637" s="36">
        <v>0.0</v>
      </c>
      <c r="E1637" s="4"/>
      <c r="F1637" s="4"/>
      <c r="G1637" s="4"/>
      <c r="H1637" s="4"/>
      <c r="I1637" s="4"/>
      <c r="J1637" s="18"/>
      <c r="K1637" s="4"/>
      <c r="L1637" s="19"/>
      <c r="M1637" s="20"/>
    </row>
    <row r="1638">
      <c r="A1638" s="6"/>
      <c r="B1638" s="6"/>
      <c r="C1638" s="4"/>
      <c r="D1638" s="36">
        <v>0.0</v>
      </c>
      <c r="E1638" s="4"/>
      <c r="F1638" s="4"/>
      <c r="G1638" s="4"/>
      <c r="H1638" s="4"/>
      <c r="I1638" s="4"/>
      <c r="J1638" s="18"/>
      <c r="K1638" s="4"/>
      <c r="L1638" s="19"/>
      <c r="M1638" s="20"/>
    </row>
    <row r="1639">
      <c r="A1639" s="6"/>
      <c r="B1639" s="6"/>
      <c r="C1639" s="4"/>
      <c r="D1639" s="36">
        <v>0.0</v>
      </c>
      <c r="E1639" s="4"/>
      <c r="F1639" s="4"/>
      <c r="G1639" s="4"/>
      <c r="H1639" s="4"/>
      <c r="I1639" s="4"/>
      <c r="J1639" s="18"/>
      <c r="K1639" s="4"/>
      <c r="L1639" s="19"/>
      <c r="M1639" s="20"/>
    </row>
    <row r="1640">
      <c r="A1640" s="6"/>
      <c r="B1640" s="6"/>
      <c r="C1640" s="4"/>
      <c r="D1640" s="36">
        <v>0.0</v>
      </c>
      <c r="E1640" s="4"/>
      <c r="F1640" s="4"/>
      <c r="G1640" s="4"/>
      <c r="H1640" s="4"/>
      <c r="I1640" s="4"/>
      <c r="J1640" s="18"/>
      <c r="K1640" s="4"/>
      <c r="L1640" s="19"/>
      <c r="M1640" s="20"/>
    </row>
    <row r="1641">
      <c r="A1641" s="6"/>
      <c r="B1641" s="6"/>
      <c r="C1641" s="4"/>
      <c r="D1641" s="36">
        <v>0.0</v>
      </c>
      <c r="E1641" s="4"/>
      <c r="F1641" s="4"/>
      <c r="G1641" s="4"/>
      <c r="H1641" s="4"/>
      <c r="I1641" s="4"/>
      <c r="J1641" s="18"/>
      <c r="K1641" s="4"/>
      <c r="L1641" s="19"/>
      <c r="M1641" s="20"/>
    </row>
    <row r="1642">
      <c r="A1642" s="6"/>
      <c r="B1642" s="6"/>
      <c r="C1642" s="4"/>
      <c r="D1642" s="36">
        <v>0.0</v>
      </c>
      <c r="E1642" s="4"/>
      <c r="F1642" s="4"/>
      <c r="G1642" s="4"/>
      <c r="H1642" s="4"/>
      <c r="I1642" s="4"/>
      <c r="J1642" s="18"/>
      <c r="K1642" s="4"/>
      <c r="L1642" s="19"/>
      <c r="M1642" s="20"/>
    </row>
    <row r="1643">
      <c r="A1643" s="6"/>
      <c r="B1643" s="6"/>
      <c r="C1643" s="4"/>
      <c r="D1643" s="36">
        <v>0.0</v>
      </c>
      <c r="E1643" s="4"/>
      <c r="F1643" s="4"/>
      <c r="G1643" s="4"/>
      <c r="H1643" s="4"/>
      <c r="I1643" s="4"/>
      <c r="J1643" s="18"/>
      <c r="K1643" s="4"/>
      <c r="L1643" s="19"/>
      <c r="M1643" s="20"/>
    </row>
    <row r="1644">
      <c r="A1644" s="6"/>
      <c r="B1644" s="6"/>
      <c r="C1644" s="4"/>
      <c r="D1644" s="36">
        <v>0.0</v>
      </c>
      <c r="E1644" s="4"/>
      <c r="F1644" s="4"/>
      <c r="G1644" s="4"/>
      <c r="H1644" s="4"/>
      <c r="I1644" s="4"/>
      <c r="J1644" s="18"/>
      <c r="K1644" s="4"/>
      <c r="L1644" s="19"/>
      <c r="M1644" s="20"/>
    </row>
    <row r="1645">
      <c r="A1645" s="6"/>
      <c r="B1645" s="6"/>
      <c r="C1645" s="4"/>
      <c r="D1645" s="36">
        <v>0.0</v>
      </c>
      <c r="E1645" s="4"/>
      <c r="F1645" s="4"/>
      <c r="G1645" s="4"/>
      <c r="H1645" s="4"/>
      <c r="I1645" s="4"/>
      <c r="J1645" s="18"/>
      <c r="K1645" s="4"/>
      <c r="L1645" s="19"/>
      <c r="M1645" s="20"/>
    </row>
    <row r="1646">
      <c r="A1646" s="6"/>
      <c r="B1646" s="6"/>
      <c r="C1646" s="4"/>
      <c r="D1646" s="36">
        <v>0.0</v>
      </c>
      <c r="E1646" s="4"/>
      <c r="F1646" s="4"/>
      <c r="G1646" s="4"/>
      <c r="H1646" s="4"/>
      <c r="I1646" s="4"/>
      <c r="J1646" s="18"/>
      <c r="K1646" s="4"/>
      <c r="L1646" s="19"/>
      <c r="M1646" s="20"/>
    </row>
    <row r="1647">
      <c r="A1647" s="6"/>
      <c r="B1647" s="6"/>
      <c r="C1647" s="4"/>
      <c r="D1647" s="36">
        <v>0.0</v>
      </c>
      <c r="E1647" s="4"/>
      <c r="F1647" s="4"/>
      <c r="G1647" s="4"/>
      <c r="H1647" s="4"/>
      <c r="I1647" s="4"/>
      <c r="J1647" s="18"/>
      <c r="K1647" s="4"/>
      <c r="L1647" s="19"/>
      <c r="M1647" s="20"/>
    </row>
    <row r="1648">
      <c r="A1648" s="6"/>
      <c r="B1648" s="6"/>
      <c r="C1648" s="4"/>
      <c r="D1648" s="36">
        <v>0.0</v>
      </c>
      <c r="E1648" s="4"/>
      <c r="F1648" s="4"/>
      <c r="G1648" s="4"/>
      <c r="H1648" s="4"/>
      <c r="I1648" s="4"/>
      <c r="J1648" s="18"/>
      <c r="K1648" s="4"/>
      <c r="L1648" s="19"/>
      <c r="M1648" s="20"/>
    </row>
    <row r="1649">
      <c r="A1649" s="6"/>
      <c r="B1649" s="6"/>
      <c r="C1649" s="4"/>
      <c r="D1649" s="36">
        <v>0.0</v>
      </c>
      <c r="E1649" s="4"/>
      <c r="F1649" s="4"/>
      <c r="G1649" s="4"/>
      <c r="H1649" s="4"/>
      <c r="I1649" s="4"/>
      <c r="J1649" s="18"/>
      <c r="K1649" s="4"/>
      <c r="L1649" s="19"/>
      <c r="M1649" s="20"/>
    </row>
    <row r="1650">
      <c r="A1650" s="6"/>
      <c r="B1650" s="6"/>
      <c r="C1650" s="4"/>
      <c r="D1650" s="36">
        <v>0.0</v>
      </c>
      <c r="E1650" s="4"/>
      <c r="F1650" s="4"/>
      <c r="G1650" s="4"/>
      <c r="H1650" s="4"/>
      <c r="I1650" s="4"/>
      <c r="J1650" s="18"/>
      <c r="K1650" s="4"/>
      <c r="L1650" s="19"/>
      <c r="M1650" s="20"/>
    </row>
    <row r="1651">
      <c r="A1651" s="6"/>
      <c r="B1651" s="6"/>
      <c r="C1651" s="4"/>
      <c r="D1651" s="36">
        <v>0.0</v>
      </c>
      <c r="E1651" s="4"/>
      <c r="F1651" s="4"/>
      <c r="G1651" s="4"/>
      <c r="H1651" s="4"/>
      <c r="I1651" s="4"/>
      <c r="J1651" s="18"/>
      <c r="K1651" s="4"/>
      <c r="L1651" s="19"/>
      <c r="M1651" s="20"/>
    </row>
    <row r="1652">
      <c r="A1652" s="6"/>
      <c r="B1652" s="6"/>
      <c r="C1652" s="4"/>
      <c r="D1652" s="36">
        <v>0.0</v>
      </c>
      <c r="E1652" s="4"/>
      <c r="F1652" s="4"/>
      <c r="G1652" s="4"/>
      <c r="H1652" s="4"/>
      <c r="I1652" s="4"/>
      <c r="J1652" s="18"/>
      <c r="K1652" s="4"/>
      <c r="L1652" s="19"/>
      <c r="M1652" s="20"/>
    </row>
    <row r="1653">
      <c r="A1653" s="6"/>
      <c r="B1653" s="6"/>
      <c r="C1653" s="4"/>
      <c r="D1653" s="36">
        <v>0.0</v>
      </c>
      <c r="E1653" s="4"/>
      <c r="F1653" s="4"/>
      <c r="G1653" s="4"/>
      <c r="H1653" s="4"/>
      <c r="I1653" s="4"/>
      <c r="J1653" s="18"/>
      <c r="K1653" s="4"/>
      <c r="L1653" s="19"/>
      <c r="M1653" s="20"/>
    </row>
    <row r="1654">
      <c r="A1654" s="6"/>
      <c r="B1654" s="6"/>
      <c r="C1654" s="4"/>
      <c r="D1654" s="36">
        <v>0.0</v>
      </c>
      <c r="E1654" s="4"/>
      <c r="F1654" s="4"/>
      <c r="G1654" s="4"/>
      <c r="H1654" s="4"/>
      <c r="I1654" s="4"/>
      <c r="J1654" s="18"/>
      <c r="K1654" s="4"/>
      <c r="L1654" s="19"/>
      <c r="M1654" s="20"/>
    </row>
    <row r="1655">
      <c r="A1655" s="6"/>
      <c r="B1655" s="6"/>
      <c r="C1655" s="4"/>
      <c r="D1655" s="36">
        <v>0.0</v>
      </c>
      <c r="E1655" s="4"/>
      <c r="F1655" s="4"/>
      <c r="G1655" s="4"/>
      <c r="H1655" s="4"/>
      <c r="I1655" s="4"/>
      <c r="J1655" s="18"/>
      <c r="K1655" s="4"/>
      <c r="L1655" s="19"/>
      <c r="M1655" s="20"/>
    </row>
    <row r="1656">
      <c r="A1656" s="6"/>
      <c r="B1656" s="6"/>
      <c r="C1656" s="4"/>
      <c r="D1656" s="36">
        <v>0.0</v>
      </c>
      <c r="E1656" s="4"/>
      <c r="F1656" s="4"/>
      <c r="G1656" s="4"/>
      <c r="H1656" s="4"/>
      <c r="I1656" s="4"/>
      <c r="J1656" s="18"/>
      <c r="K1656" s="4"/>
      <c r="L1656" s="19"/>
      <c r="M1656" s="20"/>
    </row>
    <row r="1657">
      <c r="A1657" s="6"/>
      <c r="B1657" s="6"/>
      <c r="C1657" s="4"/>
      <c r="D1657" s="36">
        <v>0.0</v>
      </c>
      <c r="E1657" s="4"/>
      <c r="F1657" s="4"/>
      <c r="G1657" s="4"/>
      <c r="H1657" s="4"/>
      <c r="I1657" s="4"/>
      <c r="J1657" s="18"/>
      <c r="K1657" s="4"/>
      <c r="L1657" s="19"/>
      <c r="M1657" s="20"/>
    </row>
    <row r="1658">
      <c r="A1658" s="6"/>
      <c r="B1658" s="6"/>
      <c r="C1658" s="4"/>
      <c r="D1658" s="36">
        <v>0.0</v>
      </c>
      <c r="E1658" s="4"/>
      <c r="F1658" s="4"/>
      <c r="G1658" s="4"/>
      <c r="H1658" s="4"/>
      <c r="I1658" s="4"/>
      <c r="J1658" s="18"/>
      <c r="K1658" s="4"/>
      <c r="L1658" s="19"/>
      <c r="M1658" s="20"/>
    </row>
    <row r="1659">
      <c r="A1659" s="6"/>
      <c r="B1659" s="6"/>
      <c r="C1659" s="4"/>
      <c r="D1659" s="36">
        <v>0.0</v>
      </c>
      <c r="E1659" s="4"/>
      <c r="F1659" s="4"/>
      <c r="G1659" s="4"/>
      <c r="H1659" s="4"/>
      <c r="I1659" s="4"/>
      <c r="J1659" s="18"/>
      <c r="K1659" s="4"/>
      <c r="L1659" s="19"/>
      <c r="M1659" s="20"/>
    </row>
    <row r="1660">
      <c r="A1660" s="6"/>
      <c r="B1660" s="6"/>
      <c r="C1660" s="4"/>
      <c r="D1660" s="36">
        <v>0.0</v>
      </c>
      <c r="E1660" s="4"/>
      <c r="F1660" s="4"/>
      <c r="G1660" s="4"/>
      <c r="H1660" s="4"/>
      <c r="I1660" s="4"/>
      <c r="J1660" s="18"/>
      <c r="K1660" s="4"/>
      <c r="L1660" s="19"/>
      <c r="M1660" s="20"/>
    </row>
    <row r="1661">
      <c r="A1661" s="6"/>
      <c r="B1661" s="6"/>
      <c r="C1661" s="4"/>
      <c r="D1661" s="36">
        <v>0.0</v>
      </c>
      <c r="E1661" s="4"/>
      <c r="F1661" s="4"/>
      <c r="G1661" s="4"/>
      <c r="H1661" s="4"/>
      <c r="I1661" s="4"/>
      <c r="J1661" s="18"/>
      <c r="K1661" s="4"/>
      <c r="L1661" s="19"/>
      <c r="M1661" s="20"/>
    </row>
    <row r="1662">
      <c r="A1662" s="6"/>
      <c r="B1662" s="6"/>
      <c r="C1662" s="4"/>
      <c r="D1662" s="36">
        <v>0.0</v>
      </c>
      <c r="E1662" s="4"/>
      <c r="F1662" s="4"/>
      <c r="G1662" s="4"/>
      <c r="H1662" s="4"/>
      <c r="I1662" s="4"/>
      <c r="J1662" s="18"/>
      <c r="K1662" s="4"/>
      <c r="L1662" s="19"/>
      <c r="M1662" s="20"/>
    </row>
    <row r="1663">
      <c r="A1663" s="6"/>
      <c r="B1663" s="6"/>
      <c r="C1663" s="4"/>
      <c r="D1663" s="36">
        <v>0.0</v>
      </c>
      <c r="E1663" s="4"/>
      <c r="F1663" s="4"/>
      <c r="G1663" s="4"/>
      <c r="H1663" s="4"/>
      <c r="I1663" s="4"/>
      <c r="J1663" s="18"/>
      <c r="K1663" s="4"/>
      <c r="L1663" s="19"/>
      <c r="M1663" s="20"/>
    </row>
    <row r="1664">
      <c r="A1664" s="6"/>
      <c r="B1664" s="6"/>
      <c r="C1664" s="4"/>
      <c r="D1664" s="36">
        <v>0.0</v>
      </c>
      <c r="E1664" s="4"/>
      <c r="F1664" s="4"/>
      <c r="G1664" s="4"/>
      <c r="H1664" s="4"/>
      <c r="I1664" s="4"/>
      <c r="J1664" s="18"/>
      <c r="K1664" s="4"/>
      <c r="L1664" s="19"/>
      <c r="M1664" s="20"/>
    </row>
    <row r="1665">
      <c r="A1665" s="6"/>
      <c r="B1665" s="6"/>
      <c r="C1665" s="4"/>
      <c r="D1665" s="36">
        <v>0.0</v>
      </c>
      <c r="E1665" s="4"/>
      <c r="F1665" s="4"/>
      <c r="G1665" s="4"/>
      <c r="H1665" s="4"/>
      <c r="I1665" s="4"/>
      <c r="J1665" s="18"/>
      <c r="K1665" s="4"/>
      <c r="L1665" s="19"/>
      <c r="M1665" s="20"/>
    </row>
    <row r="1666">
      <c r="A1666" s="6"/>
      <c r="B1666" s="6"/>
      <c r="C1666" s="4"/>
      <c r="D1666" s="36">
        <v>0.0</v>
      </c>
      <c r="E1666" s="4"/>
      <c r="F1666" s="4"/>
      <c r="G1666" s="4"/>
      <c r="H1666" s="4"/>
      <c r="I1666" s="4"/>
      <c r="J1666" s="18"/>
      <c r="K1666" s="4"/>
      <c r="L1666" s="19"/>
      <c r="M1666" s="20"/>
    </row>
    <row r="1667">
      <c r="A1667" s="6"/>
      <c r="B1667" s="6"/>
      <c r="C1667" s="4"/>
      <c r="D1667" s="36">
        <v>0.0</v>
      </c>
      <c r="E1667" s="4"/>
      <c r="F1667" s="4"/>
      <c r="G1667" s="4"/>
      <c r="H1667" s="4"/>
      <c r="I1667" s="4"/>
      <c r="J1667" s="18"/>
      <c r="K1667" s="4"/>
      <c r="L1667" s="19"/>
      <c r="M1667" s="20"/>
    </row>
    <row r="1668">
      <c r="A1668" s="6"/>
      <c r="B1668" s="6"/>
      <c r="C1668" s="4"/>
      <c r="D1668" s="36">
        <v>0.0</v>
      </c>
      <c r="E1668" s="4"/>
      <c r="F1668" s="4"/>
      <c r="G1668" s="4"/>
      <c r="H1668" s="4"/>
      <c r="I1668" s="4"/>
      <c r="J1668" s="18"/>
      <c r="K1668" s="4"/>
      <c r="L1668" s="19"/>
      <c r="M1668" s="20"/>
    </row>
    <row r="1669">
      <c r="A1669" s="6"/>
      <c r="B1669" s="6"/>
      <c r="C1669" s="4"/>
      <c r="D1669" s="36">
        <v>0.0</v>
      </c>
      <c r="E1669" s="4"/>
      <c r="F1669" s="4"/>
      <c r="G1669" s="4"/>
      <c r="H1669" s="4"/>
      <c r="I1669" s="4"/>
      <c r="J1669" s="18"/>
      <c r="K1669" s="4"/>
      <c r="L1669" s="19"/>
      <c r="M1669" s="20"/>
    </row>
    <row r="1670">
      <c r="A1670" s="6"/>
      <c r="B1670" s="6"/>
      <c r="C1670" s="4"/>
      <c r="D1670" s="36">
        <v>0.0</v>
      </c>
      <c r="E1670" s="4"/>
      <c r="F1670" s="4"/>
      <c r="G1670" s="4"/>
      <c r="H1670" s="4"/>
      <c r="I1670" s="4"/>
      <c r="J1670" s="18"/>
      <c r="K1670" s="4"/>
      <c r="L1670" s="19"/>
      <c r="M1670" s="20"/>
    </row>
    <row r="1671">
      <c r="A1671" s="6"/>
      <c r="B1671" s="6"/>
      <c r="C1671" s="4"/>
      <c r="D1671" s="36">
        <v>0.0</v>
      </c>
      <c r="E1671" s="4"/>
      <c r="F1671" s="4"/>
      <c r="G1671" s="4"/>
      <c r="H1671" s="4"/>
      <c r="I1671" s="4"/>
      <c r="J1671" s="18"/>
      <c r="K1671" s="4"/>
      <c r="L1671" s="19"/>
      <c r="M1671" s="20"/>
    </row>
    <row r="1672">
      <c r="A1672" s="6"/>
      <c r="B1672" s="6"/>
      <c r="C1672" s="4"/>
      <c r="D1672" s="36">
        <v>0.0</v>
      </c>
      <c r="E1672" s="4"/>
      <c r="F1672" s="4"/>
      <c r="G1672" s="4"/>
      <c r="H1672" s="4"/>
      <c r="I1672" s="4"/>
      <c r="J1672" s="18"/>
      <c r="K1672" s="4"/>
      <c r="L1672" s="19"/>
      <c r="M1672" s="20"/>
    </row>
    <row r="1673">
      <c r="A1673" s="6"/>
      <c r="B1673" s="6"/>
      <c r="C1673" s="4"/>
      <c r="D1673" s="36">
        <v>0.0</v>
      </c>
      <c r="E1673" s="4"/>
      <c r="F1673" s="4"/>
      <c r="G1673" s="4"/>
      <c r="H1673" s="4"/>
      <c r="I1673" s="4"/>
      <c r="J1673" s="18"/>
      <c r="K1673" s="4"/>
      <c r="L1673" s="19"/>
      <c r="M1673" s="20"/>
    </row>
    <row r="1674">
      <c r="A1674" s="6"/>
      <c r="B1674" s="6"/>
      <c r="C1674" s="4"/>
      <c r="D1674" s="36">
        <v>0.0</v>
      </c>
      <c r="E1674" s="4"/>
      <c r="F1674" s="4"/>
      <c r="G1674" s="4"/>
      <c r="H1674" s="4"/>
      <c r="I1674" s="4"/>
      <c r="J1674" s="18"/>
      <c r="K1674" s="4"/>
      <c r="L1674" s="19"/>
      <c r="M1674" s="20"/>
    </row>
    <row r="1675">
      <c r="A1675" s="6"/>
      <c r="B1675" s="6"/>
      <c r="C1675" s="4"/>
      <c r="D1675" s="36">
        <v>0.0</v>
      </c>
      <c r="E1675" s="4"/>
      <c r="F1675" s="4"/>
      <c r="G1675" s="4"/>
      <c r="H1675" s="4"/>
      <c r="I1675" s="4"/>
      <c r="J1675" s="18"/>
      <c r="K1675" s="4"/>
      <c r="L1675" s="19"/>
      <c r="M1675" s="20"/>
    </row>
    <row r="1676">
      <c r="A1676" s="6"/>
      <c r="B1676" s="6"/>
      <c r="C1676" s="4"/>
      <c r="D1676" s="36">
        <v>0.0</v>
      </c>
      <c r="E1676" s="4"/>
      <c r="F1676" s="4"/>
      <c r="G1676" s="4"/>
      <c r="H1676" s="4"/>
      <c r="I1676" s="4"/>
      <c r="J1676" s="18"/>
      <c r="K1676" s="4"/>
      <c r="L1676" s="19"/>
      <c r="M1676" s="20"/>
    </row>
    <row r="1677">
      <c r="A1677" s="6"/>
      <c r="B1677" s="6"/>
      <c r="C1677" s="4"/>
      <c r="D1677" s="36">
        <v>0.0</v>
      </c>
      <c r="E1677" s="4"/>
      <c r="F1677" s="4"/>
      <c r="G1677" s="4"/>
      <c r="H1677" s="4"/>
      <c r="I1677" s="4"/>
      <c r="J1677" s="18"/>
      <c r="K1677" s="4"/>
      <c r="L1677" s="19"/>
      <c r="M1677" s="20"/>
    </row>
    <row r="1678">
      <c r="A1678" s="6"/>
      <c r="B1678" s="6"/>
      <c r="C1678" s="4"/>
      <c r="D1678" s="36">
        <v>0.0</v>
      </c>
      <c r="E1678" s="4"/>
      <c r="F1678" s="4"/>
      <c r="G1678" s="4"/>
      <c r="H1678" s="4"/>
      <c r="I1678" s="4"/>
      <c r="J1678" s="18"/>
      <c r="K1678" s="4"/>
      <c r="L1678" s="19"/>
      <c r="M1678" s="20"/>
    </row>
    <row r="1679">
      <c r="A1679" s="6"/>
      <c r="B1679" s="6"/>
      <c r="C1679" s="4"/>
      <c r="D1679" s="36">
        <v>0.0</v>
      </c>
      <c r="E1679" s="4"/>
      <c r="F1679" s="4"/>
      <c r="G1679" s="4"/>
      <c r="H1679" s="4"/>
      <c r="I1679" s="4"/>
      <c r="J1679" s="18"/>
      <c r="K1679" s="4"/>
      <c r="L1679" s="19"/>
      <c r="M1679" s="20"/>
    </row>
    <row r="1680">
      <c r="A1680" s="6"/>
      <c r="B1680" s="6"/>
      <c r="C1680" s="4"/>
      <c r="D1680" s="36">
        <v>0.0</v>
      </c>
      <c r="E1680" s="4"/>
      <c r="F1680" s="4"/>
      <c r="G1680" s="4"/>
      <c r="H1680" s="4"/>
      <c r="I1680" s="4"/>
      <c r="J1680" s="18"/>
      <c r="K1680" s="4"/>
      <c r="L1680" s="19"/>
      <c r="M1680" s="20"/>
    </row>
    <row r="1681">
      <c r="A1681" s="6"/>
      <c r="B1681" s="6"/>
      <c r="C1681" s="4"/>
      <c r="D1681" s="36">
        <v>0.0</v>
      </c>
      <c r="E1681" s="4"/>
      <c r="F1681" s="4"/>
      <c r="G1681" s="4"/>
      <c r="H1681" s="4"/>
      <c r="I1681" s="4"/>
      <c r="J1681" s="18"/>
      <c r="K1681" s="4"/>
      <c r="L1681" s="19"/>
      <c r="M1681" s="20"/>
    </row>
    <row r="1682">
      <c r="A1682" s="6"/>
      <c r="B1682" s="6"/>
      <c r="C1682" s="4"/>
      <c r="D1682" s="36">
        <v>0.0</v>
      </c>
      <c r="E1682" s="4"/>
      <c r="F1682" s="4"/>
      <c r="G1682" s="4"/>
      <c r="H1682" s="4"/>
      <c r="I1682" s="4"/>
      <c r="J1682" s="18"/>
      <c r="K1682" s="4"/>
      <c r="L1682" s="19"/>
      <c r="M1682" s="20"/>
    </row>
    <row r="1683">
      <c r="A1683" s="6"/>
      <c r="B1683" s="6"/>
      <c r="C1683" s="4"/>
      <c r="D1683" s="36">
        <v>0.0</v>
      </c>
      <c r="E1683" s="4"/>
      <c r="F1683" s="4"/>
      <c r="G1683" s="4"/>
      <c r="H1683" s="4"/>
      <c r="I1683" s="4"/>
      <c r="J1683" s="18"/>
      <c r="K1683" s="4"/>
      <c r="L1683" s="19"/>
      <c r="M1683" s="20"/>
    </row>
    <row r="1684">
      <c r="A1684" s="6"/>
      <c r="B1684" s="6"/>
      <c r="C1684" s="4"/>
      <c r="D1684" s="36">
        <v>0.0</v>
      </c>
      <c r="E1684" s="4"/>
      <c r="F1684" s="4"/>
      <c r="G1684" s="4"/>
      <c r="H1684" s="4"/>
      <c r="I1684" s="4"/>
      <c r="J1684" s="18"/>
      <c r="K1684" s="4"/>
      <c r="L1684" s="19"/>
      <c r="M1684" s="20"/>
    </row>
    <row r="1685">
      <c r="A1685" s="6"/>
      <c r="B1685" s="6"/>
      <c r="C1685" s="4"/>
      <c r="D1685" s="36">
        <v>0.0</v>
      </c>
      <c r="E1685" s="4"/>
      <c r="F1685" s="4"/>
      <c r="G1685" s="4"/>
      <c r="H1685" s="4"/>
      <c r="I1685" s="4"/>
      <c r="J1685" s="18"/>
      <c r="K1685" s="4"/>
      <c r="L1685" s="19"/>
      <c r="M1685" s="20"/>
    </row>
    <row r="1686">
      <c r="A1686" s="6"/>
      <c r="B1686" s="6"/>
      <c r="C1686" s="4"/>
      <c r="D1686" s="36">
        <v>0.0</v>
      </c>
      <c r="E1686" s="4"/>
      <c r="F1686" s="4"/>
      <c r="G1686" s="4"/>
      <c r="H1686" s="4"/>
      <c r="I1686" s="4"/>
      <c r="J1686" s="18"/>
      <c r="K1686" s="4"/>
      <c r="L1686" s="19"/>
      <c r="M1686" s="20"/>
    </row>
    <row r="1687">
      <c r="A1687" s="6"/>
      <c r="B1687" s="6"/>
      <c r="C1687" s="4"/>
      <c r="D1687" s="36">
        <v>0.0</v>
      </c>
      <c r="E1687" s="4"/>
      <c r="F1687" s="4"/>
      <c r="G1687" s="4"/>
      <c r="H1687" s="4"/>
      <c r="I1687" s="4"/>
      <c r="J1687" s="18"/>
      <c r="K1687" s="4"/>
      <c r="L1687" s="19"/>
      <c r="M1687" s="20"/>
    </row>
    <row r="1688">
      <c r="A1688" s="6"/>
      <c r="B1688" s="6"/>
      <c r="C1688" s="4"/>
      <c r="D1688" s="36">
        <v>0.0</v>
      </c>
      <c r="E1688" s="4"/>
      <c r="F1688" s="4"/>
      <c r="G1688" s="4"/>
      <c r="H1688" s="4"/>
      <c r="I1688" s="4"/>
      <c r="J1688" s="18"/>
      <c r="K1688" s="4"/>
      <c r="L1688" s="19"/>
      <c r="M1688" s="20"/>
    </row>
    <row r="1689">
      <c r="A1689" s="6"/>
      <c r="B1689" s="6"/>
      <c r="C1689" s="4"/>
      <c r="D1689" s="36">
        <v>0.0</v>
      </c>
      <c r="E1689" s="4"/>
      <c r="F1689" s="4"/>
      <c r="G1689" s="4"/>
      <c r="H1689" s="4"/>
      <c r="I1689" s="4"/>
      <c r="J1689" s="18"/>
      <c r="K1689" s="4"/>
      <c r="L1689" s="19"/>
      <c r="M1689" s="20"/>
    </row>
    <row r="1690">
      <c r="A1690" s="6"/>
      <c r="B1690" s="6"/>
      <c r="C1690" s="4"/>
      <c r="D1690" s="36">
        <v>0.0</v>
      </c>
      <c r="E1690" s="4"/>
      <c r="F1690" s="4"/>
      <c r="G1690" s="4"/>
      <c r="H1690" s="4"/>
      <c r="I1690" s="4"/>
      <c r="J1690" s="18"/>
      <c r="K1690" s="4"/>
      <c r="L1690" s="19"/>
      <c r="M1690" s="20"/>
    </row>
    <row r="1691">
      <c r="A1691" s="6"/>
      <c r="B1691" s="6"/>
      <c r="C1691" s="4"/>
      <c r="D1691" s="36">
        <v>0.0</v>
      </c>
      <c r="E1691" s="4"/>
      <c r="F1691" s="4"/>
      <c r="G1691" s="4"/>
      <c r="H1691" s="4"/>
      <c r="I1691" s="4"/>
      <c r="J1691" s="18"/>
      <c r="K1691" s="4"/>
      <c r="L1691" s="19"/>
      <c r="M1691" s="20"/>
    </row>
    <row r="1692">
      <c r="A1692" s="6"/>
      <c r="B1692" s="6"/>
      <c r="C1692" s="4"/>
      <c r="D1692" s="36">
        <v>0.0</v>
      </c>
      <c r="E1692" s="4"/>
      <c r="F1692" s="4"/>
      <c r="G1692" s="4"/>
      <c r="H1692" s="4"/>
      <c r="I1692" s="4"/>
      <c r="J1692" s="18"/>
      <c r="K1692" s="4"/>
      <c r="L1692" s="19"/>
      <c r="M1692" s="20"/>
    </row>
    <row r="1693">
      <c r="A1693" s="6"/>
      <c r="B1693" s="6"/>
      <c r="C1693" s="4"/>
      <c r="D1693" s="36">
        <v>0.0</v>
      </c>
      <c r="E1693" s="4"/>
      <c r="F1693" s="4"/>
      <c r="G1693" s="4"/>
      <c r="H1693" s="4"/>
      <c r="I1693" s="4"/>
      <c r="J1693" s="18"/>
      <c r="K1693" s="4"/>
      <c r="L1693" s="19"/>
      <c r="M1693" s="20"/>
    </row>
    <row r="1694">
      <c r="A1694" s="6"/>
      <c r="B1694" s="6"/>
      <c r="C1694" s="4"/>
      <c r="D1694" s="36">
        <v>0.0</v>
      </c>
      <c r="E1694" s="4"/>
      <c r="F1694" s="4"/>
      <c r="G1694" s="4"/>
      <c r="H1694" s="4"/>
      <c r="I1694" s="4"/>
      <c r="J1694" s="18"/>
      <c r="K1694" s="4"/>
      <c r="L1694" s="19"/>
      <c r="M1694" s="20"/>
    </row>
    <row r="1695">
      <c r="A1695" s="6"/>
      <c r="B1695" s="6"/>
      <c r="C1695" s="4"/>
      <c r="D1695" s="36">
        <v>0.0</v>
      </c>
      <c r="E1695" s="4"/>
      <c r="F1695" s="4"/>
      <c r="G1695" s="4"/>
      <c r="H1695" s="4"/>
      <c r="I1695" s="4"/>
      <c r="J1695" s="18"/>
      <c r="K1695" s="4"/>
      <c r="L1695" s="19"/>
      <c r="M1695" s="20"/>
    </row>
    <row r="1696">
      <c r="A1696" s="6"/>
      <c r="B1696" s="6"/>
      <c r="C1696" s="4"/>
      <c r="D1696" s="36">
        <v>0.0</v>
      </c>
      <c r="E1696" s="4"/>
      <c r="F1696" s="4"/>
      <c r="G1696" s="4"/>
      <c r="H1696" s="4"/>
      <c r="I1696" s="4"/>
      <c r="J1696" s="18"/>
      <c r="K1696" s="4"/>
      <c r="L1696" s="19"/>
      <c r="M1696" s="20"/>
    </row>
    <row r="1697">
      <c r="A1697" s="6"/>
      <c r="B1697" s="6"/>
      <c r="C1697" s="4"/>
      <c r="D1697" s="36">
        <v>0.0</v>
      </c>
      <c r="E1697" s="4"/>
      <c r="F1697" s="4"/>
      <c r="G1697" s="4"/>
      <c r="H1697" s="4"/>
      <c r="I1697" s="4"/>
      <c r="J1697" s="18"/>
      <c r="K1697" s="4"/>
      <c r="L1697" s="19"/>
      <c r="M1697" s="20"/>
    </row>
    <row r="1698">
      <c r="A1698" s="6"/>
      <c r="B1698" s="6"/>
      <c r="C1698" s="4"/>
      <c r="D1698" s="36">
        <v>0.0</v>
      </c>
      <c r="E1698" s="4"/>
      <c r="F1698" s="4"/>
      <c r="G1698" s="4"/>
      <c r="H1698" s="4"/>
      <c r="I1698" s="4"/>
      <c r="J1698" s="18"/>
      <c r="K1698" s="4"/>
      <c r="L1698" s="19"/>
      <c r="M1698" s="20"/>
    </row>
    <row r="1699">
      <c r="A1699" s="6"/>
      <c r="B1699" s="6"/>
      <c r="C1699" s="4"/>
      <c r="D1699" s="36">
        <v>0.0</v>
      </c>
      <c r="E1699" s="4"/>
      <c r="F1699" s="4"/>
      <c r="G1699" s="4"/>
      <c r="H1699" s="4"/>
      <c r="I1699" s="4"/>
      <c r="J1699" s="18"/>
      <c r="K1699" s="4"/>
      <c r="L1699" s="19"/>
      <c r="M1699" s="20"/>
    </row>
    <row r="1700">
      <c r="A1700" s="6"/>
      <c r="B1700" s="6"/>
      <c r="C1700" s="4"/>
      <c r="D1700" s="36">
        <v>0.0</v>
      </c>
      <c r="E1700" s="4"/>
      <c r="F1700" s="4"/>
      <c r="G1700" s="4"/>
      <c r="H1700" s="4"/>
      <c r="I1700" s="4"/>
      <c r="J1700" s="18"/>
      <c r="K1700" s="4"/>
      <c r="L1700" s="19"/>
      <c r="M1700" s="20"/>
    </row>
    <row r="1701">
      <c r="A1701" s="6"/>
      <c r="B1701" s="6"/>
      <c r="C1701" s="4"/>
      <c r="D1701" s="36">
        <v>0.0</v>
      </c>
      <c r="E1701" s="4"/>
      <c r="F1701" s="4"/>
      <c r="G1701" s="4"/>
      <c r="H1701" s="4"/>
      <c r="I1701" s="4"/>
      <c r="J1701" s="18"/>
      <c r="K1701" s="4"/>
      <c r="L1701" s="19"/>
      <c r="M1701" s="20"/>
    </row>
    <row r="1702">
      <c r="A1702" s="6"/>
      <c r="B1702" s="6"/>
      <c r="C1702" s="4"/>
      <c r="D1702" s="36">
        <v>0.0</v>
      </c>
      <c r="E1702" s="4"/>
      <c r="F1702" s="4"/>
      <c r="G1702" s="4"/>
      <c r="H1702" s="4"/>
      <c r="I1702" s="4"/>
      <c r="J1702" s="18"/>
      <c r="K1702" s="4"/>
      <c r="L1702" s="19"/>
      <c r="M1702" s="20"/>
    </row>
    <row r="1703">
      <c r="A1703" s="6"/>
      <c r="B1703" s="6"/>
      <c r="C1703" s="4"/>
      <c r="D1703" s="36">
        <v>0.0</v>
      </c>
      <c r="E1703" s="4"/>
      <c r="F1703" s="4"/>
      <c r="G1703" s="4"/>
      <c r="H1703" s="4"/>
      <c r="I1703" s="4"/>
      <c r="J1703" s="18"/>
      <c r="K1703" s="4"/>
      <c r="L1703" s="19"/>
      <c r="M1703" s="20"/>
    </row>
    <row r="1704">
      <c r="A1704" s="6"/>
      <c r="B1704" s="6"/>
      <c r="C1704" s="4"/>
      <c r="D1704" s="36">
        <v>0.0</v>
      </c>
      <c r="E1704" s="4"/>
      <c r="F1704" s="4"/>
      <c r="G1704" s="4"/>
      <c r="H1704" s="4"/>
      <c r="I1704" s="4"/>
      <c r="J1704" s="18"/>
      <c r="K1704" s="4"/>
      <c r="L1704" s="19"/>
      <c r="M1704" s="20"/>
    </row>
    <row r="1705">
      <c r="A1705" s="6"/>
      <c r="B1705" s="6"/>
      <c r="C1705" s="4"/>
      <c r="D1705" s="36">
        <v>0.0</v>
      </c>
      <c r="E1705" s="4"/>
      <c r="F1705" s="4"/>
      <c r="G1705" s="4"/>
      <c r="H1705" s="4"/>
      <c r="I1705" s="4"/>
      <c r="J1705" s="18"/>
      <c r="K1705" s="4"/>
      <c r="L1705" s="19"/>
      <c r="M1705" s="20"/>
    </row>
    <row r="1706">
      <c r="A1706" s="6"/>
      <c r="B1706" s="6"/>
      <c r="C1706" s="4"/>
      <c r="D1706" s="36">
        <v>0.0</v>
      </c>
      <c r="E1706" s="4"/>
      <c r="F1706" s="4"/>
      <c r="G1706" s="4"/>
      <c r="H1706" s="4"/>
      <c r="I1706" s="4"/>
      <c r="J1706" s="18"/>
      <c r="K1706" s="4"/>
      <c r="L1706" s="19"/>
      <c r="M1706" s="20"/>
    </row>
    <row r="1707">
      <c r="A1707" s="6"/>
      <c r="B1707" s="6"/>
      <c r="C1707" s="4"/>
      <c r="D1707" s="36">
        <v>0.0</v>
      </c>
      <c r="E1707" s="4"/>
      <c r="F1707" s="4"/>
      <c r="G1707" s="4"/>
      <c r="H1707" s="4"/>
      <c r="I1707" s="4"/>
      <c r="J1707" s="18"/>
      <c r="K1707" s="4"/>
      <c r="L1707" s="19"/>
      <c r="M1707" s="20"/>
    </row>
    <row r="1708">
      <c r="A1708" s="6"/>
      <c r="B1708" s="6"/>
      <c r="C1708" s="4"/>
      <c r="D1708" s="36">
        <v>0.0</v>
      </c>
      <c r="E1708" s="4"/>
      <c r="F1708" s="4"/>
      <c r="G1708" s="4"/>
      <c r="H1708" s="4"/>
      <c r="I1708" s="4"/>
      <c r="J1708" s="18"/>
      <c r="K1708" s="4"/>
      <c r="L1708" s="19"/>
      <c r="M1708" s="20"/>
    </row>
    <row r="1709">
      <c r="A1709" s="6"/>
      <c r="B1709" s="6"/>
      <c r="C1709" s="4"/>
      <c r="D1709" s="36">
        <v>0.0</v>
      </c>
      <c r="E1709" s="4"/>
      <c r="F1709" s="4"/>
      <c r="G1709" s="4"/>
      <c r="H1709" s="4"/>
      <c r="I1709" s="4"/>
      <c r="J1709" s="18"/>
      <c r="K1709" s="4"/>
      <c r="L1709" s="19"/>
      <c r="M1709" s="20"/>
    </row>
    <row r="1710">
      <c r="A1710" s="6"/>
      <c r="B1710" s="6"/>
      <c r="C1710" s="4"/>
      <c r="D1710" s="36">
        <v>0.0</v>
      </c>
      <c r="E1710" s="4"/>
      <c r="F1710" s="4"/>
      <c r="G1710" s="4"/>
      <c r="H1710" s="4"/>
      <c r="I1710" s="4"/>
      <c r="J1710" s="18"/>
      <c r="K1710" s="4"/>
      <c r="L1710" s="19"/>
      <c r="M1710" s="20"/>
    </row>
    <row r="1711">
      <c r="A1711" s="6"/>
      <c r="B1711" s="6"/>
      <c r="C1711" s="4"/>
      <c r="D1711" s="36">
        <v>0.0</v>
      </c>
      <c r="E1711" s="4"/>
      <c r="F1711" s="4"/>
      <c r="G1711" s="4"/>
      <c r="H1711" s="4"/>
      <c r="I1711" s="4"/>
      <c r="J1711" s="18"/>
      <c r="K1711" s="4"/>
      <c r="L1711" s="19"/>
      <c r="M1711" s="20"/>
    </row>
    <row r="1712">
      <c r="A1712" s="6"/>
      <c r="B1712" s="6"/>
      <c r="C1712" s="4"/>
      <c r="D1712" s="36">
        <v>0.0</v>
      </c>
      <c r="E1712" s="4"/>
      <c r="F1712" s="4"/>
      <c r="G1712" s="4"/>
      <c r="H1712" s="4"/>
      <c r="I1712" s="4"/>
      <c r="J1712" s="18"/>
      <c r="K1712" s="4"/>
      <c r="L1712" s="19"/>
      <c r="M1712" s="20"/>
    </row>
    <row r="1713">
      <c r="A1713" s="6"/>
      <c r="B1713" s="6"/>
      <c r="C1713" s="4"/>
      <c r="D1713" s="36">
        <v>0.0</v>
      </c>
      <c r="E1713" s="4"/>
      <c r="F1713" s="4"/>
      <c r="G1713" s="4"/>
      <c r="H1713" s="4"/>
      <c r="I1713" s="4"/>
      <c r="J1713" s="18"/>
      <c r="K1713" s="4"/>
      <c r="L1713" s="19"/>
      <c r="M1713" s="20"/>
    </row>
    <row r="1714">
      <c r="A1714" s="6"/>
      <c r="B1714" s="6"/>
      <c r="C1714" s="4"/>
      <c r="D1714" s="36">
        <v>0.0</v>
      </c>
      <c r="E1714" s="4"/>
      <c r="F1714" s="4"/>
      <c r="G1714" s="4"/>
      <c r="H1714" s="4"/>
      <c r="I1714" s="4"/>
      <c r="J1714" s="18"/>
      <c r="K1714" s="4"/>
      <c r="L1714" s="19"/>
      <c r="M1714" s="20"/>
    </row>
    <row r="1715">
      <c r="A1715" s="6"/>
      <c r="B1715" s="6"/>
      <c r="C1715" s="4"/>
      <c r="D1715" s="36">
        <v>0.0</v>
      </c>
      <c r="E1715" s="4"/>
      <c r="F1715" s="4"/>
      <c r="G1715" s="4"/>
      <c r="H1715" s="4"/>
      <c r="I1715" s="4"/>
      <c r="J1715" s="18"/>
      <c r="K1715" s="4"/>
      <c r="L1715" s="19"/>
      <c r="M1715" s="20"/>
    </row>
    <row r="1716">
      <c r="A1716" s="6"/>
      <c r="B1716" s="6"/>
      <c r="C1716" s="4"/>
      <c r="D1716" s="36">
        <v>0.0</v>
      </c>
      <c r="E1716" s="4"/>
      <c r="F1716" s="4"/>
      <c r="G1716" s="4"/>
      <c r="H1716" s="4"/>
      <c r="I1716" s="4"/>
      <c r="J1716" s="18"/>
      <c r="K1716" s="4"/>
      <c r="L1716" s="19"/>
      <c r="M1716" s="20"/>
    </row>
    <row r="1717">
      <c r="A1717" s="6"/>
      <c r="B1717" s="6"/>
      <c r="C1717" s="4"/>
      <c r="D1717" s="36">
        <v>0.0</v>
      </c>
      <c r="E1717" s="4"/>
      <c r="F1717" s="4"/>
      <c r="G1717" s="4"/>
      <c r="H1717" s="4"/>
      <c r="I1717" s="4"/>
      <c r="J1717" s="18"/>
      <c r="K1717" s="4"/>
      <c r="L1717" s="19"/>
      <c r="M1717" s="20"/>
    </row>
    <row r="1718">
      <c r="A1718" s="6"/>
      <c r="B1718" s="6"/>
      <c r="C1718" s="4"/>
      <c r="D1718" s="36">
        <v>0.0</v>
      </c>
      <c r="E1718" s="4"/>
      <c r="F1718" s="4"/>
      <c r="G1718" s="4"/>
      <c r="H1718" s="4"/>
      <c r="I1718" s="4"/>
      <c r="J1718" s="18"/>
      <c r="K1718" s="4"/>
      <c r="L1718" s="19"/>
      <c r="M1718" s="20"/>
    </row>
    <row r="1719">
      <c r="A1719" s="6"/>
      <c r="B1719" s="6"/>
      <c r="C1719" s="4"/>
      <c r="D1719" s="36">
        <v>0.0</v>
      </c>
      <c r="E1719" s="4"/>
      <c r="F1719" s="4"/>
      <c r="G1719" s="4"/>
      <c r="H1719" s="4"/>
      <c r="I1719" s="4"/>
      <c r="J1719" s="18"/>
      <c r="K1719" s="4"/>
      <c r="L1719" s="19"/>
      <c r="M1719" s="20"/>
    </row>
    <row r="1720">
      <c r="A1720" s="6"/>
      <c r="B1720" s="6"/>
      <c r="C1720" s="4"/>
      <c r="D1720" s="36">
        <v>0.0</v>
      </c>
      <c r="E1720" s="4"/>
      <c r="F1720" s="4"/>
      <c r="G1720" s="4"/>
      <c r="H1720" s="4"/>
      <c r="I1720" s="4"/>
      <c r="J1720" s="18"/>
      <c r="K1720" s="4"/>
      <c r="L1720" s="19"/>
      <c r="M1720" s="20"/>
    </row>
    <row r="1721">
      <c r="A1721" s="6"/>
      <c r="B1721" s="6"/>
      <c r="C1721" s="4"/>
      <c r="D1721" s="36">
        <v>0.0</v>
      </c>
      <c r="E1721" s="4"/>
      <c r="F1721" s="4"/>
      <c r="G1721" s="4"/>
      <c r="H1721" s="4"/>
      <c r="I1721" s="4"/>
      <c r="J1721" s="18"/>
      <c r="K1721" s="4"/>
      <c r="L1721" s="19"/>
      <c r="M1721" s="20"/>
    </row>
    <row r="1722">
      <c r="A1722" s="6"/>
      <c r="B1722" s="6"/>
      <c r="C1722" s="4"/>
      <c r="D1722" s="36">
        <v>0.0</v>
      </c>
      <c r="E1722" s="4"/>
      <c r="F1722" s="4"/>
      <c r="G1722" s="4"/>
      <c r="H1722" s="4"/>
      <c r="I1722" s="4"/>
      <c r="J1722" s="18"/>
      <c r="K1722" s="4"/>
      <c r="L1722" s="19"/>
      <c r="M1722" s="20"/>
    </row>
    <row r="1723">
      <c r="A1723" s="6"/>
      <c r="B1723" s="6"/>
      <c r="C1723" s="4"/>
      <c r="D1723" s="36">
        <v>0.0</v>
      </c>
      <c r="E1723" s="4"/>
      <c r="F1723" s="4"/>
      <c r="G1723" s="4"/>
      <c r="H1723" s="4"/>
      <c r="I1723" s="4"/>
      <c r="J1723" s="18"/>
      <c r="K1723" s="4"/>
      <c r="L1723" s="19"/>
      <c r="M1723" s="20"/>
    </row>
    <row r="1724">
      <c r="A1724" s="6"/>
      <c r="B1724" s="6"/>
      <c r="C1724" s="4"/>
      <c r="D1724" s="36">
        <v>0.0</v>
      </c>
      <c r="E1724" s="4"/>
      <c r="F1724" s="4"/>
      <c r="G1724" s="4"/>
      <c r="H1724" s="4"/>
      <c r="I1724" s="4"/>
      <c r="J1724" s="18"/>
      <c r="K1724" s="4"/>
      <c r="L1724" s="19"/>
      <c r="M1724" s="20"/>
    </row>
    <row r="1725">
      <c r="A1725" s="6"/>
      <c r="B1725" s="6"/>
      <c r="C1725" s="4"/>
      <c r="D1725" s="36">
        <v>0.0</v>
      </c>
      <c r="E1725" s="4"/>
      <c r="F1725" s="4"/>
      <c r="G1725" s="4"/>
      <c r="H1725" s="4"/>
      <c r="I1725" s="4"/>
      <c r="J1725" s="18"/>
      <c r="K1725" s="4"/>
      <c r="L1725" s="19"/>
      <c r="M1725" s="20"/>
    </row>
    <row r="1726">
      <c r="A1726" s="6"/>
      <c r="B1726" s="6"/>
      <c r="C1726" s="4"/>
      <c r="D1726" s="36">
        <v>0.0</v>
      </c>
      <c r="E1726" s="4"/>
      <c r="F1726" s="4"/>
      <c r="G1726" s="4"/>
      <c r="H1726" s="4"/>
      <c r="I1726" s="4"/>
      <c r="J1726" s="18"/>
      <c r="K1726" s="4"/>
      <c r="L1726" s="19"/>
      <c r="M1726" s="20"/>
    </row>
    <row r="1727">
      <c r="A1727" s="6"/>
      <c r="B1727" s="6"/>
      <c r="C1727" s="4"/>
      <c r="D1727" s="36">
        <v>0.0</v>
      </c>
      <c r="E1727" s="4"/>
      <c r="F1727" s="4"/>
      <c r="G1727" s="4"/>
      <c r="H1727" s="4"/>
      <c r="I1727" s="4"/>
      <c r="J1727" s="18"/>
      <c r="K1727" s="4"/>
      <c r="L1727" s="19"/>
      <c r="M1727" s="20"/>
    </row>
    <row r="1728">
      <c r="A1728" s="6"/>
      <c r="B1728" s="6"/>
      <c r="C1728" s="4"/>
      <c r="D1728" s="36">
        <v>0.0</v>
      </c>
      <c r="E1728" s="4"/>
      <c r="F1728" s="4"/>
      <c r="G1728" s="4"/>
      <c r="H1728" s="4"/>
      <c r="I1728" s="4"/>
      <c r="J1728" s="18"/>
      <c r="K1728" s="4"/>
      <c r="L1728" s="19"/>
      <c r="M1728" s="20"/>
    </row>
    <row r="1729">
      <c r="A1729" s="6"/>
      <c r="B1729" s="6"/>
      <c r="C1729" s="4"/>
      <c r="D1729" s="36">
        <v>0.0</v>
      </c>
      <c r="E1729" s="4"/>
      <c r="F1729" s="4"/>
      <c r="G1729" s="4"/>
      <c r="H1729" s="4"/>
      <c r="I1729" s="4"/>
      <c r="J1729" s="18"/>
      <c r="K1729" s="4"/>
      <c r="L1729" s="19"/>
      <c r="M1729" s="20"/>
    </row>
    <row r="1730">
      <c r="A1730" s="6"/>
      <c r="B1730" s="6"/>
      <c r="C1730" s="4"/>
      <c r="D1730" s="36">
        <v>0.0</v>
      </c>
      <c r="E1730" s="4"/>
      <c r="F1730" s="4"/>
      <c r="G1730" s="4"/>
      <c r="H1730" s="4"/>
      <c r="I1730" s="4"/>
      <c r="J1730" s="18"/>
      <c r="K1730" s="4"/>
      <c r="L1730" s="19"/>
      <c r="M1730" s="20"/>
    </row>
    <row r="1731">
      <c r="A1731" s="6"/>
      <c r="B1731" s="6"/>
      <c r="C1731" s="4"/>
      <c r="D1731" s="36">
        <v>0.0</v>
      </c>
      <c r="E1731" s="4"/>
      <c r="F1731" s="4"/>
      <c r="G1731" s="4"/>
      <c r="H1731" s="4"/>
      <c r="I1731" s="4"/>
      <c r="J1731" s="18"/>
      <c r="K1731" s="4"/>
      <c r="L1731" s="19"/>
      <c r="M1731" s="20"/>
    </row>
    <row r="1732">
      <c r="A1732" s="6"/>
      <c r="B1732" s="6"/>
      <c r="C1732" s="4"/>
      <c r="D1732" s="36">
        <v>0.0</v>
      </c>
      <c r="E1732" s="4"/>
      <c r="F1732" s="4"/>
      <c r="G1732" s="4"/>
      <c r="H1732" s="4"/>
      <c r="I1732" s="4"/>
      <c r="J1732" s="18"/>
      <c r="K1732" s="4"/>
      <c r="L1732" s="19"/>
      <c r="M1732" s="20"/>
    </row>
    <row r="1733">
      <c r="A1733" s="6"/>
      <c r="B1733" s="6"/>
      <c r="C1733" s="4"/>
      <c r="D1733" s="36">
        <v>0.0</v>
      </c>
      <c r="E1733" s="4"/>
      <c r="F1733" s="4"/>
      <c r="G1733" s="4"/>
      <c r="H1733" s="4"/>
      <c r="I1733" s="4"/>
      <c r="J1733" s="18"/>
      <c r="K1733" s="4"/>
      <c r="L1733" s="19"/>
      <c r="M1733" s="20"/>
    </row>
    <row r="1734">
      <c r="A1734" s="6"/>
      <c r="B1734" s="6"/>
      <c r="C1734" s="4"/>
      <c r="D1734" s="36">
        <v>0.0</v>
      </c>
      <c r="E1734" s="4"/>
      <c r="F1734" s="4"/>
      <c r="G1734" s="4"/>
      <c r="H1734" s="4"/>
      <c r="I1734" s="4"/>
      <c r="J1734" s="18"/>
      <c r="K1734" s="4"/>
      <c r="L1734" s="19"/>
      <c r="M1734" s="20"/>
    </row>
    <row r="1735">
      <c r="A1735" s="6"/>
      <c r="B1735" s="6"/>
      <c r="C1735" s="4"/>
      <c r="D1735" s="36">
        <v>0.0</v>
      </c>
      <c r="E1735" s="4"/>
      <c r="F1735" s="4"/>
      <c r="G1735" s="4"/>
      <c r="H1735" s="4"/>
      <c r="I1735" s="4"/>
      <c r="J1735" s="18"/>
      <c r="K1735" s="4"/>
      <c r="L1735" s="19"/>
      <c r="M1735" s="20"/>
    </row>
    <row r="1736">
      <c r="A1736" s="6"/>
      <c r="B1736" s="6"/>
      <c r="C1736" s="4"/>
      <c r="D1736" s="36">
        <v>0.0</v>
      </c>
      <c r="E1736" s="4"/>
      <c r="F1736" s="4"/>
      <c r="G1736" s="4"/>
      <c r="H1736" s="4"/>
      <c r="I1736" s="4"/>
      <c r="J1736" s="18"/>
      <c r="K1736" s="4"/>
      <c r="L1736" s="19"/>
      <c r="M1736" s="20"/>
    </row>
    <row r="1737">
      <c r="A1737" s="6"/>
      <c r="B1737" s="6"/>
      <c r="C1737" s="4"/>
      <c r="D1737" s="36">
        <v>0.0</v>
      </c>
      <c r="E1737" s="4"/>
      <c r="F1737" s="4"/>
      <c r="G1737" s="4"/>
      <c r="H1737" s="4"/>
      <c r="I1737" s="4"/>
      <c r="J1737" s="18"/>
      <c r="K1737" s="4"/>
      <c r="L1737" s="19"/>
      <c r="M1737" s="20"/>
    </row>
    <row r="1738">
      <c r="A1738" s="6"/>
      <c r="B1738" s="6"/>
      <c r="C1738" s="4"/>
      <c r="D1738" s="36">
        <v>0.0</v>
      </c>
      <c r="E1738" s="4"/>
      <c r="F1738" s="4"/>
      <c r="G1738" s="4"/>
      <c r="H1738" s="4"/>
      <c r="I1738" s="4"/>
      <c r="J1738" s="18"/>
      <c r="K1738" s="4"/>
      <c r="L1738" s="19"/>
      <c r="M1738" s="20"/>
    </row>
    <row r="1739">
      <c r="A1739" s="6"/>
      <c r="B1739" s="6"/>
      <c r="C1739" s="4"/>
      <c r="D1739" s="36">
        <v>0.0</v>
      </c>
      <c r="E1739" s="4"/>
      <c r="F1739" s="4"/>
      <c r="G1739" s="4"/>
      <c r="H1739" s="4"/>
      <c r="I1739" s="4"/>
      <c r="J1739" s="18"/>
      <c r="K1739" s="4"/>
      <c r="L1739" s="19"/>
      <c r="M1739" s="20"/>
    </row>
    <row r="1740">
      <c r="A1740" s="6"/>
      <c r="B1740" s="6"/>
      <c r="C1740" s="4"/>
      <c r="D1740" s="36">
        <v>0.0</v>
      </c>
      <c r="E1740" s="4"/>
      <c r="F1740" s="4"/>
      <c r="G1740" s="4"/>
      <c r="H1740" s="4"/>
      <c r="I1740" s="4"/>
      <c r="J1740" s="18"/>
      <c r="K1740" s="4"/>
      <c r="L1740" s="19"/>
      <c r="M1740" s="20"/>
    </row>
    <row r="1741">
      <c r="A1741" s="6"/>
      <c r="B1741" s="6"/>
      <c r="C1741" s="4"/>
      <c r="D1741" s="36">
        <v>0.0</v>
      </c>
      <c r="E1741" s="4"/>
      <c r="F1741" s="4"/>
      <c r="G1741" s="4"/>
      <c r="H1741" s="4"/>
      <c r="I1741" s="4"/>
      <c r="J1741" s="18"/>
      <c r="K1741" s="4"/>
      <c r="L1741" s="19"/>
      <c r="M1741" s="20"/>
    </row>
    <row r="1742">
      <c r="A1742" s="6"/>
      <c r="B1742" s="6"/>
      <c r="C1742" s="4"/>
      <c r="D1742" s="36">
        <v>0.0</v>
      </c>
      <c r="E1742" s="4"/>
      <c r="F1742" s="4"/>
      <c r="G1742" s="4"/>
      <c r="H1742" s="4"/>
      <c r="I1742" s="4"/>
      <c r="J1742" s="18"/>
      <c r="K1742" s="4"/>
      <c r="L1742" s="19"/>
      <c r="M1742" s="20"/>
    </row>
    <row r="1743">
      <c r="A1743" s="6"/>
      <c r="B1743" s="6"/>
      <c r="C1743" s="4"/>
      <c r="D1743" s="36">
        <v>0.0</v>
      </c>
      <c r="E1743" s="4"/>
      <c r="F1743" s="4"/>
      <c r="G1743" s="4"/>
      <c r="H1743" s="4"/>
      <c r="I1743" s="4"/>
      <c r="J1743" s="18"/>
      <c r="K1743" s="4"/>
      <c r="L1743" s="19"/>
      <c r="M1743" s="20"/>
    </row>
    <row r="1744">
      <c r="A1744" s="6"/>
      <c r="B1744" s="6"/>
      <c r="C1744" s="4"/>
      <c r="D1744" s="36">
        <v>0.0</v>
      </c>
      <c r="E1744" s="4"/>
      <c r="F1744" s="4"/>
      <c r="G1744" s="4"/>
      <c r="H1744" s="4"/>
      <c r="I1744" s="4"/>
      <c r="J1744" s="18"/>
      <c r="K1744" s="4"/>
      <c r="L1744" s="19"/>
      <c r="M1744" s="20"/>
    </row>
    <row r="1745">
      <c r="A1745" s="6"/>
      <c r="B1745" s="6"/>
      <c r="C1745" s="4"/>
      <c r="D1745" s="36">
        <v>0.0</v>
      </c>
      <c r="E1745" s="4"/>
      <c r="F1745" s="4"/>
      <c r="G1745" s="4"/>
      <c r="H1745" s="4"/>
      <c r="I1745" s="4"/>
      <c r="J1745" s="18"/>
      <c r="K1745" s="4"/>
      <c r="L1745" s="19"/>
      <c r="M1745" s="20"/>
    </row>
    <row r="1746">
      <c r="A1746" s="6"/>
      <c r="B1746" s="6"/>
      <c r="C1746" s="4"/>
      <c r="D1746" s="36">
        <v>0.0</v>
      </c>
      <c r="E1746" s="4"/>
      <c r="F1746" s="4"/>
      <c r="G1746" s="4"/>
      <c r="H1746" s="4"/>
      <c r="I1746" s="4"/>
      <c r="J1746" s="18"/>
      <c r="K1746" s="4"/>
      <c r="L1746" s="19"/>
      <c r="M1746" s="20"/>
    </row>
    <row r="1747">
      <c r="A1747" s="6"/>
      <c r="B1747" s="6"/>
      <c r="C1747" s="4"/>
      <c r="D1747" s="36">
        <v>0.0</v>
      </c>
      <c r="E1747" s="4"/>
      <c r="F1747" s="4"/>
      <c r="G1747" s="4"/>
      <c r="H1747" s="4"/>
      <c r="I1747" s="4"/>
      <c r="J1747" s="18"/>
      <c r="K1747" s="4"/>
      <c r="L1747" s="19"/>
      <c r="M1747" s="20"/>
    </row>
    <row r="1748">
      <c r="A1748" s="6"/>
      <c r="B1748" s="6"/>
      <c r="C1748" s="4"/>
      <c r="D1748" s="36">
        <v>0.0</v>
      </c>
      <c r="E1748" s="4"/>
      <c r="F1748" s="4"/>
      <c r="G1748" s="4"/>
      <c r="H1748" s="4"/>
      <c r="I1748" s="4"/>
      <c r="J1748" s="18"/>
      <c r="K1748" s="4"/>
      <c r="L1748" s="19"/>
      <c r="M1748" s="20"/>
    </row>
    <row r="1749">
      <c r="A1749" s="6"/>
      <c r="B1749" s="6"/>
      <c r="C1749" s="4"/>
      <c r="D1749" s="36">
        <v>0.0</v>
      </c>
      <c r="E1749" s="4"/>
      <c r="F1749" s="4"/>
      <c r="G1749" s="4"/>
      <c r="H1749" s="4"/>
      <c r="I1749" s="4"/>
      <c r="J1749" s="18"/>
      <c r="K1749" s="4"/>
      <c r="L1749" s="19"/>
      <c r="M1749" s="20"/>
    </row>
    <row r="1750">
      <c r="A1750" s="6"/>
      <c r="B1750" s="6"/>
      <c r="C1750" s="4"/>
      <c r="D1750" s="36">
        <v>0.0</v>
      </c>
      <c r="E1750" s="4"/>
      <c r="F1750" s="4"/>
      <c r="G1750" s="4"/>
      <c r="H1750" s="4"/>
      <c r="I1750" s="4"/>
      <c r="J1750" s="18"/>
      <c r="K1750" s="4"/>
      <c r="L1750" s="19"/>
      <c r="M1750" s="20"/>
    </row>
    <row r="1751">
      <c r="A1751" s="6"/>
      <c r="B1751" s="6"/>
      <c r="C1751" s="4"/>
      <c r="D1751" s="36">
        <v>0.0</v>
      </c>
      <c r="E1751" s="4"/>
      <c r="F1751" s="4"/>
      <c r="G1751" s="4"/>
      <c r="H1751" s="4"/>
      <c r="I1751" s="4"/>
      <c r="J1751" s="18"/>
      <c r="K1751" s="4"/>
      <c r="L1751" s="19"/>
      <c r="M1751" s="20"/>
    </row>
    <row r="1752">
      <c r="A1752" s="6"/>
      <c r="B1752" s="6"/>
      <c r="C1752" s="4"/>
      <c r="D1752" s="36">
        <v>0.0</v>
      </c>
      <c r="E1752" s="4"/>
      <c r="F1752" s="4"/>
      <c r="G1752" s="4"/>
      <c r="H1752" s="4"/>
      <c r="I1752" s="4"/>
      <c r="J1752" s="18"/>
      <c r="K1752" s="4"/>
      <c r="L1752" s="19"/>
      <c r="M1752" s="20"/>
    </row>
    <row r="1753">
      <c r="A1753" s="6"/>
      <c r="B1753" s="6"/>
      <c r="C1753" s="4"/>
      <c r="D1753" s="36">
        <v>0.0</v>
      </c>
      <c r="E1753" s="4"/>
      <c r="F1753" s="4"/>
      <c r="G1753" s="4"/>
      <c r="H1753" s="4"/>
      <c r="I1753" s="4"/>
      <c r="J1753" s="18"/>
      <c r="K1753" s="4"/>
      <c r="L1753" s="19"/>
      <c r="M1753" s="20"/>
    </row>
    <row r="1754">
      <c r="A1754" s="6"/>
      <c r="B1754" s="6"/>
      <c r="C1754" s="4"/>
      <c r="D1754" s="36">
        <v>0.0</v>
      </c>
      <c r="E1754" s="4"/>
      <c r="F1754" s="4"/>
      <c r="G1754" s="4"/>
      <c r="H1754" s="4"/>
      <c r="I1754" s="4"/>
      <c r="J1754" s="18"/>
      <c r="K1754" s="4"/>
      <c r="L1754" s="19"/>
      <c r="M1754" s="20"/>
    </row>
    <row r="1755">
      <c r="A1755" s="6"/>
      <c r="B1755" s="6"/>
      <c r="C1755" s="4"/>
      <c r="D1755" s="36">
        <v>0.0</v>
      </c>
      <c r="E1755" s="4"/>
      <c r="F1755" s="4"/>
      <c r="G1755" s="4"/>
      <c r="H1755" s="4"/>
      <c r="I1755" s="4"/>
      <c r="J1755" s="18"/>
      <c r="K1755" s="4"/>
      <c r="L1755" s="19"/>
      <c r="M1755" s="20"/>
    </row>
    <row r="1756">
      <c r="A1756" s="6"/>
      <c r="B1756" s="6"/>
      <c r="C1756" s="4"/>
      <c r="D1756" s="36">
        <v>0.0</v>
      </c>
      <c r="E1756" s="4"/>
      <c r="F1756" s="4"/>
      <c r="G1756" s="4"/>
      <c r="H1756" s="4"/>
      <c r="I1756" s="4"/>
      <c r="J1756" s="18"/>
      <c r="K1756" s="4"/>
      <c r="L1756" s="19"/>
      <c r="M1756" s="20"/>
    </row>
    <row r="1757">
      <c r="A1757" s="6"/>
      <c r="B1757" s="6"/>
      <c r="C1757" s="4"/>
      <c r="D1757" s="36">
        <v>0.0</v>
      </c>
      <c r="E1757" s="4"/>
      <c r="F1757" s="4"/>
      <c r="G1757" s="4"/>
      <c r="H1757" s="4"/>
      <c r="I1757" s="4"/>
      <c r="J1757" s="18"/>
      <c r="K1757" s="4"/>
      <c r="L1757" s="19"/>
      <c r="M1757" s="20"/>
    </row>
    <row r="1758">
      <c r="A1758" s="6"/>
      <c r="B1758" s="6"/>
      <c r="C1758" s="4"/>
      <c r="D1758" s="36">
        <v>0.0</v>
      </c>
      <c r="E1758" s="4"/>
      <c r="F1758" s="4"/>
      <c r="G1758" s="4"/>
      <c r="H1758" s="4"/>
      <c r="I1758" s="4"/>
      <c r="J1758" s="18"/>
      <c r="K1758" s="4"/>
      <c r="L1758" s="19"/>
      <c r="M1758" s="20"/>
    </row>
    <row r="1759">
      <c r="A1759" s="6"/>
      <c r="B1759" s="6"/>
      <c r="C1759" s="4"/>
      <c r="D1759" s="36">
        <v>0.0</v>
      </c>
      <c r="E1759" s="4"/>
      <c r="F1759" s="4"/>
      <c r="G1759" s="4"/>
      <c r="H1759" s="4"/>
      <c r="I1759" s="4"/>
      <c r="J1759" s="18"/>
      <c r="K1759" s="4"/>
      <c r="L1759" s="19"/>
      <c r="M1759" s="20"/>
    </row>
    <row r="1760">
      <c r="A1760" s="6"/>
      <c r="B1760" s="6"/>
      <c r="C1760" s="4"/>
      <c r="D1760" s="36">
        <v>0.0</v>
      </c>
      <c r="E1760" s="4"/>
      <c r="F1760" s="4"/>
      <c r="G1760" s="4"/>
      <c r="H1760" s="4"/>
      <c r="I1760" s="4"/>
      <c r="J1760" s="18"/>
      <c r="K1760" s="4"/>
      <c r="L1760" s="19"/>
      <c r="M1760" s="20"/>
    </row>
    <row r="1761">
      <c r="A1761" s="6"/>
      <c r="B1761" s="6"/>
      <c r="C1761" s="4"/>
      <c r="D1761" s="36">
        <v>0.0</v>
      </c>
      <c r="E1761" s="4"/>
      <c r="F1761" s="4"/>
      <c r="G1761" s="4"/>
      <c r="H1761" s="4"/>
      <c r="I1761" s="4"/>
      <c r="J1761" s="18"/>
      <c r="K1761" s="4"/>
      <c r="L1761" s="19"/>
      <c r="M1761" s="20"/>
    </row>
    <row r="1762">
      <c r="A1762" s="6"/>
      <c r="B1762" s="6"/>
      <c r="C1762" s="4"/>
      <c r="D1762" s="36">
        <v>0.0</v>
      </c>
      <c r="E1762" s="4"/>
      <c r="F1762" s="4"/>
      <c r="G1762" s="4"/>
      <c r="H1762" s="4"/>
      <c r="I1762" s="4"/>
      <c r="J1762" s="18"/>
      <c r="K1762" s="4"/>
      <c r="L1762" s="19"/>
      <c r="M1762" s="20"/>
    </row>
    <row r="1763">
      <c r="A1763" s="6"/>
      <c r="B1763" s="6"/>
      <c r="C1763" s="4"/>
      <c r="D1763" s="36">
        <v>0.0</v>
      </c>
      <c r="E1763" s="4"/>
      <c r="F1763" s="4"/>
      <c r="G1763" s="4"/>
      <c r="H1763" s="4"/>
      <c r="I1763" s="4"/>
      <c r="J1763" s="18"/>
      <c r="K1763" s="4"/>
      <c r="L1763" s="19"/>
      <c r="M1763" s="20"/>
    </row>
    <row r="1764">
      <c r="A1764" s="6"/>
      <c r="B1764" s="6"/>
      <c r="C1764" s="4"/>
      <c r="D1764" s="36">
        <v>0.0</v>
      </c>
      <c r="E1764" s="4"/>
      <c r="F1764" s="4"/>
      <c r="G1764" s="4"/>
      <c r="H1764" s="4"/>
      <c r="I1764" s="4"/>
      <c r="J1764" s="18"/>
      <c r="K1764" s="4"/>
      <c r="L1764" s="19"/>
      <c r="M1764" s="20"/>
    </row>
    <row r="1765">
      <c r="A1765" s="6"/>
      <c r="B1765" s="6"/>
      <c r="C1765" s="4"/>
      <c r="D1765" s="36">
        <v>0.0</v>
      </c>
      <c r="E1765" s="4"/>
      <c r="F1765" s="4"/>
      <c r="G1765" s="4"/>
      <c r="H1765" s="4"/>
      <c r="I1765" s="4"/>
      <c r="J1765" s="18"/>
      <c r="K1765" s="4"/>
      <c r="L1765" s="19"/>
      <c r="M1765" s="20"/>
    </row>
    <row r="1766">
      <c r="A1766" s="6"/>
      <c r="B1766" s="6"/>
      <c r="C1766" s="4"/>
      <c r="D1766" s="36">
        <v>0.0</v>
      </c>
      <c r="E1766" s="4"/>
      <c r="F1766" s="4"/>
      <c r="G1766" s="4"/>
      <c r="H1766" s="4"/>
      <c r="I1766" s="4"/>
      <c r="J1766" s="18"/>
      <c r="K1766" s="4"/>
      <c r="L1766" s="19"/>
      <c r="M1766" s="20"/>
    </row>
    <row r="1767">
      <c r="A1767" s="6"/>
      <c r="B1767" s="6"/>
      <c r="C1767" s="4"/>
      <c r="D1767" s="36">
        <v>0.0</v>
      </c>
      <c r="E1767" s="4"/>
      <c r="F1767" s="4"/>
      <c r="G1767" s="4"/>
      <c r="H1767" s="4"/>
      <c r="I1767" s="4"/>
      <c r="J1767" s="18"/>
      <c r="K1767" s="4"/>
      <c r="L1767" s="19"/>
      <c r="M1767" s="20"/>
    </row>
    <row r="1768">
      <c r="A1768" s="6"/>
      <c r="B1768" s="6"/>
      <c r="C1768" s="4"/>
      <c r="D1768" s="36">
        <v>0.0</v>
      </c>
      <c r="E1768" s="4"/>
      <c r="F1768" s="4"/>
      <c r="G1768" s="4"/>
      <c r="H1768" s="4"/>
      <c r="I1768" s="4"/>
      <c r="J1768" s="18"/>
      <c r="K1768" s="4"/>
      <c r="L1768" s="19"/>
      <c r="M1768" s="20"/>
    </row>
    <row r="1769">
      <c r="A1769" s="6"/>
      <c r="B1769" s="6"/>
      <c r="C1769" s="4"/>
      <c r="D1769" s="36">
        <v>0.0</v>
      </c>
      <c r="E1769" s="4"/>
      <c r="F1769" s="4"/>
      <c r="G1769" s="4"/>
      <c r="H1769" s="4"/>
      <c r="I1769" s="4"/>
      <c r="J1769" s="18"/>
      <c r="K1769" s="4"/>
      <c r="L1769" s="19"/>
      <c r="M1769" s="20"/>
    </row>
    <row r="1770">
      <c r="A1770" s="6"/>
      <c r="B1770" s="6"/>
      <c r="C1770" s="4"/>
      <c r="D1770" s="36">
        <v>0.0</v>
      </c>
      <c r="E1770" s="4"/>
      <c r="F1770" s="4"/>
      <c r="G1770" s="4"/>
      <c r="H1770" s="4"/>
      <c r="I1770" s="4"/>
      <c r="J1770" s="18"/>
      <c r="K1770" s="4"/>
      <c r="L1770" s="19"/>
      <c r="M1770" s="20"/>
    </row>
    <row r="1771">
      <c r="A1771" s="6"/>
      <c r="B1771" s="6"/>
      <c r="C1771" s="4"/>
      <c r="D1771" s="36">
        <v>0.0</v>
      </c>
      <c r="E1771" s="4"/>
      <c r="F1771" s="4"/>
      <c r="G1771" s="4"/>
      <c r="H1771" s="4"/>
      <c r="I1771" s="4"/>
      <c r="J1771" s="18"/>
      <c r="K1771" s="4"/>
      <c r="L1771" s="19"/>
      <c r="M1771" s="20"/>
    </row>
    <row r="1772">
      <c r="A1772" s="6"/>
      <c r="B1772" s="6"/>
      <c r="C1772" s="4"/>
      <c r="D1772" s="36">
        <v>0.0</v>
      </c>
      <c r="E1772" s="4"/>
      <c r="F1772" s="4"/>
      <c r="G1772" s="4"/>
      <c r="H1772" s="4"/>
      <c r="I1772" s="4"/>
      <c r="J1772" s="18"/>
      <c r="K1772" s="4"/>
      <c r="L1772" s="19"/>
      <c r="M1772" s="20"/>
    </row>
    <row r="1773">
      <c r="A1773" s="6"/>
      <c r="B1773" s="6"/>
      <c r="C1773" s="4"/>
      <c r="D1773" s="36">
        <v>0.0</v>
      </c>
      <c r="E1773" s="4"/>
      <c r="F1773" s="4"/>
      <c r="G1773" s="4"/>
      <c r="H1773" s="4"/>
      <c r="I1773" s="4"/>
      <c r="J1773" s="18"/>
      <c r="K1773" s="4"/>
      <c r="L1773" s="19"/>
      <c r="M1773" s="20"/>
    </row>
    <row r="1774">
      <c r="A1774" s="6"/>
      <c r="B1774" s="6"/>
      <c r="C1774" s="4"/>
      <c r="D1774" s="36">
        <v>0.0</v>
      </c>
      <c r="E1774" s="4"/>
      <c r="F1774" s="4"/>
      <c r="G1774" s="4"/>
      <c r="H1774" s="4"/>
      <c r="I1774" s="4"/>
      <c r="J1774" s="18"/>
      <c r="K1774" s="4"/>
      <c r="L1774" s="19"/>
      <c r="M1774" s="20"/>
    </row>
    <row r="1775">
      <c r="A1775" s="6"/>
      <c r="B1775" s="6"/>
      <c r="C1775" s="4"/>
      <c r="D1775" s="36">
        <v>0.0</v>
      </c>
      <c r="E1775" s="4"/>
      <c r="F1775" s="4"/>
      <c r="G1775" s="4"/>
      <c r="H1775" s="4"/>
      <c r="I1775" s="4"/>
      <c r="J1775" s="18"/>
      <c r="K1775" s="4"/>
      <c r="L1775" s="19"/>
      <c r="M1775" s="20"/>
    </row>
    <row r="1776">
      <c r="A1776" s="6"/>
      <c r="B1776" s="6"/>
      <c r="C1776" s="4"/>
      <c r="D1776" s="36">
        <v>0.0</v>
      </c>
      <c r="E1776" s="4"/>
      <c r="F1776" s="4"/>
      <c r="G1776" s="4"/>
      <c r="H1776" s="4"/>
      <c r="I1776" s="4"/>
      <c r="J1776" s="18"/>
      <c r="K1776" s="4"/>
      <c r="L1776" s="19"/>
      <c r="M1776" s="20"/>
    </row>
    <row r="1777">
      <c r="A1777" s="6"/>
      <c r="B1777" s="6"/>
      <c r="C1777" s="4"/>
      <c r="D1777" s="36">
        <v>0.0</v>
      </c>
      <c r="E1777" s="4"/>
      <c r="F1777" s="4"/>
      <c r="G1777" s="4"/>
      <c r="H1777" s="4"/>
      <c r="I1777" s="4"/>
      <c r="J1777" s="18"/>
      <c r="K1777" s="4"/>
      <c r="L1777" s="19"/>
      <c r="M1777" s="20"/>
    </row>
    <row r="1778">
      <c r="A1778" s="6"/>
      <c r="B1778" s="6"/>
      <c r="C1778" s="4"/>
      <c r="D1778" s="36">
        <v>0.0</v>
      </c>
      <c r="E1778" s="4"/>
      <c r="F1778" s="4"/>
      <c r="G1778" s="4"/>
      <c r="H1778" s="4"/>
      <c r="I1778" s="4"/>
      <c r="J1778" s="18"/>
      <c r="K1778" s="4"/>
      <c r="L1778" s="19"/>
      <c r="M1778" s="20"/>
    </row>
    <row r="1779">
      <c r="A1779" s="6"/>
      <c r="B1779" s="6"/>
      <c r="C1779" s="4"/>
      <c r="D1779" s="36">
        <v>0.0</v>
      </c>
      <c r="E1779" s="4"/>
      <c r="F1779" s="4"/>
      <c r="G1779" s="4"/>
      <c r="H1779" s="4"/>
      <c r="I1779" s="4"/>
      <c r="J1779" s="18"/>
      <c r="K1779" s="4"/>
      <c r="L1779" s="19"/>
      <c r="M1779" s="20"/>
    </row>
    <row r="1780">
      <c r="A1780" s="6"/>
      <c r="B1780" s="6"/>
      <c r="C1780" s="4"/>
      <c r="D1780" s="36">
        <v>0.0</v>
      </c>
      <c r="E1780" s="4"/>
      <c r="F1780" s="4"/>
      <c r="G1780" s="4"/>
      <c r="H1780" s="4"/>
      <c r="I1780" s="4"/>
      <c r="J1780" s="18"/>
      <c r="K1780" s="4"/>
      <c r="L1780" s="19"/>
      <c r="M1780" s="20"/>
    </row>
    <row r="1781">
      <c r="A1781" s="6"/>
      <c r="B1781" s="6"/>
      <c r="C1781" s="4"/>
      <c r="D1781" s="36">
        <v>0.0</v>
      </c>
      <c r="E1781" s="4"/>
      <c r="F1781" s="4"/>
      <c r="G1781" s="4"/>
      <c r="H1781" s="4"/>
      <c r="I1781" s="4"/>
      <c r="J1781" s="18"/>
      <c r="K1781" s="4"/>
      <c r="L1781" s="19"/>
      <c r="M1781" s="20"/>
    </row>
    <row r="1782">
      <c r="A1782" s="6"/>
      <c r="B1782" s="6"/>
      <c r="C1782" s="4"/>
      <c r="D1782" s="36">
        <v>0.0</v>
      </c>
      <c r="E1782" s="4"/>
      <c r="F1782" s="4"/>
      <c r="G1782" s="4"/>
      <c r="H1782" s="4"/>
      <c r="I1782" s="4"/>
      <c r="J1782" s="18"/>
      <c r="K1782" s="4"/>
      <c r="L1782" s="19"/>
      <c r="M1782" s="20"/>
    </row>
    <row r="1783">
      <c r="A1783" s="6"/>
      <c r="B1783" s="6"/>
      <c r="C1783" s="4"/>
      <c r="D1783" s="36">
        <v>0.0</v>
      </c>
      <c r="E1783" s="4"/>
      <c r="F1783" s="4"/>
      <c r="G1783" s="4"/>
      <c r="H1783" s="4"/>
      <c r="I1783" s="4"/>
      <c r="J1783" s="18"/>
      <c r="K1783" s="4"/>
      <c r="L1783" s="19"/>
      <c r="M1783" s="20"/>
    </row>
    <row r="1784">
      <c r="A1784" s="6"/>
      <c r="B1784" s="6"/>
      <c r="C1784" s="4"/>
      <c r="D1784" s="36">
        <v>0.0</v>
      </c>
      <c r="E1784" s="4"/>
      <c r="F1784" s="4"/>
      <c r="G1784" s="4"/>
      <c r="H1784" s="4"/>
      <c r="I1784" s="4"/>
      <c r="J1784" s="18"/>
      <c r="K1784" s="4"/>
      <c r="L1784" s="19"/>
      <c r="M1784" s="20"/>
    </row>
    <row r="1785">
      <c r="A1785" s="6"/>
      <c r="B1785" s="6"/>
      <c r="C1785" s="4"/>
      <c r="D1785" s="36">
        <v>0.0</v>
      </c>
      <c r="E1785" s="4"/>
      <c r="F1785" s="4"/>
      <c r="G1785" s="4"/>
      <c r="H1785" s="4"/>
      <c r="I1785" s="4"/>
      <c r="J1785" s="18"/>
      <c r="K1785" s="4"/>
      <c r="L1785" s="19"/>
      <c r="M1785" s="20"/>
    </row>
    <row r="1786">
      <c r="A1786" s="6"/>
      <c r="B1786" s="6"/>
      <c r="C1786" s="4"/>
      <c r="D1786" s="36">
        <v>0.0</v>
      </c>
      <c r="E1786" s="4"/>
      <c r="F1786" s="4"/>
      <c r="G1786" s="4"/>
      <c r="H1786" s="4"/>
      <c r="I1786" s="4"/>
      <c r="J1786" s="18"/>
      <c r="K1786" s="4"/>
      <c r="L1786" s="19"/>
      <c r="M1786" s="20"/>
    </row>
    <row r="1787">
      <c r="A1787" s="6"/>
      <c r="B1787" s="6"/>
      <c r="C1787" s="4"/>
      <c r="D1787" s="36">
        <v>0.0</v>
      </c>
      <c r="E1787" s="4"/>
      <c r="F1787" s="4"/>
      <c r="G1787" s="4"/>
      <c r="H1787" s="4"/>
      <c r="I1787" s="4"/>
      <c r="J1787" s="18"/>
      <c r="K1787" s="4"/>
      <c r="L1787" s="19"/>
      <c r="M1787" s="20"/>
    </row>
    <row r="1788">
      <c r="A1788" s="6"/>
      <c r="B1788" s="6"/>
      <c r="C1788" s="4"/>
      <c r="D1788" s="36">
        <v>0.0</v>
      </c>
      <c r="E1788" s="4"/>
      <c r="F1788" s="4"/>
      <c r="G1788" s="4"/>
      <c r="H1788" s="4"/>
      <c r="I1788" s="4"/>
      <c r="J1788" s="18"/>
      <c r="K1788" s="4"/>
      <c r="L1788" s="19"/>
      <c r="M1788" s="20"/>
    </row>
    <row r="1789">
      <c r="A1789" s="6"/>
      <c r="B1789" s="6"/>
      <c r="C1789" s="4"/>
      <c r="D1789" s="36">
        <v>0.0</v>
      </c>
      <c r="E1789" s="4"/>
      <c r="F1789" s="4"/>
      <c r="G1789" s="4"/>
      <c r="H1789" s="4"/>
      <c r="I1789" s="4"/>
      <c r="J1789" s="18"/>
      <c r="K1789" s="4"/>
      <c r="L1789" s="19"/>
      <c r="M1789" s="20"/>
    </row>
    <row r="1790">
      <c r="A1790" s="6"/>
      <c r="B1790" s="6"/>
      <c r="C1790" s="4"/>
      <c r="D1790" s="36">
        <v>0.0</v>
      </c>
      <c r="E1790" s="4"/>
      <c r="F1790" s="4"/>
      <c r="G1790" s="4"/>
      <c r="H1790" s="4"/>
      <c r="I1790" s="4"/>
      <c r="J1790" s="18"/>
      <c r="K1790" s="4"/>
      <c r="L1790" s="19"/>
      <c r="M1790" s="20"/>
    </row>
    <row r="1791">
      <c r="A1791" s="6"/>
      <c r="B1791" s="6"/>
      <c r="C1791" s="4"/>
      <c r="D1791" s="36">
        <v>0.0</v>
      </c>
      <c r="E1791" s="4"/>
      <c r="F1791" s="4"/>
      <c r="G1791" s="4"/>
      <c r="H1791" s="4"/>
      <c r="I1791" s="4"/>
      <c r="J1791" s="18"/>
      <c r="K1791" s="4"/>
      <c r="L1791" s="19"/>
      <c r="M1791" s="20"/>
    </row>
    <row r="1792">
      <c r="A1792" s="6"/>
      <c r="B1792" s="6"/>
      <c r="C1792" s="4"/>
      <c r="D1792" s="36">
        <v>0.0</v>
      </c>
      <c r="E1792" s="4"/>
      <c r="F1792" s="4"/>
      <c r="G1792" s="4"/>
      <c r="H1792" s="4"/>
      <c r="I1792" s="4"/>
      <c r="J1792" s="18"/>
      <c r="K1792" s="4"/>
      <c r="L1792" s="19"/>
      <c r="M1792" s="20"/>
    </row>
    <row r="1793">
      <c r="A1793" s="6"/>
      <c r="B1793" s="6"/>
      <c r="C1793" s="4"/>
      <c r="D1793" s="36">
        <v>0.0</v>
      </c>
      <c r="E1793" s="4"/>
      <c r="F1793" s="4"/>
      <c r="G1793" s="4"/>
      <c r="H1793" s="4"/>
      <c r="I1793" s="4"/>
      <c r="J1793" s="18"/>
      <c r="K1793" s="4"/>
      <c r="L1793" s="19"/>
      <c r="M1793" s="20"/>
    </row>
    <row r="1794">
      <c r="A1794" s="6"/>
      <c r="B1794" s="6"/>
      <c r="C1794" s="4"/>
      <c r="D1794" s="36">
        <v>0.0</v>
      </c>
      <c r="E1794" s="4"/>
      <c r="F1794" s="4"/>
      <c r="G1794" s="4"/>
      <c r="H1794" s="4"/>
      <c r="I1794" s="4"/>
      <c r="J1794" s="18"/>
      <c r="K1794" s="4"/>
      <c r="L1794" s="19"/>
      <c r="M1794" s="20"/>
    </row>
    <row r="1795">
      <c r="A1795" s="6"/>
      <c r="B1795" s="6"/>
      <c r="C1795" s="4"/>
      <c r="D1795" s="36">
        <v>0.0</v>
      </c>
      <c r="E1795" s="4"/>
      <c r="F1795" s="4"/>
      <c r="G1795" s="4"/>
      <c r="H1795" s="4"/>
      <c r="I1795" s="4"/>
      <c r="J1795" s="18"/>
      <c r="K1795" s="4"/>
      <c r="L1795" s="19"/>
      <c r="M1795" s="20"/>
    </row>
    <row r="1796">
      <c r="A1796" s="6"/>
      <c r="B1796" s="6"/>
      <c r="C1796" s="4"/>
      <c r="D1796" s="36">
        <v>0.0</v>
      </c>
      <c r="E1796" s="4"/>
      <c r="F1796" s="4"/>
      <c r="G1796" s="4"/>
      <c r="H1796" s="4"/>
      <c r="I1796" s="4"/>
      <c r="J1796" s="18"/>
      <c r="K1796" s="4"/>
      <c r="L1796" s="19"/>
      <c r="M1796" s="20"/>
    </row>
    <row r="1797">
      <c r="A1797" s="6"/>
      <c r="B1797" s="6"/>
      <c r="C1797" s="4"/>
      <c r="D1797" s="36">
        <v>0.0</v>
      </c>
      <c r="E1797" s="4"/>
      <c r="F1797" s="4"/>
      <c r="G1797" s="4"/>
      <c r="H1797" s="4"/>
      <c r="I1797" s="4"/>
      <c r="J1797" s="18"/>
      <c r="K1797" s="4"/>
      <c r="L1797" s="19"/>
      <c r="M1797" s="20"/>
    </row>
    <row r="1798">
      <c r="A1798" s="6"/>
      <c r="B1798" s="6"/>
      <c r="C1798" s="4"/>
      <c r="D1798" s="36">
        <v>0.0</v>
      </c>
      <c r="E1798" s="4"/>
      <c r="F1798" s="4"/>
      <c r="G1798" s="4"/>
      <c r="H1798" s="4"/>
      <c r="I1798" s="4"/>
      <c r="J1798" s="18"/>
      <c r="K1798" s="4"/>
      <c r="L1798" s="19"/>
      <c r="M1798" s="20"/>
    </row>
    <row r="1799">
      <c r="A1799" s="6"/>
      <c r="B1799" s="6"/>
      <c r="C1799" s="4"/>
      <c r="D1799" s="36">
        <v>0.0</v>
      </c>
      <c r="E1799" s="4"/>
      <c r="F1799" s="4"/>
      <c r="G1799" s="4"/>
      <c r="H1799" s="4"/>
      <c r="I1799" s="4"/>
      <c r="J1799" s="18"/>
      <c r="K1799" s="4"/>
      <c r="L1799" s="19"/>
      <c r="M1799" s="20"/>
    </row>
    <row r="1800">
      <c r="A1800" s="6"/>
      <c r="B1800" s="6"/>
      <c r="C1800" s="4"/>
      <c r="D1800" s="36">
        <v>0.0</v>
      </c>
      <c r="E1800" s="4"/>
      <c r="F1800" s="4"/>
      <c r="G1800" s="4"/>
      <c r="H1800" s="4"/>
      <c r="I1800" s="4"/>
      <c r="J1800" s="18"/>
      <c r="K1800" s="4"/>
      <c r="L1800" s="19"/>
      <c r="M1800" s="20"/>
    </row>
    <row r="1801">
      <c r="A1801" s="6"/>
      <c r="B1801" s="6"/>
      <c r="C1801" s="4"/>
      <c r="D1801" s="36">
        <v>0.0</v>
      </c>
      <c r="E1801" s="4"/>
      <c r="F1801" s="4"/>
      <c r="G1801" s="4"/>
      <c r="H1801" s="4"/>
      <c r="I1801" s="4"/>
      <c r="J1801" s="18"/>
      <c r="K1801" s="4"/>
      <c r="L1801" s="19"/>
      <c r="M1801" s="20"/>
    </row>
    <row r="1802">
      <c r="A1802" s="6"/>
      <c r="B1802" s="6"/>
      <c r="C1802" s="4"/>
      <c r="D1802" s="36">
        <v>0.0</v>
      </c>
      <c r="E1802" s="4"/>
      <c r="F1802" s="4"/>
      <c r="G1802" s="4"/>
      <c r="H1802" s="4"/>
      <c r="I1802" s="4"/>
      <c r="J1802" s="18"/>
      <c r="K1802" s="4"/>
      <c r="L1802" s="19"/>
      <c r="M1802" s="20"/>
    </row>
    <row r="1803">
      <c r="A1803" s="6"/>
      <c r="B1803" s="6"/>
      <c r="C1803" s="4"/>
      <c r="D1803" s="36">
        <v>0.0</v>
      </c>
      <c r="E1803" s="4"/>
      <c r="F1803" s="4"/>
      <c r="G1803" s="4"/>
      <c r="H1803" s="4"/>
      <c r="I1803" s="4"/>
      <c r="J1803" s="18"/>
      <c r="K1803" s="4"/>
      <c r="L1803" s="19"/>
      <c r="M1803" s="20"/>
    </row>
    <row r="1804">
      <c r="A1804" s="6"/>
      <c r="B1804" s="6"/>
      <c r="C1804" s="4"/>
      <c r="D1804" s="36">
        <v>0.0</v>
      </c>
      <c r="E1804" s="4"/>
      <c r="F1804" s="4"/>
      <c r="G1804" s="4"/>
      <c r="H1804" s="4"/>
      <c r="I1804" s="4"/>
      <c r="J1804" s="18"/>
      <c r="K1804" s="4"/>
      <c r="L1804" s="19"/>
      <c r="M1804" s="20"/>
    </row>
    <row r="1805">
      <c r="A1805" s="6"/>
      <c r="B1805" s="6"/>
      <c r="C1805" s="4"/>
      <c r="D1805" s="36">
        <v>0.0</v>
      </c>
      <c r="E1805" s="4"/>
      <c r="F1805" s="4"/>
      <c r="G1805" s="4"/>
      <c r="H1805" s="4"/>
      <c r="I1805" s="4"/>
      <c r="J1805" s="18"/>
      <c r="K1805" s="4"/>
      <c r="L1805" s="19"/>
      <c r="M1805" s="20"/>
    </row>
    <row r="1806">
      <c r="A1806" s="6"/>
      <c r="B1806" s="6"/>
      <c r="C1806" s="4"/>
      <c r="D1806" s="36">
        <v>0.0</v>
      </c>
      <c r="E1806" s="4"/>
      <c r="F1806" s="4"/>
      <c r="G1806" s="4"/>
      <c r="H1806" s="4"/>
      <c r="I1806" s="4"/>
      <c r="J1806" s="18"/>
      <c r="K1806" s="4"/>
      <c r="L1806" s="19"/>
      <c r="M1806" s="20"/>
    </row>
    <row r="1807">
      <c r="A1807" s="6"/>
      <c r="B1807" s="6"/>
      <c r="C1807" s="4"/>
      <c r="D1807" s="36">
        <v>0.0</v>
      </c>
      <c r="E1807" s="4"/>
      <c r="F1807" s="4"/>
      <c r="G1807" s="4"/>
      <c r="H1807" s="4"/>
      <c r="I1807" s="4"/>
      <c r="J1807" s="18"/>
      <c r="K1807" s="4"/>
      <c r="L1807" s="19"/>
      <c r="M1807" s="20"/>
    </row>
    <row r="1808">
      <c r="A1808" s="6"/>
      <c r="B1808" s="6"/>
      <c r="C1808" s="4"/>
      <c r="D1808" s="36">
        <v>0.0</v>
      </c>
      <c r="E1808" s="4"/>
      <c r="F1808" s="4"/>
      <c r="G1808" s="4"/>
      <c r="H1808" s="4"/>
      <c r="I1808" s="4"/>
      <c r="J1808" s="18"/>
      <c r="K1808" s="4"/>
      <c r="L1808" s="19"/>
      <c r="M1808" s="20"/>
    </row>
    <row r="1809">
      <c r="A1809" s="6"/>
      <c r="B1809" s="6"/>
      <c r="C1809" s="4"/>
      <c r="D1809" s="36">
        <v>0.0</v>
      </c>
      <c r="E1809" s="4"/>
      <c r="F1809" s="4"/>
      <c r="G1809" s="4"/>
      <c r="H1809" s="4"/>
      <c r="I1809" s="4"/>
      <c r="J1809" s="18"/>
      <c r="K1809" s="4"/>
      <c r="L1809" s="19"/>
      <c r="M1809" s="20"/>
    </row>
    <row r="1810">
      <c r="A1810" s="6"/>
      <c r="B1810" s="6"/>
      <c r="C1810" s="4"/>
      <c r="D1810" s="36">
        <v>0.0</v>
      </c>
      <c r="E1810" s="4"/>
      <c r="F1810" s="4"/>
      <c r="G1810" s="4"/>
      <c r="H1810" s="4"/>
      <c r="I1810" s="4"/>
      <c r="J1810" s="18"/>
      <c r="K1810" s="4"/>
      <c r="L1810" s="19"/>
      <c r="M1810" s="20"/>
    </row>
    <row r="1811">
      <c r="A1811" s="6"/>
      <c r="B1811" s="6"/>
      <c r="C1811" s="4"/>
      <c r="D1811" s="36">
        <v>0.0</v>
      </c>
      <c r="E1811" s="4"/>
      <c r="F1811" s="4"/>
      <c r="G1811" s="4"/>
      <c r="H1811" s="4"/>
      <c r="I1811" s="4"/>
      <c r="J1811" s="18"/>
      <c r="K1811" s="4"/>
      <c r="L1811" s="19"/>
      <c r="M1811" s="20"/>
    </row>
    <row r="1812">
      <c r="A1812" s="6"/>
      <c r="B1812" s="6"/>
      <c r="C1812" s="4"/>
      <c r="D1812" s="36">
        <v>0.0</v>
      </c>
      <c r="E1812" s="4"/>
      <c r="F1812" s="4"/>
      <c r="G1812" s="4"/>
      <c r="H1812" s="4"/>
      <c r="I1812" s="4"/>
      <c r="J1812" s="18"/>
      <c r="K1812" s="4"/>
      <c r="L1812" s="19"/>
      <c r="M1812" s="20"/>
    </row>
    <row r="1813">
      <c r="A1813" s="6"/>
      <c r="B1813" s="6"/>
      <c r="C1813" s="4"/>
      <c r="D1813" s="36">
        <v>0.0</v>
      </c>
      <c r="E1813" s="4"/>
      <c r="F1813" s="4"/>
      <c r="G1813" s="4"/>
      <c r="H1813" s="4"/>
      <c r="I1813" s="4"/>
      <c r="J1813" s="18"/>
      <c r="K1813" s="4"/>
      <c r="L1813" s="19"/>
      <c r="M1813" s="20"/>
    </row>
    <row r="1814">
      <c r="A1814" s="6"/>
      <c r="B1814" s="6"/>
      <c r="C1814" s="4"/>
      <c r="D1814" s="36">
        <v>0.0</v>
      </c>
      <c r="E1814" s="4"/>
      <c r="F1814" s="4"/>
      <c r="G1814" s="4"/>
      <c r="H1814" s="4"/>
      <c r="I1814" s="4"/>
      <c r="J1814" s="18"/>
      <c r="K1814" s="4"/>
      <c r="L1814" s="19"/>
      <c r="M1814" s="20"/>
    </row>
    <row r="1815">
      <c r="A1815" s="6"/>
      <c r="B1815" s="6"/>
      <c r="C1815" s="4"/>
      <c r="D1815" s="36">
        <v>0.0</v>
      </c>
      <c r="E1815" s="4"/>
      <c r="F1815" s="4"/>
      <c r="G1815" s="4"/>
      <c r="H1815" s="4"/>
      <c r="I1815" s="4"/>
      <c r="J1815" s="18"/>
      <c r="K1815" s="4"/>
      <c r="L1815" s="19"/>
      <c r="M1815" s="20"/>
    </row>
    <row r="1816">
      <c r="A1816" s="6"/>
      <c r="B1816" s="6"/>
      <c r="C1816" s="4"/>
      <c r="D1816" s="36">
        <v>0.0</v>
      </c>
      <c r="E1816" s="4"/>
      <c r="F1816" s="4"/>
      <c r="G1816" s="4"/>
      <c r="H1816" s="4"/>
      <c r="I1816" s="4"/>
      <c r="J1816" s="18"/>
      <c r="K1816" s="4"/>
      <c r="L1816" s="19"/>
      <c r="M1816" s="20"/>
    </row>
    <row r="1817">
      <c r="A1817" s="6"/>
      <c r="B1817" s="6"/>
      <c r="C1817" s="4"/>
      <c r="D1817" s="36">
        <v>0.0</v>
      </c>
      <c r="E1817" s="4"/>
      <c r="F1817" s="4"/>
      <c r="G1817" s="4"/>
      <c r="H1817" s="4"/>
      <c r="I1817" s="4"/>
      <c r="J1817" s="18"/>
      <c r="K1817" s="4"/>
      <c r="L1817" s="19"/>
      <c r="M1817" s="20"/>
    </row>
    <row r="1818">
      <c r="A1818" s="6"/>
      <c r="B1818" s="6"/>
      <c r="C1818" s="4"/>
      <c r="D1818" s="36">
        <v>0.0</v>
      </c>
      <c r="E1818" s="4"/>
      <c r="F1818" s="4"/>
      <c r="G1818" s="4"/>
      <c r="H1818" s="4"/>
      <c r="I1818" s="4"/>
      <c r="J1818" s="18"/>
      <c r="K1818" s="4"/>
      <c r="L1818" s="19"/>
      <c r="M1818" s="20"/>
    </row>
    <row r="1819">
      <c r="A1819" s="6"/>
      <c r="B1819" s="6"/>
      <c r="C1819" s="4"/>
      <c r="D1819" s="36">
        <v>0.0</v>
      </c>
      <c r="E1819" s="4"/>
      <c r="F1819" s="4"/>
      <c r="G1819" s="4"/>
      <c r="H1819" s="4"/>
      <c r="I1819" s="4"/>
      <c r="J1819" s="18"/>
      <c r="K1819" s="4"/>
      <c r="L1819" s="19"/>
      <c r="M1819" s="20"/>
    </row>
    <row r="1820">
      <c r="A1820" s="6"/>
      <c r="B1820" s="6"/>
      <c r="C1820" s="4"/>
      <c r="D1820" s="36">
        <v>0.0</v>
      </c>
      <c r="E1820" s="4"/>
      <c r="F1820" s="4"/>
      <c r="G1820" s="4"/>
      <c r="H1820" s="4"/>
      <c r="I1820" s="4"/>
      <c r="J1820" s="18"/>
      <c r="K1820" s="4"/>
      <c r="L1820" s="19"/>
      <c r="M1820" s="20"/>
    </row>
    <row r="1821">
      <c r="A1821" s="6"/>
      <c r="B1821" s="6"/>
      <c r="C1821" s="4"/>
      <c r="D1821" s="36">
        <v>0.0</v>
      </c>
      <c r="E1821" s="4"/>
      <c r="F1821" s="4"/>
      <c r="G1821" s="4"/>
      <c r="H1821" s="4"/>
      <c r="I1821" s="4"/>
      <c r="J1821" s="18"/>
      <c r="K1821" s="4"/>
      <c r="L1821" s="19"/>
      <c r="M1821" s="20"/>
    </row>
    <row r="1822">
      <c r="A1822" s="6"/>
      <c r="B1822" s="6"/>
      <c r="C1822" s="4"/>
      <c r="D1822" s="36">
        <v>0.0</v>
      </c>
      <c r="E1822" s="4"/>
      <c r="F1822" s="4"/>
      <c r="G1822" s="4"/>
      <c r="H1822" s="4"/>
      <c r="I1822" s="4"/>
      <c r="J1822" s="18"/>
      <c r="K1822" s="4"/>
      <c r="L1822" s="19"/>
      <c r="M1822" s="20"/>
    </row>
    <row r="1823">
      <c r="A1823" s="6"/>
      <c r="B1823" s="6"/>
      <c r="C1823" s="4"/>
      <c r="D1823" s="36">
        <v>0.0</v>
      </c>
      <c r="E1823" s="4"/>
      <c r="F1823" s="4"/>
      <c r="G1823" s="4"/>
      <c r="H1823" s="4"/>
      <c r="I1823" s="4"/>
      <c r="J1823" s="18"/>
      <c r="K1823" s="4"/>
      <c r="L1823" s="19"/>
      <c r="M1823" s="20"/>
    </row>
    <row r="1824">
      <c r="A1824" s="6"/>
      <c r="B1824" s="6"/>
      <c r="C1824" s="4"/>
      <c r="D1824" s="36">
        <v>0.0</v>
      </c>
      <c r="E1824" s="4"/>
      <c r="F1824" s="4"/>
      <c r="G1824" s="4"/>
      <c r="H1824" s="4"/>
      <c r="I1824" s="4"/>
      <c r="J1824" s="18"/>
      <c r="K1824" s="4"/>
      <c r="L1824" s="19"/>
      <c r="M1824" s="20"/>
    </row>
    <row r="1825">
      <c r="A1825" s="6"/>
      <c r="B1825" s="6"/>
      <c r="C1825" s="4"/>
      <c r="D1825" s="36">
        <v>0.0</v>
      </c>
      <c r="E1825" s="4"/>
      <c r="F1825" s="4"/>
      <c r="G1825" s="4"/>
      <c r="H1825" s="4"/>
      <c r="I1825" s="4"/>
      <c r="J1825" s="18"/>
      <c r="K1825" s="4"/>
      <c r="L1825" s="19"/>
      <c r="M1825" s="20"/>
    </row>
    <row r="1826">
      <c r="A1826" s="6"/>
      <c r="B1826" s="6"/>
      <c r="C1826" s="4"/>
      <c r="D1826" s="36">
        <v>0.0</v>
      </c>
      <c r="E1826" s="4"/>
      <c r="F1826" s="4"/>
      <c r="G1826" s="4"/>
      <c r="H1826" s="4"/>
      <c r="I1826" s="4"/>
      <c r="J1826" s="18"/>
      <c r="K1826" s="4"/>
      <c r="L1826" s="19"/>
      <c r="M1826" s="20"/>
    </row>
    <row r="1827">
      <c r="A1827" s="6"/>
      <c r="B1827" s="6"/>
      <c r="C1827" s="4"/>
      <c r="D1827" s="36">
        <v>0.0</v>
      </c>
      <c r="E1827" s="4"/>
      <c r="F1827" s="4"/>
      <c r="G1827" s="4"/>
      <c r="H1827" s="4"/>
      <c r="I1827" s="4"/>
      <c r="J1827" s="18"/>
      <c r="K1827" s="4"/>
      <c r="L1827" s="19"/>
      <c r="M1827" s="20"/>
    </row>
    <row r="1828">
      <c r="A1828" s="6"/>
      <c r="B1828" s="6"/>
      <c r="C1828" s="4"/>
      <c r="D1828" s="36">
        <v>0.0</v>
      </c>
      <c r="E1828" s="4"/>
      <c r="F1828" s="4"/>
      <c r="G1828" s="4"/>
      <c r="H1828" s="4"/>
      <c r="I1828" s="4"/>
      <c r="J1828" s="18"/>
      <c r="K1828" s="4"/>
      <c r="L1828" s="19"/>
      <c r="M1828" s="20"/>
    </row>
    <row r="1829">
      <c r="A1829" s="6"/>
      <c r="B1829" s="6"/>
      <c r="C1829" s="4"/>
      <c r="D1829" s="36">
        <v>0.0</v>
      </c>
      <c r="E1829" s="4"/>
      <c r="F1829" s="4"/>
      <c r="G1829" s="4"/>
      <c r="H1829" s="4"/>
      <c r="I1829" s="4"/>
      <c r="J1829" s="18"/>
      <c r="K1829" s="4"/>
      <c r="L1829" s="19"/>
      <c r="M1829" s="20"/>
    </row>
    <row r="1830">
      <c r="A1830" s="6"/>
      <c r="B1830" s="6"/>
      <c r="C1830" s="4"/>
      <c r="D1830" s="36">
        <v>0.0</v>
      </c>
      <c r="E1830" s="4"/>
      <c r="F1830" s="4"/>
      <c r="G1830" s="4"/>
      <c r="H1830" s="4"/>
      <c r="I1830" s="4"/>
      <c r="J1830" s="18"/>
      <c r="K1830" s="4"/>
      <c r="L1830" s="19"/>
      <c r="M1830" s="20"/>
    </row>
    <row r="1831">
      <c r="A1831" s="6"/>
      <c r="B1831" s="6"/>
      <c r="C1831" s="4"/>
      <c r="D1831" s="36">
        <v>0.0</v>
      </c>
      <c r="E1831" s="4"/>
      <c r="F1831" s="4"/>
      <c r="G1831" s="4"/>
      <c r="H1831" s="4"/>
      <c r="I1831" s="4"/>
      <c r="J1831" s="18"/>
      <c r="K1831" s="4"/>
      <c r="L1831" s="19"/>
      <c r="M1831" s="20"/>
    </row>
    <row r="1832">
      <c r="A1832" s="6"/>
      <c r="B1832" s="6"/>
      <c r="C1832" s="4"/>
      <c r="D1832" s="36">
        <v>0.0</v>
      </c>
      <c r="E1832" s="4"/>
      <c r="F1832" s="4"/>
      <c r="G1832" s="4"/>
      <c r="H1832" s="4"/>
      <c r="I1832" s="4"/>
      <c r="J1832" s="18"/>
      <c r="K1832" s="4"/>
      <c r="L1832" s="19"/>
      <c r="M1832" s="20"/>
    </row>
    <row r="1833">
      <c r="A1833" s="6"/>
      <c r="B1833" s="6"/>
      <c r="C1833" s="4"/>
      <c r="D1833" s="36">
        <v>0.0</v>
      </c>
      <c r="E1833" s="4"/>
      <c r="F1833" s="4"/>
      <c r="G1833" s="4"/>
      <c r="H1833" s="4"/>
      <c r="I1833" s="4"/>
      <c r="J1833" s="18"/>
      <c r="K1833" s="4"/>
      <c r="L1833" s="19"/>
      <c r="M1833" s="20"/>
    </row>
    <row r="1834">
      <c r="A1834" s="6"/>
      <c r="B1834" s="6"/>
      <c r="C1834" s="4"/>
      <c r="D1834" s="36">
        <v>0.0</v>
      </c>
      <c r="E1834" s="4"/>
      <c r="F1834" s="4"/>
      <c r="G1834" s="4"/>
      <c r="H1834" s="4"/>
      <c r="I1834" s="4"/>
      <c r="J1834" s="18"/>
      <c r="K1834" s="4"/>
      <c r="L1834" s="19"/>
      <c r="M1834" s="20"/>
    </row>
    <row r="1835">
      <c r="A1835" s="6"/>
      <c r="B1835" s="6"/>
      <c r="C1835" s="4"/>
      <c r="D1835" s="36">
        <v>0.0</v>
      </c>
      <c r="E1835" s="4"/>
      <c r="F1835" s="4"/>
      <c r="G1835" s="4"/>
      <c r="H1835" s="4"/>
      <c r="I1835" s="4"/>
      <c r="J1835" s="18"/>
      <c r="K1835" s="4"/>
      <c r="L1835" s="19"/>
      <c r="M1835" s="20"/>
    </row>
    <row r="1836">
      <c r="A1836" s="6"/>
      <c r="B1836" s="6"/>
      <c r="C1836" s="4"/>
      <c r="D1836" s="36">
        <v>0.0</v>
      </c>
      <c r="E1836" s="4"/>
      <c r="F1836" s="4"/>
      <c r="G1836" s="4"/>
      <c r="H1836" s="4"/>
      <c r="I1836" s="4"/>
      <c r="J1836" s="18"/>
      <c r="K1836" s="4"/>
      <c r="L1836" s="19"/>
      <c r="M1836" s="20"/>
    </row>
    <row r="1837">
      <c r="A1837" s="6"/>
      <c r="B1837" s="6"/>
      <c r="C1837" s="4"/>
      <c r="D1837" s="36">
        <v>0.0</v>
      </c>
      <c r="E1837" s="4"/>
      <c r="F1837" s="4"/>
      <c r="G1837" s="4"/>
      <c r="H1837" s="4"/>
      <c r="I1837" s="4"/>
      <c r="J1837" s="18"/>
      <c r="K1837" s="4"/>
      <c r="L1837" s="19"/>
      <c r="M1837" s="20"/>
    </row>
    <row r="1838">
      <c r="A1838" s="6"/>
      <c r="B1838" s="6"/>
      <c r="C1838" s="4"/>
      <c r="D1838" s="36">
        <v>0.0</v>
      </c>
      <c r="E1838" s="4"/>
      <c r="F1838" s="4"/>
      <c r="G1838" s="4"/>
      <c r="H1838" s="4"/>
      <c r="I1838" s="4"/>
      <c r="J1838" s="18"/>
      <c r="K1838" s="4"/>
      <c r="L1838" s="19"/>
      <c r="M1838" s="20"/>
    </row>
    <row r="1839">
      <c r="A1839" s="6"/>
      <c r="B1839" s="6"/>
      <c r="C1839" s="4"/>
      <c r="D1839" s="36">
        <v>0.0</v>
      </c>
      <c r="E1839" s="4"/>
      <c r="F1839" s="4"/>
      <c r="G1839" s="4"/>
      <c r="H1839" s="4"/>
      <c r="I1839" s="4"/>
      <c r="J1839" s="18"/>
      <c r="K1839" s="4"/>
      <c r="L1839" s="19"/>
      <c r="M1839" s="20"/>
    </row>
    <row r="1840">
      <c r="A1840" s="6"/>
      <c r="B1840" s="6"/>
      <c r="C1840" s="4"/>
      <c r="D1840" s="36">
        <v>0.0</v>
      </c>
      <c r="E1840" s="4"/>
      <c r="F1840" s="4"/>
      <c r="G1840" s="4"/>
      <c r="H1840" s="4"/>
      <c r="I1840" s="4"/>
      <c r="J1840" s="18"/>
      <c r="K1840" s="4"/>
      <c r="L1840" s="19"/>
      <c r="M1840" s="20"/>
    </row>
    <row r="1841">
      <c r="A1841" s="6"/>
      <c r="B1841" s="6"/>
      <c r="C1841" s="4"/>
      <c r="D1841" s="36">
        <v>0.0</v>
      </c>
      <c r="E1841" s="4"/>
      <c r="F1841" s="4"/>
      <c r="G1841" s="4"/>
      <c r="H1841" s="4"/>
      <c r="I1841" s="4"/>
      <c r="J1841" s="18"/>
      <c r="K1841" s="4"/>
      <c r="L1841" s="19"/>
      <c r="M1841" s="20"/>
    </row>
    <row r="1842">
      <c r="A1842" s="6"/>
      <c r="B1842" s="6"/>
      <c r="C1842" s="4"/>
      <c r="D1842" s="36">
        <v>0.0</v>
      </c>
      <c r="E1842" s="4"/>
      <c r="F1842" s="4"/>
      <c r="G1842" s="4"/>
      <c r="H1842" s="4"/>
      <c r="I1842" s="4"/>
      <c r="J1842" s="18"/>
      <c r="K1842" s="4"/>
      <c r="L1842" s="19"/>
      <c r="M1842" s="20"/>
    </row>
    <row r="1843">
      <c r="A1843" s="6"/>
      <c r="B1843" s="6"/>
      <c r="C1843" s="4"/>
      <c r="D1843" s="36">
        <v>0.0</v>
      </c>
      <c r="E1843" s="4"/>
      <c r="F1843" s="4"/>
      <c r="G1843" s="4"/>
      <c r="H1843" s="4"/>
      <c r="I1843" s="4"/>
      <c r="J1843" s="18"/>
      <c r="K1843" s="4"/>
      <c r="L1843" s="19"/>
      <c r="M1843" s="20"/>
    </row>
    <row r="1844">
      <c r="A1844" s="6"/>
      <c r="B1844" s="6"/>
      <c r="C1844" s="4"/>
      <c r="D1844" s="36">
        <v>0.0</v>
      </c>
      <c r="E1844" s="4"/>
      <c r="F1844" s="4"/>
      <c r="G1844" s="4"/>
      <c r="H1844" s="4"/>
      <c r="I1844" s="4"/>
      <c r="J1844" s="18"/>
      <c r="K1844" s="4"/>
      <c r="L1844" s="19"/>
      <c r="M1844" s="20"/>
    </row>
    <row r="1845">
      <c r="A1845" s="6"/>
      <c r="B1845" s="6"/>
      <c r="C1845" s="4"/>
      <c r="D1845" s="36">
        <v>0.0</v>
      </c>
      <c r="E1845" s="4"/>
      <c r="F1845" s="4"/>
      <c r="G1845" s="4"/>
      <c r="H1845" s="4"/>
      <c r="I1845" s="4"/>
      <c r="J1845" s="18"/>
      <c r="K1845" s="4"/>
      <c r="L1845" s="19"/>
      <c r="M1845" s="20"/>
    </row>
    <row r="1846">
      <c r="A1846" s="6"/>
      <c r="B1846" s="6"/>
      <c r="C1846" s="4"/>
      <c r="D1846" s="36">
        <v>0.0</v>
      </c>
      <c r="E1846" s="4"/>
      <c r="F1846" s="4"/>
      <c r="G1846" s="4"/>
      <c r="H1846" s="4"/>
      <c r="I1846" s="4"/>
      <c r="J1846" s="18"/>
      <c r="K1846" s="4"/>
      <c r="L1846" s="19"/>
      <c r="M1846" s="20"/>
    </row>
    <row r="1847">
      <c r="A1847" s="6"/>
      <c r="B1847" s="6"/>
      <c r="C1847" s="4"/>
      <c r="D1847" s="36">
        <v>0.0</v>
      </c>
      <c r="E1847" s="4"/>
      <c r="F1847" s="4"/>
      <c r="G1847" s="4"/>
      <c r="H1847" s="4"/>
      <c r="I1847" s="4"/>
      <c r="J1847" s="18"/>
      <c r="K1847" s="4"/>
      <c r="L1847" s="19"/>
      <c r="M1847" s="20"/>
    </row>
    <row r="1848">
      <c r="A1848" s="6"/>
      <c r="B1848" s="6"/>
      <c r="C1848" s="4"/>
      <c r="D1848" s="36">
        <v>0.0</v>
      </c>
      <c r="E1848" s="4"/>
      <c r="F1848" s="4"/>
      <c r="G1848" s="4"/>
      <c r="H1848" s="4"/>
      <c r="I1848" s="4"/>
      <c r="J1848" s="18"/>
      <c r="K1848" s="4"/>
      <c r="L1848" s="19"/>
      <c r="M1848" s="20"/>
    </row>
    <row r="1849">
      <c r="A1849" s="6"/>
      <c r="B1849" s="6"/>
      <c r="C1849" s="4"/>
      <c r="D1849" s="36">
        <v>0.0</v>
      </c>
      <c r="E1849" s="4"/>
      <c r="F1849" s="4"/>
      <c r="G1849" s="4"/>
      <c r="H1849" s="4"/>
      <c r="I1849" s="4"/>
      <c r="J1849" s="18"/>
      <c r="K1849" s="4"/>
      <c r="L1849" s="19"/>
      <c r="M1849" s="20"/>
    </row>
    <row r="1850">
      <c r="A1850" s="6"/>
      <c r="B1850" s="6"/>
      <c r="C1850" s="4"/>
      <c r="D1850" s="36">
        <v>0.0</v>
      </c>
      <c r="E1850" s="4"/>
      <c r="F1850" s="4"/>
      <c r="G1850" s="4"/>
      <c r="H1850" s="4"/>
      <c r="I1850" s="4"/>
      <c r="J1850" s="18"/>
      <c r="K1850" s="4"/>
      <c r="L1850" s="19"/>
      <c r="M1850" s="20"/>
    </row>
    <row r="1851">
      <c r="A1851" s="6"/>
      <c r="B1851" s="6"/>
      <c r="C1851" s="4"/>
      <c r="D1851" s="36">
        <v>0.0</v>
      </c>
      <c r="E1851" s="4"/>
      <c r="F1851" s="4"/>
      <c r="G1851" s="4"/>
      <c r="H1851" s="4"/>
      <c r="I1851" s="4"/>
      <c r="J1851" s="18"/>
      <c r="K1851" s="4"/>
      <c r="L1851" s="19"/>
      <c r="M1851" s="20"/>
    </row>
    <row r="1852">
      <c r="A1852" s="6"/>
      <c r="B1852" s="6"/>
      <c r="C1852" s="4"/>
      <c r="D1852" s="36">
        <v>0.0</v>
      </c>
      <c r="E1852" s="4"/>
      <c r="F1852" s="4"/>
      <c r="G1852" s="4"/>
      <c r="H1852" s="4"/>
      <c r="I1852" s="4"/>
      <c r="J1852" s="18"/>
      <c r="K1852" s="4"/>
      <c r="L1852" s="19"/>
      <c r="M1852" s="20"/>
    </row>
    <row r="1853">
      <c r="A1853" s="6"/>
      <c r="B1853" s="6"/>
      <c r="C1853" s="4"/>
      <c r="D1853" s="36">
        <v>0.0</v>
      </c>
      <c r="E1853" s="4"/>
      <c r="F1853" s="4"/>
      <c r="G1853" s="4"/>
      <c r="H1853" s="4"/>
      <c r="I1853" s="4"/>
      <c r="J1853" s="18"/>
      <c r="K1853" s="4"/>
      <c r="L1853" s="19"/>
      <c r="M1853" s="20"/>
    </row>
    <row r="1854">
      <c r="A1854" s="6"/>
      <c r="B1854" s="6"/>
      <c r="C1854" s="4"/>
      <c r="D1854" s="36">
        <v>0.0</v>
      </c>
      <c r="E1854" s="4"/>
      <c r="F1854" s="4"/>
      <c r="G1854" s="4"/>
      <c r="H1854" s="4"/>
      <c r="I1854" s="4"/>
      <c r="J1854" s="18"/>
      <c r="K1854" s="4"/>
      <c r="L1854" s="19"/>
      <c r="M1854" s="20"/>
    </row>
    <row r="1855">
      <c r="A1855" s="6"/>
      <c r="B1855" s="6"/>
      <c r="C1855" s="4"/>
      <c r="D1855" s="36">
        <v>0.0</v>
      </c>
      <c r="E1855" s="4"/>
      <c r="F1855" s="4"/>
      <c r="G1855" s="4"/>
      <c r="H1855" s="4"/>
      <c r="I1855" s="4"/>
      <c r="J1855" s="18"/>
      <c r="K1855" s="4"/>
      <c r="L1855" s="19"/>
      <c r="M1855" s="20"/>
    </row>
    <row r="1856">
      <c r="A1856" s="6"/>
      <c r="B1856" s="6"/>
      <c r="C1856" s="4"/>
      <c r="D1856" s="36">
        <v>0.0</v>
      </c>
      <c r="E1856" s="4"/>
      <c r="F1856" s="4"/>
      <c r="G1856" s="4"/>
      <c r="H1856" s="4"/>
      <c r="I1856" s="4"/>
      <c r="J1856" s="18"/>
      <c r="K1856" s="4"/>
      <c r="L1856" s="19"/>
      <c r="M1856" s="20"/>
    </row>
    <row r="1857">
      <c r="A1857" s="6"/>
      <c r="B1857" s="6"/>
      <c r="C1857" s="4"/>
      <c r="D1857" s="36">
        <v>0.0</v>
      </c>
      <c r="E1857" s="4"/>
      <c r="F1857" s="4"/>
      <c r="G1857" s="4"/>
      <c r="H1857" s="4"/>
      <c r="I1857" s="4"/>
      <c r="J1857" s="18"/>
      <c r="K1857" s="4"/>
      <c r="L1857" s="19"/>
      <c r="M1857" s="20"/>
    </row>
    <row r="1858">
      <c r="A1858" s="6"/>
      <c r="B1858" s="6"/>
      <c r="C1858" s="4"/>
      <c r="D1858" s="36">
        <v>0.0</v>
      </c>
      <c r="E1858" s="4"/>
      <c r="F1858" s="4"/>
      <c r="G1858" s="4"/>
      <c r="H1858" s="4"/>
      <c r="I1858" s="4"/>
      <c r="J1858" s="18"/>
      <c r="K1858" s="4"/>
      <c r="L1858" s="19"/>
      <c r="M1858" s="20"/>
    </row>
    <row r="1859">
      <c r="A1859" s="6"/>
      <c r="B1859" s="6"/>
      <c r="C1859" s="4"/>
      <c r="D1859" s="36">
        <v>0.0</v>
      </c>
      <c r="E1859" s="4"/>
      <c r="F1859" s="4"/>
      <c r="G1859" s="4"/>
      <c r="H1859" s="4"/>
      <c r="I1859" s="4"/>
      <c r="J1859" s="18"/>
      <c r="K1859" s="4"/>
      <c r="L1859" s="19"/>
      <c r="M1859" s="20"/>
    </row>
    <row r="1860">
      <c r="A1860" s="6"/>
      <c r="B1860" s="6"/>
      <c r="C1860" s="4"/>
      <c r="D1860" s="36">
        <v>0.0</v>
      </c>
      <c r="E1860" s="4"/>
      <c r="F1860" s="4"/>
      <c r="G1860" s="4"/>
      <c r="H1860" s="4"/>
      <c r="I1860" s="4"/>
      <c r="J1860" s="18"/>
      <c r="K1860" s="4"/>
      <c r="L1860" s="19"/>
      <c r="M1860" s="20"/>
    </row>
    <row r="1861">
      <c r="A1861" s="6"/>
      <c r="B1861" s="6"/>
      <c r="C1861" s="4"/>
      <c r="D1861" s="36">
        <v>0.0</v>
      </c>
      <c r="E1861" s="4"/>
      <c r="F1861" s="4"/>
      <c r="G1861" s="4"/>
      <c r="H1861" s="4"/>
      <c r="I1861" s="4"/>
      <c r="J1861" s="18"/>
      <c r="K1861" s="4"/>
      <c r="L1861" s="19"/>
      <c r="M1861" s="20"/>
    </row>
    <row r="1862">
      <c r="A1862" s="6"/>
      <c r="B1862" s="6"/>
      <c r="C1862" s="4"/>
      <c r="D1862" s="36">
        <v>0.0</v>
      </c>
      <c r="E1862" s="4"/>
      <c r="F1862" s="4"/>
      <c r="G1862" s="4"/>
      <c r="H1862" s="4"/>
      <c r="I1862" s="4"/>
      <c r="J1862" s="18"/>
      <c r="K1862" s="4"/>
      <c r="L1862" s="19"/>
      <c r="M1862" s="20"/>
    </row>
    <row r="1863">
      <c r="A1863" s="6"/>
      <c r="B1863" s="6"/>
      <c r="C1863" s="4"/>
      <c r="D1863" s="36">
        <v>0.0</v>
      </c>
      <c r="E1863" s="4"/>
      <c r="F1863" s="4"/>
      <c r="G1863" s="4"/>
      <c r="H1863" s="4"/>
      <c r="I1863" s="4"/>
      <c r="J1863" s="18"/>
      <c r="K1863" s="4"/>
      <c r="L1863" s="19"/>
      <c r="M1863" s="20"/>
    </row>
    <row r="1864">
      <c r="A1864" s="6"/>
      <c r="B1864" s="6"/>
      <c r="C1864" s="4"/>
      <c r="D1864" s="36">
        <v>0.0</v>
      </c>
      <c r="E1864" s="4"/>
      <c r="F1864" s="4"/>
      <c r="G1864" s="4"/>
      <c r="H1864" s="4"/>
      <c r="I1864" s="4"/>
      <c r="J1864" s="18"/>
      <c r="K1864" s="4"/>
      <c r="L1864" s="19"/>
      <c r="M1864" s="20"/>
    </row>
    <row r="1865">
      <c r="A1865" s="6"/>
      <c r="B1865" s="6"/>
      <c r="C1865" s="4"/>
      <c r="D1865" s="36">
        <v>0.0</v>
      </c>
      <c r="E1865" s="4"/>
      <c r="F1865" s="4"/>
      <c r="G1865" s="4"/>
      <c r="H1865" s="4"/>
      <c r="I1865" s="4"/>
      <c r="J1865" s="18"/>
      <c r="K1865" s="4"/>
      <c r="L1865" s="19"/>
      <c r="M1865" s="20"/>
    </row>
    <row r="1866">
      <c r="A1866" s="6"/>
      <c r="B1866" s="6"/>
      <c r="C1866" s="4"/>
      <c r="D1866" s="36">
        <v>0.0</v>
      </c>
      <c r="E1866" s="4"/>
      <c r="F1866" s="4"/>
      <c r="G1866" s="4"/>
      <c r="H1866" s="4"/>
      <c r="I1866" s="4"/>
      <c r="J1866" s="18"/>
      <c r="K1866" s="4"/>
      <c r="L1866" s="19"/>
      <c r="M1866" s="20"/>
    </row>
    <row r="1867">
      <c r="A1867" s="6"/>
      <c r="B1867" s="6"/>
      <c r="C1867" s="4"/>
      <c r="D1867" s="36">
        <v>0.0</v>
      </c>
      <c r="E1867" s="4"/>
      <c r="F1867" s="4"/>
      <c r="G1867" s="4"/>
      <c r="H1867" s="4"/>
      <c r="I1867" s="4"/>
      <c r="J1867" s="18"/>
      <c r="K1867" s="4"/>
      <c r="L1867" s="19"/>
      <c r="M1867" s="20"/>
    </row>
    <row r="1868">
      <c r="A1868" s="6"/>
      <c r="B1868" s="6"/>
      <c r="C1868" s="4"/>
      <c r="D1868" s="36">
        <v>0.0</v>
      </c>
      <c r="E1868" s="4"/>
      <c r="F1868" s="4"/>
      <c r="G1868" s="4"/>
      <c r="H1868" s="4"/>
      <c r="I1868" s="4"/>
      <c r="J1868" s="18"/>
      <c r="K1868" s="4"/>
      <c r="L1868" s="19"/>
      <c r="M1868" s="20"/>
    </row>
    <row r="1869">
      <c r="A1869" s="6"/>
      <c r="B1869" s="6"/>
      <c r="C1869" s="4"/>
      <c r="D1869" s="36">
        <v>0.0</v>
      </c>
      <c r="E1869" s="4"/>
      <c r="F1869" s="4"/>
      <c r="G1869" s="4"/>
      <c r="H1869" s="4"/>
      <c r="I1869" s="4"/>
      <c r="J1869" s="18"/>
      <c r="K1869" s="4"/>
      <c r="L1869" s="19"/>
      <c r="M1869" s="20"/>
    </row>
    <row r="1870">
      <c r="A1870" s="6"/>
      <c r="B1870" s="6"/>
      <c r="C1870" s="4"/>
      <c r="D1870" s="36">
        <v>0.0</v>
      </c>
      <c r="E1870" s="4"/>
      <c r="F1870" s="4"/>
      <c r="G1870" s="4"/>
      <c r="H1870" s="4"/>
      <c r="I1870" s="4"/>
      <c r="J1870" s="18"/>
      <c r="K1870" s="4"/>
      <c r="L1870" s="19"/>
      <c r="M1870" s="20"/>
    </row>
    <row r="1871">
      <c r="A1871" s="6"/>
      <c r="B1871" s="6"/>
      <c r="C1871" s="4"/>
      <c r="D1871" s="36">
        <v>0.0</v>
      </c>
      <c r="E1871" s="4"/>
      <c r="F1871" s="4"/>
      <c r="G1871" s="4"/>
      <c r="H1871" s="4"/>
      <c r="I1871" s="4"/>
      <c r="J1871" s="18"/>
      <c r="K1871" s="4"/>
      <c r="L1871" s="19"/>
      <c r="M1871" s="20"/>
    </row>
    <row r="1872">
      <c r="A1872" s="6"/>
      <c r="B1872" s="6"/>
      <c r="C1872" s="4"/>
      <c r="D1872" s="36">
        <v>0.0</v>
      </c>
      <c r="E1872" s="4"/>
      <c r="F1872" s="4"/>
      <c r="G1872" s="4"/>
      <c r="H1872" s="4"/>
      <c r="I1872" s="4"/>
      <c r="J1872" s="18"/>
      <c r="K1872" s="4"/>
      <c r="L1872" s="19"/>
      <c r="M1872" s="20"/>
    </row>
    <row r="1873">
      <c r="A1873" s="6"/>
      <c r="B1873" s="6"/>
      <c r="C1873" s="4"/>
      <c r="D1873" s="36">
        <v>0.0</v>
      </c>
      <c r="E1873" s="4"/>
      <c r="F1873" s="4"/>
      <c r="G1873" s="4"/>
      <c r="H1873" s="4"/>
      <c r="I1873" s="4"/>
      <c r="J1873" s="18"/>
      <c r="K1873" s="4"/>
      <c r="L1873" s="19"/>
      <c r="M1873" s="20"/>
    </row>
    <row r="1874">
      <c r="A1874" s="6"/>
      <c r="B1874" s="6"/>
      <c r="C1874" s="4"/>
      <c r="D1874" s="36">
        <v>0.0</v>
      </c>
      <c r="E1874" s="4"/>
      <c r="F1874" s="4"/>
      <c r="G1874" s="4"/>
      <c r="H1874" s="4"/>
      <c r="I1874" s="4"/>
      <c r="J1874" s="18"/>
      <c r="K1874" s="4"/>
      <c r="L1874" s="19"/>
      <c r="M1874" s="20"/>
    </row>
    <row r="1875">
      <c r="A1875" s="6"/>
      <c r="B1875" s="6"/>
      <c r="C1875" s="4"/>
      <c r="D1875" s="36">
        <v>0.0</v>
      </c>
      <c r="E1875" s="4"/>
      <c r="F1875" s="4"/>
      <c r="G1875" s="4"/>
      <c r="H1875" s="4"/>
      <c r="I1875" s="4"/>
      <c r="J1875" s="18"/>
      <c r="K1875" s="4"/>
      <c r="L1875" s="19"/>
      <c r="M1875" s="20"/>
    </row>
    <row r="1876">
      <c r="A1876" s="6"/>
      <c r="B1876" s="6"/>
      <c r="C1876" s="4"/>
      <c r="D1876" s="36">
        <v>0.0</v>
      </c>
      <c r="E1876" s="4"/>
      <c r="F1876" s="4"/>
      <c r="G1876" s="4"/>
      <c r="H1876" s="4"/>
      <c r="I1876" s="4"/>
      <c r="J1876" s="18"/>
      <c r="K1876" s="4"/>
      <c r="L1876" s="19"/>
      <c r="M1876" s="20"/>
    </row>
    <row r="1877">
      <c r="A1877" s="6"/>
      <c r="B1877" s="6"/>
      <c r="C1877" s="4"/>
      <c r="D1877" s="36">
        <v>0.0</v>
      </c>
      <c r="E1877" s="4"/>
      <c r="F1877" s="4"/>
      <c r="G1877" s="4"/>
      <c r="H1877" s="4"/>
      <c r="I1877" s="4"/>
      <c r="J1877" s="18"/>
      <c r="K1877" s="4"/>
      <c r="L1877" s="19"/>
      <c r="M1877" s="20"/>
    </row>
    <row r="1878">
      <c r="A1878" s="6"/>
      <c r="B1878" s="6"/>
      <c r="C1878" s="4"/>
      <c r="D1878" s="36">
        <v>0.0</v>
      </c>
      <c r="E1878" s="4"/>
      <c r="F1878" s="4"/>
      <c r="G1878" s="4"/>
      <c r="H1878" s="4"/>
      <c r="I1878" s="4"/>
      <c r="J1878" s="18"/>
      <c r="K1878" s="4"/>
      <c r="L1878" s="19"/>
      <c r="M1878" s="20"/>
    </row>
    <row r="1879">
      <c r="A1879" s="6"/>
      <c r="B1879" s="6"/>
      <c r="C1879" s="4"/>
      <c r="D1879" s="36">
        <v>0.0</v>
      </c>
      <c r="E1879" s="4"/>
      <c r="F1879" s="4"/>
      <c r="G1879" s="4"/>
      <c r="H1879" s="4"/>
      <c r="I1879" s="4"/>
      <c r="J1879" s="18"/>
      <c r="K1879" s="4"/>
      <c r="L1879" s="19"/>
      <c r="M1879" s="20"/>
    </row>
    <row r="1880">
      <c r="A1880" s="6"/>
      <c r="B1880" s="6"/>
      <c r="C1880" s="4"/>
      <c r="D1880" s="36">
        <v>0.0</v>
      </c>
      <c r="E1880" s="4"/>
      <c r="F1880" s="4"/>
      <c r="G1880" s="4"/>
      <c r="H1880" s="4"/>
      <c r="I1880" s="4"/>
      <c r="J1880" s="18"/>
      <c r="K1880" s="4"/>
      <c r="L1880" s="19"/>
      <c r="M1880" s="20"/>
    </row>
    <row r="1881">
      <c r="A1881" s="6"/>
      <c r="B1881" s="6"/>
      <c r="C1881" s="4"/>
      <c r="D1881" s="36">
        <v>0.0</v>
      </c>
      <c r="E1881" s="4"/>
      <c r="F1881" s="4"/>
      <c r="G1881" s="4"/>
      <c r="H1881" s="4"/>
      <c r="I1881" s="4"/>
      <c r="J1881" s="18"/>
      <c r="K1881" s="4"/>
      <c r="L1881" s="19"/>
      <c r="M1881" s="20"/>
    </row>
    <row r="1882">
      <c r="A1882" s="6"/>
      <c r="B1882" s="6"/>
      <c r="C1882" s="4"/>
      <c r="D1882" s="36">
        <v>0.0</v>
      </c>
      <c r="E1882" s="4"/>
      <c r="F1882" s="4"/>
      <c r="G1882" s="4"/>
      <c r="H1882" s="4"/>
      <c r="I1882" s="4"/>
      <c r="J1882" s="18"/>
      <c r="K1882" s="4"/>
      <c r="L1882" s="19"/>
      <c r="M1882" s="20"/>
    </row>
    <row r="1883">
      <c r="A1883" s="6"/>
      <c r="B1883" s="6"/>
      <c r="C1883" s="4"/>
      <c r="D1883" s="36">
        <v>0.0</v>
      </c>
      <c r="E1883" s="4"/>
      <c r="F1883" s="4"/>
      <c r="G1883" s="4"/>
      <c r="H1883" s="4"/>
      <c r="I1883" s="4"/>
      <c r="J1883" s="18"/>
      <c r="K1883" s="4"/>
      <c r="L1883" s="19"/>
      <c r="M1883" s="20"/>
    </row>
    <row r="1884">
      <c r="A1884" s="6"/>
      <c r="B1884" s="6"/>
      <c r="C1884" s="4"/>
      <c r="D1884" s="36">
        <v>0.0</v>
      </c>
      <c r="E1884" s="4"/>
      <c r="F1884" s="4"/>
      <c r="G1884" s="4"/>
      <c r="H1884" s="4"/>
      <c r="I1884" s="4"/>
      <c r="J1884" s="18"/>
      <c r="K1884" s="4"/>
      <c r="L1884" s="19"/>
      <c r="M1884" s="20"/>
    </row>
    <row r="1885">
      <c r="A1885" s="6"/>
      <c r="B1885" s="6"/>
      <c r="C1885" s="4"/>
      <c r="D1885" s="36">
        <v>0.0</v>
      </c>
      <c r="E1885" s="4"/>
      <c r="F1885" s="4"/>
      <c r="G1885" s="4"/>
      <c r="H1885" s="4"/>
      <c r="I1885" s="4"/>
      <c r="J1885" s="18"/>
      <c r="K1885" s="4"/>
      <c r="L1885" s="19"/>
      <c r="M1885" s="20"/>
    </row>
    <row r="1886">
      <c r="A1886" s="6"/>
      <c r="B1886" s="6"/>
      <c r="C1886" s="4"/>
      <c r="D1886" s="36">
        <v>0.0</v>
      </c>
      <c r="E1886" s="4"/>
      <c r="F1886" s="4"/>
      <c r="G1886" s="4"/>
      <c r="H1886" s="4"/>
      <c r="I1886" s="4"/>
      <c r="J1886" s="18"/>
      <c r="K1886" s="4"/>
      <c r="L1886" s="19"/>
      <c r="M1886" s="20"/>
    </row>
    <row r="1887">
      <c r="A1887" s="6"/>
      <c r="B1887" s="6"/>
      <c r="C1887" s="4"/>
      <c r="D1887" s="36">
        <v>0.0</v>
      </c>
      <c r="E1887" s="4"/>
      <c r="F1887" s="4"/>
      <c r="G1887" s="4"/>
      <c r="H1887" s="4"/>
      <c r="I1887" s="4"/>
      <c r="J1887" s="18"/>
      <c r="K1887" s="4"/>
      <c r="L1887" s="19"/>
      <c r="M1887" s="20"/>
    </row>
    <row r="1888">
      <c r="A1888" s="6"/>
      <c r="B1888" s="6"/>
      <c r="C1888" s="4"/>
      <c r="D1888" s="36">
        <v>0.0</v>
      </c>
      <c r="E1888" s="4"/>
      <c r="F1888" s="4"/>
      <c r="G1888" s="4"/>
      <c r="H1888" s="4"/>
      <c r="I1888" s="4"/>
      <c r="J1888" s="18"/>
      <c r="K1888" s="4"/>
      <c r="L1888" s="19"/>
      <c r="M1888" s="20"/>
    </row>
    <row r="1889">
      <c r="A1889" s="6"/>
      <c r="B1889" s="6"/>
      <c r="C1889" s="4"/>
      <c r="D1889" s="36">
        <v>0.0</v>
      </c>
      <c r="E1889" s="4"/>
      <c r="F1889" s="4"/>
      <c r="G1889" s="4"/>
      <c r="H1889" s="4"/>
      <c r="I1889" s="4"/>
      <c r="J1889" s="18"/>
      <c r="K1889" s="4"/>
      <c r="L1889" s="19"/>
      <c r="M1889" s="20"/>
    </row>
    <row r="1890">
      <c r="A1890" s="6"/>
      <c r="B1890" s="6"/>
      <c r="C1890" s="4"/>
      <c r="D1890" s="36">
        <v>0.0</v>
      </c>
      <c r="E1890" s="4"/>
      <c r="F1890" s="4"/>
      <c r="G1890" s="4"/>
      <c r="H1890" s="4"/>
      <c r="I1890" s="4"/>
      <c r="J1890" s="18"/>
      <c r="K1890" s="4"/>
      <c r="L1890" s="19"/>
      <c r="M1890" s="20"/>
    </row>
    <row r="1891">
      <c r="A1891" s="6"/>
      <c r="B1891" s="6"/>
      <c r="C1891" s="4"/>
      <c r="D1891" s="36">
        <v>0.0</v>
      </c>
      <c r="E1891" s="4"/>
      <c r="F1891" s="4"/>
      <c r="G1891" s="4"/>
      <c r="H1891" s="4"/>
      <c r="I1891" s="4"/>
      <c r="J1891" s="18"/>
      <c r="K1891" s="4"/>
      <c r="L1891" s="19"/>
      <c r="M1891" s="20"/>
    </row>
    <row r="1892">
      <c r="A1892" s="6"/>
      <c r="B1892" s="6"/>
      <c r="C1892" s="4"/>
      <c r="D1892" s="36">
        <v>0.0</v>
      </c>
      <c r="E1892" s="4"/>
      <c r="F1892" s="4"/>
      <c r="G1892" s="4"/>
      <c r="H1892" s="4"/>
      <c r="I1892" s="4"/>
      <c r="J1892" s="18"/>
      <c r="K1892" s="4"/>
      <c r="L1892" s="19"/>
      <c r="M1892" s="20"/>
    </row>
    <row r="1893">
      <c r="A1893" s="6"/>
      <c r="B1893" s="6"/>
      <c r="C1893" s="4"/>
      <c r="D1893" s="36">
        <v>0.0</v>
      </c>
      <c r="E1893" s="4"/>
      <c r="F1893" s="4"/>
      <c r="G1893" s="4"/>
      <c r="H1893" s="4"/>
      <c r="I1893" s="4"/>
      <c r="J1893" s="18"/>
      <c r="K1893" s="4"/>
      <c r="L1893" s="19"/>
      <c r="M1893" s="20"/>
    </row>
    <row r="1894">
      <c r="A1894" s="6"/>
      <c r="B1894" s="6"/>
      <c r="C1894" s="4"/>
      <c r="D1894" s="36">
        <v>0.0</v>
      </c>
      <c r="E1894" s="4"/>
      <c r="F1894" s="4"/>
      <c r="G1894" s="4"/>
      <c r="H1894" s="4"/>
      <c r="I1894" s="4"/>
      <c r="J1894" s="18"/>
      <c r="K1894" s="4"/>
      <c r="L1894" s="19"/>
      <c r="M1894" s="20"/>
    </row>
    <row r="1895">
      <c r="A1895" s="6"/>
      <c r="B1895" s="6"/>
      <c r="C1895" s="4"/>
      <c r="D1895" s="36">
        <v>0.0</v>
      </c>
      <c r="E1895" s="4"/>
      <c r="F1895" s="4"/>
      <c r="G1895" s="4"/>
      <c r="H1895" s="4"/>
      <c r="I1895" s="4"/>
      <c r="J1895" s="18"/>
      <c r="K1895" s="4"/>
      <c r="L1895" s="19"/>
      <c r="M1895" s="20"/>
    </row>
    <row r="1896">
      <c r="A1896" s="6"/>
      <c r="B1896" s="6"/>
      <c r="C1896" s="4"/>
      <c r="D1896" s="36">
        <v>0.0</v>
      </c>
      <c r="E1896" s="4"/>
      <c r="F1896" s="4"/>
      <c r="G1896" s="4"/>
      <c r="H1896" s="4"/>
      <c r="I1896" s="4"/>
      <c r="J1896" s="18"/>
      <c r="K1896" s="4"/>
      <c r="L1896" s="19"/>
      <c r="M1896" s="20"/>
    </row>
    <row r="1897">
      <c r="A1897" s="6"/>
      <c r="B1897" s="6"/>
      <c r="C1897" s="4"/>
      <c r="D1897" s="36">
        <v>0.0</v>
      </c>
      <c r="E1897" s="4"/>
      <c r="F1897" s="4"/>
      <c r="G1897" s="4"/>
      <c r="H1897" s="4"/>
      <c r="I1897" s="4"/>
      <c r="J1897" s="18"/>
      <c r="K1897" s="4"/>
      <c r="L1897" s="19"/>
      <c r="M1897" s="20"/>
    </row>
    <row r="1898">
      <c r="A1898" s="6"/>
      <c r="B1898" s="6"/>
      <c r="C1898" s="4"/>
      <c r="D1898" s="36">
        <v>0.0</v>
      </c>
      <c r="E1898" s="4"/>
      <c r="F1898" s="4"/>
      <c r="G1898" s="4"/>
      <c r="H1898" s="4"/>
      <c r="I1898" s="4"/>
      <c r="J1898" s="18"/>
      <c r="K1898" s="4"/>
      <c r="L1898" s="19"/>
      <c r="M1898" s="20"/>
    </row>
    <row r="1899">
      <c r="A1899" s="6"/>
      <c r="B1899" s="6"/>
      <c r="C1899" s="4"/>
      <c r="D1899" s="36">
        <v>0.0</v>
      </c>
      <c r="E1899" s="4"/>
      <c r="F1899" s="4"/>
      <c r="G1899" s="4"/>
      <c r="H1899" s="4"/>
      <c r="I1899" s="4"/>
      <c r="J1899" s="18"/>
      <c r="K1899" s="4"/>
      <c r="L1899" s="19"/>
      <c r="M1899" s="20"/>
    </row>
    <row r="1900">
      <c r="A1900" s="6"/>
      <c r="B1900" s="6"/>
      <c r="C1900" s="4"/>
      <c r="D1900" s="36">
        <v>0.0</v>
      </c>
      <c r="E1900" s="4"/>
      <c r="F1900" s="4"/>
      <c r="G1900" s="4"/>
      <c r="H1900" s="4"/>
      <c r="I1900" s="4"/>
      <c r="J1900" s="18"/>
      <c r="K1900" s="4"/>
      <c r="L1900" s="19"/>
      <c r="M1900" s="20"/>
    </row>
    <row r="1901">
      <c r="A1901" s="6"/>
      <c r="B1901" s="6"/>
      <c r="C1901" s="4"/>
      <c r="D1901" s="36">
        <v>0.0</v>
      </c>
      <c r="E1901" s="4"/>
      <c r="F1901" s="4"/>
      <c r="G1901" s="4"/>
      <c r="H1901" s="4"/>
      <c r="I1901" s="4"/>
      <c r="J1901" s="18"/>
      <c r="K1901" s="4"/>
      <c r="L1901" s="19"/>
      <c r="M1901" s="20"/>
    </row>
    <row r="1902">
      <c r="A1902" s="6"/>
      <c r="B1902" s="6"/>
      <c r="C1902" s="4"/>
      <c r="D1902" s="36">
        <v>0.0</v>
      </c>
      <c r="E1902" s="4"/>
      <c r="F1902" s="4"/>
      <c r="G1902" s="4"/>
      <c r="H1902" s="4"/>
      <c r="I1902" s="4"/>
      <c r="J1902" s="18"/>
      <c r="K1902" s="4"/>
      <c r="L1902" s="19"/>
      <c r="M1902" s="20"/>
    </row>
    <row r="1903">
      <c r="A1903" s="6"/>
      <c r="B1903" s="6"/>
      <c r="C1903" s="4"/>
      <c r="D1903" s="36">
        <v>0.0</v>
      </c>
      <c r="E1903" s="4"/>
      <c r="F1903" s="4"/>
      <c r="G1903" s="4"/>
      <c r="H1903" s="4"/>
      <c r="I1903" s="4"/>
      <c r="J1903" s="18"/>
      <c r="K1903" s="4"/>
      <c r="L1903" s="19"/>
      <c r="M1903" s="20"/>
    </row>
    <row r="1904">
      <c r="A1904" s="6"/>
      <c r="B1904" s="6"/>
      <c r="C1904" s="4"/>
      <c r="D1904" s="36">
        <v>0.0</v>
      </c>
      <c r="E1904" s="4"/>
      <c r="F1904" s="4"/>
      <c r="G1904" s="4"/>
      <c r="H1904" s="4"/>
      <c r="I1904" s="4"/>
      <c r="J1904" s="18"/>
      <c r="K1904" s="4"/>
      <c r="L1904" s="19"/>
      <c r="M1904" s="20"/>
    </row>
    <row r="1905">
      <c r="A1905" s="6"/>
      <c r="B1905" s="6"/>
      <c r="C1905" s="4"/>
      <c r="D1905" s="36">
        <v>0.0</v>
      </c>
      <c r="E1905" s="4"/>
      <c r="F1905" s="4"/>
      <c r="G1905" s="4"/>
      <c r="H1905" s="4"/>
      <c r="I1905" s="4"/>
      <c r="J1905" s="18"/>
      <c r="K1905" s="4"/>
      <c r="L1905" s="19"/>
      <c r="M1905" s="20"/>
    </row>
    <row r="1906">
      <c r="A1906" s="6"/>
      <c r="B1906" s="6"/>
      <c r="C1906" s="4"/>
      <c r="D1906" s="36">
        <v>0.0</v>
      </c>
      <c r="E1906" s="4"/>
      <c r="F1906" s="4"/>
      <c r="G1906" s="4"/>
      <c r="H1906" s="4"/>
      <c r="I1906" s="4"/>
      <c r="J1906" s="18"/>
      <c r="K1906" s="4"/>
      <c r="L1906" s="19"/>
      <c r="M1906" s="20"/>
    </row>
    <row r="1907">
      <c r="A1907" s="6"/>
      <c r="B1907" s="6"/>
      <c r="C1907" s="4"/>
      <c r="D1907" s="36">
        <v>0.0</v>
      </c>
      <c r="E1907" s="4"/>
      <c r="F1907" s="4"/>
      <c r="G1907" s="4"/>
      <c r="H1907" s="4"/>
      <c r="I1907" s="4"/>
      <c r="J1907" s="18"/>
      <c r="K1907" s="4"/>
      <c r="L1907" s="19"/>
      <c r="M1907" s="20"/>
    </row>
    <row r="1908">
      <c r="A1908" s="6"/>
      <c r="B1908" s="6"/>
      <c r="C1908" s="4"/>
      <c r="D1908" s="36">
        <v>0.0</v>
      </c>
      <c r="E1908" s="4"/>
      <c r="F1908" s="4"/>
      <c r="G1908" s="4"/>
      <c r="H1908" s="4"/>
      <c r="I1908" s="4"/>
      <c r="J1908" s="18"/>
      <c r="K1908" s="4"/>
      <c r="L1908" s="19"/>
      <c r="M1908" s="20"/>
    </row>
    <row r="1909">
      <c r="A1909" s="6"/>
      <c r="B1909" s="6"/>
      <c r="C1909" s="4"/>
      <c r="D1909" s="36">
        <v>0.0</v>
      </c>
      <c r="E1909" s="4"/>
      <c r="F1909" s="4"/>
      <c r="G1909" s="4"/>
      <c r="H1909" s="4"/>
      <c r="I1909" s="4"/>
      <c r="J1909" s="18"/>
      <c r="K1909" s="4"/>
      <c r="L1909" s="19"/>
      <c r="M1909" s="20"/>
    </row>
    <row r="1910">
      <c r="A1910" s="6"/>
      <c r="B1910" s="6"/>
      <c r="C1910" s="4"/>
      <c r="D1910" s="36">
        <v>0.0</v>
      </c>
      <c r="E1910" s="4"/>
      <c r="F1910" s="4"/>
      <c r="G1910" s="4"/>
      <c r="H1910" s="4"/>
      <c r="I1910" s="4"/>
      <c r="J1910" s="18"/>
      <c r="K1910" s="4"/>
      <c r="L1910" s="19"/>
      <c r="M1910" s="20"/>
    </row>
    <row r="1911">
      <c r="A1911" s="6"/>
      <c r="B1911" s="6"/>
      <c r="C1911" s="4"/>
      <c r="D1911" s="36">
        <v>0.0</v>
      </c>
      <c r="E1911" s="4"/>
      <c r="F1911" s="4"/>
      <c r="G1911" s="4"/>
      <c r="H1911" s="4"/>
      <c r="I1911" s="4"/>
      <c r="J1911" s="18"/>
      <c r="K1911" s="4"/>
      <c r="L1911" s="19"/>
      <c r="M1911" s="20"/>
    </row>
    <row r="1912">
      <c r="A1912" s="6"/>
      <c r="B1912" s="6"/>
      <c r="C1912" s="4"/>
      <c r="D1912" s="36">
        <v>0.0</v>
      </c>
      <c r="E1912" s="4"/>
      <c r="F1912" s="4"/>
      <c r="G1912" s="4"/>
      <c r="H1912" s="4"/>
      <c r="I1912" s="4"/>
      <c r="J1912" s="18"/>
      <c r="K1912" s="4"/>
      <c r="L1912" s="19"/>
      <c r="M1912" s="20"/>
    </row>
    <row r="1913">
      <c r="A1913" s="6"/>
      <c r="B1913" s="6"/>
      <c r="C1913" s="4"/>
      <c r="D1913" s="36">
        <v>0.0</v>
      </c>
      <c r="E1913" s="4"/>
      <c r="F1913" s="4"/>
      <c r="G1913" s="4"/>
      <c r="H1913" s="4"/>
      <c r="I1913" s="4"/>
      <c r="J1913" s="18"/>
      <c r="K1913" s="4"/>
      <c r="L1913" s="19"/>
      <c r="M1913" s="20"/>
    </row>
    <row r="1914">
      <c r="A1914" s="6"/>
      <c r="B1914" s="6"/>
      <c r="C1914" s="4"/>
      <c r="D1914" s="36">
        <v>0.0</v>
      </c>
      <c r="E1914" s="4"/>
      <c r="F1914" s="4"/>
      <c r="G1914" s="4"/>
      <c r="H1914" s="4"/>
      <c r="I1914" s="4"/>
      <c r="J1914" s="18"/>
      <c r="K1914" s="4"/>
      <c r="L1914" s="19"/>
      <c r="M1914" s="20"/>
    </row>
    <row r="1915">
      <c r="A1915" s="6"/>
      <c r="B1915" s="6"/>
      <c r="C1915" s="4"/>
      <c r="D1915" s="36">
        <v>0.0</v>
      </c>
      <c r="E1915" s="4"/>
      <c r="F1915" s="4"/>
      <c r="G1915" s="4"/>
      <c r="H1915" s="4"/>
      <c r="I1915" s="4"/>
      <c r="J1915" s="18"/>
      <c r="K1915" s="4"/>
      <c r="L1915" s="19"/>
      <c r="M1915" s="20"/>
    </row>
    <row r="1916">
      <c r="A1916" s="6"/>
      <c r="B1916" s="6"/>
      <c r="C1916" s="4"/>
      <c r="D1916" s="36">
        <v>0.0</v>
      </c>
      <c r="E1916" s="4"/>
      <c r="F1916" s="4"/>
      <c r="G1916" s="4"/>
      <c r="H1916" s="4"/>
      <c r="I1916" s="4"/>
      <c r="J1916" s="18"/>
      <c r="K1916" s="4"/>
      <c r="L1916" s="19"/>
      <c r="M1916" s="20"/>
    </row>
    <row r="1917">
      <c r="A1917" s="6"/>
      <c r="B1917" s="6"/>
      <c r="C1917" s="4"/>
      <c r="D1917" s="36">
        <v>0.0</v>
      </c>
      <c r="E1917" s="4"/>
      <c r="F1917" s="4"/>
      <c r="G1917" s="4"/>
      <c r="H1917" s="4"/>
      <c r="I1917" s="4"/>
      <c r="J1917" s="18"/>
      <c r="K1917" s="4"/>
      <c r="L1917" s="19"/>
      <c r="M1917" s="20"/>
    </row>
    <row r="1918">
      <c r="A1918" s="6"/>
      <c r="B1918" s="6"/>
      <c r="C1918" s="4"/>
      <c r="D1918" s="36">
        <v>0.0</v>
      </c>
      <c r="E1918" s="4"/>
      <c r="F1918" s="4"/>
      <c r="G1918" s="4"/>
      <c r="H1918" s="4"/>
      <c r="I1918" s="4"/>
      <c r="J1918" s="18"/>
      <c r="K1918" s="4"/>
      <c r="L1918" s="19"/>
      <c r="M1918" s="20"/>
    </row>
    <row r="1919">
      <c r="A1919" s="6"/>
      <c r="B1919" s="6"/>
      <c r="C1919" s="4"/>
      <c r="D1919" s="36">
        <v>0.0</v>
      </c>
      <c r="E1919" s="4"/>
      <c r="F1919" s="4"/>
      <c r="G1919" s="4"/>
      <c r="H1919" s="4"/>
      <c r="I1919" s="4"/>
      <c r="J1919" s="18"/>
      <c r="K1919" s="4"/>
      <c r="L1919" s="19"/>
      <c r="M1919" s="20"/>
    </row>
    <row r="1920">
      <c r="A1920" s="6"/>
      <c r="B1920" s="6"/>
      <c r="C1920" s="4"/>
      <c r="D1920" s="36">
        <v>0.0</v>
      </c>
      <c r="E1920" s="4"/>
      <c r="F1920" s="4"/>
      <c r="G1920" s="4"/>
      <c r="H1920" s="4"/>
      <c r="I1920" s="4"/>
      <c r="J1920" s="18"/>
      <c r="K1920" s="4"/>
      <c r="L1920" s="19"/>
      <c r="M1920" s="20"/>
    </row>
    <row r="1921">
      <c r="A1921" s="6"/>
      <c r="B1921" s="6"/>
      <c r="C1921" s="4"/>
      <c r="D1921" s="36">
        <v>0.0</v>
      </c>
      <c r="E1921" s="4"/>
      <c r="F1921" s="4"/>
      <c r="G1921" s="4"/>
      <c r="H1921" s="4"/>
      <c r="I1921" s="4"/>
      <c r="J1921" s="18"/>
      <c r="K1921" s="4"/>
      <c r="L1921" s="19"/>
      <c r="M1921" s="20"/>
    </row>
    <row r="1922">
      <c r="A1922" s="6"/>
      <c r="B1922" s="6"/>
      <c r="C1922" s="4"/>
      <c r="D1922" s="36">
        <v>0.0</v>
      </c>
      <c r="E1922" s="4"/>
      <c r="F1922" s="4"/>
      <c r="G1922" s="4"/>
      <c r="H1922" s="4"/>
      <c r="I1922" s="4"/>
      <c r="J1922" s="18"/>
      <c r="K1922" s="4"/>
      <c r="L1922" s="19"/>
      <c r="M1922" s="20"/>
    </row>
    <row r="1923">
      <c r="A1923" s="6"/>
      <c r="B1923" s="6"/>
      <c r="C1923" s="4"/>
      <c r="D1923" s="36">
        <v>0.0</v>
      </c>
      <c r="E1923" s="4"/>
      <c r="F1923" s="4"/>
      <c r="G1923" s="4"/>
      <c r="H1923" s="4"/>
      <c r="I1923" s="4"/>
      <c r="J1923" s="18"/>
      <c r="K1923" s="4"/>
      <c r="L1923" s="19"/>
      <c r="M1923" s="20"/>
    </row>
    <row r="1924">
      <c r="A1924" s="6"/>
      <c r="B1924" s="6"/>
      <c r="C1924" s="4"/>
      <c r="D1924" s="36">
        <v>0.0</v>
      </c>
      <c r="E1924" s="4"/>
      <c r="F1924" s="4"/>
      <c r="G1924" s="4"/>
      <c r="H1924" s="4"/>
      <c r="I1924" s="4"/>
      <c r="J1924" s="18"/>
      <c r="K1924" s="4"/>
      <c r="L1924" s="19"/>
      <c r="M1924" s="20"/>
    </row>
    <row r="1925">
      <c r="A1925" s="6"/>
      <c r="B1925" s="6"/>
      <c r="C1925" s="4"/>
      <c r="D1925" s="36">
        <v>0.0</v>
      </c>
      <c r="E1925" s="4"/>
      <c r="F1925" s="4"/>
      <c r="G1925" s="4"/>
      <c r="H1925" s="4"/>
      <c r="I1925" s="4"/>
      <c r="J1925" s="18"/>
      <c r="K1925" s="4"/>
      <c r="L1925" s="19"/>
      <c r="M1925" s="20"/>
    </row>
    <row r="1926">
      <c r="A1926" s="6"/>
      <c r="B1926" s="6"/>
      <c r="C1926" s="4"/>
      <c r="D1926" s="36">
        <v>0.0</v>
      </c>
      <c r="E1926" s="4"/>
      <c r="F1926" s="4"/>
      <c r="G1926" s="4"/>
      <c r="H1926" s="4"/>
      <c r="I1926" s="4"/>
      <c r="J1926" s="18"/>
      <c r="K1926" s="4"/>
      <c r="L1926" s="19"/>
      <c r="M1926" s="20"/>
    </row>
    <row r="1927">
      <c r="A1927" s="6"/>
      <c r="B1927" s="6"/>
      <c r="C1927" s="4"/>
      <c r="D1927" s="36">
        <v>0.0</v>
      </c>
      <c r="E1927" s="4"/>
      <c r="F1927" s="4"/>
      <c r="G1927" s="4"/>
      <c r="H1927" s="4"/>
      <c r="I1927" s="4"/>
      <c r="J1927" s="18"/>
      <c r="K1927" s="4"/>
      <c r="L1927" s="19"/>
      <c r="M1927" s="20"/>
    </row>
    <row r="1928">
      <c r="A1928" s="6"/>
      <c r="B1928" s="6"/>
      <c r="C1928" s="4"/>
      <c r="D1928" s="36">
        <v>0.0</v>
      </c>
      <c r="E1928" s="4"/>
      <c r="F1928" s="4"/>
      <c r="G1928" s="4"/>
      <c r="H1928" s="4"/>
      <c r="I1928" s="4"/>
      <c r="J1928" s="18"/>
      <c r="K1928" s="4"/>
      <c r="L1928" s="19"/>
      <c r="M1928" s="20"/>
    </row>
    <row r="1929">
      <c r="A1929" s="6"/>
      <c r="B1929" s="6"/>
      <c r="C1929" s="4"/>
      <c r="D1929" s="36">
        <v>0.0</v>
      </c>
      <c r="E1929" s="4"/>
      <c r="F1929" s="4"/>
      <c r="G1929" s="4"/>
      <c r="H1929" s="4"/>
      <c r="I1929" s="4"/>
      <c r="J1929" s="18"/>
      <c r="K1929" s="4"/>
      <c r="L1929" s="19"/>
      <c r="M1929" s="20"/>
    </row>
    <row r="1930">
      <c r="A1930" s="6"/>
      <c r="B1930" s="6"/>
      <c r="C1930" s="4"/>
      <c r="D1930" s="36">
        <v>0.0</v>
      </c>
      <c r="E1930" s="4"/>
      <c r="F1930" s="4"/>
      <c r="G1930" s="4"/>
      <c r="H1930" s="4"/>
      <c r="I1930" s="4"/>
      <c r="J1930" s="18"/>
      <c r="K1930" s="4"/>
      <c r="L1930" s="19"/>
      <c r="M1930" s="20"/>
    </row>
    <row r="1931">
      <c r="A1931" s="6"/>
      <c r="B1931" s="6"/>
      <c r="C1931" s="4"/>
      <c r="D1931" s="36">
        <v>0.0</v>
      </c>
      <c r="E1931" s="4"/>
      <c r="F1931" s="4"/>
      <c r="G1931" s="4"/>
      <c r="H1931" s="4"/>
      <c r="I1931" s="4"/>
      <c r="J1931" s="18"/>
      <c r="K1931" s="4"/>
      <c r="L1931" s="19"/>
      <c r="M1931" s="20"/>
    </row>
    <row r="1932">
      <c r="A1932" s="6"/>
      <c r="B1932" s="6"/>
      <c r="C1932" s="4"/>
      <c r="D1932" s="36">
        <v>0.0</v>
      </c>
      <c r="E1932" s="4"/>
      <c r="F1932" s="4"/>
      <c r="G1932" s="4"/>
      <c r="H1932" s="4"/>
      <c r="I1932" s="4"/>
      <c r="J1932" s="18"/>
      <c r="K1932" s="4"/>
      <c r="L1932" s="19"/>
      <c r="M1932" s="20"/>
    </row>
    <row r="1933">
      <c r="A1933" s="6"/>
      <c r="B1933" s="6"/>
      <c r="C1933" s="4"/>
      <c r="D1933" s="36">
        <v>0.0</v>
      </c>
      <c r="E1933" s="4"/>
      <c r="F1933" s="4"/>
      <c r="G1933" s="4"/>
      <c r="H1933" s="4"/>
      <c r="I1933" s="4"/>
      <c r="J1933" s="18"/>
      <c r="K1933" s="4"/>
      <c r="L1933" s="19"/>
      <c r="M1933" s="20"/>
    </row>
    <row r="1934">
      <c r="A1934" s="6"/>
      <c r="B1934" s="6"/>
      <c r="C1934" s="4"/>
      <c r="D1934" s="36">
        <v>0.0</v>
      </c>
      <c r="E1934" s="4"/>
      <c r="F1934" s="4"/>
      <c r="G1934" s="4"/>
      <c r="H1934" s="4"/>
      <c r="I1934" s="4"/>
      <c r="J1934" s="18"/>
      <c r="K1934" s="4"/>
      <c r="L1934" s="19"/>
      <c r="M1934" s="20"/>
    </row>
    <row r="1935">
      <c r="A1935" s="6"/>
      <c r="B1935" s="6"/>
      <c r="C1935" s="4"/>
      <c r="D1935" s="36">
        <v>0.0</v>
      </c>
      <c r="E1935" s="4"/>
      <c r="F1935" s="4"/>
      <c r="G1935" s="4"/>
      <c r="H1935" s="4"/>
      <c r="I1935" s="4"/>
      <c r="J1935" s="18"/>
      <c r="K1935" s="4"/>
      <c r="L1935" s="19"/>
      <c r="M1935" s="20"/>
    </row>
    <row r="1936">
      <c r="A1936" s="6"/>
      <c r="B1936" s="6"/>
      <c r="C1936" s="4"/>
      <c r="D1936" s="36">
        <v>0.0</v>
      </c>
      <c r="E1936" s="4"/>
      <c r="F1936" s="4"/>
      <c r="G1936" s="4"/>
      <c r="H1936" s="4"/>
      <c r="I1936" s="4"/>
      <c r="J1936" s="18"/>
      <c r="K1936" s="4"/>
      <c r="L1936" s="19"/>
      <c r="M1936" s="20"/>
    </row>
    <row r="1937">
      <c r="A1937" s="6"/>
      <c r="B1937" s="6"/>
      <c r="C1937" s="4"/>
      <c r="D1937" s="36">
        <v>0.0</v>
      </c>
      <c r="E1937" s="4"/>
      <c r="F1937" s="4"/>
      <c r="G1937" s="4"/>
      <c r="H1937" s="4"/>
      <c r="I1937" s="4"/>
      <c r="J1937" s="18"/>
      <c r="K1937" s="4"/>
      <c r="L1937" s="19"/>
      <c r="M1937" s="20"/>
    </row>
    <row r="1938">
      <c r="A1938" s="6"/>
      <c r="B1938" s="6"/>
      <c r="C1938" s="4"/>
      <c r="D1938" s="36">
        <v>0.0</v>
      </c>
      <c r="E1938" s="4"/>
      <c r="F1938" s="4"/>
      <c r="G1938" s="4"/>
      <c r="H1938" s="4"/>
      <c r="I1938" s="4"/>
      <c r="J1938" s="18"/>
      <c r="K1938" s="4"/>
      <c r="L1938" s="19"/>
      <c r="M1938" s="20"/>
    </row>
    <row r="1939">
      <c r="A1939" s="6"/>
      <c r="B1939" s="6"/>
      <c r="C1939" s="4"/>
      <c r="D1939" s="36">
        <v>0.0</v>
      </c>
      <c r="E1939" s="4"/>
      <c r="F1939" s="4"/>
      <c r="G1939" s="4"/>
      <c r="H1939" s="4"/>
      <c r="I1939" s="4"/>
      <c r="J1939" s="18"/>
      <c r="K1939" s="4"/>
      <c r="L1939" s="19"/>
      <c r="M1939" s="20"/>
    </row>
    <row r="1940">
      <c r="A1940" s="6"/>
      <c r="B1940" s="6"/>
      <c r="C1940" s="4"/>
      <c r="D1940" s="36">
        <v>0.0</v>
      </c>
      <c r="E1940" s="4"/>
      <c r="F1940" s="4"/>
      <c r="G1940" s="4"/>
      <c r="H1940" s="4"/>
      <c r="I1940" s="4"/>
      <c r="J1940" s="18"/>
      <c r="K1940" s="4"/>
      <c r="L1940" s="19"/>
      <c r="M1940" s="20"/>
    </row>
    <row r="1941">
      <c r="A1941" s="6"/>
      <c r="B1941" s="6"/>
      <c r="C1941" s="4"/>
      <c r="D1941" s="36">
        <v>0.0</v>
      </c>
      <c r="E1941" s="4"/>
      <c r="F1941" s="4"/>
      <c r="G1941" s="4"/>
      <c r="H1941" s="4"/>
      <c r="I1941" s="4"/>
      <c r="J1941" s="18"/>
      <c r="K1941" s="4"/>
      <c r="L1941" s="19"/>
      <c r="M1941" s="20"/>
    </row>
    <row r="1942">
      <c r="A1942" s="6"/>
      <c r="B1942" s="6"/>
      <c r="C1942" s="4"/>
      <c r="D1942" s="36">
        <v>0.0</v>
      </c>
      <c r="E1942" s="4"/>
      <c r="F1942" s="4"/>
      <c r="G1942" s="4"/>
      <c r="H1942" s="4"/>
      <c r="I1942" s="4"/>
      <c r="J1942" s="18"/>
      <c r="K1942" s="4"/>
      <c r="L1942" s="19"/>
      <c r="M1942" s="20"/>
    </row>
    <row r="1943">
      <c r="A1943" s="6"/>
      <c r="B1943" s="6"/>
      <c r="C1943" s="4"/>
      <c r="D1943" s="36">
        <v>0.0</v>
      </c>
      <c r="E1943" s="4"/>
      <c r="F1943" s="4"/>
      <c r="G1943" s="4"/>
      <c r="H1943" s="4"/>
      <c r="I1943" s="4"/>
      <c r="J1943" s="18"/>
      <c r="K1943" s="4"/>
      <c r="L1943" s="19"/>
      <c r="M1943" s="20"/>
    </row>
    <row r="1944">
      <c r="A1944" s="6"/>
      <c r="B1944" s="6"/>
      <c r="C1944" s="4"/>
      <c r="D1944" s="36">
        <v>0.0</v>
      </c>
      <c r="E1944" s="4"/>
      <c r="F1944" s="4"/>
      <c r="G1944" s="4"/>
      <c r="H1944" s="4"/>
      <c r="I1944" s="4"/>
      <c r="J1944" s="18"/>
      <c r="K1944" s="4"/>
      <c r="L1944" s="19"/>
      <c r="M1944" s="20"/>
    </row>
    <row r="1945">
      <c r="A1945" s="6"/>
      <c r="B1945" s="6"/>
      <c r="C1945" s="4"/>
      <c r="D1945" s="36">
        <v>0.0</v>
      </c>
      <c r="E1945" s="4"/>
      <c r="F1945" s="4"/>
      <c r="G1945" s="4"/>
      <c r="H1945" s="4"/>
      <c r="I1945" s="4"/>
      <c r="J1945" s="18"/>
      <c r="K1945" s="4"/>
      <c r="L1945" s="19"/>
      <c r="M1945" s="20"/>
    </row>
    <row r="1946">
      <c r="A1946" s="6"/>
      <c r="B1946" s="6"/>
      <c r="C1946" s="4"/>
      <c r="D1946" s="36">
        <v>0.0</v>
      </c>
      <c r="E1946" s="4"/>
      <c r="F1946" s="4"/>
      <c r="G1946" s="4"/>
      <c r="H1946" s="4"/>
      <c r="I1946" s="4"/>
      <c r="J1946" s="18"/>
      <c r="K1946" s="4"/>
      <c r="L1946" s="19"/>
      <c r="M1946" s="20"/>
    </row>
    <row r="1947">
      <c r="A1947" s="6"/>
      <c r="B1947" s="6"/>
      <c r="C1947" s="4"/>
      <c r="D1947" s="36">
        <v>0.0</v>
      </c>
      <c r="E1947" s="4"/>
      <c r="F1947" s="4"/>
      <c r="G1947" s="4"/>
      <c r="H1947" s="4"/>
      <c r="I1947" s="4"/>
      <c r="J1947" s="18"/>
      <c r="K1947" s="4"/>
      <c r="L1947" s="19"/>
      <c r="M1947" s="20"/>
    </row>
    <row r="1948">
      <c r="A1948" s="6"/>
      <c r="B1948" s="6"/>
      <c r="C1948" s="4"/>
      <c r="D1948" s="36">
        <v>0.0</v>
      </c>
      <c r="E1948" s="4"/>
      <c r="F1948" s="4"/>
      <c r="G1948" s="4"/>
      <c r="H1948" s="4"/>
      <c r="I1948" s="4"/>
      <c r="J1948" s="18"/>
      <c r="K1948" s="4"/>
      <c r="L1948" s="19"/>
      <c r="M1948" s="20"/>
    </row>
    <row r="1949">
      <c r="A1949" s="6"/>
      <c r="B1949" s="6"/>
      <c r="C1949" s="4"/>
      <c r="D1949" s="36">
        <v>0.0</v>
      </c>
      <c r="E1949" s="4"/>
      <c r="F1949" s="4"/>
      <c r="G1949" s="4"/>
      <c r="H1949" s="4"/>
      <c r="I1949" s="4"/>
      <c r="J1949" s="18"/>
      <c r="K1949" s="4"/>
      <c r="L1949" s="19"/>
      <c r="M1949" s="20"/>
    </row>
    <row r="1950">
      <c r="A1950" s="6"/>
      <c r="B1950" s="6"/>
      <c r="C1950" s="4"/>
      <c r="D1950" s="36">
        <v>0.0</v>
      </c>
      <c r="E1950" s="4"/>
      <c r="F1950" s="4"/>
      <c r="G1950" s="4"/>
      <c r="H1950" s="4"/>
      <c r="I1950" s="4"/>
      <c r="J1950" s="18"/>
      <c r="K1950" s="4"/>
      <c r="L1950" s="19"/>
      <c r="M1950" s="20"/>
    </row>
    <row r="1951">
      <c r="A1951" s="6"/>
      <c r="B1951" s="6"/>
      <c r="C1951" s="4"/>
      <c r="D1951" s="36">
        <v>0.0</v>
      </c>
      <c r="E1951" s="4"/>
      <c r="F1951" s="4"/>
      <c r="G1951" s="4"/>
      <c r="H1951" s="4"/>
      <c r="I1951" s="4"/>
      <c r="J1951" s="18"/>
      <c r="K1951" s="4"/>
      <c r="L1951" s="19"/>
      <c r="M1951" s="20"/>
    </row>
    <row r="1952">
      <c r="A1952" s="6"/>
      <c r="B1952" s="6"/>
      <c r="C1952" s="4"/>
      <c r="D1952" s="36">
        <v>0.0</v>
      </c>
      <c r="E1952" s="4"/>
      <c r="F1952" s="4"/>
      <c r="G1952" s="4"/>
      <c r="H1952" s="4"/>
      <c r="I1952" s="4"/>
      <c r="J1952" s="18"/>
      <c r="K1952" s="4"/>
      <c r="L1952" s="19"/>
      <c r="M1952" s="20"/>
    </row>
    <row r="1953">
      <c r="A1953" s="6"/>
      <c r="B1953" s="6"/>
      <c r="C1953" s="4"/>
      <c r="D1953" s="36">
        <v>0.0</v>
      </c>
      <c r="E1953" s="4"/>
      <c r="F1953" s="4"/>
      <c r="G1953" s="4"/>
      <c r="H1953" s="4"/>
      <c r="I1953" s="4"/>
      <c r="J1953" s="18"/>
      <c r="K1953" s="4"/>
      <c r="L1953" s="19"/>
      <c r="M1953" s="20"/>
    </row>
    <row r="1954">
      <c r="A1954" s="6"/>
      <c r="B1954" s="6"/>
      <c r="C1954" s="4"/>
      <c r="D1954" s="36">
        <v>0.0</v>
      </c>
      <c r="E1954" s="4"/>
      <c r="F1954" s="4"/>
      <c r="G1954" s="4"/>
      <c r="H1954" s="4"/>
      <c r="I1954" s="4"/>
      <c r="J1954" s="18"/>
      <c r="K1954" s="4"/>
      <c r="L1954" s="19"/>
      <c r="M1954" s="20"/>
    </row>
    <row r="1955">
      <c r="A1955" s="6"/>
      <c r="B1955" s="6"/>
      <c r="C1955" s="4"/>
      <c r="D1955" s="36">
        <v>0.0</v>
      </c>
      <c r="E1955" s="4"/>
      <c r="F1955" s="4"/>
      <c r="G1955" s="4"/>
      <c r="H1955" s="4"/>
      <c r="I1955" s="4"/>
      <c r="J1955" s="18"/>
      <c r="K1955" s="4"/>
      <c r="L1955" s="19"/>
      <c r="M1955" s="20"/>
    </row>
    <row r="1956">
      <c r="A1956" s="6"/>
      <c r="B1956" s="6"/>
      <c r="C1956" s="4"/>
      <c r="D1956" s="36">
        <v>0.0</v>
      </c>
      <c r="E1956" s="4"/>
      <c r="F1956" s="4"/>
      <c r="G1956" s="4"/>
      <c r="H1956" s="4"/>
      <c r="I1956" s="4"/>
      <c r="J1956" s="18"/>
      <c r="K1956" s="4"/>
      <c r="L1956" s="19"/>
      <c r="M1956" s="20"/>
    </row>
    <row r="1957">
      <c r="A1957" s="6"/>
      <c r="B1957" s="6"/>
      <c r="C1957" s="4"/>
      <c r="D1957" s="36">
        <v>0.0</v>
      </c>
      <c r="E1957" s="4"/>
      <c r="F1957" s="4"/>
      <c r="G1957" s="4"/>
      <c r="H1957" s="4"/>
      <c r="I1957" s="4"/>
      <c r="J1957" s="18"/>
      <c r="K1957" s="4"/>
      <c r="L1957" s="19"/>
      <c r="M1957" s="20"/>
    </row>
    <row r="1958">
      <c r="A1958" s="6"/>
      <c r="B1958" s="6"/>
      <c r="C1958" s="4"/>
      <c r="D1958" s="36">
        <v>0.0</v>
      </c>
      <c r="E1958" s="4"/>
      <c r="F1958" s="4"/>
      <c r="G1958" s="4"/>
      <c r="H1958" s="4"/>
      <c r="I1958" s="4"/>
      <c r="J1958" s="18"/>
      <c r="K1958" s="4"/>
      <c r="L1958" s="19"/>
      <c r="M1958" s="20"/>
    </row>
    <row r="1959">
      <c r="A1959" s="6"/>
      <c r="B1959" s="6"/>
      <c r="C1959" s="4"/>
      <c r="D1959" s="36">
        <v>0.0</v>
      </c>
      <c r="E1959" s="4"/>
      <c r="F1959" s="4"/>
      <c r="G1959" s="4"/>
      <c r="H1959" s="4"/>
      <c r="I1959" s="4"/>
      <c r="J1959" s="18"/>
      <c r="K1959" s="4"/>
      <c r="L1959" s="19"/>
      <c r="M1959" s="20"/>
    </row>
    <row r="1960">
      <c r="A1960" s="6"/>
      <c r="B1960" s="6"/>
      <c r="C1960" s="4"/>
      <c r="D1960" s="36">
        <v>0.0</v>
      </c>
      <c r="E1960" s="4"/>
      <c r="F1960" s="4"/>
      <c r="G1960" s="4"/>
      <c r="H1960" s="4"/>
      <c r="I1960" s="4"/>
      <c r="J1960" s="18"/>
      <c r="K1960" s="4"/>
      <c r="L1960" s="19"/>
      <c r="M1960" s="20"/>
    </row>
    <row r="1961">
      <c r="A1961" s="6"/>
      <c r="B1961" s="6"/>
      <c r="C1961" s="4"/>
      <c r="D1961" s="36">
        <v>0.0</v>
      </c>
      <c r="E1961" s="4"/>
      <c r="F1961" s="4"/>
      <c r="G1961" s="4"/>
      <c r="H1961" s="4"/>
      <c r="I1961" s="4"/>
      <c r="J1961" s="18"/>
      <c r="K1961" s="4"/>
      <c r="L1961" s="19"/>
      <c r="M1961" s="20"/>
    </row>
    <row r="1962">
      <c r="A1962" s="6"/>
      <c r="B1962" s="6"/>
      <c r="C1962" s="4"/>
      <c r="D1962" s="36">
        <v>0.0</v>
      </c>
      <c r="E1962" s="4"/>
      <c r="F1962" s="4"/>
      <c r="G1962" s="4"/>
      <c r="H1962" s="4"/>
      <c r="I1962" s="4"/>
      <c r="J1962" s="18"/>
      <c r="K1962" s="4"/>
      <c r="L1962" s="19"/>
      <c r="M1962" s="20"/>
    </row>
    <row r="1963">
      <c r="A1963" s="6"/>
      <c r="B1963" s="6"/>
      <c r="C1963" s="4"/>
      <c r="D1963" s="36">
        <v>0.0</v>
      </c>
      <c r="E1963" s="4"/>
      <c r="F1963" s="4"/>
      <c r="G1963" s="4"/>
      <c r="H1963" s="4"/>
      <c r="I1963" s="4"/>
      <c r="J1963" s="18"/>
      <c r="K1963" s="4"/>
      <c r="L1963" s="19"/>
      <c r="M1963" s="20"/>
    </row>
    <row r="1964">
      <c r="A1964" s="6"/>
      <c r="B1964" s="6"/>
      <c r="C1964" s="4"/>
      <c r="D1964" s="36">
        <v>0.0</v>
      </c>
      <c r="E1964" s="4"/>
      <c r="F1964" s="4"/>
      <c r="G1964" s="4"/>
      <c r="H1964" s="4"/>
      <c r="I1964" s="4"/>
      <c r="J1964" s="18"/>
      <c r="K1964" s="4"/>
      <c r="L1964" s="19"/>
      <c r="M1964" s="20"/>
    </row>
    <row r="1965">
      <c r="A1965" s="6"/>
      <c r="B1965" s="6"/>
      <c r="C1965" s="4"/>
      <c r="D1965" s="36">
        <v>0.0</v>
      </c>
      <c r="E1965" s="4"/>
      <c r="F1965" s="4"/>
      <c r="G1965" s="4"/>
      <c r="H1965" s="4"/>
      <c r="I1965" s="4"/>
      <c r="J1965" s="18"/>
      <c r="K1965" s="4"/>
      <c r="L1965" s="19"/>
      <c r="M1965" s="20"/>
    </row>
    <row r="1966">
      <c r="A1966" s="6"/>
      <c r="B1966" s="6"/>
      <c r="C1966" s="4"/>
      <c r="D1966" s="36">
        <v>0.0</v>
      </c>
      <c r="E1966" s="4"/>
      <c r="F1966" s="4"/>
      <c r="G1966" s="4"/>
      <c r="H1966" s="4"/>
      <c r="I1966" s="4"/>
      <c r="J1966" s="18"/>
      <c r="K1966" s="4"/>
      <c r="L1966" s="19"/>
      <c r="M1966" s="20"/>
    </row>
    <row r="1967">
      <c r="A1967" s="6"/>
      <c r="B1967" s="6"/>
      <c r="C1967" s="4"/>
      <c r="D1967" s="36">
        <v>0.0</v>
      </c>
      <c r="E1967" s="4"/>
      <c r="F1967" s="4"/>
      <c r="G1967" s="4"/>
      <c r="H1967" s="4"/>
      <c r="I1967" s="4"/>
      <c r="J1967" s="18"/>
      <c r="K1967" s="4"/>
      <c r="L1967" s="19"/>
      <c r="M1967" s="20"/>
    </row>
    <row r="1968">
      <c r="A1968" s="6"/>
      <c r="B1968" s="6"/>
      <c r="C1968" s="4"/>
      <c r="D1968" s="36">
        <v>0.0</v>
      </c>
      <c r="E1968" s="4"/>
      <c r="F1968" s="4"/>
      <c r="G1968" s="4"/>
      <c r="H1968" s="4"/>
      <c r="I1968" s="4"/>
      <c r="J1968" s="18"/>
      <c r="K1968" s="4"/>
      <c r="L1968" s="19"/>
      <c r="M1968" s="20"/>
    </row>
    <row r="1969">
      <c r="A1969" s="6"/>
      <c r="B1969" s="6"/>
      <c r="C1969" s="4"/>
      <c r="D1969" s="36">
        <v>0.0</v>
      </c>
      <c r="E1969" s="4"/>
      <c r="F1969" s="4"/>
      <c r="G1969" s="4"/>
      <c r="H1969" s="4"/>
      <c r="I1969" s="4"/>
      <c r="J1969" s="18"/>
      <c r="K1969" s="4"/>
      <c r="L1969" s="19"/>
      <c r="M1969" s="20"/>
    </row>
    <row r="1970">
      <c r="A1970" s="6"/>
      <c r="B1970" s="6"/>
      <c r="C1970" s="4"/>
      <c r="D1970" s="36">
        <v>0.0</v>
      </c>
      <c r="E1970" s="4"/>
      <c r="F1970" s="4"/>
      <c r="G1970" s="4"/>
      <c r="H1970" s="4"/>
      <c r="I1970" s="4"/>
      <c r="J1970" s="18"/>
      <c r="K1970" s="4"/>
      <c r="L1970" s="19"/>
      <c r="M1970" s="20"/>
    </row>
    <row r="1971">
      <c r="A1971" s="6"/>
      <c r="B1971" s="6"/>
      <c r="C1971" s="4"/>
      <c r="D1971" s="36">
        <v>0.0</v>
      </c>
      <c r="E1971" s="4"/>
      <c r="F1971" s="4"/>
      <c r="G1971" s="4"/>
      <c r="H1971" s="4"/>
      <c r="I1971" s="4"/>
      <c r="J1971" s="18"/>
      <c r="K1971" s="4"/>
      <c r="L1971" s="19"/>
      <c r="M1971" s="20"/>
    </row>
    <row r="1972">
      <c r="A1972" s="6"/>
      <c r="B1972" s="6"/>
      <c r="C1972" s="4"/>
      <c r="D1972" s="36">
        <v>0.0</v>
      </c>
      <c r="E1972" s="4"/>
      <c r="F1972" s="4"/>
      <c r="G1972" s="4"/>
      <c r="H1972" s="4"/>
      <c r="I1972" s="4"/>
      <c r="J1972" s="18"/>
      <c r="K1972" s="4"/>
      <c r="L1972" s="19"/>
      <c r="M1972" s="20"/>
    </row>
    <row r="1973">
      <c r="A1973" s="6"/>
      <c r="B1973" s="6"/>
      <c r="C1973" s="4"/>
      <c r="D1973" s="36">
        <v>0.0</v>
      </c>
      <c r="E1973" s="4"/>
      <c r="F1973" s="4"/>
      <c r="G1973" s="4"/>
      <c r="H1973" s="4"/>
      <c r="I1973" s="4"/>
      <c r="J1973" s="18"/>
      <c r="K1973" s="4"/>
      <c r="L1973" s="19"/>
      <c r="M1973" s="20"/>
    </row>
    <row r="1974">
      <c r="A1974" s="6"/>
      <c r="B1974" s="6"/>
      <c r="C1974" s="4"/>
      <c r="D1974" s="36">
        <v>0.0</v>
      </c>
      <c r="E1974" s="4"/>
      <c r="F1974" s="4"/>
      <c r="G1974" s="4"/>
      <c r="H1974" s="4"/>
      <c r="I1974" s="4"/>
      <c r="J1974" s="18"/>
      <c r="K1974" s="4"/>
      <c r="L1974" s="19"/>
      <c r="M1974" s="20"/>
    </row>
    <row r="1975">
      <c r="A1975" s="6"/>
      <c r="B1975" s="6"/>
      <c r="C1975" s="4"/>
      <c r="D1975" s="36">
        <v>0.0</v>
      </c>
      <c r="E1975" s="4"/>
      <c r="F1975" s="4"/>
      <c r="G1975" s="4"/>
      <c r="H1975" s="4"/>
      <c r="I1975" s="4"/>
      <c r="J1975" s="18"/>
      <c r="K1975" s="4"/>
      <c r="L1975" s="19"/>
      <c r="M1975" s="20"/>
    </row>
    <row r="1976">
      <c r="A1976" s="6"/>
      <c r="B1976" s="6"/>
      <c r="C1976" s="4"/>
      <c r="D1976" s="36">
        <v>0.0</v>
      </c>
      <c r="E1976" s="4"/>
      <c r="F1976" s="4"/>
      <c r="G1976" s="4"/>
      <c r="H1976" s="4"/>
      <c r="I1976" s="4"/>
      <c r="J1976" s="18"/>
      <c r="K1976" s="4"/>
      <c r="L1976" s="19"/>
      <c r="M1976" s="20"/>
    </row>
    <row r="1977">
      <c r="A1977" s="6"/>
      <c r="B1977" s="6"/>
      <c r="C1977" s="4"/>
      <c r="D1977" s="36">
        <v>0.0</v>
      </c>
      <c r="E1977" s="4"/>
      <c r="F1977" s="4"/>
      <c r="G1977" s="4"/>
      <c r="H1977" s="4"/>
      <c r="I1977" s="4"/>
      <c r="J1977" s="18"/>
      <c r="K1977" s="4"/>
      <c r="L1977" s="19"/>
      <c r="M1977" s="20"/>
    </row>
    <row r="1978">
      <c r="A1978" s="6"/>
      <c r="B1978" s="6"/>
      <c r="C1978" s="4"/>
      <c r="D1978" s="36">
        <v>0.0</v>
      </c>
      <c r="E1978" s="4"/>
      <c r="F1978" s="4"/>
      <c r="G1978" s="4"/>
      <c r="H1978" s="4"/>
      <c r="I1978" s="4"/>
      <c r="J1978" s="18"/>
      <c r="K1978" s="4"/>
      <c r="L1978" s="19"/>
      <c r="M1978" s="20"/>
    </row>
    <row r="1979">
      <c r="A1979" s="6"/>
      <c r="B1979" s="6"/>
      <c r="C1979" s="4"/>
      <c r="D1979" s="36">
        <v>0.0</v>
      </c>
      <c r="E1979" s="4"/>
      <c r="F1979" s="4"/>
      <c r="G1979" s="4"/>
      <c r="H1979" s="4"/>
      <c r="I1979" s="4"/>
      <c r="J1979" s="18"/>
      <c r="K1979" s="4"/>
      <c r="L1979" s="19"/>
      <c r="M1979" s="20"/>
    </row>
    <row r="1980">
      <c r="A1980" s="6"/>
      <c r="B1980" s="6"/>
      <c r="C1980" s="4"/>
      <c r="D1980" s="36">
        <v>0.0</v>
      </c>
      <c r="E1980" s="4"/>
      <c r="F1980" s="4"/>
      <c r="G1980" s="4"/>
      <c r="H1980" s="4"/>
      <c r="I1980" s="4"/>
      <c r="J1980" s="18"/>
      <c r="K1980" s="4"/>
      <c r="L1980" s="19"/>
      <c r="M1980" s="20"/>
    </row>
    <row r="1981">
      <c r="A1981" s="6"/>
      <c r="B1981" s="6"/>
      <c r="C1981" s="4"/>
      <c r="D1981" s="36">
        <v>0.0</v>
      </c>
      <c r="E1981" s="4"/>
      <c r="F1981" s="4"/>
      <c r="G1981" s="4"/>
      <c r="H1981" s="4"/>
      <c r="I1981" s="4"/>
      <c r="J1981" s="18"/>
      <c r="K1981" s="4"/>
      <c r="L1981" s="19"/>
      <c r="M1981" s="20"/>
    </row>
    <row r="1982">
      <c r="A1982" s="6"/>
      <c r="B1982" s="6"/>
      <c r="C1982" s="4"/>
      <c r="D1982" s="36">
        <v>0.0</v>
      </c>
      <c r="E1982" s="4"/>
      <c r="F1982" s="4"/>
      <c r="G1982" s="4"/>
      <c r="H1982" s="4"/>
      <c r="I1982" s="4"/>
      <c r="J1982" s="18"/>
      <c r="K1982" s="4"/>
      <c r="L1982" s="19"/>
      <c r="M1982" s="20"/>
    </row>
    <row r="1983">
      <c r="A1983" s="6"/>
      <c r="B1983" s="6"/>
      <c r="C1983" s="4"/>
      <c r="D1983" s="36">
        <v>0.0</v>
      </c>
      <c r="E1983" s="4"/>
      <c r="F1983" s="4"/>
      <c r="G1983" s="4"/>
      <c r="H1983" s="4"/>
      <c r="I1983" s="4"/>
      <c r="J1983" s="18"/>
      <c r="K1983" s="4"/>
      <c r="L1983" s="19"/>
      <c r="M1983" s="20"/>
    </row>
    <row r="1984">
      <c r="A1984" s="6"/>
      <c r="B1984" s="6"/>
      <c r="C1984" s="4"/>
      <c r="D1984" s="36">
        <v>0.0</v>
      </c>
      <c r="E1984" s="4"/>
      <c r="F1984" s="4"/>
      <c r="G1984" s="4"/>
      <c r="H1984" s="4"/>
      <c r="I1984" s="4"/>
      <c r="J1984" s="18"/>
      <c r="K1984" s="4"/>
      <c r="L1984" s="19"/>
      <c r="M1984" s="20"/>
    </row>
    <row r="1985">
      <c r="A1985" s="6"/>
      <c r="B1985" s="6"/>
      <c r="C1985" s="4"/>
      <c r="D1985" s="36">
        <v>0.0</v>
      </c>
      <c r="E1985" s="4"/>
      <c r="F1985" s="4"/>
      <c r="G1985" s="4"/>
      <c r="H1985" s="4"/>
      <c r="I1985" s="4"/>
      <c r="J1985" s="18"/>
      <c r="K1985" s="4"/>
      <c r="L1985" s="19"/>
      <c r="M1985" s="20"/>
    </row>
    <row r="1986">
      <c r="A1986" s="6"/>
      <c r="B1986" s="6"/>
      <c r="C1986" s="4"/>
      <c r="D1986" s="36">
        <v>0.0</v>
      </c>
      <c r="E1986" s="4"/>
      <c r="F1986" s="4"/>
      <c r="G1986" s="4"/>
      <c r="H1986" s="4"/>
      <c r="I1986" s="4"/>
      <c r="J1986" s="18"/>
      <c r="K1986" s="4"/>
      <c r="L1986" s="19"/>
      <c r="M1986" s="20"/>
    </row>
    <row r="1987">
      <c r="A1987" s="6"/>
      <c r="B1987" s="6"/>
      <c r="C1987" s="4"/>
      <c r="D1987" s="36">
        <v>0.0</v>
      </c>
      <c r="E1987" s="4"/>
      <c r="F1987" s="4"/>
      <c r="G1987" s="4"/>
      <c r="H1987" s="4"/>
      <c r="I1987" s="4"/>
      <c r="J1987" s="18"/>
      <c r="K1987" s="4"/>
      <c r="L1987" s="19"/>
      <c r="M1987" s="20"/>
    </row>
    <row r="1988">
      <c r="A1988" s="6"/>
      <c r="B1988" s="6"/>
      <c r="C1988" s="4"/>
      <c r="D1988" s="36">
        <v>0.0</v>
      </c>
      <c r="E1988" s="4"/>
      <c r="F1988" s="4"/>
      <c r="G1988" s="4"/>
      <c r="H1988" s="4"/>
      <c r="I1988" s="4"/>
      <c r="J1988" s="18"/>
      <c r="K1988" s="4"/>
      <c r="L1988" s="19"/>
      <c r="M1988" s="20"/>
    </row>
    <row r="1989">
      <c r="A1989" s="6"/>
      <c r="B1989" s="6"/>
      <c r="C1989" s="4"/>
      <c r="D1989" s="36">
        <v>0.0</v>
      </c>
      <c r="E1989" s="4"/>
      <c r="F1989" s="4"/>
      <c r="G1989" s="4"/>
      <c r="H1989" s="4"/>
      <c r="I1989" s="4"/>
      <c r="J1989" s="18"/>
      <c r="K1989" s="4"/>
      <c r="L1989" s="19"/>
      <c r="M1989" s="20"/>
    </row>
    <row r="1990">
      <c r="A1990" s="6"/>
      <c r="B1990" s="6"/>
      <c r="C1990" s="4"/>
      <c r="D1990" s="36">
        <v>0.0</v>
      </c>
      <c r="E1990" s="4"/>
      <c r="F1990" s="4"/>
      <c r="G1990" s="4"/>
      <c r="H1990" s="4"/>
      <c r="I1990" s="4"/>
      <c r="J1990" s="18"/>
      <c r="K1990" s="4"/>
      <c r="L1990" s="19"/>
      <c r="M1990" s="20"/>
    </row>
    <row r="1991">
      <c r="A1991" s="6"/>
      <c r="B1991" s="6"/>
      <c r="C1991" s="4"/>
      <c r="D1991" s="36">
        <v>0.0</v>
      </c>
      <c r="E1991" s="4"/>
      <c r="F1991" s="4"/>
      <c r="G1991" s="4"/>
      <c r="H1991" s="4"/>
      <c r="I1991" s="4"/>
      <c r="J1991" s="18"/>
      <c r="K1991" s="4"/>
      <c r="L1991" s="19"/>
      <c r="M1991" s="20"/>
    </row>
    <row r="1992">
      <c r="A1992" s="6"/>
      <c r="B1992" s="6"/>
      <c r="C1992" s="4"/>
      <c r="D1992" s="36">
        <v>0.0</v>
      </c>
      <c r="E1992" s="4"/>
      <c r="F1992" s="4"/>
      <c r="G1992" s="4"/>
      <c r="H1992" s="4"/>
      <c r="I1992" s="4"/>
      <c r="J1992" s="18"/>
      <c r="K1992" s="4"/>
      <c r="L1992" s="19"/>
      <c r="M1992" s="20"/>
    </row>
    <row r="1993">
      <c r="A1993" s="6"/>
      <c r="B1993" s="6"/>
      <c r="C1993" s="4"/>
      <c r="D1993" s="36">
        <v>0.0</v>
      </c>
      <c r="E1993" s="4"/>
      <c r="F1993" s="4"/>
      <c r="G1993" s="4"/>
      <c r="H1993" s="4"/>
      <c r="I1993" s="4"/>
      <c r="J1993" s="18"/>
      <c r="K1993" s="4"/>
      <c r="L1993" s="19"/>
      <c r="M1993" s="20"/>
    </row>
    <row r="1994">
      <c r="A1994" s="6"/>
      <c r="B1994" s="6"/>
      <c r="C1994" s="4"/>
      <c r="D1994" s="36">
        <v>0.0</v>
      </c>
      <c r="E1994" s="4"/>
      <c r="F1994" s="4"/>
      <c r="G1994" s="4"/>
      <c r="H1994" s="4"/>
      <c r="I1994" s="4"/>
      <c r="J1994" s="18"/>
      <c r="K1994" s="4"/>
      <c r="L1994" s="19"/>
      <c r="M1994" s="20"/>
    </row>
    <row r="1995">
      <c r="A1995" s="6"/>
      <c r="B1995" s="6"/>
      <c r="C1995" s="4"/>
      <c r="D1995" s="36">
        <v>0.0</v>
      </c>
      <c r="E1995" s="4"/>
      <c r="F1995" s="4"/>
      <c r="G1995" s="4"/>
      <c r="H1995" s="4"/>
      <c r="I1995" s="4"/>
      <c r="J1995" s="18"/>
      <c r="K1995" s="4"/>
      <c r="L1995" s="19"/>
      <c r="M1995" s="20"/>
    </row>
    <row r="1996">
      <c r="A1996" s="6"/>
      <c r="B1996" s="6"/>
      <c r="C1996" s="4"/>
      <c r="D1996" s="36">
        <v>0.0</v>
      </c>
      <c r="E1996" s="4"/>
      <c r="F1996" s="4"/>
      <c r="G1996" s="4"/>
      <c r="H1996" s="4"/>
      <c r="I1996" s="4"/>
      <c r="J1996" s="18"/>
      <c r="K1996" s="4"/>
      <c r="L1996" s="19"/>
      <c r="M1996" s="20"/>
    </row>
    <row r="1997">
      <c r="A1997" s="6"/>
      <c r="B1997" s="6"/>
      <c r="C1997" s="4"/>
      <c r="D1997" s="36">
        <v>0.0</v>
      </c>
      <c r="E1997" s="4"/>
      <c r="F1997" s="4"/>
      <c r="G1997" s="4"/>
      <c r="H1997" s="4"/>
      <c r="I1997" s="4"/>
      <c r="J1997" s="18"/>
      <c r="K1997" s="4"/>
      <c r="L1997" s="19"/>
      <c r="M1997" s="20"/>
    </row>
    <row r="1998">
      <c r="A1998" s="6"/>
      <c r="B1998" s="6"/>
      <c r="C1998" s="4"/>
      <c r="D1998" s="36">
        <v>0.0</v>
      </c>
      <c r="E1998" s="4"/>
      <c r="F1998" s="4"/>
      <c r="G1998" s="4"/>
      <c r="H1998" s="4"/>
      <c r="I1998" s="4"/>
      <c r="J1998" s="18"/>
      <c r="K1998" s="4"/>
      <c r="L1998" s="19"/>
      <c r="M1998" s="20"/>
    </row>
    <row r="1999">
      <c r="A1999" s="6"/>
      <c r="B1999" s="6"/>
      <c r="C1999" s="4"/>
      <c r="D1999" s="36">
        <v>0.0</v>
      </c>
      <c r="E1999" s="4"/>
      <c r="F1999" s="4"/>
      <c r="G1999" s="4"/>
      <c r="H1999" s="4"/>
      <c r="I1999" s="4"/>
      <c r="J1999" s="18"/>
      <c r="K1999" s="4"/>
      <c r="L1999" s="19"/>
      <c r="M1999" s="20"/>
    </row>
    <row r="2000">
      <c r="A2000" s="6"/>
      <c r="B2000" s="6"/>
      <c r="C2000" s="4"/>
      <c r="D2000" s="36">
        <v>0.0</v>
      </c>
      <c r="E2000" s="4"/>
      <c r="F2000" s="4"/>
      <c r="G2000" s="4"/>
      <c r="H2000" s="4"/>
      <c r="I2000" s="4"/>
      <c r="J2000" s="18"/>
      <c r="K2000" s="4"/>
      <c r="L2000" s="19"/>
      <c r="M2000" s="20"/>
    </row>
    <row r="2001">
      <c r="A2001" s="6"/>
      <c r="B2001" s="6"/>
      <c r="C2001" s="2"/>
      <c r="D2001" s="36" t="s">
        <v>3</v>
      </c>
      <c r="E2001" s="38" t="s">
        <v>1</v>
      </c>
      <c r="F2001" s="4"/>
      <c r="G2001" s="4"/>
      <c r="H2001" s="4"/>
      <c r="I2001" s="4"/>
      <c r="J2001" s="18"/>
      <c r="K2001" s="4"/>
      <c r="L2001" s="19"/>
      <c r="M2001" s="20"/>
    </row>
    <row r="2002">
      <c r="A2002" s="6"/>
      <c r="B2002" s="6"/>
      <c r="C2002" s="4"/>
      <c r="D2002" s="36">
        <v>224.000554</v>
      </c>
      <c r="E2002" s="4" t="s">
        <v>1218</v>
      </c>
      <c r="F2002" s="4"/>
      <c r="G2002" s="4"/>
      <c r="H2002" s="4"/>
      <c r="I2002" s="4"/>
      <c r="J2002" s="18"/>
      <c r="K2002" s="4"/>
      <c r="L2002" s="19"/>
      <c r="M2002" s="20"/>
    </row>
    <row r="2003">
      <c r="A2003" s="6"/>
      <c r="B2003" s="6"/>
      <c r="C2003" s="4"/>
      <c r="D2003" s="36">
        <v>22.400055</v>
      </c>
      <c r="E2003" s="4" t="s">
        <v>3190</v>
      </c>
      <c r="F2003" s="4"/>
      <c r="G2003" s="4"/>
      <c r="H2003" s="4"/>
      <c r="I2003" s="4"/>
      <c r="J2003" s="18"/>
      <c r="K2003" s="4"/>
      <c r="L2003" s="19"/>
      <c r="M2003" s="20"/>
    </row>
    <row r="2004">
      <c r="A2004" s="6"/>
      <c r="B2004" s="6"/>
      <c r="C2004" s="4"/>
      <c r="D2004" s="36">
        <v>224.000554</v>
      </c>
      <c r="E2004" s="4" t="s">
        <v>8952</v>
      </c>
      <c r="F2004" s="4"/>
      <c r="G2004" s="4"/>
      <c r="H2004" s="4"/>
      <c r="I2004" s="4"/>
      <c r="J2004" s="18"/>
      <c r="K2004" s="4"/>
      <c r="L2004" s="19"/>
      <c r="M2004" s="20"/>
    </row>
    <row r="2005">
      <c r="A2005" s="6"/>
      <c r="B2005" s="6"/>
      <c r="C2005" s="4"/>
      <c r="D2005" s="36">
        <v>45.457118</v>
      </c>
      <c r="E2005" s="4" t="s">
        <v>6587</v>
      </c>
      <c r="F2005" s="4"/>
      <c r="G2005" s="4"/>
      <c r="H2005" s="4"/>
      <c r="I2005" s="4"/>
      <c r="J2005" s="18"/>
      <c r="K2005" s="4"/>
      <c r="L2005" s="19"/>
      <c r="M2005" s="20"/>
    </row>
    <row r="2006">
      <c r="A2006" s="6"/>
      <c r="B2006" s="6"/>
      <c r="C2006" s="4"/>
      <c r="D2006" s="36">
        <v>224.000554</v>
      </c>
      <c r="E2006" s="4" t="s">
        <v>1091</v>
      </c>
      <c r="F2006" s="4"/>
      <c r="G2006" s="4"/>
      <c r="H2006" s="4"/>
      <c r="I2006" s="4"/>
      <c r="J2006" s="18"/>
      <c r="K2006" s="4"/>
      <c r="L2006" s="19"/>
      <c r="M2006" s="20"/>
    </row>
    <row r="2007">
      <c r="A2007" s="6"/>
      <c r="B2007" s="6"/>
      <c r="C2007" s="4"/>
      <c r="D2007" s="36">
        <v>38.981056</v>
      </c>
      <c r="E2007" s="4" t="s">
        <v>8953</v>
      </c>
      <c r="F2007" s="4"/>
      <c r="G2007" s="4"/>
      <c r="H2007" s="4"/>
      <c r="I2007" s="4"/>
      <c r="J2007" s="18"/>
      <c r="K2007" s="4"/>
      <c r="L2007" s="19"/>
      <c r="M2007" s="20"/>
    </row>
    <row r="2008">
      <c r="A2008" s="6"/>
      <c r="B2008" s="6"/>
      <c r="C2008" s="4"/>
      <c r="D2008" s="36">
        <v>116.139411</v>
      </c>
      <c r="E2008" s="4" t="s">
        <v>2112</v>
      </c>
      <c r="F2008" s="4"/>
      <c r="G2008" s="4"/>
      <c r="H2008" s="4"/>
      <c r="I2008" s="4"/>
      <c r="J2008" s="18"/>
      <c r="K2008" s="4"/>
      <c r="L2008" s="19"/>
      <c r="M2008" s="20"/>
    </row>
    <row r="2009">
      <c r="A2009" s="6"/>
      <c r="B2009" s="6"/>
      <c r="C2009" s="4"/>
      <c r="D2009" s="36">
        <v>119.085493</v>
      </c>
      <c r="E2009" s="4" t="s">
        <v>8643</v>
      </c>
      <c r="F2009" s="4"/>
      <c r="G2009" s="4"/>
      <c r="H2009" s="4"/>
      <c r="I2009" s="4"/>
      <c r="J2009" s="18"/>
      <c r="K2009" s="4"/>
      <c r="L2009" s="19"/>
      <c r="M2009" s="20"/>
    </row>
    <row r="2010">
      <c r="A2010" s="6"/>
      <c r="B2010" s="6"/>
      <c r="C2010" s="4"/>
      <c r="D2010" s="36">
        <v>68.699196</v>
      </c>
      <c r="E2010" s="4" t="s">
        <v>6764</v>
      </c>
      <c r="F2010" s="4"/>
      <c r="G2010" s="4"/>
      <c r="H2010" s="4"/>
      <c r="I2010" s="4"/>
      <c r="J2010" s="18"/>
      <c r="K2010" s="4"/>
      <c r="L2010" s="19"/>
      <c r="M2010" s="20"/>
    </row>
    <row r="2011">
      <c r="A2011" s="6"/>
      <c r="B2011" s="6"/>
      <c r="C2011" s="4"/>
      <c r="D2011" s="36">
        <v>224.000554</v>
      </c>
      <c r="E2011" s="4" t="s">
        <v>8954</v>
      </c>
      <c r="F2011" s="4"/>
      <c r="G2011" s="4"/>
      <c r="H2011" s="4"/>
      <c r="I2011" s="4"/>
      <c r="J2011" s="18"/>
      <c r="K2011" s="4"/>
      <c r="L2011" s="19"/>
      <c r="M2011" s="20"/>
    </row>
    <row r="2012">
      <c r="A2012" s="6"/>
      <c r="B2012" s="6"/>
      <c r="C2012" s="4"/>
      <c r="D2012" s="36">
        <v>172.929876</v>
      </c>
      <c r="E2012" s="4" t="s">
        <v>8955</v>
      </c>
      <c r="F2012" s="4"/>
      <c r="G2012" s="4"/>
      <c r="H2012" s="4"/>
      <c r="I2012" s="4"/>
      <c r="J2012" s="18"/>
      <c r="K2012" s="4"/>
      <c r="L2012" s="19"/>
      <c r="M2012" s="20"/>
    </row>
    <row r="2013">
      <c r="A2013" s="6"/>
      <c r="B2013" s="6"/>
      <c r="C2013" s="4"/>
      <c r="D2013" s="36">
        <v>224.000554</v>
      </c>
      <c r="E2013" s="4" t="s">
        <v>8956</v>
      </c>
      <c r="F2013" s="4"/>
      <c r="G2013" s="4"/>
      <c r="H2013" s="4"/>
      <c r="I2013" s="4"/>
      <c r="J2013" s="18"/>
      <c r="K2013" s="4"/>
      <c r="L2013" s="19"/>
      <c r="M2013" s="20"/>
    </row>
    <row r="2014">
      <c r="A2014" s="6"/>
      <c r="B2014" s="6"/>
      <c r="C2014" s="4"/>
      <c r="D2014" s="36">
        <v>41.794396</v>
      </c>
      <c r="E2014" s="4" t="s">
        <v>6175</v>
      </c>
      <c r="F2014" s="4"/>
      <c r="G2014" s="4"/>
      <c r="H2014" s="4"/>
      <c r="I2014" s="4"/>
      <c r="J2014" s="18"/>
      <c r="K2014" s="4"/>
      <c r="L2014" s="19"/>
      <c r="M2014" s="20"/>
    </row>
    <row r="2015">
      <c r="A2015" s="6"/>
      <c r="B2015" s="6"/>
      <c r="C2015" s="4"/>
      <c r="D2015" s="36">
        <v>224.000554</v>
      </c>
      <c r="E2015" s="4" t="s">
        <v>7610</v>
      </c>
      <c r="F2015" s="4"/>
      <c r="G2015" s="4"/>
      <c r="H2015" s="4"/>
      <c r="I2015" s="4"/>
      <c r="J2015" s="18"/>
      <c r="K2015" s="4"/>
      <c r="L2015" s="19"/>
      <c r="M2015" s="20"/>
    </row>
    <row r="2016">
      <c r="A2016" s="6"/>
      <c r="B2016" s="6"/>
      <c r="C2016" s="4"/>
      <c r="D2016" s="36">
        <v>54.752166</v>
      </c>
      <c r="E2016" s="4" t="s">
        <v>699</v>
      </c>
      <c r="F2016" s="4"/>
      <c r="G2016" s="4"/>
      <c r="H2016" s="4"/>
      <c r="I2016" s="4"/>
      <c r="J2016" s="18"/>
      <c r="K2016" s="4"/>
      <c r="L2016" s="19"/>
      <c r="M2016" s="20"/>
    </row>
    <row r="2017">
      <c r="A2017" s="6"/>
      <c r="B2017" s="6"/>
      <c r="C2017" s="4"/>
      <c r="D2017" s="36">
        <v>224.000554</v>
      </c>
      <c r="E2017" s="4" t="s">
        <v>8957</v>
      </c>
      <c r="F2017" s="4"/>
      <c r="G2017" s="4"/>
      <c r="H2017" s="4"/>
      <c r="I2017" s="4"/>
      <c r="J2017" s="18"/>
      <c r="K2017" s="4"/>
      <c r="L2017" s="19"/>
      <c r="M2017" s="20"/>
    </row>
    <row r="2018">
      <c r="A2018" s="6"/>
      <c r="B2018" s="6"/>
      <c r="C2018" s="4"/>
      <c r="D2018" s="36">
        <v>115.079091</v>
      </c>
      <c r="E2018" s="4" t="s">
        <v>5565</v>
      </c>
      <c r="F2018" s="4"/>
      <c r="G2018" s="4"/>
      <c r="H2018" s="4"/>
      <c r="I2018" s="4"/>
      <c r="J2018" s="18"/>
      <c r="K2018" s="4"/>
      <c r="L2018" s="19"/>
      <c r="M2018" s="20"/>
    </row>
    <row r="2019">
      <c r="A2019" s="6"/>
      <c r="B2019" s="6"/>
      <c r="C2019" s="4"/>
      <c r="D2019" s="36">
        <v>224.000554</v>
      </c>
      <c r="E2019" s="4" t="s">
        <v>8591</v>
      </c>
      <c r="F2019" s="4"/>
      <c r="G2019" s="4"/>
      <c r="H2019" s="4"/>
      <c r="I2019" s="4"/>
      <c r="J2019" s="18"/>
      <c r="K2019" s="4"/>
      <c r="L2019" s="19"/>
      <c r="M2019" s="20"/>
    </row>
    <row r="2020">
      <c r="A2020" s="6"/>
      <c r="B2020" s="6"/>
      <c r="C2020" s="4"/>
      <c r="D2020" s="36">
        <v>224.000554</v>
      </c>
      <c r="E2020" s="4" t="s">
        <v>817</v>
      </c>
      <c r="F2020" s="4"/>
      <c r="G2020" s="4"/>
      <c r="H2020" s="4"/>
      <c r="I2020" s="4"/>
      <c r="J2020" s="18"/>
      <c r="K2020" s="4"/>
      <c r="L2020" s="19"/>
      <c r="M2020" s="20"/>
    </row>
    <row r="2021">
      <c r="A2021" s="6"/>
      <c r="B2021" s="6"/>
      <c r="C2021" s="4"/>
      <c r="D2021" s="36">
        <v>45.77125</v>
      </c>
      <c r="E2021" s="4" t="s">
        <v>2914</v>
      </c>
      <c r="F2021" s="4"/>
      <c r="G2021" s="4"/>
      <c r="H2021" s="4"/>
      <c r="I2021" s="4"/>
      <c r="J2021" s="18"/>
      <c r="K2021" s="4"/>
      <c r="L2021" s="19"/>
      <c r="M2021" s="20"/>
    </row>
    <row r="2022">
      <c r="A2022" s="6"/>
      <c r="B2022" s="6"/>
      <c r="C2022" s="4"/>
      <c r="D2022" s="36">
        <v>21.63113</v>
      </c>
      <c r="E2022" s="4" t="s">
        <v>8600</v>
      </c>
      <c r="F2022" s="4"/>
      <c r="G2022" s="4"/>
      <c r="H2022" s="4"/>
      <c r="I2022" s="4"/>
      <c r="J2022" s="18"/>
      <c r="K2022" s="4"/>
      <c r="L2022" s="19"/>
      <c r="M2022" s="20"/>
    </row>
    <row r="2023">
      <c r="A2023" s="6"/>
      <c r="B2023" s="6"/>
      <c r="C2023" s="4"/>
      <c r="D2023" s="36">
        <v>83.70905</v>
      </c>
      <c r="E2023" s="4" t="s">
        <v>390</v>
      </c>
      <c r="F2023" s="4"/>
      <c r="G2023" s="4"/>
      <c r="H2023" s="4"/>
      <c r="I2023" s="4"/>
      <c r="J2023" s="18"/>
      <c r="K2023" s="4"/>
      <c r="L2023" s="19"/>
      <c r="M2023" s="20"/>
    </row>
    <row r="2024">
      <c r="A2024" s="6"/>
      <c r="B2024" s="6"/>
      <c r="C2024" s="4"/>
      <c r="D2024" s="36">
        <v>77.742162</v>
      </c>
      <c r="E2024" s="4" t="s">
        <v>1240</v>
      </c>
      <c r="F2024" s="4"/>
      <c r="G2024" s="4"/>
      <c r="H2024" s="4"/>
      <c r="I2024" s="4"/>
      <c r="J2024" s="18"/>
      <c r="K2024" s="4"/>
      <c r="L2024" s="19"/>
      <c r="M2024" s="20"/>
    </row>
    <row r="2025">
      <c r="A2025" s="6"/>
      <c r="B2025" s="6"/>
      <c r="C2025" s="4"/>
      <c r="D2025" s="36">
        <v>224.000554</v>
      </c>
      <c r="E2025" s="4" t="s">
        <v>373</v>
      </c>
      <c r="F2025" s="4"/>
      <c r="G2025" s="4"/>
      <c r="H2025" s="4"/>
      <c r="I2025" s="4"/>
      <c r="J2025" s="18"/>
      <c r="K2025" s="4"/>
      <c r="L2025" s="19"/>
      <c r="M2025" s="20"/>
    </row>
    <row r="2026">
      <c r="A2026" s="6"/>
      <c r="B2026" s="6"/>
      <c r="C2026" s="4"/>
      <c r="D2026" s="36">
        <v>216.525408</v>
      </c>
      <c r="E2026" s="4" t="s">
        <v>8958</v>
      </c>
      <c r="F2026" s="4"/>
      <c r="G2026" s="4"/>
      <c r="H2026" s="4"/>
      <c r="I2026" s="4"/>
      <c r="J2026" s="18"/>
      <c r="K2026" s="4"/>
      <c r="L2026" s="19"/>
      <c r="M2026" s="20"/>
    </row>
    <row r="2027">
      <c r="A2027" s="6"/>
      <c r="B2027" s="6"/>
      <c r="C2027" s="4"/>
      <c r="D2027" s="36">
        <v>170.900389</v>
      </c>
      <c r="E2027" s="4" t="s">
        <v>8959</v>
      </c>
      <c r="F2027" s="4"/>
      <c r="G2027" s="4"/>
      <c r="H2027" s="4"/>
      <c r="I2027" s="4"/>
      <c r="J2027" s="18"/>
      <c r="K2027" s="4"/>
      <c r="L2027" s="19"/>
      <c r="M2027" s="20"/>
    </row>
    <row r="2028">
      <c r="A2028" s="6"/>
      <c r="B2028" s="6"/>
      <c r="C2028" s="4"/>
      <c r="D2028" s="36">
        <v>224.000554</v>
      </c>
      <c r="E2028" s="4" t="s">
        <v>1739</v>
      </c>
      <c r="F2028" s="4"/>
      <c r="G2028" s="4"/>
      <c r="H2028" s="4"/>
      <c r="I2028" s="4"/>
      <c r="J2028" s="18"/>
      <c r="K2028" s="4"/>
      <c r="L2028" s="19"/>
      <c r="M2028" s="20"/>
    </row>
    <row r="2029">
      <c r="A2029" s="6"/>
      <c r="B2029" s="6"/>
      <c r="C2029" s="4"/>
      <c r="D2029" s="36">
        <v>224.000554</v>
      </c>
      <c r="E2029" s="4" t="s">
        <v>2225</v>
      </c>
      <c r="F2029" s="4"/>
      <c r="G2029" s="4"/>
      <c r="H2029" s="4"/>
      <c r="I2029" s="4"/>
      <c r="J2029" s="18"/>
      <c r="K2029" s="4"/>
      <c r="L2029" s="19"/>
      <c r="M2029" s="20"/>
    </row>
    <row r="2030">
      <c r="A2030" s="6"/>
      <c r="B2030" s="6"/>
      <c r="C2030" s="4"/>
      <c r="D2030" s="36">
        <v>224.000554</v>
      </c>
      <c r="E2030" s="4" t="s">
        <v>8521</v>
      </c>
      <c r="F2030" s="4"/>
      <c r="G2030" s="4"/>
      <c r="H2030" s="4"/>
      <c r="I2030" s="4"/>
      <c r="J2030" s="18"/>
      <c r="K2030" s="4"/>
      <c r="L2030" s="19"/>
      <c r="M2030" s="20"/>
    </row>
    <row r="2031">
      <c r="A2031" s="6"/>
      <c r="B2031" s="6"/>
      <c r="C2031" s="4"/>
      <c r="D2031" s="36">
        <v>56.000138</v>
      </c>
      <c r="E2031" s="4" t="s">
        <v>6088</v>
      </c>
      <c r="F2031" s="4"/>
      <c r="G2031" s="4"/>
      <c r="H2031" s="4"/>
      <c r="I2031" s="4"/>
      <c r="J2031" s="18"/>
      <c r="K2031" s="4"/>
      <c r="L2031" s="19"/>
      <c r="M2031" s="20"/>
    </row>
    <row r="2032">
      <c r="A2032" s="6"/>
      <c r="B2032" s="6"/>
      <c r="C2032" s="4"/>
      <c r="D2032" s="36">
        <v>167.788955</v>
      </c>
      <c r="E2032" s="4" t="s">
        <v>8960</v>
      </c>
      <c r="F2032" s="4"/>
      <c r="G2032" s="4"/>
      <c r="H2032" s="4"/>
      <c r="I2032" s="4"/>
      <c r="J2032" s="18"/>
      <c r="K2032" s="4"/>
      <c r="L2032" s="19"/>
      <c r="M2032" s="20"/>
    </row>
    <row r="2033">
      <c r="A2033" s="6"/>
      <c r="B2033" s="6"/>
      <c r="C2033" s="4"/>
      <c r="D2033" s="36">
        <v>201.366418</v>
      </c>
      <c r="E2033" s="4" t="s">
        <v>8961</v>
      </c>
      <c r="F2033" s="4"/>
      <c r="G2033" s="4"/>
      <c r="H2033" s="4"/>
      <c r="I2033" s="4"/>
      <c r="J2033" s="18"/>
      <c r="K2033" s="4"/>
      <c r="L2033" s="19"/>
      <c r="M2033" s="20"/>
    </row>
    <row r="2034">
      <c r="A2034" s="6"/>
      <c r="B2034" s="6"/>
      <c r="C2034" s="4"/>
      <c r="D2034" s="36">
        <v>200.630974</v>
      </c>
      <c r="E2034" s="4" t="s">
        <v>8962</v>
      </c>
      <c r="F2034" s="4"/>
      <c r="G2034" s="4"/>
      <c r="H2034" s="4"/>
      <c r="I2034" s="4"/>
      <c r="J2034" s="18"/>
      <c r="K2034" s="4"/>
      <c r="L2034" s="19"/>
      <c r="M2034" s="20"/>
    </row>
    <row r="2035">
      <c r="A2035" s="6"/>
      <c r="B2035" s="6"/>
      <c r="C2035" s="4"/>
      <c r="D2035" s="36">
        <v>167.664414</v>
      </c>
      <c r="E2035" s="4" t="s">
        <v>8874</v>
      </c>
      <c r="F2035" s="4"/>
      <c r="G2035" s="4"/>
      <c r="H2035" s="4"/>
      <c r="I2035" s="4"/>
      <c r="J2035" s="18"/>
      <c r="K2035" s="4"/>
      <c r="L2035" s="19"/>
      <c r="M2035" s="20"/>
    </row>
    <row r="2036">
      <c r="A2036" s="6"/>
      <c r="B2036" s="6"/>
      <c r="C2036" s="4"/>
      <c r="D2036" s="36">
        <v>82.879176</v>
      </c>
      <c r="E2036" s="4" t="s">
        <v>8963</v>
      </c>
      <c r="F2036" s="4"/>
      <c r="G2036" s="4"/>
      <c r="H2036" s="4"/>
      <c r="I2036" s="4"/>
      <c r="J2036" s="18"/>
      <c r="K2036" s="4"/>
      <c r="L2036" s="19"/>
      <c r="M2036" s="20"/>
    </row>
    <row r="2037">
      <c r="A2037" s="6"/>
      <c r="B2037" s="6"/>
      <c r="C2037" s="4"/>
      <c r="D2037" s="36">
        <v>68.506963</v>
      </c>
      <c r="E2037" s="4" t="s">
        <v>8964</v>
      </c>
      <c r="F2037" s="4"/>
      <c r="G2037" s="4"/>
      <c r="H2037" s="4"/>
      <c r="I2037" s="4"/>
      <c r="J2037" s="18"/>
      <c r="K2037" s="4"/>
      <c r="L2037" s="19"/>
      <c r="M2037" s="20"/>
    </row>
    <row r="2038">
      <c r="A2038" s="6"/>
      <c r="B2038" s="6"/>
      <c r="C2038" s="4"/>
      <c r="D2038" s="36">
        <v>224.000554</v>
      </c>
      <c r="E2038" s="4" t="s">
        <v>4202</v>
      </c>
      <c r="F2038" s="4"/>
      <c r="G2038" s="4"/>
      <c r="H2038" s="4"/>
      <c r="I2038" s="4"/>
      <c r="J2038" s="18"/>
      <c r="K2038" s="4"/>
      <c r="L2038" s="19"/>
      <c r="M2038" s="20"/>
    </row>
    <row r="2039">
      <c r="A2039" s="6"/>
      <c r="B2039" s="6"/>
      <c r="C2039" s="4"/>
      <c r="D2039" s="36">
        <v>112.404531</v>
      </c>
      <c r="E2039" s="4" t="s">
        <v>3843</v>
      </c>
      <c r="F2039" s="4"/>
      <c r="G2039" s="4"/>
      <c r="H2039" s="4"/>
      <c r="I2039" s="4"/>
      <c r="J2039" s="18"/>
      <c r="K2039" s="4"/>
      <c r="L2039" s="19"/>
      <c r="M2039" s="20"/>
    </row>
    <row r="2040">
      <c r="A2040" s="6"/>
      <c r="B2040" s="6"/>
      <c r="C2040" s="4"/>
      <c r="D2040" s="36">
        <v>224.000554</v>
      </c>
      <c r="E2040" s="4" t="s">
        <v>501</v>
      </c>
      <c r="F2040" s="4"/>
      <c r="G2040" s="4"/>
      <c r="H2040" s="4"/>
      <c r="I2040" s="4"/>
      <c r="J2040" s="18"/>
      <c r="K2040" s="4"/>
      <c r="L2040" s="19"/>
      <c r="M2040" s="20"/>
    </row>
    <row r="2041">
      <c r="A2041" s="6"/>
      <c r="B2041" s="6"/>
      <c r="C2041" s="4"/>
      <c r="D2041" s="36">
        <v>38.785412</v>
      </c>
      <c r="E2041" s="4" t="s">
        <v>8965</v>
      </c>
      <c r="F2041" s="4"/>
      <c r="G2041" s="4"/>
      <c r="H2041" s="4"/>
      <c r="I2041" s="4"/>
      <c r="J2041" s="18"/>
      <c r="K2041" s="4"/>
      <c r="L2041" s="19"/>
      <c r="M2041" s="20"/>
    </row>
    <row r="2042">
      <c r="A2042" s="6"/>
      <c r="B2042" s="6"/>
      <c r="C2042" s="4"/>
      <c r="D2042" s="36">
        <v>224.000554</v>
      </c>
      <c r="E2042" s="4" t="s">
        <v>8966</v>
      </c>
      <c r="F2042" s="4"/>
      <c r="G2042" s="4"/>
      <c r="H2042" s="4"/>
      <c r="I2042" s="4"/>
      <c r="J2042" s="18"/>
      <c r="K2042" s="4"/>
      <c r="L2042" s="19"/>
      <c r="M2042" s="20"/>
    </row>
    <row r="2043">
      <c r="A2043" s="6"/>
      <c r="B2043" s="6"/>
      <c r="C2043" s="4"/>
      <c r="D2043" s="36">
        <v>224.000554</v>
      </c>
      <c r="E2043" s="4" t="s">
        <v>6981</v>
      </c>
      <c r="F2043" s="4"/>
      <c r="G2043" s="4"/>
      <c r="H2043" s="4"/>
      <c r="I2043" s="4"/>
      <c r="J2043" s="18"/>
      <c r="K2043" s="4"/>
      <c r="L2043" s="19"/>
      <c r="M2043" s="20"/>
    </row>
    <row r="2044">
      <c r="A2044" s="6"/>
      <c r="B2044" s="6"/>
      <c r="C2044" s="4"/>
      <c r="D2044" s="36">
        <v>180.827681</v>
      </c>
      <c r="E2044" s="4" t="s">
        <v>1631</v>
      </c>
      <c r="F2044" s="4"/>
      <c r="G2044" s="4"/>
      <c r="H2044" s="4"/>
      <c r="I2044" s="4"/>
      <c r="J2044" s="18"/>
      <c r="K2044" s="4"/>
      <c r="L2044" s="19"/>
      <c r="M2044" s="20"/>
    </row>
    <row r="2045">
      <c r="A2045" s="6"/>
      <c r="B2045" s="6"/>
      <c r="C2045" s="4"/>
      <c r="D2045" s="36">
        <v>177.200227</v>
      </c>
      <c r="E2045" s="4" t="s">
        <v>1189</v>
      </c>
      <c r="F2045" s="4"/>
      <c r="G2045" s="4"/>
      <c r="H2045" s="4"/>
      <c r="I2045" s="4"/>
      <c r="J2045" s="18"/>
      <c r="K2045" s="4"/>
      <c r="L2045" s="19"/>
      <c r="M2045" s="20"/>
    </row>
    <row r="2046">
      <c r="A2046" s="6"/>
      <c r="B2046" s="6"/>
      <c r="C2046" s="4"/>
      <c r="D2046" s="36">
        <v>224.000554</v>
      </c>
      <c r="E2046" s="4" t="s">
        <v>6325</v>
      </c>
      <c r="F2046" s="4"/>
      <c r="G2046" s="4"/>
      <c r="H2046" s="4"/>
      <c r="I2046" s="4"/>
      <c r="J2046" s="18"/>
      <c r="K2046" s="4"/>
      <c r="L2046" s="19"/>
      <c r="M2046" s="20"/>
    </row>
    <row r="2047">
      <c r="A2047" s="6"/>
      <c r="B2047" s="6"/>
      <c r="C2047" s="4"/>
      <c r="D2047" s="36">
        <v>169.33613</v>
      </c>
      <c r="E2047" s="4" t="s">
        <v>346</v>
      </c>
      <c r="F2047" s="4"/>
      <c r="G2047" s="4"/>
      <c r="H2047" s="4"/>
      <c r="I2047" s="4"/>
      <c r="J2047" s="18"/>
      <c r="K2047" s="4"/>
      <c r="L2047" s="19"/>
      <c r="M2047" s="20"/>
    </row>
    <row r="2048">
      <c r="A2048" s="6"/>
      <c r="B2048" s="6"/>
      <c r="C2048" s="4"/>
      <c r="D2048" s="36">
        <v>112.017661</v>
      </c>
      <c r="E2048" s="4" t="s">
        <v>8670</v>
      </c>
      <c r="F2048" s="4"/>
      <c r="G2048" s="4"/>
      <c r="H2048" s="4"/>
      <c r="I2048" s="4"/>
      <c r="J2048" s="18"/>
      <c r="K2048" s="4"/>
      <c r="L2048" s="19"/>
      <c r="M2048" s="20"/>
    </row>
    <row r="2049">
      <c r="A2049" s="6"/>
      <c r="B2049" s="6"/>
      <c r="C2049" s="4"/>
      <c r="D2049" s="36">
        <v>134.400332</v>
      </c>
      <c r="E2049" s="4" t="s">
        <v>5752</v>
      </c>
      <c r="F2049" s="4"/>
      <c r="G2049" s="4"/>
      <c r="H2049" s="4"/>
      <c r="I2049" s="4"/>
      <c r="J2049" s="18"/>
      <c r="K2049" s="4"/>
      <c r="L2049" s="19"/>
      <c r="M2049" s="20"/>
    </row>
    <row r="2050">
      <c r="A2050" s="6"/>
      <c r="B2050" s="6"/>
      <c r="C2050" s="4"/>
      <c r="D2050" s="36">
        <v>213.063305</v>
      </c>
      <c r="E2050" s="4" t="s">
        <v>8967</v>
      </c>
      <c r="F2050" s="4"/>
      <c r="G2050" s="4"/>
      <c r="H2050" s="4"/>
      <c r="I2050" s="4"/>
      <c r="J2050" s="18"/>
      <c r="K2050" s="4"/>
      <c r="L2050" s="19"/>
      <c r="M2050" s="20"/>
    </row>
    <row r="2051">
      <c r="A2051" s="6"/>
      <c r="B2051" s="6"/>
      <c r="C2051" s="4"/>
      <c r="D2051" s="36">
        <v>134.436021</v>
      </c>
      <c r="E2051" s="4" t="s">
        <v>3338</v>
      </c>
      <c r="F2051" s="4"/>
      <c r="G2051" s="4"/>
      <c r="H2051" s="4"/>
      <c r="I2051" s="4"/>
      <c r="J2051" s="18"/>
      <c r="K2051" s="4"/>
      <c r="L2051" s="19"/>
      <c r="M2051" s="20"/>
    </row>
    <row r="2052">
      <c r="A2052" s="6"/>
      <c r="B2052" s="6"/>
      <c r="C2052" s="4"/>
      <c r="D2052" s="36">
        <v>224.000554</v>
      </c>
      <c r="E2052" s="4" t="s">
        <v>8968</v>
      </c>
      <c r="F2052" s="4"/>
      <c r="G2052" s="4"/>
      <c r="H2052" s="4"/>
      <c r="I2052" s="4"/>
      <c r="J2052" s="18"/>
      <c r="K2052" s="4"/>
      <c r="L2052" s="19"/>
      <c r="M2052" s="20"/>
    </row>
    <row r="2053">
      <c r="A2053" s="6"/>
      <c r="B2053" s="6"/>
      <c r="C2053" s="4"/>
      <c r="D2053" s="36">
        <v>224.000554</v>
      </c>
      <c r="E2053" s="4" t="s">
        <v>8969</v>
      </c>
      <c r="F2053" s="4"/>
      <c r="G2053" s="4"/>
      <c r="H2053" s="4"/>
      <c r="I2053" s="4"/>
      <c r="J2053" s="18"/>
      <c r="K2053" s="4"/>
      <c r="L2053" s="19"/>
      <c r="M2053" s="20"/>
    </row>
    <row r="2054">
      <c r="A2054" s="6"/>
      <c r="B2054" s="6"/>
      <c r="C2054" s="4"/>
      <c r="D2054" s="36">
        <v>224.000554</v>
      </c>
      <c r="E2054" s="4" t="s">
        <v>8970</v>
      </c>
      <c r="F2054" s="4"/>
      <c r="G2054" s="4"/>
      <c r="H2054" s="4"/>
      <c r="I2054" s="4"/>
      <c r="J2054" s="18"/>
      <c r="K2054" s="4"/>
      <c r="L2054" s="19"/>
      <c r="M2054" s="20"/>
    </row>
    <row r="2055">
      <c r="A2055" s="6"/>
      <c r="B2055" s="6"/>
      <c r="C2055" s="4"/>
      <c r="D2055" s="36">
        <v>163.479754</v>
      </c>
      <c r="E2055" s="4" t="s">
        <v>8971</v>
      </c>
      <c r="F2055" s="4"/>
      <c r="G2055" s="4"/>
      <c r="H2055" s="4"/>
      <c r="I2055" s="4"/>
      <c r="J2055" s="18"/>
      <c r="K2055" s="4"/>
      <c r="L2055" s="19"/>
      <c r="M2055" s="20"/>
    </row>
    <row r="2056">
      <c r="A2056" s="6"/>
      <c r="B2056" s="6"/>
      <c r="C2056" s="4"/>
      <c r="D2056" s="36">
        <v>194.208849</v>
      </c>
      <c r="E2056" s="4" t="s">
        <v>8606</v>
      </c>
      <c r="F2056" s="4"/>
      <c r="G2056" s="4"/>
      <c r="H2056" s="4"/>
      <c r="I2056" s="4"/>
      <c r="J2056" s="18"/>
      <c r="K2056" s="4"/>
      <c r="L2056" s="19"/>
      <c r="M2056" s="20"/>
    </row>
    <row r="2057">
      <c r="A2057" s="6"/>
      <c r="B2057" s="6"/>
      <c r="C2057" s="4"/>
      <c r="D2057" s="36">
        <v>224.000554</v>
      </c>
      <c r="E2057" s="4" t="s">
        <v>1656</v>
      </c>
      <c r="F2057" s="4"/>
      <c r="G2057" s="4"/>
      <c r="H2057" s="4"/>
      <c r="I2057" s="4"/>
      <c r="J2057" s="18"/>
      <c r="K2057" s="4"/>
      <c r="L2057" s="19"/>
      <c r="M2057" s="20"/>
    </row>
    <row r="2058">
      <c r="A2058" s="6"/>
      <c r="B2058" s="6"/>
      <c r="C2058" s="4"/>
      <c r="D2058" s="36">
        <v>112.235927</v>
      </c>
      <c r="E2058" s="4" t="s">
        <v>1514</v>
      </c>
      <c r="F2058" s="4"/>
      <c r="G2058" s="4"/>
      <c r="H2058" s="4"/>
      <c r="I2058" s="4"/>
      <c r="J2058" s="18"/>
      <c r="K2058" s="4"/>
      <c r="L2058" s="19"/>
      <c r="M2058" s="20"/>
    </row>
    <row r="2059">
      <c r="A2059" s="6"/>
      <c r="B2059" s="6"/>
      <c r="C2059" s="4"/>
      <c r="D2059" s="36">
        <v>133.273049</v>
      </c>
      <c r="E2059" s="4" t="s">
        <v>8511</v>
      </c>
      <c r="F2059" s="4"/>
      <c r="G2059" s="4"/>
      <c r="H2059" s="4"/>
      <c r="I2059" s="4"/>
      <c r="J2059" s="18"/>
      <c r="K2059" s="4"/>
      <c r="L2059" s="19"/>
      <c r="M2059" s="20"/>
    </row>
    <row r="2060">
      <c r="A2060" s="6"/>
      <c r="B2060" s="6"/>
      <c r="C2060" s="4"/>
      <c r="D2060" s="36">
        <v>224.000554</v>
      </c>
      <c r="E2060" s="4" t="s">
        <v>784</v>
      </c>
      <c r="F2060" s="4"/>
      <c r="G2060" s="4"/>
      <c r="H2060" s="4"/>
      <c r="I2060" s="4"/>
      <c r="J2060" s="18"/>
      <c r="K2060" s="4"/>
      <c r="L2060" s="19"/>
      <c r="M2060" s="20"/>
    </row>
    <row r="2061">
      <c r="A2061" s="6"/>
      <c r="B2061" s="6"/>
      <c r="C2061" s="4"/>
      <c r="D2061" s="36">
        <v>34.065935</v>
      </c>
      <c r="E2061" s="4" t="s">
        <v>8972</v>
      </c>
      <c r="F2061" s="4"/>
      <c r="G2061" s="4"/>
      <c r="H2061" s="4"/>
      <c r="I2061" s="4"/>
      <c r="J2061" s="18"/>
      <c r="K2061" s="4"/>
      <c r="L2061" s="19"/>
      <c r="M2061" s="20"/>
    </row>
    <row r="2062">
      <c r="A2062" s="6"/>
      <c r="B2062" s="6"/>
      <c r="C2062" s="4"/>
      <c r="D2062" s="36">
        <v>116.076808</v>
      </c>
      <c r="E2062" s="4" t="s">
        <v>8973</v>
      </c>
      <c r="F2062" s="4"/>
      <c r="G2062" s="4"/>
      <c r="H2062" s="4"/>
      <c r="I2062" s="4"/>
      <c r="J2062" s="18"/>
      <c r="K2062" s="4"/>
      <c r="L2062" s="19"/>
      <c r="M2062" s="20"/>
    </row>
    <row r="2063">
      <c r="A2063" s="6"/>
      <c r="B2063" s="6"/>
      <c r="C2063" s="4"/>
      <c r="D2063" s="36">
        <v>33.731462</v>
      </c>
      <c r="E2063" s="4" t="s">
        <v>1101</v>
      </c>
      <c r="F2063" s="4"/>
      <c r="G2063" s="4"/>
      <c r="H2063" s="4"/>
      <c r="I2063" s="4"/>
      <c r="J2063" s="18"/>
      <c r="K2063" s="4"/>
      <c r="L2063" s="19"/>
      <c r="M2063" s="20"/>
    </row>
    <row r="2064">
      <c r="A2064" s="6"/>
      <c r="B2064" s="6"/>
      <c r="C2064" s="4"/>
      <c r="D2064" s="36">
        <v>224.000554</v>
      </c>
      <c r="E2064" s="4" t="s">
        <v>8974</v>
      </c>
      <c r="F2064" s="4"/>
      <c r="G2064" s="4"/>
      <c r="H2064" s="4"/>
      <c r="I2064" s="4"/>
      <c r="J2064" s="18"/>
      <c r="K2064" s="4"/>
      <c r="L2064" s="19"/>
      <c r="M2064" s="20"/>
    </row>
    <row r="2065">
      <c r="A2065" s="6"/>
      <c r="B2065" s="6"/>
      <c r="C2065" s="4"/>
      <c r="D2065" s="36">
        <v>84.63452</v>
      </c>
      <c r="E2065" s="4" t="s">
        <v>8975</v>
      </c>
      <c r="F2065" s="4"/>
      <c r="G2065" s="4"/>
      <c r="H2065" s="4"/>
      <c r="I2065" s="4"/>
      <c r="J2065" s="18"/>
      <c r="K2065" s="4"/>
      <c r="L2065" s="19"/>
      <c r="M2065" s="20"/>
    </row>
    <row r="2066">
      <c r="A2066" s="6"/>
      <c r="B2066" s="6"/>
      <c r="C2066" s="4"/>
      <c r="D2066" s="36">
        <v>224.000554</v>
      </c>
      <c r="E2066" s="4" t="s">
        <v>8976</v>
      </c>
      <c r="F2066" s="4"/>
      <c r="G2066" s="4"/>
      <c r="H2066" s="4"/>
      <c r="I2066" s="4"/>
      <c r="J2066" s="18"/>
      <c r="K2066" s="4"/>
      <c r="L2066" s="19"/>
      <c r="M2066" s="20"/>
    </row>
    <row r="2067">
      <c r="A2067" s="6"/>
      <c r="B2067" s="6"/>
      <c r="C2067" s="4"/>
      <c r="D2067" s="36">
        <v>73.472181</v>
      </c>
      <c r="E2067" s="4" t="s">
        <v>1183</v>
      </c>
      <c r="F2067" s="4"/>
      <c r="G2067" s="4"/>
      <c r="H2067" s="4"/>
      <c r="I2067" s="4"/>
      <c r="J2067" s="18"/>
      <c r="K2067" s="4"/>
      <c r="L2067" s="19"/>
      <c r="M2067" s="20"/>
    </row>
    <row r="2068">
      <c r="A2068" s="6"/>
      <c r="B2068" s="6"/>
      <c r="C2068" s="4"/>
      <c r="D2068" s="36">
        <v>224.000554</v>
      </c>
      <c r="E2068" s="4" t="s">
        <v>185</v>
      </c>
      <c r="F2068" s="4"/>
      <c r="G2068" s="4"/>
      <c r="H2068" s="4"/>
      <c r="I2068" s="4"/>
      <c r="J2068" s="18"/>
      <c r="K2068" s="4"/>
      <c r="L2068" s="19"/>
      <c r="M2068" s="20"/>
    </row>
    <row r="2069">
      <c r="A2069" s="6"/>
      <c r="B2069" s="6"/>
      <c r="C2069" s="4"/>
      <c r="D2069" s="36">
        <v>77.443529</v>
      </c>
      <c r="E2069" s="4" t="s">
        <v>1628</v>
      </c>
      <c r="F2069" s="4"/>
      <c r="G2069" s="4"/>
      <c r="H2069" s="4"/>
      <c r="I2069" s="4"/>
      <c r="J2069" s="18"/>
      <c r="K2069" s="4"/>
      <c r="L2069" s="19"/>
      <c r="M2069" s="20"/>
    </row>
    <row r="2070">
      <c r="A2070" s="6"/>
      <c r="B2070" s="6"/>
      <c r="C2070" s="4"/>
      <c r="D2070" s="36">
        <v>37.064314</v>
      </c>
      <c r="E2070" s="4" t="s">
        <v>8706</v>
      </c>
      <c r="F2070" s="4"/>
      <c r="G2070" s="4"/>
      <c r="H2070" s="4"/>
      <c r="I2070" s="4"/>
      <c r="J2070" s="18"/>
      <c r="K2070" s="4"/>
      <c r="L2070" s="19"/>
      <c r="M2070" s="20"/>
    </row>
    <row r="2071">
      <c r="A2071" s="6"/>
      <c r="B2071" s="6"/>
      <c r="C2071" s="4"/>
      <c r="D2071" s="36">
        <v>108.00287</v>
      </c>
      <c r="E2071" s="4" t="s">
        <v>8977</v>
      </c>
      <c r="F2071" s="4"/>
      <c r="G2071" s="4"/>
      <c r="H2071" s="4"/>
      <c r="I2071" s="4"/>
      <c r="J2071" s="18"/>
      <c r="K2071" s="4"/>
      <c r="L2071" s="19"/>
      <c r="M2071" s="20"/>
    </row>
    <row r="2072">
      <c r="A2072" s="6"/>
      <c r="B2072" s="6"/>
      <c r="C2072" s="4"/>
      <c r="D2072" s="36">
        <v>224.000554</v>
      </c>
      <c r="E2072" s="4" t="s">
        <v>5105</v>
      </c>
      <c r="F2072" s="4"/>
      <c r="G2072" s="4"/>
      <c r="H2072" s="4"/>
      <c r="I2072" s="4"/>
      <c r="J2072" s="18"/>
      <c r="K2072" s="4"/>
      <c r="L2072" s="19"/>
      <c r="M2072" s="20"/>
    </row>
    <row r="2073">
      <c r="A2073" s="6"/>
      <c r="B2073" s="6"/>
      <c r="C2073" s="4"/>
      <c r="D2073" s="36">
        <v>57.295901</v>
      </c>
      <c r="E2073" s="4" t="s">
        <v>8978</v>
      </c>
      <c r="F2073" s="4"/>
      <c r="G2073" s="4"/>
      <c r="H2073" s="4"/>
      <c r="I2073" s="4"/>
      <c r="J2073" s="18"/>
      <c r="K2073" s="4"/>
      <c r="L2073" s="19"/>
      <c r="M2073" s="20"/>
    </row>
    <row r="2074">
      <c r="A2074" s="6"/>
      <c r="B2074" s="6"/>
      <c r="C2074" s="4"/>
      <c r="D2074" s="36">
        <v>224.000554</v>
      </c>
      <c r="E2074" s="4" t="s">
        <v>8649</v>
      </c>
      <c r="F2074" s="4"/>
      <c r="G2074" s="4"/>
      <c r="H2074" s="4"/>
      <c r="I2074" s="4"/>
      <c r="J2074" s="18"/>
      <c r="K2074" s="4"/>
      <c r="L2074" s="19"/>
      <c r="M2074" s="20"/>
    </row>
    <row r="2075">
      <c r="A2075" s="6"/>
      <c r="B2075" s="6"/>
      <c r="C2075" s="4"/>
      <c r="D2075" s="36">
        <v>112.118443</v>
      </c>
      <c r="E2075" s="4" t="s">
        <v>8083</v>
      </c>
      <c r="F2075" s="4"/>
      <c r="G2075" s="4"/>
      <c r="H2075" s="4"/>
      <c r="I2075" s="4"/>
      <c r="J2075" s="18"/>
      <c r="K2075" s="4"/>
      <c r="L2075" s="19"/>
      <c r="M2075" s="20"/>
    </row>
    <row r="2076">
      <c r="A2076" s="6"/>
      <c r="B2076" s="6"/>
      <c r="C2076" s="4"/>
      <c r="D2076" s="36">
        <v>67.628957</v>
      </c>
      <c r="E2076" s="4" t="s">
        <v>8979</v>
      </c>
      <c r="F2076" s="4"/>
      <c r="G2076" s="4"/>
      <c r="H2076" s="4"/>
      <c r="I2076" s="4"/>
      <c r="J2076" s="18"/>
      <c r="K2076" s="4"/>
      <c r="L2076" s="19"/>
      <c r="M2076" s="20"/>
    </row>
    <row r="2077">
      <c r="A2077" s="6"/>
      <c r="B2077" s="6"/>
      <c r="C2077" s="4"/>
      <c r="D2077" s="36">
        <v>224.000554</v>
      </c>
      <c r="E2077" s="4" t="s">
        <v>1621</v>
      </c>
      <c r="F2077" s="4"/>
      <c r="G2077" s="4"/>
      <c r="H2077" s="4"/>
      <c r="I2077" s="4"/>
      <c r="J2077" s="18"/>
      <c r="K2077" s="4"/>
      <c r="L2077" s="19"/>
      <c r="M2077" s="20"/>
    </row>
    <row r="2078">
      <c r="A2078" s="6"/>
      <c r="B2078" s="6"/>
      <c r="C2078" s="4"/>
      <c r="D2078" s="36">
        <v>56.062858</v>
      </c>
      <c r="E2078" s="4" t="s">
        <v>8980</v>
      </c>
      <c r="F2078" s="4"/>
      <c r="G2078" s="4"/>
      <c r="H2078" s="4"/>
      <c r="I2078" s="4"/>
      <c r="J2078" s="18"/>
      <c r="K2078" s="4"/>
      <c r="L2078" s="19"/>
      <c r="M2078" s="20"/>
    </row>
    <row r="2079">
      <c r="A2079" s="6"/>
      <c r="B2079" s="6"/>
      <c r="C2079" s="4"/>
      <c r="D2079" s="36">
        <v>224.000554</v>
      </c>
      <c r="E2079" s="4" t="s">
        <v>8981</v>
      </c>
      <c r="F2079" s="4"/>
      <c r="G2079" s="4"/>
      <c r="H2079" s="4"/>
      <c r="I2079" s="4"/>
      <c r="J2079" s="18"/>
      <c r="K2079" s="4"/>
      <c r="L2079" s="19"/>
      <c r="M2079" s="20"/>
    </row>
    <row r="2080">
      <c r="A2080" s="6"/>
      <c r="B2080" s="6"/>
      <c r="C2080" s="4"/>
      <c r="D2080" s="36">
        <v>35.646147</v>
      </c>
      <c r="E2080" s="4" t="s">
        <v>8982</v>
      </c>
      <c r="F2080" s="4"/>
      <c r="G2080" s="4"/>
      <c r="H2080" s="4"/>
      <c r="I2080" s="4"/>
      <c r="J2080" s="18"/>
      <c r="K2080" s="4"/>
      <c r="L2080" s="19"/>
      <c r="M2080" s="20"/>
    </row>
    <row r="2081">
      <c r="A2081" s="6"/>
      <c r="B2081" s="6"/>
      <c r="C2081" s="4"/>
      <c r="D2081" s="36">
        <v>200.554357</v>
      </c>
      <c r="E2081" s="4" t="s">
        <v>8983</v>
      </c>
      <c r="F2081" s="4"/>
      <c r="G2081" s="4"/>
      <c r="H2081" s="4"/>
      <c r="I2081" s="4"/>
      <c r="J2081" s="18"/>
      <c r="K2081" s="4"/>
      <c r="L2081" s="19"/>
      <c r="M2081" s="20"/>
    </row>
    <row r="2082">
      <c r="A2082" s="6"/>
      <c r="B2082" s="6"/>
      <c r="C2082" s="4"/>
      <c r="D2082" s="36">
        <v>8.388203</v>
      </c>
      <c r="E2082" s="4" t="s">
        <v>7744</v>
      </c>
      <c r="F2082" s="4"/>
      <c r="G2082" s="4"/>
      <c r="H2082" s="4"/>
      <c r="I2082" s="4"/>
      <c r="J2082" s="18"/>
      <c r="K2082" s="4"/>
      <c r="L2082" s="19"/>
      <c r="M2082" s="20"/>
    </row>
    <row r="2083">
      <c r="A2083" s="6"/>
      <c r="B2083" s="6"/>
      <c r="C2083" s="4"/>
      <c r="D2083" s="36">
        <v>34.932571</v>
      </c>
      <c r="E2083" s="4" t="s">
        <v>8984</v>
      </c>
      <c r="F2083" s="4"/>
      <c r="G2083" s="4"/>
      <c r="H2083" s="4"/>
      <c r="I2083" s="4"/>
      <c r="J2083" s="18"/>
      <c r="K2083" s="4"/>
      <c r="L2083" s="19"/>
      <c r="M2083" s="20"/>
    </row>
    <row r="2084">
      <c r="A2084" s="6"/>
      <c r="B2084" s="6"/>
      <c r="C2084" s="4"/>
      <c r="D2084" s="36">
        <v>45.873793</v>
      </c>
      <c r="E2084" s="4" t="s">
        <v>5717</v>
      </c>
      <c r="F2084" s="4"/>
      <c r="G2084" s="4"/>
      <c r="H2084" s="4"/>
      <c r="I2084" s="4"/>
      <c r="J2084" s="18"/>
      <c r="K2084" s="4"/>
      <c r="L2084" s="19"/>
      <c r="M2084" s="20"/>
    </row>
    <row r="2085">
      <c r="A2085" s="6"/>
      <c r="B2085" s="6"/>
      <c r="C2085" s="4"/>
      <c r="D2085" s="36">
        <v>224.000554</v>
      </c>
      <c r="E2085" s="4" t="s">
        <v>1774</v>
      </c>
      <c r="F2085" s="4"/>
      <c r="G2085" s="4"/>
      <c r="H2085" s="4"/>
      <c r="I2085" s="4"/>
      <c r="J2085" s="18"/>
      <c r="K2085" s="4"/>
      <c r="L2085" s="19"/>
      <c r="M2085" s="20"/>
    </row>
    <row r="2086">
      <c r="A2086" s="6"/>
      <c r="B2086" s="6"/>
      <c r="C2086" s="4"/>
      <c r="D2086" s="36">
        <v>100.381043</v>
      </c>
      <c r="E2086" s="4" t="s">
        <v>239</v>
      </c>
      <c r="F2086" s="4"/>
      <c r="G2086" s="4"/>
      <c r="H2086" s="4"/>
      <c r="I2086" s="4"/>
      <c r="J2086" s="18"/>
      <c r="K2086" s="4"/>
      <c r="L2086" s="19"/>
      <c r="M2086" s="20"/>
    </row>
    <row r="2087">
      <c r="A2087" s="6"/>
      <c r="B2087" s="6"/>
      <c r="C2087" s="4"/>
      <c r="D2087" s="36">
        <v>79.02421</v>
      </c>
      <c r="E2087" s="4" t="s">
        <v>8985</v>
      </c>
      <c r="F2087" s="4"/>
      <c r="G2087" s="4"/>
      <c r="H2087" s="4"/>
      <c r="I2087" s="4"/>
      <c r="J2087" s="18"/>
      <c r="K2087" s="4"/>
      <c r="L2087" s="19"/>
      <c r="M2087" s="20"/>
    </row>
    <row r="2088">
      <c r="A2088" s="6"/>
      <c r="B2088" s="6"/>
      <c r="C2088" s="4"/>
      <c r="D2088" s="36">
        <v>101.02016</v>
      </c>
      <c r="E2088" s="4" t="s">
        <v>7052</v>
      </c>
      <c r="F2088" s="4"/>
      <c r="G2088" s="4"/>
      <c r="H2088" s="4"/>
      <c r="I2088" s="4"/>
      <c r="J2088" s="18"/>
      <c r="K2088" s="4"/>
      <c r="L2088" s="19"/>
      <c r="M2088" s="20"/>
    </row>
    <row r="2089">
      <c r="A2089" s="6"/>
      <c r="B2089" s="6"/>
      <c r="C2089" s="4"/>
      <c r="D2089" s="36">
        <v>77.799311</v>
      </c>
      <c r="E2089" s="4" t="s">
        <v>6891</v>
      </c>
      <c r="F2089" s="4"/>
      <c r="G2089" s="4"/>
      <c r="H2089" s="4"/>
      <c r="I2089" s="4"/>
      <c r="J2089" s="18"/>
      <c r="K2089" s="4"/>
      <c r="L2089" s="19"/>
      <c r="M2089" s="20"/>
    </row>
    <row r="2090">
      <c r="A2090" s="6"/>
      <c r="B2090" s="6"/>
      <c r="C2090" s="4"/>
      <c r="D2090" s="36">
        <v>42.4521</v>
      </c>
      <c r="E2090" s="4" t="s">
        <v>8986</v>
      </c>
      <c r="F2090" s="4"/>
      <c r="G2090" s="4"/>
      <c r="H2090" s="4"/>
      <c r="I2090" s="4"/>
      <c r="J2090" s="18"/>
      <c r="K2090" s="4"/>
      <c r="L2090" s="19"/>
      <c r="M2090" s="20"/>
    </row>
    <row r="2091">
      <c r="A2091" s="6"/>
      <c r="B2091" s="6"/>
      <c r="C2091" s="4"/>
      <c r="D2091" s="36">
        <v>224.000554</v>
      </c>
      <c r="E2091" s="4" t="s">
        <v>8907</v>
      </c>
      <c r="F2091" s="4"/>
      <c r="G2091" s="4"/>
      <c r="H2091" s="4"/>
      <c r="I2091" s="4"/>
      <c r="J2091" s="18"/>
      <c r="K2091" s="4"/>
      <c r="L2091" s="19"/>
      <c r="M2091" s="20"/>
    </row>
    <row r="2092">
      <c r="A2092" s="6"/>
      <c r="B2092" s="6"/>
      <c r="C2092" s="4"/>
      <c r="D2092" s="36">
        <v>125.108423</v>
      </c>
      <c r="E2092" s="4" t="s">
        <v>8987</v>
      </c>
      <c r="F2092" s="4"/>
      <c r="G2092" s="4"/>
      <c r="H2092" s="4"/>
      <c r="I2092" s="4"/>
      <c r="J2092" s="18"/>
      <c r="K2092" s="4"/>
      <c r="L2092" s="19"/>
      <c r="M2092" s="20"/>
    </row>
    <row r="2093">
      <c r="A2093" s="6"/>
      <c r="B2093" s="6"/>
      <c r="C2093" s="4"/>
      <c r="D2093" s="36">
        <v>67.231877</v>
      </c>
      <c r="E2093" s="4" t="s">
        <v>8988</v>
      </c>
      <c r="F2093" s="4"/>
      <c r="G2093" s="4"/>
      <c r="H2093" s="4"/>
      <c r="I2093" s="4"/>
      <c r="J2093" s="18"/>
      <c r="K2093" s="4"/>
      <c r="L2093" s="19"/>
      <c r="M2093" s="20"/>
    </row>
    <row r="2094">
      <c r="A2094" s="6"/>
      <c r="B2094" s="6"/>
      <c r="C2094" s="4"/>
      <c r="D2094" s="36">
        <v>63.728157</v>
      </c>
      <c r="E2094" s="4" t="s">
        <v>8989</v>
      </c>
      <c r="F2094" s="4"/>
      <c r="G2094" s="4"/>
      <c r="H2094" s="4"/>
      <c r="I2094" s="4"/>
      <c r="J2094" s="18"/>
      <c r="K2094" s="4"/>
      <c r="L2094" s="19"/>
      <c r="M2094" s="20"/>
    </row>
    <row r="2095">
      <c r="A2095" s="6"/>
      <c r="B2095" s="6"/>
      <c r="C2095" s="4"/>
      <c r="D2095" s="36">
        <v>224.000554</v>
      </c>
      <c r="E2095" s="4" t="s">
        <v>2806</v>
      </c>
      <c r="F2095" s="4"/>
      <c r="G2095" s="4"/>
      <c r="H2095" s="4"/>
      <c r="I2095" s="4"/>
      <c r="J2095" s="18"/>
      <c r="K2095" s="4"/>
      <c r="L2095" s="19"/>
      <c r="M2095" s="20"/>
    </row>
    <row r="2096">
      <c r="A2096" s="6"/>
      <c r="B2096" s="6"/>
      <c r="C2096" s="4"/>
      <c r="D2096" s="36">
        <v>119.101352</v>
      </c>
      <c r="E2096" s="4" t="s">
        <v>5940</v>
      </c>
      <c r="F2096" s="4"/>
      <c r="G2096" s="4"/>
      <c r="H2096" s="4"/>
      <c r="I2096" s="4"/>
      <c r="J2096" s="18"/>
      <c r="K2096" s="4"/>
      <c r="L2096" s="19"/>
      <c r="M2096" s="20"/>
    </row>
    <row r="2097">
      <c r="A2097" s="6"/>
      <c r="B2097" s="6"/>
      <c r="C2097" s="4"/>
      <c r="D2097" s="36">
        <v>224.000554</v>
      </c>
      <c r="E2097" s="4" t="s">
        <v>8990</v>
      </c>
      <c r="F2097" s="4"/>
      <c r="G2097" s="4"/>
      <c r="H2097" s="4"/>
      <c r="I2097" s="4"/>
      <c r="J2097" s="18"/>
      <c r="K2097" s="4"/>
      <c r="L2097" s="19"/>
      <c r="M2097" s="20"/>
    </row>
    <row r="2098">
      <c r="A2098" s="6"/>
      <c r="B2098" s="6"/>
      <c r="C2098" s="4"/>
      <c r="D2098" s="36">
        <v>224.000554</v>
      </c>
      <c r="E2098" s="4" t="s">
        <v>1667</v>
      </c>
      <c r="F2098" s="4"/>
      <c r="G2098" s="4"/>
      <c r="H2098" s="4"/>
      <c r="I2098" s="4"/>
      <c r="J2098" s="18"/>
      <c r="K2098" s="4"/>
      <c r="L2098" s="19"/>
      <c r="M2098" s="20"/>
    </row>
    <row r="2099">
      <c r="A2099" s="6"/>
      <c r="B2099" s="6"/>
      <c r="C2099" s="4"/>
      <c r="D2099" s="36">
        <v>179.200443</v>
      </c>
      <c r="E2099" s="4" t="s">
        <v>6009</v>
      </c>
      <c r="F2099" s="4"/>
      <c r="G2099" s="4"/>
      <c r="H2099" s="4"/>
      <c r="I2099" s="4"/>
      <c r="J2099" s="18"/>
      <c r="K2099" s="4"/>
      <c r="L2099" s="19"/>
      <c r="M2099" s="20"/>
    </row>
    <row r="2100">
      <c r="A2100" s="6"/>
      <c r="B2100" s="6"/>
      <c r="C2100" s="4"/>
      <c r="D2100" s="36">
        <v>60.592248</v>
      </c>
      <c r="E2100" s="4" t="s">
        <v>8991</v>
      </c>
      <c r="F2100" s="4"/>
      <c r="G2100" s="4"/>
      <c r="H2100" s="4"/>
      <c r="I2100" s="4"/>
      <c r="J2100" s="18"/>
      <c r="K2100" s="4"/>
      <c r="L2100" s="19"/>
      <c r="M2100" s="20"/>
    </row>
    <row r="2101">
      <c r="A2101" s="6"/>
      <c r="B2101" s="6"/>
      <c r="C2101" s="4"/>
      <c r="D2101" s="36">
        <v>224.000554</v>
      </c>
      <c r="E2101" s="4" t="s">
        <v>952</v>
      </c>
      <c r="F2101" s="4"/>
      <c r="G2101" s="4"/>
      <c r="H2101" s="4"/>
      <c r="I2101" s="4"/>
      <c r="J2101" s="18"/>
      <c r="K2101" s="4"/>
      <c r="L2101" s="19"/>
      <c r="M2101" s="20"/>
    </row>
    <row r="2102">
      <c r="A2102" s="6"/>
      <c r="B2102" s="6"/>
      <c r="C2102" s="4"/>
      <c r="D2102" s="36">
        <v>59.411432</v>
      </c>
      <c r="E2102" s="4" t="s">
        <v>587</v>
      </c>
      <c r="F2102" s="4"/>
      <c r="G2102" s="4"/>
      <c r="H2102" s="4"/>
      <c r="I2102" s="4"/>
      <c r="J2102" s="18"/>
      <c r="K2102" s="4"/>
      <c r="L2102" s="19"/>
      <c r="M2102" s="20"/>
    </row>
    <row r="2103">
      <c r="A2103" s="6"/>
      <c r="B2103" s="6"/>
      <c r="C2103" s="4"/>
      <c r="D2103" s="36">
        <v>33.600083</v>
      </c>
      <c r="E2103" s="4" t="s">
        <v>7073</v>
      </c>
      <c r="F2103" s="4"/>
      <c r="G2103" s="4"/>
      <c r="H2103" s="4"/>
      <c r="I2103" s="4"/>
      <c r="J2103" s="18"/>
      <c r="K2103" s="4"/>
      <c r="L2103" s="19"/>
      <c r="M2103" s="20"/>
    </row>
    <row r="2104">
      <c r="A2104" s="6"/>
      <c r="B2104" s="6"/>
      <c r="C2104" s="4"/>
      <c r="D2104" s="36">
        <v>221.807826</v>
      </c>
      <c r="E2104" s="4" t="s">
        <v>8992</v>
      </c>
      <c r="F2104" s="4"/>
      <c r="G2104" s="4"/>
      <c r="H2104" s="4"/>
      <c r="I2104" s="4"/>
      <c r="J2104" s="18"/>
      <c r="K2104" s="4"/>
      <c r="L2104" s="19"/>
      <c r="M2104" s="20"/>
    </row>
    <row r="2105">
      <c r="A2105" s="6"/>
      <c r="B2105" s="6"/>
      <c r="C2105" s="4"/>
      <c r="D2105" s="36">
        <v>198.24049</v>
      </c>
      <c r="E2105" s="4" t="s">
        <v>3887</v>
      </c>
      <c r="F2105" s="4"/>
      <c r="G2105" s="4"/>
      <c r="H2105" s="4"/>
      <c r="I2105" s="4"/>
      <c r="J2105" s="18"/>
      <c r="K2105" s="4"/>
      <c r="L2105" s="19"/>
      <c r="M2105" s="20"/>
    </row>
    <row r="2106">
      <c r="A2106" s="6"/>
      <c r="B2106" s="6"/>
      <c r="C2106" s="4"/>
      <c r="D2106" s="36">
        <v>100.824873</v>
      </c>
      <c r="E2106" s="4" t="s">
        <v>6220</v>
      </c>
      <c r="F2106" s="4"/>
      <c r="G2106" s="4"/>
      <c r="H2106" s="4"/>
      <c r="I2106" s="4"/>
      <c r="J2106" s="18"/>
      <c r="K2106" s="4"/>
      <c r="L2106" s="19"/>
      <c r="M2106" s="20"/>
    </row>
    <row r="2107">
      <c r="A2107" s="6"/>
      <c r="B2107" s="6"/>
      <c r="C2107" s="4"/>
      <c r="D2107" s="36">
        <v>56.980653</v>
      </c>
      <c r="E2107" s="4" t="s">
        <v>8645</v>
      </c>
      <c r="F2107" s="4"/>
      <c r="G2107" s="4"/>
      <c r="H2107" s="4"/>
      <c r="I2107" s="4"/>
      <c r="J2107" s="18"/>
      <c r="K2107" s="4"/>
      <c r="L2107" s="19"/>
      <c r="M2107" s="20"/>
    </row>
    <row r="2108">
      <c r="A2108" s="6"/>
      <c r="B2108" s="6"/>
      <c r="C2108" s="4"/>
      <c r="D2108" s="36">
        <v>65.55443</v>
      </c>
      <c r="E2108" s="4" t="s">
        <v>7491</v>
      </c>
      <c r="F2108" s="4"/>
      <c r="G2108" s="4"/>
      <c r="H2108" s="4"/>
      <c r="I2108" s="4"/>
      <c r="J2108" s="18"/>
      <c r="K2108" s="4"/>
      <c r="L2108" s="19"/>
      <c r="M2108" s="20"/>
    </row>
    <row r="2109">
      <c r="A2109" s="6"/>
      <c r="B2109" s="6"/>
      <c r="C2109" s="4"/>
      <c r="D2109" s="36">
        <v>224.000554</v>
      </c>
      <c r="E2109" s="4" t="s">
        <v>8547</v>
      </c>
      <c r="F2109" s="4"/>
      <c r="G2109" s="4"/>
      <c r="H2109" s="4"/>
      <c r="I2109" s="4"/>
      <c r="J2109" s="18"/>
      <c r="K2109" s="4"/>
      <c r="L2109" s="19"/>
      <c r="M2109" s="20"/>
    </row>
    <row r="2110">
      <c r="A2110" s="6"/>
      <c r="B2110" s="6"/>
      <c r="C2110" s="4"/>
      <c r="D2110" s="36">
        <v>63.324264</v>
      </c>
      <c r="E2110" s="4" t="s">
        <v>8993</v>
      </c>
      <c r="F2110" s="4"/>
      <c r="G2110" s="4"/>
      <c r="H2110" s="4"/>
      <c r="I2110" s="4"/>
      <c r="J2110" s="18"/>
      <c r="K2110" s="4"/>
      <c r="L2110" s="19"/>
      <c r="M2110" s="20"/>
    </row>
    <row r="2111">
      <c r="A2111" s="6"/>
      <c r="B2111" s="6"/>
      <c r="C2111" s="4"/>
      <c r="D2111" s="36">
        <v>112.094163</v>
      </c>
      <c r="E2111" s="4" t="s">
        <v>8994</v>
      </c>
      <c r="F2111" s="4"/>
      <c r="G2111" s="4"/>
      <c r="H2111" s="4"/>
      <c r="I2111" s="4"/>
      <c r="J2111" s="18"/>
      <c r="K2111" s="4"/>
      <c r="L2111" s="19"/>
      <c r="M2111" s="20"/>
    </row>
    <row r="2112">
      <c r="A2112" s="6"/>
      <c r="B2112" s="6"/>
      <c r="C2112" s="4"/>
      <c r="D2112" s="36">
        <v>219.120592</v>
      </c>
      <c r="E2112" s="4" t="s">
        <v>683</v>
      </c>
      <c r="F2112" s="4"/>
      <c r="G2112" s="4"/>
      <c r="H2112" s="4"/>
      <c r="I2112" s="4"/>
      <c r="J2112" s="18"/>
      <c r="K2112" s="4"/>
      <c r="L2112" s="19"/>
      <c r="M2112" s="20"/>
    </row>
    <row r="2113">
      <c r="A2113" s="6"/>
      <c r="B2113" s="6"/>
      <c r="C2113" s="4"/>
      <c r="D2113" s="36">
        <v>56.017514</v>
      </c>
      <c r="E2113" s="4" t="s">
        <v>8995</v>
      </c>
      <c r="F2113" s="4"/>
      <c r="G2113" s="4"/>
      <c r="H2113" s="4"/>
      <c r="I2113" s="4"/>
      <c r="J2113" s="18"/>
      <c r="K2113" s="4"/>
      <c r="L2113" s="19"/>
      <c r="M2113" s="20"/>
    </row>
    <row r="2114">
      <c r="A2114" s="6"/>
      <c r="B2114" s="6"/>
      <c r="C2114" s="4"/>
      <c r="D2114" s="36">
        <v>224.000554</v>
      </c>
      <c r="E2114" s="4" t="s">
        <v>8996</v>
      </c>
      <c r="F2114" s="4"/>
      <c r="G2114" s="4"/>
      <c r="H2114" s="4"/>
      <c r="I2114" s="4"/>
      <c r="J2114" s="18"/>
      <c r="K2114" s="4"/>
      <c r="L2114" s="19"/>
      <c r="M2114" s="20"/>
    </row>
    <row r="2115">
      <c r="A2115" s="6"/>
      <c r="B2115" s="6"/>
      <c r="C2115" s="4"/>
      <c r="D2115" s="36">
        <v>104.744523</v>
      </c>
      <c r="E2115" s="4" t="s">
        <v>2762</v>
      </c>
      <c r="F2115" s="4"/>
      <c r="G2115" s="4"/>
      <c r="H2115" s="4"/>
      <c r="I2115" s="4"/>
      <c r="J2115" s="18"/>
      <c r="K2115" s="4"/>
      <c r="L2115" s="19"/>
      <c r="M2115" s="20"/>
    </row>
    <row r="2116">
      <c r="A2116" s="6"/>
      <c r="B2116" s="6"/>
      <c r="C2116" s="4"/>
      <c r="D2116" s="36">
        <v>224.000554</v>
      </c>
      <c r="E2116" s="4" t="s">
        <v>8997</v>
      </c>
      <c r="F2116" s="4"/>
      <c r="G2116" s="4"/>
      <c r="H2116" s="4"/>
      <c r="I2116" s="4"/>
      <c r="J2116" s="18"/>
      <c r="K2116" s="4"/>
      <c r="L2116" s="19"/>
      <c r="M2116" s="20"/>
    </row>
    <row r="2117">
      <c r="A2117" s="6"/>
      <c r="B2117" s="6"/>
      <c r="C2117" s="4"/>
      <c r="D2117" s="36">
        <v>224.000554</v>
      </c>
      <c r="E2117" s="4" t="s">
        <v>8998</v>
      </c>
      <c r="F2117" s="4"/>
      <c r="G2117" s="4"/>
      <c r="H2117" s="4"/>
      <c r="I2117" s="4"/>
      <c r="J2117" s="18"/>
      <c r="K2117" s="4"/>
      <c r="L2117" s="19"/>
      <c r="M2117" s="20"/>
    </row>
    <row r="2118">
      <c r="A2118" s="6"/>
      <c r="B2118" s="6"/>
      <c r="C2118" s="4"/>
      <c r="D2118" s="36">
        <v>30.597206</v>
      </c>
      <c r="E2118" s="4" t="s">
        <v>5124</v>
      </c>
      <c r="F2118" s="4"/>
      <c r="G2118" s="4"/>
      <c r="H2118" s="4"/>
      <c r="I2118" s="4"/>
      <c r="J2118" s="18"/>
      <c r="K2118" s="4"/>
      <c r="L2118" s="19"/>
      <c r="M2118" s="20"/>
    </row>
    <row r="2119">
      <c r="A2119" s="6"/>
      <c r="B2119" s="6"/>
      <c r="C2119" s="4"/>
      <c r="D2119" s="36">
        <v>224.000554</v>
      </c>
      <c r="E2119" s="4" t="s">
        <v>8999</v>
      </c>
      <c r="F2119" s="4"/>
      <c r="G2119" s="4"/>
      <c r="H2119" s="4"/>
      <c r="I2119" s="4"/>
      <c r="J2119" s="18"/>
      <c r="K2119" s="4"/>
      <c r="L2119" s="19"/>
      <c r="M2119" s="20"/>
    </row>
    <row r="2120">
      <c r="A2120" s="6"/>
      <c r="B2120" s="6"/>
      <c r="C2120" s="4"/>
      <c r="D2120" s="36">
        <v>201.442182</v>
      </c>
      <c r="E2120" s="4" t="s">
        <v>8694</v>
      </c>
      <c r="F2120" s="4"/>
      <c r="G2120" s="4"/>
      <c r="H2120" s="4"/>
      <c r="I2120" s="4"/>
      <c r="J2120" s="18"/>
      <c r="K2120" s="4"/>
      <c r="L2120" s="19"/>
      <c r="M2120" s="20"/>
    </row>
    <row r="2121">
      <c r="A2121" s="6"/>
      <c r="B2121" s="6"/>
      <c r="C2121" s="4"/>
      <c r="D2121" s="36">
        <v>224.000554</v>
      </c>
      <c r="E2121" s="4" t="s">
        <v>8698</v>
      </c>
      <c r="F2121" s="4"/>
      <c r="G2121" s="4"/>
      <c r="H2121" s="4"/>
      <c r="I2121" s="4"/>
      <c r="J2121" s="18"/>
      <c r="K2121" s="4"/>
      <c r="L2121" s="19"/>
      <c r="M2121" s="20"/>
    </row>
    <row r="2122">
      <c r="A2122" s="6"/>
      <c r="B2122" s="6"/>
      <c r="C2122" s="4"/>
      <c r="D2122" s="36">
        <v>224.000554</v>
      </c>
      <c r="E2122" s="4" t="s">
        <v>966</v>
      </c>
      <c r="F2122" s="4"/>
      <c r="G2122" s="4"/>
      <c r="H2122" s="4"/>
      <c r="I2122" s="4"/>
      <c r="J2122" s="18"/>
      <c r="K2122" s="4"/>
      <c r="L2122" s="19"/>
      <c r="M2122" s="20"/>
    </row>
    <row r="2123">
      <c r="A2123" s="6"/>
      <c r="B2123" s="6"/>
      <c r="C2123" s="4"/>
      <c r="D2123" s="36">
        <v>33.603133</v>
      </c>
      <c r="E2123" s="4" t="s">
        <v>1066</v>
      </c>
      <c r="F2123" s="4"/>
      <c r="G2123" s="4"/>
      <c r="H2123" s="4"/>
      <c r="I2123" s="4"/>
      <c r="J2123" s="18"/>
      <c r="K2123" s="4"/>
      <c r="L2123" s="19"/>
      <c r="M2123" s="20"/>
    </row>
    <row r="2124">
      <c r="A2124" s="6"/>
      <c r="B2124" s="6"/>
      <c r="C2124" s="4"/>
      <c r="D2124" s="36">
        <v>97.846778</v>
      </c>
      <c r="E2124" s="4" t="s">
        <v>1154</v>
      </c>
      <c r="F2124" s="4"/>
      <c r="G2124" s="4"/>
      <c r="H2124" s="4"/>
      <c r="I2124" s="4"/>
      <c r="J2124" s="18"/>
      <c r="K2124" s="4"/>
      <c r="L2124" s="19"/>
      <c r="M2124" s="20"/>
    </row>
    <row r="2125">
      <c r="A2125" s="6"/>
      <c r="B2125" s="6"/>
      <c r="C2125" s="4"/>
      <c r="D2125" s="36">
        <v>224.000554</v>
      </c>
      <c r="E2125" s="4" t="s">
        <v>367</v>
      </c>
      <c r="F2125" s="4"/>
      <c r="G2125" s="4"/>
      <c r="H2125" s="4"/>
      <c r="I2125" s="4"/>
      <c r="J2125" s="18"/>
      <c r="K2125" s="4"/>
      <c r="L2125" s="19"/>
      <c r="M2125" s="20"/>
    </row>
    <row r="2126">
      <c r="A2126" s="6"/>
      <c r="B2126" s="6"/>
      <c r="C2126" s="4"/>
      <c r="D2126" s="36">
        <v>96.778499</v>
      </c>
      <c r="E2126" s="4" t="s">
        <v>9000</v>
      </c>
      <c r="F2126" s="4"/>
      <c r="G2126" s="4"/>
      <c r="H2126" s="4"/>
      <c r="I2126" s="4"/>
      <c r="J2126" s="18"/>
      <c r="K2126" s="4"/>
      <c r="L2126" s="19"/>
      <c r="M2126" s="20"/>
    </row>
    <row r="2127">
      <c r="A2127" s="6"/>
      <c r="B2127" s="6"/>
      <c r="C2127" s="4"/>
      <c r="D2127" s="36">
        <v>77.806694</v>
      </c>
      <c r="E2127" s="4" t="s">
        <v>9001</v>
      </c>
      <c r="F2127" s="4"/>
      <c r="G2127" s="4"/>
      <c r="H2127" s="4"/>
      <c r="I2127" s="4"/>
      <c r="J2127" s="18"/>
      <c r="K2127" s="4"/>
      <c r="L2127" s="19"/>
      <c r="M2127" s="20"/>
    </row>
    <row r="2128">
      <c r="A2128" s="6"/>
      <c r="B2128" s="6"/>
      <c r="C2128" s="4"/>
      <c r="D2128" s="36">
        <v>224.000554</v>
      </c>
      <c r="E2128" s="4" t="s">
        <v>8701</v>
      </c>
      <c r="F2128" s="4"/>
      <c r="G2128" s="4"/>
      <c r="H2128" s="4"/>
      <c r="I2128" s="4"/>
      <c r="J2128" s="18"/>
      <c r="K2128" s="4"/>
      <c r="L2128" s="19"/>
      <c r="M2128" s="20"/>
    </row>
    <row r="2129">
      <c r="A2129" s="6"/>
      <c r="B2129" s="6"/>
      <c r="C2129" s="4"/>
      <c r="D2129" s="36">
        <v>67.443487</v>
      </c>
      <c r="E2129" s="4" t="s">
        <v>7910</v>
      </c>
      <c r="F2129" s="4"/>
      <c r="G2129" s="4"/>
      <c r="H2129" s="4"/>
      <c r="I2129" s="4"/>
      <c r="J2129" s="18"/>
      <c r="K2129" s="4"/>
      <c r="L2129" s="19"/>
      <c r="M2129" s="20"/>
    </row>
    <row r="2130">
      <c r="A2130" s="6"/>
      <c r="B2130" s="6"/>
      <c r="C2130" s="4"/>
      <c r="D2130" s="36">
        <v>224.000554</v>
      </c>
      <c r="E2130" s="4" t="s">
        <v>977</v>
      </c>
      <c r="F2130" s="4"/>
      <c r="G2130" s="4"/>
      <c r="H2130" s="4"/>
      <c r="I2130" s="4"/>
      <c r="J2130" s="18"/>
      <c r="K2130" s="4"/>
      <c r="L2130" s="19"/>
      <c r="M2130" s="20"/>
    </row>
    <row r="2131">
      <c r="A2131" s="6"/>
      <c r="B2131" s="6"/>
      <c r="C2131" s="4"/>
      <c r="D2131" s="36">
        <v>145.825412</v>
      </c>
      <c r="E2131" s="4" t="s">
        <v>1524</v>
      </c>
      <c r="F2131" s="4"/>
      <c r="G2131" s="4"/>
      <c r="H2131" s="4"/>
      <c r="I2131" s="4"/>
      <c r="J2131" s="18"/>
      <c r="K2131" s="4"/>
      <c r="L2131" s="19"/>
      <c r="M2131" s="20"/>
    </row>
    <row r="2132">
      <c r="A2132" s="6"/>
      <c r="B2132" s="6"/>
      <c r="C2132" s="4"/>
      <c r="D2132" s="36">
        <v>33.600083</v>
      </c>
      <c r="E2132" s="4" t="s">
        <v>5479</v>
      </c>
      <c r="F2132" s="4"/>
      <c r="G2132" s="4"/>
      <c r="H2132" s="4"/>
      <c r="I2132" s="4"/>
      <c r="J2132" s="18"/>
      <c r="K2132" s="4"/>
      <c r="L2132" s="19"/>
      <c r="M2132" s="20"/>
    </row>
    <row r="2133">
      <c r="A2133" s="6"/>
      <c r="B2133" s="6"/>
      <c r="C2133" s="4"/>
      <c r="D2133" s="36">
        <v>63.111148</v>
      </c>
      <c r="E2133" s="4" t="s">
        <v>6717</v>
      </c>
      <c r="F2133" s="4"/>
      <c r="G2133" s="4"/>
      <c r="H2133" s="4"/>
      <c r="I2133" s="4"/>
      <c r="J2133" s="18"/>
      <c r="K2133" s="4"/>
      <c r="L2133" s="19"/>
      <c r="M2133" s="20"/>
    </row>
    <row r="2134">
      <c r="A2134" s="6"/>
      <c r="B2134" s="6"/>
      <c r="C2134" s="4"/>
      <c r="D2134" s="36">
        <v>74.898184</v>
      </c>
      <c r="E2134" s="4" t="s">
        <v>2156</v>
      </c>
      <c r="F2134" s="4"/>
      <c r="G2134" s="4"/>
      <c r="H2134" s="4"/>
      <c r="I2134" s="4"/>
      <c r="J2134" s="18"/>
      <c r="K2134" s="4"/>
      <c r="L2134" s="19"/>
      <c r="M2134" s="20"/>
    </row>
    <row r="2135">
      <c r="A2135" s="6"/>
      <c r="B2135" s="6"/>
      <c r="C2135" s="4"/>
      <c r="D2135" s="36">
        <v>52.019485</v>
      </c>
      <c r="E2135" s="4" t="s">
        <v>9002</v>
      </c>
      <c r="F2135" s="4"/>
      <c r="G2135" s="4"/>
      <c r="H2135" s="4"/>
      <c r="I2135" s="4"/>
      <c r="J2135" s="18"/>
      <c r="K2135" s="4"/>
      <c r="L2135" s="19"/>
      <c r="M2135" s="20"/>
    </row>
    <row r="2136">
      <c r="A2136" s="6"/>
      <c r="B2136" s="6"/>
      <c r="C2136" s="4"/>
      <c r="D2136" s="36">
        <v>25.241133</v>
      </c>
      <c r="E2136" s="4" t="s">
        <v>9003</v>
      </c>
      <c r="F2136" s="4"/>
      <c r="G2136" s="4"/>
      <c r="H2136" s="4"/>
      <c r="I2136" s="4"/>
      <c r="J2136" s="18"/>
      <c r="K2136" s="4"/>
      <c r="L2136" s="19"/>
      <c r="M2136" s="20"/>
    </row>
    <row r="2137">
      <c r="A2137" s="6"/>
      <c r="B2137" s="6"/>
      <c r="C2137" s="4"/>
      <c r="D2137" s="36">
        <v>89.600221</v>
      </c>
      <c r="E2137" s="4" t="s">
        <v>8630</v>
      </c>
      <c r="F2137" s="4"/>
      <c r="G2137" s="4"/>
      <c r="H2137" s="4"/>
      <c r="I2137" s="4"/>
      <c r="J2137" s="18"/>
      <c r="K2137" s="4"/>
      <c r="L2137" s="19"/>
      <c r="M2137" s="20"/>
    </row>
    <row r="2138">
      <c r="A2138" s="6"/>
      <c r="B2138" s="6"/>
      <c r="C2138" s="4"/>
      <c r="D2138" s="36">
        <v>97.888495</v>
      </c>
      <c r="E2138" s="4" t="s">
        <v>1495</v>
      </c>
      <c r="F2138" s="4"/>
      <c r="G2138" s="4"/>
      <c r="H2138" s="4"/>
      <c r="I2138" s="4"/>
      <c r="J2138" s="18"/>
      <c r="K2138" s="4"/>
      <c r="L2138" s="19"/>
      <c r="M2138" s="20"/>
    </row>
    <row r="2139">
      <c r="A2139" s="6"/>
      <c r="B2139" s="6"/>
      <c r="C2139" s="4"/>
      <c r="D2139" s="36">
        <v>224.000554</v>
      </c>
      <c r="E2139" s="4" t="s">
        <v>135</v>
      </c>
      <c r="F2139" s="4"/>
      <c r="G2139" s="4"/>
      <c r="H2139" s="4"/>
      <c r="I2139" s="4"/>
      <c r="J2139" s="18"/>
      <c r="K2139" s="4"/>
      <c r="L2139" s="19"/>
      <c r="M2139" s="20"/>
    </row>
    <row r="2140">
      <c r="A2140" s="6"/>
      <c r="B2140" s="6"/>
      <c r="C2140" s="4"/>
      <c r="D2140" s="36">
        <v>135.039302</v>
      </c>
      <c r="E2140" s="4" t="s">
        <v>9004</v>
      </c>
      <c r="F2140" s="4"/>
      <c r="G2140" s="4"/>
      <c r="H2140" s="4"/>
      <c r="I2140" s="4"/>
      <c r="J2140" s="18"/>
      <c r="K2140" s="4"/>
      <c r="L2140" s="19"/>
      <c r="M2140" s="20"/>
    </row>
    <row r="2141">
      <c r="A2141" s="6"/>
      <c r="B2141" s="6"/>
      <c r="C2141" s="4"/>
      <c r="D2141" s="36">
        <v>224.000554</v>
      </c>
      <c r="E2141" s="4" t="s">
        <v>9005</v>
      </c>
      <c r="F2141" s="4"/>
      <c r="G2141" s="4"/>
      <c r="H2141" s="4"/>
      <c r="I2141" s="4"/>
      <c r="J2141" s="18"/>
      <c r="K2141" s="4"/>
      <c r="L2141" s="19"/>
      <c r="M2141" s="20"/>
    </row>
    <row r="2142">
      <c r="A2142" s="6"/>
      <c r="B2142" s="6"/>
      <c r="C2142" s="4"/>
      <c r="D2142" s="36">
        <v>120.87151</v>
      </c>
      <c r="E2142" s="4" t="s">
        <v>9006</v>
      </c>
      <c r="F2142" s="4"/>
      <c r="G2142" s="4"/>
      <c r="H2142" s="4"/>
      <c r="I2142" s="4"/>
      <c r="J2142" s="18"/>
      <c r="K2142" s="4"/>
      <c r="L2142" s="19"/>
      <c r="M2142" s="20"/>
    </row>
    <row r="2143">
      <c r="A2143" s="6"/>
      <c r="B2143" s="6"/>
      <c r="C2143" s="4"/>
      <c r="D2143" s="36">
        <v>33.152532</v>
      </c>
      <c r="E2143" s="4" t="s">
        <v>9007</v>
      </c>
      <c r="F2143" s="4"/>
      <c r="G2143" s="4"/>
      <c r="H2143" s="4"/>
      <c r="I2143" s="4"/>
      <c r="J2143" s="18"/>
      <c r="K2143" s="4"/>
      <c r="L2143" s="19"/>
      <c r="M2143" s="20"/>
    </row>
    <row r="2144">
      <c r="A2144" s="6"/>
      <c r="B2144" s="6"/>
      <c r="C2144" s="4"/>
      <c r="D2144" s="36">
        <v>224.000554</v>
      </c>
      <c r="E2144" s="4" t="s">
        <v>9008</v>
      </c>
      <c r="F2144" s="4"/>
      <c r="G2144" s="4"/>
      <c r="H2144" s="4"/>
      <c r="I2144" s="4"/>
      <c r="J2144" s="18"/>
      <c r="K2144" s="4"/>
      <c r="L2144" s="19"/>
      <c r="M2144" s="20"/>
    </row>
    <row r="2145">
      <c r="A2145" s="6"/>
      <c r="B2145" s="6"/>
      <c r="C2145" s="4"/>
      <c r="D2145" s="36">
        <v>79.277098</v>
      </c>
      <c r="E2145" s="4" t="s">
        <v>475</v>
      </c>
      <c r="F2145" s="4"/>
      <c r="G2145" s="4"/>
      <c r="H2145" s="4"/>
      <c r="I2145" s="4"/>
      <c r="J2145" s="18"/>
      <c r="K2145" s="4"/>
      <c r="L2145" s="19"/>
      <c r="M2145" s="20"/>
    </row>
    <row r="2146">
      <c r="A2146" s="6"/>
      <c r="B2146" s="6"/>
      <c r="C2146" s="4"/>
      <c r="D2146" s="36">
        <v>37.34686</v>
      </c>
      <c r="E2146" s="4" t="s">
        <v>3239</v>
      </c>
      <c r="F2146" s="4"/>
      <c r="G2146" s="4"/>
      <c r="H2146" s="4"/>
      <c r="I2146" s="4"/>
      <c r="J2146" s="18"/>
      <c r="K2146" s="4"/>
      <c r="L2146" s="19"/>
      <c r="M2146" s="20"/>
    </row>
    <row r="2147">
      <c r="A2147" s="6"/>
      <c r="B2147" s="6"/>
      <c r="C2147" s="4"/>
      <c r="D2147" s="36">
        <v>143.391666</v>
      </c>
      <c r="E2147" s="4" t="s">
        <v>31</v>
      </c>
      <c r="F2147" s="4"/>
      <c r="G2147" s="4"/>
      <c r="H2147" s="4"/>
      <c r="I2147" s="4"/>
      <c r="J2147" s="18"/>
      <c r="K2147" s="4"/>
      <c r="L2147" s="19"/>
      <c r="M2147" s="20"/>
    </row>
    <row r="2148">
      <c r="A2148" s="6"/>
      <c r="B2148" s="6"/>
      <c r="C2148" s="4"/>
      <c r="D2148" s="36">
        <v>194.68765</v>
      </c>
      <c r="E2148" s="4" t="s">
        <v>1639</v>
      </c>
      <c r="F2148" s="4"/>
      <c r="G2148" s="4"/>
      <c r="H2148" s="4"/>
      <c r="I2148" s="4"/>
      <c r="J2148" s="18"/>
      <c r="K2148" s="4"/>
      <c r="L2148" s="19"/>
      <c r="M2148" s="20"/>
    </row>
    <row r="2149">
      <c r="A2149" s="6"/>
      <c r="B2149" s="6"/>
      <c r="C2149" s="4"/>
      <c r="D2149" s="36">
        <v>200.402386</v>
      </c>
      <c r="E2149" s="4" t="s">
        <v>534</v>
      </c>
      <c r="F2149" s="4"/>
      <c r="G2149" s="4"/>
      <c r="H2149" s="4"/>
      <c r="I2149" s="4"/>
      <c r="J2149" s="18"/>
      <c r="K2149" s="4"/>
      <c r="L2149" s="19"/>
      <c r="M2149" s="20"/>
    </row>
    <row r="2150">
      <c r="A2150" s="6"/>
      <c r="B2150" s="6"/>
      <c r="C2150" s="4"/>
      <c r="D2150" s="36">
        <v>224.000554</v>
      </c>
      <c r="E2150" s="4" t="s">
        <v>1121</v>
      </c>
      <c r="F2150" s="4"/>
      <c r="G2150" s="4"/>
      <c r="H2150" s="4"/>
      <c r="I2150" s="4"/>
      <c r="J2150" s="18"/>
      <c r="K2150" s="4"/>
      <c r="L2150" s="19"/>
      <c r="M2150" s="20"/>
    </row>
    <row r="2151">
      <c r="A2151" s="6"/>
      <c r="B2151" s="6"/>
      <c r="C2151" s="4"/>
      <c r="D2151" s="36">
        <v>111.386574</v>
      </c>
      <c r="E2151" s="4" t="s">
        <v>554</v>
      </c>
      <c r="F2151" s="4"/>
      <c r="G2151" s="4"/>
      <c r="H2151" s="4"/>
      <c r="I2151" s="4"/>
      <c r="J2151" s="18"/>
      <c r="K2151" s="4"/>
      <c r="L2151" s="19"/>
      <c r="M2151" s="20"/>
    </row>
    <row r="2152">
      <c r="A2152" s="6"/>
      <c r="B2152" s="6"/>
      <c r="C2152" s="4"/>
      <c r="D2152" s="36">
        <v>92.199412</v>
      </c>
      <c r="E2152" s="4" t="s">
        <v>929</v>
      </c>
      <c r="F2152" s="4"/>
      <c r="G2152" s="4"/>
      <c r="H2152" s="4"/>
      <c r="I2152" s="4"/>
      <c r="J2152" s="18"/>
      <c r="K2152" s="4"/>
      <c r="L2152" s="19"/>
      <c r="M2152" s="20"/>
    </row>
    <row r="2153">
      <c r="A2153" s="6"/>
      <c r="B2153" s="6"/>
      <c r="C2153" s="4"/>
      <c r="D2153" s="36">
        <v>35.191984</v>
      </c>
      <c r="E2153" s="4" t="s">
        <v>338</v>
      </c>
      <c r="F2153" s="4"/>
      <c r="G2153" s="4"/>
      <c r="H2153" s="4"/>
      <c r="I2153" s="4"/>
      <c r="J2153" s="18"/>
      <c r="K2153" s="4"/>
      <c r="L2153" s="19"/>
      <c r="M2153" s="20"/>
    </row>
    <row r="2154">
      <c r="A2154" s="6"/>
      <c r="B2154" s="6"/>
      <c r="C2154" s="4"/>
      <c r="D2154" s="36">
        <v>220.476437</v>
      </c>
      <c r="E2154" s="4" t="s">
        <v>9009</v>
      </c>
      <c r="F2154" s="4"/>
      <c r="G2154" s="4"/>
      <c r="H2154" s="4"/>
      <c r="I2154" s="4"/>
      <c r="J2154" s="18"/>
      <c r="K2154" s="4"/>
      <c r="L2154" s="19"/>
      <c r="M2154" s="20"/>
    </row>
    <row r="2155">
      <c r="A2155" s="6"/>
      <c r="B2155" s="6"/>
      <c r="C2155" s="4"/>
      <c r="D2155" s="36">
        <v>82.665564</v>
      </c>
      <c r="E2155" s="4" t="s">
        <v>5818</v>
      </c>
      <c r="F2155" s="4"/>
      <c r="G2155" s="4"/>
      <c r="H2155" s="4"/>
      <c r="I2155" s="4"/>
      <c r="J2155" s="18"/>
      <c r="K2155" s="4"/>
      <c r="L2155" s="19"/>
      <c r="M2155" s="20"/>
    </row>
    <row r="2156">
      <c r="A2156" s="6"/>
      <c r="B2156" s="6"/>
      <c r="C2156" s="4"/>
      <c r="D2156" s="36">
        <v>71.133114</v>
      </c>
      <c r="E2156" s="4" t="s">
        <v>8685</v>
      </c>
      <c r="F2156" s="4"/>
      <c r="G2156" s="4"/>
      <c r="H2156" s="4"/>
      <c r="I2156" s="4"/>
      <c r="J2156" s="18"/>
      <c r="K2156" s="4"/>
      <c r="L2156" s="19"/>
      <c r="M2156" s="20"/>
    </row>
    <row r="2157">
      <c r="A2157" s="6"/>
      <c r="B2157" s="6"/>
      <c r="C2157" s="4"/>
      <c r="D2157" s="36">
        <v>224.000554</v>
      </c>
      <c r="E2157" s="4" t="s">
        <v>9010</v>
      </c>
      <c r="F2157" s="4"/>
      <c r="G2157" s="4"/>
      <c r="H2157" s="4"/>
      <c r="I2157" s="4"/>
      <c r="J2157" s="18"/>
      <c r="K2157" s="4"/>
      <c r="L2157" s="19"/>
      <c r="M2157" s="20"/>
    </row>
    <row r="2158">
      <c r="A2158" s="6"/>
      <c r="B2158" s="6"/>
      <c r="C2158" s="4"/>
      <c r="D2158" s="36">
        <v>224.000554</v>
      </c>
      <c r="E2158" s="4" t="s">
        <v>673</v>
      </c>
      <c r="F2158" s="4"/>
      <c r="G2158" s="4"/>
      <c r="H2158" s="4"/>
      <c r="I2158" s="4"/>
      <c r="J2158" s="18"/>
      <c r="K2158" s="4"/>
      <c r="L2158" s="19"/>
      <c r="M2158" s="20"/>
    </row>
    <row r="2159">
      <c r="A2159" s="6"/>
      <c r="B2159" s="6"/>
      <c r="C2159" s="4"/>
      <c r="D2159" s="36">
        <v>224.000554</v>
      </c>
      <c r="E2159" s="4" t="s">
        <v>4576</v>
      </c>
      <c r="F2159" s="4"/>
      <c r="G2159" s="4"/>
      <c r="H2159" s="4"/>
      <c r="I2159" s="4"/>
      <c r="J2159" s="18"/>
      <c r="K2159" s="4"/>
      <c r="L2159" s="19"/>
      <c r="M2159" s="20"/>
    </row>
    <row r="2160">
      <c r="A2160" s="6"/>
      <c r="B2160" s="6"/>
      <c r="C2160" s="4"/>
      <c r="D2160" s="36">
        <v>198.97044</v>
      </c>
      <c r="E2160" s="4" t="s">
        <v>2981</v>
      </c>
      <c r="F2160" s="4"/>
      <c r="G2160" s="4"/>
      <c r="H2160" s="4"/>
      <c r="I2160" s="4"/>
      <c r="J2160" s="18"/>
      <c r="K2160" s="4"/>
      <c r="L2160" s="19"/>
      <c r="M2160" s="20"/>
    </row>
    <row r="2161">
      <c r="A2161" s="6"/>
      <c r="B2161" s="6"/>
      <c r="C2161" s="4"/>
      <c r="D2161" s="36">
        <v>91.74141</v>
      </c>
      <c r="E2161" s="4" t="s">
        <v>834</v>
      </c>
      <c r="F2161" s="4"/>
      <c r="G2161" s="4"/>
      <c r="H2161" s="4"/>
      <c r="I2161" s="4"/>
      <c r="J2161" s="18"/>
      <c r="K2161" s="4"/>
      <c r="L2161" s="19"/>
      <c r="M2161" s="20"/>
    </row>
    <row r="2162">
      <c r="A2162" s="6"/>
      <c r="B2162" s="6"/>
      <c r="C2162" s="4"/>
      <c r="D2162" s="36">
        <v>224.000554</v>
      </c>
      <c r="E2162" s="4" t="s">
        <v>9011</v>
      </c>
      <c r="F2162" s="4"/>
      <c r="G2162" s="4"/>
      <c r="H2162" s="4"/>
      <c r="I2162" s="4"/>
      <c r="J2162" s="18"/>
      <c r="K2162" s="4"/>
      <c r="L2162" s="19"/>
      <c r="M2162" s="20"/>
    </row>
    <row r="2163">
      <c r="A2163" s="6"/>
      <c r="B2163" s="6"/>
      <c r="C2163" s="4"/>
      <c r="D2163" s="36">
        <v>11.135972</v>
      </c>
      <c r="E2163" s="4" t="s">
        <v>9012</v>
      </c>
      <c r="F2163" s="4"/>
      <c r="G2163" s="4"/>
      <c r="H2163" s="4"/>
      <c r="I2163" s="4"/>
      <c r="J2163" s="18"/>
      <c r="K2163" s="4"/>
      <c r="L2163" s="19"/>
      <c r="M2163" s="20"/>
    </row>
    <row r="2164">
      <c r="A2164" s="6"/>
      <c r="B2164" s="6"/>
      <c r="C2164" s="4"/>
      <c r="D2164" s="36">
        <v>44.060319</v>
      </c>
      <c r="E2164" s="4" t="s">
        <v>8640</v>
      </c>
      <c r="F2164" s="4"/>
      <c r="G2164" s="4"/>
      <c r="H2164" s="4"/>
      <c r="I2164" s="4"/>
      <c r="J2164" s="18"/>
      <c r="K2164" s="4"/>
      <c r="L2164" s="19"/>
      <c r="M2164" s="20"/>
    </row>
    <row r="2165">
      <c r="A2165" s="6"/>
      <c r="B2165" s="6"/>
      <c r="C2165" s="4"/>
      <c r="D2165" s="36">
        <v>224.000554</v>
      </c>
      <c r="E2165" s="4" t="s">
        <v>1241</v>
      </c>
      <c r="F2165" s="4"/>
      <c r="G2165" s="4"/>
      <c r="H2165" s="4"/>
      <c r="I2165" s="4"/>
      <c r="J2165" s="18"/>
      <c r="K2165" s="4"/>
      <c r="L2165" s="19"/>
      <c r="M2165" s="20"/>
    </row>
    <row r="2166">
      <c r="A2166" s="6"/>
      <c r="B2166" s="6"/>
      <c r="C2166" s="4"/>
      <c r="D2166" s="36">
        <v>224.000554</v>
      </c>
      <c r="E2166" s="4" t="s">
        <v>9013</v>
      </c>
      <c r="F2166" s="4"/>
      <c r="G2166" s="4"/>
      <c r="H2166" s="4"/>
      <c r="I2166" s="4"/>
      <c r="J2166" s="18"/>
      <c r="K2166" s="4"/>
      <c r="L2166" s="19"/>
      <c r="M2166" s="20"/>
    </row>
    <row r="2167">
      <c r="A2167" s="6"/>
      <c r="B2167" s="6"/>
      <c r="C2167" s="4"/>
      <c r="D2167" s="36">
        <v>68.568753</v>
      </c>
      <c r="E2167" s="4" t="s">
        <v>8726</v>
      </c>
      <c r="F2167" s="4"/>
      <c r="G2167" s="4"/>
      <c r="H2167" s="4"/>
      <c r="I2167" s="4"/>
      <c r="J2167" s="18"/>
      <c r="K2167" s="4"/>
      <c r="L2167" s="19"/>
      <c r="M2167" s="20"/>
    </row>
    <row r="2168">
      <c r="A2168" s="6"/>
      <c r="B2168" s="6"/>
      <c r="C2168" s="4"/>
      <c r="D2168" s="36">
        <v>56.449098</v>
      </c>
      <c r="E2168" s="4" t="s">
        <v>9014</v>
      </c>
      <c r="F2168" s="4"/>
      <c r="G2168" s="4"/>
      <c r="H2168" s="4"/>
      <c r="I2168" s="4"/>
      <c r="J2168" s="18"/>
      <c r="K2168" s="4"/>
      <c r="L2168" s="19"/>
      <c r="M2168" s="20"/>
    </row>
    <row r="2169">
      <c r="A2169" s="6"/>
      <c r="B2169" s="6"/>
      <c r="C2169" s="4"/>
      <c r="D2169" s="36">
        <v>33.609926</v>
      </c>
      <c r="E2169" s="4" t="s">
        <v>7066</v>
      </c>
      <c r="F2169" s="4"/>
      <c r="G2169" s="4"/>
      <c r="H2169" s="4"/>
      <c r="I2169" s="4"/>
      <c r="J2169" s="18"/>
      <c r="K2169" s="4"/>
      <c r="L2169" s="19"/>
      <c r="M2169" s="20"/>
    </row>
    <row r="2170">
      <c r="A2170" s="6"/>
      <c r="B2170" s="6"/>
      <c r="C2170" s="4"/>
      <c r="D2170" s="36">
        <v>102.928114</v>
      </c>
      <c r="E2170" s="4" t="s">
        <v>5278</v>
      </c>
      <c r="F2170" s="4"/>
      <c r="G2170" s="4"/>
      <c r="H2170" s="4"/>
      <c r="I2170" s="4"/>
      <c r="J2170" s="18"/>
      <c r="K2170" s="4"/>
      <c r="L2170" s="19"/>
      <c r="M2170" s="20"/>
    </row>
    <row r="2171">
      <c r="A2171" s="6"/>
      <c r="B2171" s="6"/>
      <c r="C2171" s="4"/>
      <c r="D2171" s="36">
        <v>76.97804</v>
      </c>
      <c r="E2171" s="4" t="s">
        <v>107</v>
      </c>
      <c r="F2171" s="4"/>
      <c r="G2171" s="4"/>
      <c r="H2171" s="4"/>
      <c r="I2171" s="4"/>
      <c r="J2171" s="18"/>
      <c r="K2171" s="4"/>
      <c r="L2171" s="19"/>
      <c r="M2171" s="20"/>
    </row>
    <row r="2172">
      <c r="A2172" s="6"/>
      <c r="B2172" s="6"/>
      <c r="C2172" s="4"/>
      <c r="D2172" s="36">
        <v>56.000138</v>
      </c>
      <c r="E2172" s="4" t="s">
        <v>8321</v>
      </c>
      <c r="F2172" s="4"/>
      <c r="G2172" s="4"/>
      <c r="H2172" s="4"/>
      <c r="I2172" s="4"/>
      <c r="J2172" s="18"/>
      <c r="K2172" s="4"/>
      <c r="L2172" s="19"/>
      <c r="M2172" s="20"/>
    </row>
    <row r="2173">
      <c r="A2173" s="6"/>
      <c r="B2173" s="6"/>
      <c r="C2173" s="4"/>
      <c r="D2173" s="36">
        <v>224.000554</v>
      </c>
      <c r="E2173" s="4" t="s">
        <v>9015</v>
      </c>
      <c r="F2173" s="4"/>
      <c r="G2173" s="4"/>
      <c r="H2173" s="4"/>
      <c r="I2173" s="4"/>
      <c r="J2173" s="18"/>
      <c r="K2173" s="4"/>
      <c r="L2173" s="19"/>
      <c r="M2173" s="20"/>
    </row>
    <row r="2174">
      <c r="A2174" s="6"/>
      <c r="B2174" s="6"/>
      <c r="C2174" s="4"/>
      <c r="D2174" s="36">
        <v>224.000554</v>
      </c>
      <c r="E2174" s="4" t="s">
        <v>7465</v>
      </c>
      <c r="F2174" s="4"/>
      <c r="G2174" s="4"/>
      <c r="H2174" s="4"/>
      <c r="I2174" s="4"/>
      <c r="J2174" s="18"/>
      <c r="K2174" s="4"/>
      <c r="L2174" s="19"/>
      <c r="M2174" s="20"/>
    </row>
    <row r="2175">
      <c r="A2175" s="6"/>
      <c r="B2175" s="6"/>
      <c r="C2175" s="4"/>
      <c r="D2175" s="36">
        <v>150.080371</v>
      </c>
      <c r="E2175" s="4" t="s">
        <v>9016</v>
      </c>
      <c r="F2175" s="4"/>
      <c r="G2175" s="4"/>
      <c r="H2175" s="4"/>
      <c r="I2175" s="4"/>
      <c r="J2175" s="18"/>
      <c r="K2175" s="4"/>
      <c r="L2175" s="19"/>
      <c r="M2175" s="20"/>
    </row>
    <row r="2176">
      <c r="A2176" s="6"/>
      <c r="B2176" s="6"/>
      <c r="C2176" s="4"/>
      <c r="D2176" s="36">
        <v>224.000554</v>
      </c>
      <c r="E2176" s="4" t="s">
        <v>485</v>
      </c>
      <c r="F2176" s="4"/>
      <c r="G2176" s="4"/>
      <c r="H2176" s="4"/>
      <c r="I2176" s="4"/>
      <c r="J2176" s="18"/>
      <c r="K2176" s="4"/>
      <c r="L2176" s="19"/>
      <c r="M2176" s="20"/>
    </row>
    <row r="2177">
      <c r="A2177" s="6"/>
      <c r="B2177" s="6"/>
      <c r="C2177" s="4"/>
      <c r="D2177" s="36">
        <v>56.084471</v>
      </c>
      <c r="E2177" s="4" t="s">
        <v>8581</v>
      </c>
      <c r="F2177" s="4"/>
      <c r="G2177" s="4"/>
      <c r="H2177" s="4"/>
      <c r="I2177" s="4"/>
      <c r="J2177" s="18"/>
      <c r="K2177" s="4"/>
      <c r="L2177" s="19"/>
      <c r="M2177" s="20"/>
    </row>
    <row r="2178">
      <c r="A2178" s="6"/>
      <c r="B2178" s="6"/>
      <c r="C2178" s="4"/>
      <c r="D2178" s="36">
        <v>122.848917</v>
      </c>
      <c r="E2178" s="4" t="s">
        <v>675</v>
      </c>
      <c r="F2178" s="4"/>
      <c r="G2178" s="4"/>
      <c r="H2178" s="4"/>
      <c r="I2178" s="4"/>
      <c r="J2178" s="18"/>
      <c r="K2178" s="4"/>
      <c r="L2178" s="19"/>
      <c r="M2178" s="20"/>
    </row>
    <row r="2179">
      <c r="A2179" s="6"/>
      <c r="B2179" s="6"/>
      <c r="C2179" s="4"/>
      <c r="D2179" s="36">
        <v>59.076001</v>
      </c>
      <c r="E2179" s="4" t="s">
        <v>3626</v>
      </c>
      <c r="F2179" s="4"/>
      <c r="G2179" s="4"/>
      <c r="H2179" s="4"/>
      <c r="I2179" s="4"/>
      <c r="J2179" s="18"/>
      <c r="K2179" s="4"/>
      <c r="L2179" s="19"/>
      <c r="M2179" s="20"/>
    </row>
    <row r="2180">
      <c r="A2180" s="6"/>
      <c r="B2180" s="6"/>
      <c r="C2180" s="4"/>
      <c r="D2180" s="36">
        <v>224.000554</v>
      </c>
      <c r="E2180" s="4" t="s">
        <v>1283</v>
      </c>
      <c r="F2180" s="4"/>
      <c r="G2180" s="4"/>
      <c r="H2180" s="4"/>
      <c r="I2180" s="4"/>
      <c r="J2180" s="18"/>
      <c r="K2180" s="4"/>
      <c r="L2180" s="19"/>
      <c r="M2180" s="20"/>
    </row>
    <row r="2181">
      <c r="A2181" s="6"/>
      <c r="B2181" s="6"/>
      <c r="C2181" s="4"/>
      <c r="D2181" s="36">
        <v>27.229322</v>
      </c>
      <c r="E2181" s="4" t="s">
        <v>6761</v>
      </c>
      <c r="F2181" s="4"/>
      <c r="G2181" s="4"/>
      <c r="H2181" s="4"/>
      <c r="I2181" s="4"/>
      <c r="J2181" s="18"/>
      <c r="K2181" s="4"/>
      <c r="L2181" s="19"/>
      <c r="M2181" s="20"/>
    </row>
    <row r="2182">
      <c r="A2182" s="6"/>
      <c r="B2182" s="6"/>
      <c r="C2182" s="4"/>
      <c r="D2182" s="36">
        <v>100.811449</v>
      </c>
      <c r="E2182" s="4" t="s">
        <v>9017</v>
      </c>
      <c r="F2182" s="4"/>
      <c r="G2182" s="4"/>
      <c r="H2182" s="4"/>
      <c r="I2182" s="4"/>
      <c r="J2182" s="18"/>
      <c r="K2182" s="4"/>
      <c r="L2182" s="19"/>
      <c r="M2182" s="20"/>
    </row>
    <row r="2183">
      <c r="A2183" s="6"/>
      <c r="B2183" s="6"/>
      <c r="C2183" s="4"/>
      <c r="D2183" s="36">
        <v>224.000554</v>
      </c>
      <c r="E2183" s="4" t="s">
        <v>8453</v>
      </c>
      <c r="F2183" s="4"/>
      <c r="G2183" s="4"/>
      <c r="H2183" s="4"/>
      <c r="I2183" s="4"/>
      <c r="J2183" s="18"/>
      <c r="K2183" s="4"/>
      <c r="L2183" s="19"/>
      <c r="M2183" s="20"/>
    </row>
    <row r="2184">
      <c r="A2184" s="6"/>
      <c r="B2184" s="6"/>
      <c r="C2184" s="4"/>
      <c r="D2184" s="36">
        <v>68.127717</v>
      </c>
      <c r="E2184" s="4" t="s">
        <v>3737</v>
      </c>
      <c r="F2184" s="4"/>
      <c r="G2184" s="4"/>
      <c r="H2184" s="4"/>
      <c r="I2184" s="4"/>
      <c r="J2184" s="18"/>
      <c r="K2184" s="4"/>
      <c r="L2184" s="19"/>
      <c r="M2184" s="20"/>
    </row>
    <row r="2185">
      <c r="A2185" s="6"/>
      <c r="B2185" s="6"/>
      <c r="C2185" s="4"/>
      <c r="D2185" s="36">
        <v>224.000554</v>
      </c>
      <c r="E2185" s="4" t="s">
        <v>9018</v>
      </c>
      <c r="F2185" s="4"/>
      <c r="G2185" s="4"/>
      <c r="H2185" s="4"/>
      <c r="I2185" s="4"/>
      <c r="J2185" s="18"/>
      <c r="K2185" s="4"/>
      <c r="L2185" s="19"/>
      <c r="M2185" s="20"/>
    </row>
    <row r="2186">
      <c r="A2186" s="6"/>
      <c r="B2186" s="6"/>
      <c r="C2186" s="4"/>
      <c r="D2186" s="36">
        <v>224.000554</v>
      </c>
      <c r="E2186" s="4" t="s">
        <v>9019</v>
      </c>
      <c r="F2186" s="4"/>
      <c r="G2186" s="4"/>
      <c r="H2186" s="4"/>
      <c r="I2186" s="4"/>
      <c r="J2186" s="18"/>
      <c r="K2186" s="4"/>
      <c r="L2186" s="19"/>
      <c r="M2186" s="20"/>
    </row>
    <row r="2187">
      <c r="A2187" s="6"/>
      <c r="B2187" s="6"/>
      <c r="C2187" s="4"/>
      <c r="D2187" s="36">
        <v>224.000554</v>
      </c>
      <c r="E2187" s="4" t="s">
        <v>9020</v>
      </c>
      <c r="F2187" s="4"/>
      <c r="G2187" s="4"/>
      <c r="H2187" s="4"/>
      <c r="I2187" s="4"/>
      <c r="J2187" s="18"/>
      <c r="K2187" s="4"/>
      <c r="L2187" s="19"/>
      <c r="M2187" s="20"/>
    </row>
    <row r="2188">
      <c r="A2188" s="6"/>
      <c r="B2188" s="6"/>
      <c r="C2188" s="4"/>
      <c r="D2188" s="36">
        <v>224.000554</v>
      </c>
      <c r="E2188" s="4" t="s">
        <v>9021</v>
      </c>
      <c r="F2188" s="4"/>
      <c r="G2188" s="4"/>
      <c r="H2188" s="4"/>
      <c r="I2188" s="4"/>
      <c r="J2188" s="18"/>
      <c r="K2188" s="4"/>
      <c r="L2188" s="19"/>
      <c r="M2188" s="20"/>
    </row>
    <row r="2189">
      <c r="A2189" s="6"/>
      <c r="B2189" s="6"/>
      <c r="C2189" s="4"/>
      <c r="D2189" s="36">
        <v>98.457607</v>
      </c>
      <c r="E2189" s="4" t="s">
        <v>8753</v>
      </c>
      <c r="F2189" s="4"/>
      <c r="G2189" s="4"/>
      <c r="H2189" s="4"/>
      <c r="I2189" s="4"/>
      <c r="J2189" s="18"/>
      <c r="K2189" s="4"/>
      <c r="L2189" s="19"/>
      <c r="M2189" s="20"/>
    </row>
    <row r="2190">
      <c r="A2190" s="6"/>
      <c r="B2190" s="6"/>
      <c r="C2190" s="4"/>
      <c r="D2190" s="36">
        <v>224.000554</v>
      </c>
      <c r="E2190" s="4" t="s">
        <v>6172</v>
      </c>
      <c r="F2190" s="4"/>
      <c r="G2190" s="4"/>
      <c r="H2190" s="4"/>
      <c r="I2190" s="4"/>
      <c r="J2190" s="18"/>
      <c r="K2190" s="4"/>
      <c r="L2190" s="19"/>
      <c r="M2190" s="20"/>
    </row>
    <row r="2191">
      <c r="A2191" s="6"/>
      <c r="B2191" s="6"/>
      <c r="C2191" s="4"/>
      <c r="D2191" s="36">
        <v>217.171556</v>
      </c>
      <c r="E2191" s="4" t="s">
        <v>2999</v>
      </c>
      <c r="F2191" s="4"/>
      <c r="G2191" s="4"/>
      <c r="H2191" s="4"/>
      <c r="I2191" s="4"/>
      <c r="J2191" s="18"/>
      <c r="K2191" s="4"/>
      <c r="L2191" s="19"/>
      <c r="M2191" s="20"/>
    </row>
    <row r="2192">
      <c r="A2192" s="6"/>
      <c r="B2192" s="6"/>
      <c r="C2192" s="4"/>
      <c r="D2192" s="36">
        <v>97.642988</v>
      </c>
      <c r="E2192" s="4" t="s">
        <v>9022</v>
      </c>
      <c r="F2192" s="4"/>
      <c r="G2192" s="4"/>
      <c r="H2192" s="4"/>
      <c r="I2192" s="4"/>
      <c r="J2192" s="18"/>
      <c r="K2192" s="4"/>
      <c r="L2192" s="19"/>
      <c r="M2192" s="20"/>
    </row>
    <row r="2193">
      <c r="A2193" s="6"/>
      <c r="B2193" s="6"/>
      <c r="C2193" s="4"/>
      <c r="D2193" s="36">
        <v>63.346504</v>
      </c>
      <c r="E2193" s="4" t="s">
        <v>5958</v>
      </c>
      <c r="F2193" s="4"/>
      <c r="G2193" s="4"/>
      <c r="H2193" s="4"/>
      <c r="I2193" s="4"/>
      <c r="J2193" s="18"/>
      <c r="K2193" s="4"/>
      <c r="L2193" s="19"/>
      <c r="M2193" s="20"/>
    </row>
    <row r="2194">
      <c r="A2194" s="6"/>
      <c r="B2194" s="6"/>
      <c r="C2194" s="4"/>
      <c r="D2194" s="36">
        <v>224.000554</v>
      </c>
      <c r="E2194" s="4" t="s">
        <v>8716</v>
      </c>
      <c r="F2194" s="4"/>
      <c r="G2194" s="4"/>
      <c r="H2194" s="4"/>
      <c r="I2194" s="4"/>
      <c r="J2194" s="18"/>
      <c r="K2194" s="4"/>
      <c r="L2194" s="19"/>
      <c r="M2194" s="20"/>
    </row>
    <row r="2195">
      <c r="A2195" s="6"/>
      <c r="B2195" s="6"/>
      <c r="C2195" s="4"/>
      <c r="D2195" s="36">
        <v>224.000554</v>
      </c>
      <c r="E2195" s="4" t="s">
        <v>1576</v>
      </c>
      <c r="F2195" s="4"/>
      <c r="G2195" s="4"/>
      <c r="H2195" s="4"/>
      <c r="I2195" s="4"/>
      <c r="J2195" s="18"/>
      <c r="K2195" s="4"/>
      <c r="L2195" s="19"/>
      <c r="M2195" s="20"/>
    </row>
    <row r="2196">
      <c r="A2196" s="6"/>
      <c r="B2196" s="6"/>
      <c r="C2196" s="4"/>
      <c r="D2196" s="36">
        <v>33.663225</v>
      </c>
      <c r="E2196" s="4" t="s">
        <v>9023</v>
      </c>
      <c r="F2196" s="4"/>
      <c r="G2196" s="4"/>
      <c r="H2196" s="4"/>
      <c r="I2196" s="4"/>
      <c r="J2196" s="18"/>
      <c r="K2196" s="4"/>
      <c r="L2196" s="19"/>
      <c r="M2196" s="20"/>
    </row>
    <row r="2197">
      <c r="A2197" s="6"/>
      <c r="B2197" s="6"/>
      <c r="C2197" s="4"/>
      <c r="D2197" s="36">
        <v>224.000554</v>
      </c>
      <c r="E2197" s="4" t="s">
        <v>613</v>
      </c>
      <c r="F2197" s="4"/>
      <c r="G2197" s="4"/>
      <c r="H2197" s="4"/>
      <c r="I2197" s="4"/>
      <c r="J2197" s="18"/>
      <c r="K2197" s="4"/>
      <c r="L2197" s="19"/>
      <c r="M2197" s="20"/>
    </row>
    <row r="2198">
      <c r="A2198" s="6"/>
      <c r="B2198" s="6"/>
      <c r="C2198" s="4"/>
      <c r="D2198" s="36">
        <v>113.708904</v>
      </c>
      <c r="E2198" s="4" t="s">
        <v>3261</v>
      </c>
      <c r="F2198" s="4"/>
      <c r="G2198" s="4"/>
      <c r="H2198" s="4"/>
      <c r="I2198" s="4"/>
      <c r="J2198" s="18"/>
      <c r="K2198" s="4"/>
      <c r="L2198" s="19"/>
      <c r="M2198" s="20"/>
    </row>
    <row r="2199">
      <c r="A2199" s="6"/>
      <c r="B2199" s="6"/>
      <c r="C2199" s="4"/>
      <c r="D2199" s="36">
        <v>224.000554</v>
      </c>
      <c r="E2199" s="4" t="s">
        <v>9024</v>
      </c>
      <c r="F2199" s="4"/>
      <c r="G2199" s="4"/>
      <c r="H2199" s="4"/>
      <c r="I2199" s="4"/>
      <c r="J2199" s="18"/>
      <c r="K2199" s="4"/>
      <c r="L2199" s="19"/>
      <c r="M2199" s="20"/>
    </row>
    <row r="2200">
      <c r="A2200" s="6"/>
      <c r="B2200" s="6"/>
      <c r="C2200" s="4"/>
      <c r="D2200" s="36">
        <v>37.038088</v>
      </c>
      <c r="E2200" s="4" t="s">
        <v>8587</v>
      </c>
      <c r="F2200" s="4"/>
      <c r="G2200" s="4"/>
      <c r="H2200" s="4"/>
      <c r="I2200" s="4"/>
      <c r="J2200" s="18"/>
      <c r="K2200" s="4"/>
      <c r="L2200" s="19"/>
      <c r="M2200" s="20"/>
    </row>
    <row r="2201">
      <c r="A2201" s="6"/>
      <c r="B2201" s="6"/>
      <c r="C2201" s="4"/>
      <c r="D2201" s="36">
        <v>136.921075</v>
      </c>
      <c r="E2201" s="4" t="s">
        <v>8535</v>
      </c>
      <c r="F2201" s="4"/>
      <c r="G2201" s="4"/>
      <c r="H2201" s="4"/>
      <c r="I2201" s="4"/>
      <c r="J2201" s="18"/>
      <c r="K2201" s="4"/>
      <c r="L2201" s="19"/>
      <c r="M2201" s="20"/>
    </row>
    <row r="2202">
      <c r="A2202" s="6"/>
      <c r="B2202" s="6"/>
      <c r="C2202" s="4"/>
      <c r="D2202" s="36">
        <v>456.878902</v>
      </c>
      <c r="E2202" s="4" t="s">
        <v>9009</v>
      </c>
      <c r="F2202" s="4"/>
      <c r="G2202" s="4"/>
      <c r="H2202" s="4"/>
      <c r="I2202" s="4"/>
      <c r="J2202" s="18"/>
      <c r="K2202" s="4"/>
      <c r="L2202" s="19"/>
      <c r="M2202" s="20"/>
    </row>
    <row r="2203">
      <c r="A2203" s="6"/>
      <c r="B2203" s="6"/>
      <c r="C2203" s="4"/>
      <c r="D2203" s="36">
        <v>465.107548</v>
      </c>
      <c r="E2203" s="4" t="s">
        <v>367</v>
      </c>
      <c r="F2203" s="4"/>
      <c r="G2203" s="4"/>
      <c r="H2203" s="4"/>
      <c r="I2203" s="4"/>
      <c r="J2203" s="18"/>
      <c r="K2203" s="4"/>
      <c r="L2203" s="19"/>
      <c r="M2203" s="20"/>
    </row>
    <row r="2204">
      <c r="A2204" s="6"/>
      <c r="B2204" s="6"/>
      <c r="C2204" s="4"/>
      <c r="D2204" s="36">
        <v>465.107548</v>
      </c>
      <c r="E2204" s="4" t="s">
        <v>8701</v>
      </c>
      <c r="F2204" s="4"/>
      <c r="G2204" s="4"/>
      <c r="H2204" s="4"/>
      <c r="I2204" s="4"/>
      <c r="J2204" s="18"/>
      <c r="K2204" s="4"/>
      <c r="L2204" s="19"/>
      <c r="M2204" s="20"/>
    </row>
    <row r="2205">
      <c r="A2205" s="6"/>
      <c r="B2205" s="6"/>
      <c r="C2205" s="4"/>
      <c r="D2205" s="36">
        <v>254.587279</v>
      </c>
      <c r="E2205" s="4" t="s">
        <v>9025</v>
      </c>
      <c r="F2205" s="4"/>
      <c r="G2205" s="4"/>
      <c r="H2205" s="4"/>
      <c r="I2205" s="4"/>
      <c r="J2205" s="18"/>
      <c r="K2205" s="4"/>
      <c r="L2205" s="19"/>
      <c r="M2205" s="20"/>
    </row>
    <row r="2206">
      <c r="A2206" s="6"/>
      <c r="B2206" s="6"/>
      <c r="C2206" s="4"/>
      <c r="D2206" s="36">
        <v>465.107548</v>
      </c>
      <c r="E2206" s="4" t="s">
        <v>2806</v>
      </c>
      <c r="F2206" s="4"/>
      <c r="G2206" s="4"/>
      <c r="H2206" s="4"/>
      <c r="I2206" s="4"/>
      <c r="J2206" s="18"/>
      <c r="K2206" s="4"/>
      <c r="L2206" s="19"/>
      <c r="M2206" s="20"/>
    </row>
    <row r="2207">
      <c r="A2207" s="6"/>
      <c r="B2207" s="6"/>
      <c r="C2207" s="4"/>
      <c r="D2207" s="36">
        <v>465.107548</v>
      </c>
      <c r="E2207" s="4" t="s">
        <v>8970</v>
      </c>
      <c r="F2207" s="4"/>
      <c r="G2207" s="4"/>
      <c r="H2207" s="4"/>
      <c r="I2207" s="4"/>
      <c r="J2207" s="18"/>
      <c r="K2207" s="4"/>
      <c r="L2207" s="19"/>
      <c r="M2207" s="20"/>
    </row>
    <row r="2208">
      <c r="A2208" s="6"/>
      <c r="B2208" s="6"/>
      <c r="C2208" s="4"/>
      <c r="D2208" s="36">
        <v>465.107548</v>
      </c>
      <c r="E2208" s="4" t="s">
        <v>9018</v>
      </c>
      <c r="F2208" s="4"/>
      <c r="G2208" s="4"/>
      <c r="H2208" s="4"/>
      <c r="I2208" s="4"/>
      <c r="J2208" s="18"/>
      <c r="K2208" s="4"/>
      <c r="L2208" s="19"/>
      <c r="M2208" s="20"/>
    </row>
    <row r="2209">
      <c r="A2209" s="6"/>
      <c r="B2209" s="6"/>
      <c r="C2209" s="4"/>
      <c r="D2209" s="36">
        <v>390.5928</v>
      </c>
      <c r="E2209" s="4" t="s">
        <v>9026</v>
      </c>
      <c r="F2209" s="4"/>
      <c r="G2209" s="4"/>
      <c r="H2209" s="4"/>
      <c r="I2209" s="4"/>
      <c r="J2209" s="18"/>
      <c r="K2209" s="4"/>
      <c r="L2209" s="19"/>
      <c r="M2209" s="20"/>
    </row>
    <row r="2210">
      <c r="A2210" s="6"/>
      <c r="B2210" s="6"/>
      <c r="C2210" s="4"/>
      <c r="D2210" s="36">
        <v>422.224632</v>
      </c>
      <c r="E2210" s="4" t="s">
        <v>1713</v>
      </c>
      <c r="F2210" s="4"/>
      <c r="G2210" s="4"/>
      <c r="H2210" s="4"/>
      <c r="I2210" s="4"/>
      <c r="J2210" s="18"/>
      <c r="K2210" s="4"/>
      <c r="L2210" s="19"/>
      <c r="M2210" s="20"/>
    </row>
    <row r="2211">
      <c r="A2211" s="6"/>
      <c r="B2211" s="6"/>
      <c r="C2211" s="4"/>
      <c r="D2211" s="36">
        <v>465.107548</v>
      </c>
      <c r="E2211" s="4" t="s">
        <v>1091</v>
      </c>
      <c r="F2211" s="4"/>
      <c r="G2211" s="4"/>
      <c r="H2211" s="4"/>
      <c r="I2211" s="4"/>
      <c r="J2211" s="18"/>
      <c r="K2211" s="4"/>
      <c r="L2211" s="19"/>
      <c r="M2211" s="20"/>
    </row>
    <row r="2212">
      <c r="A2212" s="6"/>
      <c r="B2212" s="6"/>
      <c r="C2212" s="4"/>
      <c r="D2212" s="36">
        <v>465.107548</v>
      </c>
      <c r="E2212" s="4" t="s">
        <v>9020</v>
      </c>
      <c r="F2212" s="4"/>
      <c r="G2212" s="4"/>
      <c r="H2212" s="4"/>
      <c r="I2212" s="4"/>
      <c r="J2212" s="18"/>
      <c r="K2212" s="4"/>
      <c r="L2212" s="19"/>
      <c r="M2212" s="20"/>
    </row>
    <row r="2213">
      <c r="A2213" s="6"/>
      <c r="B2213" s="6"/>
      <c r="C2213" s="4"/>
      <c r="D2213" s="36">
        <v>465.107548</v>
      </c>
      <c r="E2213" s="4" t="s">
        <v>8521</v>
      </c>
      <c r="F2213" s="4"/>
      <c r="G2213" s="4"/>
      <c r="H2213" s="4"/>
      <c r="I2213" s="4"/>
      <c r="J2213" s="18"/>
      <c r="K2213" s="4"/>
      <c r="L2213" s="19"/>
      <c r="M2213" s="20"/>
    </row>
    <row r="2214">
      <c r="A2214" s="6"/>
      <c r="B2214" s="6"/>
      <c r="C2214" s="4"/>
      <c r="D2214" s="36">
        <v>410.59719</v>
      </c>
      <c r="E2214" s="4" t="s">
        <v>9027</v>
      </c>
      <c r="F2214" s="4"/>
      <c r="G2214" s="4"/>
      <c r="H2214" s="4"/>
      <c r="I2214" s="4"/>
      <c r="J2214" s="18"/>
      <c r="K2214" s="4"/>
      <c r="L2214" s="19"/>
      <c r="M2214" s="20"/>
    </row>
    <row r="2215">
      <c r="A2215" s="6"/>
      <c r="B2215" s="6"/>
      <c r="C2215" s="4"/>
      <c r="D2215" s="36">
        <v>465.107548</v>
      </c>
      <c r="E2215" s="4" t="s">
        <v>8601</v>
      </c>
      <c r="F2215" s="4"/>
      <c r="G2215" s="4"/>
      <c r="H2215" s="4"/>
      <c r="I2215" s="4"/>
      <c r="J2215" s="18"/>
      <c r="K2215" s="4"/>
      <c r="L2215" s="19"/>
      <c r="M2215" s="20"/>
    </row>
    <row r="2216">
      <c r="A2216" s="6"/>
      <c r="B2216" s="6"/>
      <c r="C2216" s="4"/>
      <c r="D2216" s="36">
        <v>465.107548</v>
      </c>
      <c r="E2216" s="4" t="s">
        <v>1576</v>
      </c>
      <c r="F2216" s="4"/>
      <c r="G2216" s="4"/>
      <c r="H2216" s="4"/>
      <c r="I2216" s="4"/>
      <c r="J2216" s="18"/>
      <c r="K2216" s="4"/>
      <c r="L2216" s="19"/>
      <c r="M2216" s="20"/>
    </row>
    <row r="2217">
      <c r="A2217" s="6"/>
      <c r="B2217" s="6"/>
      <c r="C2217" s="4"/>
      <c r="D2217" s="36">
        <v>415.6531</v>
      </c>
      <c r="E2217" s="4" t="s">
        <v>534</v>
      </c>
      <c r="F2217" s="4"/>
      <c r="G2217" s="4"/>
      <c r="H2217" s="4"/>
      <c r="I2217" s="4"/>
      <c r="J2217" s="18"/>
      <c r="K2217" s="4"/>
      <c r="L2217" s="19"/>
      <c r="M2217" s="20"/>
    </row>
    <row r="2218">
      <c r="A2218" s="6"/>
      <c r="B2218" s="6"/>
      <c r="C2218" s="4"/>
      <c r="D2218" s="36">
        <v>465.107548</v>
      </c>
      <c r="E2218" s="4" t="s">
        <v>8716</v>
      </c>
      <c r="F2218" s="4"/>
      <c r="G2218" s="4"/>
      <c r="H2218" s="4"/>
      <c r="I2218" s="4"/>
      <c r="J2218" s="18"/>
      <c r="K2218" s="4"/>
      <c r="L2218" s="19"/>
      <c r="M2218" s="20"/>
    </row>
    <row r="2219">
      <c r="A2219" s="6"/>
      <c r="B2219" s="6"/>
      <c r="C2219" s="4"/>
      <c r="D2219" s="36">
        <v>465.107548</v>
      </c>
      <c r="E2219" s="4" t="s">
        <v>9028</v>
      </c>
      <c r="F2219" s="4"/>
      <c r="G2219" s="4"/>
      <c r="H2219" s="4"/>
      <c r="I2219" s="4"/>
      <c r="J2219" s="18"/>
      <c r="K2219" s="4"/>
      <c r="L2219" s="19"/>
      <c r="M2219" s="20"/>
    </row>
    <row r="2220">
      <c r="A2220" s="6"/>
      <c r="B2220" s="6"/>
      <c r="C2220" s="4"/>
      <c r="D2220" s="36">
        <v>459.8133</v>
      </c>
      <c r="E2220" s="4" t="s">
        <v>8992</v>
      </c>
      <c r="F2220" s="4"/>
      <c r="G2220" s="4"/>
      <c r="H2220" s="4"/>
      <c r="I2220" s="4"/>
      <c r="J2220" s="18"/>
      <c r="K2220" s="4"/>
      <c r="L2220" s="19"/>
      <c r="M2220" s="20"/>
    </row>
    <row r="2221">
      <c r="A2221" s="6"/>
      <c r="B2221" s="6"/>
      <c r="C2221" s="4"/>
      <c r="D2221" s="36">
        <v>465.107548</v>
      </c>
      <c r="E2221" s="4" t="s">
        <v>8952</v>
      </c>
      <c r="F2221" s="4"/>
      <c r="G2221" s="4"/>
      <c r="H2221" s="4"/>
      <c r="I2221" s="4"/>
      <c r="J2221" s="18"/>
      <c r="K2221" s="4"/>
      <c r="L2221" s="19"/>
      <c r="M2221" s="20"/>
    </row>
    <row r="2222">
      <c r="A2222" s="6"/>
      <c r="B2222" s="6"/>
      <c r="C2222" s="4"/>
      <c r="D2222" s="36">
        <v>336.051326</v>
      </c>
      <c r="E2222" s="4" t="s">
        <v>9029</v>
      </c>
      <c r="F2222" s="4"/>
      <c r="G2222" s="4"/>
      <c r="H2222" s="4"/>
      <c r="I2222" s="4"/>
      <c r="J2222" s="18"/>
      <c r="K2222" s="4"/>
      <c r="L2222" s="19"/>
      <c r="M2222" s="20"/>
    </row>
    <row r="2223">
      <c r="A2223" s="6"/>
      <c r="B2223" s="6"/>
      <c r="C2223" s="4"/>
      <c r="D2223" s="36">
        <v>46.544253</v>
      </c>
      <c r="E2223" s="4" t="s">
        <v>8957</v>
      </c>
      <c r="F2223" s="4"/>
      <c r="G2223" s="4"/>
      <c r="H2223" s="4"/>
      <c r="I2223" s="4"/>
      <c r="J2223" s="18"/>
      <c r="K2223" s="4"/>
      <c r="L2223" s="19"/>
      <c r="M2223" s="20"/>
    </row>
    <row r="2224">
      <c r="A2224" s="6"/>
      <c r="B2224" s="6"/>
      <c r="C2224" s="4"/>
      <c r="D2224" s="36">
        <v>465.107548</v>
      </c>
      <c r="E2224" s="4" t="s">
        <v>1667</v>
      </c>
      <c r="F2224" s="4"/>
      <c r="G2224" s="4"/>
      <c r="H2224" s="4"/>
      <c r="I2224" s="4"/>
      <c r="J2224" s="18"/>
      <c r="K2224" s="4"/>
      <c r="L2224" s="19"/>
      <c r="M2224" s="20"/>
    </row>
    <row r="2225">
      <c r="A2225" s="6"/>
      <c r="B2225" s="6"/>
      <c r="C2225" s="4"/>
      <c r="D2225" s="36">
        <v>372.086038</v>
      </c>
      <c r="E2225" s="4" t="s">
        <v>8586</v>
      </c>
      <c r="F2225" s="4"/>
      <c r="G2225" s="4"/>
      <c r="H2225" s="4"/>
      <c r="I2225" s="4"/>
      <c r="J2225" s="18"/>
      <c r="K2225" s="4"/>
      <c r="L2225" s="19"/>
      <c r="M2225" s="20"/>
    </row>
    <row r="2226">
      <c r="A2226" s="6"/>
      <c r="B2226" s="6"/>
      <c r="C2226" s="4"/>
      <c r="D2226" s="36">
        <v>57.022185</v>
      </c>
      <c r="E2226" s="4" t="s">
        <v>9030</v>
      </c>
      <c r="F2226" s="4"/>
      <c r="G2226" s="4"/>
      <c r="H2226" s="4"/>
      <c r="I2226" s="4"/>
      <c r="J2226" s="18"/>
      <c r="K2226" s="4"/>
      <c r="L2226" s="19"/>
      <c r="M2226" s="20"/>
    </row>
    <row r="2227">
      <c r="A2227" s="6"/>
      <c r="B2227" s="6"/>
      <c r="C2227" s="4"/>
      <c r="D2227" s="36">
        <v>206.211514</v>
      </c>
      <c r="E2227" s="4" t="s">
        <v>239</v>
      </c>
      <c r="F2227" s="4"/>
      <c r="G2227" s="4"/>
      <c r="H2227" s="4"/>
      <c r="I2227" s="4"/>
      <c r="J2227" s="18"/>
      <c r="K2227" s="4"/>
      <c r="L2227" s="19"/>
      <c r="M2227" s="20"/>
    </row>
    <row r="2228">
      <c r="A2228" s="6"/>
      <c r="B2228" s="6"/>
      <c r="C2228" s="4"/>
      <c r="D2228" s="36">
        <v>317.230751</v>
      </c>
      <c r="E2228" s="4" t="s">
        <v>9021</v>
      </c>
      <c r="F2228" s="4"/>
      <c r="G2228" s="4"/>
      <c r="H2228" s="4"/>
      <c r="I2228" s="4"/>
      <c r="J2228" s="18"/>
      <c r="K2228" s="4"/>
      <c r="L2228" s="19"/>
      <c r="M2228" s="20"/>
    </row>
    <row r="2229">
      <c r="A2229" s="6"/>
      <c r="B2229" s="6"/>
      <c r="C2229" s="4"/>
      <c r="D2229" s="36">
        <v>465.107548</v>
      </c>
      <c r="E2229" s="4" t="s">
        <v>683</v>
      </c>
      <c r="F2229" s="4"/>
      <c r="G2229" s="4"/>
      <c r="H2229" s="4"/>
      <c r="I2229" s="4"/>
      <c r="J2229" s="18"/>
      <c r="K2229" s="4"/>
      <c r="L2229" s="19"/>
      <c r="M2229" s="20"/>
    </row>
    <row r="2230">
      <c r="A2230" s="6"/>
      <c r="B2230" s="6"/>
      <c r="C2230" s="4"/>
      <c r="D2230" s="36">
        <v>465.107548</v>
      </c>
      <c r="E2230" s="4" t="s">
        <v>1218</v>
      </c>
      <c r="F2230" s="4"/>
      <c r="G2230" s="4"/>
      <c r="H2230" s="4"/>
      <c r="I2230" s="4"/>
      <c r="J2230" s="18"/>
      <c r="K2230" s="4"/>
      <c r="L2230" s="19"/>
      <c r="M2230" s="20"/>
    </row>
    <row r="2231">
      <c r="A2231" s="6"/>
      <c r="B2231" s="6"/>
      <c r="C2231" s="4"/>
      <c r="D2231" s="36">
        <v>137.423352</v>
      </c>
      <c r="E2231" s="4" t="s">
        <v>5105</v>
      </c>
      <c r="F2231" s="4"/>
      <c r="G2231" s="4"/>
      <c r="H2231" s="4"/>
      <c r="I2231" s="4"/>
      <c r="J2231" s="18"/>
      <c r="K2231" s="4"/>
      <c r="L2231" s="19"/>
      <c r="M2231" s="20"/>
    </row>
    <row r="2232">
      <c r="A2232" s="6"/>
      <c r="B2232" s="6"/>
      <c r="C2232" s="4"/>
      <c r="D2232" s="36">
        <v>281.948195</v>
      </c>
      <c r="E2232" s="4" t="s">
        <v>8715</v>
      </c>
      <c r="F2232" s="4"/>
      <c r="G2232" s="4"/>
      <c r="H2232" s="4"/>
      <c r="I2232" s="4"/>
      <c r="J2232" s="18"/>
      <c r="K2232" s="4"/>
      <c r="L2232" s="19"/>
      <c r="M2232" s="20"/>
    </row>
    <row r="2233">
      <c r="A2233" s="6"/>
      <c r="B2233" s="6"/>
      <c r="C2233" s="4"/>
      <c r="D2233" s="36">
        <v>465.107548</v>
      </c>
      <c r="E2233" s="4" t="s">
        <v>8999</v>
      </c>
      <c r="F2233" s="4"/>
      <c r="G2233" s="4"/>
      <c r="H2233" s="4"/>
      <c r="I2233" s="4"/>
      <c r="J2233" s="18"/>
      <c r="K2233" s="4"/>
      <c r="L2233" s="19"/>
      <c r="M2233" s="20"/>
    </row>
    <row r="2234">
      <c r="A2234" s="6"/>
      <c r="B2234" s="6"/>
      <c r="C2234" s="4"/>
      <c r="D2234" s="36">
        <v>159.614393</v>
      </c>
      <c r="E2234" s="4" t="s">
        <v>107</v>
      </c>
      <c r="F2234" s="4"/>
      <c r="G2234" s="4"/>
      <c r="H2234" s="4"/>
      <c r="I2234" s="4"/>
      <c r="J2234" s="18"/>
      <c r="K2234" s="4"/>
      <c r="L2234" s="19"/>
      <c r="M2234" s="20"/>
    </row>
    <row r="2235">
      <c r="A2235" s="6"/>
      <c r="B2235" s="6"/>
      <c r="C2235" s="4"/>
      <c r="D2235" s="36">
        <v>204.965001</v>
      </c>
      <c r="E2235" s="4" t="s">
        <v>4576</v>
      </c>
      <c r="F2235" s="4"/>
      <c r="G2235" s="4"/>
      <c r="H2235" s="4"/>
      <c r="I2235" s="4"/>
      <c r="J2235" s="18"/>
      <c r="K2235" s="4"/>
      <c r="L2235" s="19"/>
      <c r="M2235" s="20"/>
    </row>
    <row r="2236">
      <c r="A2236" s="6"/>
      <c r="B2236" s="6"/>
      <c r="C2236" s="4"/>
      <c r="D2236" s="36">
        <v>465.107548</v>
      </c>
      <c r="E2236" s="4" t="s">
        <v>8547</v>
      </c>
      <c r="F2236" s="4"/>
      <c r="G2236" s="4"/>
      <c r="H2236" s="4"/>
      <c r="I2236" s="4"/>
      <c r="J2236" s="18"/>
      <c r="K2236" s="4"/>
      <c r="L2236" s="19"/>
      <c r="M2236" s="20"/>
    </row>
    <row r="2237">
      <c r="A2237" s="6"/>
      <c r="B2237" s="6"/>
      <c r="C2237" s="4"/>
      <c r="D2237" s="36">
        <v>459.022734</v>
      </c>
      <c r="E2237" s="4" t="s">
        <v>784</v>
      </c>
      <c r="F2237" s="4"/>
      <c r="G2237" s="4"/>
      <c r="H2237" s="4"/>
      <c r="I2237" s="4"/>
      <c r="J2237" s="18"/>
      <c r="K2237" s="4"/>
      <c r="L2237" s="19"/>
      <c r="M2237" s="20"/>
    </row>
    <row r="2238">
      <c r="A2238" s="6"/>
      <c r="B2238" s="6"/>
      <c r="C2238" s="4"/>
      <c r="D2238" s="36">
        <v>465.107548</v>
      </c>
      <c r="E2238" s="4" t="s">
        <v>9024</v>
      </c>
      <c r="F2238" s="4"/>
      <c r="G2238" s="4"/>
      <c r="H2238" s="4"/>
      <c r="I2238" s="4"/>
      <c r="J2238" s="18"/>
      <c r="K2238" s="4"/>
      <c r="L2238" s="19"/>
      <c r="M2238" s="20"/>
    </row>
    <row r="2239">
      <c r="A2239" s="6"/>
      <c r="B2239" s="6"/>
      <c r="C2239" s="4"/>
      <c r="D2239" s="36">
        <v>465.107548</v>
      </c>
      <c r="E2239" s="4" t="s">
        <v>1125</v>
      </c>
      <c r="F2239" s="4"/>
      <c r="G2239" s="4"/>
      <c r="H2239" s="4"/>
      <c r="I2239" s="4"/>
      <c r="J2239" s="18"/>
      <c r="K2239" s="4"/>
      <c r="L2239" s="19"/>
      <c r="M2239" s="20"/>
    </row>
    <row r="2240">
      <c r="A2240" s="6"/>
      <c r="B2240" s="6"/>
      <c r="C2240" s="4"/>
      <c r="D2240" s="36">
        <v>399.170734</v>
      </c>
      <c r="E2240" s="4" t="s">
        <v>8606</v>
      </c>
      <c r="F2240" s="4"/>
      <c r="G2240" s="4"/>
      <c r="H2240" s="4"/>
      <c r="I2240" s="4"/>
      <c r="J2240" s="18"/>
      <c r="K2240" s="4"/>
      <c r="L2240" s="19"/>
      <c r="M2240" s="20"/>
    </row>
    <row r="2241">
      <c r="A2241" s="6"/>
      <c r="B2241" s="6"/>
      <c r="C2241" s="4"/>
      <c r="D2241" s="36">
        <v>465.107548</v>
      </c>
      <c r="E2241" s="4" t="s">
        <v>9015</v>
      </c>
      <c r="F2241" s="4"/>
      <c r="G2241" s="4"/>
      <c r="H2241" s="4"/>
      <c r="I2241" s="4"/>
      <c r="J2241" s="18"/>
      <c r="K2241" s="4"/>
      <c r="L2241" s="19"/>
      <c r="M2241" s="20"/>
    </row>
    <row r="2242">
      <c r="A2242" s="6"/>
      <c r="B2242" s="6"/>
      <c r="C2242" s="4"/>
      <c r="D2242" s="36">
        <v>465.107548</v>
      </c>
      <c r="E2242" s="4" t="s">
        <v>952</v>
      </c>
      <c r="F2242" s="4"/>
      <c r="G2242" s="4"/>
      <c r="H2242" s="4"/>
      <c r="I2242" s="4"/>
      <c r="J2242" s="18"/>
      <c r="K2242" s="4"/>
      <c r="L2242" s="19"/>
      <c r="M2242" s="20"/>
    </row>
    <row r="2243">
      <c r="A2243" s="6"/>
      <c r="B2243" s="6"/>
      <c r="C2243" s="4"/>
      <c r="D2243" s="36">
        <v>215.632454</v>
      </c>
      <c r="E2243" s="4" t="s">
        <v>9031</v>
      </c>
      <c r="F2243" s="4"/>
      <c r="G2243" s="4"/>
      <c r="H2243" s="4"/>
      <c r="I2243" s="4"/>
      <c r="J2243" s="18"/>
      <c r="K2243" s="4"/>
      <c r="L2243" s="19"/>
      <c r="M2243" s="20"/>
    </row>
    <row r="2244">
      <c r="A2244" s="6"/>
      <c r="B2244" s="6"/>
      <c r="C2244" s="4"/>
      <c r="D2244" s="36">
        <v>465.107548</v>
      </c>
      <c r="E2244" s="4" t="s">
        <v>9005</v>
      </c>
      <c r="F2244" s="4"/>
      <c r="G2244" s="4"/>
      <c r="H2244" s="4"/>
      <c r="I2244" s="4"/>
      <c r="J2244" s="18"/>
      <c r="K2244" s="4"/>
      <c r="L2244" s="19"/>
      <c r="M2244" s="20"/>
    </row>
    <row r="2245">
      <c r="A2245" s="6"/>
      <c r="B2245" s="6"/>
      <c r="C2245" s="4"/>
      <c r="D2245" s="36">
        <v>465.107548</v>
      </c>
      <c r="E2245" s="4" t="s">
        <v>8517</v>
      </c>
      <c r="F2245" s="4"/>
      <c r="G2245" s="4"/>
      <c r="H2245" s="4"/>
      <c r="I2245" s="4"/>
      <c r="J2245" s="18"/>
      <c r="K2245" s="4"/>
      <c r="L2245" s="19"/>
      <c r="M2245" s="20"/>
    </row>
    <row r="2246">
      <c r="A2246" s="6"/>
      <c r="B2246" s="6"/>
      <c r="C2246" s="4"/>
      <c r="D2246" s="36">
        <v>362.086082</v>
      </c>
      <c r="E2246" s="4" t="s">
        <v>4202</v>
      </c>
      <c r="F2246" s="4"/>
      <c r="G2246" s="4"/>
      <c r="H2246" s="4"/>
      <c r="I2246" s="4"/>
      <c r="J2246" s="18"/>
      <c r="K2246" s="4"/>
      <c r="L2246" s="19"/>
      <c r="M2246" s="20"/>
    </row>
    <row r="2247">
      <c r="A2247" s="6"/>
      <c r="B2247" s="6"/>
      <c r="C2247" s="4"/>
      <c r="D2247" s="36">
        <v>163.876272</v>
      </c>
      <c r="E2247" s="4" t="s">
        <v>475</v>
      </c>
      <c r="F2247" s="4"/>
      <c r="G2247" s="4"/>
      <c r="H2247" s="4"/>
      <c r="I2247" s="4"/>
      <c r="J2247" s="18"/>
      <c r="K2247" s="4"/>
      <c r="L2247" s="19"/>
      <c r="M2247" s="20"/>
    </row>
    <row r="2248">
      <c r="A2248" s="6"/>
      <c r="B2248" s="6"/>
      <c r="C2248" s="4"/>
      <c r="D2248" s="36">
        <v>271.808851</v>
      </c>
      <c r="E2248" s="4" t="s">
        <v>1541</v>
      </c>
      <c r="F2248" s="4"/>
      <c r="G2248" s="4"/>
      <c r="H2248" s="4"/>
      <c r="I2248" s="4"/>
      <c r="J2248" s="18"/>
      <c r="K2248" s="4"/>
      <c r="L2248" s="19"/>
      <c r="M2248" s="20"/>
    </row>
    <row r="2249">
      <c r="A2249" s="6"/>
      <c r="B2249" s="6"/>
      <c r="C2249" s="4"/>
      <c r="D2249" s="36">
        <v>445.759074</v>
      </c>
      <c r="E2249" s="4" t="s">
        <v>453</v>
      </c>
      <c r="F2249" s="4"/>
      <c r="G2249" s="4"/>
      <c r="H2249" s="4"/>
      <c r="I2249" s="4"/>
      <c r="J2249" s="18"/>
      <c r="K2249" s="4"/>
      <c r="L2249" s="19"/>
      <c r="M2249" s="20"/>
    </row>
    <row r="2250">
      <c r="A2250" s="6"/>
      <c r="B2250" s="6"/>
      <c r="C2250" s="4"/>
      <c r="D2250" s="36">
        <v>465.107548</v>
      </c>
      <c r="E2250" s="4" t="s">
        <v>8968</v>
      </c>
      <c r="F2250" s="4"/>
      <c r="G2250" s="4"/>
      <c r="H2250" s="4"/>
      <c r="I2250" s="4"/>
      <c r="J2250" s="18"/>
      <c r="K2250" s="4"/>
      <c r="L2250" s="19"/>
      <c r="M2250" s="20"/>
    </row>
    <row r="2251">
      <c r="A2251" s="6"/>
      <c r="B2251" s="6"/>
      <c r="C2251" s="4"/>
      <c r="D2251" s="36">
        <v>9.397637</v>
      </c>
      <c r="E2251" s="4" t="s">
        <v>817</v>
      </c>
      <c r="F2251" s="4"/>
      <c r="G2251" s="4"/>
      <c r="H2251" s="4"/>
      <c r="I2251" s="4"/>
      <c r="J2251" s="18"/>
      <c r="K2251" s="4"/>
      <c r="L2251" s="19"/>
      <c r="M2251" s="20"/>
    </row>
    <row r="2252">
      <c r="A2252" s="6"/>
      <c r="B2252" s="6"/>
      <c r="C2252" s="4"/>
      <c r="D2252" s="36">
        <v>348.830661</v>
      </c>
      <c r="E2252" s="4" t="s">
        <v>664</v>
      </c>
      <c r="F2252" s="4"/>
      <c r="G2252" s="4"/>
      <c r="H2252" s="4"/>
      <c r="I2252" s="4"/>
      <c r="J2252" s="18"/>
      <c r="K2252" s="4"/>
      <c r="L2252" s="19"/>
      <c r="M2252" s="20"/>
    </row>
    <row r="2253">
      <c r="A2253" s="6"/>
      <c r="B2253" s="6"/>
      <c r="C2253" s="4"/>
      <c r="D2253" s="36">
        <v>337.6232</v>
      </c>
      <c r="E2253" s="4" t="s">
        <v>8971</v>
      </c>
      <c r="F2253" s="4"/>
      <c r="G2253" s="4"/>
      <c r="H2253" s="4"/>
      <c r="I2253" s="4"/>
      <c r="J2253" s="18"/>
      <c r="K2253" s="4"/>
      <c r="L2253" s="19"/>
      <c r="M2253" s="20"/>
    </row>
    <row r="2254">
      <c r="A2254" s="6"/>
      <c r="B2254" s="6"/>
      <c r="C2254" s="4"/>
      <c r="D2254" s="36">
        <v>275.367602</v>
      </c>
      <c r="E2254" s="4" t="s">
        <v>9032</v>
      </c>
      <c r="F2254" s="4"/>
      <c r="G2254" s="4"/>
      <c r="H2254" s="4"/>
      <c r="I2254" s="4"/>
      <c r="J2254" s="18"/>
      <c r="K2254" s="4"/>
      <c r="L2254" s="19"/>
      <c r="M2254" s="20"/>
    </row>
    <row r="2255">
      <c r="A2255" s="6"/>
      <c r="B2255" s="6"/>
      <c r="C2255" s="4"/>
      <c r="D2255" s="36">
        <v>372.086038</v>
      </c>
      <c r="E2255" s="4" t="s">
        <v>977</v>
      </c>
      <c r="F2255" s="4"/>
      <c r="G2255" s="4"/>
      <c r="H2255" s="4"/>
      <c r="I2255" s="4"/>
      <c r="J2255" s="18"/>
      <c r="K2255" s="4"/>
      <c r="L2255" s="19"/>
      <c r="M2255" s="20"/>
    </row>
    <row r="2256">
      <c r="A2256" s="6"/>
      <c r="B2256" s="6"/>
      <c r="C2256" s="4"/>
      <c r="D2256" s="36">
        <v>465.107548</v>
      </c>
      <c r="E2256" s="4" t="s">
        <v>1774</v>
      </c>
      <c r="F2256" s="4"/>
      <c r="G2256" s="4"/>
      <c r="H2256" s="4"/>
      <c r="I2256" s="4"/>
      <c r="J2256" s="18"/>
      <c r="K2256" s="4"/>
      <c r="L2256" s="19"/>
      <c r="M2256" s="20"/>
    </row>
    <row r="2257">
      <c r="A2257" s="6"/>
      <c r="B2257" s="6"/>
      <c r="C2257" s="4"/>
      <c r="D2257" s="36">
        <v>465.107548</v>
      </c>
      <c r="E2257" s="4" t="s">
        <v>9033</v>
      </c>
      <c r="F2257" s="4"/>
      <c r="G2257" s="4"/>
      <c r="H2257" s="4"/>
      <c r="I2257" s="4"/>
      <c r="J2257" s="18"/>
      <c r="K2257" s="4"/>
      <c r="L2257" s="19"/>
      <c r="M2257" s="20"/>
    </row>
    <row r="2258">
      <c r="A2258" s="6"/>
      <c r="B2258" s="6"/>
      <c r="C2258" s="4"/>
      <c r="D2258" s="36">
        <v>465.107548</v>
      </c>
      <c r="E2258" s="4" t="s">
        <v>8525</v>
      </c>
      <c r="F2258" s="4"/>
      <c r="G2258" s="4"/>
      <c r="H2258" s="4"/>
      <c r="I2258" s="4"/>
      <c r="J2258" s="18"/>
      <c r="K2258" s="4"/>
      <c r="L2258" s="19"/>
      <c r="M2258" s="20"/>
    </row>
    <row r="2259">
      <c r="A2259" s="6"/>
      <c r="B2259" s="6"/>
      <c r="C2259" s="4"/>
      <c r="D2259" s="36">
        <v>465.107548</v>
      </c>
      <c r="E2259" s="4" t="s">
        <v>8976</v>
      </c>
      <c r="F2259" s="4"/>
      <c r="G2259" s="4"/>
      <c r="H2259" s="4"/>
      <c r="I2259" s="4"/>
      <c r="J2259" s="18"/>
      <c r="K2259" s="4"/>
      <c r="L2259" s="19"/>
      <c r="M2259" s="20"/>
    </row>
    <row r="2260">
      <c r="A2260" s="6"/>
      <c r="B2260" s="6"/>
      <c r="C2260" s="4"/>
      <c r="D2260" s="36">
        <v>419.650808</v>
      </c>
      <c r="E2260" s="4" t="s">
        <v>8966</v>
      </c>
      <c r="F2260" s="4"/>
      <c r="G2260" s="4"/>
      <c r="H2260" s="4"/>
      <c r="I2260" s="4"/>
      <c r="J2260" s="18"/>
      <c r="K2260" s="4"/>
      <c r="L2260" s="19"/>
      <c r="M2260" s="20"/>
    </row>
    <row r="2261">
      <c r="A2261" s="6"/>
      <c r="B2261" s="6"/>
      <c r="C2261" s="4"/>
      <c r="D2261" s="36">
        <v>332.198729</v>
      </c>
      <c r="E2261" s="4" t="s">
        <v>9034</v>
      </c>
      <c r="F2261" s="4"/>
      <c r="G2261" s="4"/>
      <c r="H2261" s="4"/>
      <c r="I2261" s="4"/>
      <c r="J2261" s="18"/>
      <c r="K2261" s="4"/>
      <c r="L2261" s="19"/>
      <c r="M2261" s="20"/>
    </row>
    <row r="2262">
      <c r="A2262" s="6"/>
      <c r="B2262" s="6"/>
      <c r="C2262" s="4"/>
      <c r="D2262" s="36">
        <v>465.107548</v>
      </c>
      <c r="E2262" s="4" t="s">
        <v>1656</v>
      </c>
      <c r="F2262" s="4"/>
      <c r="G2262" s="4"/>
      <c r="H2262" s="4"/>
      <c r="I2262" s="4"/>
      <c r="J2262" s="18"/>
      <c r="K2262" s="4"/>
      <c r="L2262" s="19"/>
      <c r="M2262" s="20"/>
    </row>
    <row r="2263">
      <c r="A2263" s="6"/>
      <c r="B2263" s="6"/>
      <c r="C2263" s="4"/>
      <c r="D2263" s="36">
        <v>199.045014</v>
      </c>
      <c r="E2263" s="4" t="s">
        <v>8534</v>
      </c>
      <c r="F2263" s="4"/>
      <c r="G2263" s="4"/>
      <c r="H2263" s="4"/>
      <c r="I2263" s="4"/>
      <c r="J2263" s="18"/>
      <c r="K2263" s="4"/>
      <c r="L2263" s="19"/>
      <c r="M2263" s="20"/>
    </row>
    <row r="2264">
      <c r="A2264" s="6"/>
      <c r="B2264" s="6"/>
      <c r="C2264" s="4"/>
      <c r="D2264" s="36">
        <v>381.799772</v>
      </c>
      <c r="E2264" s="4" t="s">
        <v>8512</v>
      </c>
      <c r="F2264" s="4"/>
      <c r="G2264" s="4"/>
      <c r="H2264" s="4"/>
      <c r="I2264" s="4"/>
      <c r="J2264" s="18"/>
      <c r="K2264" s="4"/>
      <c r="L2264" s="19"/>
      <c r="M2264" s="20"/>
    </row>
    <row r="2265">
      <c r="A2265" s="6"/>
      <c r="B2265" s="6"/>
      <c r="C2265" s="4"/>
      <c r="D2265" s="36">
        <v>465.107548</v>
      </c>
      <c r="E2265" s="4" t="s">
        <v>8907</v>
      </c>
      <c r="F2265" s="4"/>
      <c r="G2265" s="4"/>
      <c r="H2265" s="4"/>
      <c r="I2265" s="4"/>
      <c r="J2265" s="18"/>
      <c r="K2265" s="4"/>
      <c r="L2265" s="19"/>
      <c r="M2265" s="20"/>
    </row>
    <row r="2266">
      <c r="A2266" s="6"/>
      <c r="B2266" s="6"/>
      <c r="C2266" s="4"/>
      <c r="D2266" s="36">
        <v>233.390967</v>
      </c>
      <c r="E2266" s="4" t="s">
        <v>1493</v>
      </c>
      <c r="F2266" s="4"/>
      <c r="G2266" s="4"/>
      <c r="H2266" s="4"/>
      <c r="I2266" s="4"/>
      <c r="J2266" s="18"/>
      <c r="K2266" s="4"/>
      <c r="L2266" s="19"/>
      <c r="M2266" s="20"/>
    </row>
    <row r="2267">
      <c r="A2267" s="6"/>
      <c r="B2267" s="6"/>
      <c r="C2267" s="4"/>
      <c r="D2267" s="36">
        <v>265.566147</v>
      </c>
      <c r="E2267" s="4" t="s">
        <v>9035</v>
      </c>
      <c r="F2267" s="4"/>
      <c r="G2267" s="4"/>
      <c r="H2267" s="4"/>
      <c r="I2267" s="4"/>
      <c r="J2267" s="18"/>
      <c r="K2267" s="4"/>
      <c r="L2267" s="19"/>
      <c r="M2267" s="20"/>
    </row>
    <row r="2268">
      <c r="A2268" s="6"/>
      <c r="B2268" s="6"/>
      <c r="C2268" s="4"/>
      <c r="D2268" s="36">
        <v>465.107548</v>
      </c>
      <c r="E2268" s="4" t="s">
        <v>8996</v>
      </c>
      <c r="F2268" s="4"/>
      <c r="G2268" s="4"/>
      <c r="H2268" s="4"/>
      <c r="I2268" s="4"/>
      <c r="J2268" s="18"/>
      <c r="K2268" s="4"/>
      <c r="L2268" s="19"/>
      <c r="M2268" s="20"/>
    </row>
    <row r="2269">
      <c r="A2269" s="6"/>
      <c r="B2269" s="6"/>
      <c r="C2269" s="4"/>
      <c r="D2269" s="36">
        <v>465.107548</v>
      </c>
      <c r="E2269" s="4" t="s">
        <v>613</v>
      </c>
      <c r="F2269" s="4"/>
      <c r="G2269" s="4"/>
      <c r="H2269" s="4"/>
      <c r="I2269" s="4"/>
      <c r="J2269" s="18"/>
      <c r="K2269" s="4"/>
      <c r="L2269" s="19"/>
      <c r="M2269" s="20"/>
    </row>
    <row r="2270">
      <c r="A2270" s="6"/>
      <c r="B2270" s="6"/>
      <c r="C2270" s="4"/>
      <c r="D2270" s="36">
        <v>412.722041</v>
      </c>
      <c r="E2270" s="4" t="s">
        <v>8962</v>
      </c>
      <c r="F2270" s="4"/>
      <c r="G2270" s="4"/>
      <c r="H2270" s="4"/>
      <c r="I2270" s="4"/>
      <c r="J2270" s="18"/>
      <c r="K2270" s="4"/>
      <c r="L2270" s="19"/>
      <c r="M2270" s="20"/>
    </row>
    <row r="2271">
      <c r="A2271" s="6"/>
      <c r="B2271" s="6"/>
      <c r="C2271" s="4"/>
      <c r="D2271" s="36">
        <v>362.199322</v>
      </c>
      <c r="E2271" s="4" t="s">
        <v>1121</v>
      </c>
      <c r="F2271" s="4"/>
      <c r="G2271" s="4"/>
      <c r="H2271" s="4"/>
      <c r="I2271" s="4"/>
      <c r="J2271" s="18"/>
      <c r="K2271" s="4"/>
      <c r="L2271" s="19"/>
      <c r="M2271" s="20"/>
    </row>
    <row r="2272">
      <c r="A2272" s="6"/>
      <c r="B2272" s="6"/>
      <c r="C2272" s="4"/>
      <c r="D2272" s="36">
        <v>465.107548</v>
      </c>
      <c r="E2272" s="4" t="s">
        <v>4068</v>
      </c>
      <c r="F2272" s="4"/>
      <c r="G2272" s="4"/>
      <c r="H2272" s="4"/>
      <c r="I2272" s="4"/>
      <c r="J2272" s="18"/>
      <c r="K2272" s="4"/>
      <c r="L2272" s="19"/>
      <c r="M2272" s="20"/>
    </row>
    <row r="2273">
      <c r="A2273" s="6"/>
      <c r="B2273" s="6"/>
      <c r="C2273" s="4"/>
      <c r="D2273" s="36">
        <v>446.080851</v>
      </c>
      <c r="E2273" s="4" t="s">
        <v>9036</v>
      </c>
      <c r="F2273" s="4"/>
      <c r="G2273" s="4"/>
      <c r="H2273" s="4"/>
      <c r="I2273" s="4"/>
      <c r="J2273" s="18"/>
      <c r="K2273" s="4"/>
      <c r="L2273" s="19"/>
      <c r="M2273" s="20"/>
    </row>
    <row r="2274">
      <c r="A2274" s="6"/>
      <c r="B2274" s="6"/>
      <c r="C2274" s="4"/>
      <c r="D2274" s="36">
        <v>465.107548</v>
      </c>
      <c r="E2274" s="4" t="s">
        <v>9037</v>
      </c>
      <c r="F2274" s="4"/>
      <c r="G2274" s="4"/>
      <c r="H2274" s="4"/>
      <c r="I2274" s="4"/>
      <c r="J2274" s="18"/>
      <c r="K2274" s="4"/>
      <c r="L2274" s="19"/>
      <c r="M2274" s="20"/>
    </row>
    <row r="2275">
      <c r="A2275" s="6"/>
      <c r="B2275" s="6"/>
      <c r="C2275" s="4"/>
      <c r="D2275" s="36">
        <v>168.640638</v>
      </c>
      <c r="E2275" s="4" t="s">
        <v>8981</v>
      </c>
      <c r="F2275" s="4"/>
      <c r="G2275" s="4"/>
      <c r="H2275" s="4"/>
      <c r="I2275" s="4"/>
      <c r="J2275" s="18"/>
      <c r="K2275" s="4"/>
      <c r="L2275" s="19"/>
      <c r="M2275" s="20"/>
    </row>
    <row r="2276">
      <c r="A2276" s="6"/>
      <c r="B2276" s="6"/>
      <c r="C2276" s="4"/>
      <c r="D2276" s="36">
        <v>465.107548</v>
      </c>
      <c r="E2276" s="4" t="s">
        <v>8998</v>
      </c>
      <c r="F2276" s="4"/>
      <c r="G2276" s="4"/>
      <c r="H2276" s="4"/>
      <c r="I2276" s="4"/>
      <c r="J2276" s="18"/>
      <c r="K2276" s="4"/>
      <c r="L2276" s="19"/>
      <c r="M2276" s="20"/>
    </row>
    <row r="2277">
      <c r="A2277" s="6"/>
      <c r="B2277" s="6"/>
      <c r="C2277" s="4"/>
      <c r="D2277" s="36">
        <v>397.215336</v>
      </c>
      <c r="E2277" s="4" t="s">
        <v>9038</v>
      </c>
      <c r="F2277" s="4"/>
      <c r="G2277" s="4"/>
      <c r="H2277" s="4"/>
      <c r="I2277" s="4"/>
      <c r="J2277" s="18"/>
      <c r="K2277" s="4"/>
      <c r="L2277" s="19"/>
      <c r="M2277" s="20"/>
    </row>
    <row r="2278">
      <c r="A2278" s="6"/>
      <c r="B2278" s="6"/>
      <c r="C2278" s="4"/>
      <c r="D2278" s="36">
        <v>465.107548</v>
      </c>
      <c r="E2278" s="4" t="s">
        <v>8974</v>
      </c>
      <c r="F2278" s="4"/>
      <c r="G2278" s="4"/>
      <c r="H2278" s="4"/>
      <c r="I2278" s="4"/>
      <c r="J2278" s="18"/>
      <c r="K2278" s="4"/>
      <c r="L2278" s="19"/>
      <c r="M2278" s="20"/>
    </row>
    <row r="2279">
      <c r="A2279" s="6"/>
      <c r="B2279" s="6"/>
      <c r="C2279" s="4"/>
      <c r="D2279" s="36">
        <v>465.107548</v>
      </c>
      <c r="E2279" s="4" t="s">
        <v>135</v>
      </c>
      <c r="F2279" s="4"/>
      <c r="G2279" s="4"/>
      <c r="H2279" s="4"/>
      <c r="I2279" s="4"/>
      <c r="J2279" s="18"/>
      <c r="K2279" s="4"/>
      <c r="L2279" s="19"/>
      <c r="M2279" s="20"/>
    </row>
    <row r="2280">
      <c r="A2280" s="6"/>
      <c r="B2280" s="6"/>
      <c r="C2280" s="4"/>
      <c r="D2280" s="36">
        <v>177.18498</v>
      </c>
      <c r="E2280" s="4" t="s">
        <v>8976</v>
      </c>
      <c r="F2280" s="4"/>
      <c r="G2280" s="4"/>
      <c r="H2280" s="4"/>
      <c r="I2280" s="4"/>
      <c r="J2280" s="18"/>
      <c r="K2280" s="4"/>
      <c r="L2280" s="19"/>
      <c r="M2280" s="20"/>
    </row>
    <row r="2281">
      <c r="A2281" s="6"/>
      <c r="B2281" s="6"/>
      <c r="C2281" s="4"/>
      <c r="D2281" s="36">
        <v>509.136905</v>
      </c>
      <c r="E2281" s="4" t="s">
        <v>8907</v>
      </c>
      <c r="F2281" s="4"/>
      <c r="G2281" s="4"/>
      <c r="H2281" s="4"/>
      <c r="I2281" s="4"/>
      <c r="J2281" s="18"/>
      <c r="K2281" s="4"/>
      <c r="L2281" s="19"/>
      <c r="M2281" s="20"/>
    </row>
    <row r="2282">
      <c r="A2282" s="6"/>
      <c r="B2282" s="6"/>
      <c r="C2282" s="4"/>
      <c r="D2282" s="36">
        <v>242.749342</v>
      </c>
      <c r="E2282" s="4" t="s">
        <v>1656</v>
      </c>
      <c r="F2282" s="4"/>
      <c r="G2282" s="4"/>
      <c r="H2282" s="4"/>
      <c r="I2282" s="4"/>
      <c r="J2282" s="18"/>
      <c r="K2282" s="4"/>
      <c r="L2282" s="19"/>
      <c r="M2282" s="20"/>
    </row>
    <row r="2283">
      <c r="A2283" s="6"/>
      <c r="B2283" s="6"/>
      <c r="C2283" s="4"/>
      <c r="D2283" s="36">
        <v>1668.567045</v>
      </c>
      <c r="E2283" s="4" t="s">
        <v>8547</v>
      </c>
      <c r="F2283" s="4"/>
      <c r="G2283" s="4"/>
      <c r="H2283" s="4"/>
      <c r="I2283" s="4"/>
      <c r="J2283" s="18"/>
      <c r="K2283" s="4"/>
      <c r="L2283" s="19"/>
      <c r="M2283" s="20"/>
    </row>
    <row r="2284">
      <c r="A2284" s="6"/>
      <c r="B2284" s="6"/>
      <c r="C2284" s="4"/>
      <c r="D2284" s="36">
        <v>679.0009</v>
      </c>
      <c r="E2284" s="4" t="s">
        <v>4068</v>
      </c>
      <c r="F2284" s="4"/>
      <c r="G2284" s="4"/>
      <c r="H2284" s="4"/>
      <c r="I2284" s="4"/>
      <c r="J2284" s="18"/>
      <c r="K2284" s="4"/>
      <c r="L2284" s="19"/>
      <c r="M2284" s="20"/>
    </row>
    <row r="2285">
      <c r="A2285" s="6"/>
      <c r="B2285" s="6"/>
      <c r="C2285" s="4"/>
      <c r="D2285" s="36">
        <v>1929.956464</v>
      </c>
      <c r="E2285" s="4" t="s">
        <v>8992</v>
      </c>
      <c r="F2285" s="4"/>
      <c r="G2285" s="4"/>
      <c r="H2285" s="4"/>
      <c r="I2285" s="4"/>
      <c r="J2285" s="18"/>
      <c r="K2285" s="4"/>
      <c r="L2285" s="19"/>
      <c r="M2285" s="20"/>
    </row>
    <row r="2286">
      <c r="A2286" s="6"/>
      <c r="B2286" s="6"/>
      <c r="C2286" s="4"/>
      <c r="D2286" s="36">
        <v>6.733403</v>
      </c>
      <c r="E2286" s="4" t="s">
        <v>489</v>
      </c>
      <c r="F2286" s="4"/>
      <c r="G2286" s="4"/>
      <c r="H2286" s="4"/>
      <c r="I2286" s="4"/>
      <c r="J2286" s="18"/>
      <c r="K2286" s="4"/>
      <c r="L2286" s="19"/>
      <c r="M2286" s="20"/>
    </row>
    <row r="2287">
      <c r="A2287" s="6"/>
      <c r="B2287" s="6"/>
      <c r="C2287" s="4"/>
      <c r="D2287" s="36">
        <v>293.502544</v>
      </c>
      <c r="E2287" s="4" t="s">
        <v>135</v>
      </c>
      <c r="F2287" s="4"/>
      <c r="G2287" s="4"/>
      <c r="H2287" s="4"/>
      <c r="I2287" s="4"/>
      <c r="J2287" s="18"/>
      <c r="K2287" s="4"/>
      <c r="L2287" s="19"/>
      <c r="M2287" s="20"/>
    </row>
    <row r="2288">
      <c r="A2288" s="6"/>
      <c r="B2288" s="6"/>
      <c r="C2288" s="4"/>
      <c r="D2288" s="36">
        <v>5341.282276</v>
      </c>
      <c r="E2288" s="4" t="s">
        <v>1576</v>
      </c>
      <c r="F2288" s="4"/>
      <c r="G2288" s="4"/>
      <c r="H2288" s="4"/>
      <c r="I2288" s="4"/>
      <c r="J2288" s="18"/>
      <c r="K2288" s="4"/>
      <c r="L2288" s="19"/>
      <c r="M2288" s="20"/>
    </row>
    <row r="2289">
      <c r="A2289" s="6"/>
      <c r="B2289" s="6"/>
      <c r="C2289" s="4"/>
      <c r="D2289" s="36">
        <v>43.792855</v>
      </c>
      <c r="E2289" s="4" t="s">
        <v>8962</v>
      </c>
      <c r="F2289" s="4"/>
      <c r="G2289" s="4"/>
      <c r="H2289" s="4"/>
      <c r="I2289" s="4"/>
      <c r="J2289" s="18"/>
      <c r="K2289" s="4"/>
      <c r="L2289" s="19"/>
      <c r="M2289" s="20"/>
    </row>
    <row r="2290">
      <c r="A2290" s="6"/>
      <c r="B2290" s="6"/>
      <c r="C2290" s="4"/>
      <c r="D2290" s="36">
        <v>629.29006</v>
      </c>
      <c r="E2290" s="4" t="s">
        <v>8996</v>
      </c>
      <c r="F2290" s="4"/>
      <c r="G2290" s="4"/>
      <c r="H2290" s="4"/>
      <c r="I2290" s="4"/>
      <c r="J2290" s="18"/>
      <c r="K2290" s="4"/>
      <c r="L2290" s="19"/>
      <c r="M2290" s="20"/>
    </row>
    <row r="2291">
      <c r="A2291" s="6"/>
      <c r="B2291" s="6"/>
      <c r="C2291" s="4"/>
      <c r="D2291" s="36">
        <v>33.522185</v>
      </c>
      <c r="E2291" s="4" t="s">
        <v>8624</v>
      </c>
      <c r="F2291" s="4"/>
      <c r="G2291" s="4"/>
      <c r="H2291" s="4"/>
      <c r="I2291" s="4"/>
      <c r="J2291" s="18"/>
      <c r="K2291" s="4"/>
      <c r="L2291" s="19"/>
      <c r="M2291" s="20"/>
    </row>
    <row r="2292">
      <c r="A2292" s="6"/>
      <c r="B2292" s="6"/>
      <c r="C2292" s="4"/>
      <c r="D2292" s="36">
        <v>14.883134</v>
      </c>
      <c r="E2292" s="4" t="s">
        <v>9039</v>
      </c>
      <c r="F2292" s="4"/>
      <c r="G2292" s="4"/>
      <c r="H2292" s="4"/>
      <c r="I2292" s="4"/>
      <c r="J2292" s="18"/>
      <c r="K2292" s="4"/>
      <c r="L2292" s="19"/>
      <c r="M2292" s="20"/>
    </row>
    <row r="2293">
      <c r="A2293" s="6"/>
      <c r="B2293" s="6"/>
      <c r="C2293" s="4"/>
      <c r="D2293" s="36">
        <v>661.95975</v>
      </c>
      <c r="E2293" s="4" t="s">
        <v>8716</v>
      </c>
      <c r="F2293" s="4"/>
      <c r="G2293" s="4"/>
      <c r="H2293" s="4"/>
      <c r="I2293" s="4"/>
      <c r="J2293" s="18"/>
      <c r="K2293" s="4"/>
      <c r="L2293" s="19"/>
      <c r="M2293" s="20"/>
    </row>
    <row r="2294">
      <c r="A2294" s="6"/>
      <c r="B2294" s="6"/>
      <c r="C2294" s="4"/>
      <c r="D2294" s="36">
        <v>766.888581</v>
      </c>
      <c r="E2294" s="4" t="s">
        <v>1667</v>
      </c>
      <c r="F2294" s="4"/>
      <c r="G2294" s="4"/>
      <c r="H2294" s="4"/>
      <c r="I2294" s="4"/>
      <c r="J2294" s="18"/>
      <c r="K2294" s="4"/>
      <c r="L2294" s="19"/>
      <c r="M2294" s="20"/>
    </row>
    <row r="2295">
      <c r="A2295" s="6"/>
      <c r="B2295" s="6"/>
      <c r="C2295" s="4"/>
      <c r="D2295" s="36">
        <v>14.535571</v>
      </c>
      <c r="E2295" s="4" t="s">
        <v>738</v>
      </c>
      <c r="F2295" s="4"/>
      <c r="G2295" s="4"/>
      <c r="H2295" s="4"/>
      <c r="I2295" s="4"/>
      <c r="J2295" s="18"/>
      <c r="K2295" s="4"/>
      <c r="L2295" s="19"/>
      <c r="M2295" s="20"/>
    </row>
    <row r="2296">
      <c r="A2296" s="6"/>
      <c r="B2296" s="6"/>
      <c r="C2296" s="4"/>
      <c r="D2296" s="36">
        <v>1772.0169</v>
      </c>
      <c r="E2296" s="4" t="s">
        <v>1774</v>
      </c>
      <c r="F2296" s="4"/>
      <c r="G2296" s="4"/>
      <c r="H2296" s="4"/>
      <c r="I2296" s="4"/>
      <c r="J2296" s="18"/>
      <c r="K2296" s="4"/>
      <c r="L2296" s="19"/>
      <c r="M2296" s="20"/>
    </row>
    <row r="2297">
      <c r="A2297" s="6"/>
      <c r="B2297" s="6"/>
      <c r="C2297" s="4"/>
      <c r="D2297" s="36">
        <v>1066.750888</v>
      </c>
      <c r="E2297" s="4" t="s">
        <v>8971</v>
      </c>
      <c r="F2297" s="4"/>
      <c r="G2297" s="4"/>
      <c r="H2297" s="4"/>
      <c r="I2297" s="4"/>
      <c r="J2297" s="18"/>
      <c r="K2297" s="4"/>
      <c r="L2297" s="19"/>
      <c r="M2297" s="20"/>
    </row>
    <row r="2298">
      <c r="A2298" s="6"/>
      <c r="B2298" s="6"/>
      <c r="C2298" s="4"/>
      <c r="D2298" s="36">
        <v>129.12199</v>
      </c>
      <c r="E2298" s="4" t="s">
        <v>8970</v>
      </c>
      <c r="F2298" s="4"/>
      <c r="G2298" s="4"/>
      <c r="H2298" s="4"/>
      <c r="I2298" s="4"/>
      <c r="J2298" s="18"/>
      <c r="K2298" s="4"/>
      <c r="L2298" s="19"/>
      <c r="M2298" s="20"/>
    </row>
    <row r="2299">
      <c r="A2299" s="6"/>
      <c r="B2299" s="6"/>
      <c r="C2299" s="4"/>
      <c r="D2299" s="36">
        <v>901.186675</v>
      </c>
      <c r="E2299" s="4" t="s">
        <v>9009</v>
      </c>
      <c r="F2299" s="4"/>
      <c r="G2299" s="4"/>
      <c r="H2299" s="4"/>
      <c r="I2299" s="4"/>
      <c r="J2299" s="18"/>
      <c r="K2299" s="4"/>
      <c r="L2299" s="19"/>
      <c r="M2299" s="20"/>
    </row>
    <row r="2300">
      <c r="A2300" s="6"/>
      <c r="B2300" s="6"/>
      <c r="C2300" s="4"/>
      <c r="D2300" s="36">
        <v>522.42748</v>
      </c>
      <c r="E2300" s="4" t="s">
        <v>952</v>
      </c>
      <c r="F2300" s="4"/>
      <c r="G2300" s="4"/>
      <c r="H2300" s="4"/>
      <c r="I2300" s="4"/>
      <c r="J2300" s="18"/>
      <c r="K2300" s="4"/>
      <c r="L2300" s="19"/>
      <c r="M2300" s="20"/>
    </row>
    <row r="2301">
      <c r="A2301" s="6"/>
      <c r="B2301" s="6"/>
      <c r="C2301" s="4"/>
      <c r="D2301" s="36">
        <v>64.560995</v>
      </c>
      <c r="E2301" s="4" t="s">
        <v>8999</v>
      </c>
      <c r="F2301" s="4"/>
      <c r="G2301" s="4"/>
      <c r="H2301" s="4"/>
      <c r="I2301" s="4"/>
      <c r="J2301" s="18"/>
      <c r="K2301" s="4"/>
      <c r="L2301" s="19"/>
      <c r="M2301" s="20"/>
    </row>
    <row r="2302">
      <c r="A2302" s="6"/>
      <c r="B2302" s="6"/>
      <c r="C2302" s="4"/>
      <c r="D2302" s="36">
        <v>410.37551</v>
      </c>
      <c r="E2302" s="4" t="s">
        <v>8601</v>
      </c>
      <c r="F2302" s="4"/>
      <c r="G2302" s="4"/>
      <c r="H2302" s="4"/>
      <c r="I2302" s="4"/>
      <c r="J2302" s="18"/>
      <c r="K2302" s="4"/>
      <c r="L2302" s="19"/>
      <c r="M2302" s="20"/>
    </row>
    <row r="2303">
      <c r="A2303" s="6"/>
      <c r="B2303" s="6"/>
      <c r="C2303" s="4"/>
      <c r="D2303" s="36">
        <v>43.912313</v>
      </c>
      <c r="E2303" s="4" t="s">
        <v>9001</v>
      </c>
      <c r="F2303" s="4"/>
      <c r="G2303" s="4"/>
      <c r="H2303" s="4"/>
      <c r="I2303" s="4"/>
      <c r="J2303" s="18"/>
      <c r="K2303" s="4"/>
      <c r="L2303" s="19"/>
      <c r="M2303" s="20"/>
    </row>
    <row r="2304">
      <c r="A2304" s="6"/>
      <c r="B2304" s="6"/>
      <c r="C2304" s="4"/>
      <c r="D2304" s="36">
        <v>182.703243</v>
      </c>
      <c r="E2304" s="4" t="s">
        <v>417</v>
      </c>
      <c r="F2304" s="4"/>
      <c r="G2304" s="4"/>
      <c r="H2304" s="4"/>
      <c r="I2304" s="4"/>
      <c r="J2304" s="18"/>
      <c r="K2304" s="4"/>
      <c r="L2304" s="19"/>
      <c r="M2304" s="20"/>
    </row>
    <row r="2305">
      <c r="A2305" s="6"/>
      <c r="B2305" s="6"/>
      <c r="C2305" s="4"/>
      <c r="D2305" s="36">
        <v>84.723498</v>
      </c>
      <c r="E2305" s="4" t="s">
        <v>1218</v>
      </c>
      <c r="F2305" s="4"/>
      <c r="G2305" s="4"/>
      <c r="H2305" s="4"/>
      <c r="I2305" s="4"/>
      <c r="J2305" s="18"/>
      <c r="K2305" s="4"/>
      <c r="L2305" s="19"/>
      <c r="M2305" s="20"/>
    </row>
    <row r="2306">
      <c r="A2306" s="6"/>
      <c r="B2306" s="6"/>
      <c r="C2306" s="4"/>
      <c r="D2306" s="36">
        <v>2587.100754</v>
      </c>
      <c r="E2306" s="4" t="s">
        <v>8606</v>
      </c>
      <c r="F2306" s="4"/>
      <c r="G2306" s="4"/>
      <c r="H2306" s="4"/>
      <c r="I2306" s="4"/>
      <c r="J2306" s="18"/>
      <c r="K2306" s="4"/>
      <c r="L2306" s="19"/>
      <c r="M2306" s="20"/>
    </row>
    <row r="2307">
      <c r="A2307" s="6"/>
      <c r="B2307" s="6"/>
      <c r="C2307" s="4"/>
      <c r="D2307" s="36">
        <v>536.062856</v>
      </c>
      <c r="E2307" s="4" t="s">
        <v>8974</v>
      </c>
      <c r="F2307" s="4"/>
      <c r="G2307" s="4"/>
      <c r="H2307" s="4"/>
      <c r="I2307" s="4"/>
      <c r="J2307" s="18"/>
      <c r="K2307" s="4"/>
      <c r="L2307" s="19"/>
      <c r="M2307" s="20"/>
    </row>
    <row r="2308">
      <c r="A2308" s="6"/>
      <c r="B2308" s="6"/>
      <c r="C2308" s="4"/>
      <c r="D2308" s="36">
        <v>852.205138</v>
      </c>
      <c r="E2308" s="4" t="s">
        <v>8998</v>
      </c>
      <c r="F2308" s="4"/>
      <c r="G2308" s="4"/>
      <c r="H2308" s="4"/>
      <c r="I2308" s="4"/>
      <c r="J2308" s="18"/>
      <c r="K2308" s="4"/>
      <c r="L2308" s="19"/>
      <c r="M2308" s="20"/>
    </row>
    <row r="2309">
      <c r="A2309" s="6"/>
      <c r="B2309" s="6"/>
      <c r="C2309" s="4"/>
      <c r="D2309" s="36">
        <v>581.066818</v>
      </c>
      <c r="E2309" s="4" t="s">
        <v>8952</v>
      </c>
      <c r="F2309" s="4"/>
      <c r="G2309" s="4"/>
      <c r="H2309" s="4"/>
      <c r="I2309" s="4"/>
      <c r="J2309" s="18"/>
      <c r="K2309" s="4"/>
      <c r="L2309" s="19"/>
      <c r="M2309" s="20"/>
    </row>
    <row r="2310">
      <c r="A2310" s="6"/>
      <c r="B2310" s="6"/>
      <c r="C2310" s="4"/>
      <c r="D2310" s="36">
        <v>38.736597</v>
      </c>
      <c r="E2310" s="4" t="s">
        <v>9040</v>
      </c>
      <c r="F2310" s="4"/>
      <c r="G2310" s="4"/>
      <c r="H2310" s="4"/>
      <c r="I2310" s="4"/>
      <c r="J2310" s="18"/>
      <c r="K2310" s="4"/>
      <c r="L2310" s="19"/>
      <c r="M2310" s="20"/>
    </row>
    <row r="2311">
      <c r="A2311" s="6"/>
      <c r="B2311" s="6"/>
      <c r="C2311" s="4"/>
      <c r="D2311" s="36">
        <v>69.17952</v>
      </c>
      <c r="E2311" s="4" t="s">
        <v>1091</v>
      </c>
      <c r="F2311" s="4"/>
      <c r="G2311" s="4"/>
      <c r="H2311" s="4"/>
      <c r="I2311" s="4"/>
      <c r="J2311" s="18"/>
      <c r="K2311" s="4"/>
      <c r="L2311" s="19"/>
      <c r="M2311" s="20"/>
    </row>
    <row r="2312">
      <c r="A2312" s="6"/>
      <c r="B2312" s="6"/>
      <c r="C2312" s="4"/>
      <c r="D2312" s="36">
        <v>300.432616</v>
      </c>
      <c r="E2312" s="4" t="s">
        <v>1344</v>
      </c>
      <c r="F2312" s="4"/>
      <c r="G2312" s="4"/>
      <c r="H2312" s="4"/>
      <c r="I2312" s="4"/>
      <c r="J2312" s="18"/>
      <c r="K2312" s="4"/>
      <c r="L2312" s="19"/>
      <c r="M2312" s="20"/>
    </row>
    <row r="2313">
      <c r="A2313" s="6"/>
      <c r="B2313" s="6"/>
      <c r="C2313" s="4"/>
      <c r="D2313" s="36">
        <v>206.864764</v>
      </c>
      <c r="E2313" s="4" t="s">
        <v>475</v>
      </c>
      <c r="F2313" s="4"/>
      <c r="G2313" s="4"/>
      <c r="H2313" s="4"/>
      <c r="I2313" s="4"/>
      <c r="J2313" s="18"/>
      <c r="K2313" s="4"/>
      <c r="L2313" s="19"/>
      <c r="M2313" s="20"/>
    </row>
    <row r="2314">
      <c r="A2314" s="6"/>
      <c r="B2314" s="6"/>
      <c r="C2314" s="4"/>
      <c r="D2314" s="36">
        <v>3073.769025</v>
      </c>
      <c r="E2314" s="4" t="s">
        <v>8517</v>
      </c>
      <c r="F2314" s="4"/>
      <c r="G2314" s="4"/>
      <c r="H2314" s="4"/>
      <c r="I2314" s="4"/>
      <c r="J2314" s="18"/>
      <c r="K2314" s="4"/>
      <c r="L2314" s="19"/>
      <c r="M2314" s="20"/>
    </row>
    <row r="2315">
      <c r="A2315" s="6"/>
      <c r="B2315" s="6"/>
      <c r="C2315" s="4"/>
      <c r="D2315" s="36">
        <v>429.568148</v>
      </c>
      <c r="E2315" s="4" t="s">
        <v>9041</v>
      </c>
      <c r="F2315" s="4"/>
      <c r="G2315" s="4"/>
      <c r="H2315" s="4"/>
      <c r="I2315" s="4"/>
      <c r="J2315" s="18"/>
      <c r="K2315" s="4"/>
      <c r="L2315" s="19"/>
      <c r="M2315" s="20"/>
    </row>
    <row r="2316">
      <c r="A2316" s="6"/>
      <c r="B2316" s="6"/>
      <c r="C2316" s="4"/>
      <c r="D2316" s="36">
        <v>189.236143</v>
      </c>
      <c r="E2316" s="4" t="s">
        <v>9034</v>
      </c>
      <c r="F2316" s="4"/>
      <c r="G2316" s="4"/>
      <c r="H2316" s="4"/>
      <c r="I2316" s="4"/>
      <c r="J2316" s="18"/>
      <c r="K2316" s="4"/>
      <c r="L2316" s="19"/>
      <c r="M2316" s="20"/>
    </row>
    <row r="2317">
      <c r="A2317" s="6"/>
      <c r="B2317" s="6"/>
      <c r="C2317" s="4"/>
      <c r="D2317" s="36">
        <v>124.076704</v>
      </c>
      <c r="E2317" s="4" t="s">
        <v>9018</v>
      </c>
      <c r="F2317" s="4"/>
      <c r="G2317" s="4"/>
      <c r="H2317" s="4"/>
      <c r="I2317" s="4"/>
      <c r="J2317" s="18"/>
      <c r="K2317" s="4"/>
      <c r="L2317" s="19"/>
      <c r="M2317" s="20"/>
    </row>
    <row r="2318">
      <c r="A2318" s="6"/>
      <c r="B2318" s="6"/>
      <c r="C2318" s="4"/>
      <c r="D2318" s="36">
        <v>670.648126</v>
      </c>
      <c r="E2318" s="4" t="s">
        <v>534</v>
      </c>
      <c r="F2318" s="4"/>
      <c r="G2318" s="4"/>
      <c r="H2318" s="4"/>
      <c r="I2318" s="4"/>
      <c r="J2318" s="18"/>
      <c r="K2318" s="4"/>
      <c r="L2318" s="19"/>
      <c r="M2318" s="20"/>
    </row>
    <row r="2319">
      <c r="A2319" s="6"/>
      <c r="B2319" s="6"/>
      <c r="C2319" s="4"/>
      <c r="D2319" s="36">
        <v>165.276148</v>
      </c>
      <c r="E2319" s="4" t="s">
        <v>8701</v>
      </c>
      <c r="F2319" s="4"/>
      <c r="G2319" s="4"/>
      <c r="H2319" s="4"/>
      <c r="I2319" s="4"/>
      <c r="J2319" s="18"/>
      <c r="K2319" s="4"/>
      <c r="L2319" s="19"/>
      <c r="M2319" s="20"/>
    </row>
    <row r="2320">
      <c r="A2320" s="6"/>
      <c r="B2320" s="6"/>
      <c r="C2320" s="4"/>
      <c r="D2320" s="36">
        <v>338.302229</v>
      </c>
      <c r="E2320" s="4" t="s">
        <v>8968</v>
      </c>
      <c r="F2320" s="4"/>
      <c r="G2320" s="4"/>
      <c r="H2320" s="4"/>
      <c r="I2320" s="4"/>
      <c r="J2320" s="18"/>
      <c r="K2320" s="4"/>
      <c r="L2320" s="19"/>
      <c r="M2320" s="20"/>
    </row>
    <row r="2321">
      <c r="A2321" s="6"/>
      <c r="B2321" s="6"/>
      <c r="C2321" s="4"/>
      <c r="D2321" s="36">
        <v>81.89662</v>
      </c>
      <c r="E2321" s="4" t="s">
        <v>683</v>
      </c>
      <c r="F2321" s="4"/>
      <c r="G2321" s="4"/>
      <c r="H2321" s="4"/>
      <c r="I2321" s="4"/>
      <c r="J2321" s="18"/>
      <c r="K2321" s="4"/>
      <c r="L2321" s="19"/>
      <c r="M2321" s="20"/>
    </row>
    <row r="2322">
      <c r="A2322" s="6"/>
      <c r="B2322" s="6"/>
      <c r="C2322" s="4"/>
      <c r="D2322" s="36">
        <v>1549.463888</v>
      </c>
      <c r="E2322" s="4" t="s">
        <v>9042</v>
      </c>
      <c r="F2322" s="4"/>
      <c r="G2322" s="4"/>
      <c r="H2322" s="4"/>
      <c r="I2322" s="4"/>
      <c r="J2322" s="18"/>
      <c r="K2322" s="4"/>
      <c r="L2322" s="19"/>
      <c r="M2322" s="20"/>
    </row>
    <row r="2323">
      <c r="A2323" s="6"/>
      <c r="B2323" s="6"/>
      <c r="C2323" s="4"/>
      <c r="D2323" s="36">
        <v>0.0</v>
      </c>
      <c r="E2323" s="4"/>
      <c r="F2323" s="4"/>
      <c r="G2323" s="4"/>
      <c r="H2323" s="4"/>
      <c r="I2323" s="4"/>
      <c r="J2323" s="18"/>
      <c r="K2323" s="4"/>
      <c r="L2323" s="19"/>
      <c r="M2323" s="20"/>
    </row>
    <row r="2324">
      <c r="A2324" s="6"/>
      <c r="B2324" s="6"/>
      <c r="C2324" s="4"/>
      <c r="D2324" s="36">
        <v>0.0</v>
      </c>
      <c r="E2324" s="4"/>
      <c r="F2324" s="4"/>
      <c r="G2324" s="4"/>
      <c r="H2324" s="4"/>
      <c r="I2324" s="4"/>
      <c r="J2324" s="18"/>
      <c r="K2324" s="4"/>
      <c r="L2324" s="19"/>
      <c r="M2324" s="20"/>
    </row>
    <row r="2325">
      <c r="A2325" s="6"/>
      <c r="B2325" s="6"/>
      <c r="C2325" s="4"/>
      <c r="D2325" s="36">
        <v>0.0</v>
      </c>
      <c r="E2325" s="4"/>
      <c r="F2325" s="4"/>
      <c r="G2325" s="4"/>
      <c r="H2325" s="4"/>
      <c r="I2325" s="4"/>
      <c r="J2325" s="18"/>
      <c r="K2325" s="4"/>
      <c r="L2325" s="19"/>
      <c r="M2325" s="20"/>
    </row>
    <row r="2326">
      <c r="A2326" s="6"/>
      <c r="B2326" s="6"/>
      <c r="C2326" s="4"/>
      <c r="D2326" s="36">
        <v>0.0</v>
      </c>
      <c r="E2326" s="4"/>
      <c r="F2326" s="4"/>
      <c r="G2326" s="4"/>
      <c r="H2326" s="4"/>
      <c r="I2326" s="4"/>
      <c r="J2326" s="18"/>
      <c r="K2326" s="4"/>
      <c r="L2326" s="19"/>
      <c r="M2326" s="20"/>
    </row>
    <row r="2327">
      <c r="A2327" s="6"/>
      <c r="B2327" s="6"/>
      <c r="C2327" s="4"/>
      <c r="D2327" s="36">
        <v>0.0</v>
      </c>
      <c r="E2327" s="4"/>
      <c r="F2327" s="4"/>
      <c r="G2327" s="4"/>
      <c r="H2327" s="4"/>
      <c r="I2327" s="4"/>
      <c r="J2327" s="18"/>
      <c r="K2327" s="4"/>
      <c r="L2327" s="19"/>
      <c r="M2327" s="20"/>
    </row>
    <row r="2328">
      <c r="A2328" s="6"/>
      <c r="B2328" s="6"/>
      <c r="C2328" s="4"/>
      <c r="D2328" s="36">
        <v>0.0</v>
      </c>
      <c r="E2328" s="4"/>
      <c r="F2328" s="4"/>
      <c r="G2328" s="4"/>
      <c r="H2328" s="4"/>
      <c r="I2328" s="4"/>
      <c r="J2328" s="18"/>
      <c r="K2328" s="4"/>
      <c r="L2328" s="19"/>
      <c r="M2328" s="20"/>
    </row>
    <row r="2329">
      <c r="A2329" s="6"/>
      <c r="B2329" s="6"/>
      <c r="C2329" s="4"/>
      <c r="D2329" s="36">
        <v>0.0</v>
      </c>
      <c r="E2329" s="4"/>
      <c r="F2329" s="4"/>
      <c r="G2329" s="4"/>
      <c r="H2329" s="4"/>
      <c r="I2329" s="4"/>
      <c r="J2329" s="18"/>
      <c r="K2329" s="4"/>
      <c r="L2329" s="19"/>
      <c r="M2329" s="20"/>
    </row>
    <row r="2330">
      <c r="A2330" s="6"/>
      <c r="B2330" s="6"/>
      <c r="C2330" s="4"/>
      <c r="D2330" s="36">
        <v>0.0</v>
      </c>
      <c r="E2330" s="4"/>
      <c r="F2330" s="4"/>
      <c r="G2330" s="4"/>
      <c r="H2330" s="4"/>
      <c r="I2330" s="4"/>
      <c r="J2330" s="18"/>
      <c r="K2330" s="4"/>
      <c r="L2330" s="19"/>
      <c r="M2330" s="20"/>
    </row>
    <row r="2331">
      <c r="A2331" s="6"/>
      <c r="B2331" s="6"/>
      <c r="C2331" s="4"/>
      <c r="D2331" s="36">
        <v>0.0</v>
      </c>
      <c r="E2331" s="4"/>
      <c r="F2331" s="4"/>
      <c r="G2331" s="4"/>
      <c r="H2331" s="4"/>
      <c r="I2331" s="4"/>
      <c r="J2331" s="18"/>
      <c r="K2331" s="4"/>
      <c r="L2331" s="19"/>
      <c r="M2331" s="20"/>
    </row>
    <row r="2332">
      <c r="A2332" s="6"/>
      <c r="B2332" s="6"/>
      <c r="C2332" s="4"/>
      <c r="D2332" s="36">
        <v>0.0</v>
      </c>
      <c r="E2332" s="4"/>
      <c r="F2332" s="4"/>
      <c r="G2332" s="4"/>
      <c r="H2332" s="4"/>
      <c r="I2332" s="4"/>
      <c r="J2332" s="18"/>
      <c r="K2332" s="4"/>
      <c r="L2332" s="19"/>
      <c r="M2332" s="20"/>
    </row>
    <row r="2333">
      <c r="A2333" s="6"/>
      <c r="B2333" s="6"/>
      <c r="C2333" s="4"/>
      <c r="D2333" s="36">
        <v>0.0</v>
      </c>
      <c r="E2333" s="4"/>
      <c r="F2333" s="4"/>
      <c r="G2333" s="4"/>
      <c r="H2333" s="4"/>
      <c r="I2333" s="4"/>
      <c r="J2333" s="18"/>
      <c r="K2333" s="4"/>
      <c r="L2333" s="19"/>
      <c r="M2333" s="20"/>
    </row>
    <row r="2334">
      <c r="A2334" s="6"/>
      <c r="B2334" s="6"/>
      <c r="C2334" s="4"/>
      <c r="D2334" s="36">
        <v>0.0</v>
      </c>
      <c r="E2334" s="4"/>
      <c r="F2334" s="4"/>
      <c r="G2334" s="4"/>
      <c r="H2334" s="4"/>
      <c r="I2334" s="4"/>
      <c r="J2334" s="18"/>
      <c r="K2334" s="4"/>
      <c r="L2334" s="19"/>
      <c r="M2334" s="20"/>
    </row>
    <row r="2335">
      <c r="A2335" s="6"/>
      <c r="B2335" s="6"/>
      <c r="C2335" s="4"/>
      <c r="D2335" s="36">
        <v>0.0</v>
      </c>
      <c r="E2335" s="4"/>
      <c r="F2335" s="4"/>
      <c r="G2335" s="4"/>
      <c r="H2335" s="4"/>
      <c r="I2335" s="4"/>
      <c r="J2335" s="18"/>
      <c r="K2335" s="4"/>
      <c r="L2335" s="19"/>
      <c r="M2335" s="20"/>
    </row>
    <row r="2336">
      <c r="A2336" s="6"/>
      <c r="B2336" s="6"/>
      <c r="C2336" s="4"/>
      <c r="D2336" s="36">
        <v>0.0</v>
      </c>
      <c r="E2336" s="4"/>
      <c r="F2336" s="4"/>
      <c r="G2336" s="4"/>
      <c r="H2336" s="4"/>
      <c r="I2336" s="4"/>
      <c r="J2336" s="18"/>
      <c r="K2336" s="4"/>
      <c r="L2336" s="19"/>
      <c r="M2336" s="20"/>
    </row>
    <row r="2337">
      <c r="A2337" s="6"/>
      <c r="B2337" s="6"/>
      <c r="C2337" s="4"/>
      <c r="D2337" s="36">
        <v>0.0</v>
      </c>
      <c r="E2337" s="4"/>
      <c r="F2337" s="4"/>
      <c r="G2337" s="4"/>
      <c r="H2337" s="4"/>
      <c r="I2337" s="4"/>
      <c r="J2337" s="18"/>
      <c r="K2337" s="4"/>
      <c r="L2337" s="19"/>
      <c r="M2337" s="20"/>
    </row>
    <row r="2338">
      <c r="A2338" s="6"/>
      <c r="B2338" s="6"/>
      <c r="C2338" s="4"/>
      <c r="D2338" s="36">
        <v>0.0</v>
      </c>
      <c r="E2338" s="4"/>
      <c r="F2338" s="4"/>
      <c r="G2338" s="4"/>
      <c r="H2338" s="4"/>
      <c r="I2338" s="4"/>
      <c r="J2338" s="18"/>
      <c r="K2338" s="4"/>
      <c r="L2338" s="19"/>
      <c r="M2338" s="20"/>
    </row>
    <row r="2339">
      <c r="A2339" s="6"/>
      <c r="B2339" s="6"/>
      <c r="C2339" s="4"/>
      <c r="D2339" s="36">
        <v>0.0</v>
      </c>
      <c r="E2339" s="4"/>
      <c r="F2339" s="4"/>
      <c r="G2339" s="4"/>
      <c r="H2339" s="4"/>
      <c r="I2339" s="4"/>
      <c r="J2339" s="18"/>
      <c r="K2339" s="4"/>
      <c r="L2339" s="19"/>
      <c r="M2339" s="20"/>
    </row>
    <row r="2340">
      <c r="A2340" s="6"/>
      <c r="B2340" s="6"/>
      <c r="C2340" s="4"/>
      <c r="D2340" s="36">
        <v>0.0</v>
      </c>
      <c r="E2340" s="4"/>
      <c r="F2340" s="4"/>
      <c r="G2340" s="4"/>
      <c r="H2340" s="4"/>
      <c r="I2340" s="4"/>
      <c r="J2340" s="18"/>
      <c r="K2340" s="4"/>
      <c r="L2340" s="19"/>
      <c r="M2340" s="20"/>
    </row>
    <row r="2341">
      <c r="A2341" s="6"/>
      <c r="B2341" s="6"/>
      <c r="C2341" s="4"/>
      <c r="D2341" s="36">
        <v>0.0</v>
      </c>
      <c r="E2341" s="4"/>
      <c r="F2341" s="4"/>
      <c r="G2341" s="4"/>
      <c r="H2341" s="4"/>
      <c r="I2341" s="4"/>
      <c r="J2341" s="18"/>
      <c r="K2341" s="4"/>
      <c r="L2341" s="19"/>
      <c r="M2341" s="20"/>
    </row>
    <row r="2342">
      <c r="A2342" s="6"/>
      <c r="B2342" s="6"/>
      <c r="C2342" s="4"/>
      <c r="D2342" s="36">
        <v>0.0</v>
      </c>
      <c r="E2342" s="4"/>
      <c r="F2342" s="4"/>
      <c r="G2342" s="4"/>
      <c r="H2342" s="4"/>
      <c r="I2342" s="4"/>
      <c r="J2342" s="18"/>
      <c r="K2342" s="4"/>
      <c r="L2342" s="19"/>
      <c r="M2342" s="20"/>
    </row>
    <row r="2343">
      <c r="A2343" s="6"/>
      <c r="B2343" s="6"/>
      <c r="C2343" s="4"/>
      <c r="D2343" s="36">
        <v>0.0</v>
      </c>
      <c r="E2343" s="4"/>
      <c r="F2343" s="4"/>
      <c r="G2343" s="4"/>
      <c r="H2343" s="4"/>
      <c r="I2343" s="4"/>
      <c r="J2343" s="18"/>
      <c r="K2343" s="4"/>
      <c r="L2343" s="19"/>
      <c r="M2343" s="20"/>
    </row>
    <row r="2344">
      <c r="A2344" s="6"/>
      <c r="B2344" s="6"/>
      <c r="C2344" s="4"/>
      <c r="D2344" s="36">
        <v>0.0</v>
      </c>
      <c r="E2344" s="4"/>
      <c r="F2344" s="4"/>
      <c r="G2344" s="4"/>
      <c r="H2344" s="4"/>
      <c r="I2344" s="4"/>
      <c r="J2344" s="18"/>
      <c r="K2344" s="4"/>
      <c r="L2344" s="19"/>
      <c r="M2344" s="20"/>
    </row>
    <row r="2345">
      <c r="A2345" s="6"/>
      <c r="B2345" s="6"/>
      <c r="C2345" s="4"/>
      <c r="D2345" s="36">
        <v>0.0</v>
      </c>
      <c r="E2345" s="4"/>
      <c r="F2345" s="4"/>
      <c r="G2345" s="4"/>
      <c r="H2345" s="4"/>
      <c r="I2345" s="4"/>
      <c r="J2345" s="18"/>
      <c r="K2345" s="4"/>
      <c r="L2345" s="19"/>
      <c r="M2345" s="20"/>
    </row>
    <row r="2346">
      <c r="A2346" s="6"/>
      <c r="B2346" s="6"/>
      <c r="C2346" s="4"/>
      <c r="D2346" s="36">
        <v>0.0</v>
      </c>
      <c r="E2346" s="4"/>
      <c r="F2346" s="4"/>
      <c r="G2346" s="4"/>
      <c r="H2346" s="4"/>
      <c r="I2346" s="4"/>
      <c r="J2346" s="18"/>
      <c r="K2346" s="4"/>
      <c r="L2346" s="19"/>
      <c r="M2346" s="20"/>
    </row>
    <row r="2347">
      <c r="A2347" s="6"/>
      <c r="B2347" s="6"/>
      <c r="C2347" s="4"/>
      <c r="D2347" s="36">
        <v>0.0</v>
      </c>
      <c r="E2347" s="4"/>
      <c r="F2347" s="4"/>
      <c r="G2347" s="4"/>
      <c r="H2347" s="4"/>
      <c r="I2347" s="4"/>
      <c r="J2347" s="18"/>
      <c r="K2347" s="4"/>
      <c r="L2347" s="19"/>
      <c r="M2347" s="20"/>
    </row>
    <row r="2348">
      <c r="A2348" s="6"/>
      <c r="B2348" s="6"/>
      <c r="C2348" s="4"/>
      <c r="D2348" s="36">
        <v>0.0</v>
      </c>
      <c r="E2348" s="4"/>
      <c r="F2348" s="4"/>
      <c r="G2348" s="4"/>
      <c r="H2348" s="4"/>
      <c r="I2348" s="4"/>
      <c r="J2348" s="18"/>
      <c r="K2348" s="4"/>
      <c r="L2348" s="19"/>
      <c r="M2348" s="20"/>
    </row>
    <row r="2349">
      <c r="A2349" s="6"/>
      <c r="B2349" s="6"/>
      <c r="C2349" s="4"/>
      <c r="D2349" s="36">
        <v>0.0</v>
      </c>
      <c r="E2349" s="4"/>
      <c r="F2349" s="4"/>
      <c r="G2349" s="4"/>
      <c r="H2349" s="4"/>
      <c r="I2349" s="4"/>
      <c r="J2349" s="18"/>
      <c r="K2349" s="4"/>
      <c r="L2349" s="19"/>
      <c r="M2349" s="20"/>
    </row>
    <row r="2350">
      <c r="A2350" s="6"/>
      <c r="B2350" s="6"/>
      <c r="C2350" s="4"/>
      <c r="D2350" s="36">
        <v>0.0</v>
      </c>
      <c r="E2350" s="4"/>
      <c r="F2350" s="4"/>
      <c r="G2350" s="4"/>
      <c r="H2350" s="4"/>
      <c r="I2350" s="4"/>
      <c r="J2350" s="18"/>
      <c r="K2350" s="4"/>
      <c r="L2350" s="19"/>
      <c r="M2350" s="20"/>
    </row>
    <row r="2351">
      <c r="A2351" s="6"/>
      <c r="B2351" s="6"/>
      <c r="C2351" s="4"/>
      <c r="D2351" s="36">
        <v>0.0</v>
      </c>
      <c r="E2351" s="4"/>
      <c r="F2351" s="4"/>
      <c r="G2351" s="4"/>
      <c r="H2351" s="4"/>
      <c r="I2351" s="4"/>
      <c r="J2351" s="18"/>
      <c r="K2351" s="4"/>
      <c r="L2351" s="19"/>
      <c r="M2351" s="20"/>
    </row>
    <row r="2352">
      <c r="A2352" s="6"/>
      <c r="B2352" s="6"/>
      <c r="C2352" s="4"/>
      <c r="D2352" s="36">
        <v>0.0</v>
      </c>
      <c r="E2352" s="4"/>
      <c r="F2352" s="4"/>
      <c r="G2352" s="4"/>
      <c r="H2352" s="4"/>
      <c r="I2352" s="4"/>
      <c r="J2352" s="18"/>
      <c r="K2352" s="4"/>
      <c r="L2352" s="19"/>
      <c r="M2352" s="20"/>
    </row>
    <row r="2353">
      <c r="A2353" s="6"/>
      <c r="B2353" s="6"/>
      <c r="C2353" s="4"/>
      <c r="D2353" s="36">
        <v>0.0</v>
      </c>
      <c r="E2353" s="4"/>
      <c r="F2353" s="4"/>
      <c r="G2353" s="4"/>
      <c r="H2353" s="4"/>
      <c r="I2353" s="4"/>
      <c r="J2353" s="18"/>
      <c r="K2353" s="4"/>
      <c r="L2353" s="19"/>
      <c r="M2353" s="20"/>
    </row>
    <row r="2354">
      <c r="A2354" s="6"/>
      <c r="B2354" s="6"/>
      <c r="C2354" s="4"/>
      <c r="D2354" s="36">
        <v>0.0</v>
      </c>
      <c r="E2354" s="4"/>
      <c r="F2354" s="4"/>
      <c r="G2354" s="4"/>
      <c r="H2354" s="4"/>
      <c r="I2354" s="4"/>
      <c r="J2354" s="18"/>
      <c r="K2354" s="4"/>
      <c r="L2354" s="19"/>
      <c r="M2354" s="20"/>
    </row>
    <row r="2355">
      <c r="A2355" s="6"/>
      <c r="B2355" s="6"/>
      <c r="C2355" s="4"/>
      <c r="D2355" s="36">
        <v>0.0</v>
      </c>
      <c r="E2355" s="4"/>
      <c r="F2355" s="4"/>
      <c r="G2355" s="4"/>
      <c r="H2355" s="4"/>
      <c r="I2355" s="4"/>
      <c r="J2355" s="18"/>
      <c r="K2355" s="4"/>
      <c r="L2355" s="19"/>
      <c r="M2355" s="20"/>
    </row>
    <row r="2356">
      <c r="A2356" s="6"/>
      <c r="B2356" s="6"/>
      <c r="C2356" s="4"/>
      <c r="D2356" s="36">
        <v>0.0</v>
      </c>
      <c r="E2356" s="4"/>
      <c r="F2356" s="4"/>
      <c r="G2356" s="4"/>
      <c r="H2356" s="4"/>
      <c r="I2356" s="4"/>
      <c r="J2356" s="18"/>
      <c r="K2356" s="4"/>
      <c r="L2356" s="19"/>
      <c r="M2356" s="20"/>
    </row>
    <row r="2357">
      <c r="A2357" s="6"/>
      <c r="B2357" s="6"/>
      <c r="C2357" s="4"/>
      <c r="D2357" s="36">
        <v>0.0</v>
      </c>
      <c r="E2357" s="4"/>
      <c r="F2357" s="4"/>
      <c r="G2357" s="4"/>
      <c r="H2357" s="4"/>
      <c r="I2357" s="4"/>
      <c r="J2357" s="18"/>
      <c r="K2357" s="4"/>
      <c r="L2357" s="19"/>
      <c r="M2357" s="20"/>
    </row>
    <row r="2358">
      <c r="A2358" s="6"/>
      <c r="B2358" s="6"/>
      <c r="C2358" s="4"/>
      <c r="D2358" s="36">
        <v>0.0</v>
      </c>
      <c r="E2358" s="4"/>
      <c r="F2358" s="4"/>
      <c r="G2358" s="4"/>
      <c r="H2358" s="4"/>
      <c r="I2358" s="4"/>
      <c r="J2358" s="18"/>
      <c r="K2358" s="4"/>
      <c r="L2358" s="19"/>
      <c r="M2358" s="20"/>
    </row>
    <row r="2359">
      <c r="A2359" s="6"/>
      <c r="B2359" s="6"/>
      <c r="C2359" s="4"/>
      <c r="D2359" s="36">
        <v>0.0</v>
      </c>
      <c r="E2359" s="4"/>
      <c r="F2359" s="4"/>
      <c r="G2359" s="4"/>
      <c r="H2359" s="4"/>
      <c r="I2359" s="4"/>
      <c r="J2359" s="18"/>
      <c r="K2359" s="4"/>
      <c r="L2359" s="19"/>
      <c r="M2359" s="20"/>
    </row>
    <row r="2360">
      <c r="A2360" s="6"/>
      <c r="B2360" s="6"/>
      <c r="C2360" s="4"/>
      <c r="D2360" s="36">
        <v>0.0</v>
      </c>
      <c r="E2360" s="4"/>
      <c r="F2360" s="4"/>
      <c r="G2360" s="4"/>
      <c r="H2360" s="4"/>
      <c r="I2360" s="4"/>
      <c r="J2360" s="18"/>
      <c r="K2360" s="4"/>
      <c r="L2360" s="19"/>
      <c r="M2360" s="20"/>
    </row>
    <row r="2361">
      <c r="A2361" s="6"/>
      <c r="B2361" s="6"/>
      <c r="C2361" s="4"/>
      <c r="D2361" s="36">
        <v>0.0</v>
      </c>
      <c r="E2361" s="4"/>
      <c r="F2361" s="4"/>
      <c r="G2361" s="4"/>
      <c r="H2361" s="4"/>
      <c r="I2361" s="4"/>
      <c r="J2361" s="18"/>
      <c r="K2361" s="4"/>
      <c r="L2361" s="19"/>
      <c r="M2361" s="20"/>
    </row>
    <row r="2362">
      <c r="A2362" s="6"/>
      <c r="B2362" s="6"/>
      <c r="C2362" s="4"/>
      <c r="D2362" s="36">
        <v>0.0</v>
      </c>
      <c r="E2362" s="4"/>
      <c r="F2362" s="4"/>
      <c r="G2362" s="4"/>
      <c r="H2362" s="4"/>
      <c r="I2362" s="4"/>
      <c r="J2362" s="18"/>
      <c r="K2362" s="4"/>
      <c r="L2362" s="19"/>
      <c r="M2362" s="20"/>
    </row>
    <row r="2363">
      <c r="A2363" s="6"/>
      <c r="B2363" s="6"/>
      <c r="C2363" s="4"/>
      <c r="D2363" s="36">
        <v>0.0</v>
      </c>
      <c r="E2363" s="4"/>
      <c r="F2363" s="4"/>
      <c r="G2363" s="4"/>
      <c r="H2363" s="4"/>
      <c r="I2363" s="4"/>
      <c r="J2363" s="18"/>
      <c r="K2363" s="4"/>
      <c r="L2363" s="19"/>
      <c r="M2363" s="20"/>
    </row>
    <row r="2364">
      <c r="A2364" s="6"/>
      <c r="B2364" s="6"/>
      <c r="C2364" s="4"/>
      <c r="D2364" s="36">
        <v>0.0</v>
      </c>
      <c r="E2364" s="4"/>
      <c r="F2364" s="4"/>
      <c r="G2364" s="4"/>
      <c r="H2364" s="4"/>
      <c r="I2364" s="4"/>
      <c r="J2364" s="18"/>
      <c r="K2364" s="4"/>
      <c r="L2364" s="19"/>
      <c r="M2364" s="20"/>
    </row>
    <row r="2365">
      <c r="A2365" s="6"/>
      <c r="B2365" s="6"/>
      <c r="C2365" s="4"/>
      <c r="D2365" s="36">
        <v>0.0</v>
      </c>
      <c r="E2365" s="4"/>
      <c r="F2365" s="4"/>
      <c r="G2365" s="4"/>
      <c r="H2365" s="4"/>
      <c r="I2365" s="4"/>
      <c r="J2365" s="18"/>
      <c r="K2365" s="4"/>
      <c r="L2365" s="19"/>
      <c r="M2365" s="20"/>
    </row>
    <row r="2366">
      <c r="A2366" s="6"/>
      <c r="B2366" s="6"/>
      <c r="C2366" s="4"/>
      <c r="D2366" s="36">
        <v>0.0</v>
      </c>
      <c r="E2366" s="4"/>
      <c r="F2366" s="4"/>
      <c r="G2366" s="4"/>
      <c r="H2366" s="4"/>
      <c r="I2366" s="4"/>
      <c r="J2366" s="18"/>
      <c r="K2366" s="4"/>
      <c r="L2366" s="19"/>
      <c r="M2366" s="20"/>
    </row>
    <row r="2367">
      <c r="A2367" s="6"/>
      <c r="B2367" s="6"/>
      <c r="C2367" s="4"/>
      <c r="D2367" s="36">
        <v>0.0</v>
      </c>
      <c r="E2367" s="4"/>
      <c r="F2367" s="4"/>
      <c r="G2367" s="4"/>
      <c r="H2367" s="4"/>
      <c r="I2367" s="4"/>
      <c r="J2367" s="18"/>
      <c r="K2367" s="4"/>
      <c r="L2367" s="19"/>
      <c r="M2367" s="20"/>
    </row>
    <row r="2368">
      <c r="A2368" s="6"/>
      <c r="B2368" s="6"/>
      <c r="C2368" s="4"/>
      <c r="D2368" s="36">
        <v>0.0</v>
      </c>
      <c r="E2368" s="4"/>
      <c r="F2368" s="4"/>
      <c r="G2368" s="4"/>
      <c r="H2368" s="4"/>
      <c r="I2368" s="4"/>
      <c r="J2368" s="18"/>
      <c r="K2368" s="4"/>
      <c r="L2368" s="19"/>
      <c r="M2368" s="20"/>
    </row>
    <row r="2369">
      <c r="A2369" s="6"/>
      <c r="B2369" s="6"/>
      <c r="C2369" s="4"/>
      <c r="D2369" s="36">
        <v>0.0</v>
      </c>
      <c r="E2369" s="4"/>
      <c r="F2369" s="4"/>
      <c r="G2369" s="4"/>
      <c r="H2369" s="4"/>
      <c r="I2369" s="4"/>
      <c r="J2369" s="18"/>
      <c r="K2369" s="4"/>
      <c r="L2369" s="19"/>
      <c r="M2369" s="20"/>
    </row>
    <row r="2370">
      <c r="A2370" s="6"/>
      <c r="B2370" s="6"/>
      <c r="C2370" s="4"/>
      <c r="D2370" s="36">
        <v>0.0</v>
      </c>
      <c r="E2370" s="4"/>
      <c r="F2370" s="4"/>
      <c r="G2370" s="4"/>
      <c r="H2370" s="4"/>
      <c r="I2370" s="4"/>
      <c r="J2370" s="18"/>
      <c r="K2370" s="4"/>
      <c r="L2370" s="19"/>
      <c r="M2370" s="20"/>
    </row>
    <row r="2371">
      <c r="A2371" s="6"/>
      <c r="B2371" s="6"/>
      <c r="C2371" s="4"/>
      <c r="D2371" s="36">
        <v>0.0</v>
      </c>
      <c r="E2371" s="4"/>
      <c r="F2371" s="4"/>
      <c r="G2371" s="4"/>
      <c r="H2371" s="4"/>
      <c r="I2371" s="4"/>
      <c r="J2371" s="18"/>
      <c r="K2371" s="4"/>
      <c r="L2371" s="19"/>
      <c r="M2371" s="20"/>
    </row>
    <row r="2372">
      <c r="A2372" s="6"/>
      <c r="B2372" s="6"/>
      <c r="C2372" s="4"/>
      <c r="D2372" s="36">
        <v>0.0</v>
      </c>
      <c r="E2372" s="4"/>
      <c r="F2372" s="4"/>
      <c r="G2372" s="4"/>
      <c r="H2372" s="4"/>
      <c r="I2372" s="4"/>
      <c r="J2372" s="18"/>
      <c r="K2372" s="4"/>
      <c r="L2372" s="19"/>
      <c r="M2372" s="20"/>
    </row>
    <row r="2373">
      <c r="A2373" s="6"/>
      <c r="B2373" s="6"/>
      <c r="C2373" s="4"/>
      <c r="D2373" s="36">
        <v>0.0</v>
      </c>
      <c r="E2373" s="4"/>
      <c r="F2373" s="4"/>
      <c r="G2373" s="4"/>
      <c r="H2373" s="4"/>
      <c r="I2373" s="4"/>
      <c r="J2373" s="18"/>
      <c r="K2373" s="4"/>
      <c r="L2373" s="19"/>
      <c r="M2373" s="20"/>
    </row>
    <row r="2374">
      <c r="A2374" s="6"/>
      <c r="B2374" s="6"/>
      <c r="C2374" s="4"/>
      <c r="D2374" s="36">
        <v>0.0</v>
      </c>
      <c r="E2374" s="4"/>
      <c r="F2374" s="4"/>
      <c r="G2374" s="4"/>
      <c r="H2374" s="4"/>
      <c r="I2374" s="4"/>
      <c r="J2374" s="18"/>
      <c r="K2374" s="4"/>
      <c r="L2374" s="19"/>
      <c r="M2374" s="20"/>
    </row>
    <row r="2375">
      <c r="A2375" s="6"/>
      <c r="B2375" s="6"/>
      <c r="C2375" s="4"/>
      <c r="D2375" s="36">
        <v>0.0</v>
      </c>
      <c r="E2375" s="4"/>
      <c r="F2375" s="4"/>
      <c r="G2375" s="4"/>
      <c r="H2375" s="4"/>
      <c r="I2375" s="4"/>
      <c r="J2375" s="18"/>
      <c r="K2375" s="4"/>
      <c r="L2375" s="19"/>
      <c r="M2375" s="20"/>
    </row>
    <row r="2376">
      <c r="A2376" s="6"/>
      <c r="B2376" s="6"/>
      <c r="C2376" s="4"/>
      <c r="D2376" s="36">
        <v>0.0</v>
      </c>
      <c r="E2376" s="4"/>
      <c r="F2376" s="4"/>
      <c r="G2376" s="4"/>
      <c r="H2376" s="4"/>
      <c r="I2376" s="4"/>
      <c r="J2376" s="18"/>
      <c r="K2376" s="4"/>
      <c r="L2376" s="19"/>
      <c r="M2376" s="20"/>
    </row>
    <row r="2377">
      <c r="A2377" s="6"/>
      <c r="B2377" s="6"/>
      <c r="C2377" s="4"/>
      <c r="D2377" s="36">
        <v>0.0</v>
      </c>
      <c r="E2377" s="4"/>
      <c r="F2377" s="4"/>
      <c r="G2377" s="4"/>
      <c r="H2377" s="4"/>
      <c r="I2377" s="4"/>
      <c r="J2377" s="18"/>
      <c r="K2377" s="4"/>
      <c r="L2377" s="19"/>
      <c r="M2377" s="20"/>
    </row>
    <row r="2378">
      <c r="A2378" s="6"/>
      <c r="B2378" s="6"/>
      <c r="C2378" s="4"/>
      <c r="D2378" s="36">
        <v>0.0</v>
      </c>
      <c r="E2378" s="4"/>
      <c r="F2378" s="4"/>
      <c r="G2378" s="4"/>
      <c r="H2378" s="4"/>
      <c r="I2378" s="4"/>
      <c r="J2378" s="18"/>
      <c r="K2378" s="4"/>
      <c r="L2378" s="19"/>
      <c r="M2378" s="20"/>
    </row>
    <row r="2379">
      <c r="A2379" s="6"/>
      <c r="B2379" s="6"/>
      <c r="C2379" s="4"/>
      <c r="D2379" s="36">
        <v>0.0</v>
      </c>
      <c r="E2379" s="4"/>
      <c r="F2379" s="4"/>
      <c r="G2379" s="4"/>
      <c r="H2379" s="4"/>
      <c r="I2379" s="4"/>
      <c r="J2379" s="18"/>
      <c r="K2379" s="4"/>
      <c r="L2379" s="19"/>
      <c r="M2379" s="20"/>
    </row>
    <row r="2380">
      <c r="A2380" s="6"/>
      <c r="B2380" s="6"/>
      <c r="C2380" s="4"/>
      <c r="D2380" s="36">
        <v>0.0</v>
      </c>
      <c r="E2380" s="4"/>
      <c r="F2380" s="4"/>
      <c r="G2380" s="4"/>
      <c r="H2380" s="4"/>
      <c r="I2380" s="4"/>
      <c r="J2380" s="18"/>
      <c r="K2380" s="4"/>
      <c r="L2380" s="19"/>
      <c r="M2380" s="20"/>
    </row>
    <row r="2381">
      <c r="A2381" s="6"/>
      <c r="B2381" s="6"/>
      <c r="C2381" s="4"/>
      <c r="D2381" s="36">
        <v>0.0</v>
      </c>
      <c r="E2381" s="4"/>
      <c r="F2381" s="4"/>
      <c r="G2381" s="4"/>
      <c r="H2381" s="4"/>
      <c r="I2381" s="4"/>
      <c r="J2381" s="18"/>
      <c r="K2381" s="4"/>
      <c r="L2381" s="19"/>
      <c r="M2381" s="20"/>
    </row>
    <row r="2382">
      <c r="A2382" s="6"/>
      <c r="B2382" s="6"/>
      <c r="C2382" s="4"/>
      <c r="D2382" s="36">
        <v>0.0</v>
      </c>
      <c r="E2382" s="4"/>
      <c r="F2382" s="4"/>
      <c r="G2382" s="4"/>
      <c r="H2382" s="4"/>
      <c r="I2382" s="4"/>
      <c r="J2382" s="18"/>
      <c r="K2382" s="4"/>
      <c r="L2382" s="19"/>
      <c r="M2382" s="20"/>
    </row>
    <row r="2383">
      <c r="A2383" s="6"/>
      <c r="B2383" s="6"/>
      <c r="C2383" s="4"/>
      <c r="D2383" s="36">
        <v>0.0</v>
      </c>
      <c r="E2383" s="4"/>
      <c r="F2383" s="4"/>
      <c r="G2383" s="4"/>
      <c r="H2383" s="4"/>
      <c r="I2383" s="4"/>
      <c r="J2383" s="18"/>
      <c r="K2383" s="4"/>
      <c r="L2383" s="19"/>
      <c r="M2383" s="20"/>
    </row>
    <row r="2384">
      <c r="A2384" s="6"/>
      <c r="B2384" s="6"/>
      <c r="C2384" s="4"/>
      <c r="D2384" s="36">
        <v>0.0</v>
      </c>
      <c r="E2384" s="4"/>
      <c r="F2384" s="4"/>
      <c r="G2384" s="4"/>
      <c r="H2384" s="4"/>
      <c r="I2384" s="4"/>
      <c r="J2384" s="18"/>
      <c r="K2384" s="4"/>
      <c r="L2384" s="19"/>
      <c r="M2384" s="20"/>
    </row>
    <row r="2385">
      <c r="A2385" s="6"/>
      <c r="B2385" s="6"/>
      <c r="C2385" s="4"/>
      <c r="D2385" s="36">
        <v>0.0</v>
      </c>
      <c r="E2385" s="4"/>
      <c r="F2385" s="4"/>
      <c r="G2385" s="4"/>
      <c r="H2385" s="4"/>
      <c r="I2385" s="4"/>
      <c r="J2385" s="18"/>
      <c r="K2385" s="4"/>
      <c r="L2385" s="19"/>
      <c r="M2385" s="20"/>
    </row>
    <row r="2386">
      <c r="A2386" s="6"/>
      <c r="B2386" s="6"/>
      <c r="C2386" s="4"/>
      <c r="D2386" s="36">
        <v>0.0</v>
      </c>
      <c r="E2386" s="4"/>
      <c r="F2386" s="4"/>
      <c r="G2386" s="4"/>
      <c r="H2386" s="4"/>
      <c r="I2386" s="4"/>
      <c r="J2386" s="18"/>
      <c r="K2386" s="4"/>
      <c r="L2386" s="19"/>
      <c r="M2386" s="20"/>
    </row>
    <row r="2387">
      <c r="A2387" s="6"/>
      <c r="B2387" s="6"/>
      <c r="C2387" s="4"/>
      <c r="D2387" s="36">
        <v>0.0</v>
      </c>
      <c r="E2387" s="4"/>
      <c r="F2387" s="4"/>
      <c r="G2387" s="4"/>
      <c r="H2387" s="4"/>
      <c r="I2387" s="4"/>
      <c r="J2387" s="18"/>
      <c r="K2387" s="4"/>
      <c r="L2387" s="19"/>
      <c r="M2387" s="20"/>
    </row>
    <row r="2388">
      <c r="A2388" s="6"/>
      <c r="B2388" s="6"/>
      <c r="C2388" s="4"/>
      <c r="D2388" s="36">
        <v>0.0</v>
      </c>
      <c r="E2388" s="4"/>
      <c r="F2388" s="4"/>
      <c r="G2388" s="4"/>
      <c r="H2388" s="4"/>
      <c r="I2388" s="4"/>
      <c r="J2388" s="18"/>
      <c r="K2388" s="4"/>
      <c r="L2388" s="19"/>
      <c r="M2388" s="20"/>
    </row>
    <row r="2389">
      <c r="A2389" s="6"/>
      <c r="B2389" s="6"/>
      <c r="C2389" s="4"/>
      <c r="D2389" s="36">
        <v>0.0</v>
      </c>
      <c r="E2389" s="4"/>
      <c r="F2389" s="4"/>
      <c r="G2389" s="4"/>
      <c r="H2389" s="4"/>
      <c r="I2389" s="4"/>
      <c r="J2389" s="18"/>
      <c r="K2389" s="4"/>
      <c r="L2389" s="19"/>
      <c r="M2389" s="20"/>
    </row>
    <row r="2390">
      <c r="A2390" s="6"/>
      <c r="B2390" s="6"/>
      <c r="C2390" s="4"/>
      <c r="D2390" s="36">
        <v>0.0</v>
      </c>
      <c r="E2390" s="4"/>
      <c r="F2390" s="4"/>
      <c r="G2390" s="4"/>
      <c r="H2390" s="4"/>
      <c r="I2390" s="4"/>
      <c r="J2390" s="18"/>
      <c r="K2390" s="4"/>
      <c r="L2390" s="19"/>
      <c r="M2390" s="20"/>
    </row>
    <row r="2391">
      <c r="A2391" s="6"/>
      <c r="B2391" s="6"/>
      <c r="C2391" s="4"/>
      <c r="D2391" s="36">
        <v>0.0</v>
      </c>
      <c r="E2391" s="4"/>
      <c r="F2391" s="4"/>
      <c r="G2391" s="4"/>
      <c r="H2391" s="4"/>
      <c r="I2391" s="4"/>
      <c r="J2391" s="18"/>
      <c r="K2391" s="4"/>
      <c r="L2391" s="19"/>
      <c r="M2391" s="20"/>
    </row>
    <row r="2392">
      <c r="A2392" s="6"/>
      <c r="B2392" s="6"/>
      <c r="C2392" s="4"/>
      <c r="D2392" s="36">
        <v>0.0</v>
      </c>
      <c r="E2392" s="4"/>
      <c r="F2392" s="4"/>
      <c r="G2392" s="4"/>
      <c r="H2392" s="4"/>
      <c r="I2392" s="4"/>
      <c r="J2392" s="18"/>
      <c r="K2392" s="4"/>
      <c r="L2392" s="19"/>
      <c r="M2392" s="20"/>
    </row>
    <row r="2393">
      <c r="A2393" s="6"/>
      <c r="B2393" s="6"/>
      <c r="C2393" s="4"/>
      <c r="D2393" s="36">
        <v>0.0</v>
      </c>
      <c r="E2393" s="4"/>
      <c r="F2393" s="4"/>
      <c r="G2393" s="4"/>
      <c r="H2393" s="4"/>
      <c r="I2393" s="4"/>
      <c r="J2393" s="18"/>
      <c r="K2393" s="4"/>
      <c r="L2393" s="19"/>
      <c r="M2393" s="20"/>
    </row>
    <row r="2394">
      <c r="A2394" s="6"/>
      <c r="B2394" s="6"/>
      <c r="C2394" s="4"/>
      <c r="D2394" s="36">
        <v>0.0</v>
      </c>
      <c r="E2394" s="4"/>
      <c r="F2394" s="4"/>
      <c r="G2394" s="4"/>
      <c r="H2394" s="4"/>
      <c r="I2394" s="4"/>
      <c r="J2394" s="18"/>
      <c r="K2394" s="4"/>
      <c r="L2394" s="19"/>
      <c r="M2394" s="20"/>
    </row>
    <row r="2395">
      <c r="A2395" s="6"/>
      <c r="B2395" s="6"/>
      <c r="C2395" s="4"/>
      <c r="D2395" s="36">
        <v>0.0</v>
      </c>
      <c r="E2395" s="4"/>
      <c r="F2395" s="4"/>
      <c r="G2395" s="4"/>
      <c r="H2395" s="4"/>
      <c r="I2395" s="4"/>
      <c r="J2395" s="18"/>
      <c r="K2395" s="4"/>
      <c r="L2395" s="19"/>
      <c r="M2395" s="20"/>
    </row>
    <row r="2396">
      <c r="A2396" s="6"/>
      <c r="B2396" s="6"/>
      <c r="C2396" s="4"/>
      <c r="D2396" s="36">
        <v>0.0</v>
      </c>
      <c r="E2396" s="4"/>
      <c r="F2396" s="4"/>
      <c r="G2396" s="4"/>
      <c r="H2396" s="4"/>
      <c r="I2396" s="4"/>
      <c r="J2396" s="18"/>
      <c r="K2396" s="4"/>
      <c r="L2396" s="19"/>
      <c r="M2396" s="20"/>
    </row>
    <row r="2397">
      <c r="A2397" s="6"/>
      <c r="B2397" s="6"/>
      <c r="C2397" s="4"/>
      <c r="D2397" s="36">
        <v>0.0</v>
      </c>
      <c r="E2397" s="4"/>
      <c r="F2397" s="4"/>
      <c r="G2397" s="4"/>
      <c r="H2397" s="4"/>
      <c r="I2397" s="4"/>
      <c r="J2397" s="18"/>
      <c r="K2397" s="4"/>
      <c r="L2397" s="19"/>
      <c r="M2397" s="20"/>
    </row>
    <row r="2398">
      <c r="A2398" s="6"/>
      <c r="B2398" s="6"/>
      <c r="C2398" s="4"/>
      <c r="D2398" s="36">
        <v>0.0</v>
      </c>
      <c r="E2398" s="4"/>
      <c r="F2398" s="4"/>
      <c r="G2398" s="4"/>
      <c r="H2398" s="4"/>
      <c r="I2398" s="4"/>
      <c r="J2398" s="18"/>
      <c r="K2398" s="4"/>
      <c r="L2398" s="19"/>
      <c r="M2398" s="20"/>
    </row>
    <row r="2399">
      <c r="A2399" s="6"/>
      <c r="B2399" s="6"/>
      <c r="C2399" s="4"/>
      <c r="D2399" s="36">
        <v>0.0</v>
      </c>
      <c r="E2399" s="4"/>
      <c r="F2399" s="4"/>
      <c r="G2399" s="4"/>
      <c r="H2399" s="4"/>
      <c r="I2399" s="4"/>
      <c r="J2399" s="18"/>
      <c r="K2399" s="4"/>
      <c r="L2399" s="19"/>
      <c r="M2399" s="20"/>
    </row>
    <row r="2400">
      <c r="A2400" s="6"/>
      <c r="B2400" s="6"/>
      <c r="C2400" s="4"/>
      <c r="D2400" s="36">
        <v>0.0</v>
      </c>
      <c r="E2400" s="4"/>
      <c r="F2400" s="4"/>
      <c r="G2400" s="4"/>
      <c r="H2400" s="4"/>
      <c r="I2400" s="4"/>
      <c r="J2400" s="18"/>
      <c r="K2400" s="4"/>
      <c r="L2400" s="19"/>
      <c r="M2400" s="20"/>
    </row>
    <row r="2401">
      <c r="A2401" s="6"/>
      <c r="B2401" s="6"/>
      <c r="C2401" s="4"/>
      <c r="D2401" s="36">
        <v>0.0</v>
      </c>
      <c r="E2401" s="4"/>
      <c r="F2401" s="4"/>
      <c r="G2401" s="4"/>
      <c r="H2401" s="4"/>
      <c r="I2401" s="4"/>
      <c r="J2401" s="18"/>
      <c r="K2401" s="4"/>
      <c r="L2401" s="19"/>
      <c r="M2401" s="20"/>
    </row>
    <row r="2402">
      <c r="A2402" s="6"/>
      <c r="B2402" s="6"/>
      <c r="C2402" s="4"/>
      <c r="D2402" s="36">
        <v>0.0</v>
      </c>
      <c r="E2402" s="4"/>
      <c r="F2402" s="4"/>
      <c r="G2402" s="4"/>
      <c r="H2402" s="4"/>
      <c r="I2402" s="4"/>
      <c r="J2402" s="18"/>
      <c r="K2402" s="4"/>
      <c r="L2402" s="19"/>
      <c r="M2402" s="20"/>
    </row>
    <row r="2403">
      <c r="A2403" s="6"/>
      <c r="B2403" s="6"/>
      <c r="C2403" s="4"/>
      <c r="D2403" s="36">
        <v>0.0</v>
      </c>
      <c r="E2403" s="4"/>
      <c r="F2403" s="4"/>
      <c r="G2403" s="4"/>
      <c r="H2403" s="4"/>
      <c r="I2403" s="4"/>
      <c r="J2403" s="18"/>
      <c r="K2403" s="4"/>
      <c r="L2403" s="19"/>
      <c r="M2403" s="20"/>
    </row>
    <row r="2404">
      <c r="A2404" s="6"/>
      <c r="B2404" s="6"/>
      <c r="C2404" s="4"/>
      <c r="D2404" s="36">
        <v>0.0</v>
      </c>
      <c r="E2404" s="4"/>
      <c r="F2404" s="4"/>
      <c r="G2404" s="4"/>
      <c r="H2404" s="4"/>
      <c r="I2404" s="4"/>
      <c r="J2404" s="18"/>
      <c r="K2404" s="4"/>
      <c r="L2404" s="19"/>
      <c r="M2404" s="20"/>
    </row>
    <row r="2405">
      <c r="A2405" s="6"/>
      <c r="B2405" s="6"/>
      <c r="C2405" s="4"/>
      <c r="D2405" s="36">
        <v>0.0</v>
      </c>
      <c r="E2405" s="4"/>
      <c r="F2405" s="4"/>
      <c r="G2405" s="4"/>
      <c r="H2405" s="4"/>
      <c r="I2405" s="4"/>
      <c r="J2405" s="18"/>
      <c r="K2405" s="4"/>
      <c r="L2405" s="19"/>
      <c r="M2405" s="20"/>
    </row>
    <row r="2406">
      <c r="A2406" s="6"/>
      <c r="B2406" s="6"/>
      <c r="C2406" s="4"/>
      <c r="D2406" s="36">
        <v>0.0</v>
      </c>
      <c r="E2406" s="4"/>
      <c r="F2406" s="4"/>
      <c r="G2406" s="4"/>
      <c r="H2406" s="4"/>
      <c r="I2406" s="4"/>
      <c r="J2406" s="18"/>
      <c r="K2406" s="4"/>
      <c r="L2406" s="19"/>
      <c r="M2406" s="20"/>
    </row>
    <row r="2407">
      <c r="A2407" s="6"/>
      <c r="B2407" s="6"/>
      <c r="C2407" s="4"/>
      <c r="D2407" s="36">
        <v>0.0</v>
      </c>
      <c r="E2407" s="4"/>
      <c r="F2407" s="4"/>
      <c r="G2407" s="4"/>
      <c r="H2407" s="4"/>
      <c r="I2407" s="4"/>
      <c r="J2407" s="18"/>
      <c r="K2407" s="4"/>
      <c r="L2407" s="19"/>
      <c r="M2407" s="20"/>
    </row>
    <row r="2408">
      <c r="A2408" s="6"/>
      <c r="B2408" s="6"/>
      <c r="C2408" s="4"/>
      <c r="D2408" s="36">
        <v>0.0</v>
      </c>
      <c r="E2408" s="4"/>
      <c r="F2408" s="4"/>
      <c r="G2408" s="4"/>
      <c r="H2408" s="4"/>
      <c r="I2408" s="4"/>
      <c r="J2408" s="18"/>
      <c r="K2408" s="4"/>
      <c r="L2408" s="19"/>
      <c r="M2408" s="20"/>
    </row>
    <row r="2409">
      <c r="A2409" s="6"/>
      <c r="B2409" s="6"/>
      <c r="C2409" s="4"/>
      <c r="D2409" s="36">
        <v>0.0</v>
      </c>
      <c r="E2409" s="4"/>
      <c r="F2409" s="4"/>
      <c r="G2409" s="4"/>
      <c r="H2409" s="4"/>
      <c r="I2409" s="4"/>
      <c r="J2409" s="18"/>
      <c r="K2409" s="4"/>
      <c r="L2409" s="19"/>
      <c r="M2409" s="20"/>
    </row>
    <row r="2410">
      <c r="A2410" s="6"/>
      <c r="B2410" s="6"/>
      <c r="C2410" s="4"/>
      <c r="D2410" s="36">
        <v>0.0</v>
      </c>
      <c r="E2410" s="4"/>
      <c r="F2410" s="4"/>
      <c r="G2410" s="4"/>
      <c r="H2410" s="4"/>
      <c r="I2410" s="4"/>
      <c r="J2410" s="18"/>
      <c r="K2410" s="4"/>
      <c r="L2410" s="19"/>
      <c r="M2410" s="20"/>
    </row>
    <row r="2411">
      <c r="A2411" s="6"/>
      <c r="B2411" s="6"/>
      <c r="C2411" s="4"/>
      <c r="D2411" s="36">
        <v>0.0</v>
      </c>
      <c r="E2411" s="4"/>
      <c r="F2411" s="4"/>
      <c r="G2411" s="4"/>
      <c r="H2411" s="4"/>
      <c r="I2411" s="4"/>
      <c r="J2411" s="18"/>
      <c r="K2411" s="4"/>
      <c r="L2411" s="19"/>
      <c r="M2411" s="20"/>
    </row>
    <row r="2412">
      <c r="A2412" s="6"/>
      <c r="B2412" s="6"/>
      <c r="C2412" s="4"/>
      <c r="D2412" s="36">
        <v>0.0</v>
      </c>
      <c r="E2412" s="4"/>
      <c r="F2412" s="4"/>
      <c r="G2412" s="4"/>
      <c r="H2412" s="4"/>
      <c r="I2412" s="4"/>
      <c r="J2412" s="18"/>
      <c r="K2412" s="4"/>
      <c r="L2412" s="19"/>
      <c r="M2412" s="20"/>
    </row>
    <row r="2413">
      <c r="A2413" s="6"/>
      <c r="B2413" s="6"/>
      <c r="C2413" s="4"/>
      <c r="D2413" s="36">
        <v>0.0</v>
      </c>
      <c r="E2413" s="4"/>
      <c r="F2413" s="4"/>
      <c r="G2413" s="4"/>
      <c r="H2413" s="4"/>
      <c r="I2413" s="4"/>
      <c r="J2413" s="18"/>
      <c r="K2413" s="4"/>
      <c r="L2413" s="19"/>
      <c r="M2413" s="20"/>
    </row>
    <row r="2414">
      <c r="A2414" s="6"/>
      <c r="B2414" s="6"/>
      <c r="C2414" s="4"/>
      <c r="D2414" s="36">
        <v>0.0</v>
      </c>
      <c r="E2414" s="4"/>
      <c r="F2414" s="4"/>
      <c r="G2414" s="4"/>
      <c r="H2414" s="4"/>
      <c r="I2414" s="4"/>
      <c r="J2414" s="18"/>
      <c r="K2414" s="4"/>
      <c r="L2414" s="19"/>
      <c r="M2414" s="20"/>
    </row>
    <row r="2415">
      <c r="A2415" s="6"/>
      <c r="B2415" s="6"/>
      <c r="C2415" s="4"/>
      <c r="D2415" s="36">
        <v>0.0</v>
      </c>
      <c r="E2415" s="4"/>
      <c r="F2415" s="4"/>
      <c r="G2415" s="4"/>
      <c r="H2415" s="4"/>
      <c r="I2415" s="4"/>
      <c r="J2415" s="18"/>
      <c r="K2415" s="4"/>
      <c r="L2415" s="19"/>
      <c r="M2415" s="20"/>
    </row>
    <row r="2416">
      <c r="A2416" s="6"/>
      <c r="B2416" s="6"/>
      <c r="C2416" s="4"/>
      <c r="D2416" s="36">
        <v>0.0</v>
      </c>
      <c r="E2416" s="4"/>
      <c r="F2416" s="4"/>
      <c r="G2416" s="4"/>
      <c r="H2416" s="4"/>
      <c r="I2416" s="4"/>
      <c r="J2416" s="18"/>
      <c r="K2416" s="4"/>
      <c r="L2416" s="19"/>
      <c r="M2416" s="20"/>
    </row>
    <row r="2417">
      <c r="A2417" s="6"/>
      <c r="B2417" s="6"/>
      <c r="C2417" s="4"/>
      <c r="D2417" s="36">
        <v>0.0</v>
      </c>
      <c r="E2417" s="4"/>
      <c r="F2417" s="4"/>
      <c r="G2417" s="4"/>
      <c r="H2417" s="4"/>
      <c r="I2417" s="4"/>
      <c r="J2417" s="18"/>
      <c r="K2417" s="4"/>
      <c r="L2417" s="19"/>
      <c r="M2417" s="20"/>
    </row>
    <row r="2418">
      <c r="A2418" s="6"/>
      <c r="B2418" s="6"/>
      <c r="C2418" s="4"/>
      <c r="D2418" s="36">
        <v>0.0</v>
      </c>
      <c r="E2418" s="4"/>
      <c r="F2418" s="4"/>
      <c r="G2418" s="4"/>
      <c r="H2418" s="4"/>
      <c r="I2418" s="4"/>
      <c r="J2418" s="18"/>
      <c r="K2418" s="4"/>
      <c r="L2418" s="19"/>
      <c r="M2418" s="20"/>
    </row>
    <row r="2419">
      <c r="A2419" s="6"/>
      <c r="B2419" s="6"/>
      <c r="C2419" s="4"/>
      <c r="D2419" s="36">
        <v>0.0</v>
      </c>
      <c r="E2419" s="4"/>
      <c r="F2419" s="4"/>
      <c r="G2419" s="4"/>
      <c r="H2419" s="4"/>
      <c r="I2419" s="4"/>
      <c r="J2419" s="18"/>
      <c r="K2419" s="4"/>
      <c r="L2419" s="19"/>
      <c r="M2419" s="20"/>
    </row>
    <row r="2420">
      <c r="A2420" s="6"/>
      <c r="B2420" s="6"/>
      <c r="C2420" s="4"/>
      <c r="D2420" s="36">
        <v>0.0</v>
      </c>
      <c r="E2420" s="4"/>
      <c r="F2420" s="4"/>
      <c r="G2420" s="4"/>
      <c r="H2420" s="4"/>
      <c r="I2420" s="4"/>
      <c r="J2420" s="18"/>
      <c r="K2420" s="4"/>
      <c r="L2420" s="19"/>
      <c r="M2420" s="20"/>
    </row>
    <row r="2421">
      <c r="A2421" s="6"/>
      <c r="B2421" s="6"/>
      <c r="C2421" s="4"/>
      <c r="D2421" s="36">
        <v>0.0</v>
      </c>
      <c r="E2421" s="4"/>
      <c r="F2421" s="4"/>
      <c r="G2421" s="4"/>
      <c r="H2421" s="4"/>
      <c r="I2421" s="4"/>
      <c r="J2421" s="18"/>
      <c r="K2421" s="4"/>
      <c r="L2421" s="19"/>
      <c r="M2421" s="20"/>
    </row>
    <row r="2422">
      <c r="A2422" s="6"/>
      <c r="B2422" s="6"/>
      <c r="C2422" s="4"/>
      <c r="D2422" s="36">
        <v>0.0</v>
      </c>
      <c r="E2422" s="4"/>
      <c r="F2422" s="4"/>
      <c r="G2422" s="4"/>
      <c r="H2422" s="4"/>
      <c r="I2422" s="4"/>
      <c r="J2422" s="18"/>
      <c r="K2422" s="4"/>
      <c r="L2422" s="19"/>
      <c r="M2422" s="20"/>
    </row>
    <row r="2423">
      <c r="A2423" s="6"/>
      <c r="B2423" s="6"/>
      <c r="C2423" s="4"/>
      <c r="D2423" s="36">
        <v>0.0</v>
      </c>
      <c r="E2423" s="4"/>
      <c r="F2423" s="4"/>
      <c r="G2423" s="4"/>
      <c r="H2423" s="4"/>
      <c r="I2423" s="4"/>
      <c r="J2423" s="18"/>
      <c r="K2423" s="4"/>
      <c r="L2423" s="19"/>
      <c r="M2423" s="20"/>
    </row>
    <row r="2424">
      <c r="A2424" s="6"/>
      <c r="B2424" s="6"/>
      <c r="C2424" s="4"/>
      <c r="D2424" s="36">
        <v>0.0</v>
      </c>
      <c r="E2424" s="4"/>
      <c r="F2424" s="4"/>
      <c r="G2424" s="4"/>
      <c r="H2424" s="4"/>
      <c r="I2424" s="4"/>
      <c r="J2424" s="18"/>
      <c r="K2424" s="4"/>
      <c r="L2424" s="19"/>
      <c r="M2424" s="20"/>
    </row>
    <row r="2425">
      <c r="A2425" s="6"/>
      <c r="B2425" s="6"/>
      <c r="C2425" s="4"/>
      <c r="D2425" s="36">
        <v>0.0</v>
      </c>
      <c r="E2425" s="4"/>
      <c r="F2425" s="4"/>
      <c r="G2425" s="4"/>
      <c r="H2425" s="4"/>
      <c r="I2425" s="4"/>
      <c r="J2425" s="18"/>
      <c r="K2425" s="4"/>
      <c r="L2425" s="19"/>
      <c r="M2425" s="20"/>
    </row>
    <row r="2426">
      <c r="A2426" s="6"/>
      <c r="B2426" s="6"/>
      <c r="C2426" s="4"/>
      <c r="D2426" s="36">
        <v>0.0</v>
      </c>
      <c r="E2426" s="4"/>
      <c r="F2426" s="4"/>
      <c r="G2426" s="4"/>
      <c r="H2426" s="4"/>
      <c r="I2426" s="4"/>
      <c r="J2426" s="18"/>
      <c r="K2426" s="4"/>
      <c r="L2426" s="19"/>
      <c r="M2426" s="20"/>
    </row>
    <row r="2427">
      <c r="A2427" s="6"/>
      <c r="B2427" s="6"/>
      <c r="C2427" s="4"/>
      <c r="D2427" s="36">
        <v>0.0</v>
      </c>
      <c r="E2427" s="4"/>
      <c r="F2427" s="4"/>
      <c r="G2427" s="4"/>
      <c r="H2427" s="4"/>
      <c r="I2427" s="4"/>
      <c r="J2427" s="18"/>
      <c r="K2427" s="4"/>
      <c r="L2427" s="19"/>
      <c r="M2427" s="20"/>
    </row>
    <row r="2428">
      <c r="A2428" s="6"/>
      <c r="B2428" s="6"/>
      <c r="C2428" s="4"/>
      <c r="D2428" s="36">
        <v>0.0</v>
      </c>
      <c r="E2428" s="4"/>
      <c r="F2428" s="4"/>
      <c r="G2428" s="4"/>
      <c r="H2428" s="4"/>
      <c r="I2428" s="4"/>
      <c r="J2428" s="18"/>
      <c r="K2428" s="4"/>
      <c r="L2428" s="19"/>
      <c r="M2428" s="20"/>
    </row>
    <row r="2429">
      <c r="A2429" s="6"/>
      <c r="B2429" s="6"/>
      <c r="C2429" s="4"/>
      <c r="D2429" s="36">
        <v>0.0</v>
      </c>
      <c r="E2429" s="4"/>
      <c r="F2429" s="4"/>
      <c r="G2429" s="4"/>
      <c r="H2429" s="4"/>
      <c r="I2429" s="4"/>
      <c r="J2429" s="18"/>
      <c r="K2429" s="4"/>
      <c r="L2429" s="19"/>
      <c r="M2429" s="20"/>
    </row>
    <row r="2430">
      <c r="A2430" s="6"/>
      <c r="B2430" s="6"/>
      <c r="C2430" s="4"/>
      <c r="D2430" s="36">
        <v>0.0</v>
      </c>
      <c r="E2430" s="4"/>
      <c r="F2430" s="4"/>
      <c r="G2430" s="4"/>
      <c r="H2430" s="4"/>
      <c r="I2430" s="4"/>
      <c r="J2430" s="18"/>
      <c r="K2430" s="4"/>
      <c r="L2430" s="19"/>
      <c r="M2430" s="20"/>
    </row>
    <row r="2431">
      <c r="A2431" s="6"/>
      <c r="B2431" s="6"/>
      <c r="C2431" s="4"/>
      <c r="D2431" s="36">
        <v>0.0</v>
      </c>
      <c r="E2431" s="4"/>
      <c r="F2431" s="4"/>
      <c r="G2431" s="4"/>
      <c r="H2431" s="4"/>
      <c r="I2431" s="4"/>
      <c r="J2431" s="18"/>
      <c r="K2431" s="4"/>
      <c r="L2431" s="19"/>
      <c r="M2431" s="20"/>
    </row>
    <row r="2432">
      <c r="A2432" s="6"/>
      <c r="B2432" s="6"/>
      <c r="C2432" s="4"/>
      <c r="D2432" s="36">
        <v>0.0</v>
      </c>
      <c r="E2432" s="4"/>
      <c r="F2432" s="4"/>
      <c r="G2432" s="4"/>
      <c r="H2432" s="4"/>
      <c r="I2432" s="4"/>
      <c r="J2432" s="18"/>
      <c r="K2432" s="4"/>
      <c r="L2432" s="19"/>
      <c r="M2432" s="20"/>
    </row>
    <row r="2433">
      <c r="A2433" s="6"/>
      <c r="B2433" s="6"/>
      <c r="C2433" s="4"/>
      <c r="D2433" s="36">
        <v>0.0</v>
      </c>
      <c r="E2433" s="4"/>
      <c r="F2433" s="4"/>
      <c r="G2433" s="4"/>
      <c r="H2433" s="4"/>
      <c r="I2433" s="4"/>
      <c r="J2433" s="18"/>
      <c r="K2433" s="4"/>
      <c r="L2433" s="19"/>
      <c r="M2433" s="20"/>
    </row>
    <row r="2434">
      <c r="A2434" s="6"/>
      <c r="B2434" s="6"/>
      <c r="C2434" s="4"/>
      <c r="D2434" s="36">
        <v>0.0</v>
      </c>
      <c r="E2434" s="4"/>
      <c r="F2434" s="4"/>
      <c r="G2434" s="4"/>
      <c r="H2434" s="4"/>
      <c r="I2434" s="4"/>
      <c r="J2434" s="18"/>
      <c r="K2434" s="4"/>
      <c r="L2434" s="19"/>
      <c r="M2434" s="20"/>
    </row>
    <row r="2435">
      <c r="A2435" s="6"/>
      <c r="B2435" s="6"/>
      <c r="C2435" s="4"/>
      <c r="D2435" s="36">
        <v>0.0</v>
      </c>
      <c r="E2435" s="4"/>
      <c r="F2435" s="4"/>
      <c r="G2435" s="4"/>
      <c r="H2435" s="4"/>
      <c r="I2435" s="4"/>
      <c r="J2435" s="18"/>
      <c r="K2435" s="4"/>
      <c r="L2435" s="19"/>
      <c r="M2435" s="20"/>
    </row>
    <row r="2436">
      <c r="A2436" s="6"/>
      <c r="B2436" s="6"/>
      <c r="C2436" s="4"/>
      <c r="D2436" s="36">
        <v>0.0</v>
      </c>
      <c r="E2436" s="4"/>
      <c r="F2436" s="4"/>
      <c r="G2436" s="4"/>
      <c r="H2436" s="4"/>
      <c r="I2436" s="4"/>
      <c r="J2436" s="18"/>
      <c r="K2436" s="4"/>
      <c r="L2436" s="19"/>
      <c r="M2436" s="20"/>
    </row>
    <row r="2437">
      <c r="A2437" s="6"/>
      <c r="B2437" s="6"/>
      <c r="C2437" s="4"/>
      <c r="D2437" s="36">
        <v>0.0</v>
      </c>
      <c r="E2437" s="4"/>
      <c r="F2437" s="4"/>
      <c r="G2437" s="4"/>
      <c r="H2437" s="4"/>
      <c r="I2437" s="4"/>
      <c r="J2437" s="18"/>
      <c r="K2437" s="4"/>
      <c r="L2437" s="19"/>
      <c r="M2437" s="20"/>
    </row>
    <row r="2438">
      <c r="A2438" s="6"/>
      <c r="B2438" s="6"/>
      <c r="C2438" s="4"/>
      <c r="D2438" s="36">
        <v>0.0</v>
      </c>
      <c r="E2438" s="4"/>
      <c r="F2438" s="4"/>
      <c r="G2438" s="4"/>
      <c r="H2438" s="4"/>
      <c r="I2438" s="4"/>
      <c r="J2438" s="18"/>
      <c r="K2438" s="4"/>
      <c r="L2438" s="19"/>
      <c r="M2438" s="20"/>
    </row>
    <row r="2439">
      <c r="A2439" s="6"/>
      <c r="B2439" s="6"/>
      <c r="C2439" s="4"/>
      <c r="D2439" s="36">
        <v>0.0</v>
      </c>
      <c r="E2439" s="4"/>
      <c r="F2439" s="4"/>
      <c r="G2439" s="4"/>
      <c r="H2439" s="4"/>
      <c r="I2439" s="4"/>
      <c r="J2439" s="18"/>
      <c r="K2439" s="4"/>
      <c r="L2439" s="19"/>
      <c r="M2439" s="20"/>
    </row>
    <row r="2440">
      <c r="A2440" s="6"/>
      <c r="B2440" s="6"/>
      <c r="C2440" s="4"/>
      <c r="D2440" s="36">
        <v>0.0</v>
      </c>
      <c r="E2440" s="4"/>
      <c r="F2440" s="4"/>
      <c r="G2440" s="4"/>
      <c r="H2440" s="4"/>
      <c r="I2440" s="4"/>
      <c r="J2440" s="18"/>
      <c r="K2440" s="4"/>
      <c r="L2440" s="19"/>
      <c r="M2440" s="20"/>
    </row>
    <row r="2441">
      <c r="A2441" s="6"/>
      <c r="B2441" s="6"/>
      <c r="C2441" s="4"/>
      <c r="D2441" s="36">
        <v>0.0</v>
      </c>
      <c r="E2441" s="4"/>
      <c r="F2441" s="4"/>
      <c r="G2441" s="4"/>
      <c r="H2441" s="4"/>
      <c r="I2441" s="4"/>
      <c r="J2441" s="18"/>
      <c r="K2441" s="4"/>
      <c r="L2441" s="19"/>
      <c r="M2441" s="20"/>
    </row>
    <row r="2442">
      <c r="A2442" s="6"/>
      <c r="B2442" s="6"/>
      <c r="C2442" s="4"/>
      <c r="D2442" s="36">
        <v>0.0</v>
      </c>
      <c r="E2442" s="4"/>
      <c r="F2442" s="4"/>
      <c r="G2442" s="4"/>
      <c r="H2442" s="4"/>
      <c r="I2442" s="4"/>
      <c r="J2442" s="18"/>
      <c r="K2442" s="4"/>
      <c r="L2442" s="19"/>
      <c r="M2442" s="20"/>
    </row>
    <row r="2443">
      <c r="A2443" s="6"/>
      <c r="B2443" s="6"/>
      <c r="C2443" s="4"/>
      <c r="D2443" s="36">
        <v>0.0</v>
      </c>
      <c r="E2443" s="4"/>
      <c r="F2443" s="4"/>
      <c r="G2443" s="4"/>
      <c r="H2443" s="4"/>
      <c r="I2443" s="4"/>
      <c r="J2443" s="18"/>
      <c r="K2443" s="4"/>
      <c r="L2443" s="19"/>
      <c r="M2443" s="20"/>
    </row>
    <row r="2444">
      <c r="A2444" s="6"/>
      <c r="B2444" s="6"/>
      <c r="C2444" s="4"/>
      <c r="D2444" s="36">
        <v>0.0</v>
      </c>
      <c r="E2444" s="4"/>
      <c r="F2444" s="4"/>
      <c r="G2444" s="4"/>
      <c r="H2444" s="4"/>
      <c r="I2444" s="4"/>
      <c r="J2444" s="18"/>
      <c r="K2444" s="4"/>
      <c r="L2444" s="19"/>
      <c r="M2444" s="20"/>
    </row>
    <row r="2445">
      <c r="A2445" s="6"/>
      <c r="B2445" s="6"/>
      <c r="C2445" s="4"/>
      <c r="D2445" s="36">
        <v>0.0</v>
      </c>
      <c r="E2445" s="4"/>
      <c r="F2445" s="4"/>
      <c r="G2445" s="4"/>
      <c r="H2445" s="4"/>
      <c r="I2445" s="4"/>
      <c r="J2445" s="18"/>
      <c r="K2445" s="4"/>
      <c r="L2445" s="19"/>
      <c r="M2445" s="20"/>
    </row>
    <row r="2446">
      <c r="A2446" s="6"/>
      <c r="B2446" s="6"/>
      <c r="C2446" s="4"/>
      <c r="D2446" s="36">
        <v>0.0</v>
      </c>
      <c r="E2446" s="4"/>
      <c r="F2446" s="4"/>
      <c r="G2446" s="4"/>
      <c r="H2446" s="4"/>
      <c r="I2446" s="4"/>
      <c r="J2446" s="18"/>
      <c r="K2446" s="4"/>
      <c r="L2446" s="19"/>
      <c r="M2446" s="20"/>
    </row>
    <row r="2447">
      <c r="A2447" s="6"/>
      <c r="B2447" s="6"/>
      <c r="C2447" s="4"/>
      <c r="D2447" s="36">
        <v>0.0</v>
      </c>
      <c r="E2447" s="4"/>
      <c r="F2447" s="4"/>
      <c r="G2447" s="4"/>
      <c r="H2447" s="4"/>
      <c r="I2447" s="4"/>
      <c r="J2447" s="18"/>
      <c r="K2447" s="4"/>
      <c r="L2447" s="19"/>
      <c r="M2447" s="20"/>
    </row>
    <row r="2448">
      <c r="A2448" s="6"/>
      <c r="B2448" s="6"/>
      <c r="C2448" s="4"/>
      <c r="D2448" s="36">
        <v>0.0</v>
      </c>
      <c r="E2448" s="4"/>
      <c r="F2448" s="4"/>
      <c r="G2448" s="4"/>
      <c r="H2448" s="4"/>
      <c r="I2448" s="4"/>
      <c r="J2448" s="18"/>
      <c r="K2448" s="4"/>
      <c r="L2448" s="19"/>
      <c r="M2448" s="20"/>
    </row>
    <row r="2449">
      <c r="A2449" s="6"/>
      <c r="B2449" s="6"/>
      <c r="C2449" s="4"/>
      <c r="D2449" s="36">
        <v>0.0</v>
      </c>
      <c r="E2449" s="4"/>
      <c r="F2449" s="4"/>
      <c r="G2449" s="4"/>
      <c r="H2449" s="4"/>
      <c r="I2449" s="4"/>
      <c r="J2449" s="18"/>
      <c r="K2449" s="4"/>
      <c r="L2449" s="19"/>
      <c r="M2449" s="20"/>
    </row>
    <row r="2450">
      <c r="A2450" s="6"/>
      <c r="B2450" s="6"/>
      <c r="C2450" s="4"/>
      <c r="D2450" s="36">
        <v>0.0</v>
      </c>
      <c r="E2450" s="4"/>
      <c r="F2450" s="4"/>
      <c r="G2450" s="4"/>
      <c r="H2450" s="4"/>
      <c r="I2450" s="4"/>
      <c r="J2450" s="18"/>
      <c r="K2450" s="4"/>
      <c r="L2450" s="19"/>
      <c r="M2450" s="20"/>
    </row>
    <row r="2451">
      <c r="A2451" s="6"/>
      <c r="B2451" s="6"/>
      <c r="C2451" s="4"/>
      <c r="D2451" s="36">
        <v>0.0</v>
      </c>
      <c r="E2451" s="4"/>
      <c r="F2451" s="4"/>
      <c r="G2451" s="4"/>
      <c r="H2451" s="4"/>
      <c r="I2451" s="4"/>
      <c r="J2451" s="18"/>
      <c r="K2451" s="4"/>
      <c r="L2451" s="19"/>
      <c r="M2451" s="20"/>
    </row>
    <row r="2452">
      <c r="A2452" s="6"/>
      <c r="B2452" s="6"/>
      <c r="C2452" s="4"/>
      <c r="D2452" s="36">
        <v>0.0</v>
      </c>
      <c r="E2452" s="4"/>
      <c r="F2452" s="4"/>
      <c r="G2452" s="4"/>
      <c r="H2452" s="4"/>
      <c r="I2452" s="4"/>
      <c r="J2452" s="18"/>
      <c r="K2452" s="4"/>
      <c r="L2452" s="19"/>
      <c r="M2452" s="20"/>
    </row>
    <row r="2453">
      <c r="A2453" s="6"/>
      <c r="B2453" s="6"/>
      <c r="C2453" s="4"/>
      <c r="D2453" s="36">
        <v>0.0</v>
      </c>
      <c r="E2453" s="4"/>
      <c r="F2453" s="4"/>
      <c r="G2453" s="4"/>
      <c r="H2453" s="4"/>
      <c r="I2453" s="4"/>
      <c r="J2453" s="18"/>
      <c r="K2453" s="4"/>
      <c r="L2453" s="19"/>
      <c r="M2453" s="20"/>
    </row>
    <row r="2454">
      <c r="A2454" s="6"/>
      <c r="B2454" s="6"/>
      <c r="C2454" s="4"/>
      <c r="D2454" s="36">
        <v>0.0</v>
      </c>
      <c r="E2454" s="4"/>
      <c r="F2454" s="4"/>
      <c r="G2454" s="4"/>
      <c r="H2454" s="4"/>
      <c r="I2454" s="4"/>
      <c r="J2454" s="18"/>
      <c r="K2454" s="4"/>
      <c r="L2454" s="19"/>
      <c r="M2454" s="20"/>
    </row>
    <row r="2455">
      <c r="A2455" s="6"/>
      <c r="B2455" s="6"/>
      <c r="C2455" s="4"/>
      <c r="D2455" s="36">
        <v>0.0</v>
      </c>
      <c r="E2455" s="4"/>
      <c r="F2455" s="4"/>
      <c r="G2455" s="4"/>
      <c r="H2455" s="4"/>
      <c r="I2455" s="4"/>
      <c r="J2455" s="18"/>
      <c r="K2455" s="4"/>
      <c r="L2455" s="19"/>
      <c r="M2455" s="20"/>
    </row>
    <row r="2456">
      <c r="A2456" s="6"/>
      <c r="B2456" s="6"/>
      <c r="C2456" s="4"/>
      <c r="D2456" s="36">
        <v>0.0</v>
      </c>
      <c r="E2456" s="4"/>
      <c r="F2456" s="4"/>
      <c r="G2456" s="4"/>
      <c r="H2456" s="4"/>
      <c r="I2456" s="4"/>
      <c r="J2456" s="18"/>
      <c r="K2456" s="4"/>
      <c r="L2456" s="19"/>
      <c r="M2456" s="20"/>
    </row>
    <row r="2457">
      <c r="A2457" s="6"/>
      <c r="B2457" s="6"/>
      <c r="C2457" s="4"/>
      <c r="D2457" s="36">
        <v>0.0</v>
      </c>
      <c r="E2457" s="4"/>
      <c r="F2457" s="4"/>
      <c r="G2457" s="4"/>
      <c r="H2457" s="4"/>
      <c r="I2457" s="4"/>
      <c r="J2457" s="18"/>
      <c r="K2457" s="4"/>
      <c r="L2457" s="19"/>
      <c r="M2457" s="20"/>
    </row>
    <row r="2458">
      <c r="A2458" s="6"/>
      <c r="B2458" s="6"/>
      <c r="C2458" s="4"/>
      <c r="D2458" s="36">
        <v>0.0</v>
      </c>
      <c r="E2458" s="4"/>
      <c r="F2458" s="4"/>
      <c r="G2458" s="4"/>
      <c r="H2458" s="4"/>
      <c r="I2458" s="4"/>
      <c r="J2458" s="18"/>
      <c r="K2458" s="4"/>
      <c r="L2458" s="19"/>
      <c r="M2458" s="20"/>
    </row>
    <row r="2459">
      <c r="A2459" s="6"/>
      <c r="B2459" s="6"/>
      <c r="C2459" s="4"/>
      <c r="D2459" s="36">
        <v>0.0</v>
      </c>
      <c r="E2459" s="4"/>
      <c r="F2459" s="4"/>
      <c r="G2459" s="4"/>
      <c r="H2459" s="4"/>
      <c r="I2459" s="4"/>
      <c r="J2459" s="18"/>
      <c r="K2459" s="4"/>
      <c r="L2459" s="19"/>
      <c r="M2459" s="20"/>
    </row>
    <row r="2460">
      <c r="A2460" s="6"/>
      <c r="B2460" s="6"/>
      <c r="C2460" s="4"/>
      <c r="D2460" s="36">
        <v>0.0</v>
      </c>
      <c r="E2460" s="4"/>
      <c r="F2460" s="4"/>
      <c r="G2460" s="4"/>
      <c r="H2460" s="4"/>
      <c r="I2460" s="4"/>
      <c r="J2460" s="18"/>
      <c r="K2460" s="4"/>
      <c r="L2460" s="19"/>
      <c r="M2460" s="20"/>
    </row>
    <row r="2461">
      <c r="A2461" s="6"/>
      <c r="B2461" s="6"/>
      <c r="C2461" s="4"/>
      <c r="D2461" s="36">
        <v>0.0</v>
      </c>
      <c r="E2461" s="4"/>
      <c r="F2461" s="4"/>
      <c r="G2461" s="4"/>
      <c r="H2461" s="4"/>
      <c r="I2461" s="4"/>
      <c r="J2461" s="18"/>
      <c r="K2461" s="4"/>
      <c r="L2461" s="19"/>
      <c r="M2461" s="20"/>
    </row>
    <row r="2462">
      <c r="A2462" s="6"/>
      <c r="B2462" s="6"/>
      <c r="C2462" s="4"/>
      <c r="D2462" s="36">
        <v>0.0</v>
      </c>
      <c r="E2462" s="4"/>
      <c r="F2462" s="4"/>
      <c r="G2462" s="4"/>
      <c r="H2462" s="4"/>
      <c r="I2462" s="4"/>
      <c r="J2462" s="18"/>
      <c r="K2462" s="4"/>
      <c r="L2462" s="19"/>
      <c r="M2462" s="20"/>
    </row>
    <row r="2463">
      <c r="A2463" s="6"/>
      <c r="B2463" s="6"/>
      <c r="C2463" s="4"/>
      <c r="D2463" s="36">
        <v>0.0</v>
      </c>
      <c r="E2463" s="4"/>
      <c r="F2463" s="4"/>
      <c r="G2463" s="4"/>
      <c r="H2463" s="4"/>
      <c r="I2463" s="4"/>
      <c r="J2463" s="18"/>
      <c r="K2463" s="4"/>
      <c r="L2463" s="19"/>
      <c r="M2463" s="20"/>
    </row>
    <row r="2464">
      <c r="A2464" s="6"/>
      <c r="B2464" s="6"/>
      <c r="C2464" s="4"/>
      <c r="D2464" s="36">
        <v>0.0</v>
      </c>
      <c r="E2464" s="4"/>
      <c r="F2464" s="4"/>
      <c r="G2464" s="4"/>
      <c r="H2464" s="4"/>
      <c r="I2464" s="4"/>
      <c r="J2464" s="18"/>
      <c r="K2464" s="4"/>
      <c r="L2464" s="19"/>
      <c r="M2464" s="20"/>
    </row>
    <row r="2465">
      <c r="A2465" s="6"/>
      <c r="B2465" s="6"/>
      <c r="C2465" s="4"/>
      <c r="D2465" s="36">
        <v>0.0</v>
      </c>
      <c r="E2465" s="4"/>
      <c r="F2465" s="4"/>
      <c r="G2465" s="4"/>
      <c r="H2465" s="4"/>
      <c r="I2465" s="4"/>
      <c r="J2465" s="18"/>
      <c r="K2465" s="4"/>
      <c r="L2465" s="19"/>
      <c r="M2465" s="20"/>
    </row>
    <row r="2466">
      <c r="A2466" s="6"/>
      <c r="B2466" s="6"/>
      <c r="C2466" s="4"/>
      <c r="D2466" s="36">
        <v>0.0</v>
      </c>
      <c r="E2466" s="4"/>
      <c r="F2466" s="4"/>
      <c r="G2466" s="4"/>
      <c r="H2466" s="4"/>
      <c r="I2466" s="4"/>
      <c r="J2466" s="18"/>
      <c r="K2466" s="4"/>
      <c r="L2466" s="19"/>
      <c r="M2466" s="20"/>
    </row>
    <row r="2467">
      <c r="A2467" s="6"/>
      <c r="B2467" s="6"/>
      <c r="C2467" s="4"/>
      <c r="D2467" s="36">
        <v>0.0</v>
      </c>
      <c r="E2467" s="4"/>
      <c r="F2467" s="4"/>
      <c r="G2467" s="4"/>
      <c r="H2467" s="4"/>
      <c r="I2467" s="4"/>
      <c r="J2467" s="18"/>
      <c r="K2467" s="4"/>
      <c r="L2467" s="19"/>
      <c r="M2467" s="20"/>
    </row>
    <row r="2468">
      <c r="A2468" s="6"/>
      <c r="B2468" s="6"/>
      <c r="C2468" s="4"/>
      <c r="D2468" s="36">
        <v>0.0</v>
      </c>
      <c r="E2468" s="4"/>
      <c r="F2468" s="4"/>
      <c r="G2468" s="4"/>
      <c r="H2468" s="4"/>
      <c r="I2468" s="4"/>
      <c r="J2468" s="18"/>
      <c r="K2468" s="4"/>
      <c r="L2468" s="19"/>
      <c r="M2468" s="20"/>
    </row>
    <row r="2469">
      <c r="A2469" s="6"/>
      <c r="B2469" s="6"/>
      <c r="C2469" s="4"/>
      <c r="D2469" s="36">
        <v>0.0</v>
      </c>
      <c r="E2469" s="4"/>
      <c r="F2469" s="4"/>
      <c r="G2469" s="4"/>
      <c r="H2469" s="4"/>
      <c r="I2469" s="4"/>
      <c r="J2469" s="18"/>
      <c r="K2469" s="4"/>
      <c r="L2469" s="19"/>
      <c r="M2469" s="20"/>
    </row>
    <row r="2470">
      <c r="A2470" s="6"/>
      <c r="B2470" s="6"/>
      <c r="C2470" s="4"/>
      <c r="D2470" s="36">
        <v>0.0</v>
      </c>
      <c r="E2470" s="4"/>
      <c r="F2470" s="4"/>
      <c r="G2470" s="4"/>
      <c r="H2470" s="4"/>
      <c r="I2470" s="4"/>
      <c r="J2470" s="18"/>
      <c r="K2470" s="4"/>
      <c r="L2470" s="19"/>
      <c r="M2470" s="20"/>
    </row>
    <row r="2471">
      <c r="A2471" s="6"/>
      <c r="B2471" s="6"/>
      <c r="C2471" s="4"/>
      <c r="D2471" s="36">
        <v>0.0</v>
      </c>
      <c r="E2471" s="4"/>
      <c r="F2471" s="4"/>
      <c r="G2471" s="4"/>
      <c r="H2471" s="4"/>
      <c r="I2471" s="4"/>
      <c r="J2471" s="18"/>
      <c r="K2471" s="4"/>
      <c r="L2471" s="19"/>
      <c r="M2471" s="20"/>
    </row>
    <row r="2472">
      <c r="A2472" s="6"/>
      <c r="B2472" s="6"/>
      <c r="C2472" s="4"/>
      <c r="D2472" s="36">
        <v>0.0</v>
      </c>
      <c r="E2472" s="4"/>
      <c r="F2472" s="4"/>
      <c r="G2472" s="4"/>
      <c r="H2472" s="4"/>
      <c r="I2472" s="4"/>
      <c r="J2472" s="18"/>
      <c r="K2472" s="4"/>
      <c r="L2472" s="19"/>
      <c r="M2472" s="20"/>
    </row>
    <row r="2473">
      <c r="A2473" s="6"/>
      <c r="B2473" s="6"/>
      <c r="C2473" s="4"/>
      <c r="D2473" s="36">
        <v>0.0</v>
      </c>
      <c r="E2473" s="4"/>
      <c r="F2473" s="4"/>
      <c r="G2473" s="4"/>
      <c r="H2473" s="4"/>
      <c r="I2473" s="4"/>
      <c r="J2473" s="18"/>
      <c r="K2473" s="4"/>
      <c r="L2473" s="19"/>
      <c r="M2473" s="20"/>
    </row>
    <row r="2474">
      <c r="A2474" s="6"/>
      <c r="B2474" s="6"/>
      <c r="C2474" s="4"/>
      <c r="D2474" s="36">
        <v>0.0</v>
      </c>
      <c r="E2474" s="4"/>
      <c r="F2474" s="4"/>
      <c r="G2474" s="4"/>
      <c r="H2474" s="4"/>
      <c r="I2474" s="4"/>
      <c r="J2474" s="18"/>
      <c r="K2474" s="4"/>
      <c r="L2474" s="19"/>
      <c r="M2474" s="20"/>
    </row>
    <row r="2475">
      <c r="A2475" s="6"/>
      <c r="B2475" s="6"/>
      <c r="C2475" s="4"/>
      <c r="D2475" s="36">
        <v>0.0</v>
      </c>
      <c r="E2475" s="4"/>
      <c r="F2475" s="4"/>
      <c r="G2475" s="4"/>
      <c r="H2475" s="4"/>
      <c r="I2475" s="4"/>
      <c r="J2475" s="18"/>
      <c r="K2475" s="4"/>
      <c r="L2475" s="19"/>
      <c r="M2475" s="20"/>
    </row>
    <row r="2476">
      <c r="A2476" s="6"/>
      <c r="B2476" s="6"/>
      <c r="C2476" s="4"/>
      <c r="D2476" s="36">
        <v>0.0</v>
      </c>
      <c r="E2476" s="4"/>
      <c r="F2476" s="4"/>
      <c r="G2476" s="4"/>
      <c r="H2476" s="4"/>
      <c r="I2476" s="4"/>
      <c r="J2476" s="18"/>
      <c r="K2476" s="4"/>
      <c r="L2476" s="19"/>
      <c r="M2476" s="20"/>
    </row>
    <row r="2477">
      <c r="A2477" s="6"/>
      <c r="B2477" s="6"/>
      <c r="C2477" s="4"/>
      <c r="D2477" s="36">
        <v>0.0</v>
      </c>
      <c r="E2477" s="4"/>
      <c r="F2477" s="4"/>
      <c r="G2477" s="4"/>
      <c r="H2477" s="4"/>
      <c r="I2477" s="4"/>
      <c r="J2477" s="18"/>
      <c r="K2477" s="4"/>
      <c r="L2477" s="19"/>
      <c r="M2477" s="20"/>
    </row>
    <row r="2478">
      <c r="A2478" s="6"/>
      <c r="B2478" s="6"/>
      <c r="C2478" s="4"/>
      <c r="D2478" s="36">
        <v>0.0</v>
      </c>
      <c r="E2478" s="4"/>
      <c r="F2478" s="4"/>
      <c r="G2478" s="4"/>
      <c r="H2478" s="4"/>
      <c r="I2478" s="4"/>
      <c r="J2478" s="18"/>
      <c r="K2478" s="4"/>
      <c r="L2478" s="19"/>
      <c r="M2478" s="20"/>
    </row>
    <row r="2479">
      <c r="A2479" s="6"/>
      <c r="B2479" s="6"/>
      <c r="C2479" s="4"/>
      <c r="D2479" s="36">
        <v>0.0</v>
      </c>
      <c r="E2479" s="4"/>
      <c r="F2479" s="4"/>
      <c r="G2479" s="4"/>
      <c r="H2479" s="4"/>
      <c r="I2479" s="4"/>
      <c r="J2479" s="18"/>
      <c r="K2479" s="4"/>
      <c r="L2479" s="19"/>
      <c r="M2479" s="20"/>
    </row>
    <row r="2480">
      <c r="A2480" s="6"/>
      <c r="B2480" s="6"/>
      <c r="C2480" s="4"/>
      <c r="D2480" s="36">
        <v>0.0</v>
      </c>
      <c r="E2480" s="4"/>
      <c r="F2480" s="4"/>
      <c r="G2480" s="4"/>
      <c r="H2480" s="4"/>
      <c r="I2480" s="4"/>
      <c r="J2480" s="18"/>
      <c r="K2480" s="4"/>
      <c r="L2480" s="19"/>
      <c r="M2480" s="20"/>
    </row>
    <row r="2481">
      <c r="A2481" s="6"/>
      <c r="B2481" s="6"/>
      <c r="C2481" s="4"/>
      <c r="D2481" s="36">
        <v>0.0</v>
      </c>
      <c r="E2481" s="4"/>
      <c r="F2481" s="4"/>
      <c r="G2481" s="4"/>
      <c r="H2481" s="4"/>
      <c r="I2481" s="4"/>
      <c r="J2481" s="18"/>
      <c r="K2481" s="4"/>
      <c r="L2481" s="19"/>
      <c r="M2481" s="20"/>
    </row>
    <row r="2482">
      <c r="A2482" s="6"/>
      <c r="B2482" s="6"/>
      <c r="C2482" s="4"/>
      <c r="D2482" s="36">
        <v>0.0</v>
      </c>
      <c r="E2482" s="4"/>
      <c r="F2482" s="4"/>
      <c r="G2482" s="4"/>
      <c r="H2482" s="4"/>
      <c r="I2482" s="4"/>
      <c r="J2482" s="18"/>
      <c r="K2482" s="4"/>
      <c r="L2482" s="19"/>
      <c r="M2482" s="20"/>
    </row>
    <row r="2483">
      <c r="A2483" s="6"/>
      <c r="B2483" s="6"/>
      <c r="C2483" s="4"/>
      <c r="D2483" s="36">
        <v>0.0</v>
      </c>
      <c r="E2483" s="4"/>
      <c r="F2483" s="4"/>
      <c r="G2483" s="4"/>
      <c r="H2483" s="4"/>
      <c r="I2483" s="4"/>
      <c r="J2483" s="18"/>
      <c r="K2483" s="4"/>
      <c r="L2483" s="19"/>
      <c r="M2483" s="20"/>
    </row>
    <row r="2484">
      <c r="A2484" s="6"/>
      <c r="B2484" s="6"/>
      <c r="C2484" s="4"/>
      <c r="D2484" s="36">
        <v>0.0</v>
      </c>
      <c r="E2484" s="4"/>
      <c r="F2484" s="4"/>
      <c r="G2484" s="4"/>
      <c r="H2484" s="4"/>
      <c r="I2484" s="4"/>
      <c r="J2484" s="18"/>
      <c r="K2484" s="4"/>
      <c r="L2484" s="19"/>
      <c r="M2484" s="20"/>
    </row>
    <row r="2485">
      <c r="A2485" s="6"/>
      <c r="B2485" s="6"/>
      <c r="C2485" s="4"/>
      <c r="D2485" s="36">
        <v>0.0</v>
      </c>
      <c r="E2485" s="4"/>
      <c r="F2485" s="4"/>
      <c r="G2485" s="4"/>
      <c r="H2485" s="4"/>
      <c r="I2485" s="4"/>
      <c r="J2485" s="18"/>
      <c r="K2485" s="4"/>
      <c r="L2485" s="19"/>
      <c r="M2485" s="20"/>
    </row>
    <row r="2486">
      <c r="A2486" s="6"/>
      <c r="B2486" s="6"/>
      <c r="C2486" s="4"/>
      <c r="D2486" s="36">
        <v>0.0</v>
      </c>
      <c r="E2486" s="4"/>
      <c r="F2486" s="4"/>
      <c r="G2486" s="4"/>
      <c r="H2486" s="4"/>
      <c r="I2486" s="4"/>
      <c r="J2486" s="18"/>
      <c r="K2486" s="4"/>
      <c r="L2486" s="19"/>
      <c r="M2486" s="20"/>
    </row>
    <row r="2487">
      <c r="A2487" s="6"/>
      <c r="B2487" s="6"/>
      <c r="C2487" s="4"/>
      <c r="D2487" s="36">
        <v>0.0</v>
      </c>
      <c r="E2487" s="4"/>
      <c r="F2487" s="4"/>
      <c r="G2487" s="4"/>
      <c r="H2487" s="4"/>
      <c r="I2487" s="4"/>
      <c r="J2487" s="18"/>
      <c r="K2487" s="4"/>
      <c r="L2487" s="19"/>
      <c r="M2487" s="20"/>
    </row>
    <row r="2488">
      <c r="A2488" s="6"/>
      <c r="B2488" s="6"/>
      <c r="C2488" s="4"/>
      <c r="D2488" s="36">
        <v>0.0</v>
      </c>
      <c r="E2488" s="4"/>
      <c r="F2488" s="4"/>
      <c r="G2488" s="4"/>
      <c r="H2488" s="4"/>
      <c r="I2488" s="4"/>
      <c r="J2488" s="18"/>
      <c r="K2488" s="4"/>
      <c r="L2488" s="19"/>
      <c r="M2488" s="20"/>
    </row>
    <row r="2489">
      <c r="A2489" s="6"/>
      <c r="B2489" s="6"/>
      <c r="C2489" s="4"/>
      <c r="D2489" s="36">
        <v>0.0</v>
      </c>
      <c r="E2489" s="4"/>
      <c r="F2489" s="4"/>
      <c r="G2489" s="4"/>
      <c r="H2489" s="4"/>
      <c r="I2489" s="4"/>
      <c r="J2489" s="18"/>
      <c r="K2489" s="4"/>
      <c r="L2489" s="19"/>
      <c r="M2489" s="20"/>
    </row>
    <row r="2490">
      <c r="A2490" s="6"/>
      <c r="B2490" s="6"/>
      <c r="C2490" s="4"/>
      <c r="D2490" s="36">
        <v>0.0</v>
      </c>
      <c r="E2490" s="4"/>
      <c r="F2490" s="4"/>
      <c r="G2490" s="4"/>
      <c r="H2490" s="4"/>
      <c r="I2490" s="4"/>
      <c r="J2490" s="18"/>
      <c r="K2490" s="4"/>
      <c r="L2490" s="19"/>
      <c r="M2490" s="20"/>
    </row>
    <row r="2491">
      <c r="A2491" s="6"/>
      <c r="B2491" s="6"/>
      <c r="C2491" s="4"/>
      <c r="D2491" s="36">
        <v>0.0</v>
      </c>
      <c r="E2491" s="4"/>
      <c r="F2491" s="4"/>
      <c r="G2491" s="4"/>
      <c r="H2491" s="4"/>
      <c r="I2491" s="4"/>
      <c r="J2491" s="18"/>
      <c r="K2491" s="4"/>
      <c r="L2491" s="19"/>
      <c r="M2491" s="20"/>
    </row>
    <row r="2492">
      <c r="A2492" s="6"/>
      <c r="B2492" s="6"/>
      <c r="C2492" s="4"/>
      <c r="D2492" s="36">
        <v>0.0</v>
      </c>
      <c r="E2492" s="4"/>
      <c r="F2492" s="4"/>
      <c r="G2492" s="4"/>
      <c r="H2492" s="4"/>
      <c r="I2492" s="4"/>
      <c r="J2492" s="18"/>
      <c r="K2492" s="4"/>
      <c r="L2492" s="19"/>
      <c r="M2492" s="20"/>
    </row>
    <row r="2493">
      <c r="A2493" s="6"/>
      <c r="B2493" s="6"/>
      <c r="C2493" s="4"/>
      <c r="D2493" s="36">
        <v>0.0</v>
      </c>
      <c r="E2493" s="4"/>
      <c r="F2493" s="4"/>
      <c r="G2493" s="4"/>
      <c r="H2493" s="4"/>
      <c r="I2493" s="4"/>
      <c r="J2493" s="18"/>
      <c r="K2493" s="4"/>
      <c r="L2493" s="19"/>
      <c r="M2493" s="20"/>
    </row>
    <row r="2494">
      <c r="A2494" s="6"/>
      <c r="B2494" s="6"/>
      <c r="C2494" s="4"/>
      <c r="D2494" s="36">
        <v>0.0</v>
      </c>
      <c r="E2494" s="4"/>
      <c r="F2494" s="4"/>
      <c r="G2494" s="4"/>
      <c r="H2494" s="4"/>
      <c r="I2494" s="4"/>
      <c r="J2494" s="18"/>
      <c r="K2494" s="4"/>
      <c r="L2494" s="19"/>
      <c r="M2494" s="20"/>
    </row>
    <row r="2495">
      <c r="A2495" s="6"/>
      <c r="B2495" s="6"/>
      <c r="C2495" s="4"/>
      <c r="D2495" s="36">
        <v>0.0</v>
      </c>
      <c r="E2495" s="4"/>
      <c r="F2495" s="4"/>
      <c r="G2495" s="4"/>
      <c r="H2495" s="4"/>
      <c r="I2495" s="4"/>
      <c r="J2495" s="18"/>
      <c r="K2495" s="4"/>
      <c r="L2495" s="19"/>
      <c r="M2495" s="20"/>
    </row>
    <row r="2496">
      <c r="A2496" s="6"/>
      <c r="B2496" s="6"/>
      <c r="C2496" s="4"/>
      <c r="D2496" s="36">
        <v>0.0</v>
      </c>
      <c r="E2496" s="4"/>
      <c r="F2496" s="4"/>
      <c r="G2496" s="4"/>
      <c r="H2496" s="4"/>
      <c r="I2496" s="4"/>
      <c r="J2496" s="18"/>
      <c r="K2496" s="4"/>
      <c r="L2496" s="19"/>
      <c r="M2496" s="20"/>
    </row>
    <row r="2497">
      <c r="A2497" s="6"/>
      <c r="B2497" s="6"/>
      <c r="C2497" s="4"/>
      <c r="D2497" s="36">
        <v>0.0</v>
      </c>
      <c r="E2497" s="4"/>
      <c r="F2497" s="4"/>
      <c r="G2497" s="4"/>
      <c r="H2497" s="4"/>
      <c r="I2497" s="4"/>
      <c r="J2497" s="18"/>
      <c r="K2497" s="4"/>
      <c r="L2497" s="19"/>
      <c r="M2497" s="20"/>
    </row>
    <row r="2498">
      <c r="A2498" s="6"/>
      <c r="B2498" s="6"/>
      <c r="C2498" s="4"/>
      <c r="D2498" s="36">
        <v>0.0</v>
      </c>
      <c r="E2498" s="4"/>
      <c r="F2498" s="4"/>
      <c r="G2498" s="4"/>
      <c r="H2498" s="4"/>
      <c r="I2498" s="4"/>
      <c r="J2498" s="18"/>
      <c r="K2498" s="4"/>
      <c r="L2498" s="19"/>
      <c r="M2498" s="20"/>
    </row>
    <row r="2499">
      <c r="A2499" s="6"/>
      <c r="B2499" s="6"/>
      <c r="C2499" s="4"/>
      <c r="D2499" s="36">
        <v>0.0</v>
      </c>
      <c r="E2499" s="4"/>
      <c r="F2499" s="4"/>
      <c r="G2499" s="4"/>
      <c r="H2499" s="4"/>
      <c r="I2499" s="4"/>
      <c r="J2499" s="18"/>
      <c r="K2499" s="4"/>
      <c r="L2499" s="19"/>
      <c r="M2499" s="20"/>
    </row>
    <row r="2500">
      <c r="A2500" s="6"/>
      <c r="B2500" s="6"/>
      <c r="C2500" s="4"/>
      <c r="D2500" s="36">
        <v>0.0</v>
      </c>
      <c r="E2500" s="4"/>
      <c r="F2500" s="4"/>
      <c r="G2500" s="4"/>
      <c r="H2500" s="4"/>
      <c r="I2500" s="4"/>
      <c r="J2500" s="18"/>
      <c r="K2500" s="4"/>
      <c r="L2500" s="19"/>
      <c r="M2500" s="20"/>
    </row>
    <row r="2501">
      <c r="A2501" s="6"/>
      <c r="B2501" s="6"/>
      <c r="C2501" s="4"/>
      <c r="D2501" s="36">
        <v>0.0</v>
      </c>
      <c r="E2501" s="4"/>
      <c r="F2501" s="4"/>
      <c r="G2501" s="4"/>
      <c r="H2501" s="4"/>
      <c r="I2501" s="4"/>
      <c r="J2501" s="18"/>
      <c r="K2501" s="4"/>
      <c r="L2501" s="19"/>
      <c r="M2501" s="20"/>
    </row>
    <row r="2502">
      <c r="A2502" s="6"/>
      <c r="B2502" s="6"/>
      <c r="C2502" s="4"/>
      <c r="D2502" s="36">
        <v>0.0</v>
      </c>
      <c r="E2502" s="4"/>
      <c r="F2502" s="4"/>
      <c r="G2502" s="4"/>
      <c r="H2502" s="4"/>
      <c r="I2502" s="4"/>
      <c r="J2502" s="18"/>
      <c r="K2502" s="4"/>
      <c r="L2502" s="19"/>
      <c r="M2502" s="20"/>
    </row>
    <row r="2503">
      <c r="A2503" s="6"/>
      <c r="B2503" s="6"/>
      <c r="C2503" s="4"/>
      <c r="D2503" s="36">
        <v>0.0</v>
      </c>
      <c r="E2503" s="4"/>
      <c r="F2503" s="4"/>
      <c r="G2503" s="4"/>
      <c r="H2503" s="4"/>
      <c r="I2503" s="4"/>
      <c r="J2503" s="18"/>
      <c r="K2503" s="4"/>
      <c r="L2503" s="19"/>
      <c r="M2503" s="20"/>
    </row>
    <row r="2504">
      <c r="A2504" s="6"/>
      <c r="B2504" s="6"/>
      <c r="C2504" s="4"/>
      <c r="D2504" s="36">
        <v>0.0</v>
      </c>
      <c r="E2504" s="4"/>
      <c r="F2504" s="4"/>
      <c r="G2504" s="4"/>
      <c r="H2504" s="4"/>
      <c r="I2504" s="4"/>
      <c r="J2504" s="18"/>
      <c r="K2504" s="4"/>
      <c r="L2504" s="19"/>
      <c r="M2504" s="20"/>
    </row>
    <row r="2505">
      <c r="A2505" s="6"/>
      <c r="B2505" s="6"/>
      <c r="C2505" s="4"/>
      <c r="D2505" s="36">
        <v>0.0</v>
      </c>
      <c r="E2505" s="4"/>
      <c r="F2505" s="4"/>
      <c r="G2505" s="4"/>
      <c r="H2505" s="4"/>
      <c r="I2505" s="4"/>
      <c r="J2505" s="18"/>
      <c r="K2505" s="4"/>
      <c r="L2505" s="19"/>
      <c r="M2505" s="20"/>
    </row>
    <row r="2506">
      <c r="A2506" s="6"/>
      <c r="B2506" s="6"/>
      <c r="C2506" s="4"/>
      <c r="D2506" s="36">
        <v>0.0</v>
      </c>
      <c r="E2506" s="4"/>
      <c r="F2506" s="4"/>
      <c r="G2506" s="4"/>
      <c r="H2506" s="4"/>
      <c r="I2506" s="4"/>
      <c r="J2506" s="18"/>
      <c r="K2506" s="4"/>
      <c r="L2506" s="19"/>
      <c r="M2506" s="20"/>
    </row>
    <row r="2507">
      <c r="A2507" s="6"/>
      <c r="B2507" s="6"/>
      <c r="C2507" s="4"/>
      <c r="D2507" s="36">
        <v>0.0</v>
      </c>
      <c r="E2507" s="4"/>
      <c r="F2507" s="4"/>
      <c r="G2507" s="4"/>
      <c r="H2507" s="4"/>
      <c r="I2507" s="4"/>
      <c r="J2507" s="18"/>
      <c r="K2507" s="4"/>
      <c r="L2507" s="19"/>
      <c r="M2507" s="20"/>
    </row>
    <row r="2508">
      <c r="A2508" s="6"/>
      <c r="B2508" s="6"/>
      <c r="C2508" s="4"/>
      <c r="D2508" s="36">
        <v>0.0</v>
      </c>
      <c r="E2508" s="4"/>
      <c r="F2508" s="4"/>
      <c r="G2508" s="4"/>
      <c r="H2508" s="4"/>
      <c r="I2508" s="4"/>
      <c r="J2508" s="18"/>
      <c r="K2508" s="4"/>
      <c r="L2508" s="19"/>
      <c r="M2508" s="20"/>
    </row>
    <row r="2509">
      <c r="A2509" s="6"/>
      <c r="B2509" s="6"/>
      <c r="C2509" s="4"/>
      <c r="D2509" s="36">
        <v>0.0</v>
      </c>
      <c r="E2509" s="4"/>
      <c r="F2509" s="4"/>
      <c r="G2509" s="4"/>
      <c r="H2509" s="4"/>
      <c r="I2509" s="4"/>
      <c r="J2509" s="18"/>
      <c r="K2509" s="4"/>
      <c r="L2509" s="19"/>
      <c r="M2509" s="20"/>
    </row>
    <row r="2510">
      <c r="A2510" s="6"/>
      <c r="B2510" s="6"/>
      <c r="C2510" s="4"/>
      <c r="D2510" s="36">
        <v>0.0</v>
      </c>
      <c r="E2510" s="4"/>
      <c r="F2510" s="4"/>
      <c r="G2510" s="4"/>
      <c r="H2510" s="4"/>
      <c r="I2510" s="4"/>
      <c r="J2510" s="18"/>
      <c r="K2510" s="4"/>
      <c r="L2510" s="19"/>
      <c r="M2510" s="20"/>
    </row>
    <row r="2511">
      <c r="A2511" s="6"/>
      <c r="B2511" s="6"/>
      <c r="C2511" s="4"/>
      <c r="D2511" s="36">
        <v>0.0</v>
      </c>
      <c r="E2511" s="4"/>
      <c r="F2511" s="4"/>
      <c r="G2511" s="4"/>
      <c r="H2511" s="4"/>
      <c r="I2511" s="4"/>
      <c r="J2511" s="18"/>
      <c r="K2511" s="4"/>
      <c r="L2511" s="19"/>
      <c r="M2511" s="20"/>
    </row>
    <row r="2512">
      <c r="A2512" s="6"/>
      <c r="B2512" s="6"/>
      <c r="C2512" s="4"/>
      <c r="D2512" s="36">
        <v>0.0</v>
      </c>
      <c r="E2512" s="4"/>
      <c r="F2512" s="4"/>
      <c r="G2512" s="4"/>
      <c r="H2512" s="4"/>
      <c r="I2512" s="4"/>
      <c r="J2512" s="18"/>
      <c r="K2512" s="4"/>
      <c r="L2512" s="19"/>
      <c r="M2512" s="20"/>
    </row>
    <row r="2513">
      <c r="A2513" s="6"/>
      <c r="B2513" s="6"/>
      <c r="C2513" s="4"/>
      <c r="D2513" s="36">
        <v>0.0</v>
      </c>
      <c r="E2513" s="4"/>
      <c r="F2513" s="4"/>
      <c r="G2513" s="4"/>
      <c r="H2513" s="4"/>
      <c r="I2513" s="4"/>
      <c r="J2513" s="18"/>
      <c r="K2513" s="4"/>
      <c r="L2513" s="19"/>
      <c r="M2513" s="20"/>
    </row>
    <row r="2514">
      <c r="A2514" s="6"/>
      <c r="B2514" s="6"/>
      <c r="C2514" s="4"/>
      <c r="D2514" s="36">
        <v>0.0</v>
      </c>
      <c r="E2514" s="4"/>
      <c r="F2514" s="4"/>
      <c r="G2514" s="4"/>
      <c r="H2514" s="4"/>
      <c r="I2514" s="4"/>
      <c r="J2514" s="18"/>
      <c r="K2514" s="4"/>
      <c r="L2514" s="19"/>
      <c r="M2514" s="20"/>
    </row>
    <row r="2515">
      <c r="A2515" s="6"/>
      <c r="B2515" s="6"/>
      <c r="C2515" s="4"/>
      <c r="D2515" s="36">
        <v>0.0</v>
      </c>
      <c r="E2515" s="4"/>
      <c r="F2515" s="4"/>
      <c r="G2515" s="4"/>
      <c r="H2515" s="4"/>
      <c r="I2515" s="4"/>
      <c r="J2515" s="18"/>
      <c r="K2515" s="4"/>
      <c r="L2515" s="19"/>
      <c r="M2515" s="20"/>
    </row>
    <row r="2516">
      <c r="A2516" s="6"/>
      <c r="B2516" s="6"/>
      <c r="C2516" s="4"/>
      <c r="D2516" s="36">
        <v>0.0</v>
      </c>
      <c r="E2516" s="4"/>
      <c r="F2516" s="4"/>
      <c r="G2516" s="4"/>
      <c r="H2516" s="4"/>
      <c r="I2516" s="4"/>
      <c r="J2516" s="18"/>
      <c r="K2516" s="4"/>
      <c r="L2516" s="19"/>
      <c r="M2516" s="20"/>
    </row>
    <row r="2517">
      <c r="A2517" s="6"/>
      <c r="B2517" s="6"/>
      <c r="C2517" s="4"/>
      <c r="D2517" s="36">
        <v>0.0</v>
      </c>
      <c r="E2517" s="4"/>
      <c r="F2517" s="4"/>
      <c r="G2517" s="4"/>
      <c r="H2517" s="4"/>
      <c r="I2517" s="4"/>
      <c r="J2517" s="18"/>
      <c r="K2517" s="4"/>
      <c r="L2517" s="19"/>
      <c r="M2517" s="20"/>
    </row>
    <row r="2518">
      <c r="A2518" s="6"/>
      <c r="B2518" s="6"/>
      <c r="C2518" s="4"/>
      <c r="D2518" s="36">
        <v>0.0</v>
      </c>
      <c r="E2518" s="4"/>
      <c r="F2518" s="4"/>
      <c r="G2518" s="4"/>
      <c r="H2518" s="4"/>
      <c r="I2518" s="4"/>
      <c r="J2518" s="18"/>
      <c r="K2518" s="4"/>
      <c r="L2518" s="19"/>
      <c r="M2518" s="20"/>
    </row>
    <row r="2519">
      <c r="A2519" s="6"/>
      <c r="B2519" s="6"/>
      <c r="C2519" s="4"/>
      <c r="D2519" s="36">
        <v>0.0</v>
      </c>
      <c r="E2519" s="4"/>
      <c r="F2519" s="4"/>
      <c r="G2519" s="4"/>
      <c r="H2519" s="4"/>
      <c r="I2519" s="4"/>
      <c r="J2519" s="18"/>
      <c r="K2519" s="4"/>
      <c r="L2519" s="19"/>
      <c r="M2519" s="20"/>
    </row>
    <row r="2520">
      <c r="A2520" s="6"/>
      <c r="B2520" s="6"/>
      <c r="C2520" s="4"/>
      <c r="D2520" s="36">
        <v>0.0</v>
      </c>
      <c r="E2520" s="4"/>
      <c r="F2520" s="4"/>
      <c r="G2520" s="4"/>
      <c r="H2520" s="4"/>
      <c r="I2520" s="4"/>
      <c r="J2520" s="18"/>
      <c r="K2520" s="4"/>
      <c r="L2520" s="19"/>
      <c r="M2520" s="20"/>
    </row>
    <row r="2521">
      <c r="A2521" s="6"/>
      <c r="B2521" s="6"/>
      <c r="C2521" s="4"/>
      <c r="D2521" s="36">
        <v>0.0</v>
      </c>
      <c r="E2521" s="4"/>
      <c r="F2521" s="4"/>
      <c r="G2521" s="4"/>
      <c r="H2521" s="4"/>
      <c r="I2521" s="4"/>
      <c r="J2521" s="18"/>
      <c r="K2521" s="4"/>
      <c r="L2521" s="19"/>
      <c r="M2521" s="20"/>
    </row>
    <row r="2522">
      <c r="A2522" s="6"/>
      <c r="B2522" s="6"/>
      <c r="C2522" s="4"/>
      <c r="D2522" s="36">
        <v>0.0</v>
      </c>
      <c r="E2522" s="4"/>
      <c r="F2522" s="4"/>
      <c r="G2522" s="4"/>
      <c r="H2522" s="4"/>
      <c r="I2522" s="4"/>
      <c r="J2522" s="18"/>
      <c r="K2522" s="4"/>
      <c r="L2522" s="19"/>
      <c r="M2522" s="20"/>
    </row>
    <row r="2523">
      <c r="A2523" s="6"/>
      <c r="B2523" s="6"/>
      <c r="C2523" s="4"/>
      <c r="D2523" s="36">
        <v>0.0</v>
      </c>
      <c r="E2523" s="4"/>
      <c r="F2523" s="4"/>
      <c r="G2523" s="4"/>
      <c r="H2523" s="4"/>
      <c r="I2523" s="4"/>
      <c r="J2523" s="18"/>
      <c r="K2523" s="4"/>
      <c r="L2523" s="19"/>
      <c r="M2523" s="20"/>
    </row>
    <row r="2524">
      <c r="A2524" s="6"/>
      <c r="B2524" s="6"/>
      <c r="C2524" s="4"/>
      <c r="D2524" s="36">
        <v>0.0</v>
      </c>
      <c r="E2524" s="4"/>
      <c r="F2524" s="4"/>
      <c r="G2524" s="4"/>
      <c r="H2524" s="4"/>
      <c r="I2524" s="4"/>
      <c r="J2524" s="18"/>
      <c r="K2524" s="4"/>
      <c r="L2524" s="19"/>
      <c r="M2524" s="20"/>
    </row>
    <row r="2525">
      <c r="A2525" s="6"/>
      <c r="B2525" s="6"/>
      <c r="C2525" s="4"/>
      <c r="D2525" s="36">
        <v>0.0</v>
      </c>
      <c r="E2525" s="4"/>
      <c r="F2525" s="4"/>
      <c r="G2525" s="4"/>
      <c r="H2525" s="4"/>
      <c r="I2525" s="4"/>
      <c r="J2525" s="18"/>
      <c r="K2525" s="4"/>
      <c r="L2525" s="19"/>
      <c r="M2525" s="20"/>
    </row>
    <row r="2526">
      <c r="A2526" s="6"/>
      <c r="B2526" s="6"/>
      <c r="C2526" s="4"/>
      <c r="D2526" s="36">
        <v>0.0</v>
      </c>
      <c r="E2526" s="4"/>
      <c r="F2526" s="4"/>
      <c r="G2526" s="4"/>
      <c r="H2526" s="4"/>
      <c r="I2526" s="4"/>
      <c r="J2526" s="18"/>
      <c r="K2526" s="4"/>
      <c r="L2526" s="19"/>
      <c r="M2526" s="20"/>
    </row>
    <row r="2527">
      <c r="A2527" s="6"/>
      <c r="B2527" s="6"/>
      <c r="C2527" s="4"/>
      <c r="D2527" s="36">
        <v>0.0</v>
      </c>
      <c r="E2527" s="4"/>
      <c r="F2527" s="4"/>
      <c r="G2527" s="4"/>
      <c r="H2527" s="4"/>
      <c r="I2527" s="4"/>
      <c r="J2527" s="18"/>
      <c r="K2527" s="4"/>
      <c r="L2527" s="19"/>
      <c r="M2527" s="20"/>
    </row>
    <row r="2528">
      <c r="A2528" s="6"/>
      <c r="B2528" s="6"/>
      <c r="C2528" s="4"/>
      <c r="D2528" s="36">
        <v>0.0</v>
      </c>
      <c r="E2528" s="4"/>
      <c r="F2528" s="4"/>
      <c r="G2528" s="4"/>
      <c r="H2528" s="4"/>
      <c r="I2528" s="4"/>
      <c r="J2528" s="18"/>
      <c r="K2528" s="4"/>
      <c r="L2528" s="19"/>
      <c r="M2528" s="20"/>
    </row>
    <row r="2529">
      <c r="A2529" s="6"/>
      <c r="B2529" s="6"/>
      <c r="C2529" s="4"/>
      <c r="D2529" s="36">
        <v>0.0</v>
      </c>
      <c r="E2529" s="4"/>
      <c r="F2529" s="4"/>
      <c r="G2529" s="4"/>
      <c r="H2529" s="4"/>
      <c r="I2529" s="4"/>
      <c r="J2529" s="18"/>
      <c r="K2529" s="4"/>
      <c r="L2529" s="19"/>
      <c r="M2529" s="20"/>
    </row>
    <row r="2530">
      <c r="A2530" s="6"/>
      <c r="B2530" s="6"/>
      <c r="C2530" s="4"/>
      <c r="D2530" s="36">
        <v>0.0</v>
      </c>
      <c r="E2530" s="4"/>
      <c r="F2530" s="4"/>
      <c r="G2530" s="4"/>
      <c r="H2530" s="4"/>
      <c r="I2530" s="4"/>
      <c r="J2530" s="18"/>
      <c r="K2530" s="4"/>
      <c r="L2530" s="19"/>
      <c r="M2530" s="20"/>
    </row>
    <row r="2531">
      <c r="A2531" s="6"/>
      <c r="B2531" s="6"/>
      <c r="C2531" s="4"/>
      <c r="D2531" s="36">
        <v>0.0</v>
      </c>
      <c r="E2531" s="4"/>
      <c r="F2531" s="4"/>
      <c r="G2531" s="4"/>
      <c r="H2531" s="4"/>
      <c r="I2531" s="4"/>
      <c r="J2531" s="18"/>
      <c r="K2531" s="4"/>
      <c r="L2531" s="19"/>
      <c r="M2531" s="20"/>
    </row>
    <row r="2532">
      <c r="A2532" s="6"/>
      <c r="B2532" s="6"/>
      <c r="C2532" s="4"/>
      <c r="D2532" s="36">
        <v>0.0</v>
      </c>
      <c r="E2532" s="4"/>
      <c r="F2532" s="4"/>
      <c r="G2532" s="4"/>
      <c r="H2532" s="4"/>
      <c r="I2532" s="4"/>
      <c r="J2532" s="18"/>
      <c r="K2532" s="4"/>
      <c r="L2532" s="19"/>
      <c r="M2532" s="20"/>
    </row>
    <row r="2533">
      <c r="A2533" s="6"/>
      <c r="B2533" s="6"/>
      <c r="C2533" s="4"/>
      <c r="D2533" s="36">
        <v>0.0</v>
      </c>
      <c r="E2533" s="4"/>
      <c r="F2533" s="4"/>
      <c r="G2533" s="4"/>
      <c r="H2533" s="4"/>
      <c r="I2533" s="4"/>
      <c r="J2533" s="18"/>
      <c r="K2533" s="4"/>
      <c r="L2533" s="19"/>
      <c r="M2533" s="20"/>
    </row>
    <row r="2534">
      <c r="A2534" s="6"/>
      <c r="B2534" s="6"/>
      <c r="C2534" s="4"/>
      <c r="D2534" s="36">
        <v>0.0</v>
      </c>
      <c r="E2534" s="4"/>
      <c r="F2534" s="4"/>
      <c r="G2534" s="4"/>
      <c r="H2534" s="4"/>
      <c r="I2534" s="4"/>
      <c r="J2534" s="18"/>
      <c r="K2534" s="4"/>
      <c r="L2534" s="19"/>
      <c r="M2534" s="20"/>
    </row>
    <row r="2535">
      <c r="A2535" s="6"/>
      <c r="B2535" s="6"/>
      <c r="C2535" s="4"/>
      <c r="D2535" s="36">
        <v>0.0</v>
      </c>
      <c r="E2535" s="4"/>
      <c r="F2535" s="4"/>
      <c r="G2535" s="4"/>
      <c r="H2535" s="4"/>
      <c r="I2535" s="4"/>
      <c r="J2535" s="18"/>
      <c r="K2535" s="4"/>
      <c r="L2535" s="19"/>
      <c r="M2535" s="20"/>
    </row>
    <row r="2536">
      <c r="A2536" s="6"/>
      <c r="B2536" s="6"/>
      <c r="C2536" s="4"/>
      <c r="D2536" s="36">
        <v>0.0</v>
      </c>
      <c r="E2536" s="4"/>
      <c r="F2536" s="4"/>
      <c r="G2536" s="4"/>
      <c r="H2536" s="4"/>
      <c r="I2536" s="4"/>
      <c r="J2536" s="18"/>
      <c r="K2536" s="4"/>
      <c r="L2536" s="19"/>
      <c r="M2536" s="20"/>
    </row>
    <row r="2537">
      <c r="A2537" s="6"/>
      <c r="B2537" s="6"/>
      <c r="C2537" s="4"/>
      <c r="D2537" s="36">
        <v>0.0</v>
      </c>
      <c r="E2537" s="4"/>
      <c r="F2537" s="4"/>
      <c r="G2537" s="4"/>
      <c r="H2537" s="4"/>
      <c r="I2537" s="4"/>
      <c r="J2537" s="18"/>
      <c r="K2537" s="4"/>
      <c r="L2537" s="19"/>
      <c r="M2537" s="20"/>
    </row>
    <row r="2538">
      <c r="A2538" s="6"/>
      <c r="B2538" s="6"/>
      <c r="C2538" s="4"/>
      <c r="D2538" s="36">
        <v>0.0</v>
      </c>
      <c r="E2538" s="4"/>
      <c r="F2538" s="4"/>
      <c r="G2538" s="4"/>
      <c r="H2538" s="4"/>
      <c r="I2538" s="4"/>
      <c r="J2538" s="18"/>
      <c r="K2538" s="4"/>
      <c r="L2538" s="19"/>
      <c r="M2538" s="20"/>
    </row>
    <row r="2539">
      <c r="A2539" s="6"/>
      <c r="B2539" s="6"/>
      <c r="C2539" s="4"/>
      <c r="D2539" s="36">
        <v>0.0</v>
      </c>
      <c r="E2539" s="4"/>
      <c r="F2539" s="4"/>
      <c r="G2539" s="4"/>
      <c r="H2539" s="4"/>
      <c r="I2539" s="4"/>
      <c r="J2539" s="18"/>
      <c r="K2539" s="4"/>
      <c r="L2539" s="19"/>
      <c r="M2539" s="20"/>
    </row>
    <row r="2540">
      <c r="A2540" s="6"/>
      <c r="B2540" s="6"/>
      <c r="C2540" s="4"/>
      <c r="D2540" s="36">
        <v>0.0</v>
      </c>
      <c r="E2540" s="4"/>
      <c r="F2540" s="4"/>
      <c r="G2540" s="4"/>
      <c r="H2540" s="4"/>
      <c r="I2540" s="4"/>
      <c r="J2540" s="18"/>
      <c r="K2540" s="4"/>
      <c r="L2540" s="19"/>
      <c r="M2540" s="20"/>
    </row>
    <row r="2541">
      <c r="A2541" s="6"/>
      <c r="B2541" s="6"/>
      <c r="C2541" s="4"/>
      <c r="D2541" s="36">
        <v>0.0</v>
      </c>
      <c r="E2541" s="4"/>
      <c r="F2541" s="4"/>
      <c r="G2541" s="4"/>
      <c r="H2541" s="4"/>
      <c r="I2541" s="4"/>
      <c r="J2541" s="18"/>
      <c r="K2541" s="4"/>
      <c r="L2541" s="19"/>
      <c r="M2541" s="20"/>
    </row>
    <row r="2542">
      <c r="A2542" s="6"/>
      <c r="B2542" s="6"/>
      <c r="C2542" s="4"/>
      <c r="D2542" s="36">
        <v>0.0</v>
      </c>
      <c r="E2542" s="4"/>
      <c r="F2542" s="4"/>
      <c r="G2542" s="4"/>
      <c r="H2542" s="4"/>
      <c r="I2542" s="4"/>
      <c r="J2542" s="18"/>
      <c r="K2542" s="4"/>
      <c r="L2542" s="19"/>
      <c r="M2542" s="20"/>
    </row>
    <row r="2543">
      <c r="A2543" s="6"/>
      <c r="B2543" s="6"/>
      <c r="C2543" s="4"/>
      <c r="D2543" s="36">
        <v>0.0</v>
      </c>
      <c r="E2543" s="4"/>
      <c r="F2543" s="4"/>
      <c r="G2543" s="4"/>
      <c r="H2543" s="4"/>
      <c r="I2543" s="4"/>
      <c r="J2543" s="18"/>
      <c r="K2543" s="4"/>
      <c r="L2543" s="19"/>
      <c r="M2543" s="20"/>
    </row>
    <row r="2544">
      <c r="A2544" s="6"/>
      <c r="B2544" s="6"/>
      <c r="C2544" s="4"/>
      <c r="D2544" s="36">
        <v>0.0</v>
      </c>
      <c r="E2544" s="4"/>
      <c r="F2544" s="4"/>
      <c r="G2544" s="4"/>
      <c r="H2544" s="4"/>
      <c r="I2544" s="4"/>
      <c r="J2544" s="18"/>
      <c r="K2544" s="4"/>
      <c r="L2544" s="19"/>
      <c r="M2544" s="20"/>
    </row>
    <row r="2545">
      <c r="A2545" s="6"/>
      <c r="B2545" s="6"/>
      <c r="C2545" s="4"/>
      <c r="D2545" s="36">
        <v>0.0</v>
      </c>
      <c r="E2545" s="4"/>
      <c r="F2545" s="4"/>
      <c r="G2545" s="4"/>
      <c r="H2545" s="4"/>
      <c r="I2545" s="4"/>
      <c r="J2545" s="18"/>
      <c r="K2545" s="4"/>
      <c r="L2545" s="19"/>
      <c r="M2545" s="20"/>
    </row>
    <row r="2546">
      <c r="A2546" s="6"/>
      <c r="B2546" s="6"/>
      <c r="C2546" s="4"/>
      <c r="D2546" s="36">
        <v>0.0</v>
      </c>
      <c r="E2546" s="4"/>
      <c r="F2546" s="4"/>
      <c r="G2546" s="4"/>
      <c r="H2546" s="4"/>
      <c r="I2546" s="4"/>
      <c r="J2546" s="18"/>
      <c r="K2546" s="4"/>
      <c r="L2546" s="19"/>
      <c r="M2546" s="20"/>
    </row>
    <row r="2547">
      <c r="A2547" s="6"/>
      <c r="B2547" s="6"/>
      <c r="C2547" s="4"/>
      <c r="D2547" s="36">
        <v>0.0</v>
      </c>
      <c r="E2547" s="4"/>
      <c r="F2547" s="4"/>
      <c r="G2547" s="4"/>
      <c r="H2547" s="4"/>
      <c r="I2547" s="4"/>
      <c r="J2547" s="18"/>
      <c r="K2547" s="4"/>
      <c r="L2547" s="19"/>
      <c r="M2547" s="20"/>
    </row>
    <row r="2548">
      <c r="A2548" s="6"/>
      <c r="B2548" s="6"/>
      <c r="C2548" s="4"/>
      <c r="D2548" s="36">
        <v>0.0</v>
      </c>
      <c r="E2548" s="4"/>
      <c r="F2548" s="4"/>
      <c r="G2548" s="4"/>
      <c r="H2548" s="4"/>
      <c r="I2548" s="4"/>
      <c r="J2548" s="18"/>
      <c r="K2548" s="4"/>
      <c r="L2548" s="19"/>
      <c r="M2548" s="20"/>
    </row>
    <row r="2549">
      <c r="A2549" s="6"/>
      <c r="B2549" s="6"/>
      <c r="C2549" s="4"/>
      <c r="D2549" s="36">
        <v>0.0</v>
      </c>
      <c r="E2549" s="4"/>
      <c r="F2549" s="4"/>
      <c r="G2549" s="4"/>
      <c r="H2549" s="4"/>
      <c r="I2549" s="4"/>
      <c r="J2549" s="18"/>
      <c r="K2549" s="4"/>
      <c r="L2549" s="19"/>
      <c r="M2549" s="20"/>
    </row>
    <row r="2550">
      <c r="A2550" s="6"/>
      <c r="B2550" s="6"/>
      <c r="C2550" s="4"/>
      <c r="D2550" s="36">
        <v>0.0</v>
      </c>
      <c r="E2550" s="4"/>
      <c r="F2550" s="4"/>
      <c r="G2550" s="4"/>
      <c r="H2550" s="4"/>
      <c r="I2550" s="4"/>
      <c r="J2550" s="18"/>
      <c r="K2550" s="4"/>
      <c r="L2550" s="19"/>
      <c r="M2550" s="20"/>
    </row>
    <row r="2551">
      <c r="A2551" s="6"/>
      <c r="B2551" s="6"/>
      <c r="C2551" s="4"/>
      <c r="D2551" s="36">
        <v>0.0</v>
      </c>
      <c r="E2551" s="4"/>
      <c r="F2551" s="4"/>
      <c r="G2551" s="4"/>
      <c r="H2551" s="4"/>
      <c r="I2551" s="4"/>
      <c r="J2551" s="18"/>
      <c r="K2551" s="4"/>
      <c r="L2551" s="19"/>
      <c r="M2551" s="20"/>
    </row>
    <row r="2552">
      <c r="A2552" s="6"/>
      <c r="B2552" s="6"/>
      <c r="C2552" s="4"/>
      <c r="D2552" s="36">
        <v>0.0</v>
      </c>
      <c r="E2552" s="4"/>
      <c r="F2552" s="4"/>
      <c r="G2552" s="4"/>
      <c r="H2552" s="4"/>
      <c r="I2552" s="4"/>
      <c r="J2552" s="18"/>
      <c r="K2552" s="4"/>
      <c r="L2552" s="19"/>
      <c r="M2552" s="20"/>
    </row>
    <row r="2553">
      <c r="A2553" s="6"/>
      <c r="B2553" s="6"/>
      <c r="C2553" s="4"/>
      <c r="D2553" s="36">
        <v>0.0</v>
      </c>
      <c r="E2553" s="4"/>
      <c r="F2553" s="4"/>
      <c r="G2553" s="4"/>
      <c r="H2553" s="4"/>
      <c r="I2553" s="4"/>
      <c r="J2553" s="18"/>
      <c r="K2553" s="4"/>
      <c r="L2553" s="19"/>
      <c r="M2553" s="20"/>
    </row>
    <row r="2554">
      <c r="A2554" s="6"/>
      <c r="B2554" s="6"/>
      <c r="C2554" s="4"/>
      <c r="D2554" s="36">
        <v>0.0</v>
      </c>
      <c r="E2554" s="4"/>
      <c r="F2554" s="4"/>
      <c r="G2554" s="4"/>
      <c r="H2554" s="4"/>
      <c r="I2554" s="4"/>
      <c r="J2554" s="18"/>
      <c r="K2554" s="4"/>
      <c r="L2554" s="19"/>
      <c r="M2554" s="20"/>
    </row>
    <row r="2555">
      <c r="A2555" s="6"/>
      <c r="B2555" s="6"/>
      <c r="C2555" s="4"/>
      <c r="D2555" s="36">
        <v>0.0</v>
      </c>
      <c r="E2555" s="4"/>
      <c r="F2555" s="4"/>
      <c r="G2555" s="4"/>
      <c r="H2555" s="4"/>
      <c r="I2555" s="4"/>
      <c r="J2555" s="18"/>
      <c r="K2555" s="4"/>
      <c r="L2555" s="19"/>
      <c r="M2555" s="20"/>
    </row>
    <row r="2556">
      <c r="A2556" s="6"/>
      <c r="B2556" s="6"/>
      <c r="C2556" s="4"/>
      <c r="D2556" s="36">
        <v>0.0</v>
      </c>
      <c r="E2556" s="4"/>
      <c r="F2556" s="4"/>
      <c r="G2556" s="4"/>
      <c r="H2556" s="4"/>
      <c r="I2556" s="4"/>
      <c r="J2556" s="18"/>
      <c r="K2556" s="4"/>
      <c r="L2556" s="19"/>
      <c r="M2556" s="20"/>
    </row>
    <row r="2557">
      <c r="A2557" s="6"/>
      <c r="B2557" s="6"/>
      <c r="C2557" s="4"/>
      <c r="D2557" s="36">
        <v>0.0</v>
      </c>
      <c r="E2557" s="4"/>
      <c r="F2557" s="4"/>
      <c r="G2557" s="4"/>
      <c r="H2557" s="4"/>
      <c r="I2557" s="4"/>
      <c r="J2557" s="18"/>
      <c r="K2557" s="4"/>
      <c r="L2557" s="19"/>
      <c r="M2557" s="20"/>
    </row>
    <row r="2558">
      <c r="A2558" s="6"/>
      <c r="B2558" s="6"/>
      <c r="C2558" s="4"/>
      <c r="D2558" s="36">
        <v>0.0</v>
      </c>
      <c r="E2558" s="4"/>
      <c r="F2558" s="4"/>
      <c r="G2558" s="4"/>
      <c r="H2558" s="4"/>
      <c r="I2558" s="4"/>
      <c r="J2558" s="18"/>
      <c r="K2558" s="4"/>
      <c r="L2558" s="19"/>
      <c r="M2558" s="20"/>
    </row>
    <row r="2559">
      <c r="A2559" s="6"/>
      <c r="B2559" s="6"/>
      <c r="C2559" s="4"/>
      <c r="D2559" s="36">
        <v>0.0</v>
      </c>
      <c r="E2559" s="4"/>
      <c r="F2559" s="4"/>
      <c r="G2559" s="4"/>
      <c r="H2559" s="4"/>
      <c r="I2559" s="4"/>
      <c r="J2559" s="18"/>
      <c r="K2559" s="4"/>
      <c r="L2559" s="19"/>
      <c r="M2559" s="20"/>
    </row>
    <row r="2560">
      <c r="A2560" s="6"/>
      <c r="B2560" s="6"/>
      <c r="C2560" s="4"/>
      <c r="D2560" s="36">
        <v>0.0</v>
      </c>
      <c r="E2560" s="4"/>
      <c r="F2560" s="4"/>
      <c r="G2560" s="4"/>
      <c r="H2560" s="4"/>
      <c r="I2560" s="4"/>
      <c r="J2560" s="18"/>
      <c r="K2560" s="4"/>
      <c r="L2560" s="19"/>
      <c r="M2560" s="20"/>
    </row>
    <row r="2561">
      <c r="A2561" s="6"/>
      <c r="B2561" s="6"/>
      <c r="C2561" s="4"/>
      <c r="D2561" s="36">
        <v>0.0</v>
      </c>
      <c r="E2561" s="4"/>
      <c r="F2561" s="4"/>
      <c r="G2561" s="4"/>
      <c r="H2561" s="4"/>
      <c r="I2561" s="4"/>
      <c r="J2561" s="18"/>
      <c r="K2561" s="4"/>
      <c r="L2561" s="19"/>
      <c r="M2561" s="20"/>
    </row>
    <row r="2562">
      <c r="A2562" s="6"/>
      <c r="B2562" s="6"/>
      <c r="C2562" s="4"/>
      <c r="D2562" s="36">
        <v>0.0</v>
      </c>
      <c r="E2562" s="4"/>
      <c r="F2562" s="4"/>
      <c r="G2562" s="4"/>
      <c r="H2562" s="4"/>
      <c r="I2562" s="4"/>
      <c r="J2562" s="18"/>
      <c r="K2562" s="4"/>
      <c r="L2562" s="19"/>
      <c r="M2562" s="20"/>
    </row>
    <row r="2563">
      <c r="A2563" s="6"/>
      <c r="B2563" s="6"/>
      <c r="C2563" s="4"/>
      <c r="D2563" s="36">
        <v>0.0</v>
      </c>
      <c r="E2563" s="4"/>
      <c r="F2563" s="4"/>
      <c r="G2563" s="4"/>
      <c r="H2563" s="4"/>
      <c r="I2563" s="4"/>
      <c r="J2563" s="18"/>
      <c r="K2563" s="4"/>
      <c r="L2563" s="19"/>
      <c r="M2563" s="20"/>
    </row>
    <row r="2564">
      <c r="A2564" s="6"/>
      <c r="B2564" s="6"/>
      <c r="C2564" s="4"/>
      <c r="D2564" s="36">
        <v>0.0</v>
      </c>
      <c r="E2564" s="4"/>
      <c r="F2564" s="4"/>
      <c r="G2564" s="4"/>
      <c r="H2564" s="4"/>
      <c r="I2564" s="4"/>
      <c r="J2564" s="18"/>
      <c r="K2564" s="4"/>
      <c r="L2564" s="19"/>
      <c r="M2564" s="20"/>
    </row>
    <row r="2565">
      <c r="A2565" s="6"/>
      <c r="B2565" s="6"/>
      <c r="C2565" s="4"/>
      <c r="D2565" s="36">
        <v>0.0</v>
      </c>
      <c r="E2565" s="4"/>
      <c r="F2565" s="4"/>
      <c r="G2565" s="4"/>
      <c r="H2565" s="4"/>
      <c r="I2565" s="4"/>
      <c r="J2565" s="18"/>
      <c r="K2565" s="4"/>
      <c r="L2565" s="19"/>
      <c r="M2565" s="20"/>
    </row>
    <row r="2566">
      <c r="A2566" s="6"/>
      <c r="B2566" s="6"/>
      <c r="C2566" s="4"/>
      <c r="D2566" s="36">
        <v>0.0</v>
      </c>
      <c r="E2566" s="4"/>
      <c r="F2566" s="4"/>
      <c r="G2566" s="4"/>
      <c r="H2566" s="4"/>
      <c r="I2566" s="4"/>
      <c r="J2566" s="18"/>
      <c r="K2566" s="4"/>
      <c r="L2566" s="19"/>
      <c r="M2566" s="20"/>
    </row>
    <row r="2567">
      <c r="A2567" s="6"/>
      <c r="B2567" s="6"/>
      <c r="C2567" s="4"/>
      <c r="D2567" s="36">
        <v>0.0</v>
      </c>
      <c r="E2567" s="4"/>
      <c r="F2567" s="4"/>
      <c r="G2567" s="4"/>
      <c r="H2567" s="4"/>
      <c r="I2567" s="4"/>
      <c r="J2567" s="18"/>
      <c r="K2567" s="4"/>
      <c r="L2567" s="19"/>
      <c r="M2567" s="20"/>
    </row>
    <row r="2568">
      <c r="A2568" s="6"/>
      <c r="B2568" s="6"/>
      <c r="C2568" s="4"/>
      <c r="D2568" s="36">
        <v>0.0</v>
      </c>
      <c r="E2568" s="4"/>
      <c r="F2568" s="4"/>
      <c r="G2568" s="4"/>
      <c r="H2568" s="4"/>
      <c r="I2568" s="4"/>
      <c r="J2568" s="18"/>
      <c r="K2568" s="4"/>
      <c r="L2568" s="19"/>
      <c r="M2568" s="20"/>
    </row>
    <row r="2569">
      <c r="A2569" s="6"/>
      <c r="B2569" s="6"/>
      <c r="C2569" s="4"/>
      <c r="D2569" s="36">
        <v>0.0</v>
      </c>
      <c r="E2569" s="4"/>
      <c r="F2569" s="4"/>
      <c r="G2569" s="4"/>
      <c r="H2569" s="4"/>
      <c r="I2569" s="4"/>
      <c r="J2569" s="18"/>
      <c r="K2569" s="4"/>
      <c r="L2569" s="19"/>
      <c r="M2569" s="20"/>
    </row>
    <row r="2570">
      <c r="A2570" s="6"/>
      <c r="B2570" s="6"/>
      <c r="C2570" s="4"/>
      <c r="D2570" s="36">
        <v>0.0</v>
      </c>
      <c r="E2570" s="4"/>
      <c r="F2570" s="4"/>
      <c r="G2570" s="4"/>
      <c r="H2570" s="4"/>
      <c r="I2570" s="4"/>
      <c r="J2570" s="18"/>
      <c r="K2570" s="4"/>
      <c r="L2570" s="19"/>
      <c r="M2570" s="20"/>
    </row>
    <row r="2571">
      <c r="A2571" s="6"/>
      <c r="B2571" s="6"/>
      <c r="C2571" s="4"/>
      <c r="D2571" s="36">
        <v>0.0</v>
      </c>
      <c r="E2571" s="4"/>
      <c r="F2571" s="4"/>
      <c r="G2571" s="4"/>
      <c r="H2571" s="4"/>
      <c r="I2571" s="4"/>
      <c r="J2571" s="18"/>
      <c r="K2571" s="4"/>
      <c r="L2571" s="19"/>
      <c r="M2571" s="20"/>
    </row>
    <row r="2572">
      <c r="A2572" s="6"/>
      <c r="B2572" s="6"/>
      <c r="C2572" s="4"/>
      <c r="D2572" s="36">
        <v>0.0</v>
      </c>
      <c r="E2572" s="4"/>
      <c r="F2572" s="4"/>
      <c r="G2572" s="4"/>
      <c r="H2572" s="4"/>
      <c r="I2572" s="4"/>
      <c r="J2572" s="18"/>
      <c r="K2572" s="4"/>
      <c r="L2572" s="19"/>
      <c r="M2572" s="20"/>
    </row>
    <row r="2573">
      <c r="A2573" s="6"/>
      <c r="B2573" s="6"/>
      <c r="C2573" s="4"/>
      <c r="D2573" s="36">
        <v>0.0</v>
      </c>
      <c r="E2573" s="4"/>
      <c r="F2573" s="4"/>
      <c r="G2573" s="4"/>
      <c r="H2573" s="4"/>
      <c r="I2573" s="4"/>
      <c r="J2573" s="18"/>
      <c r="K2573" s="4"/>
      <c r="L2573" s="19"/>
      <c r="M2573" s="20"/>
    </row>
    <row r="2574">
      <c r="A2574" s="6"/>
      <c r="B2574" s="6"/>
      <c r="C2574" s="4"/>
      <c r="D2574" s="36">
        <v>0.0</v>
      </c>
      <c r="E2574" s="4"/>
      <c r="F2574" s="4"/>
      <c r="G2574" s="4"/>
      <c r="H2574" s="4"/>
      <c r="I2574" s="4"/>
      <c r="J2574" s="18"/>
      <c r="K2574" s="4"/>
      <c r="L2574" s="19"/>
      <c r="M2574" s="20"/>
    </row>
    <row r="2575">
      <c r="A2575" s="6"/>
      <c r="B2575" s="6"/>
      <c r="C2575" s="4"/>
      <c r="D2575" s="36">
        <v>0.0</v>
      </c>
      <c r="E2575" s="4"/>
      <c r="F2575" s="4"/>
      <c r="G2575" s="4"/>
      <c r="H2575" s="4"/>
      <c r="I2575" s="4"/>
      <c r="J2575" s="18"/>
      <c r="K2575" s="4"/>
      <c r="L2575" s="19"/>
      <c r="M2575" s="20"/>
    </row>
    <row r="2576">
      <c r="A2576" s="6"/>
      <c r="B2576" s="6"/>
      <c r="C2576" s="4"/>
      <c r="D2576" s="36">
        <v>0.0</v>
      </c>
      <c r="E2576" s="4"/>
      <c r="F2576" s="4"/>
      <c r="G2576" s="4"/>
      <c r="H2576" s="4"/>
      <c r="I2576" s="4"/>
      <c r="J2576" s="18"/>
      <c r="K2576" s="4"/>
      <c r="L2576" s="19"/>
      <c r="M2576" s="20"/>
    </row>
    <row r="2577">
      <c r="A2577" s="6"/>
      <c r="B2577" s="6"/>
      <c r="C2577" s="4"/>
      <c r="D2577" s="36">
        <v>0.0</v>
      </c>
      <c r="E2577" s="4"/>
      <c r="F2577" s="4"/>
      <c r="G2577" s="4"/>
      <c r="H2577" s="4"/>
      <c r="I2577" s="4"/>
      <c r="J2577" s="18"/>
      <c r="K2577" s="4"/>
      <c r="L2577" s="19"/>
      <c r="M2577" s="20"/>
    </row>
    <row r="2578">
      <c r="A2578" s="6"/>
      <c r="B2578" s="6"/>
      <c r="C2578" s="4"/>
      <c r="D2578" s="36">
        <v>0.0</v>
      </c>
      <c r="E2578" s="4"/>
      <c r="F2578" s="4"/>
      <c r="G2578" s="4"/>
      <c r="H2578" s="4"/>
      <c r="I2578" s="4"/>
      <c r="J2578" s="18"/>
      <c r="K2578" s="4"/>
      <c r="L2578" s="19"/>
      <c r="M2578" s="20"/>
    </row>
    <row r="2579">
      <c r="A2579" s="6"/>
      <c r="B2579" s="6"/>
      <c r="C2579" s="4"/>
      <c r="D2579" s="36">
        <v>0.0</v>
      </c>
      <c r="E2579" s="4"/>
      <c r="F2579" s="4"/>
      <c r="G2579" s="4"/>
      <c r="H2579" s="4"/>
      <c r="I2579" s="4"/>
      <c r="J2579" s="18"/>
      <c r="K2579" s="4"/>
      <c r="L2579" s="19"/>
      <c r="M2579" s="20"/>
    </row>
    <row r="2580">
      <c r="A2580" s="6"/>
      <c r="B2580" s="6"/>
      <c r="C2580" s="4"/>
      <c r="D2580" s="36">
        <v>0.0</v>
      </c>
      <c r="E2580" s="4"/>
      <c r="F2580" s="4"/>
      <c r="G2580" s="4"/>
      <c r="H2580" s="4"/>
      <c r="I2580" s="4"/>
      <c r="J2580" s="18"/>
      <c r="K2580" s="4"/>
      <c r="L2580" s="19"/>
      <c r="M2580" s="20"/>
    </row>
    <row r="2581">
      <c r="A2581" s="6"/>
      <c r="B2581" s="6"/>
      <c r="C2581" s="4"/>
      <c r="D2581" s="36">
        <v>0.0</v>
      </c>
      <c r="E2581" s="4"/>
      <c r="F2581" s="4"/>
      <c r="G2581" s="4"/>
      <c r="H2581" s="4"/>
      <c r="I2581" s="4"/>
      <c r="J2581" s="18"/>
      <c r="K2581" s="4"/>
      <c r="L2581" s="19"/>
      <c r="M2581" s="20"/>
    </row>
    <row r="2582">
      <c r="A2582" s="6"/>
      <c r="B2582" s="6"/>
      <c r="C2582" s="4"/>
      <c r="D2582" s="36">
        <v>0.0</v>
      </c>
      <c r="E2582" s="4"/>
      <c r="F2582" s="4"/>
      <c r="G2582" s="4"/>
      <c r="H2582" s="4"/>
      <c r="I2582" s="4"/>
      <c r="J2582" s="18"/>
      <c r="K2582" s="4"/>
      <c r="L2582" s="19"/>
      <c r="M2582" s="20"/>
    </row>
    <row r="2583">
      <c r="A2583" s="6"/>
      <c r="B2583" s="6"/>
      <c r="C2583" s="4"/>
      <c r="D2583" s="36">
        <v>0.0</v>
      </c>
      <c r="E2583" s="4"/>
      <c r="F2583" s="4"/>
      <c r="G2583" s="4"/>
      <c r="H2583" s="4"/>
      <c r="I2583" s="4"/>
      <c r="J2583" s="18"/>
      <c r="K2583" s="4"/>
      <c r="L2583" s="19"/>
      <c r="M2583" s="20"/>
    </row>
    <row r="2584">
      <c r="A2584" s="6"/>
      <c r="B2584" s="6"/>
      <c r="C2584" s="4"/>
      <c r="D2584" s="36">
        <v>0.0</v>
      </c>
      <c r="E2584" s="4"/>
      <c r="F2584" s="4"/>
      <c r="G2584" s="4"/>
      <c r="H2584" s="4"/>
      <c r="I2584" s="4"/>
      <c r="J2584" s="18"/>
      <c r="K2584" s="4"/>
      <c r="L2584" s="19"/>
      <c r="M2584" s="20"/>
    </row>
    <row r="2585">
      <c r="A2585" s="6"/>
      <c r="B2585" s="6"/>
      <c r="C2585" s="4"/>
      <c r="D2585" s="36">
        <v>0.0</v>
      </c>
      <c r="E2585" s="4"/>
      <c r="F2585" s="4"/>
      <c r="G2585" s="4"/>
      <c r="H2585" s="4"/>
      <c r="I2585" s="4"/>
      <c r="J2585" s="18"/>
      <c r="K2585" s="4"/>
      <c r="L2585" s="19"/>
      <c r="M2585" s="20"/>
    </row>
    <row r="2586">
      <c r="A2586" s="6"/>
      <c r="B2586" s="6"/>
      <c r="C2586" s="4"/>
      <c r="D2586" s="36">
        <v>0.0</v>
      </c>
      <c r="E2586" s="4"/>
      <c r="F2586" s="4"/>
      <c r="G2586" s="4"/>
      <c r="H2586" s="4"/>
      <c r="I2586" s="4"/>
      <c r="J2586" s="18"/>
      <c r="K2586" s="4"/>
      <c r="L2586" s="19"/>
      <c r="M2586" s="20"/>
    </row>
    <row r="2587">
      <c r="A2587" s="6"/>
      <c r="B2587" s="6"/>
      <c r="C2587" s="4"/>
      <c r="D2587" s="36">
        <v>0.0</v>
      </c>
      <c r="E2587" s="4"/>
      <c r="F2587" s="4"/>
      <c r="G2587" s="4"/>
      <c r="H2587" s="4"/>
      <c r="I2587" s="4"/>
      <c r="J2587" s="18"/>
      <c r="K2587" s="4"/>
      <c r="L2587" s="19"/>
      <c r="M2587" s="20"/>
    </row>
    <row r="2588">
      <c r="A2588" s="6"/>
      <c r="B2588" s="6"/>
      <c r="C2588" s="4"/>
      <c r="D2588" s="36">
        <v>0.0</v>
      </c>
      <c r="E2588" s="4"/>
      <c r="F2588" s="4"/>
      <c r="G2588" s="4"/>
      <c r="H2588" s="4"/>
      <c r="I2588" s="4"/>
      <c r="J2588" s="18"/>
      <c r="K2588" s="4"/>
      <c r="L2588" s="19"/>
      <c r="M2588" s="20"/>
    </row>
    <row r="2589">
      <c r="A2589" s="6"/>
      <c r="B2589" s="6"/>
      <c r="C2589" s="4"/>
      <c r="D2589" s="36">
        <v>0.0</v>
      </c>
      <c r="E2589" s="4"/>
      <c r="F2589" s="4"/>
      <c r="G2589" s="4"/>
      <c r="H2589" s="4"/>
      <c r="I2589" s="4"/>
      <c r="J2589" s="18"/>
      <c r="K2589" s="4"/>
      <c r="L2589" s="19"/>
      <c r="M2589" s="20"/>
    </row>
    <row r="2590">
      <c r="A2590" s="6"/>
      <c r="B2590" s="6"/>
      <c r="C2590" s="4"/>
      <c r="D2590" s="36">
        <v>0.0</v>
      </c>
      <c r="E2590" s="4"/>
      <c r="F2590" s="4"/>
      <c r="G2590" s="4"/>
      <c r="H2590" s="4"/>
      <c r="I2590" s="4"/>
      <c r="J2590" s="18"/>
      <c r="K2590" s="4"/>
      <c r="L2590" s="19"/>
      <c r="M2590" s="20"/>
    </row>
    <row r="2591">
      <c r="A2591" s="6"/>
      <c r="B2591" s="6"/>
      <c r="C2591" s="4"/>
      <c r="D2591" s="36">
        <v>0.0</v>
      </c>
      <c r="E2591" s="4"/>
      <c r="F2591" s="4"/>
      <c r="G2591" s="4"/>
      <c r="H2591" s="4"/>
      <c r="I2591" s="4"/>
      <c r="J2591" s="18"/>
      <c r="K2591" s="4"/>
      <c r="L2591" s="19"/>
      <c r="M2591" s="20"/>
    </row>
    <row r="2592">
      <c r="A2592" s="6"/>
      <c r="B2592" s="6"/>
      <c r="C2592" s="4"/>
      <c r="D2592" s="36">
        <v>0.0</v>
      </c>
      <c r="E2592" s="4"/>
      <c r="F2592" s="4"/>
      <c r="G2592" s="4"/>
      <c r="H2592" s="4"/>
      <c r="I2592" s="4"/>
      <c r="J2592" s="18"/>
      <c r="K2592" s="4"/>
      <c r="L2592" s="19"/>
      <c r="M2592" s="20"/>
    </row>
    <row r="2593">
      <c r="A2593" s="6"/>
      <c r="B2593" s="6"/>
      <c r="C2593" s="4"/>
      <c r="D2593" s="36">
        <v>0.0</v>
      </c>
      <c r="E2593" s="4"/>
      <c r="F2593" s="4"/>
      <c r="G2593" s="4"/>
      <c r="H2593" s="4"/>
      <c r="I2593" s="4"/>
      <c r="J2593" s="18"/>
      <c r="K2593" s="4"/>
      <c r="L2593" s="19"/>
      <c r="M2593" s="20"/>
    </row>
    <row r="2594">
      <c r="A2594" s="6"/>
      <c r="B2594" s="6"/>
      <c r="C2594" s="4"/>
      <c r="D2594" s="36">
        <v>0.0</v>
      </c>
      <c r="E2594" s="4"/>
      <c r="F2594" s="4"/>
      <c r="G2594" s="4"/>
      <c r="H2594" s="4"/>
      <c r="I2594" s="4"/>
      <c r="J2594" s="18"/>
      <c r="K2594" s="4"/>
      <c r="L2594" s="19"/>
      <c r="M2594" s="20"/>
    </row>
    <row r="2595">
      <c r="A2595" s="6"/>
      <c r="B2595" s="6"/>
      <c r="C2595" s="4"/>
      <c r="D2595" s="36">
        <v>0.0</v>
      </c>
      <c r="E2595" s="4"/>
      <c r="F2595" s="4"/>
      <c r="G2595" s="4"/>
      <c r="H2595" s="4"/>
      <c r="I2595" s="4"/>
      <c r="J2595" s="18"/>
      <c r="K2595" s="4"/>
      <c r="L2595" s="19"/>
      <c r="M2595" s="20"/>
    </row>
    <row r="2596">
      <c r="A2596" s="6"/>
      <c r="B2596" s="6"/>
      <c r="C2596" s="4"/>
      <c r="D2596" s="36">
        <v>0.0</v>
      </c>
      <c r="E2596" s="4"/>
      <c r="F2596" s="4"/>
      <c r="G2596" s="4"/>
      <c r="H2596" s="4"/>
      <c r="I2596" s="4"/>
      <c r="J2596" s="18"/>
      <c r="K2596" s="4"/>
      <c r="L2596" s="19"/>
      <c r="M2596" s="20"/>
    </row>
    <row r="2597">
      <c r="A2597" s="6"/>
      <c r="B2597" s="6"/>
      <c r="C2597" s="4"/>
      <c r="D2597" s="36">
        <v>0.0</v>
      </c>
      <c r="E2597" s="4"/>
      <c r="F2597" s="4"/>
      <c r="G2597" s="4"/>
      <c r="H2597" s="4"/>
      <c r="I2597" s="4"/>
      <c r="J2597" s="18"/>
      <c r="K2597" s="4"/>
      <c r="L2597" s="19"/>
      <c r="M2597" s="20"/>
    </row>
    <row r="2598">
      <c r="A2598" s="6"/>
      <c r="B2598" s="6"/>
      <c r="C2598" s="4"/>
      <c r="D2598" s="36">
        <v>0.0</v>
      </c>
      <c r="E2598" s="4"/>
      <c r="F2598" s="4"/>
      <c r="G2598" s="4"/>
      <c r="H2598" s="4"/>
      <c r="I2598" s="4"/>
      <c r="J2598" s="18"/>
      <c r="K2598" s="4"/>
      <c r="L2598" s="19"/>
      <c r="M2598" s="20"/>
    </row>
    <row r="2599">
      <c r="A2599" s="6"/>
      <c r="B2599" s="6"/>
      <c r="C2599" s="4"/>
      <c r="D2599" s="36">
        <v>0.0</v>
      </c>
      <c r="E2599" s="4"/>
      <c r="F2599" s="4"/>
      <c r="G2599" s="4"/>
      <c r="H2599" s="4"/>
      <c r="I2599" s="4"/>
      <c r="J2599" s="18"/>
      <c r="K2599" s="4"/>
      <c r="L2599" s="19"/>
      <c r="M2599" s="20"/>
    </row>
    <row r="2600">
      <c r="A2600" s="6"/>
      <c r="B2600" s="6"/>
      <c r="C2600" s="4"/>
      <c r="D2600" s="36">
        <v>0.0</v>
      </c>
      <c r="E2600" s="4"/>
      <c r="F2600" s="4"/>
      <c r="G2600" s="4"/>
      <c r="H2600" s="4"/>
      <c r="I2600" s="4"/>
      <c r="J2600" s="18"/>
      <c r="K2600" s="4"/>
      <c r="L2600" s="19"/>
      <c r="M2600" s="20"/>
    </row>
    <row r="2601">
      <c r="A2601" s="6"/>
      <c r="B2601" s="6"/>
      <c r="C2601" s="4"/>
      <c r="D2601" s="36">
        <v>0.0</v>
      </c>
      <c r="E2601" s="4"/>
      <c r="F2601" s="4"/>
      <c r="G2601" s="4"/>
      <c r="H2601" s="4"/>
      <c r="I2601" s="4"/>
      <c r="J2601" s="18"/>
      <c r="K2601" s="4"/>
      <c r="L2601" s="19"/>
      <c r="M2601" s="20"/>
    </row>
    <row r="2602">
      <c r="A2602" s="6"/>
      <c r="B2602" s="6"/>
      <c r="C2602" s="4"/>
      <c r="D2602" s="36">
        <v>0.0</v>
      </c>
      <c r="E2602" s="4"/>
      <c r="F2602" s="4"/>
      <c r="G2602" s="4"/>
      <c r="H2602" s="4"/>
      <c r="I2602" s="4"/>
      <c r="J2602" s="18"/>
      <c r="K2602" s="4"/>
      <c r="L2602" s="19"/>
      <c r="M2602" s="20"/>
    </row>
    <row r="2603">
      <c r="A2603" s="6"/>
      <c r="B2603" s="6"/>
      <c r="C2603" s="4"/>
      <c r="D2603" s="36">
        <v>0.0</v>
      </c>
      <c r="E2603" s="4"/>
      <c r="F2603" s="4"/>
      <c r="G2603" s="4"/>
      <c r="H2603" s="4"/>
      <c r="I2603" s="4"/>
      <c r="J2603" s="18"/>
      <c r="K2603" s="4"/>
      <c r="L2603" s="19"/>
      <c r="M2603" s="20"/>
    </row>
    <row r="2604">
      <c r="A2604" s="6"/>
      <c r="B2604" s="6"/>
      <c r="C2604" s="4"/>
      <c r="D2604" s="36">
        <v>0.0</v>
      </c>
      <c r="E2604" s="4"/>
      <c r="F2604" s="4"/>
      <c r="G2604" s="4"/>
      <c r="H2604" s="4"/>
      <c r="I2604" s="4"/>
      <c r="J2604" s="18"/>
      <c r="K2604" s="4"/>
      <c r="L2604" s="19"/>
      <c r="M2604" s="20"/>
    </row>
    <row r="2605">
      <c r="A2605" s="6"/>
      <c r="B2605" s="6"/>
      <c r="C2605" s="4"/>
      <c r="D2605" s="36">
        <v>0.0</v>
      </c>
      <c r="E2605" s="4"/>
      <c r="F2605" s="4"/>
      <c r="G2605" s="4"/>
      <c r="H2605" s="4"/>
      <c r="I2605" s="4"/>
      <c r="J2605" s="18"/>
      <c r="K2605" s="4"/>
      <c r="L2605" s="19"/>
      <c r="M2605" s="20"/>
    </row>
    <row r="2606">
      <c r="A2606" s="6"/>
      <c r="B2606" s="6"/>
      <c r="C2606" s="4"/>
      <c r="D2606" s="36">
        <v>0.0</v>
      </c>
      <c r="E2606" s="4"/>
      <c r="F2606" s="4"/>
      <c r="G2606" s="4"/>
      <c r="H2606" s="4"/>
      <c r="I2606" s="4"/>
      <c r="J2606" s="18"/>
      <c r="K2606" s="4"/>
      <c r="L2606" s="19"/>
      <c r="M2606" s="20"/>
    </row>
    <row r="2607">
      <c r="A2607" s="6"/>
      <c r="B2607" s="6"/>
      <c r="C2607" s="4"/>
      <c r="D2607" s="36">
        <v>0.0</v>
      </c>
      <c r="E2607" s="4"/>
      <c r="F2607" s="4"/>
      <c r="G2607" s="4"/>
      <c r="H2607" s="4"/>
      <c r="I2607" s="4"/>
      <c r="J2607" s="18"/>
      <c r="K2607" s="4"/>
      <c r="L2607" s="19"/>
      <c r="M2607" s="20"/>
    </row>
    <row r="2608">
      <c r="A2608" s="6"/>
      <c r="B2608" s="6"/>
      <c r="C2608" s="4"/>
      <c r="D2608" s="36">
        <v>0.0</v>
      </c>
      <c r="E2608" s="4"/>
      <c r="F2608" s="4"/>
      <c r="G2608" s="4"/>
      <c r="H2608" s="4"/>
      <c r="I2608" s="4"/>
      <c r="J2608" s="18"/>
      <c r="K2608" s="4"/>
      <c r="L2608" s="19"/>
      <c r="M2608" s="20"/>
    </row>
    <row r="2609">
      <c r="A2609" s="6"/>
      <c r="B2609" s="6"/>
      <c r="C2609" s="4"/>
      <c r="D2609" s="36">
        <v>0.0</v>
      </c>
      <c r="E2609" s="4"/>
      <c r="F2609" s="4"/>
      <c r="G2609" s="4"/>
      <c r="H2609" s="4"/>
      <c r="I2609" s="4"/>
      <c r="J2609" s="18"/>
      <c r="K2609" s="4"/>
      <c r="L2609" s="19"/>
      <c r="M2609" s="20"/>
    </row>
    <row r="2610">
      <c r="A2610" s="6"/>
      <c r="B2610" s="6"/>
      <c r="C2610" s="4"/>
      <c r="D2610" s="36">
        <v>0.0</v>
      </c>
      <c r="E2610" s="4"/>
      <c r="F2610" s="4"/>
      <c r="G2610" s="4"/>
      <c r="H2610" s="4"/>
      <c r="I2610" s="4"/>
      <c r="J2610" s="18"/>
      <c r="K2610" s="4"/>
      <c r="L2610" s="19"/>
      <c r="M2610" s="20"/>
    </row>
    <row r="2611">
      <c r="A2611" s="6"/>
      <c r="B2611" s="6"/>
      <c r="C2611" s="4"/>
      <c r="D2611" s="36">
        <v>0.0</v>
      </c>
      <c r="E2611" s="4"/>
      <c r="F2611" s="4"/>
      <c r="G2611" s="4"/>
      <c r="H2611" s="4"/>
      <c r="I2611" s="4"/>
      <c r="J2611" s="18"/>
      <c r="K2611" s="4"/>
      <c r="L2611" s="19"/>
      <c r="M2611" s="20"/>
    </row>
    <row r="2612">
      <c r="A2612" s="6"/>
      <c r="B2612" s="6"/>
      <c r="C2612" s="4"/>
      <c r="D2612" s="36">
        <v>0.0</v>
      </c>
      <c r="E2612" s="4"/>
      <c r="F2612" s="4"/>
      <c r="G2612" s="4"/>
      <c r="H2612" s="4"/>
      <c r="I2612" s="4"/>
      <c r="J2612" s="18"/>
      <c r="K2612" s="4"/>
      <c r="L2612" s="19"/>
      <c r="M2612" s="20"/>
    </row>
    <row r="2613">
      <c r="A2613" s="6"/>
      <c r="B2613" s="6"/>
      <c r="C2613" s="4"/>
      <c r="D2613" s="36">
        <v>0.0</v>
      </c>
      <c r="E2613" s="4"/>
      <c r="F2613" s="4"/>
      <c r="G2613" s="4"/>
      <c r="H2613" s="4"/>
      <c r="I2613" s="4"/>
      <c r="J2613" s="18"/>
      <c r="K2613" s="4"/>
      <c r="L2613" s="19"/>
      <c r="M2613" s="20"/>
    </row>
    <row r="2614">
      <c r="A2614" s="6"/>
      <c r="B2614" s="6"/>
      <c r="C2614" s="4"/>
      <c r="D2614" s="36">
        <v>0.0</v>
      </c>
      <c r="E2614" s="4"/>
      <c r="F2614" s="4"/>
      <c r="G2614" s="4"/>
      <c r="H2614" s="4"/>
      <c r="I2614" s="4"/>
      <c r="J2614" s="18"/>
      <c r="K2614" s="4"/>
      <c r="L2614" s="19"/>
      <c r="M2614" s="20"/>
    </row>
    <row r="2615">
      <c r="A2615" s="6"/>
      <c r="B2615" s="6"/>
      <c r="C2615" s="4"/>
      <c r="D2615" s="36">
        <v>0.0</v>
      </c>
      <c r="E2615" s="4"/>
      <c r="F2615" s="4"/>
      <c r="G2615" s="4"/>
      <c r="H2615" s="4"/>
      <c r="I2615" s="4"/>
      <c r="J2615" s="18"/>
      <c r="K2615" s="4"/>
      <c r="L2615" s="19"/>
      <c r="M2615" s="20"/>
    </row>
    <row r="2616">
      <c r="A2616" s="6"/>
      <c r="B2616" s="6"/>
      <c r="C2616" s="4"/>
      <c r="D2616" s="36">
        <v>0.0</v>
      </c>
      <c r="E2616" s="4"/>
      <c r="F2616" s="4"/>
      <c r="G2616" s="4"/>
      <c r="H2616" s="4"/>
      <c r="I2616" s="4"/>
      <c r="J2616" s="18"/>
      <c r="K2616" s="4"/>
      <c r="L2616" s="19"/>
      <c r="M2616" s="20"/>
    </row>
    <row r="2617">
      <c r="A2617" s="6"/>
      <c r="B2617" s="6"/>
      <c r="C2617" s="4"/>
      <c r="D2617" s="36">
        <v>0.0</v>
      </c>
      <c r="E2617" s="4"/>
      <c r="F2617" s="4"/>
      <c r="G2617" s="4"/>
      <c r="H2617" s="4"/>
      <c r="I2617" s="4"/>
      <c r="J2617" s="18"/>
      <c r="K2617" s="4"/>
      <c r="L2617" s="19"/>
      <c r="M2617" s="20"/>
    </row>
    <row r="2618">
      <c r="A2618" s="6"/>
      <c r="B2618" s="6"/>
      <c r="C2618" s="4"/>
      <c r="D2618" s="36">
        <v>0.0</v>
      </c>
      <c r="E2618" s="4"/>
      <c r="F2618" s="4"/>
      <c r="G2618" s="4"/>
      <c r="H2618" s="4"/>
      <c r="I2618" s="4"/>
      <c r="J2618" s="18"/>
      <c r="K2618" s="4"/>
      <c r="L2618" s="19"/>
      <c r="M2618" s="20"/>
    </row>
    <row r="2619">
      <c r="A2619" s="6"/>
      <c r="B2619" s="6"/>
      <c r="C2619" s="4"/>
      <c r="D2619" s="36">
        <v>0.0</v>
      </c>
      <c r="E2619" s="4"/>
      <c r="F2619" s="4"/>
      <c r="G2619" s="4"/>
      <c r="H2619" s="4"/>
      <c r="I2619" s="4"/>
      <c r="J2619" s="18"/>
      <c r="K2619" s="4"/>
      <c r="L2619" s="19"/>
      <c r="M2619" s="20"/>
    </row>
    <row r="2620">
      <c r="A2620" s="6"/>
      <c r="B2620" s="6"/>
      <c r="C2620" s="4"/>
      <c r="D2620" s="36">
        <v>0.0</v>
      </c>
      <c r="E2620" s="4"/>
      <c r="F2620" s="4"/>
      <c r="G2620" s="4"/>
      <c r="H2620" s="4"/>
      <c r="I2620" s="4"/>
      <c r="J2620" s="18"/>
      <c r="K2620" s="4"/>
      <c r="L2620" s="19"/>
      <c r="M2620" s="20"/>
    </row>
    <row r="2621">
      <c r="A2621" s="6"/>
      <c r="B2621" s="6"/>
      <c r="C2621" s="4"/>
      <c r="D2621" s="36">
        <v>0.0</v>
      </c>
      <c r="E2621" s="4"/>
      <c r="F2621" s="4"/>
      <c r="G2621" s="4"/>
      <c r="H2621" s="4"/>
      <c r="I2621" s="4"/>
      <c r="J2621" s="18"/>
      <c r="K2621" s="4"/>
      <c r="L2621" s="19"/>
      <c r="M2621" s="20"/>
    </row>
    <row r="2622">
      <c r="A2622" s="6"/>
      <c r="B2622" s="6"/>
      <c r="C2622" s="4"/>
      <c r="D2622" s="36">
        <v>0.0</v>
      </c>
      <c r="E2622" s="4"/>
      <c r="F2622" s="4"/>
      <c r="G2622" s="4"/>
      <c r="H2622" s="4"/>
      <c r="I2622" s="4"/>
      <c r="J2622" s="18"/>
      <c r="K2622" s="4"/>
      <c r="L2622" s="19"/>
      <c r="M2622" s="20"/>
    </row>
    <row r="2623">
      <c r="A2623" s="6"/>
      <c r="B2623" s="6"/>
      <c r="C2623" s="4"/>
      <c r="D2623" s="36">
        <v>0.0</v>
      </c>
      <c r="E2623" s="4"/>
      <c r="F2623" s="4"/>
      <c r="G2623" s="4"/>
      <c r="H2623" s="4"/>
      <c r="I2623" s="4"/>
      <c r="J2623" s="18"/>
      <c r="K2623" s="4"/>
      <c r="L2623" s="19"/>
      <c r="M2623" s="20"/>
    </row>
    <row r="2624">
      <c r="A2624" s="6"/>
      <c r="B2624" s="6"/>
      <c r="C2624" s="4"/>
      <c r="D2624" s="36">
        <v>0.0</v>
      </c>
      <c r="E2624" s="4"/>
      <c r="F2624" s="4"/>
      <c r="G2624" s="4"/>
      <c r="H2624" s="4"/>
      <c r="I2624" s="4"/>
      <c r="J2624" s="18"/>
      <c r="K2624" s="4"/>
      <c r="L2624" s="19"/>
      <c r="M2624" s="20"/>
    </row>
    <row r="2625">
      <c r="A2625" s="6"/>
      <c r="B2625" s="6"/>
      <c r="C2625" s="4"/>
      <c r="D2625" s="36">
        <v>0.0</v>
      </c>
      <c r="E2625" s="4"/>
      <c r="F2625" s="4"/>
      <c r="G2625" s="4"/>
      <c r="H2625" s="4"/>
      <c r="I2625" s="4"/>
      <c r="J2625" s="18"/>
      <c r="K2625" s="4"/>
      <c r="L2625" s="19"/>
      <c r="M2625" s="20"/>
    </row>
    <row r="2626">
      <c r="A2626" s="6"/>
      <c r="B2626" s="6"/>
      <c r="C2626" s="4"/>
      <c r="D2626" s="36">
        <v>0.0</v>
      </c>
      <c r="E2626" s="4"/>
      <c r="F2626" s="4"/>
      <c r="G2626" s="4"/>
      <c r="H2626" s="4"/>
      <c r="I2626" s="4"/>
      <c r="J2626" s="18"/>
      <c r="K2626" s="4"/>
      <c r="L2626" s="19"/>
      <c r="M2626" s="20"/>
    </row>
    <row r="2627">
      <c r="A2627" s="6"/>
      <c r="B2627" s="6"/>
      <c r="C2627" s="4"/>
      <c r="D2627" s="36">
        <v>0.0</v>
      </c>
      <c r="E2627" s="4"/>
      <c r="F2627" s="4"/>
      <c r="G2627" s="4"/>
      <c r="H2627" s="4"/>
      <c r="I2627" s="4"/>
      <c r="J2627" s="18"/>
      <c r="K2627" s="4"/>
      <c r="L2627" s="19"/>
      <c r="M2627" s="20"/>
    </row>
    <row r="2628">
      <c r="A2628" s="6"/>
      <c r="B2628" s="6"/>
      <c r="C2628" s="4"/>
      <c r="D2628" s="36">
        <v>0.0</v>
      </c>
      <c r="E2628" s="4"/>
      <c r="F2628" s="4"/>
      <c r="G2628" s="4"/>
      <c r="H2628" s="4"/>
      <c r="I2628" s="4"/>
      <c r="J2628" s="18"/>
      <c r="K2628" s="4"/>
      <c r="L2628" s="19"/>
      <c r="M2628" s="20"/>
    </row>
    <row r="2629">
      <c r="A2629" s="6"/>
      <c r="B2629" s="6"/>
      <c r="C2629" s="4"/>
      <c r="D2629" s="36">
        <v>0.0</v>
      </c>
      <c r="E2629" s="4"/>
      <c r="F2629" s="4"/>
      <c r="G2629" s="4"/>
      <c r="H2629" s="4"/>
      <c r="I2629" s="4"/>
      <c r="J2629" s="18"/>
      <c r="K2629" s="4"/>
      <c r="L2629" s="19"/>
      <c r="M2629" s="20"/>
    </row>
    <row r="2630">
      <c r="A2630" s="6"/>
      <c r="B2630" s="6"/>
      <c r="C2630" s="4"/>
      <c r="D2630" s="36">
        <v>0.0</v>
      </c>
      <c r="E2630" s="4"/>
      <c r="F2630" s="4"/>
      <c r="G2630" s="4"/>
      <c r="H2630" s="4"/>
      <c r="I2630" s="4"/>
      <c r="J2630" s="18"/>
      <c r="K2630" s="4"/>
      <c r="L2630" s="19"/>
      <c r="M2630" s="20"/>
    </row>
    <row r="2631">
      <c r="A2631" s="6"/>
      <c r="B2631" s="6"/>
      <c r="C2631" s="4"/>
      <c r="D2631" s="36">
        <v>0.0</v>
      </c>
      <c r="E2631" s="4"/>
      <c r="F2631" s="4"/>
      <c r="G2631" s="4"/>
      <c r="H2631" s="4"/>
      <c r="I2631" s="4"/>
      <c r="J2631" s="18"/>
      <c r="K2631" s="4"/>
      <c r="L2631" s="19"/>
      <c r="M2631" s="20"/>
    </row>
    <row r="2632">
      <c r="A2632" s="6"/>
      <c r="B2632" s="6"/>
      <c r="C2632" s="4"/>
      <c r="D2632" s="36">
        <v>0.0</v>
      </c>
      <c r="E2632" s="4"/>
      <c r="F2632" s="4"/>
      <c r="G2632" s="4"/>
      <c r="H2632" s="4"/>
      <c r="I2632" s="4"/>
      <c r="J2632" s="18"/>
      <c r="K2632" s="4"/>
      <c r="L2632" s="19"/>
      <c r="M2632" s="20"/>
    </row>
    <row r="2633">
      <c r="A2633" s="6"/>
      <c r="B2633" s="6"/>
      <c r="C2633" s="4"/>
      <c r="D2633" s="36">
        <v>0.0</v>
      </c>
      <c r="E2633" s="4"/>
      <c r="F2633" s="4"/>
      <c r="G2633" s="4"/>
      <c r="H2633" s="4"/>
      <c r="I2633" s="4"/>
      <c r="J2633" s="18"/>
      <c r="K2633" s="4"/>
      <c r="L2633" s="19"/>
      <c r="M2633" s="20"/>
    </row>
    <row r="2634">
      <c r="A2634" s="6"/>
      <c r="B2634" s="6"/>
      <c r="C2634" s="4"/>
      <c r="D2634" s="36">
        <v>0.0</v>
      </c>
      <c r="E2634" s="4"/>
      <c r="F2634" s="4"/>
      <c r="G2634" s="4"/>
      <c r="H2634" s="4"/>
      <c r="I2634" s="4"/>
      <c r="J2634" s="18"/>
      <c r="K2634" s="4"/>
      <c r="L2634" s="19"/>
      <c r="M2634" s="20"/>
    </row>
    <row r="2635">
      <c r="A2635" s="6"/>
      <c r="B2635" s="6"/>
      <c r="C2635" s="4"/>
      <c r="D2635" s="36">
        <v>0.0</v>
      </c>
      <c r="E2635" s="4"/>
      <c r="F2635" s="4"/>
      <c r="G2635" s="4"/>
      <c r="H2635" s="4"/>
      <c r="I2635" s="4"/>
      <c r="J2635" s="18"/>
      <c r="K2635" s="4"/>
      <c r="L2635" s="19"/>
      <c r="M2635" s="20"/>
    </row>
    <row r="2636">
      <c r="A2636" s="6"/>
      <c r="B2636" s="6"/>
      <c r="C2636" s="4"/>
      <c r="D2636" s="36">
        <v>0.0</v>
      </c>
      <c r="E2636" s="4"/>
      <c r="F2636" s="4"/>
      <c r="G2636" s="4"/>
      <c r="H2636" s="4"/>
      <c r="I2636" s="4"/>
      <c r="J2636" s="18"/>
      <c r="K2636" s="4"/>
      <c r="L2636" s="19"/>
      <c r="M2636" s="20"/>
    </row>
    <row r="2637">
      <c r="A2637" s="6"/>
      <c r="B2637" s="6"/>
      <c r="C2637" s="4"/>
      <c r="D2637" s="36">
        <v>0.0</v>
      </c>
      <c r="E2637" s="4"/>
      <c r="F2637" s="4"/>
      <c r="G2637" s="4"/>
      <c r="H2637" s="4"/>
      <c r="I2637" s="4"/>
      <c r="J2637" s="18"/>
      <c r="K2637" s="4"/>
      <c r="L2637" s="19"/>
      <c r="M2637" s="20"/>
    </row>
    <row r="2638">
      <c r="A2638" s="6"/>
      <c r="B2638" s="6"/>
      <c r="C2638" s="4"/>
      <c r="D2638" s="36">
        <v>0.0</v>
      </c>
      <c r="E2638" s="4"/>
      <c r="F2638" s="4"/>
      <c r="G2638" s="4"/>
      <c r="H2638" s="4"/>
      <c r="I2638" s="4"/>
      <c r="J2638" s="18"/>
      <c r="K2638" s="4"/>
      <c r="L2638" s="19"/>
      <c r="M2638" s="20"/>
    </row>
    <row r="2639">
      <c r="A2639" s="6"/>
      <c r="B2639" s="6"/>
      <c r="C2639" s="4"/>
      <c r="D2639" s="36">
        <v>0.0</v>
      </c>
      <c r="E2639" s="4"/>
      <c r="F2639" s="4"/>
      <c r="G2639" s="4"/>
      <c r="H2639" s="4"/>
      <c r="I2639" s="4"/>
      <c r="J2639" s="18"/>
      <c r="K2639" s="4"/>
      <c r="L2639" s="19"/>
      <c r="M2639" s="20"/>
    </row>
    <row r="2640">
      <c r="A2640" s="6"/>
      <c r="B2640" s="6"/>
      <c r="C2640" s="4"/>
      <c r="D2640" s="36">
        <v>0.0</v>
      </c>
      <c r="E2640" s="4"/>
      <c r="F2640" s="4"/>
      <c r="G2640" s="4"/>
      <c r="H2640" s="4"/>
      <c r="I2640" s="4"/>
      <c r="J2640" s="18"/>
      <c r="K2640" s="4"/>
      <c r="L2640" s="19"/>
      <c r="M2640" s="20"/>
    </row>
    <row r="2641">
      <c r="A2641" s="6"/>
      <c r="B2641" s="6"/>
      <c r="C2641" s="4"/>
      <c r="D2641" s="36">
        <v>0.0</v>
      </c>
      <c r="E2641" s="4"/>
      <c r="F2641" s="4"/>
      <c r="G2641" s="4"/>
      <c r="H2641" s="4"/>
      <c r="I2641" s="4"/>
      <c r="J2641" s="18"/>
      <c r="K2641" s="4"/>
      <c r="L2641" s="19"/>
      <c r="M2641" s="20"/>
    </row>
    <row r="2642">
      <c r="A2642" s="6"/>
      <c r="B2642" s="6"/>
      <c r="C2642" s="4"/>
      <c r="D2642" s="36">
        <v>0.0</v>
      </c>
      <c r="E2642" s="4"/>
      <c r="F2642" s="4"/>
      <c r="G2642" s="4"/>
      <c r="H2642" s="4"/>
      <c r="I2642" s="4"/>
      <c r="J2642" s="18"/>
      <c r="K2642" s="4"/>
      <c r="L2642" s="19"/>
      <c r="M2642" s="20"/>
    </row>
    <row r="2643">
      <c r="A2643" s="6"/>
      <c r="B2643" s="6"/>
      <c r="C2643" s="4"/>
      <c r="D2643" s="36">
        <v>0.0</v>
      </c>
      <c r="E2643" s="4"/>
      <c r="F2643" s="4"/>
      <c r="G2643" s="4"/>
      <c r="H2643" s="4"/>
      <c r="I2643" s="4"/>
      <c r="J2643" s="18"/>
      <c r="K2643" s="4"/>
      <c r="L2643" s="19"/>
      <c r="M2643" s="20"/>
    </row>
    <row r="2644">
      <c r="A2644" s="6"/>
      <c r="B2644" s="6"/>
      <c r="C2644" s="4"/>
      <c r="D2644" s="36">
        <v>0.0</v>
      </c>
      <c r="E2644" s="4"/>
      <c r="F2644" s="4"/>
      <c r="G2644" s="4"/>
      <c r="H2644" s="4"/>
      <c r="I2644" s="4"/>
      <c r="J2644" s="18"/>
      <c r="K2644" s="4"/>
      <c r="L2644" s="19"/>
      <c r="M2644" s="20"/>
    </row>
    <row r="2645">
      <c r="A2645" s="6"/>
      <c r="B2645" s="6"/>
      <c r="C2645" s="4"/>
      <c r="D2645" s="36">
        <v>0.0</v>
      </c>
      <c r="E2645" s="4"/>
      <c r="F2645" s="4"/>
      <c r="G2645" s="4"/>
      <c r="H2645" s="4"/>
      <c r="I2645" s="4"/>
      <c r="J2645" s="18"/>
      <c r="K2645" s="4"/>
      <c r="L2645" s="19"/>
      <c r="M2645" s="20"/>
    </row>
    <row r="2646">
      <c r="A2646" s="6"/>
      <c r="B2646" s="6"/>
      <c r="C2646" s="4"/>
      <c r="D2646" s="36">
        <v>0.0</v>
      </c>
      <c r="E2646" s="4"/>
      <c r="F2646" s="4"/>
      <c r="G2646" s="4"/>
      <c r="H2646" s="4"/>
      <c r="I2646" s="4"/>
      <c r="J2646" s="18"/>
      <c r="K2646" s="4"/>
      <c r="L2646" s="19"/>
      <c r="M2646" s="20"/>
    </row>
    <row r="2647">
      <c r="A2647" s="6"/>
      <c r="B2647" s="6"/>
      <c r="C2647" s="4"/>
      <c r="D2647" s="36">
        <v>0.0</v>
      </c>
      <c r="E2647" s="4"/>
      <c r="F2647" s="4"/>
      <c r="G2647" s="4"/>
      <c r="H2647" s="4"/>
      <c r="I2647" s="4"/>
      <c r="J2647" s="18"/>
      <c r="K2647" s="4"/>
      <c r="L2647" s="19"/>
      <c r="M2647" s="20"/>
    </row>
    <row r="2648">
      <c r="A2648" s="6"/>
      <c r="B2648" s="6"/>
      <c r="C2648" s="4"/>
      <c r="D2648" s="36">
        <v>0.0</v>
      </c>
      <c r="E2648" s="4"/>
      <c r="F2648" s="4"/>
      <c r="G2648" s="4"/>
      <c r="H2648" s="4"/>
      <c r="I2648" s="4"/>
      <c r="J2648" s="18"/>
      <c r="K2648" s="4"/>
      <c r="L2648" s="19"/>
      <c r="M2648" s="20"/>
    </row>
    <row r="2649">
      <c r="A2649" s="6"/>
      <c r="B2649" s="6"/>
      <c r="C2649" s="4"/>
      <c r="D2649" s="36">
        <v>0.0</v>
      </c>
      <c r="E2649" s="4"/>
      <c r="F2649" s="4"/>
      <c r="G2649" s="4"/>
      <c r="H2649" s="4"/>
      <c r="I2649" s="4"/>
      <c r="J2649" s="18"/>
      <c r="K2649" s="4"/>
      <c r="L2649" s="19"/>
      <c r="M2649" s="20"/>
    </row>
    <row r="2650">
      <c r="A2650" s="6"/>
      <c r="B2650" s="6"/>
      <c r="C2650" s="4"/>
      <c r="D2650" s="36">
        <v>0.0</v>
      </c>
      <c r="E2650" s="4"/>
      <c r="F2650" s="4"/>
      <c r="G2650" s="4"/>
      <c r="H2650" s="4"/>
      <c r="I2650" s="4"/>
      <c r="J2650" s="18"/>
      <c r="K2650" s="4"/>
      <c r="L2650" s="19"/>
      <c r="M2650" s="20"/>
    </row>
    <row r="2651">
      <c r="A2651" s="6"/>
      <c r="B2651" s="6"/>
      <c r="C2651" s="4"/>
      <c r="D2651" s="36">
        <v>0.0</v>
      </c>
      <c r="E2651" s="4"/>
      <c r="F2651" s="4"/>
      <c r="G2651" s="4"/>
      <c r="H2651" s="4"/>
      <c r="I2651" s="4"/>
      <c r="J2651" s="18"/>
      <c r="K2651" s="4"/>
      <c r="L2651" s="19"/>
      <c r="M2651" s="20"/>
    </row>
    <row r="2652">
      <c r="A2652" s="6"/>
      <c r="B2652" s="6"/>
      <c r="C2652" s="4"/>
      <c r="D2652" s="36">
        <v>0.0</v>
      </c>
      <c r="E2652" s="4"/>
      <c r="F2652" s="4"/>
      <c r="G2652" s="4"/>
      <c r="H2652" s="4"/>
      <c r="I2652" s="4"/>
      <c r="J2652" s="18"/>
      <c r="K2652" s="4"/>
      <c r="L2652" s="19"/>
      <c r="M2652" s="20"/>
    </row>
    <row r="2653">
      <c r="A2653" s="6"/>
      <c r="B2653" s="6"/>
      <c r="C2653" s="4"/>
      <c r="D2653" s="36">
        <v>0.0</v>
      </c>
      <c r="E2653" s="4"/>
      <c r="F2653" s="4"/>
      <c r="G2653" s="4"/>
      <c r="H2653" s="4"/>
      <c r="I2653" s="4"/>
      <c r="J2653" s="18"/>
      <c r="K2653" s="4"/>
      <c r="L2653" s="19"/>
      <c r="M2653" s="20"/>
    </row>
    <row r="2654">
      <c r="A2654" s="6"/>
      <c r="B2654" s="6"/>
      <c r="C2654" s="4"/>
      <c r="D2654" s="36">
        <v>0.0</v>
      </c>
      <c r="E2654" s="4"/>
      <c r="F2654" s="4"/>
      <c r="G2654" s="4"/>
      <c r="H2654" s="4"/>
      <c r="I2654" s="4"/>
      <c r="J2654" s="18"/>
      <c r="K2654" s="4"/>
      <c r="L2654" s="19"/>
      <c r="M2654" s="20"/>
    </row>
    <row r="2655">
      <c r="A2655" s="6"/>
      <c r="B2655" s="6"/>
      <c r="C2655" s="4"/>
      <c r="D2655" s="36">
        <v>0.0</v>
      </c>
      <c r="E2655" s="4"/>
      <c r="F2655" s="4"/>
      <c r="G2655" s="4"/>
      <c r="H2655" s="4"/>
      <c r="I2655" s="4"/>
      <c r="J2655" s="18"/>
      <c r="K2655" s="4"/>
      <c r="L2655" s="19"/>
      <c r="M2655" s="20"/>
    </row>
    <row r="2656">
      <c r="A2656" s="6"/>
      <c r="B2656" s="6"/>
      <c r="C2656" s="4"/>
      <c r="D2656" s="36">
        <v>0.0</v>
      </c>
      <c r="E2656" s="4"/>
      <c r="F2656" s="4"/>
      <c r="G2656" s="4"/>
      <c r="H2656" s="4"/>
      <c r="I2656" s="4"/>
      <c r="J2656" s="18"/>
      <c r="K2656" s="4"/>
      <c r="L2656" s="19"/>
      <c r="M2656" s="20"/>
    </row>
    <row r="2657">
      <c r="A2657" s="6"/>
      <c r="B2657" s="6"/>
      <c r="C2657" s="4"/>
      <c r="D2657" s="36">
        <v>0.0</v>
      </c>
      <c r="E2657" s="4"/>
      <c r="F2657" s="4"/>
      <c r="G2657" s="4"/>
      <c r="H2657" s="4"/>
      <c r="I2657" s="4"/>
      <c r="J2657" s="18"/>
      <c r="K2657" s="4"/>
      <c r="L2657" s="19"/>
      <c r="M2657" s="20"/>
    </row>
    <row r="2658">
      <c r="A2658" s="6"/>
      <c r="B2658" s="6"/>
      <c r="C2658" s="4"/>
      <c r="D2658" s="36">
        <v>0.0</v>
      </c>
      <c r="E2658" s="4"/>
      <c r="F2658" s="4"/>
      <c r="G2658" s="4"/>
      <c r="H2658" s="4"/>
      <c r="I2658" s="4"/>
      <c r="J2658" s="18"/>
      <c r="K2658" s="4"/>
      <c r="L2658" s="19"/>
      <c r="M2658" s="20"/>
    </row>
    <row r="2659">
      <c r="A2659" s="6"/>
      <c r="B2659" s="6"/>
      <c r="C2659" s="4"/>
      <c r="D2659" s="36">
        <v>0.0</v>
      </c>
      <c r="E2659" s="4"/>
      <c r="F2659" s="4"/>
      <c r="G2659" s="4"/>
      <c r="H2659" s="4"/>
      <c r="I2659" s="4"/>
      <c r="J2659" s="18"/>
      <c r="K2659" s="4"/>
      <c r="L2659" s="19"/>
      <c r="M2659" s="20"/>
    </row>
    <row r="2660">
      <c r="A2660" s="6"/>
      <c r="B2660" s="6"/>
      <c r="C2660" s="4"/>
      <c r="D2660" s="36">
        <v>0.0</v>
      </c>
      <c r="E2660" s="4"/>
      <c r="F2660" s="4"/>
      <c r="G2660" s="4"/>
      <c r="H2660" s="4"/>
      <c r="I2660" s="4"/>
      <c r="J2660" s="18"/>
      <c r="K2660" s="4"/>
      <c r="L2660" s="19"/>
      <c r="M2660" s="20"/>
    </row>
    <row r="2661">
      <c r="A2661" s="6"/>
      <c r="B2661" s="6"/>
      <c r="C2661" s="4"/>
      <c r="D2661" s="36">
        <v>0.0</v>
      </c>
      <c r="E2661" s="4"/>
      <c r="F2661" s="4"/>
      <c r="G2661" s="4"/>
      <c r="H2661" s="4"/>
      <c r="I2661" s="4"/>
      <c r="J2661" s="18"/>
      <c r="K2661" s="4"/>
      <c r="L2661" s="19"/>
      <c r="M2661" s="20"/>
    </row>
    <row r="2662">
      <c r="A2662" s="6"/>
      <c r="B2662" s="6"/>
      <c r="C2662" s="4"/>
      <c r="D2662" s="36">
        <v>0.0</v>
      </c>
      <c r="E2662" s="4"/>
      <c r="F2662" s="4"/>
      <c r="G2662" s="4"/>
      <c r="H2662" s="4"/>
      <c r="I2662" s="4"/>
      <c r="J2662" s="18"/>
      <c r="K2662" s="4"/>
      <c r="L2662" s="19"/>
      <c r="M2662" s="20"/>
    </row>
    <row r="2663">
      <c r="A2663" s="6"/>
      <c r="B2663" s="6"/>
      <c r="C2663" s="4"/>
      <c r="D2663" s="36">
        <v>0.0</v>
      </c>
      <c r="E2663" s="4"/>
      <c r="F2663" s="4"/>
      <c r="G2663" s="4"/>
      <c r="H2663" s="4"/>
      <c r="I2663" s="4"/>
      <c r="J2663" s="18"/>
      <c r="K2663" s="4"/>
      <c r="L2663" s="19"/>
      <c r="M2663" s="20"/>
    </row>
    <row r="2664">
      <c r="A2664" s="6"/>
      <c r="B2664" s="6"/>
      <c r="C2664" s="4"/>
      <c r="D2664" s="36">
        <v>0.0</v>
      </c>
      <c r="E2664" s="4"/>
      <c r="F2664" s="4"/>
      <c r="G2664" s="4"/>
      <c r="H2664" s="4"/>
      <c r="I2664" s="4"/>
      <c r="J2664" s="18"/>
      <c r="K2664" s="4"/>
      <c r="L2664" s="19"/>
      <c r="M2664" s="20"/>
    </row>
    <row r="2665">
      <c r="A2665" s="6"/>
      <c r="B2665" s="6"/>
      <c r="C2665" s="4"/>
      <c r="D2665" s="36">
        <v>0.0</v>
      </c>
      <c r="E2665" s="4"/>
      <c r="F2665" s="4"/>
      <c r="G2665" s="4"/>
      <c r="H2665" s="4"/>
      <c r="I2665" s="4"/>
      <c r="J2665" s="18"/>
      <c r="K2665" s="4"/>
      <c r="L2665" s="19"/>
      <c r="M2665" s="20"/>
    </row>
    <row r="2666">
      <c r="A2666" s="6"/>
      <c r="B2666" s="6"/>
      <c r="C2666" s="4"/>
      <c r="D2666" s="36">
        <v>0.0</v>
      </c>
      <c r="E2666" s="4"/>
      <c r="F2666" s="4"/>
      <c r="G2666" s="4"/>
      <c r="H2666" s="4"/>
      <c r="I2666" s="4"/>
      <c r="J2666" s="18"/>
      <c r="K2666" s="4"/>
      <c r="L2666" s="19"/>
      <c r="M2666" s="20"/>
    </row>
    <row r="2667">
      <c r="A2667" s="6"/>
      <c r="B2667" s="6"/>
      <c r="C2667" s="4"/>
      <c r="D2667" s="36">
        <v>0.0</v>
      </c>
      <c r="E2667" s="4"/>
      <c r="F2667" s="4"/>
      <c r="G2667" s="4"/>
      <c r="H2667" s="4"/>
      <c r="I2667" s="4"/>
      <c r="J2667" s="18"/>
      <c r="K2667" s="4"/>
      <c r="L2667" s="19"/>
      <c r="M2667" s="20"/>
    </row>
    <row r="2668">
      <c r="A2668" s="6"/>
      <c r="B2668" s="6"/>
      <c r="C2668" s="4"/>
      <c r="D2668" s="36">
        <v>0.0</v>
      </c>
      <c r="E2668" s="4"/>
      <c r="F2668" s="4"/>
      <c r="G2668" s="4"/>
      <c r="H2668" s="4"/>
      <c r="I2668" s="4"/>
      <c r="J2668" s="18"/>
      <c r="K2668" s="4"/>
      <c r="L2668" s="19"/>
      <c r="M2668" s="20"/>
    </row>
    <row r="2669">
      <c r="A2669" s="6"/>
      <c r="B2669" s="6"/>
      <c r="C2669" s="4"/>
      <c r="D2669" s="36">
        <v>0.0</v>
      </c>
      <c r="E2669" s="4"/>
      <c r="F2669" s="4"/>
      <c r="G2669" s="4"/>
      <c r="H2669" s="4"/>
      <c r="I2669" s="4"/>
      <c r="J2669" s="18"/>
      <c r="K2669" s="4"/>
      <c r="L2669" s="19"/>
      <c r="M2669" s="20"/>
    </row>
    <row r="2670">
      <c r="A2670" s="6"/>
      <c r="B2670" s="6"/>
      <c r="C2670" s="4"/>
      <c r="D2670" s="36">
        <v>0.0</v>
      </c>
      <c r="E2670" s="4"/>
      <c r="F2670" s="4"/>
      <c r="G2670" s="4"/>
      <c r="H2670" s="4"/>
      <c r="I2670" s="4"/>
      <c r="J2670" s="18"/>
      <c r="K2670" s="4"/>
      <c r="L2670" s="19"/>
      <c r="M2670" s="20"/>
    </row>
    <row r="2671">
      <c r="A2671" s="6"/>
      <c r="B2671" s="6"/>
      <c r="C2671" s="4"/>
      <c r="D2671" s="36">
        <v>0.0</v>
      </c>
      <c r="E2671" s="4"/>
      <c r="F2671" s="4"/>
      <c r="G2671" s="4"/>
      <c r="H2671" s="4"/>
      <c r="I2671" s="4"/>
      <c r="J2671" s="18"/>
      <c r="K2671" s="4"/>
      <c r="L2671" s="19"/>
      <c r="M2671" s="20"/>
    </row>
    <row r="2672">
      <c r="A2672" s="6"/>
      <c r="B2672" s="6"/>
      <c r="C2672" s="4"/>
      <c r="D2672" s="36">
        <v>0.0</v>
      </c>
      <c r="E2672" s="4"/>
      <c r="F2672" s="4"/>
      <c r="G2672" s="4"/>
      <c r="H2672" s="4"/>
      <c r="I2672" s="4"/>
      <c r="J2672" s="18"/>
      <c r="K2672" s="4"/>
      <c r="L2672" s="19"/>
      <c r="M2672" s="20"/>
    </row>
    <row r="2673">
      <c r="A2673" s="6"/>
      <c r="B2673" s="6"/>
      <c r="C2673" s="4"/>
      <c r="D2673" s="36">
        <v>0.0</v>
      </c>
      <c r="E2673" s="4"/>
      <c r="F2673" s="4"/>
      <c r="G2673" s="4"/>
      <c r="H2673" s="4"/>
      <c r="I2673" s="4"/>
      <c r="J2673" s="18"/>
      <c r="K2673" s="4"/>
      <c r="L2673" s="19"/>
      <c r="M2673" s="20"/>
    </row>
    <row r="2674">
      <c r="A2674" s="6"/>
      <c r="B2674" s="6"/>
      <c r="C2674" s="4"/>
      <c r="D2674" s="36">
        <v>0.0</v>
      </c>
      <c r="E2674" s="4"/>
      <c r="F2674" s="4"/>
      <c r="G2674" s="4"/>
      <c r="H2674" s="4"/>
      <c r="I2674" s="4"/>
      <c r="J2674" s="18"/>
      <c r="K2674" s="4"/>
      <c r="L2674" s="19"/>
      <c r="M2674" s="20"/>
    </row>
    <row r="2675">
      <c r="A2675" s="6"/>
      <c r="B2675" s="6"/>
      <c r="C2675" s="4"/>
      <c r="D2675" s="36">
        <v>0.0</v>
      </c>
      <c r="E2675" s="4"/>
      <c r="F2675" s="4"/>
      <c r="G2675" s="4"/>
      <c r="H2675" s="4"/>
      <c r="I2675" s="4"/>
      <c r="J2675" s="18"/>
      <c r="K2675" s="4"/>
      <c r="L2675" s="19"/>
      <c r="M2675" s="20"/>
    </row>
    <row r="2676">
      <c r="A2676" s="6"/>
      <c r="B2676" s="6"/>
      <c r="C2676" s="4"/>
      <c r="D2676" s="36">
        <v>0.0</v>
      </c>
      <c r="E2676" s="4"/>
      <c r="F2676" s="4"/>
      <c r="G2676" s="4"/>
      <c r="H2676" s="4"/>
      <c r="I2676" s="4"/>
      <c r="J2676" s="18"/>
      <c r="K2676" s="4"/>
      <c r="L2676" s="19"/>
      <c r="M2676" s="20"/>
    </row>
    <row r="2677">
      <c r="A2677" s="6"/>
      <c r="B2677" s="6"/>
      <c r="C2677" s="4"/>
      <c r="D2677" s="36">
        <v>0.0</v>
      </c>
      <c r="E2677" s="4"/>
      <c r="F2677" s="4"/>
      <c r="G2677" s="4"/>
      <c r="H2677" s="4"/>
      <c r="I2677" s="4"/>
      <c r="J2677" s="18"/>
      <c r="K2677" s="4"/>
      <c r="L2677" s="19"/>
      <c r="M2677" s="20"/>
    </row>
    <row r="2678">
      <c r="A2678" s="6"/>
      <c r="B2678" s="6"/>
      <c r="C2678" s="4"/>
      <c r="D2678" s="36">
        <v>0.0</v>
      </c>
      <c r="E2678" s="4"/>
      <c r="F2678" s="4"/>
      <c r="G2678" s="4"/>
      <c r="H2678" s="4"/>
      <c r="I2678" s="4"/>
      <c r="J2678" s="18"/>
      <c r="K2678" s="4"/>
      <c r="L2678" s="19"/>
      <c r="M2678" s="20"/>
    </row>
    <row r="2679">
      <c r="A2679" s="6"/>
      <c r="B2679" s="6"/>
      <c r="C2679" s="4"/>
      <c r="D2679" s="36">
        <v>0.0</v>
      </c>
      <c r="E2679" s="4"/>
      <c r="F2679" s="4"/>
      <c r="G2679" s="4"/>
      <c r="H2679" s="4"/>
      <c r="I2679" s="4"/>
      <c r="J2679" s="18"/>
      <c r="K2679" s="4"/>
      <c r="L2679" s="19"/>
      <c r="M2679" s="20"/>
    </row>
    <row r="2680">
      <c r="A2680" s="6"/>
      <c r="B2680" s="6"/>
      <c r="C2680" s="4"/>
      <c r="D2680" s="36">
        <v>0.0</v>
      </c>
      <c r="E2680" s="4"/>
      <c r="F2680" s="4"/>
      <c r="G2680" s="4"/>
      <c r="H2680" s="4"/>
      <c r="I2680" s="4"/>
      <c r="J2680" s="18"/>
      <c r="K2680" s="4"/>
      <c r="L2680" s="19"/>
      <c r="M2680" s="20"/>
    </row>
    <row r="2681">
      <c r="A2681" s="6"/>
      <c r="B2681" s="6"/>
      <c r="C2681" s="4"/>
      <c r="D2681" s="36">
        <v>0.0</v>
      </c>
      <c r="E2681" s="4"/>
      <c r="F2681" s="4"/>
      <c r="G2681" s="4"/>
      <c r="H2681" s="4"/>
      <c r="I2681" s="4"/>
      <c r="J2681" s="18"/>
      <c r="K2681" s="4"/>
      <c r="L2681" s="19"/>
      <c r="M2681" s="20"/>
    </row>
    <row r="2682">
      <c r="A2682" s="6"/>
      <c r="B2682" s="6"/>
      <c r="C2682" s="4"/>
      <c r="D2682" s="36">
        <v>0.0</v>
      </c>
      <c r="E2682" s="4"/>
      <c r="F2682" s="4"/>
      <c r="G2682" s="4"/>
      <c r="H2682" s="4"/>
      <c r="I2682" s="4"/>
      <c r="J2682" s="18"/>
      <c r="K2682" s="4"/>
      <c r="L2682" s="19"/>
      <c r="M2682" s="20"/>
    </row>
    <row r="2683">
      <c r="A2683" s="6"/>
      <c r="B2683" s="6"/>
      <c r="C2683" s="4"/>
      <c r="D2683" s="36">
        <v>0.0</v>
      </c>
      <c r="E2683" s="4"/>
      <c r="F2683" s="4"/>
      <c r="G2683" s="4"/>
      <c r="H2683" s="4"/>
      <c r="I2683" s="4"/>
      <c r="J2683" s="18"/>
      <c r="K2683" s="4"/>
      <c r="L2683" s="19"/>
      <c r="M2683" s="20"/>
    </row>
    <row r="2684">
      <c r="A2684" s="6"/>
      <c r="B2684" s="6"/>
      <c r="C2684" s="4"/>
      <c r="D2684" s="36">
        <v>0.0</v>
      </c>
      <c r="E2684" s="4"/>
      <c r="F2684" s="4"/>
      <c r="G2684" s="4"/>
      <c r="H2684" s="4"/>
      <c r="I2684" s="4"/>
      <c r="J2684" s="18"/>
      <c r="K2684" s="4"/>
      <c r="L2684" s="19"/>
      <c r="M2684" s="20"/>
    </row>
    <row r="2685">
      <c r="A2685" s="6"/>
      <c r="B2685" s="6"/>
      <c r="C2685" s="4"/>
      <c r="D2685" s="36">
        <v>0.0</v>
      </c>
      <c r="E2685" s="4"/>
      <c r="F2685" s="4"/>
      <c r="G2685" s="4"/>
      <c r="H2685" s="4"/>
      <c r="I2685" s="4"/>
      <c r="J2685" s="18"/>
      <c r="K2685" s="4"/>
      <c r="L2685" s="19"/>
      <c r="M2685" s="20"/>
    </row>
    <row r="2686">
      <c r="A2686" s="6"/>
      <c r="B2686" s="6"/>
      <c r="C2686" s="4"/>
      <c r="D2686" s="36">
        <v>0.0</v>
      </c>
      <c r="E2686" s="4"/>
      <c r="F2686" s="4"/>
      <c r="G2686" s="4"/>
      <c r="H2686" s="4"/>
      <c r="I2686" s="4"/>
      <c r="J2686" s="18"/>
      <c r="K2686" s="4"/>
      <c r="L2686" s="19"/>
      <c r="M2686" s="20"/>
    </row>
    <row r="2687">
      <c r="A2687" s="6"/>
      <c r="B2687" s="6"/>
      <c r="C2687" s="4"/>
      <c r="D2687" s="36">
        <v>0.0</v>
      </c>
      <c r="E2687" s="4"/>
      <c r="F2687" s="4"/>
      <c r="G2687" s="4"/>
      <c r="H2687" s="4"/>
      <c r="I2687" s="4"/>
      <c r="J2687" s="18"/>
      <c r="K2687" s="4"/>
      <c r="L2687" s="19"/>
      <c r="M2687" s="20"/>
    </row>
    <row r="2688">
      <c r="A2688" s="6"/>
      <c r="B2688" s="6"/>
      <c r="C2688" s="4"/>
      <c r="D2688" s="36">
        <v>0.0</v>
      </c>
      <c r="E2688" s="4"/>
      <c r="F2688" s="4"/>
      <c r="G2688" s="4"/>
      <c r="H2688" s="4"/>
      <c r="I2688" s="4"/>
      <c r="J2688" s="18"/>
      <c r="K2688" s="4"/>
      <c r="L2688" s="19"/>
      <c r="M2688" s="20"/>
    </row>
    <row r="2689">
      <c r="A2689" s="6"/>
      <c r="B2689" s="6"/>
      <c r="C2689" s="4"/>
      <c r="D2689" s="36">
        <v>0.0</v>
      </c>
      <c r="E2689" s="4"/>
      <c r="F2689" s="4"/>
      <c r="G2689" s="4"/>
      <c r="H2689" s="4"/>
      <c r="I2689" s="4"/>
      <c r="J2689" s="18"/>
      <c r="K2689" s="4"/>
      <c r="L2689" s="19"/>
      <c r="M2689" s="20"/>
    </row>
    <row r="2690">
      <c r="A2690" s="6"/>
      <c r="B2690" s="6"/>
      <c r="C2690" s="4"/>
      <c r="D2690" s="36">
        <v>0.0</v>
      </c>
      <c r="E2690" s="4"/>
      <c r="F2690" s="4"/>
      <c r="G2690" s="4"/>
      <c r="H2690" s="4"/>
      <c r="I2690" s="4"/>
      <c r="J2690" s="18"/>
      <c r="K2690" s="4"/>
      <c r="L2690" s="19"/>
      <c r="M2690" s="20"/>
    </row>
    <row r="2691">
      <c r="A2691" s="6"/>
      <c r="B2691" s="6"/>
      <c r="C2691" s="4"/>
      <c r="D2691" s="36">
        <v>0.0</v>
      </c>
      <c r="E2691" s="4"/>
      <c r="F2691" s="4"/>
      <c r="G2691" s="4"/>
      <c r="H2691" s="4"/>
      <c r="I2691" s="4"/>
      <c r="J2691" s="18"/>
      <c r="K2691" s="4"/>
      <c r="L2691" s="19"/>
      <c r="M2691" s="20"/>
    </row>
    <row r="2692">
      <c r="A2692" s="6"/>
      <c r="B2692" s="6"/>
      <c r="C2692" s="4"/>
      <c r="D2692" s="36">
        <v>0.0</v>
      </c>
      <c r="E2692" s="4"/>
      <c r="F2692" s="4"/>
      <c r="G2692" s="4"/>
      <c r="H2692" s="4"/>
      <c r="I2692" s="4"/>
      <c r="J2692" s="18"/>
      <c r="K2692" s="4"/>
      <c r="L2692" s="19"/>
      <c r="M2692" s="20"/>
    </row>
    <row r="2693">
      <c r="A2693" s="6"/>
      <c r="B2693" s="6"/>
      <c r="C2693" s="4"/>
      <c r="D2693" s="36">
        <v>0.0</v>
      </c>
      <c r="E2693" s="4"/>
      <c r="F2693" s="4"/>
      <c r="G2693" s="4"/>
      <c r="H2693" s="4"/>
      <c r="I2693" s="4"/>
      <c r="J2693" s="18"/>
      <c r="K2693" s="4"/>
      <c r="L2693" s="19"/>
      <c r="M2693" s="20"/>
    </row>
    <row r="2694">
      <c r="A2694" s="6"/>
      <c r="B2694" s="6"/>
      <c r="C2694" s="4"/>
      <c r="D2694" s="36">
        <v>0.0</v>
      </c>
      <c r="E2694" s="4"/>
      <c r="F2694" s="4"/>
      <c r="G2694" s="4"/>
      <c r="H2694" s="4"/>
      <c r="I2694" s="4"/>
      <c r="J2694" s="18"/>
      <c r="K2694" s="4"/>
      <c r="L2694" s="19"/>
      <c r="M2694" s="20"/>
    </row>
    <row r="2695">
      <c r="A2695" s="6"/>
      <c r="B2695" s="6"/>
      <c r="C2695" s="4"/>
      <c r="D2695" s="36">
        <v>0.0</v>
      </c>
      <c r="E2695" s="4"/>
      <c r="F2695" s="4"/>
      <c r="G2695" s="4"/>
      <c r="H2695" s="4"/>
      <c r="I2695" s="4"/>
      <c r="J2695" s="18"/>
      <c r="K2695" s="4"/>
      <c r="L2695" s="19"/>
      <c r="M2695" s="20"/>
    </row>
    <row r="2696">
      <c r="A2696" s="6"/>
      <c r="B2696" s="6"/>
      <c r="C2696" s="4"/>
      <c r="D2696" s="36">
        <v>0.0</v>
      </c>
      <c r="E2696" s="4"/>
      <c r="F2696" s="4"/>
      <c r="G2696" s="4"/>
      <c r="H2696" s="4"/>
      <c r="I2696" s="4"/>
      <c r="J2696" s="18"/>
      <c r="K2696" s="4"/>
      <c r="L2696" s="19"/>
      <c r="M2696" s="20"/>
    </row>
    <row r="2697">
      <c r="A2697" s="6"/>
      <c r="B2697" s="6"/>
      <c r="C2697" s="4"/>
      <c r="D2697" s="36">
        <v>0.0</v>
      </c>
      <c r="E2697" s="4"/>
      <c r="F2697" s="4"/>
      <c r="G2697" s="4"/>
      <c r="H2697" s="4"/>
      <c r="I2697" s="4"/>
      <c r="J2697" s="18"/>
      <c r="K2697" s="4"/>
      <c r="L2697" s="19"/>
      <c r="M2697" s="20"/>
    </row>
    <row r="2698">
      <c r="A2698" s="6"/>
      <c r="B2698" s="6"/>
      <c r="C2698" s="4"/>
      <c r="D2698" s="36">
        <v>0.0</v>
      </c>
      <c r="E2698" s="4"/>
      <c r="F2698" s="4"/>
      <c r="G2698" s="4"/>
      <c r="H2698" s="4"/>
      <c r="I2698" s="4"/>
      <c r="J2698" s="18"/>
      <c r="K2698" s="4"/>
      <c r="L2698" s="19"/>
      <c r="M2698" s="20"/>
    </row>
    <row r="2699">
      <c r="A2699" s="6"/>
      <c r="B2699" s="6"/>
      <c r="C2699" s="4"/>
      <c r="D2699" s="36">
        <v>0.0</v>
      </c>
      <c r="E2699" s="4"/>
      <c r="F2699" s="4"/>
      <c r="G2699" s="4"/>
      <c r="H2699" s="4"/>
      <c r="I2699" s="4"/>
      <c r="J2699" s="18"/>
      <c r="K2699" s="4"/>
      <c r="L2699" s="19"/>
      <c r="M2699" s="20"/>
    </row>
    <row r="2700">
      <c r="A2700" s="6"/>
      <c r="B2700" s="6"/>
      <c r="C2700" s="4"/>
      <c r="D2700" s="36">
        <v>0.0</v>
      </c>
      <c r="E2700" s="4"/>
      <c r="F2700" s="4"/>
      <c r="G2700" s="4"/>
      <c r="H2700" s="4"/>
      <c r="I2700" s="4"/>
      <c r="J2700" s="18"/>
      <c r="K2700" s="4"/>
      <c r="L2700" s="19"/>
      <c r="M2700" s="20"/>
    </row>
    <row r="2701">
      <c r="A2701" s="6"/>
      <c r="B2701" s="6"/>
      <c r="C2701" s="4"/>
      <c r="D2701" s="36">
        <v>0.0</v>
      </c>
      <c r="E2701" s="4"/>
      <c r="F2701" s="4"/>
      <c r="G2701" s="4"/>
      <c r="H2701" s="4"/>
      <c r="I2701" s="4"/>
      <c r="J2701" s="18"/>
      <c r="K2701" s="4"/>
      <c r="L2701" s="19"/>
      <c r="M2701" s="20"/>
    </row>
    <row r="2702">
      <c r="A2702" s="6"/>
      <c r="B2702" s="6"/>
      <c r="C2702" s="4"/>
      <c r="D2702" s="36">
        <v>0.0</v>
      </c>
      <c r="E2702" s="4"/>
      <c r="F2702" s="4"/>
      <c r="G2702" s="4"/>
      <c r="H2702" s="4"/>
      <c r="I2702" s="4"/>
      <c r="J2702" s="18"/>
      <c r="K2702" s="4"/>
      <c r="L2702" s="19"/>
      <c r="M2702" s="20"/>
    </row>
    <row r="2703">
      <c r="A2703" s="6"/>
      <c r="B2703" s="6"/>
      <c r="C2703" s="4"/>
      <c r="D2703" s="36">
        <v>0.0</v>
      </c>
      <c r="E2703" s="4"/>
      <c r="F2703" s="4"/>
      <c r="G2703" s="4"/>
      <c r="H2703" s="4"/>
      <c r="I2703" s="4"/>
      <c r="J2703" s="18"/>
      <c r="K2703" s="4"/>
      <c r="L2703" s="19"/>
      <c r="M2703" s="20"/>
    </row>
    <row r="2704">
      <c r="A2704" s="6"/>
      <c r="B2704" s="6"/>
      <c r="C2704" s="4"/>
      <c r="D2704" s="36">
        <v>0.0</v>
      </c>
      <c r="E2704" s="4"/>
      <c r="F2704" s="4"/>
      <c r="G2704" s="4"/>
      <c r="H2704" s="4"/>
      <c r="I2704" s="4"/>
      <c r="J2704" s="18"/>
      <c r="K2704" s="4"/>
      <c r="L2704" s="19"/>
      <c r="M2704" s="20"/>
    </row>
    <row r="2705">
      <c r="A2705" s="6"/>
      <c r="B2705" s="6"/>
      <c r="C2705" s="4"/>
      <c r="D2705" s="36">
        <v>0.0</v>
      </c>
      <c r="E2705" s="4"/>
      <c r="F2705" s="4"/>
      <c r="G2705" s="4"/>
      <c r="H2705" s="4"/>
      <c r="I2705" s="4"/>
      <c r="J2705" s="18"/>
      <c r="K2705" s="4"/>
      <c r="L2705" s="19"/>
      <c r="M2705" s="20"/>
    </row>
    <row r="2706">
      <c r="A2706" s="6"/>
      <c r="B2706" s="6"/>
      <c r="C2706" s="4"/>
      <c r="D2706" s="36">
        <v>0.0</v>
      </c>
      <c r="E2706" s="4"/>
      <c r="F2706" s="4"/>
      <c r="G2706" s="4"/>
      <c r="H2706" s="4"/>
      <c r="I2706" s="4"/>
      <c r="J2706" s="18"/>
      <c r="K2706" s="4"/>
      <c r="L2706" s="19"/>
      <c r="M2706" s="20"/>
    </row>
    <row r="2707">
      <c r="A2707" s="6"/>
      <c r="B2707" s="6"/>
      <c r="C2707" s="4"/>
      <c r="D2707" s="36">
        <v>0.0</v>
      </c>
      <c r="E2707" s="4"/>
      <c r="F2707" s="4"/>
      <c r="G2707" s="4"/>
      <c r="H2707" s="4"/>
      <c r="I2707" s="4"/>
      <c r="J2707" s="18"/>
      <c r="K2707" s="4"/>
      <c r="L2707" s="19"/>
      <c r="M2707" s="20"/>
    </row>
    <row r="2708">
      <c r="A2708" s="6"/>
      <c r="B2708" s="6"/>
      <c r="C2708" s="4"/>
      <c r="D2708" s="36">
        <v>0.0</v>
      </c>
      <c r="E2708" s="4"/>
      <c r="F2708" s="4"/>
      <c r="G2708" s="4"/>
      <c r="H2708" s="4"/>
      <c r="I2708" s="4"/>
      <c r="J2708" s="18"/>
      <c r="K2708" s="4"/>
      <c r="L2708" s="19"/>
      <c r="M2708" s="20"/>
    </row>
    <row r="2709">
      <c r="A2709" s="6"/>
      <c r="B2709" s="6"/>
      <c r="C2709" s="4"/>
      <c r="D2709" s="36">
        <v>0.0</v>
      </c>
      <c r="E2709" s="4"/>
      <c r="F2709" s="4"/>
      <c r="G2709" s="4"/>
      <c r="H2709" s="4"/>
      <c r="I2709" s="4"/>
      <c r="J2709" s="18"/>
      <c r="K2709" s="4"/>
      <c r="L2709" s="19"/>
      <c r="M2709" s="20"/>
    </row>
    <row r="2710">
      <c r="A2710" s="6"/>
      <c r="B2710" s="6"/>
      <c r="C2710" s="4"/>
      <c r="D2710" s="36">
        <v>0.0</v>
      </c>
      <c r="E2710" s="4"/>
      <c r="F2710" s="4"/>
      <c r="G2710" s="4"/>
      <c r="H2710" s="4"/>
      <c r="I2710" s="4"/>
      <c r="J2710" s="18"/>
      <c r="K2710" s="4"/>
      <c r="L2710" s="19"/>
      <c r="M2710" s="20"/>
    </row>
    <row r="2711">
      <c r="A2711" s="6"/>
      <c r="B2711" s="6"/>
      <c r="C2711" s="4"/>
      <c r="D2711" s="36">
        <v>0.0</v>
      </c>
      <c r="E2711" s="4"/>
      <c r="F2711" s="4"/>
      <c r="G2711" s="4"/>
      <c r="H2711" s="4"/>
      <c r="I2711" s="4"/>
      <c r="J2711" s="18"/>
      <c r="K2711" s="4"/>
      <c r="L2711" s="19"/>
      <c r="M2711" s="20"/>
    </row>
    <row r="2712">
      <c r="A2712" s="6"/>
      <c r="B2712" s="6"/>
      <c r="C2712" s="4"/>
      <c r="D2712" s="36">
        <v>0.0</v>
      </c>
      <c r="E2712" s="4"/>
      <c r="F2712" s="4"/>
      <c r="G2712" s="4"/>
      <c r="H2712" s="4"/>
      <c r="I2712" s="4"/>
      <c r="J2712" s="18"/>
      <c r="K2712" s="4"/>
      <c r="L2712" s="19"/>
      <c r="M2712" s="20"/>
    </row>
    <row r="2713">
      <c r="A2713" s="6"/>
      <c r="B2713" s="6"/>
      <c r="C2713" s="4"/>
      <c r="D2713" s="36">
        <v>0.0</v>
      </c>
      <c r="E2713" s="4"/>
      <c r="F2713" s="4"/>
      <c r="G2713" s="4"/>
      <c r="H2713" s="4"/>
      <c r="I2713" s="4"/>
      <c r="J2713" s="18"/>
      <c r="K2713" s="4"/>
      <c r="L2713" s="19"/>
      <c r="M2713" s="20"/>
    </row>
    <row r="2714">
      <c r="A2714" s="6"/>
      <c r="B2714" s="6"/>
      <c r="C2714" s="4"/>
      <c r="D2714" s="36">
        <v>0.0</v>
      </c>
      <c r="E2714" s="4"/>
      <c r="F2714" s="4"/>
      <c r="G2714" s="4"/>
      <c r="H2714" s="4"/>
      <c r="I2714" s="4"/>
      <c r="J2714" s="18"/>
      <c r="K2714" s="4"/>
      <c r="L2714" s="19"/>
      <c r="M2714" s="20"/>
    </row>
    <row r="2715">
      <c r="A2715" s="6"/>
      <c r="B2715" s="6"/>
      <c r="C2715" s="4"/>
      <c r="D2715" s="36">
        <v>0.0</v>
      </c>
      <c r="E2715" s="4"/>
      <c r="F2715" s="4"/>
      <c r="G2715" s="4"/>
      <c r="H2715" s="4"/>
      <c r="I2715" s="4"/>
      <c r="J2715" s="18"/>
      <c r="K2715" s="4"/>
      <c r="L2715" s="19"/>
      <c r="M2715" s="20"/>
    </row>
    <row r="2716">
      <c r="A2716" s="6"/>
      <c r="B2716" s="6"/>
      <c r="C2716" s="4"/>
      <c r="D2716" s="36">
        <v>0.0</v>
      </c>
      <c r="E2716" s="4"/>
      <c r="F2716" s="4"/>
      <c r="G2716" s="4"/>
      <c r="H2716" s="4"/>
      <c r="I2716" s="4"/>
      <c r="J2716" s="18"/>
      <c r="K2716" s="4"/>
      <c r="L2716" s="19"/>
      <c r="M2716" s="20"/>
    </row>
    <row r="2717">
      <c r="A2717" s="6"/>
      <c r="B2717" s="6"/>
      <c r="C2717" s="4"/>
      <c r="D2717" s="36">
        <v>0.0</v>
      </c>
      <c r="E2717" s="4"/>
      <c r="F2717" s="4"/>
      <c r="G2717" s="4"/>
      <c r="H2717" s="4"/>
      <c r="I2717" s="4"/>
      <c r="J2717" s="18"/>
      <c r="K2717" s="4"/>
      <c r="L2717" s="19"/>
      <c r="M2717" s="20"/>
    </row>
    <row r="2718">
      <c r="A2718" s="6"/>
      <c r="B2718" s="6"/>
      <c r="C2718" s="4"/>
      <c r="D2718" s="36">
        <v>0.0</v>
      </c>
      <c r="E2718" s="4"/>
      <c r="F2718" s="4"/>
      <c r="G2718" s="4"/>
      <c r="H2718" s="4"/>
      <c r="I2718" s="4"/>
      <c r="J2718" s="18"/>
      <c r="K2718" s="4"/>
      <c r="L2718" s="19"/>
      <c r="M2718" s="20"/>
    </row>
    <row r="2719">
      <c r="A2719" s="6"/>
      <c r="B2719" s="6"/>
      <c r="C2719" s="4"/>
      <c r="D2719" s="36">
        <v>0.0</v>
      </c>
      <c r="E2719" s="4"/>
      <c r="F2719" s="4"/>
      <c r="G2719" s="4"/>
      <c r="H2719" s="4"/>
      <c r="I2719" s="4"/>
      <c r="J2719" s="18"/>
      <c r="K2719" s="4"/>
      <c r="L2719" s="19"/>
      <c r="M2719" s="20"/>
    </row>
    <row r="2720">
      <c r="A2720" s="6"/>
      <c r="B2720" s="6"/>
      <c r="C2720" s="4"/>
      <c r="D2720" s="36">
        <v>0.0</v>
      </c>
      <c r="E2720" s="4"/>
      <c r="F2720" s="4"/>
      <c r="G2720" s="4"/>
      <c r="H2720" s="4"/>
      <c r="I2720" s="4"/>
      <c r="J2720" s="18"/>
      <c r="K2720" s="4"/>
      <c r="L2720" s="19"/>
      <c r="M2720" s="20"/>
    </row>
    <row r="2721">
      <c r="A2721" s="6"/>
      <c r="B2721" s="6"/>
      <c r="C2721" s="4"/>
      <c r="D2721" s="36">
        <v>0.0</v>
      </c>
      <c r="E2721" s="4"/>
      <c r="F2721" s="4"/>
      <c r="G2721" s="4"/>
      <c r="H2721" s="4"/>
      <c r="I2721" s="4"/>
      <c r="J2721" s="18"/>
      <c r="K2721" s="4"/>
      <c r="L2721" s="19"/>
      <c r="M2721" s="20"/>
    </row>
    <row r="2722">
      <c r="A2722" s="6"/>
      <c r="B2722" s="6"/>
      <c r="C2722" s="4"/>
      <c r="D2722" s="36">
        <v>0.0</v>
      </c>
      <c r="E2722" s="4"/>
      <c r="F2722" s="4"/>
      <c r="G2722" s="4"/>
      <c r="H2722" s="4"/>
      <c r="I2722" s="4"/>
      <c r="J2722" s="18"/>
      <c r="K2722" s="4"/>
      <c r="L2722" s="19"/>
      <c r="M2722" s="20"/>
    </row>
    <row r="2723">
      <c r="A2723" s="6"/>
      <c r="B2723" s="6"/>
      <c r="C2723" s="4"/>
      <c r="D2723" s="36">
        <v>0.0</v>
      </c>
      <c r="E2723" s="4"/>
      <c r="F2723" s="4"/>
      <c r="G2723" s="4"/>
      <c r="H2723" s="4"/>
      <c r="I2723" s="4"/>
      <c r="J2723" s="18"/>
      <c r="K2723" s="4"/>
      <c r="L2723" s="19"/>
      <c r="M2723" s="20"/>
    </row>
    <row r="2724">
      <c r="A2724" s="6"/>
      <c r="B2724" s="6"/>
      <c r="C2724" s="4"/>
      <c r="D2724" s="36">
        <v>0.0</v>
      </c>
      <c r="E2724" s="4"/>
      <c r="F2724" s="4"/>
      <c r="G2724" s="4"/>
      <c r="H2724" s="4"/>
      <c r="I2724" s="4"/>
      <c r="J2724" s="18"/>
      <c r="K2724" s="4"/>
      <c r="L2724" s="19"/>
      <c r="M2724" s="20"/>
    </row>
    <row r="2725">
      <c r="A2725" s="6"/>
      <c r="B2725" s="6"/>
      <c r="C2725" s="4"/>
      <c r="D2725" s="36">
        <v>0.0</v>
      </c>
      <c r="E2725" s="4"/>
      <c r="F2725" s="4"/>
      <c r="G2725" s="4"/>
      <c r="H2725" s="4"/>
      <c r="I2725" s="4"/>
      <c r="J2725" s="18"/>
      <c r="K2725" s="4"/>
      <c r="L2725" s="19"/>
      <c r="M2725" s="20"/>
    </row>
    <row r="2726">
      <c r="A2726" s="6"/>
      <c r="B2726" s="6"/>
      <c r="C2726" s="4"/>
      <c r="D2726" s="36">
        <v>0.0</v>
      </c>
      <c r="E2726" s="4"/>
      <c r="F2726" s="4"/>
      <c r="G2726" s="4"/>
      <c r="H2726" s="4"/>
      <c r="I2726" s="4"/>
      <c r="J2726" s="18"/>
      <c r="K2726" s="4"/>
      <c r="L2726" s="19"/>
      <c r="M2726" s="20"/>
    </row>
    <row r="2727">
      <c r="A2727" s="6"/>
      <c r="B2727" s="6"/>
      <c r="C2727" s="4"/>
      <c r="D2727" s="36">
        <v>0.0</v>
      </c>
      <c r="E2727" s="4"/>
      <c r="F2727" s="4"/>
      <c r="G2727" s="4"/>
      <c r="H2727" s="4"/>
      <c r="I2727" s="4"/>
      <c r="J2727" s="18"/>
      <c r="K2727" s="4"/>
      <c r="L2727" s="19"/>
      <c r="M2727" s="20"/>
    </row>
    <row r="2728">
      <c r="A2728" s="6"/>
      <c r="B2728" s="6"/>
      <c r="C2728" s="4"/>
      <c r="D2728" s="36">
        <v>0.0</v>
      </c>
      <c r="E2728" s="4"/>
      <c r="F2728" s="4"/>
      <c r="G2728" s="4"/>
      <c r="H2728" s="4"/>
      <c r="I2728" s="4"/>
      <c r="J2728" s="18"/>
      <c r="K2728" s="4"/>
      <c r="L2728" s="19"/>
      <c r="M2728" s="20"/>
    </row>
    <row r="2729">
      <c r="A2729" s="6"/>
      <c r="B2729" s="6"/>
      <c r="C2729" s="4"/>
      <c r="D2729" s="36">
        <v>0.0</v>
      </c>
      <c r="E2729" s="4"/>
      <c r="F2729" s="4"/>
      <c r="G2729" s="4"/>
      <c r="H2729" s="4"/>
      <c r="I2729" s="4"/>
      <c r="J2729" s="18"/>
      <c r="K2729" s="4"/>
      <c r="L2729" s="19"/>
      <c r="M2729" s="20"/>
    </row>
    <row r="2730">
      <c r="A2730" s="6"/>
      <c r="B2730" s="6"/>
      <c r="C2730" s="4"/>
      <c r="D2730" s="36">
        <v>0.0</v>
      </c>
      <c r="E2730" s="4"/>
      <c r="F2730" s="4"/>
      <c r="G2730" s="4"/>
      <c r="H2730" s="4"/>
      <c r="I2730" s="4"/>
      <c r="J2730" s="18"/>
      <c r="K2730" s="4"/>
      <c r="L2730" s="19"/>
      <c r="M2730" s="20"/>
    </row>
    <row r="2731">
      <c r="A2731" s="6"/>
      <c r="B2731" s="6"/>
      <c r="C2731" s="4"/>
      <c r="D2731" s="36">
        <v>0.0</v>
      </c>
      <c r="E2731" s="4"/>
      <c r="F2731" s="4"/>
      <c r="G2731" s="4"/>
      <c r="H2731" s="4"/>
      <c r="I2731" s="4"/>
      <c r="J2731" s="18"/>
      <c r="K2731" s="4"/>
      <c r="L2731" s="19"/>
      <c r="M2731" s="20"/>
    </row>
    <row r="2732">
      <c r="A2732" s="6"/>
      <c r="B2732" s="6"/>
      <c r="C2732" s="4"/>
      <c r="D2732" s="36">
        <v>0.0</v>
      </c>
      <c r="E2732" s="4"/>
      <c r="F2732" s="4"/>
      <c r="G2732" s="4"/>
      <c r="H2732" s="4"/>
      <c r="I2732" s="4"/>
      <c r="J2732" s="18"/>
      <c r="K2732" s="4"/>
      <c r="L2732" s="19"/>
      <c r="M2732" s="20"/>
    </row>
    <row r="2733">
      <c r="A2733" s="6"/>
      <c r="B2733" s="6"/>
      <c r="C2733" s="4"/>
      <c r="D2733" s="36">
        <v>0.0</v>
      </c>
      <c r="E2733" s="4"/>
      <c r="F2733" s="4"/>
      <c r="G2733" s="4"/>
      <c r="H2733" s="4"/>
      <c r="I2733" s="4"/>
      <c r="J2733" s="18"/>
      <c r="K2733" s="4"/>
      <c r="L2733" s="19"/>
      <c r="M2733" s="20"/>
    </row>
    <row r="2734">
      <c r="A2734" s="6"/>
      <c r="B2734" s="6"/>
      <c r="C2734" s="4"/>
      <c r="D2734" s="36">
        <v>0.0</v>
      </c>
      <c r="E2734" s="4"/>
      <c r="F2734" s="4"/>
      <c r="G2734" s="4"/>
      <c r="H2734" s="4"/>
      <c r="I2734" s="4"/>
      <c r="J2734" s="18"/>
      <c r="K2734" s="4"/>
      <c r="L2734" s="19"/>
      <c r="M2734" s="20"/>
    </row>
    <row r="2735">
      <c r="A2735" s="6"/>
      <c r="B2735" s="6"/>
      <c r="C2735" s="4"/>
      <c r="D2735" s="36">
        <v>0.0</v>
      </c>
      <c r="E2735" s="4"/>
      <c r="F2735" s="4"/>
      <c r="G2735" s="4"/>
      <c r="H2735" s="4"/>
      <c r="I2735" s="4"/>
      <c r="J2735" s="18"/>
      <c r="K2735" s="4"/>
      <c r="L2735" s="19"/>
      <c r="M2735" s="20"/>
    </row>
    <row r="2736">
      <c r="A2736" s="6"/>
      <c r="B2736" s="6"/>
      <c r="C2736" s="4"/>
      <c r="D2736" s="36">
        <v>0.0</v>
      </c>
      <c r="E2736" s="4"/>
      <c r="F2736" s="4"/>
      <c r="G2736" s="4"/>
      <c r="H2736" s="4"/>
      <c r="I2736" s="4"/>
      <c r="J2736" s="18"/>
      <c r="K2736" s="4"/>
      <c r="L2736" s="19"/>
      <c r="M2736" s="20"/>
    </row>
    <row r="2737">
      <c r="A2737" s="6"/>
      <c r="B2737" s="6"/>
      <c r="C2737" s="4"/>
      <c r="D2737" s="36">
        <v>0.0</v>
      </c>
      <c r="E2737" s="4"/>
      <c r="F2737" s="4"/>
      <c r="G2737" s="4"/>
      <c r="H2737" s="4"/>
      <c r="I2737" s="4"/>
      <c r="J2737" s="18"/>
      <c r="K2737" s="4"/>
      <c r="L2737" s="19"/>
      <c r="M2737" s="20"/>
    </row>
    <row r="2738">
      <c r="A2738" s="6"/>
      <c r="B2738" s="6"/>
      <c r="C2738" s="4"/>
      <c r="D2738" s="36">
        <v>0.0</v>
      </c>
      <c r="E2738" s="4"/>
      <c r="F2738" s="4"/>
      <c r="G2738" s="4"/>
      <c r="H2738" s="4"/>
      <c r="I2738" s="4"/>
      <c r="J2738" s="18"/>
      <c r="K2738" s="4"/>
      <c r="L2738" s="19"/>
      <c r="M2738" s="20"/>
    </row>
    <row r="2739">
      <c r="A2739" s="6"/>
      <c r="B2739" s="6"/>
      <c r="C2739" s="4"/>
      <c r="D2739" s="36">
        <v>0.0</v>
      </c>
      <c r="E2739" s="4"/>
      <c r="F2739" s="4"/>
      <c r="G2739" s="4"/>
      <c r="H2739" s="4"/>
      <c r="I2739" s="4"/>
      <c r="J2739" s="18"/>
      <c r="K2739" s="4"/>
      <c r="L2739" s="19"/>
      <c r="M2739" s="20"/>
    </row>
    <row r="2740">
      <c r="A2740" s="6"/>
      <c r="B2740" s="6"/>
      <c r="C2740" s="4"/>
      <c r="D2740" s="36">
        <v>0.0</v>
      </c>
      <c r="E2740" s="4"/>
      <c r="F2740" s="4"/>
      <c r="G2740" s="4"/>
      <c r="H2740" s="4"/>
      <c r="I2740" s="4"/>
      <c r="J2740" s="18"/>
      <c r="K2740" s="4"/>
      <c r="L2740" s="19"/>
      <c r="M2740" s="20"/>
    </row>
    <row r="2741">
      <c r="A2741" s="6"/>
      <c r="B2741" s="6"/>
      <c r="C2741" s="4"/>
      <c r="D2741" s="36">
        <v>0.0</v>
      </c>
      <c r="E2741" s="4"/>
      <c r="F2741" s="4"/>
      <c r="G2741" s="4"/>
      <c r="H2741" s="4"/>
      <c r="I2741" s="4"/>
      <c r="J2741" s="18"/>
      <c r="K2741" s="4"/>
      <c r="L2741" s="19"/>
      <c r="M2741" s="20"/>
    </row>
    <row r="2742">
      <c r="A2742" s="6"/>
      <c r="B2742" s="6"/>
      <c r="C2742" s="4"/>
      <c r="D2742" s="36">
        <v>0.0</v>
      </c>
      <c r="E2742" s="4"/>
      <c r="F2742" s="4"/>
      <c r="G2742" s="4"/>
      <c r="H2742" s="4"/>
      <c r="I2742" s="4"/>
      <c r="J2742" s="18"/>
      <c r="K2742" s="4"/>
      <c r="L2742" s="19"/>
      <c r="M2742" s="20"/>
    </row>
    <row r="2743">
      <c r="A2743" s="6"/>
      <c r="B2743" s="6"/>
      <c r="C2743" s="4"/>
      <c r="D2743" s="36">
        <v>0.0</v>
      </c>
      <c r="E2743" s="4"/>
      <c r="F2743" s="4"/>
      <c r="G2743" s="4"/>
      <c r="H2743" s="4"/>
      <c r="I2743" s="4"/>
      <c r="J2743" s="18"/>
      <c r="K2743" s="4"/>
      <c r="L2743" s="19"/>
      <c r="M2743" s="20"/>
    </row>
    <row r="2744">
      <c r="A2744" s="6"/>
      <c r="B2744" s="6"/>
      <c r="C2744" s="4"/>
      <c r="D2744" s="36">
        <v>0.0</v>
      </c>
      <c r="E2744" s="4"/>
      <c r="F2744" s="4"/>
      <c r="G2744" s="4"/>
      <c r="H2744" s="4"/>
      <c r="I2744" s="4"/>
      <c r="J2744" s="18"/>
      <c r="K2744" s="4"/>
      <c r="L2744" s="19"/>
      <c r="M2744" s="20"/>
    </row>
    <row r="2745">
      <c r="A2745" s="6"/>
      <c r="B2745" s="6"/>
      <c r="C2745" s="4"/>
      <c r="D2745" s="36">
        <v>0.0</v>
      </c>
      <c r="E2745" s="4"/>
      <c r="F2745" s="4"/>
      <c r="G2745" s="4"/>
      <c r="H2745" s="4"/>
      <c r="I2745" s="4"/>
      <c r="J2745" s="18"/>
      <c r="K2745" s="4"/>
      <c r="L2745" s="19"/>
      <c r="M2745" s="20"/>
    </row>
    <row r="2746">
      <c r="A2746" s="6"/>
      <c r="B2746" s="6"/>
      <c r="C2746" s="4"/>
      <c r="D2746" s="36">
        <v>0.0</v>
      </c>
      <c r="E2746" s="4"/>
      <c r="F2746" s="4"/>
      <c r="G2746" s="4"/>
      <c r="H2746" s="4"/>
      <c r="I2746" s="4"/>
      <c r="J2746" s="18"/>
      <c r="K2746" s="4"/>
      <c r="L2746" s="19"/>
      <c r="M2746" s="20"/>
    </row>
    <row r="2747">
      <c r="A2747" s="6"/>
      <c r="B2747" s="6"/>
      <c r="C2747" s="4"/>
      <c r="D2747" s="36">
        <v>0.0</v>
      </c>
      <c r="E2747" s="4"/>
      <c r="F2747" s="4"/>
      <c r="G2747" s="4"/>
      <c r="H2747" s="4"/>
      <c r="I2747" s="4"/>
      <c r="J2747" s="18"/>
      <c r="K2747" s="4"/>
      <c r="L2747" s="19"/>
      <c r="M2747" s="20"/>
    </row>
    <row r="2748">
      <c r="A2748" s="6"/>
      <c r="B2748" s="6"/>
      <c r="C2748" s="4"/>
      <c r="D2748" s="36">
        <v>0.0</v>
      </c>
      <c r="E2748" s="4"/>
      <c r="F2748" s="4"/>
      <c r="G2748" s="4"/>
      <c r="H2748" s="4"/>
      <c r="I2748" s="4"/>
      <c r="J2748" s="18"/>
      <c r="K2748" s="4"/>
      <c r="L2748" s="19"/>
      <c r="M2748" s="20"/>
    </row>
    <row r="2749">
      <c r="A2749" s="6"/>
      <c r="B2749" s="6"/>
      <c r="C2749" s="4"/>
      <c r="D2749" s="36">
        <v>0.0</v>
      </c>
      <c r="E2749" s="4"/>
      <c r="F2749" s="4"/>
      <c r="G2749" s="4"/>
      <c r="H2749" s="4"/>
      <c r="I2749" s="4"/>
      <c r="J2749" s="18"/>
      <c r="K2749" s="4"/>
      <c r="L2749" s="19"/>
      <c r="M2749" s="20"/>
    </row>
    <row r="2750">
      <c r="A2750" s="6"/>
      <c r="B2750" s="6"/>
      <c r="C2750" s="4"/>
      <c r="D2750" s="36">
        <v>0.0</v>
      </c>
      <c r="E2750" s="4"/>
      <c r="F2750" s="4"/>
      <c r="G2750" s="4"/>
      <c r="H2750" s="4"/>
      <c r="I2750" s="4"/>
      <c r="J2750" s="18"/>
      <c r="K2750" s="4"/>
      <c r="L2750" s="19"/>
      <c r="M2750" s="20"/>
    </row>
    <row r="2751">
      <c r="A2751" s="6"/>
      <c r="B2751" s="6"/>
      <c r="C2751" s="4"/>
      <c r="D2751" s="36">
        <v>0.0</v>
      </c>
      <c r="E2751" s="4"/>
      <c r="F2751" s="4"/>
      <c r="G2751" s="4"/>
      <c r="H2751" s="4"/>
      <c r="I2751" s="4"/>
      <c r="J2751" s="18"/>
      <c r="K2751" s="4"/>
      <c r="L2751" s="19"/>
      <c r="M2751" s="20"/>
    </row>
    <row r="2752">
      <c r="A2752" s="6"/>
      <c r="B2752" s="6"/>
      <c r="C2752" s="4"/>
      <c r="D2752" s="36">
        <v>0.0</v>
      </c>
      <c r="E2752" s="4"/>
      <c r="F2752" s="4"/>
      <c r="G2752" s="4"/>
      <c r="H2752" s="4"/>
      <c r="I2752" s="4"/>
      <c r="J2752" s="18"/>
      <c r="K2752" s="4"/>
      <c r="L2752" s="19"/>
      <c r="M2752" s="20"/>
    </row>
    <row r="2753">
      <c r="A2753" s="6"/>
      <c r="B2753" s="6"/>
      <c r="C2753" s="4"/>
      <c r="D2753" s="36">
        <v>0.0</v>
      </c>
      <c r="E2753" s="4"/>
      <c r="F2753" s="4"/>
      <c r="G2753" s="4"/>
      <c r="H2753" s="4"/>
      <c r="I2753" s="4"/>
      <c r="J2753" s="18"/>
      <c r="K2753" s="4"/>
      <c r="L2753" s="19"/>
      <c r="M2753" s="20"/>
    </row>
    <row r="2754">
      <c r="A2754" s="6"/>
      <c r="B2754" s="6"/>
      <c r="C2754" s="4"/>
      <c r="D2754" s="36">
        <v>0.0</v>
      </c>
      <c r="E2754" s="4"/>
      <c r="F2754" s="4"/>
      <c r="G2754" s="4"/>
      <c r="H2754" s="4"/>
      <c r="I2754" s="4"/>
      <c r="J2754" s="18"/>
      <c r="K2754" s="4"/>
      <c r="L2754" s="19"/>
      <c r="M2754" s="20"/>
    </row>
    <row r="2755">
      <c r="A2755" s="6"/>
      <c r="B2755" s="6"/>
      <c r="C2755" s="4"/>
      <c r="D2755" s="36">
        <v>0.0</v>
      </c>
      <c r="E2755" s="4"/>
      <c r="F2755" s="4"/>
      <c r="G2755" s="4"/>
      <c r="H2755" s="4"/>
      <c r="I2755" s="4"/>
      <c r="J2755" s="18"/>
      <c r="K2755" s="4"/>
      <c r="L2755" s="19"/>
      <c r="M2755" s="20"/>
    </row>
    <row r="2756">
      <c r="A2756" s="6"/>
      <c r="B2756" s="6"/>
      <c r="C2756" s="4"/>
      <c r="D2756" s="36">
        <v>0.0</v>
      </c>
      <c r="E2756" s="4"/>
      <c r="F2756" s="4"/>
      <c r="G2756" s="4"/>
      <c r="H2756" s="4"/>
      <c r="I2756" s="4"/>
      <c r="J2756" s="18"/>
      <c r="K2756" s="4"/>
      <c r="L2756" s="19"/>
      <c r="M2756" s="20"/>
    </row>
    <row r="2757">
      <c r="A2757" s="6"/>
      <c r="B2757" s="6"/>
      <c r="C2757" s="4"/>
      <c r="D2757" s="36">
        <v>0.0</v>
      </c>
      <c r="E2757" s="4"/>
      <c r="F2757" s="4"/>
      <c r="G2757" s="4"/>
      <c r="H2757" s="4"/>
      <c r="I2757" s="4"/>
      <c r="J2757" s="18"/>
      <c r="K2757" s="4"/>
      <c r="L2757" s="19"/>
      <c r="M2757" s="20"/>
    </row>
    <row r="2758">
      <c r="A2758" s="6"/>
      <c r="B2758" s="6"/>
      <c r="C2758" s="4"/>
      <c r="D2758" s="36">
        <v>0.0</v>
      </c>
      <c r="E2758" s="4"/>
      <c r="F2758" s="4"/>
      <c r="G2758" s="4"/>
      <c r="H2758" s="4"/>
      <c r="I2758" s="4"/>
      <c r="J2758" s="18"/>
      <c r="K2758" s="4"/>
      <c r="L2758" s="19"/>
      <c r="M2758" s="20"/>
    </row>
    <row r="2759">
      <c r="A2759" s="6"/>
      <c r="B2759" s="6"/>
      <c r="C2759" s="4"/>
      <c r="D2759" s="36">
        <v>0.0</v>
      </c>
      <c r="E2759" s="4"/>
      <c r="F2759" s="4"/>
      <c r="G2759" s="4"/>
      <c r="H2759" s="4"/>
      <c r="I2759" s="4"/>
      <c r="J2759" s="18"/>
      <c r="K2759" s="4"/>
      <c r="L2759" s="19"/>
      <c r="M2759" s="20"/>
    </row>
    <row r="2760">
      <c r="A2760" s="6"/>
      <c r="B2760" s="6"/>
      <c r="C2760" s="4"/>
      <c r="D2760" s="36">
        <v>0.0</v>
      </c>
      <c r="E2760" s="4"/>
      <c r="F2760" s="4"/>
      <c r="G2760" s="4"/>
      <c r="H2760" s="4"/>
      <c r="I2760" s="4"/>
      <c r="J2760" s="18"/>
      <c r="K2760" s="4"/>
      <c r="L2760" s="19"/>
      <c r="M2760" s="20"/>
    </row>
    <row r="2761">
      <c r="A2761" s="6"/>
      <c r="B2761" s="6"/>
      <c r="C2761" s="4"/>
      <c r="D2761" s="36">
        <v>0.0</v>
      </c>
      <c r="E2761" s="4"/>
      <c r="F2761" s="4"/>
      <c r="G2761" s="4"/>
      <c r="H2761" s="4"/>
      <c r="I2761" s="4"/>
      <c r="J2761" s="18"/>
      <c r="K2761" s="4"/>
      <c r="L2761" s="19"/>
      <c r="M2761" s="20"/>
    </row>
    <row r="2762">
      <c r="A2762" s="6"/>
      <c r="B2762" s="6"/>
      <c r="C2762" s="4"/>
      <c r="D2762" s="36">
        <v>0.0</v>
      </c>
      <c r="E2762" s="4"/>
      <c r="F2762" s="4"/>
      <c r="G2762" s="4"/>
      <c r="H2762" s="4"/>
      <c r="I2762" s="4"/>
      <c r="J2762" s="18"/>
      <c r="K2762" s="4"/>
      <c r="L2762" s="19"/>
      <c r="M2762" s="20"/>
    </row>
    <row r="2763">
      <c r="A2763" s="6"/>
      <c r="B2763" s="6"/>
      <c r="C2763" s="4"/>
      <c r="D2763" s="36">
        <v>0.0</v>
      </c>
      <c r="E2763" s="4"/>
      <c r="F2763" s="4"/>
      <c r="G2763" s="4"/>
      <c r="H2763" s="4"/>
      <c r="I2763" s="4"/>
      <c r="J2763" s="18"/>
      <c r="K2763" s="4"/>
      <c r="L2763" s="19"/>
      <c r="M2763" s="20"/>
    </row>
    <row r="2764">
      <c r="A2764" s="6"/>
      <c r="B2764" s="6"/>
      <c r="C2764" s="4"/>
      <c r="D2764" s="36">
        <v>0.0</v>
      </c>
      <c r="E2764" s="4"/>
      <c r="F2764" s="4"/>
      <c r="G2764" s="4"/>
      <c r="H2764" s="4"/>
      <c r="I2764" s="4"/>
      <c r="J2764" s="18"/>
      <c r="K2764" s="4"/>
      <c r="L2764" s="19"/>
      <c r="M2764" s="20"/>
    </row>
    <row r="2765">
      <c r="A2765" s="6"/>
      <c r="B2765" s="6"/>
      <c r="C2765" s="4"/>
      <c r="D2765" s="36">
        <v>0.0</v>
      </c>
      <c r="E2765" s="4"/>
      <c r="F2765" s="4"/>
      <c r="G2765" s="4"/>
      <c r="H2765" s="4"/>
      <c r="I2765" s="4"/>
      <c r="J2765" s="18"/>
      <c r="K2765" s="4"/>
      <c r="L2765" s="19"/>
      <c r="M2765" s="20"/>
    </row>
    <row r="2766">
      <c r="A2766" s="6"/>
      <c r="B2766" s="6"/>
      <c r="C2766" s="4"/>
      <c r="D2766" s="36">
        <v>0.0</v>
      </c>
      <c r="E2766" s="4"/>
      <c r="F2766" s="4"/>
      <c r="G2766" s="4"/>
      <c r="H2766" s="4"/>
      <c r="I2766" s="4"/>
      <c r="J2766" s="18"/>
      <c r="K2766" s="4"/>
      <c r="L2766" s="19"/>
      <c r="M2766" s="20"/>
    </row>
    <row r="2767">
      <c r="A2767" s="6"/>
      <c r="B2767" s="6"/>
      <c r="C2767" s="4"/>
      <c r="D2767" s="36">
        <v>0.0</v>
      </c>
      <c r="E2767" s="4"/>
      <c r="F2767" s="4"/>
      <c r="G2767" s="4"/>
      <c r="H2767" s="4"/>
      <c r="I2767" s="4"/>
      <c r="J2767" s="18"/>
      <c r="K2767" s="4"/>
      <c r="L2767" s="19"/>
      <c r="M2767" s="20"/>
    </row>
    <row r="2768">
      <c r="A2768" s="6"/>
      <c r="B2768" s="6"/>
      <c r="C2768" s="4"/>
      <c r="D2768" s="36">
        <v>0.0</v>
      </c>
      <c r="E2768" s="4"/>
      <c r="F2768" s="4"/>
      <c r="G2768" s="4"/>
      <c r="H2768" s="4"/>
      <c r="I2768" s="4"/>
      <c r="J2768" s="18"/>
      <c r="K2768" s="4"/>
      <c r="L2768" s="19"/>
      <c r="M2768" s="20"/>
    </row>
    <row r="2769">
      <c r="A2769" s="6"/>
      <c r="B2769" s="6"/>
      <c r="C2769" s="4"/>
      <c r="D2769" s="36">
        <v>0.0</v>
      </c>
      <c r="E2769" s="4"/>
      <c r="F2769" s="4"/>
      <c r="G2769" s="4"/>
      <c r="H2769" s="4"/>
      <c r="I2769" s="4"/>
      <c r="J2769" s="18"/>
      <c r="K2769" s="4"/>
      <c r="L2769" s="19"/>
      <c r="M2769" s="20"/>
    </row>
    <row r="2770">
      <c r="A2770" s="6"/>
      <c r="B2770" s="6"/>
      <c r="C2770" s="4"/>
      <c r="D2770" s="36">
        <v>0.0</v>
      </c>
      <c r="E2770" s="4"/>
      <c r="F2770" s="4"/>
      <c r="G2770" s="4"/>
      <c r="H2770" s="4"/>
      <c r="I2770" s="4"/>
      <c r="J2770" s="18"/>
      <c r="K2770" s="4"/>
      <c r="L2770" s="19"/>
      <c r="M2770" s="20"/>
    </row>
    <row r="2771">
      <c r="A2771" s="6"/>
      <c r="B2771" s="6"/>
      <c r="C2771" s="4"/>
      <c r="D2771" s="36">
        <v>0.0</v>
      </c>
      <c r="E2771" s="4"/>
      <c r="F2771" s="4"/>
      <c r="G2771" s="4"/>
      <c r="H2771" s="4"/>
      <c r="I2771" s="4"/>
      <c r="J2771" s="18"/>
      <c r="K2771" s="4"/>
      <c r="L2771" s="19"/>
      <c r="M2771" s="20"/>
    </row>
    <row r="2772">
      <c r="A2772" s="6"/>
      <c r="B2772" s="6"/>
      <c r="C2772" s="4"/>
      <c r="D2772" s="36">
        <v>0.0</v>
      </c>
      <c r="E2772" s="4"/>
      <c r="F2772" s="4"/>
      <c r="G2772" s="4"/>
      <c r="H2772" s="4"/>
      <c r="I2772" s="4"/>
      <c r="J2772" s="18"/>
      <c r="K2772" s="4"/>
      <c r="L2772" s="19"/>
      <c r="M2772" s="20"/>
    </row>
    <row r="2773">
      <c r="A2773" s="6"/>
      <c r="B2773" s="6"/>
      <c r="C2773" s="4"/>
      <c r="D2773" s="36">
        <v>0.0</v>
      </c>
      <c r="E2773" s="4"/>
      <c r="F2773" s="4"/>
      <c r="G2773" s="4"/>
      <c r="H2773" s="4"/>
      <c r="I2773" s="4"/>
      <c r="J2773" s="18"/>
      <c r="K2773" s="4"/>
      <c r="L2773" s="19"/>
      <c r="M2773" s="20"/>
    </row>
    <row r="2774">
      <c r="A2774" s="6"/>
      <c r="B2774" s="6"/>
      <c r="C2774" s="4"/>
      <c r="D2774" s="36">
        <v>0.0</v>
      </c>
      <c r="E2774" s="4"/>
      <c r="F2774" s="4"/>
      <c r="G2774" s="4"/>
      <c r="H2774" s="4"/>
      <c r="I2774" s="4"/>
      <c r="J2774" s="18"/>
      <c r="K2774" s="4"/>
      <c r="L2774" s="19"/>
      <c r="M2774" s="20"/>
    </row>
    <row r="2775">
      <c r="A2775" s="6"/>
      <c r="B2775" s="6"/>
      <c r="C2775" s="4"/>
      <c r="D2775" s="36">
        <v>0.0</v>
      </c>
      <c r="E2775" s="4"/>
      <c r="F2775" s="4"/>
      <c r="G2775" s="4"/>
      <c r="H2775" s="4"/>
      <c r="I2775" s="4"/>
      <c r="J2775" s="18"/>
      <c r="K2775" s="4"/>
      <c r="L2775" s="19"/>
      <c r="M2775" s="20"/>
    </row>
    <row r="2776">
      <c r="A2776" s="6"/>
      <c r="B2776" s="6"/>
      <c r="C2776" s="4"/>
      <c r="D2776" s="36">
        <v>0.0</v>
      </c>
      <c r="E2776" s="4"/>
      <c r="F2776" s="4"/>
      <c r="G2776" s="4"/>
      <c r="H2776" s="4"/>
      <c r="I2776" s="4"/>
      <c r="J2776" s="18"/>
      <c r="K2776" s="4"/>
      <c r="L2776" s="19"/>
      <c r="M2776" s="20"/>
    </row>
    <row r="2777">
      <c r="A2777" s="6"/>
      <c r="B2777" s="6"/>
      <c r="C2777" s="4"/>
      <c r="D2777" s="36">
        <v>0.0</v>
      </c>
      <c r="E2777" s="4"/>
      <c r="F2777" s="4"/>
      <c r="G2777" s="4"/>
      <c r="H2777" s="4"/>
      <c r="I2777" s="4"/>
      <c r="J2777" s="18"/>
      <c r="K2777" s="4"/>
      <c r="L2777" s="19"/>
      <c r="M2777" s="20"/>
    </row>
    <row r="2778">
      <c r="A2778" s="6"/>
      <c r="B2778" s="6"/>
      <c r="C2778" s="4"/>
      <c r="D2778" s="36">
        <v>0.0</v>
      </c>
      <c r="E2778" s="4"/>
      <c r="F2778" s="4"/>
      <c r="G2778" s="4"/>
      <c r="H2778" s="4"/>
      <c r="I2778" s="4"/>
      <c r="J2778" s="18"/>
      <c r="K2778" s="4"/>
      <c r="L2778" s="19"/>
      <c r="M2778" s="20"/>
    </row>
    <row r="2779">
      <c r="A2779" s="6"/>
      <c r="B2779" s="6"/>
      <c r="C2779" s="4"/>
      <c r="D2779" s="36">
        <v>0.0</v>
      </c>
      <c r="E2779" s="4"/>
      <c r="F2779" s="4"/>
      <c r="G2779" s="4"/>
      <c r="H2779" s="4"/>
      <c r="I2779" s="4"/>
      <c r="J2779" s="18"/>
      <c r="K2779" s="4"/>
      <c r="L2779" s="19"/>
      <c r="M2779" s="20"/>
    </row>
    <row r="2780">
      <c r="A2780" s="6"/>
      <c r="B2780" s="6"/>
      <c r="C2780" s="4"/>
      <c r="D2780" s="36">
        <v>0.0</v>
      </c>
      <c r="E2780" s="4"/>
      <c r="F2780" s="4"/>
      <c r="G2780" s="4"/>
      <c r="H2780" s="4"/>
      <c r="I2780" s="4"/>
      <c r="J2780" s="18"/>
      <c r="K2780" s="4"/>
      <c r="L2780" s="19"/>
      <c r="M2780" s="20"/>
    </row>
    <row r="2781">
      <c r="A2781" s="6"/>
      <c r="B2781" s="6"/>
      <c r="C2781" s="4"/>
      <c r="D2781" s="36">
        <v>0.0</v>
      </c>
      <c r="E2781" s="4"/>
      <c r="F2781" s="4"/>
      <c r="G2781" s="4"/>
      <c r="H2781" s="4"/>
      <c r="I2781" s="4"/>
      <c r="J2781" s="18"/>
      <c r="K2781" s="4"/>
      <c r="L2781" s="19"/>
      <c r="M2781" s="20"/>
    </row>
    <row r="2782">
      <c r="A2782" s="6"/>
      <c r="B2782" s="6"/>
      <c r="C2782" s="4"/>
      <c r="D2782" s="36">
        <v>0.0</v>
      </c>
      <c r="E2782" s="4"/>
      <c r="F2782" s="4"/>
      <c r="G2782" s="4"/>
      <c r="H2782" s="4"/>
      <c r="I2782" s="4"/>
      <c r="J2782" s="18"/>
      <c r="K2782" s="4"/>
      <c r="L2782" s="19"/>
      <c r="M2782" s="20"/>
    </row>
    <row r="2783">
      <c r="A2783" s="6"/>
      <c r="B2783" s="6"/>
      <c r="C2783" s="4"/>
      <c r="D2783" s="36">
        <v>0.0</v>
      </c>
      <c r="E2783" s="4"/>
      <c r="F2783" s="4"/>
      <c r="G2783" s="4"/>
      <c r="H2783" s="4"/>
      <c r="I2783" s="4"/>
      <c r="J2783" s="18"/>
      <c r="K2783" s="4"/>
      <c r="L2783" s="19"/>
      <c r="M2783" s="20"/>
    </row>
    <row r="2784">
      <c r="A2784" s="6"/>
      <c r="B2784" s="6"/>
      <c r="C2784" s="4"/>
      <c r="D2784" s="36">
        <v>0.0</v>
      </c>
      <c r="E2784" s="4"/>
      <c r="F2784" s="4"/>
      <c r="G2784" s="4"/>
      <c r="H2784" s="4"/>
      <c r="I2784" s="4"/>
      <c r="J2784" s="18"/>
      <c r="K2784" s="4"/>
      <c r="L2784" s="19"/>
      <c r="M2784" s="20"/>
    </row>
    <row r="2785">
      <c r="A2785" s="6"/>
      <c r="B2785" s="6"/>
      <c r="C2785" s="4"/>
      <c r="D2785" s="36">
        <v>0.0</v>
      </c>
      <c r="E2785" s="4"/>
      <c r="F2785" s="4"/>
      <c r="G2785" s="4"/>
      <c r="H2785" s="4"/>
      <c r="I2785" s="4"/>
      <c r="J2785" s="18"/>
      <c r="K2785" s="4"/>
      <c r="L2785" s="19"/>
      <c r="M2785" s="20"/>
    </row>
    <row r="2786">
      <c r="A2786" s="6"/>
      <c r="B2786" s="6"/>
      <c r="C2786" s="4"/>
      <c r="D2786" s="36">
        <v>0.0</v>
      </c>
      <c r="E2786" s="4"/>
      <c r="F2786" s="4"/>
      <c r="G2786" s="4"/>
      <c r="H2786" s="4"/>
      <c r="I2786" s="4"/>
      <c r="J2786" s="18"/>
      <c r="K2786" s="4"/>
      <c r="L2786" s="19"/>
      <c r="M2786" s="20"/>
    </row>
    <row r="2787">
      <c r="A2787" s="6"/>
      <c r="B2787" s="6"/>
      <c r="C2787" s="4"/>
      <c r="D2787" s="36">
        <v>0.0</v>
      </c>
      <c r="E2787" s="4"/>
      <c r="F2787" s="4"/>
      <c r="G2787" s="4"/>
      <c r="H2787" s="4"/>
      <c r="I2787" s="4"/>
      <c r="J2787" s="18"/>
      <c r="K2787" s="4"/>
      <c r="L2787" s="19"/>
      <c r="M2787" s="20"/>
    </row>
    <row r="2788">
      <c r="A2788" s="6"/>
      <c r="B2788" s="6"/>
      <c r="C2788" s="4"/>
      <c r="D2788" s="36">
        <v>0.0</v>
      </c>
      <c r="E2788" s="4"/>
      <c r="F2788" s="4"/>
      <c r="G2788" s="4"/>
      <c r="H2788" s="4"/>
      <c r="I2788" s="4"/>
      <c r="J2788" s="18"/>
      <c r="K2788" s="4"/>
      <c r="L2788" s="19"/>
      <c r="M2788" s="20"/>
    </row>
    <row r="2789">
      <c r="A2789" s="6"/>
      <c r="B2789" s="6"/>
      <c r="C2789" s="4"/>
      <c r="D2789" s="36">
        <v>0.0</v>
      </c>
      <c r="E2789" s="4"/>
      <c r="F2789" s="4"/>
      <c r="G2789" s="4"/>
      <c r="H2789" s="4"/>
      <c r="I2789" s="4"/>
      <c r="J2789" s="18"/>
      <c r="K2789" s="4"/>
      <c r="L2789" s="19"/>
      <c r="M2789" s="20"/>
    </row>
    <row r="2790">
      <c r="A2790" s="6"/>
      <c r="B2790" s="6"/>
      <c r="C2790" s="4"/>
      <c r="D2790" s="36">
        <v>0.0</v>
      </c>
      <c r="E2790" s="4"/>
      <c r="F2790" s="4"/>
      <c r="G2790" s="4"/>
      <c r="H2790" s="4"/>
      <c r="I2790" s="4"/>
      <c r="J2790" s="18"/>
      <c r="K2790" s="4"/>
      <c r="L2790" s="19"/>
      <c r="M2790" s="20"/>
    </row>
    <row r="2791">
      <c r="A2791" s="6"/>
      <c r="B2791" s="6"/>
      <c r="C2791" s="4"/>
      <c r="D2791" s="36">
        <v>0.0</v>
      </c>
      <c r="E2791" s="4"/>
      <c r="F2791" s="4"/>
      <c r="G2791" s="4"/>
      <c r="H2791" s="4"/>
      <c r="I2791" s="4"/>
      <c r="J2791" s="18"/>
      <c r="K2791" s="4"/>
      <c r="L2791" s="19"/>
      <c r="M2791" s="20"/>
    </row>
    <row r="2792">
      <c r="A2792" s="6"/>
      <c r="B2792" s="6"/>
      <c r="C2792" s="4"/>
      <c r="D2792" s="36">
        <v>0.0</v>
      </c>
      <c r="E2792" s="4"/>
      <c r="F2792" s="4"/>
      <c r="G2792" s="4"/>
      <c r="H2792" s="4"/>
      <c r="I2792" s="4"/>
      <c r="J2792" s="18"/>
      <c r="K2792" s="4"/>
      <c r="L2792" s="19"/>
      <c r="M2792" s="20"/>
    </row>
    <row r="2793">
      <c r="A2793" s="6"/>
      <c r="B2793" s="6"/>
      <c r="C2793" s="4"/>
      <c r="D2793" s="36">
        <v>0.0</v>
      </c>
      <c r="E2793" s="4"/>
      <c r="F2793" s="4"/>
      <c r="G2793" s="4"/>
      <c r="H2793" s="4"/>
      <c r="I2793" s="4"/>
      <c r="J2793" s="18"/>
      <c r="K2793" s="4"/>
      <c r="L2793" s="19"/>
      <c r="M2793" s="20"/>
    </row>
    <row r="2794">
      <c r="A2794" s="6"/>
      <c r="B2794" s="6"/>
      <c r="C2794" s="4"/>
      <c r="D2794" s="36">
        <v>0.0</v>
      </c>
      <c r="E2794" s="4"/>
      <c r="F2794" s="4"/>
      <c r="G2794" s="4"/>
      <c r="H2794" s="4"/>
      <c r="I2794" s="4"/>
      <c r="J2794" s="18"/>
      <c r="K2794" s="4"/>
      <c r="L2794" s="19"/>
      <c r="M2794" s="20"/>
    </row>
    <row r="2795">
      <c r="A2795" s="6"/>
      <c r="B2795" s="6"/>
      <c r="C2795" s="4"/>
      <c r="D2795" s="36">
        <v>0.0</v>
      </c>
      <c r="E2795" s="4"/>
      <c r="F2795" s="4"/>
      <c r="G2795" s="4"/>
      <c r="H2795" s="4"/>
      <c r="I2795" s="4"/>
      <c r="J2795" s="18"/>
      <c r="K2795" s="4"/>
      <c r="L2795" s="19"/>
      <c r="M2795" s="20"/>
    </row>
    <row r="2796">
      <c r="A2796" s="6"/>
      <c r="B2796" s="6"/>
      <c r="C2796" s="4"/>
      <c r="D2796" s="36">
        <v>0.0</v>
      </c>
      <c r="E2796" s="4"/>
      <c r="F2796" s="4"/>
      <c r="G2796" s="4"/>
      <c r="H2796" s="4"/>
      <c r="I2796" s="4"/>
      <c r="J2796" s="18"/>
      <c r="K2796" s="4"/>
      <c r="L2796" s="19"/>
      <c r="M2796" s="20"/>
    </row>
    <row r="2797">
      <c r="A2797" s="6"/>
      <c r="B2797" s="6"/>
      <c r="C2797" s="4"/>
      <c r="D2797" s="36">
        <v>0.0</v>
      </c>
      <c r="E2797" s="4"/>
      <c r="F2797" s="4"/>
      <c r="G2797" s="4"/>
      <c r="H2797" s="4"/>
      <c r="I2797" s="4"/>
      <c r="J2797" s="18"/>
      <c r="K2797" s="4"/>
      <c r="L2797" s="19"/>
      <c r="M2797" s="20"/>
    </row>
    <row r="2798">
      <c r="A2798" s="6"/>
      <c r="B2798" s="6"/>
      <c r="C2798" s="4"/>
      <c r="D2798" s="36">
        <v>0.0</v>
      </c>
      <c r="E2798" s="4"/>
      <c r="F2798" s="4"/>
      <c r="G2798" s="4"/>
      <c r="H2798" s="4"/>
      <c r="I2798" s="4"/>
      <c r="J2798" s="18"/>
      <c r="K2798" s="4"/>
      <c r="L2798" s="19"/>
      <c r="M2798" s="20"/>
    </row>
    <row r="2799">
      <c r="A2799" s="6"/>
      <c r="B2799" s="6"/>
      <c r="C2799" s="4"/>
      <c r="D2799" s="36">
        <v>0.0</v>
      </c>
      <c r="E2799" s="4"/>
      <c r="F2799" s="4"/>
      <c r="G2799" s="4"/>
      <c r="H2799" s="4"/>
      <c r="I2799" s="4"/>
      <c r="J2799" s="18"/>
      <c r="K2799" s="4"/>
      <c r="L2799" s="19"/>
      <c r="M2799" s="20"/>
    </row>
    <row r="2800">
      <c r="A2800" s="6"/>
      <c r="B2800" s="6"/>
      <c r="C2800" s="4"/>
      <c r="D2800" s="36">
        <v>0.0</v>
      </c>
      <c r="E2800" s="4"/>
      <c r="F2800" s="4"/>
      <c r="G2800" s="4"/>
      <c r="H2800" s="4"/>
      <c r="I2800" s="4"/>
      <c r="J2800" s="18"/>
      <c r="K2800" s="4"/>
      <c r="L2800" s="19"/>
      <c r="M2800" s="20"/>
    </row>
    <row r="2801">
      <c r="A2801" s="6"/>
      <c r="B2801" s="6"/>
      <c r="C2801" s="4"/>
      <c r="D2801" s="36">
        <v>0.0</v>
      </c>
      <c r="E2801" s="4"/>
      <c r="F2801" s="4"/>
      <c r="G2801" s="4"/>
      <c r="H2801" s="4"/>
      <c r="I2801" s="4"/>
      <c r="J2801" s="18"/>
      <c r="K2801" s="4"/>
      <c r="L2801" s="19"/>
      <c r="M2801" s="20"/>
    </row>
    <row r="2802">
      <c r="A2802" s="6"/>
      <c r="B2802" s="6"/>
      <c r="C2802" s="4"/>
      <c r="D2802" s="36">
        <v>0.0</v>
      </c>
      <c r="E2802" s="4"/>
      <c r="F2802" s="4"/>
      <c r="G2802" s="4"/>
      <c r="H2802" s="4"/>
      <c r="I2802" s="4"/>
      <c r="J2802" s="18"/>
      <c r="K2802" s="4"/>
      <c r="L2802" s="19"/>
      <c r="M2802" s="20"/>
    </row>
    <row r="2803">
      <c r="A2803" s="6"/>
      <c r="B2803" s="6"/>
      <c r="C2803" s="4"/>
      <c r="D2803" s="36">
        <v>0.0</v>
      </c>
      <c r="E2803" s="4"/>
      <c r="F2803" s="4"/>
      <c r="G2803" s="4"/>
      <c r="H2803" s="4"/>
      <c r="I2803" s="4"/>
      <c r="J2803" s="18"/>
      <c r="K2803" s="4"/>
      <c r="L2803" s="19"/>
      <c r="M2803" s="20"/>
    </row>
    <row r="2804">
      <c r="A2804" s="6"/>
      <c r="B2804" s="6"/>
      <c r="C2804" s="4"/>
      <c r="D2804" s="36">
        <v>0.0</v>
      </c>
      <c r="E2804" s="4"/>
      <c r="F2804" s="4"/>
      <c r="G2804" s="4"/>
      <c r="H2804" s="4"/>
      <c r="I2804" s="4"/>
      <c r="J2804" s="18"/>
      <c r="K2804" s="4"/>
      <c r="L2804" s="19"/>
      <c r="M2804" s="20"/>
    </row>
    <row r="2805">
      <c r="A2805" s="6"/>
      <c r="B2805" s="6"/>
      <c r="C2805" s="4"/>
      <c r="D2805" s="36">
        <v>0.0</v>
      </c>
      <c r="E2805" s="4"/>
      <c r="F2805" s="4"/>
      <c r="G2805" s="4"/>
      <c r="H2805" s="4"/>
      <c r="I2805" s="4"/>
      <c r="J2805" s="18"/>
      <c r="K2805" s="4"/>
      <c r="L2805" s="19"/>
      <c r="M2805" s="20"/>
    </row>
    <row r="2806">
      <c r="A2806" s="6"/>
      <c r="B2806" s="6"/>
      <c r="C2806" s="4"/>
      <c r="D2806" s="36">
        <v>0.0</v>
      </c>
      <c r="E2806" s="4"/>
      <c r="F2806" s="4"/>
      <c r="G2806" s="4"/>
      <c r="H2806" s="4"/>
      <c r="I2806" s="4"/>
      <c r="J2806" s="18"/>
      <c r="K2806" s="4"/>
      <c r="L2806" s="19"/>
      <c r="M2806" s="20"/>
    </row>
    <row r="2807">
      <c r="A2807" s="6"/>
      <c r="B2807" s="6"/>
      <c r="C2807" s="4"/>
      <c r="D2807" s="36">
        <v>0.0</v>
      </c>
      <c r="E2807" s="4"/>
      <c r="F2807" s="4"/>
      <c r="G2807" s="4"/>
      <c r="H2807" s="4"/>
      <c r="I2807" s="4"/>
      <c r="J2807" s="18"/>
      <c r="K2807" s="4"/>
      <c r="L2807" s="19"/>
      <c r="M2807" s="20"/>
    </row>
    <row r="2808">
      <c r="A2808" s="6"/>
      <c r="B2808" s="6"/>
      <c r="C2808" s="4"/>
      <c r="D2808" s="36">
        <v>0.0</v>
      </c>
      <c r="E2808" s="4"/>
      <c r="F2808" s="4"/>
      <c r="G2808" s="4"/>
      <c r="H2808" s="4"/>
      <c r="I2808" s="4"/>
      <c r="J2808" s="18"/>
      <c r="K2808" s="4"/>
      <c r="L2808" s="19"/>
      <c r="M2808" s="20"/>
    </row>
    <row r="2809">
      <c r="A2809" s="6"/>
      <c r="B2809" s="6"/>
      <c r="C2809" s="4"/>
      <c r="D2809" s="36">
        <v>0.0</v>
      </c>
      <c r="E2809" s="4"/>
      <c r="F2809" s="4"/>
      <c r="G2809" s="4"/>
      <c r="H2809" s="4"/>
      <c r="I2809" s="4"/>
      <c r="J2809" s="18"/>
      <c r="K2809" s="4"/>
      <c r="L2809" s="19"/>
      <c r="M2809" s="20"/>
    </row>
    <row r="2810">
      <c r="A2810" s="6"/>
      <c r="B2810" s="6"/>
      <c r="C2810" s="4"/>
      <c r="D2810" s="36">
        <v>0.0</v>
      </c>
      <c r="E2810" s="4"/>
      <c r="F2810" s="4"/>
      <c r="G2810" s="4"/>
      <c r="H2810" s="4"/>
      <c r="I2810" s="4"/>
      <c r="J2810" s="18"/>
      <c r="K2810" s="4"/>
      <c r="L2810" s="19"/>
      <c r="M2810" s="20"/>
    </row>
    <row r="2811">
      <c r="A2811" s="6"/>
      <c r="B2811" s="6"/>
      <c r="C2811" s="4"/>
      <c r="D2811" s="36">
        <v>0.0</v>
      </c>
      <c r="E2811" s="4"/>
      <c r="F2811" s="4"/>
      <c r="G2811" s="4"/>
      <c r="H2811" s="4"/>
      <c r="I2811" s="4"/>
      <c r="J2811" s="18"/>
      <c r="K2811" s="4"/>
      <c r="L2811" s="19"/>
      <c r="M2811" s="20"/>
    </row>
    <row r="2812">
      <c r="A2812" s="6"/>
      <c r="B2812" s="6"/>
      <c r="C2812" s="4"/>
      <c r="D2812" s="36">
        <v>0.0</v>
      </c>
      <c r="E2812" s="4"/>
      <c r="F2812" s="4"/>
      <c r="G2812" s="4"/>
      <c r="H2812" s="4"/>
      <c r="I2812" s="4"/>
      <c r="J2812" s="18"/>
      <c r="K2812" s="4"/>
      <c r="L2812" s="19"/>
      <c r="M2812" s="20"/>
    </row>
    <row r="2813">
      <c r="A2813" s="6"/>
      <c r="B2813" s="6"/>
      <c r="C2813" s="4"/>
      <c r="D2813" s="36">
        <v>0.0</v>
      </c>
      <c r="E2813" s="4"/>
      <c r="F2813" s="4"/>
      <c r="G2813" s="4"/>
      <c r="H2813" s="4"/>
      <c r="I2813" s="4"/>
      <c r="J2813" s="18"/>
      <c r="K2813" s="4"/>
      <c r="L2813" s="19"/>
      <c r="M2813" s="20"/>
    </row>
    <row r="2814">
      <c r="A2814" s="6"/>
      <c r="B2814" s="6"/>
      <c r="C2814" s="4"/>
      <c r="D2814" s="36">
        <v>0.0</v>
      </c>
      <c r="E2814" s="4"/>
      <c r="F2814" s="4"/>
      <c r="G2814" s="4"/>
      <c r="H2814" s="4"/>
      <c r="I2814" s="4"/>
      <c r="J2814" s="18"/>
      <c r="K2814" s="4"/>
      <c r="L2814" s="19"/>
      <c r="M2814" s="20"/>
    </row>
    <row r="2815">
      <c r="A2815" s="6"/>
      <c r="B2815" s="6"/>
      <c r="C2815" s="4"/>
      <c r="D2815" s="36">
        <v>0.0</v>
      </c>
      <c r="E2815" s="4"/>
      <c r="F2815" s="4"/>
      <c r="G2815" s="4"/>
      <c r="H2815" s="4"/>
      <c r="I2815" s="4"/>
      <c r="J2815" s="18"/>
      <c r="K2815" s="4"/>
      <c r="L2815" s="19"/>
      <c r="M2815" s="20"/>
    </row>
    <row r="2816">
      <c r="A2816" s="6"/>
      <c r="B2816" s="6"/>
      <c r="C2816" s="4"/>
      <c r="D2816" s="36">
        <v>0.0</v>
      </c>
      <c r="E2816" s="4"/>
      <c r="F2816" s="4"/>
      <c r="G2816" s="4"/>
      <c r="H2816" s="4"/>
      <c r="I2816" s="4"/>
      <c r="J2816" s="18"/>
      <c r="K2816" s="4"/>
      <c r="L2816" s="19"/>
      <c r="M2816" s="20"/>
    </row>
    <row r="2817">
      <c r="A2817" s="6"/>
      <c r="B2817" s="6"/>
      <c r="C2817" s="4"/>
      <c r="D2817" s="36">
        <v>0.0</v>
      </c>
      <c r="E2817" s="4"/>
      <c r="F2817" s="4"/>
      <c r="G2817" s="4"/>
      <c r="H2817" s="4"/>
      <c r="I2817" s="4"/>
      <c r="J2817" s="18"/>
      <c r="K2817" s="4"/>
      <c r="L2817" s="19"/>
      <c r="M2817" s="20"/>
    </row>
    <row r="2818">
      <c r="A2818" s="6"/>
      <c r="B2818" s="6"/>
      <c r="C2818" s="4"/>
      <c r="D2818" s="36">
        <v>0.0</v>
      </c>
      <c r="E2818" s="4"/>
      <c r="F2818" s="4"/>
      <c r="G2818" s="4"/>
      <c r="H2818" s="4"/>
      <c r="I2818" s="4"/>
      <c r="J2818" s="18"/>
      <c r="K2818" s="4"/>
      <c r="L2818" s="19"/>
      <c r="M2818" s="20"/>
    </row>
    <row r="2819">
      <c r="A2819" s="6"/>
      <c r="B2819" s="6"/>
      <c r="C2819" s="4"/>
      <c r="D2819" s="36">
        <v>0.0</v>
      </c>
      <c r="E2819" s="4"/>
      <c r="F2819" s="4"/>
      <c r="G2819" s="4"/>
      <c r="H2819" s="4"/>
      <c r="I2819" s="4"/>
      <c r="J2819" s="18"/>
      <c r="K2819" s="4"/>
      <c r="L2819" s="19"/>
      <c r="M2819" s="20"/>
    </row>
    <row r="2820">
      <c r="A2820" s="6"/>
      <c r="B2820" s="6"/>
      <c r="C2820" s="4"/>
      <c r="D2820" s="36">
        <v>0.0</v>
      </c>
      <c r="E2820" s="4"/>
      <c r="F2820" s="4"/>
      <c r="G2820" s="4"/>
      <c r="H2820" s="4"/>
      <c r="I2820" s="4"/>
      <c r="J2820" s="18"/>
      <c r="K2820" s="4"/>
      <c r="L2820" s="19"/>
      <c r="M2820" s="20"/>
    </row>
    <row r="2821">
      <c r="A2821" s="6"/>
      <c r="B2821" s="6"/>
      <c r="C2821" s="4"/>
      <c r="D2821" s="36">
        <v>0.0</v>
      </c>
      <c r="E2821" s="4"/>
      <c r="F2821" s="4"/>
      <c r="G2821" s="4"/>
      <c r="H2821" s="4"/>
      <c r="I2821" s="4"/>
      <c r="J2821" s="18"/>
      <c r="K2821" s="4"/>
      <c r="L2821" s="19"/>
      <c r="M2821" s="20"/>
    </row>
    <row r="2822">
      <c r="A2822" s="6"/>
      <c r="B2822" s="6"/>
      <c r="C2822" s="4"/>
      <c r="D2822" s="36">
        <v>0.0</v>
      </c>
      <c r="E2822" s="4"/>
      <c r="F2822" s="4"/>
      <c r="G2822" s="4"/>
      <c r="H2822" s="4"/>
      <c r="I2822" s="4"/>
      <c r="J2822" s="18"/>
      <c r="K2822" s="4"/>
      <c r="L2822" s="19"/>
      <c r="M2822" s="20"/>
    </row>
    <row r="2823">
      <c r="A2823" s="6"/>
      <c r="B2823" s="6"/>
      <c r="C2823" s="4"/>
      <c r="D2823" s="36">
        <v>0.0</v>
      </c>
      <c r="E2823" s="4"/>
      <c r="F2823" s="4"/>
      <c r="G2823" s="4"/>
      <c r="H2823" s="4"/>
      <c r="I2823" s="4"/>
      <c r="J2823" s="18"/>
      <c r="K2823" s="4"/>
      <c r="L2823" s="19"/>
      <c r="M2823" s="20"/>
    </row>
    <row r="2824">
      <c r="A2824" s="6"/>
      <c r="B2824" s="6"/>
      <c r="C2824" s="4"/>
      <c r="D2824" s="36">
        <v>0.0</v>
      </c>
      <c r="E2824" s="4"/>
      <c r="F2824" s="4"/>
      <c r="G2824" s="4"/>
      <c r="H2824" s="4"/>
      <c r="I2824" s="4"/>
      <c r="J2824" s="18"/>
      <c r="K2824" s="4"/>
      <c r="L2824" s="19"/>
      <c r="M2824" s="20"/>
    </row>
    <row r="2825">
      <c r="A2825" s="6"/>
      <c r="B2825" s="6"/>
      <c r="C2825" s="4"/>
      <c r="D2825" s="36">
        <v>0.0</v>
      </c>
      <c r="E2825" s="4"/>
      <c r="F2825" s="4"/>
      <c r="G2825" s="4"/>
      <c r="H2825" s="4"/>
      <c r="I2825" s="4"/>
      <c r="J2825" s="18"/>
      <c r="K2825" s="4"/>
      <c r="L2825" s="19"/>
      <c r="M2825" s="20"/>
    </row>
    <row r="2826">
      <c r="A2826" s="6"/>
      <c r="B2826" s="6"/>
      <c r="C2826" s="4"/>
      <c r="D2826" s="36">
        <v>0.0</v>
      </c>
      <c r="E2826" s="4"/>
      <c r="F2826" s="4"/>
      <c r="G2826" s="4"/>
      <c r="H2826" s="4"/>
      <c r="I2826" s="4"/>
      <c r="J2826" s="18"/>
      <c r="K2826" s="4"/>
      <c r="L2826" s="19"/>
      <c r="M2826" s="20"/>
    </row>
    <row r="2827">
      <c r="A2827" s="6"/>
      <c r="B2827" s="6"/>
      <c r="C2827" s="4"/>
      <c r="D2827" s="36">
        <v>0.0</v>
      </c>
      <c r="E2827" s="4"/>
      <c r="F2827" s="4"/>
      <c r="G2827" s="4"/>
      <c r="H2827" s="4"/>
      <c r="I2827" s="4"/>
      <c r="J2827" s="18"/>
      <c r="K2827" s="4"/>
      <c r="L2827" s="19"/>
      <c r="M2827" s="20"/>
    </row>
    <row r="2828">
      <c r="A2828" s="6"/>
      <c r="B2828" s="6"/>
      <c r="C2828" s="4"/>
      <c r="D2828" s="36">
        <v>0.0</v>
      </c>
      <c r="E2828" s="4"/>
      <c r="F2828" s="4"/>
      <c r="G2828" s="4"/>
      <c r="H2828" s="4"/>
      <c r="I2828" s="4"/>
      <c r="J2828" s="18"/>
      <c r="K2828" s="4"/>
      <c r="L2828" s="19"/>
      <c r="M2828" s="20"/>
    </row>
    <row r="2829">
      <c r="A2829" s="6"/>
      <c r="B2829" s="6"/>
      <c r="C2829" s="4"/>
      <c r="D2829" s="36">
        <v>0.0</v>
      </c>
      <c r="E2829" s="4"/>
      <c r="F2829" s="4"/>
      <c r="G2829" s="4"/>
      <c r="H2829" s="4"/>
      <c r="I2829" s="4"/>
      <c r="J2829" s="18"/>
      <c r="K2829" s="4"/>
      <c r="L2829" s="19"/>
      <c r="M2829" s="20"/>
    </row>
    <row r="2830">
      <c r="A2830" s="6"/>
      <c r="B2830" s="6"/>
      <c r="C2830" s="4"/>
      <c r="D2830" s="36">
        <v>0.0</v>
      </c>
      <c r="E2830" s="4"/>
      <c r="F2830" s="4"/>
      <c r="G2830" s="4"/>
      <c r="H2830" s="4"/>
      <c r="I2830" s="4"/>
      <c r="J2830" s="18"/>
      <c r="K2830" s="4"/>
      <c r="L2830" s="19"/>
      <c r="M2830" s="20"/>
    </row>
    <row r="2831">
      <c r="A2831" s="6"/>
      <c r="B2831" s="6"/>
      <c r="C2831" s="4"/>
      <c r="D2831" s="36">
        <v>0.0</v>
      </c>
      <c r="E2831" s="4"/>
      <c r="F2831" s="4"/>
      <c r="G2831" s="4"/>
      <c r="H2831" s="4"/>
      <c r="I2831" s="4"/>
      <c r="J2831" s="18"/>
      <c r="K2831" s="4"/>
      <c r="L2831" s="19"/>
      <c r="M2831" s="20"/>
    </row>
    <row r="2832">
      <c r="A2832" s="6"/>
      <c r="B2832" s="6"/>
      <c r="C2832" s="4"/>
      <c r="D2832" s="36">
        <v>0.0</v>
      </c>
      <c r="E2832" s="4"/>
      <c r="F2832" s="4"/>
      <c r="G2832" s="4"/>
      <c r="H2832" s="4"/>
      <c r="I2832" s="4"/>
      <c r="J2832" s="18"/>
      <c r="K2832" s="4"/>
      <c r="L2832" s="19"/>
      <c r="M2832" s="20"/>
    </row>
    <row r="2833">
      <c r="A2833" s="6"/>
      <c r="B2833" s="6"/>
      <c r="C2833" s="4"/>
      <c r="D2833" s="36">
        <v>0.0</v>
      </c>
      <c r="E2833" s="4"/>
      <c r="F2833" s="4"/>
      <c r="G2833" s="4"/>
      <c r="H2833" s="4"/>
      <c r="I2833" s="4"/>
      <c r="J2833" s="18"/>
      <c r="K2833" s="4"/>
      <c r="L2833" s="19"/>
      <c r="M2833" s="20"/>
    </row>
    <row r="2834">
      <c r="A2834" s="6"/>
      <c r="B2834" s="6"/>
      <c r="C2834" s="4"/>
      <c r="D2834" s="36">
        <v>0.0</v>
      </c>
      <c r="E2834" s="4"/>
      <c r="F2834" s="4"/>
      <c r="G2834" s="4"/>
      <c r="H2834" s="4"/>
      <c r="I2834" s="4"/>
      <c r="J2834" s="18"/>
      <c r="K2834" s="4"/>
      <c r="L2834" s="19"/>
      <c r="M2834" s="20"/>
    </row>
    <row r="2835">
      <c r="A2835" s="6"/>
      <c r="B2835" s="6"/>
      <c r="C2835" s="4"/>
      <c r="D2835" s="36">
        <v>0.0</v>
      </c>
      <c r="E2835" s="4"/>
      <c r="F2835" s="4"/>
      <c r="G2835" s="4"/>
      <c r="H2835" s="4"/>
      <c r="I2835" s="4"/>
      <c r="J2835" s="18"/>
      <c r="K2835" s="4"/>
      <c r="L2835" s="19"/>
      <c r="M2835" s="20"/>
    </row>
    <row r="2836">
      <c r="A2836" s="6"/>
      <c r="B2836" s="6"/>
      <c r="C2836" s="4"/>
      <c r="D2836" s="36">
        <v>0.0</v>
      </c>
      <c r="E2836" s="4"/>
      <c r="F2836" s="4"/>
      <c r="G2836" s="4"/>
      <c r="H2836" s="4"/>
      <c r="I2836" s="4"/>
      <c r="J2836" s="18"/>
      <c r="K2836" s="4"/>
      <c r="L2836" s="19"/>
      <c r="M2836" s="20"/>
    </row>
    <row r="2837">
      <c r="A2837" s="6"/>
      <c r="B2837" s="6"/>
      <c r="C2837" s="4"/>
      <c r="D2837" s="36">
        <v>0.0</v>
      </c>
      <c r="E2837" s="4"/>
      <c r="F2837" s="4"/>
      <c r="G2837" s="4"/>
      <c r="H2837" s="4"/>
      <c r="I2837" s="4"/>
      <c r="J2837" s="18"/>
      <c r="K2837" s="4"/>
      <c r="L2837" s="19"/>
      <c r="M2837" s="20"/>
    </row>
    <row r="2838">
      <c r="A2838" s="6"/>
      <c r="B2838" s="6"/>
      <c r="C2838" s="4"/>
      <c r="D2838" s="36">
        <v>0.0</v>
      </c>
      <c r="E2838" s="4"/>
      <c r="F2838" s="4"/>
      <c r="G2838" s="4"/>
      <c r="H2838" s="4"/>
      <c r="I2838" s="4"/>
      <c r="J2838" s="18"/>
      <c r="K2838" s="4"/>
      <c r="L2838" s="19"/>
      <c r="M2838" s="20"/>
    </row>
    <row r="2839">
      <c r="A2839" s="6"/>
      <c r="B2839" s="6"/>
      <c r="C2839" s="4"/>
      <c r="D2839" s="36">
        <v>0.0</v>
      </c>
      <c r="E2839" s="4"/>
      <c r="F2839" s="4"/>
      <c r="G2839" s="4"/>
      <c r="H2839" s="4"/>
      <c r="I2839" s="4"/>
      <c r="J2839" s="18"/>
      <c r="K2839" s="4"/>
      <c r="L2839" s="19"/>
      <c r="M2839" s="20"/>
    </row>
    <row r="2840">
      <c r="A2840" s="6"/>
      <c r="B2840" s="6"/>
      <c r="C2840" s="4"/>
      <c r="D2840" s="36">
        <v>0.0</v>
      </c>
      <c r="E2840" s="4"/>
      <c r="F2840" s="4"/>
      <c r="G2840" s="4"/>
      <c r="H2840" s="4"/>
      <c r="I2840" s="4"/>
      <c r="J2840" s="18"/>
      <c r="K2840" s="4"/>
      <c r="L2840" s="19"/>
      <c r="M2840" s="20"/>
    </row>
    <row r="2841">
      <c r="A2841" s="6"/>
      <c r="B2841" s="6"/>
      <c r="C2841" s="4"/>
      <c r="D2841" s="36">
        <v>0.0</v>
      </c>
      <c r="E2841" s="4"/>
      <c r="F2841" s="4"/>
      <c r="G2841" s="4"/>
      <c r="H2841" s="4"/>
      <c r="I2841" s="4"/>
      <c r="J2841" s="18"/>
      <c r="K2841" s="4"/>
      <c r="L2841" s="19"/>
      <c r="M2841" s="20"/>
    </row>
    <row r="2842">
      <c r="A2842" s="6"/>
      <c r="B2842" s="6"/>
      <c r="C2842" s="4"/>
      <c r="D2842" s="36">
        <v>0.0</v>
      </c>
      <c r="E2842" s="4"/>
      <c r="F2842" s="4"/>
      <c r="G2842" s="4"/>
      <c r="H2842" s="4"/>
      <c r="I2842" s="4"/>
      <c r="J2842" s="18"/>
      <c r="K2842" s="4"/>
      <c r="L2842" s="19"/>
      <c r="M2842" s="20"/>
    </row>
    <row r="2843">
      <c r="A2843" s="6"/>
      <c r="B2843" s="6"/>
      <c r="C2843" s="4"/>
      <c r="D2843" s="36">
        <v>0.0</v>
      </c>
      <c r="E2843" s="4"/>
      <c r="F2843" s="4"/>
      <c r="G2843" s="4"/>
      <c r="H2843" s="4"/>
      <c r="I2843" s="4"/>
      <c r="J2843" s="18"/>
      <c r="K2843" s="4"/>
      <c r="L2843" s="19"/>
      <c r="M2843" s="20"/>
    </row>
    <row r="2844">
      <c r="A2844" s="6"/>
      <c r="B2844" s="6"/>
      <c r="C2844" s="4"/>
      <c r="D2844" s="36">
        <v>0.0</v>
      </c>
      <c r="E2844" s="4"/>
      <c r="F2844" s="4"/>
      <c r="G2844" s="4"/>
      <c r="H2844" s="4"/>
      <c r="I2844" s="4"/>
      <c r="J2844" s="18"/>
      <c r="K2844" s="4"/>
      <c r="L2844" s="19"/>
      <c r="M2844" s="20"/>
    </row>
    <row r="2845">
      <c r="A2845" s="6"/>
      <c r="B2845" s="6"/>
      <c r="C2845" s="4"/>
      <c r="D2845" s="36">
        <v>0.0</v>
      </c>
      <c r="E2845" s="4"/>
      <c r="F2845" s="4"/>
      <c r="G2845" s="4"/>
      <c r="H2845" s="4"/>
      <c r="I2845" s="4"/>
      <c r="J2845" s="18"/>
      <c r="K2845" s="4"/>
      <c r="L2845" s="19"/>
      <c r="M2845" s="20"/>
    </row>
    <row r="2846">
      <c r="A2846" s="6"/>
      <c r="B2846" s="6"/>
      <c r="C2846" s="4"/>
      <c r="D2846" s="36">
        <v>0.0</v>
      </c>
      <c r="E2846" s="4"/>
      <c r="F2846" s="4"/>
      <c r="G2846" s="4"/>
      <c r="H2846" s="4"/>
      <c r="I2846" s="4"/>
      <c r="J2846" s="18"/>
      <c r="K2846" s="4"/>
      <c r="L2846" s="19"/>
      <c r="M2846" s="20"/>
    </row>
    <row r="2847">
      <c r="A2847" s="6"/>
      <c r="B2847" s="6"/>
      <c r="C2847" s="4"/>
      <c r="D2847" s="36">
        <v>0.0</v>
      </c>
      <c r="E2847" s="4"/>
      <c r="F2847" s="4"/>
      <c r="G2847" s="4"/>
      <c r="H2847" s="4"/>
      <c r="I2847" s="4"/>
      <c r="J2847" s="18"/>
      <c r="K2847" s="4"/>
      <c r="L2847" s="19"/>
      <c r="M2847" s="20"/>
    </row>
    <row r="2848">
      <c r="A2848" s="6"/>
      <c r="B2848" s="6"/>
      <c r="C2848" s="4"/>
      <c r="D2848" s="36">
        <v>0.0</v>
      </c>
      <c r="E2848" s="4"/>
      <c r="F2848" s="4"/>
      <c r="G2848" s="4"/>
      <c r="H2848" s="4"/>
      <c r="I2848" s="4"/>
      <c r="J2848" s="18"/>
      <c r="K2848" s="4"/>
      <c r="L2848" s="19"/>
      <c r="M2848" s="20"/>
    </row>
    <row r="2849">
      <c r="A2849" s="6"/>
      <c r="B2849" s="6"/>
      <c r="C2849" s="4"/>
      <c r="D2849" s="36">
        <v>0.0</v>
      </c>
      <c r="E2849" s="4"/>
      <c r="F2849" s="4"/>
      <c r="G2849" s="4"/>
      <c r="H2849" s="4"/>
      <c r="I2849" s="4"/>
      <c r="J2849" s="18"/>
      <c r="K2849" s="4"/>
      <c r="L2849" s="19"/>
      <c r="M2849" s="20"/>
    </row>
    <row r="2850">
      <c r="A2850" s="6"/>
      <c r="B2850" s="6"/>
      <c r="C2850" s="4"/>
      <c r="D2850" s="36">
        <v>0.0</v>
      </c>
      <c r="E2850" s="4"/>
      <c r="F2850" s="4"/>
      <c r="G2850" s="4"/>
      <c r="H2850" s="4"/>
      <c r="I2850" s="4"/>
      <c r="J2850" s="18"/>
      <c r="K2850" s="4"/>
      <c r="L2850" s="19"/>
      <c r="M2850" s="20"/>
    </row>
    <row r="2851">
      <c r="A2851" s="6"/>
      <c r="B2851" s="6"/>
      <c r="C2851" s="4"/>
      <c r="D2851" s="36">
        <v>0.0</v>
      </c>
      <c r="E2851" s="4"/>
      <c r="F2851" s="4"/>
      <c r="G2851" s="4"/>
      <c r="H2851" s="4"/>
      <c r="I2851" s="4"/>
      <c r="J2851" s="18"/>
      <c r="K2851" s="4"/>
      <c r="L2851" s="19"/>
      <c r="M2851" s="20"/>
    </row>
    <row r="2852">
      <c r="A2852" s="6"/>
      <c r="B2852" s="6"/>
      <c r="C2852" s="4"/>
      <c r="D2852" s="36">
        <v>0.0</v>
      </c>
      <c r="E2852" s="4"/>
      <c r="F2852" s="4"/>
      <c r="G2852" s="4"/>
      <c r="H2852" s="4"/>
      <c r="I2852" s="4"/>
      <c r="J2852" s="18"/>
      <c r="K2852" s="4"/>
      <c r="L2852" s="19"/>
      <c r="M2852" s="20"/>
    </row>
    <row r="2853">
      <c r="A2853" s="6"/>
      <c r="B2853" s="6"/>
      <c r="C2853" s="4"/>
      <c r="D2853" s="36">
        <v>0.0</v>
      </c>
      <c r="E2853" s="4"/>
      <c r="F2853" s="4"/>
      <c r="G2853" s="4"/>
      <c r="H2853" s="4"/>
      <c r="I2853" s="4"/>
      <c r="J2853" s="18"/>
      <c r="K2853" s="4"/>
      <c r="L2853" s="19"/>
      <c r="M2853" s="20"/>
    </row>
    <row r="2854">
      <c r="A2854" s="6"/>
      <c r="B2854" s="6"/>
      <c r="C2854" s="4"/>
      <c r="D2854" s="36">
        <v>0.0</v>
      </c>
      <c r="E2854" s="4"/>
      <c r="F2854" s="4"/>
      <c r="G2854" s="4"/>
      <c r="H2854" s="4"/>
      <c r="I2854" s="4"/>
      <c r="J2854" s="18"/>
      <c r="K2854" s="4"/>
      <c r="L2854" s="19"/>
      <c r="M2854" s="20"/>
    </row>
    <row r="2855">
      <c r="A2855" s="6"/>
      <c r="B2855" s="6"/>
      <c r="C2855" s="4"/>
      <c r="D2855" s="36">
        <v>0.0</v>
      </c>
      <c r="E2855" s="4"/>
      <c r="F2855" s="4"/>
      <c r="G2855" s="4"/>
      <c r="H2855" s="4"/>
      <c r="I2855" s="4"/>
      <c r="J2855" s="18"/>
      <c r="K2855" s="4"/>
      <c r="L2855" s="19"/>
      <c r="M2855" s="20"/>
    </row>
    <row r="2856">
      <c r="A2856" s="6"/>
      <c r="B2856" s="6"/>
      <c r="C2856" s="4"/>
      <c r="D2856" s="36">
        <v>0.0</v>
      </c>
      <c r="E2856" s="4"/>
      <c r="F2856" s="4"/>
      <c r="G2856" s="4"/>
      <c r="H2856" s="4"/>
      <c r="I2856" s="4"/>
      <c r="J2856" s="18"/>
      <c r="K2856" s="4"/>
      <c r="L2856" s="19"/>
      <c r="M2856" s="20"/>
    </row>
    <row r="2857">
      <c r="A2857" s="6"/>
      <c r="B2857" s="6"/>
      <c r="C2857" s="4"/>
      <c r="D2857" s="36">
        <v>0.0</v>
      </c>
      <c r="E2857" s="4"/>
      <c r="F2857" s="4"/>
      <c r="G2857" s="4"/>
      <c r="H2857" s="4"/>
      <c r="I2857" s="4"/>
      <c r="J2857" s="18"/>
      <c r="K2857" s="4"/>
      <c r="L2857" s="19"/>
      <c r="M2857" s="20"/>
    </row>
    <row r="2858">
      <c r="A2858" s="6"/>
      <c r="B2858" s="6"/>
      <c r="C2858" s="4"/>
      <c r="D2858" s="36">
        <v>0.0</v>
      </c>
      <c r="E2858" s="4"/>
      <c r="F2858" s="4"/>
      <c r="G2858" s="4"/>
      <c r="H2858" s="4"/>
      <c r="I2858" s="4"/>
      <c r="J2858" s="18"/>
      <c r="K2858" s="4"/>
      <c r="L2858" s="19"/>
      <c r="M2858" s="20"/>
    </row>
    <row r="2859">
      <c r="A2859" s="6"/>
      <c r="B2859" s="6"/>
      <c r="C2859" s="4"/>
      <c r="D2859" s="36">
        <v>0.0</v>
      </c>
      <c r="E2859" s="4"/>
      <c r="F2859" s="4"/>
      <c r="G2859" s="4"/>
      <c r="H2859" s="4"/>
      <c r="I2859" s="4"/>
      <c r="J2859" s="18"/>
      <c r="K2859" s="4"/>
      <c r="L2859" s="19"/>
      <c r="M2859" s="20"/>
    </row>
    <row r="2860">
      <c r="A2860" s="6"/>
      <c r="B2860" s="6"/>
      <c r="C2860" s="4"/>
      <c r="D2860" s="36">
        <v>0.0</v>
      </c>
      <c r="E2860" s="4"/>
      <c r="F2860" s="4"/>
      <c r="G2860" s="4"/>
      <c r="H2860" s="4"/>
      <c r="I2860" s="4"/>
      <c r="J2860" s="18"/>
      <c r="K2860" s="4"/>
      <c r="L2860" s="19"/>
      <c r="M2860" s="20"/>
    </row>
    <row r="2861">
      <c r="A2861" s="6"/>
      <c r="B2861" s="6"/>
      <c r="C2861" s="4"/>
      <c r="D2861" s="36">
        <v>0.0</v>
      </c>
      <c r="E2861" s="4"/>
      <c r="F2861" s="4"/>
      <c r="G2861" s="4"/>
      <c r="H2861" s="4"/>
      <c r="I2861" s="4"/>
      <c r="J2861" s="18"/>
      <c r="K2861" s="4"/>
      <c r="L2861" s="19"/>
      <c r="M2861" s="20"/>
    </row>
    <row r="2862">
      <c r="A2862" s="6"/>
      <c r="B2862" s="6"/>
      <c r="C2862" s="4"/>
      <c r="D2862" s="36">
        <v>0.0</v>
      </c>
      <c r="E2862" s="4"/>
      <c r="F2862" s="4"/>
      <c r="G2862" s="4"/>
      <c r="H2862" s="4"/>
      <c r="I2862" s="4"/>
      <c r="J2862" s="18"/>
      <c r="K2862" s="4"/>
      <c r="L2862" s="19"/>
      <c r="M2862" s="20"/>
    </row>
    <row r="2863">
      <c r="A2863" s="6"/>
      <c r="B2863" s="6"/>
      <c r="C2863" s="4"/>
      <c r="D2863" s="36">
        <v>0.0</v>
      </c>
      <c r="E2863" s="4"/>
      <c r="F2863" s="4"/>
      <c r="G2863" s="4"/>
      <c r="H2863" s="4"/>
      <c r="I2863" s="4"/>
      <c r="J2863" s="18"/>
      <c r="K2863" s="4"/>
      <c r="L2863" s="19"/>
      <c r="M2863" s="20"/>
    </row>
    <row r="2864">
      <c r="A2864" s="6"/>
      <c r="B2864" s="6"/>
      <c r="C2864" s="4"/>
      <c r="D2864" s="36">
        <v>0.0</v>
      </c>
      <c r="E2864" s="4"/>
      <c r="F2864" s="4"/>
      <c r="G2864" s="4"/>
      <c r="H2864" s="4"/>
      <c r="I2864" s="4"/>
      <c r="J2864" s="18"/>
      <c r="K2864" s="4"/>
      <c r="L2864" s="19"/>
      <c r="M2864" s="20"/>
    </row>
    <row r="2865">
      <c r="A2865" s="6"/>
      <c r="B2865" s="6"/>
      <c r="C2865" s="4"/>
      <c r="D2865" s="36">
        <v>0.0</v>
      </c>
      <c r="E2865" s="4"/>
      <c r="F2865" s="4"/>
      <c r="G2865" s="4"/>
      <c r="H2865" s="4"/>
      <c r="I2865" s="4"/>
      <c r="J2865" s="18"/>
      <c r="K2865" s="4"/>
      <c r="L2865" s="19"/>
      <c r="M2865" s="20"/>
    </row>
    <row r="2866">
      <c r="A2866" s="6"/>
      <c r="B2866" s="6"/>
      <c r="C2866" s="4"/>
      <c r="D2866" s="36">
        <v>0.0</v>
      </c>
      <c r="E2866" s="4"/>
      <c r="F2866" s="4"/>
      <c r="G2866" s="4"/>
      <c r="H2866" s="4"/>
      <c r="I2866" s="4"/>
      <c r="J2866" s="18"/>
      <c r="K2866" s="4"/>
      <c r="L2866" s="19"/>
      <c r="M2866" s="20"/>
    </row>
    <row r="2867">
      <c r="A2867" s="6"/>
      <c r="B2867" s="6"/>
      <c r="C2867" s="4"/>
      <c r="D2867" s="36">
        <v>0.0</v>
      </c>
      <c r="E2867" s="4"/>
      <c r="F2867" s="4"/>
      <c r="G2867" s="4"/>
      <c r="H2867" s="4"/>
      <c r="I2867" s="4"/>
      <c r="J2867" s="18"/>
      <c r="K2867" s="4"/>
      <c r="L2867" s="19"/>
      <c r="M2867" s="20"/>
    </row>
    <row r="2868">
      <c r="A2868" s="6"/>
      <c r="B2868" s="6"/>
      <c r="C2868" s="4"/>
      <c r="D2868" s="36">
        <v>0.0</v>
      </c>
      <c r="E2868" s="4"/>
      <c r="F2868" s="4"/>
      <c r="G2868" s="4"/>
      <c r="H2868" s="4"/>
      <c r="I2868" s="4"/>
      <c r="J2868" s="18"/>
      <c r="K2868" s="4"/>
      <c r="L2868" s="19"/>
      <c r="M2868" s="20"/>
    </row>
    <row r="2869">
      <c r="A2869" s="6"/>
      <c r="B2869" s="6"/>
      <c r="C2869" s="4"/>
      <c r="D2869" s="36">
        <v>0.0</v>
      </c>
      <c r="E2869" s="4"/>
      <c r="F2869" s="4"/>
      <c r="G2869" s="4"/>
      <c r="H2869" s="4"/>
      <c r="I2869" s="4"/>
      <c r="J2869" s="18"/>
      <c r="K2869" s="4"/>
      <c r="L2869" s="19"/>
      <c r="M2869" s="20"/>
    </row>
    <row r="2870">
      <c r="A2870" s="6"/>
      <c r="B2870" s="6"/>
      <c r="C2870" s="4"/>
      <c r="D2870" s="36">
        <v>0.0</v>
      </c>
      <c r="E2870" s="4"/>
      <c r="F2870" s="4"/>
      <c r="G2870" s="4"/>
      <c r="H2870" s="4"/>
      <c r="I2870" s="4"/>
      <c r="J2870" s="18"/>
      <c r="K2870" s="4"/>
      <c r="L2870" s="19"/>
      <c r="M2870" s="20"/>
    </row>
    <row r="2871">
      <c r="A2871" s="6"/>
      <c r="B2871" s="6"/>
      <c r="C2871" s="4"/>
      <c r="D2871" s="36">
        <v>0.0</v>
      </c>
      <c r="E2871" s="4"/>
      <c r="F2871" s="4"/>
      <c r="G2871" s="4"/>
      <c r="H2871" s="4"/>
      <c r="I2871" s="4"/>
      <c r="J2871" s="18"/>
      <c r="K2871" s="4"/>
      <c r="L2871" s="19"/>
      <c r="M2871" s="20"/>
    </row>
    <row r="2872">
      <c r="A2872" s="6"/>
      <c r="B2872" s="6"/>
      <c r="C2872" s="4"/>
      <c r="D2872" s="36">
        <v>0.0</v>
      </c>
      <c r="E2872" s="4"/>
      <c r="F2872" s="4"/>
      <c r="G2872" s="4"/>
      <c r="H2872" s="4"/>
      <c r="I2872" s="4"/>
      <c r="J2872" s="18"/>
      <c r="K2872" s="4"/>
      <c r="L2872" s="19"/>
      <c r="M2872" s="20"/>
    </row>
    <row r="2873">
      <c r="A2873" s="6"/>
      <c r="B2873" s="6"/>
      <c r="C2873" s="4"/>
      <c r="D2873" s="36">
        <v>0.0</v>
      </c>
      <c r="E2873" s="4"/>
      <c r="F2873" s="4"/>
      <c r="G2873" s="4"/>
      <c r="H2873" s="4"/>
      <c r="I2873" s="4"/>
      <c r="J2873" s="18"/>
      <c r="K2873" s="4"/>
      <c r="L2873" s="19"/>
      <c r="M2873" s="20"/>
    </row>
    <row r="2874">
      <c r="A2874" s="6"/>
      <c r="B2874" s="6"/>
      <c r="C2874" s="4"/>
      <c r="D2874" s="36">
        <v>0.0</v>
      </c>
      <c r="E2874" s="4"/>
      <c r="F2874" s="4"/>
      <c r="G2874" s="4"/>
      <c r="H2874" s="4"/>
      <c r="I2874" s="4"/>
      <c r="J2874" s="18"/>
      <c r="K2874" s="4"/>
      <c r="L2874" s="19"/>
      <c r="M2874" s="20"/>
    </row>
    <row r="2875">
      <c r="A2875" s="6"/>
      <c r="B2875" s="6"/>
      <c r="C2875" s="4"/>
      <c r="D2875" s="36">
        <v>0.0</v>
      </c>
      <c r="E2875" s="4"/>
      <c r="F2875" s="4"/>
      <c r="G2875" s="4"/>
      <c r="H2875" s="4"/>
      <c r="I2875" s="4"/>
      <c r="J2875" s="18"/>
      <c r="K2875" s="4"/>
      <c r="L2875" s="19"/>
      <c r="M2875" s="20"/>
    </row>
    <row r="2876">
      <c r="A2876" s="6"/>
      <c r="B2876" s="6"/>
      <c r="C2876" s="4"/>
      <c r="D2876" s="36">
        <v>0.0</v>
      </c>
      <c r="E2876" s="4"/>
      <c r="F2876" s="4"/>
      <c r="G2876" s="4"/>
      <c r="H2876" s="4"/>
      <c r="I2876" s="4"/>
      <c r="J2876" s="18"/>
      <c r="K2876" s="4"/>
      <c r="L2876" s="19"/>
      <c r="M2876" s="20"/>
    </row>
    <row r="2877">
      <c r="A2877" s="6"/>
      <c r="B2877" s="6"/>
      <c r="C2877" s="4"/>
      <c r="D2877" s="36">
        <v>0.0</v>
      </c>
      <c r="E2877" s="4"/>
      <c r="F2877" s="4"/>
      <c r="G2877" s="4"/>
      <c r="H2877" s="4"/>
      <c r="I2877" s="4"/>
      <c r="J2877" s="18"/>
      <c r="K2877" s="4"/>
      <c r="L2877" s="19"/>
      <c r="M2877" s="20"/>
    </row>
    <row r="2878">
      <c r="A2878" s="6"/>
      <c r="B2878" s="6"/>
      <c r="C2878" s="4"/>
      <c r="D2878" s="36">
        <v>0.0</v>
      </c>
      <c r="E2878" s="4"/>
      <c r="F2878" s="4"/>
      <c r="G2878" s="4"/>
      <c r="H2878" s="4"/>
      <c r="I2878" s="4"/>
      <c r="J2878" s="18"/>
      <c r="K2878" s="4"/>
      <c r="L2878" s="19"/>
      <c r="M2878" s="20"/>
    </row>
    <row r="2879">
      <c r="A2879" s="6"/>
      <c r="B2879" s="6"/>
      <c r="C2879" s="4"/>
      <c r="D2879" s="36">
        <v>0.0</v>
      </c>
      <c r="E2879" s="4"/>
      <c r="F2879" s="4"/>
      <c r="G2879" s="4"/>
      <c r="H2879" s="4"/>
      <c r="I2879" s="4"/>
      <c r="J2879" s="18"/>
      <c r="K2879" s="4"/>
      <c r="L2879" s="19"/>
      <c r="M2879" s="20"/>
    </row>
    <row r="2880">
      <c r="A2880" s="6"/>
      <c r="B2880" s="6"/>
      <c r="C2880" s="4"/>
      <c r="D2880" s="36">
        <v>0.0</v>
      </c>
      <c r="E2880" s="4"/>
      <c r="F2880" s="4"/>
      <c r="G2880" s="4"/>
      <c r="H2880" s="4"/>
      <c r="I2880" s="4"/>
      <c r="J2880" s="18"/>
      <c r="K2880" s="4"/>
      <c r="L2880" s="19"/>
      <c r="M2880" s="20"/>
    </row>
    <row r="2881">
      <c r="A2881" s="6"/>
      <c r="B2881" s="6"/>
      <c r="C2881" s="4"/>
      <c r="D2881" s="36">
        <v>0.0</v>
      </c>
      <c r="E2881" s="4"/>
      <c r="F2881" s="4"/>
      <c r="G2881" s="4"/>
      <c r="H2881" s="4"/>
      <c r="I2881" s="4"/>
      <c r="J2881" s="18"/>
      <c r="K2881" s="4"/>
      <c r="L2881" s="19"/>
      <c r="M2881" s="20"/>
    </row>
    <row r="2882">
      <c r="A2882" s="6"/>
      <c r="B2882" s="6"/>
      <c r="C2882" s="4"/>
      <c r="D2882" s="36">
        <v>0.0</v>
      </c>
      <c r="E2882" s="4"/>
      <c r="F2882" s="4"/>
      <c r="G2882" s="4"/>
      <c r="H2882" s="4"/>
      <c r="I2882" s="4"/>
      <c r="J2882" s="18"/>
      <c r="K2882" s="4"/>
      <c r="L2882" s="19"/>
      <c r="M2882" s="20"/>
    </row>
    <row r="2883">
      <c r="A2883" s="6"/>
      <c r="B2883" s="6"/>
      <c r="C2883" s="4"/>
      <c r="D2883" s="36">
        <v>0.0</v>
      </c>
      <c r="E2883" s="4"/>
      <c r="F2883" s="4"/>
      <c r="G2883" s="4"/>
      <c r="H2883" s="4"/>
      <c r="I2883" s="4"/>
      <c r="J2883" s="18"/>
      <c r="K2883" s="4"/>
      <c r="L2883" s="19"/>
      <c r="M2883" s="20"/>
    </row>
    <row r="2884">
      <c r="A2884" s="6"/>
      <c r="B2884" s="6"/>
      <c r="C2884" s="4"/>
      <c r="D2884" s="36">
        <v>0.0</v>
      </c>
      <c r="E2884" s="4"/>
      <c r="F2884" s="4"/>
      <c r="G2884" s="4"/>
      <c r="H2884" s="4"/>
      <c r="I2884" s="4"/>
      <c r="J2884" s="18"/>
      <c r="K2884" s="4"/>
      <c r="L2884" s="19"/>
      <c r="M2884" s="20"/>
    </row>
    <row r="2885">
      <c r="A2885" s="6"/>
      <c r="B2885" s="6"/>
      <c r="C2885" s="4"/>
      <c r="D2885" s="36">
        <v>0.0</v>
      </c>
      <c r="E2885" s="4"/>
      <c r="F2885" s="4"/>
      <c r="G2885" s="4"/>
      <c r="H2885" s="4"/>
      <c r="I2885" s="4"/>
      <c r="J2885" s="18"/>
      <c r="K2885" s="4"/>
      <c r="L2885" s="19"/>
      <c r="M2885" s="20"/>
    </row>
    <row r="2886">
      <c r="A2886" s="6"/>
      <c r="B2886" s="6"/>
      <c r="C2886" s="4"/>
      <c r="D2886" s="36">
        <v>0.0</v>
      </c>
      <c r="E2886" s="4"/>
      <c r="F2886" s="4"/>
      <c r="G2886" s="4"/>
      <c r="H2886" s="4"/>
      <c r="I2886" s="4"/>
      <c r="J2886" s="18"/>
      <c r="K2886" s="4"/>
      <c r="L2886" s="19"/>
      <c r="M2886" s="20"/>
    </row>
    <row r="2887">
      <c r="A2887" s="6"/>
      <c r="B2887" s="6"/>
      <c r="C2887" s="4"/>
      <c r="D2887" s="36">
        <v>0.0</v>
      </c>
      <c r="E2887" s="4"/>
      <c r="F2887" s="4"/>
      <c r="G2887" s="4"/>
      <c r="H2887" s="4"/>
      <c r="I2887" s="4"/>
      <c r="J2887" s="18"/>
      <c r="K2887" s="4"/>
      <c r="L2887" s="19"/>
      <c r="M2887" s="20"/>
    </row>
    <row r="2888">
      <c r="A2888" s="6"/>
      <c r="B2888" s="6"/>
      <c r="C2888" s="4"/>
      <c r="D2888" s="36">
        <v>0.0</v>
      </c>
      <c r="E2888" s="4"/>
      <c r="F2888" s="4"/>
      <c r="G2888" s="4"/>
      <c r="H2888" s="4"/>
      <c r="I2888" s="4"/>
      <c r="J2888" s="18"/>
      <c r="K2888" s="4"/>
      <c r="L2888" s="19"/>
      <c r="M2888" s="20"/>
    </row>
    <row r="2889">
      <c r="A2889" s="6"/>
      <c r="B2889" s="6"/>
      <c r="C2889" s="4"/>
      <c r="D2889" s="36">
        <v>0.0</v>
      </c>
      <c r="E2889" s="4"/>
      <c r="F2889" s="4"/>
      <c r="G2889" s="4"/>
      <c r="H2889" s="4"/>
      <c r="I2889" s="4"/>
      <c r="J2889" s="18"/>
      <c r="K2889" s="4"/>
      <c r="L2889" s="19"/>
      <c r="M2889" s="20"/>
    </row>
    <row r="2890">
      <c r="A2890" s="6"/>
      <c r="B2890" s="6"/>
      <c r="C2890" s="4"/>
      <c r="D2890" s="36">
        <v>0.0</v>
      </c>
      <c r="E2890" s="4"/>
      <c r="F2890" s="4"/>
      <c r="G2890" s="4"/>
      <c r="H2890" s="4"/>
      <c r="I2890" s="4"/>
      <c r="J2890" s="18"/>
      <c r="K2890" s="4"/>
      <c r="L2890" s="19"/>
      <c r="M2890" s="20"/>
    </row>
    <row r="2891">
      <c r="A2891" s="6"/>
      <c r="B2891" s="6"/>
      <c r="C2891" s="4"/>
      <c r="D2891" s="36">
        <v>0.0</v>
      </c>
      <c r="E2891" s="4"/>
      <c r="F2891" s="4"/>
      <c r="G2891" s="4"/>
      <c r="H2891" s="4"/>
      <c r="I2891" s="4"/>
      <c r="J2891" s="18"/>
      <c r="K2891" s="4"/>
      <c r="L2891" s="19"/>
      <c r="M2891" s="20"/>
    </row>
    <row r="2892">
      <c r="A2892" s="6"/>
      <c r="B2892" s="6"/>
      <c r="C2892" s="4"/>
      <c r="D2892" s="36">
        <v>0.0</v>
      </c>
      <c r="E2892" s="4"/>
      <c r="F2892" s="4"/>
      <c r="G2892" s="4"/>
      <c r="H2892" s="4"/>
      <c r="I2892" s="4"/>
      <c r="J2892" s="18"/>
      <c r="K2892" s="4"/>
      <c r="L2892" s="19"/>
      <c r="M2892" s="20"/>
    </row>
    <row r="2893">
      <c r="A2893" s="6"/>
      <c r="B2893" s="6"/>
      <c r="C2893" s="4"/>
      <c r="D2893" s="36">
        <v>0.0</v>
      </c>
      <c r="E2893" s="4"/>
      <c r="F2893" s="4"/>
      <c r="G2893" s="4"/>
      <c r="H2893" s="4"/>
      <c r="I2893" s="4"/>
      <c r="J2893" s="18"/>
      <c r="K2893" s="4"/>
      <c r="L2893" s="19"/>
      <c r="M2893" s="20"/>
    </row>
    <row r="2894">
      <c r="A2894" s="6"/>
      <c r="B2894" s="6"/>
      <c r="C2894" s="4"/>
      <c r="D2894" s="36">
        <v>0.0</v>
      </c>
      <c r="E2894" s="4"/>
      <c r="F2894" s="4"/>
      <c r="G2894" s="4"/>
      <c r="H2894" s="4"/>
      <c r="I2894" s="4"/>
      <c r="J2894" s="18"/>
      <c r="K2894" s="4"/>
      <c r="L2894" s="19"/>
      <c r="M2894" s="20"/>
    </row>
    <row r="2895">
      <c r="A2895" s="6"/>
      <c r="B2895" s="6"/>
      <c r="C2895" s="4"/>
      <c r="D2895" s="36">
        <v>0.0</v>
      </c>
      <c r="E2895" s="4"/>
      <c r="F2895" s="4"/>
      <c r="G2895" s="4"/>
      <c r="H2895" s="4"/>
      <c r="I2895" s="4"/>
      <c r="J2895" s="18"/>
      <c r="K2895" s="4"/>
      <c r="L2895" s="19"/>
      <c r="M2895" s="20"/>
    </row>
    <row r="2896">
      <c r="A2896" s="6"/>
      <c r="B2896" s="6"/>
      <c r="C2896" s="4"/>
      <c r="D2896" s="36">
        <v>0.0</v>
      </c>
      <c r="E2896" s="4"/>
      <c r="F2896" s="4"/>
      <c r="G2896" s="4"/>
      <c r="H2896" s="4"/>
      <c r="I2896" s="4"/>
      <c r="J2896" s="18"/>
      <c r="K2896" s="4"/>
      <c r="L2896" s="19"/>
      <c r="M2896" s="20"/>
    </row>
    <row r="2897">
      <c r="A2897" s="6"/>
      <c r="B2897" s="6"/>
      <c r="C2897" s="4"/>
      <c r="D2897" s="36">
        <v>0.0</v>
      </c>
      <c r="E2897" s="4"/>
      <c r="F2897" s="4"/>
      <c r="G2897" s="4"/>
      <c r="H2897" s="4"/>
      <c r="I2897" s="4"/>
      <c r="J2897" s="18"/>
      <c r="K2897" s="4"/>
      <c r="L2897" s="19"/>
      <c r="M2897" s="20"/>
    </row>
    <row r="2898">
      <c r="A2898" s="6"/>
      <c r="B2898" s="6"/>
      <c r="C2898" s="4"/>
      <c r="D2898" s="36">
        <v>0.0</v>
      </c>
      <c r="E2898" s="4"/>
      <c r="F2898" s="4"/>
      <c r="G2898" s="4"/>
      <c r="H2898" s="4"/>
      <c r="I2898" s="4"/>
      <c r="J2898" s="18"/>
      <c r="K2898" s="4"/>
      <c r="L2898" s="19"/>
      <c r="M2898" s="20"/>
    </row>
    <row r="2899">
      <c r="A2899" s="6"/>
      <c r="B2899" s="6"/>
      <c r="C2899" s="4"/>
      <c r="D2899" s="36">
        <v>0.0</v>
      </c>
      <c r="E2899" s="4"/>
      <c r="F2899" s="4"/>
      <c r="G2899" s="4"/>
      <c r="H2899" s="4"/>
      <c r="I2899" s="4"/>
      <c r="J2899" s="18"/>
      <c r="K2899" s="4"/>
      <c r="L2899" s="19"/>
      <c r="M2899" s="20"/>
    </row>
    <row r="2900">
      <c r="A2900" s="6"/>
      <c r="B2900" s="6"/>
      <c r="C2900" s="4"/>
      <c r="D2900" s="36">
        <v>0.0</v>
      </c>
      <c r="E2900" s="4"/>
      <c r="F2900" s="4"/>
      <c r="G2900" s="4"/>
      <c r="H2900" s="4"/>
      <c r="I2900" s="4"/>
      <c r="J2900" s="18"/>
      <c r="K2900" s="4"/>
      <c r="L2900" s="19"/>
      <c r="M2900" s="20"/>
    </row>
    <row r="2901">
      <c r="A2901" s="6"/>
      <c r="B2901" s="6"/>
      <c r="C2901" s="4"/>
      <c r="D2901" s="36">
        <v>0.0</v>
      </c>
      <c r="E2901" s="4"/>
      <c r="F2901" s="4"/>
      <c r="G2901" s="4"/>
      <c r="H2901" s="4"/>
      <c r="I2901" s="4"/>
      <c r="J2901" s="18"/>
      <c r="K2901" s="4"/>
      <c r="L2901" s="19"/>
      <c r="M2901" s="20"/>
    </row>
    <row r="2902">
      <c r="A2902" s="6"/>
      <c r="B2902" s="6"/>
      <c r="C2902" s="4"/>
      <c r="D2902" s="36">
        <v>0.0</v>
      </c>
      <c r="E2902" s="4"/>
      <c r="F2902" s="4"/>
      <c r="G2902" s="4"/>
      <c r="H2902" s="4"/>
      <c r="I2902" s="4"/>
      <c r="J2902" s="18"/>
      <c r="K2902" s="4"/>
      <c r="L2902" s="19"/>
      <c r="M2902" s="20"/>
    </row>
    <row r="2903">
      <c r="A2903" s="6"/>
      <c r="B2903" s="6"/>
      <c r="C2903" s="4"/>
      <c r="D2903" s="36">
        <v>0.0</v>
      </c>
      <c r="E2903" s="4"/>
      <c r="F2903" s="4"/>
      <c r="G2903" s="4"/>
      <c r="H2903" s="4"/>
      <c r="I2903" s="4"/>
      <c r="J2903" s="18"/>
      <c r="K2903" s="4"/>
      <c r="L2903" s="19"/>
      <c r="M2903" s="20"/>
    </row>
    <row r="2904">
      <c r="A2904" s="6"/>
      <c r="B2904" s="6"/>
      <c r="C2904" s="4"/>
      <c r="D2904" s="36">
        <v>0.0</v>
      </c>
      <c r="E2904" s="4"/>
      <c r="F2904" s="4"/>
      <c r="G2904" s="4"/>
      <c r="H2904" s="4"/>
      <c r="I2904" s="4"/>
      <c r="J2904" s="18"/>
      <c r="K2904" s="4"/>
      <c r="L2904" s="19"/>
      <c r="M2904" s="20"/>
    </row>
    <row r="2905">
      <c r="A2905" s="6"/>
      <c r="B2905" s="6"/>
      <c r="C2905" s="4"/>
      <c r="D2905" s="36">
        <v>0.0</v>
      </c>
      <c r="E2905" s="4"/>
      <c r="F2905" s="4"/>
      <c r="G2905" s="4"/>
      <c r="H2905" s="4"/>
      <c r="I2905" s="4"/>
      <c r="J2905" s="18"/>
      <c r="K2905" s="4"/>
      <c r="L2905" s="19"/>
      <c r="M2905" s="20"/>
    </row>
    <row r="2906">
      <c r="A2906" s="6"/>
      <c r="B2906" s="6"/>
      <c r="C2906" s="4"/>
      <c r="D2906" s="36">
        <v>0.0</v>
      </c>
      <c r="E2906" s="4"/>
      <c r="F2906" s="4"/>
      <c r="G2906" s="4"/>
      <c r="H2906" s="4"/>
      <c r="I2906" s="4"/>
      <c r="J2906" s="18"/>
      <c r="K2906" s="4"/>
      <c r="L2906" s="19"/>
      <c r="M2906" s="20"/>
    </row>
    <row r="2907">
      <c r="A2907" s="6"/>
      <c r="B2907" s="6"/>
      <c r="C2907" s="4"/>
      <c r="D2907" s="36">
        <v>0.0</v>
      </c>
      <c r="E2907" s="4"/>
      <c r="F2907" s="4"/>
      <c r="G2907" s="4"/>
      <c r="H2907" s="4"/>
      <c r="I2907" s="4"/>
      <c r="J2907" s="18"/>
      <c r="K2907" s="4"/>
      <c r="L2907" s="19"/>
      <c r="M2907" s="20"/>
    </row>
    <row r="2908">
      <c r="A2908" s="6"/>
      <c r="B2908" s="6"/>
      <c r="C2908" s="4"/>
      <c r="D2908" s="36">
        <v>0.0</v>
      </c>
      <c r="E2908" s="4"/>
      <c r="F2908" s="4"/>
      <c r="G2908" s="4"/>
      <c r="H2908" s="4"/>
      <c r="I2908" s="4"/>
      <c r="J2908" s="18"/>
      <c r="K2908" s="4"/>
      <c r="L2908" s="19"/>
      <c r="M2908" s="20"/>
    </row>
    <row r="2909">
      <c r="A2909" s="6"/>
      <c r="B2909" s="6"/>
      <c r="C2909" s="4"/>
      <c r="D2909" s="36">
        <v>0.0</v>
      </c>
      <c r="E2909" s="4"/>
      <c r="F2909" s="4"/>
      <c r="G2909" s="4"/>
      <c r="H2909" s="4"/>
      <c r="I2909" s="4"/>
      <c r="J2909" s="18"/>
      <c r="K2909" s="4"/>
      <c r="L2909" s="19"/>
      <c r="M2909" s="20"/>
    </row>
    <row r="2910">
      <c r="A2910" s="6"/>
      <c r="B2910" s="6"/>
      <c r="C2910" s="4"/>
      <c r="D2910" s="36">
        <v>0.0</v>
      </c>
      <c r="E2910" s="4"/>
      <c r="F2910" s="4"/>
      <c r="G2910" s="4"/>
      <c r="H2910" s="4"/>
      <c r="I2910" s="4"/>
      <c r="J2910" s="18"/>
      <c r="K2910" s="4"/>
      <c r="L2910" s="19"/>
      <c r="M2910" s="20"/>
    </row>
    <row r="2911">
      <c r="A2911" s="6"/>
      <c r="B2911" s="6"/>
      <c r="C2911" s="4"/>
      <c r="D2911" s="36">
        <v>0.0</v>
      </c>
      <c r="E2911" s="4"/>
      <c r="F2911" s="4"/>
      <c r="G2911" s="4"/>
      <c r="H2911" s="4"/>
      <c r="I2911" s="4"/>
      <c r="J2911" s="18"/>
      <c r="K2911" s="4"/>
      <c r="L2911" s="19"/>
      <c r="M2911" s="20"/>
    </row>
    <row r="2912">
      <c r="A2912" s="6"/>
      <c r="B2912" s="6"/>
      <c r="C2912" s="4"/>
      <c r="D2912" s="36">
        <v>0.0</v>
      </c>
      <c r="E2912" s="4"/>
      <c r="F2912" s="4"/>
      <c r="G2912" s="4"/>
      <c r="H2912" s="4"/>
      <c r="I2912" s="4"/>
      <c r="J2912" s="18"/>
      <c r="K2912" s="4"/>
      <c r="L2912" s="19"/>
      <c r="M2912" s="20"/>
    </row>
    <row r="2913">
      <c r="A2913" s="6"/>
      <c r="B2913" s="6"/>
      <c r="C2913" s="4"/>
      <c r="D2913" s="36">
        <v>0.0</v>
      </c>
      <c r="E2913" s="4"/>
      <c r="F2913" s="4"/>
      <c r="G2913" s="4"/>
      <c r="H2913" s="4"/>
      <c r="I2913" s="4"/>
      <c r="J2913" s="18"/>
      <c r="K2913" s="4"/>
      <c r="L2913" s="19"/>
      <c r="M2913" s="20"/>
    </row>
    <row r="2914">
      <c r="A2914" s="6"/>
      <c r="B2914" s="6"/>
      <c r="C2914" s="4"/>
      <c r="D2914" s="36">
        <v>0.0</v>
      </c>
      <c r="E2914" s="4"/>
      <c r="F2914" s="4"/>
      <c r="G2914" s="4"/>
      <c r="H2914" s="4"/>
      <c r="I2914" s="4"/>
      <c r="J2914" s="18"/>
      <c r="K2914" s="4"/>
      <c r="L2914" s="19"/>
      <c r="M2914" s="20"/>
    </row>
    <row r="2915">
      <c r="A2915" s="6"/>
      <c r="B2915" s="6"/>
      <c r="C2915" s="4"/>
      <c r="D2915" s="36">
        <v>0.0</v>
      </c>
      <c r="E2915" s="4"/>
      <c r="F2915" s="4"/>
      <c r="G2915" s="4"/>
      <c r="H2915" s="4"/>
      <c r="I2915" s="4"/>
      <c r="J2915" s="18"/>
      <c r="K2915" s="4"/>
      <c r="L2915" s="19"/>
      <c r="M2915" s="20"/>
    </row>
    <row r="2916">
      <c r="A2916" s="6"/>
      <c r="B2916" s="6"/>
      <c r="C2916" s="4"/>
      <c r="D2916" s="36">
        <v>0.0</v>
      </c>
      <c r="E2916" s="4"/>
      <c r="F2916" s="4"/>
      <c r="G2916" s="4"/>
      <c r="H2916" s="4"/>
      <c r="I2916" s="4"/>
      <c r="J2916" s="18"/>
      <c r="K2916" s="4"/>
      <c r="L2916" s="19"/>
      <c r="M2916" s="20"/>
    </row>
    <row r="2917">
      <c r="A2917" s="6"/>
      <c r="B2917" s="6"/>
      <c r="C2917" s="4"/>
      <c r="D2917" s="36">
        <v>0.0</v>
      </c>
      <c r="E2917" s="4"/>
      <c r="F2917" s="4"/>
      <c r="G2917" s="4"/>
      <c r="H2917" s="4"/>
      <c r="I2917" s="4"/>
      <c r="J2917" s="18"/>
      <c r="K2917" s="4"/>
      <c r="L2917" s="19"/>
      <c r="M2917" s="20"/>
    </row>
    <row r="2918">
      <c r="A2918" s="6"/>
      <c r="B2918" s="6"/>
      <c r="C2918" s="4"/>
      <c r="D2918" s="36">
        <v>0.0</v>
      </c>
      <c r="E2918" s="4"/>
      <c r="F2918" s="4"/>
      <c r="G2918" s="4"/>
      <c r="H2918" s="4"/>
      <c r="I2918" s="4"/>
      <c r="J2918" s="18"/>
      <c r="K2918" s="4"/>
      <c r="L2918" s="19"/>
      <c r="M2918" s="20"/>
    </row>
    <row r="2919">
      <c r="A2919" s="6"/>
      <c r="B2919" s="6"/>
      <c r="C2919" s="4"/>
      <c r="D2919" s="36">
        <v>0.0</v>
      </c>
      <c r="E2919" s="4"/>
      <c r="F2919" s="4"/>
      <c r="G2919" s="4"/>
      <c r="H2919" s="4"/>
      <c r="I2919" s="4"/>
      <c r="J2919" s="18"/>
      <c r="K2919" s="4"/>
      <c r="L2919" s="19"/>
      <c r="M2919" s="20"/>
    </row>
    <row r="2920">
      <c r="A2920" s="6"/>
      <c r="B2920" s="6"/>
      <c r="C2920" s="4"/>
      <c r="D2920" s="36">
        <v>0.0</v>
      </c>
      <c r="E2920" s="4"/>
      <c r="F2920" s="4"/>
      <c r="G2920" s="4"/>
      <c r="H2920" s="4"/>
      <c r="I2920" s="4"/>
      <c r="J2920" s="18"/>
      <c r="K2920" s="4"/>
      <c r="L2920" s="19"/>
      <c r="M2920" s="20"/>
    </row>
    <row r="2921">
      <c r="A2921" s="6"/>
      <c r="B2921" s="6"/>
      <c r="C2921" s="4"/>
      <c r="D2921" s="36">
        <v>0.0</v>
      </c>
      <c r="E2921" s="4"/>
      <c r="F2921" s="4"/>
      <c r="G2921" s="4"/>
      <c r="H2921" s="4"/>
      <c r="I2921" s="4"/>
      <c r="J2921" s="18"/>
      <c r="K2921" s="4"/>
      <c r="L2921" s="19"/>
      <c r="M2921" s="20"/>
    </row>
    <row r="2922">
      <c r="A2922" s="6"/>
      <c r="B2922" s="6"/>
      <c r="C2922" s="4"/>
      <c r="D2922" s="36">
        <v>0.0</v>
      </c>
      <c r="E2922" s="4"/>
      <c r="F2922" s="4"/>
      <c r="G2922" s="4"/>
      <c r="H2922" s="4"/>
      <c r="I2922" s="4"/>
      <c r="J2922" s="18"/>
      <c r="K2922" s="4"/>
      <c r="L2922" s="19"/>
      <c r="M2922" s="20"/>
    </row>
    <row r="2923">
      <c r="A2923" s="6"/>
      <c r="B2923" s="6"/>
      <c r="C2923" s="4"/>
      <c r="D2923" s="36">
        <v>0.0</v>
      </c>
      <c r="E2923" s="4"/>
      <c r="F2923" s="4"/>
      <c r="G2923" s="4"/>
      <c r="H2923" s="4"/>
      <c r="I2923" s="4"/>
      <c r="J2923" s="18"/>
      <c r="K2923" s="4"/>
      <c r="L2923" s="19"/>
      <c r="M2923" s="20"/>
    </row>
    <row r="2924">
      <c r="A2924" s="6"/>
      <c r="B2924" s="6"/>
      <c r="C2924" s="4"/>
      <c r="D2924" s="36">
        <v>0.0</v>
      </c>
      <c r="E2924" s="4"/>
      <c r="F2924" s="4"/>
      <c r="G2924" s="4"/>
      <c r="H2924" s="4"/>
      <c r="I2924" s="4"/>
      <c r="J2924" s="18"/>
      <c r="K2924" s="4"/>
      <c r="L2924" s="19"/>
      <c r="M2924" s="20"/>
    </row>
    <row r="2925">
      <c r="A2925" s="6"/>
      <c r="B2925" s="6"/>
      <c r="C2925" s="4"/>
      <c r="D2925" s="36">
        <v>0.0</v>
      </c>
      <c r="E2925" s="4"/>
      <c r="F2925" s="4"/>
      <c r="G2925" s="4"/>
      <c r="H2925" s="4"/>
      <c r="I2925" s="4"/>
      <c r="J2925" s="18"/>
      <c r="K2925" s="4"/>
      <c r="L2925" s="19"/>
      <c r="M2925" s="20"/>
    </row>
    <row r="2926">
      <c r="A2926" s="6"/>
      <c r="B2926" s="6"/>
      <c r="C2926" s="4"/>
      <c r="D2926" s="36">
        <v>0.0</v>
      </c>
      <c r="E2926" s="4"/>
      <c r="F2926" s="4"/>
      <c r="G2926" s="4"/>
      <c r="H2926" s="4"/>
      <c r="I2926" s="4"/>
      <c r="J2926" s="18"/>
      <c r="K2926" s="4"/>
      <c r="L2926" s="19"/>
      <c r="M2926" s="20"/>
    </row>
    <row r="2927">
      <c r="A2927" s="6"/>
      <c r="B2927" s="6"/>
      <c r="C2927" s="4"/>
      <c r="D2927" s="36">
        <v>0.0</v>
      </c>
      <c r="E2927" s="4"/>
      <c r="F2927" s="4"/>
      <c r="G2927" s="4"/>
      <c r="H2927" s="4"/>
      <c r="I2927" s="4"/>
      <c r="J2927" s="18"/>
      <c r="K2927" s="4"/>
      <c r="L2927" s="19"/>
      <c r="M2927" s="20"/>
    </row>
    <row r="2928">
      <c r="A2928" s="6"/>
      <c r="B2928" s="6"/>
      <c r="C2928" s="4"/>
      <c r="D2928" s="36">
        <v>0.0</v>
      </c>
      <c r="E2928" s="4"/>
      <c r="F2928" s="4"/>
      <c r="G2928" s="4"/>
      <c r="H2928" s="4"/>
      <c r="I2928" s="4"/>
      <c r="J2928" s="18"/>
      <c r="K2928" s="4"/>
      <c r="L2928" s="19"/>
      <c r="M2928" s="20"/>
    </row>
    <row r="2929">
      <c r="A2929" s="6"/>
      <c r="B2929" s="6"/>
      <c r="C2929" s="4"/>
      <c r="D2929" s="36">
        <v>0.0</v>
      </c>
      <c r="E2929" s="4"/>
      <c r="F2929" s="4"/>
      <c r="G2929" s="4"/>
      <c r="H2929" s="4"/>
      <c r="I2929" s="4"/>
      <c r="J2929" s="18"/>
      <c r="K2929" s="4"/>
      <c r="L2929" s="19"/>
      <c r="M2929" s="20"/>
    </row>
    <row r="2930">
      <c r="A2930" s="6"/>
      <c r="B2930" s="6"/>
      <c r="C2930" s="4"/>
      <c r="D2930" s="36">
        <v>0.0</v>
      </c>
      <c r="E2930" s="4"/>
      <c r="F2930" s="4"/>
      <c r="G2930" s="4"/>
      <c r="H2930" s="4"/>
      <c r="I2930" s="4"/>
      <c r="J2930" s="18"/>
      <c r="K2930" s="4"/>
      <c r="L2930" s="19"/>
      <c r="M2930" s="20"/>
    </row>
    <row r="2931">
      <c r="A2931" s="6"/>
      <c r="B2931" s="6"/>
      <c r="C2931" s="4"/>
      <c r="D2931" s="36">
        <v>0.0</v>
      </c>
      <c r="E2931" s="4"/>
      <c r="F2931" s="4"/>
      <c r="G2931" s="4"/>
      <c r="H2931" s="4"/>
      <c r="I2931" s="4"/>
      <c r="J2931" s="18"/>
      <c r="K2931" s="4"/>
      <c r="L2931" s="19"/>
      <c r="M2931" s="20"/>
    </row>
    <row r="2932">
      <c r="A2932" s="6"/>
      <c r="B2932" s="6"/>
      <c r="C2932" s="4"/>
      <c r="D2932" s="36">
        <v>0.0</v>
      </c>
      <c r="E2932" s="4"/>
      <c r="F2932" s="4"/>
      <c r="G2932" s="4"/>
      <c r="H2932" s="4"/>
      <c r="I2932" s="4"/>
      <c r="J2932" s="18"/>
      <c r="K2932" s="4"/>
      <c r="L2932" s="19"/>
      <c r="M2932" s="20"/>
    </row>
    <row r="2933">
      <c r="A2933" s="6"/>
      <c r="B2933" s="6"/>
      <c r="C2933" s="4"/>
      <c r="D2933" s="36">
        <v>0.0</v>
      </c>
      <c r="E2933" s="4"/>
      <c r="F2933" s="4"/>
      <c r="G2933" s="4"/>
      <c r="H2933" s="4"/>
      <c r="I2933" s="4"/>
      <c r="J2933" s="18"/>
      <c r="K2933" s="4"/>
      <c r="L2933" s="19"/>
      <c r="M2933" s="20"/>
    </row>
    <row r="2934">
      <c r="A2934" s="6"/>
      <c r="B2934" s="6"/>
      <c r="C2934" s="4"/>
      <c r="D2934" s="36">
        <v>0.0</v>
      </c>
      <c r="E2934" s="4"/>
      <c r="F2934" s="4"/>
      <c r="G2934" s="4"/>
      <c r="H2934" s="4"/>
      <c r="I2934" s="4"/>
      <c r="J2934" s="18"/>
      <c r="K2934" s="4"/>
      <c r="L2934" s="19"/>
      <c r="M2934" s="20"/>
    </row>
    <row r="2935">
      <c r="A2935" s="6"/>
      <c r="B2935" s="6"/>
      <c r="C2935" s="4"/>
      <c r="D2935" s="36">
        <v>0.0</v>
      </c>
      <c r="E2935" s="4"/>
      <c r="F2935" s="4"/>
      <c r="G2935" s="4"/>
      <c r="H2935" s="4"/>
      <c r="I2935" s="4"/>
      <c r="J2935" s="18"/>
      <c r="K2935" s="4"/>
      <c r="L2935" s="19"/>
      <c r="M2935" s="20"/>
    </row>
    <row r="2936">
      <c r="A2936" s="6"/>
      <c r="B2936" s="6"/>
      <c r="C2936" s="4"/>
      <c r="D2936" s="36">
        <v>0.0</v>
      </c>
      <c r="E2936" s="4"/>
      <c r="F2936" s="4"/>
      <c r="G2936" s="4"/>
      <c r="H2936" s="4"/>
      <c r="I2936" s="4"/>
      <c r="J2936" s="18"/>
      <c r="K2936" s="4"/>
      <c r="L2936" s="19"/>
      <c r="M2936" s="20"/>
    </row>
    <row r="2937">
      <c r="A2937" s="6"/>
      <c r="B2937" s="6"/>
      <c r="C2937" s="4"/>
      <c r="D2937" s="36">
        <v>0.0</v>
      </c>
      <c r="E2937" s="4"/>
      <c r="F2937" s="4"/>
      <c r="G2937" s="4"/>
      <c r="H2937" s="4"/>
      <c r="I2937" s="4"/>
      <c r="J2937" s="18"/>
      <c r="K2937" s="4"/>
      <c r="L2937" s="19"/>
      <c r="M2937" s="20"/>
    </row>
    <row r="2938">
      <c r="A2938" s="6"/>
      <c r="B2938" s="6"/>
      <c r="C2938" s="4"/>
      <c r="D2938" s="36">
        <v>0.0</v>
      </c>
      <c r="E2938" s="4"/>
      <c r="F2938" s="4"/>
      <c r="G2938" s="4"/>
      <c r="H2938" s="4"/>
      <c r="I2938" s="4"/>
      <c r="J2938" s="18"/>
      <c r="K2938" s="4"/>
      <c r="L2938" s="19"/>
      <c r="M2938" s="20"/>
    </row>
    <row r="2939">
      <c r="A2939" s="6"/>
      <c r="B2939" s="6"/>
      <c r="C2939" s="4"/>
      <c r="D2939" s="36">
        <v>0.0</v>
      </c>
      <c r="E2939" s="4"/>
      <c r="F2939" s="4"/>
      <c r="G2939" s="4"/>
      <c r="H2939" s="4"/>
      <c r="I2939" s="4"/>
      <c r="J2939" s="18"/>
      <c r="K2939" s="4"/>
      <c r="L2939" s="19"/>
      <c r="M2939" s="20"/>
    </row>
    <row r="2940">
      <c r="A2940" s="6"/>
      <c r="B2940" s="6"/>
      <c r="C2940" s="4"/>
      <c r="D2940" s="36">
        <v>0.0</v>
      </c>
      <c r="E2940" s="4"/>
      <c r="F2940" s="4"/>
      <c r="G2940" s="4"/>
      <c r="H2940" s="4"/>
      <c r="I2940" s="4"/>
      <c r="J2940" s="18"/>
      <c r="K2940" s="4"/>
      <c r="L2940" s="19"/>
      <c r="M2940" s="20"/>
    </row>
    <row r="2941">
      <c r="A2941" s="6"/>
      <c r="B2941" s="6"/>
      <c r="C2941" s="4"/>
      <c r="D2941" s="36">
        <v>0.0</v>
      </c>
      <c r="E2941" s="4"/>
      <c r="F2941" s="4"/>
      <c r="G2941" s="4"/>
      <c r="H2941" s="4"/>
      <c r="I2941" s="4"/>
      <c r="J2941" s="18"/>
      <c r="K2941" s="4"/>
      <c r="L2941" s="19"/>
      <c r="M2941" s="20"/>
    </row>
    <row r="2942">
      <c r="A2942" s="6"/>
      <c r="B2942" s="6"/>
      <c r="C2942" s="4"/>
      <c r="D2942" s="36">
        <v>0.0</v>
      </c>
      <c r="E2942" s="4"/>
      <c r="F2942" s="4"/>
      <c r="G2942" s="4"/>
      <c r="H2942" s="4"/>
      <c r="I2942" s="4"/>
      <c r="J2942" s="18"/>
      <c r="K2942" s="4"/>
      <c r="L2942" s="19"/>
      <c r="M2942" s="20"/>
    </row>
    <row r="2943">
      <c r="A2943" s="6"/>
      <c r="B2943" s="6"/>
      <c r="C2943" s="4"/>
      <c r="D2943" s="36">
        <v>0.0</v>
      </c>
      <c r="E2943" s="4"/>
      <c r="F2943" s="4"/>
      <c r="G2943" s="4"/>
      <c r="H2943" s="4"/>
      <c r="I2943" s="4"/>
      <c r="J2943" s="18"/>
      <c r="K2943" s="4"/>
      <c r="L2943" s="19"/>
      <c r="M2943" s="20"/>
    </row>
    <row r="2944">
      <c r="A2944" s="6"/>
      <c r="B2944" s="6"/>
      <c r="C2944" s="4"/>
      <c r="D2944" s="36">
        <v>0.0</v>
      </c>
      <c r="E2944" s="4"/>
      <c r="F2944" s="4"/>
      <c r="G2944" s="4"/>
      <c r="H2944" s="4"/>
      <c r="I2944" s="4"/>
      <c r="J2944" s="18"/>
      <c r="K2944" s="4"/>
      <c r="L2944" s="19"/>
      <c r="M2944" s="20"/>
    </row>
    <row r="2945">
      <c r="A2945" s="6"/>
      <c r="B2945" s="6"/>
      <c r="C2945" s="4"/>
      <c r="D2945" s="36">
        <v>0.0</v>
      </c>
      <c r="E2945" s="4"/>
      <c r="F2945" s="4"/>
      <c r="G2945" s="4"/>
      <c r="H2945" s="4"/>
      <c r="I2945" s="4"/>
      <c r="J2945" s="18"/>
      <c r="K2945" s="4"/>
      <c r="L2945" s="19"/>
      <c r="M2945" s="20"/>
    </row>
    <row r="2946">
      <c r="A2946" s="6"/>
      <c r="B2946" s="6"/>
      <c r="C2946" s="4"/>
      <c r="D2946" s="36">
        <v>0.0</v>
      </c>
      <c r="E2946" s="4"/>
      <c r="F2946" s="4"/>
      <c r="G2946" s="4"/>
      <c r="H2946" s="4"/>
      <c r="I2946" s="4"/>
      <c r="J2946" s="18"/>
      <c r="K2946" s="4"/>
      <c r="L2946" s="19"/>
      <c r="M2946" s="20"/>
    </row>
    <row r="2947">
      <c r="A2947" s="6"/>
      <c r="B2947" s="6"/>
      <c r="C2947" s="4"/>
      <c r="D2947" s="36">
        <v>0.0</v>
      </c>
      <c r="E2947" s="4"/>
      <c r="F2947" s="4"/>
      <c r="G2947" s="4"/>
      <c r="H2947" s="4"/>
      <c r="I2947" s="4"/>
      <c r="J2947" s="18"/>
      <c r="K2947" s="4"/>
      <c r="L2947" s="19"/>
      <c r="M2947" s="20"/>
    </row>
    <row r="2948">
      <c r="A2948" s="6"/>
      <c r="B2948" s="6"/>
      <c r="C2948" s="4"/>
      <c r="D2948" s="36">
        <v>0.0</v>
      </c>
      <c r="E2948" s="4"/>
      <c r="F2948" s="4"/>
      <c r="G2948" s="4"/>
      <c r="H2948" s="4"/>
      <c r="I2948" s="4"/>
      <c r="J2948" s="18"/>
      <c r="K2948" s="4"/>
      <c r="L2948" s="19"/>
      <c r="M2948" s="20"/>
    </row>
    <row r="2949">
      <c r="A2949" s="6"/>
      <c r="B2949" s="6"/>
      <c r="C2949" s="4"/>
      <c r="D2949" s="36">
        <v>0.0</v>
      </c>
      <c r="E2949" s="4"/>
      <c r="F2949" s="4"/>
      <c r="G2949" s="4"/>
      <c r="H2949" s="4"/>
      <c r="I2949" s="4"/>
      <c r="J2949" s="18"/>
      <c r="K2949" s="4"/>
      <c r="L2949" s="19"/>
      <c r="M2949" s="20"/>
    </row>
    <row r="2950">
      <c r="A2950" s="6"/>
      <c r="B2950" s="6"/>
      <c r="C2950" s="4"/>
      <c r="D2950" s="36">
        <v>0.0</v>
      </c>
      <c r="E2950" s="4"/>
      <c r="F2950" s="4"/>
      <c r="G2950" s="4"/>
      <c r="H2950" s="4"/>
      <c r="I2950" s="4"/>
      <c r="J2950" s="18"/>
      <c r="K2950" s="4"/>
      <c r="L2950" s="19"/>
      <c r="M2950" s="20"/>
    </row>
    <row r="2951">
      <c r="A2951" s="6"/>
      <c r="B2951" s="6"/>
      <c r="C2951" s="4"/>
      <c r="D2951" s="36">
        <v>0.0</v>
      </c>
      <c r="E2951" s="4"/>
      <c r="F2951" s="4"/>
      <c r="G2951" s="4"/>
      <c r="H2951" s="4"/>
      <c r="I2951" s="4"/>
      <c r="J2951" s="18"/>
      <c r="K2951" s="4"/>
      <c r="L2951" s="19"/>
      <c r="M2951" s="20"/>
    </row>
    <row r="2952">
      <c r="A2952" s="6"/>
      <c r="B2952" s="6"/>
      <c r="C2952" s="4"/>
      <c r="D2952" s="36">
        <v>0.0</v>
      </c>
      <c r="E2952" s="4"/>
      <c r="F2952" s="4"/>
      <c r="G2952" s="4"/>
      <c r="H2952" s="4"/>
      <c r="I2952" s="4"/>
      <c r="J2952" s="18"/>
      <c r="K2952" s="4"/>
      <c r="L2952" s="19"/>
      <c r="M2952" s="20"/>
    </row>
    <row r="2953">
      <c r="A2953" s="6"/>
      <c r="B2953" s="6"/>
      <c r="C2953" s="4"/>
      <c r="D2953" s="36">
        <v>0.0</v>
      </c>
      <c r="E2953" s="4"/>
      <c r="F2953" s="4"/>
      <c r="G2953" s="4"/>
      <c r="H2953" s="4"/>
      <c r="I2953" s="4"/>
      <c r="J2953" s="18"/>
      <c r="K2953" s="4"/>
      <c r="L2953" s="19"/>
      <c r="M2953" s="20"/>
    </row>
    <row r="2954">
      <c r="A2954" s="6"/>
      <c r="B2954" s="6"/>
      <c r="C2954" s="4"/>
      <c r="D2954" s="36">
        <v>0.0</v>
      </c>
      <c r="E2954" s="4"/>
      <c r="F2954" s="4"/>
      <c r="G2954" s="4"/>
      <c r="H2954" s="4"/>
      <c r="I2954" s="4"/>
      <c r="J2954" s="18"/>
      <c r="K2954" s="4"/>
      <c r="L2954" s="19"/>
      <c r="M2954" s="20"/>
    </row>
    <row r="2955">
      <c r="A2955" s="6"/>
      <c r="B2955" s="6"/>
      <c r="C2955" s="4"/>
      <c r="D2955" s="36">
        <v>0.0</v>
      </c>
      <c r="E2955" s="4"/>
      <c r="F2955" s="4"/>
      <c r="G2955" s="4"/>
      <c r="H2955" s="4"/>
      <c r="I2955" s="4"/>
      <c r="J2955" s="18"/>
      <c r="K2955" s="4"/>
      <c r="L2955" s="19"/>
      <c r="M2955" s="20"/>
    </row>
    <row r="2956">
      <c r="A2956" s="6"/>
      <c r="B2956" s="6"/>
      <c r="C2956" s="4"/>
      <c r="D2956" s="36">
        <v>0.0</v>
      </c>
      <c r="E2956" s="4"/>
      <c r="F2956" s="4"/>
      <c r="G2956" s="4"/>
      <c r="H2956" s="4"/>
      <c r="I2956" s="4"/>
      <c r="J2956" s="18"/>
      <c r="K2956" s="4"/>
      <c r="L2956" s="19"/>
      <c r="M2956" s="20"/>
    </row>
    <row r="2957">
      <c r="A2957" s="6"/>
      <c r="B2957" s="6"/>
      <c r="C2957" s="4"/>
      <c r="D2957" s="36">
        <v>0.0</v>
      </c>
      <c r="E2957" s="4"/>
      <c r="F2957" s="4"/>
      <c r="G2957" s="4"/>
      <c r="H2957" s="4"/>
      <c r="I2957" s="4"/>
      <c r="J2957" s="18"/>
      <c r="K2957" s="4"/>
      <c r="L2957" s="19"/>
      <c r="M2957" s="20"/>
    </row>
    <row r="2958">
      <c r="A2958" s="6"/>
      <c r="B2958" s="6"/>
      <c r="C2958" s="4"/>
      <c r="D2958" s="36">
        <v>0.0</v>
      </c>
      <c r="E2958" s="4"/>
      <c r="F2958" s="4"/>
      <c r="G2958" s="4"/>
      <c r="H2958" s="4"/>
      <c r="I2958" s="4"/>
      <c r="J2958" s="18"/>
      <c r="K2958" s="4"/>
      <c r="L2958" s="19"/>
      <c r="M2958" s="20"/>
    </row>
    <row r="2959">
      <c r="A2959" s="6"/>
      <c r="B2959" s="6"/>
      <c r="C2959" s="4"/>
      <c r="D2959" s="36">
        <v>0.0</v>
      </c>
      <c r="E2959" s="4"/>
      <c r="F2959" s="4"/>
      <c r="G2959" s="4"/>
      <c r="H2959" s="4"/>
      <c r="I2959" s="4"/>
      <c r="J2959" s="18"/>
      <c r="K2959" s="4"/>
      <c r="L2959" s="19"/>
      <c r="M2959" s="20"/>
    </row>
    <row r="2960">
      <c r="A2960" s="6"/>
      <c r="B2960" s="6"/>
      <c r="C2960" s="4"/>
      <c r="D2960" s="36">
        <v>0.0</v>
      </c>
      <c r="E2960" s="4"/>
      <c r="F2960" s="4"/>
      <c r="G2960" s="4"/>
      <c r="H2960" s="4"/>
      <c r="I2960" s="4"/>
      <c r="J2960" s="18"/>
      <c r="K2960" s="4"/>
      <c r="L2960" s="19"/>
      <c r="M2960" s="20"/>
    </row>
    <row r="2961">
      <c r="A2961" s="6"/>
      <c r="B2961" s="6"/>
      <c r="C2961" s="4"/>
      <c r="D2961" s="36">
        <v>0.0</v>
      </c>
      <c r="E2961" s="4"/>
      <c r="F2961" s="4"/>
      <c r="G2961" s="4"/>
      <c r="H2961" s="4"/>
      <c r="I2961" s="4"/>
      <c r="J2961" s="18"/>
      <c r="K2961" s="4"/>
      <c r="L2961" s="19"/>
      <c r="M2961" s="20"/>
    </row>
    <row r="2962">
      <c r="A2962" s="6"/>
      <c r="B2962" s="6"/>
      <c r="C2962" s="4"/>
      <c r="D2962" s="36">
        <v>0.0</v>
      </c>
      <c r="E2962" s="4"/>
      <c r="F2962" s="4"/>
      <c r="G2962" s="4"/>
      <c r="H2962" s="4"/>
      <c r="I2962" s="4"/>
      <c r="J2962" s="18"/>
      <c r="K2962" s="4"/>
      <c r="L2962" s="19"/>
      <c r="M2962" s="20"/>
    </row>
    <row r="2963">
      <c r="A2963" s="6"/>
      <c r="B2963" s="6"/>
      <c r="C2963" s="4"/>
      <c r="D2963" s="36">
        <v>0.0</v>
      </c>
      <c r="E2963" s="4"/>
      <c r="F2963" s="4"/>
      <c r="G2963" s="4"/>
      <c r="H2963" s="4"/>
      <c r="I2963" s="4"/>
      <c r="J2963" s="18"/>
      <c r="K2963" s="4"/>
      <c r="L2963" s="19"/>
      <c r="M2963" s="20"/>
    </row>
    <row r="2964">
      <c r="A2964" s="6"/>
      <c r="B2964" s="6"/>
      <c r="C2964" s="4"/>
      <c r="D2964" s="36">
        <v>0.0</v>
      </c>
      <c r="E2964" s="4"/>
      <c r="F2964" s="4"/>
      <c r="G2964" s="4"/>
      <c r="H2964" s="4"/>
      <c r="I2964" s="4"/>
      <c r="J2964" s="18"/>
      <c r="K2964" s="4"/>
      <c r="L2964" s="19"/>
      <c r="M2964" s="20"/>
    </row>
    <row r="2965">
      <c r="A2965" s="6"/>
      <c r="B2965" s="6"/>
      <c r="C2965" s="4"/>
      <c r="D2965" s="36">
        <v>0.0</v>
      </c>
      <c r="E2965" s="4"/>
      <c r="F2965" s="4"/>
      <c r="G2965" s="4"/>
      <c r="H2965" s="4"/>
      <c r="I2965" s="4"/>
      <c r="J2965" s="18"/>
      <c r="K2965" s="4"/>
      <c r="L2965" s="19"/>
      <c r="M2965" s="20"/>
    </row>
    <row r="2966">
      <c r="A2966" s="6"/>
      <c r="B2966" s="6"/>
      <c r="C2966" s="4"/>
      <c r="D2966" s="36">
        <v>0.0</v>
      </c>
      <c r="E2966" s="4"/>
      <c r="F2966" s="4"/>
      <c r="G2966" s="4"/>
      <c r="H2966" s="4"/>
      <c r="I2966" s="4"/>
      <c r="J2966" s="18"/>
      <c r="K2966" s="4"/>
      <c r="L2966" s="19"/>
      <c r="M2966" s="20"/>
    </row>
    <row r="2967">
      <c r="A2967" s="6"/>
      <c r="B2967" s="6"/>
      <c r="C2967" s="4"/>
      <c r="D2967" s="36">
        <v>0.0</v>
      </c>
      <c r="E2967" s="4"/>
      <c r="F2967" s="4"/>
      <c r="G2967" s="4"/>
      <c r="H2967" s="4"/>
      <c r="I2967" s="4"/>
      <c r="J2967" s="18"/>
      <c r="K2967" s="4"/>
      <c r="L2967" s="19"/>
      <c r="M2967" s="20"/>
    </row>
    <row r="2968">
      <c r="A2968" s="6"/>
      <c r="B2968" s="6"/>
      <c r="C2968" s="4"/>
      <c r="D2968" s="36">
        <v>0.0</v>
      </c>
      <c r="E2968" s="4"/>
      <c r="F2968" s="4"/>
      <c r="G2968" s="4"/>
      <c r="H2968" s="4"/>
      <c r="I2968" s="4"/>
      <c r="J2968" s="18"/>
      <c r="K2968" s="4"/>
      <c r="L2968" s="19"/>
      <c r="M2968" s="20"/>
    </row>
    <row r="2969">
      <c r="A2969" s="6"/>
      <c r="B2969" s="6"/>
      <c r="C2969" s="4"/>
      <c r="D2969" s="36">
        <v>0.0</v>
      </c>
      <c r="E2969" s="4"/>
      <c r="F2969" s="4"/>
      <c r="G2969" s="4"/>
      <c r="H2969" s="4"/>
      <c r="I2969" s="4"/>
      <c r="J2969" s="18"/>
      <c r="K2969" s="4"/>
      <c r="L2969" s="19"/>
      <c r="M2969" s="20"/>
    </row>
    <row r="2970">
      <c r="A2970" s="6"/>
      <c r="B2970" s="6"/>
      <c r="C2970" s="4"/>
      <c r="D2970" s="36">
        <v>0.0</v>
      </c>
      <c r="E2970" s="4"/>
      <c r="F2970" s="4"/>
      <c r="G2970" s="4"/>
      <c r="H2970" s="4"/>
      <c r="I2970" s="4"/>
      <c r="J2970" s="18"/>
      <c r="K2970" s="4"/>
      <c r="L2970" s="19"/>
      <c r="M2970" s="20"/>
    </row>
    <row r="2971">
      <c r="A2971" s="6"/>
      <c r="B2971" s="6"/>
      <c r="C2971" s="4"/>
      <c r="D2971" s="36">
        <v>0.0</v>
      </c>
      <c r="E2971" s="4"/>
      <c r="F2971" s="4"/>
      <c r="G2971" s="4"/>
      <c r="H2971" s="4"/>
      <c r="I2971" s="4"/>
      <c r="J2971" s="18"/>
      <c r="K2971" s="4"/>
      <c r="L2971" s="19"/>
      <c r="M2971" s="20"/>
    </row>
    <row r="2972">
      <c r="A2972" s="6"/>
      <c r="B2972" s="6"/>
      <c r="C2972" s="4"/>
      <c r="D2972" s="36">
        <v>0.0</v>
      </c>
      <c r="E2972" s="4"/>
      <c r="F2972" s="4"/>
      <c r="G2972" s="4"/>
      <c r="H2972" s="4"/>
      <c r="I2972" s="4"/>
      <c r="J2972" s="18"/>
      <c r="K2972" s="4"/>
      <c r="L2972" s="19"/>
      <c r="M2972" s="20"/>
    </row>
    <row r="2973">
      <c r="A2973" s="6"/>
      <c r="B2973" s="6"/>
      <c r="C2973" s="4"/>
      <c r="D2973" s="36">
        <v>0.0</v>
      </c>
      <c r="E2973" s="4"/>
      <c r="F2973" s="4"/>
      <c r="G2973" s="4"/>
      <c r="H2973" s="4"/>
      <c r="I2973" s="4"/>
      <c r="J2973" s="18"/>
      <c r="K2973" s="4"/>
      <c r="L2973" s="19"/>
      <c r="M2973" s="20"/>
    </row>
    <row r="2974">
      <c r="A2974" s="6"/>
      <c r="B2974" s="6"/>
      <c r="C2974" s="4"/>
      <c r="D2974" s="36">
        <v>0.0</v>
      </c>
      <c r="E2974" s="4"/>
      <c r="F2974" s="4"/>
      <c r="G2974" s="4"/>
      <c r="H2974" s="4"/>
      <c r="I2974" s="4"/>
      <c r="J2974" s="18"/>
      <c r="K2974" s="4"/>
      <c r="L2974" s="19"/>
      <c r="M2974" s="20"/>
    </row>
    <row r="2975">
      <c r="A2975" s="6"/>
      <c r="B2975" s="6"/>
      <c r="C2975" s="4"/>
      <c r="D2975" s="36">
        <v>0.0</v>
      </c>
      <c r="E2975" s="4"/>
      <c r="F2975" s="4"/>
      <c r="G2975" s="4"/>
      <c r="H2975" s="4"/>
      <c r="I2975" s="4"/>
      <c r="J2975" s="18"/>
      <c r="K2975" s="4"/>
      <c r="L2975" s="19"/>
      <c r="M2975" s="20"/>
    </row>
    <row r="2976">
      <c r="A2976" s="6"/>
      <c r="B2976" s="6"/>
      <c r="C2976" s="4"/>
      <c r="D2976" s="36">
        <v>0.0</v>
      </c>
      <c r="E2976" s="4"/>
      <c r="F2976" s="4"/>
      <c r="G2976" s="4"/>
      <c r="H2976" s="4"/>
      <c r="I2976" s="4"/>
      <c r="J2976" s="18"/>
      <c r="K2976" s="4"/>
      <c r="L2976" s="19"/>
      <c r="M2976" s="20"/>
    </row>
    <row r="2977">
      <c r="A2977" s="6"/>
      <c r="B2977" s="6"/>
      <c r="C2977" s="4"/>
      <c r="D2977" s="36">
        <v>0.0</v>
      </c>
      <c r="E2977" s="4"/>
      <c r="F2977" s="4"/>
      <c r="G2977" s="4"/>
      <c r="H2977" s="4"/>
      <c r="I2977" s="4"/>
      <c r="J2977" s="18"/>
      <c r="K2977" s="4"/>
      <c r="L2977" s="19"/>
      <c r="M2977" s="20"/>
    </row>
    <row r="2978">
      <c r="A2978" s="6"/>
      <c r="B2978" s="6"/>
      <c r="C2978" s="4"/>
      <c r="D2978" s="36">
        <v>0.0</v>
      </c>
      <c r="E2978" s="4"/>
      <c r="F2978" s="4"/>
      <c r="G2978" s="4"/>
      <c r="H2978" s="4"/>
      <c r="I2978" s="4"/>
      <c r="J2978" s="18"/>
      <c r="K2978" s="4"/>
      <c r="L2978" s="19"/>
      <c r="M2978" s="20"/>
    </row>
    <row r="2979">
      <c r="A2979" s="6"/>
      <c r="B2979" s="6"/>
      <c r="C2979" s="4"/>
      <c r="D2979" s="36">
        <v>0.0</v>
      </c>
      <c r="E2979" s="4"/>
      <c r="F2979" s="4"/>
      <c r="G2979" s="4"/>
      <c r="H2979" s="4"/>
      <c r="I2979" s="4"/>
      <c r="J2979" s="18"/>
      <c r="K2979" s="4"/>
      <c r="L2979" s="19"/>
      <c r="M2979" s="20"/>
    </row>
    <row r="2980">
      <c r="A2980" s="6"/>
      <c r="B2980" s="6"/>
      <c r="C2980" s="4"/>
      <c r="D2980" s="36">
        <v>0.0</v>
      </c>
      <c r="E2980" s="4"/>
      <c r="F2980" s="4"/>
      <c r="G2980" s="4"/>
      <c r="H2980" s="4"/>
      <c r="I2980" s="4"/>
      <c r="J2980" s="18"/>
      <c r="K2980" s="4"/>
      <c r="L2980" s="19"/>
      <c r="M2980" s="20"/>
    </row>
    <row r="2981">
      <c r="A2981" s="6"/>
      <c r="B2981" s="6"/>
      <c r="C2981" s="4"/>
      <c r="D2981" s="36">
        <v>0.0</v>
      </c>
      <c r="E2981" s="4"/>
      <c r="F2981" s="4"/>
      <c r="G2981" s="4"/>
      <c r="H2981" s="4"/>
      <c r="I2981" s="4"/>
      <c r="J2981" s="18"/>
      <c r="K2981" s="4"/>
      <c r="L2981" s="19"/>
      <c r="M2981" s="20"/>
    </row>
    <row r="2982">
      <c r="A2982" s="6"/>
      <c r="B2982" s="6"/>
      <c r="C2982" s="4"/>
      <c r="D2982" s="36">
        <v>0.0</v>
      </c>
      <c r="E2982" s="4"/>
      <c r="F2982" s="4"/>
      <c r="G2982" s="4"/>
      <c r="H2982" s="4"/>
      <c r="I2982" s="4"/>
      <c r="J2982" s="18"/>
      <c r="K2982" s="4"/>
      <c r="L2982" s="19"/>
      <c r="M2982" s="20"/>
    </row>
    <row r="2983">
      <c r="A2983" s="6"/>
      <c r="B2983" s="6"/>
      <c r="C2983" s="4"/>
      <c r="D2983" s="36">
        <v>0.0</v>
      </c>
      <c r="E2983" s="4"/>
      <c r="F2983" s="4"/>
      <c r="G2983" s="4"/>
      <c r="H2983" s="4"/>
      <c r="I2983" s="4"/>
      <c r="J2983" s="18"/>
      <c r="K2983" s="4"/>
      <c r="L2983" s="19"/>
      <c r="M2983" s="20"/>
    </row>
    <row r="2984">
      <c r="A2984" s="6"/>
      <c r="B2984" s="6"/>
      <c r="C2984" s="4"/>
      <c r="D2984" s="36">
        <v>0.0</v>
      </c>
      <c r="E2984" s="4"/>
      <c r="F2984" s="4"/>
      <c r="G2984" s="4"/>
      <c r="H2984" s="4"/>
      <c r="I2984" s="4"/>
      <c r="J2984" s="18"/>
      <c r="K2984" s="4"/>
      <c r="L2984" s="19"/>
      <c r="M2984" s="20"/>
    </row>
    <row r="2985">
      <c r="A2985" s="6"/>
      <c r="B2985" s="6"/>
      <c r="C2985" s="4"/>
      <c r="D2985" s="36">
        <v>0.0</v>
      </c>
      <c r="E2985" s="4"/>
      <c r="F2985" s="4"/>
      <c r="G2985" s="4"/>
      <c r="H2985" s="4"/>
      <c r="I2985" s="4"/>
      <c r="J2985" s="18"/>
      <c r="K2985" s="4"/>
      <c r="L2985" s="19"/>
      <c r="M2985" s="20"/>
    </row>
    <row r="2986">
      <c r="A2986" s="6"/>
      <c r="B2986" s="6"/>
      <c r="C2986" s="4"/>
      <c r="D2986" s="36">
        <v>0.0</v>
      </c>
      <c r="E2986" s="4"/>
      <c r="F2986" s="4"/>
      <c r="G2986" s="4"/>
      <c r="H2986" s="4"/>
      <c r="I2986" s="4"/>
      <c r="J2986" s="18"/>
      <c r="K2986" s="4"/>
      <c r="L2986" s="19"/>
      <c r="M2986" s="20"/>
    </row>
    <row r="2987">
      <c r="A2987" s="6"/>
      <c r="B2987" s="6"/>
      <c r="C2987" s="4"/>
      <c r="D2987" s="36">
        <v>0.0</v>
      </c>
      <c r="E2987" s="4"/>
      <c r="F2987" s="4"/>
      <c r="G2987" s="4"/>
      <c r="H2987" s="4"/>
      <c r="I2987" s="4"/>
      <c r="J2987" s="18"/>
      <c r="K2987" s="4"/>
      <c r="L2987" s="19"/>
      <c r="M2987" s="20"/>
    </row>
    <row r="2988">
      <c r="A2988" s="6"/>
      <c r="B2988" s="6"/>
      <c r="C2988" s="4"/>
      <c r="D2988" s="36">
        <v>0.0</v>
      </c>
      <c r="E2988" s="4"/>
      <c r="F2988" s="4"/>
      <c r="G2988" s="4"/>
      <c r="H2988" s="4"/>
      <c r="I2988" s="4"/>
      <c r="J2988" s="18"/>
      <c r="K2988" s="4"/>
      <c r="L2988" s="19"/>
      <c r="M2988" s="20"/>
    </row>
    <row r="2989">
      <c r="A2989" s="6"/>
      <c r="B2989" s="6"/>
      <c r="C2989" s="4"/>
      <c r="D2989" s="36">
        <v>0.0</v>
      </c>
      <c r="E2989" s="4"/>
      <c r="F2989" s="4"/>
      <c r="G2989" s="4"/>
      <c r="H2989" s="4"/>
      <c r="I2989" s="4"/>
      <c r="J2989" s="18"/>
      <c r="K2989" s="4"/>
      <c r="L2989" s="19"/>
      <c r="M2989" s="20"/>
    </row>
    <row r="2990">
      <c r="A2990" s="6"/>
      <c r="B2990" s="6"/>
      <c r="C2990" s="4"/>
      <c r="D2990" s="36">
        <v>0.0</v>
      </c>
      <c r="E2990" s="4"/>
      <c r="F2990" s="4"/>
      <c r="G2990" s="4"/>
      <c r="H2990" s="4"/>
      <c r="I2990" s="4"/>
      <c r="J2990" s="18"/>
      <c r="K2990" s="4"/>
      <c r="L2990" s="19"/>
      <c r="M2990" s="20"/>
    </row>
    <row r="2991">
      <c r="A2991" s="6"/>
      <c r="B2991" s="6"/>
      <c r="C2991" s="4"/>
      <c r="D2991" s="36">
        <v>0.0</v>
      </c>
      <c r="E2991" s="4"/>
      <c r="F2991" s="4"/>
      <c r="G2991" s="4"/>
      <c r="H2991" s="4"/>
      <c r="I2991" s="4"/>
      <c r="J2991" s="18"/>
      <c r="K2991" s="4"/>
      <c r="L2991" s="19"/>
      <c r="M2991" s="20"/>
    </row>
    <row r="2992">
      <c r="A2992" s="6"/>
      <c r="B2992" s="6"/>
      <c r="C2992" s="4"/>
      <c r="D2992" s="36">
        <v>0.0</v>
      </c>
      <c r="E2992" s="4"/>
      <c r="F2992" s="4"/>
      <c r="G2992" s="4"/>
      <c r="H2992" s="4"/>
      <c r="I2992" s="4"/>
      <c r="J2992" s="18"/>
      <c r="K2992" s="4"/>
      <c r="L2992" s="19"/>
      <c r="M2992" s="20"/>
    </row>
    <row r="2993">
      <c r="A2993" s="6"/>
      <c r="B2993" s="6"/>
      <c r="C2993" s="4"/>
      <c r="D2993" s="36">
        <v>0.0</v>
      </c>
      <c r="E2993" s="4"/>
      <c r="F2993" s="4"/>
      <c r="G2993" s="4"/>
      <c r="H2993" s="4"/>
      <c r="I2993" s="4"/>
      <c r="J2993" s="18"/>
      <c r="K2993" s="4"/>
      <c r="L2993" s="19"/>
      <c r="M2993" s="20"/>
    </row>
    <row r="2994">
      <c r="A2994" s="6"/>
      <c r="B2994" s="6"/>
      <c r="C2994" s="4"/>
      <c r="D2994" s="36">
        <v>0.0</v>
      </c>
      <c r="E2994" s="4"/>
      <c r="F2994" s="4"/>
      <c r="G2994" s="4"/>
      <c r="H2994" s="4"/>
      <c r="I2994" s="4"/>
      <c r="J2994" s="18"/>
      <c r="K2994" s="4"/>
      <c r="L2994" s="19"/>
      <c r="M2994" s="20"/>
    </row>
    <row r="2995">
      <c r="A2995" s="6"/>
      <c r="B2995" s="6"/>
      <c r="C2995" s="4"/>
      <c r="D2995" s="36">
        <v>0.0</v>
      </c>
      <c r="E2995" s="4"/>
      <c r="F2995" s="4"/>
      <c r="G2995" s="4"/>
      <c r="H2995" s="4"/>
      <c r="I2995" s="4"/>
      <c r="J2995" s="18"/>
      <c r="K2995" s="4"/>
      <c r="L2995" s="19"/>
      <c r="M2995" s="20"/>
    </row>
    <row r="2996">
      <c r="A2996" s="6"/>
      <c r="B2996" s="6"/>
      <c r="C2996" s="4"/>
      <c r="D2996" s="36">
        <v>0.0</v>
      </c>
      <c r="E2996" s="4"/>
      <c r="F2996" s="4"/>
      <c r="G2996" s="4"/>
      <c r="H2996" s="4"/>
      <c r="I2996" s="4"/>
      <c r="J2996" s="18"/>
      <c r="K2996" s="4"/>
      <c r="L2996" s="19"/>
      <c r="M2996" s="20"/>
    </row>
    <row r="2997">
      <c r="A2997" s="6"/>
      <c r="B2997" s="6"/>
      <c r="C2997" s="4"/>
      <c r="D2997" s="36">
        <v>0.0</v>
      </c>
      <c r="E2997" s="4"/>
      <c r="F2997" s="4"/>
      <c r="G2997" s="4"/>
      <c r="H2997" s="4"/>
      <c r="I2997" s="4"/>
      <c r="J2997" s="18"/>
      <c r="K2997" s="4"/>
      <c r="L2997" s="19"/>
      <c r="M2997" s="20"/>
    </row>
    <row r="2998">
      <c r="A2998" s="6"/>
      <c r="B2998" s="6"/>
      <c r="C2998" s="4"/>
      <c r="D2998" s="36">
        <v>0.0</v>
      </c>
      <c r="E2998" s="4"/>
      <c r="F2998" s="4"/>
      <c r="G2998" s="4"/>
      <c r="H2998" s="4"/>
      <c r="I2998" s="4"/>
      <c r="J2998" s="18"/>
      <c r="K2998" s="4"/>
      <c r="L2998" s="19"/>
      <c r="M2998" s="20"/>
    </row>
    <row r="2999">
      <c r="A2999" s="6"/>
      <c r="B2999" s="6"/>
      <c r="C2999" s="4"/>
      <c r="D2999" s="36">
        <v>0.0</v>
      </c>
      <c r="E2999" s="4"/>
      <c r="F2999" s="4"/>
      <c r="G2999" s="4"/>
      <c r="H2999" s="4"/>
      <c r="I2999" s="4"/>
      <c r="J2999" s="18"/>
      <c r="K2999" s="4"/>
      <c r="L2999" s="19"/>
      <c r="M2999" s="20"/>
    </row>
    <row r="3000">
      <c r="A3000" s="6"/>
      <c r="B3000" s="6"/>
      <c r="C3000" s="4"/>
      <c r="D3000" s="36">
        <v>0.0</v>
      </c>
      <c r="E3000" s="4"/>
      <c r="F3000" s="4"/>
      <c r="G3000" s="4"/>
      <c r="H3000" s="4"/>
      <c r="I3000" s="4"/>
      <c r="J3000" s="18"/>
      <c r="K3000" s="4"/>
      <c r="L3000" s="19"/>
      <c r="M3000" s="20"/>
    </row>
    <row r="3001">
      <c r="A3001" s="6"/>
      <c r="B3001" s="6"/>
      <c r="C3001" s="2"/>
      <c r="D3001" s="36" t="s">
        <v>3</v>
      </c>
      <c r="E3001" s="38" t="s">
        <v>1</v>
      </c>
      <c r="F3001" s="4"/>
      <c r="G3001" s="4"/>
      <c r="H3001" s="4"/>
      <c r="I3001" s="4"/>
      <c r="J3001" s="18"/>
      <c r="K3001" s="4"/>
      <c r="L3001" s="19"/>
      <c r="M3001" s="20"/>
    </row>
    <row r="3002">
      <c r="A3002" s="6"/>
      <c r="B3002" s="6"/>
      <c r="C3002" s="4"/>
      <c r="D3002" s="36">
        <v>224.000554</v>
      </c>
      <c r="E3002" s="4" t="s">
        <v>1218</v>
      </c>
      <c r="F3002" s="4"/>
      <c r="G3002" s="4"/>
      <c r="H3002" s="4"/>
      <c r="I3002" s="4"/>
      <c r="J3002" s="18"/>
      <c r="K3002" s="4"/>
      <c r="L3002" s="19"/>
      <c r="M3002" s="20"/>
    </row>
    <row r="3003">
      <c r="A3003" s="6"/>
      <c r="B3003" s="6"/>
      <c r="C3003" s="4"/>
      <c r="D3003" s="36">
        <v>22.400055</v>
      </c>
      <c r="E3003" s="4" t="s">
        <v>3190</v>
      </c>
      <c r="F3003" s="4"/>
      <c r="G3003" s="4"/>
      <c r="H3003" s="4"/>
      <c r="I3003" s="4"/>
      <c r="J3003" s="18"/>
      <c r="K3003" s="4"/>
      <c r="L3003" s="19"/>
      <c r="M3003" s="20"/>
    </row>
    <row r="3004">
      <c r="A3004" s="6"/>
      <c r="B3004" s="6"/>
      <c r="C3004" s="4"/>
      <c r="D3004" s="36">
        <v>224.000554</v>
      </c>
      <c r="E3004" s="4" t="s">
        <v>8952</v>
      </c>
      <c r="F3004" s="4"/>
      <c r="G3004" s="4"/>
      <c r="H3004" s="4"/>
      <c r="I3004" s="4"/>
      <c r="J3004" s="18"/>
      <c r="K3004" s="4"/>
      <c r="L3004" s="19"/>
      <c r="M3004" s="20"/>
    </row>
    <row r="3005">
      <c r="A3005" s="6"/>
      <c r="B3005" s="6"/>
      <c r="C3005" s="4"/>
      <c r="D3005" s="36">
        <v>45.457118</v>
      </c>
      <c r="E3005" s="4" t="s">
        <v>6587</v>
      </c>
      <c r="F3005" s="4"/>
      <c r="G3005" s="4"/>
      <c r="H3005" s="4"/>
      <c r="I3005" s="4"/>
      <c r="J3005" s="18"/>
      <c r="K3005" s="4"/>
      <c r="L3005" s="19"/>
      <c r="M3005" s="20"/>
    </row>
    <row r="3006">
      <c r="A3006" s="6"/>
      <c r="B3006" s="6"/>
      <c r="C3006" s="4"/>
      <c r="D3006" s="36">
        <v>224.000554</v>
      </c>
      <c r="E3006" s="4" t="s">
        <v>1091</v>
      </c>
      <c r="F3006" s="4"/>
      <c r="G3006" s="4"/>
      <c r="H3006" s="4"/>
      <c r="I3006" s="4"/>
      <c r="J3006" s="18"/>
      <c r="K3006" s="4"/>
      <c r="L3006" s="19"/>
      <c r="M3006" s="20"/>
    </row>
    <row r="3007">
      <c r="A3007" s="6"/>
      <c r="B3007" s="6"/>
      <c r="C3007" s="4"/>
      <c r="D3007" s="36">
        <v>38.981056</v>
      </c>
      <c r="E3007" s="4" t="s">
        <v>8953</v>
      </c>
      <c r="F3007" s="4"/>
      <c r="G3007" s="4"/>
      <c r="H3007" s="4"/>
      <c r="I3007" s="4"/>
      <c r="J3007" s="18"/>
      <c r="K3007" s="4"/>
      <c r="L3007" s="19"/>
      <c r="M3007" s="20"/>
    </row>
    <row r="3008">
      <c r="A3008" s="6"/>
      <c r="B3008" s="6"/>
      <c r="C3008" s="4"/>
      <c r="D3008" s="36">
        <v>116.139411</v>
      </c>
      <c r="E3008" s="4" t="s">
        <v>2112</v>
      </c>
      <c r="F3008" s="4"/>
      <c r="G3008" s="4"/>
      <c r="H3008" s="4"/>
      <c r="I3008" s="4"/>
      <c r="J3008" s="18"/>
      <c r="K3008" s="4"/>
      <c r="L3008" s="19"/>
      <c r="M3008" s="20"/>
    </row>
    <row r="3009">
      <c r="A3009" s="6"/>
      <c r="B3009" s="6"/>
      <c r="C3009" s="4"/>
      <c r="D3009" s="36">
        <v>119.085493</v>
      </c>
      <c r="E3009" s="4" t="s">
        <v>8643</v>
      </c>
      <c r="F3009" s="4"/>
      <c r="G3009" s="4"/>
      <c r="H3009" s="4"/>
      <c r="I3009" s="4"/>
      <c r="J3009" s="18"/>
      <c r="K3009" s="4"/>
      <c r="L3009" s="19"/>
      <c r="M3009" s="20"/>
    </row>
    <row r="3010">
      <c r="A3010" s="6"/>
      <c r="B3010" s="6"/>
      <c r="C3010" s="4"/>
      <c r="D3010" s="36">
        <v>68.699196</v>
      </c>
      <c r="E3010" s="4" t="s">
        <v>6764</v>
      </c>
      <c r="F3010" s="4"/>
      <c r="G3010" s="4"/>
      <c r="H3010" s="4"/>
      <c r="I3010" s="4"/>
      <c r="J3010" s="18"/>
      <c r="K3010" s="4"/>
      <c r="L3010" s="19"/>
      <c r="M3010" s="20"/>
    </row>
    <row r="3011">
      <c r="A3011" s="6"/>
      <c r="B3011" s="6"/>
      <c r="C3011" s="4"/>
      <c r="D3011" s="36">
        <v>224.000554</v>
      </c>
      <c r="E3011" s="4" t="s">
        <v>8954</v>
      </c>
      <c r="F3011" s="4"/>
      <c r="G3011" s="4"/>
      <c r="H3011" s="4"/>
      <c r="I3011" s="4"/>
      <c r="J3011" s="18"/>
      <c r="K3011" s="4"/>
      <c r="L3011" s="19"/>
      <c r="M3011" s="20"/>
    </row>
    <row r="3012">
      <c r="A3012" s="6"/>
      <c r="B3012" s="6"/>
      <c r="C3012" s="4"/>
      <c r="D3012" s="36">
        <v>172.929876</v>
      </c>
      <c r="E3012" s="4" t="s">
        <v>8955</v>
      </c>
      <c r="F3012" s="4"/>
      <c r="G3012" s="4"/>
      <c r="H3012" s="4"/>
      <c r="I3012" s="4"/>
      <c r="J3012" s="18"/>
      <c r="K3012" s="4"/>
      <c r="L3012" s="19"/>
      <c r="M3012" s="20"/>
    </row>
    <row r="3013">
      <c r="A3013" s="6"/>
      <c r="B3013" s="6"/>
      <c r="C3013" s="4"/>
      <c r="D3013" s="36">
        <v>224.000554</v>
      </c>
      <c r="E3013" s="4" t="s">
        <v>8956</v>
      </c>
      <c r="F3013" s="4"/>
      <c r="G3013" s="4"/>
      <c r="H3013" s="4"/>
      <c r="I3013" s="4"/>
      <c r="J3013" s="18"/>
      <c r="K3013" s="4"/>
      <c r="L3013" s="19"/>
      <c r="M3013" s="20"/>
    </row>
    <row r="3014">
      <c r="A3014" s="6"/>
      <c r="B3014" s="6"/>
      <c r="C3014" s="4"/>
      <c r="D3014" s="36">
        <v>41.794396</v>
      </c>
      <c r="E3014" s="4" t="s">
        <v>6175</v>
      </c>
      <c r="F3014" s="4"/>
      <c r="G3014" s="4"/>
      <c r="H3014" s="4"/>
      <c r="I3014" s="4"/>
      <c r="J3014" s="18"/>
      <c r="K3014" s="4"/>
      <c r="L3014" s="19"/>
      <c r="M3014" s="20"/>
    </row>
    <row r="3015">
      <c r="A3015" s="6"/>
      <c r="B3015" s="6"/>
      <c r="C3015" s="4"/>
      <c r="D3015" s="36">
        <v>224.000554</v>
      </c>
      <c r="E3015" s="4" t="s">
        <v>7610</v>
      </c>
      <c r="F3015" s="4"/>
      <c r="G3015" s="4"/>
      <c r="H3015" s="4"/>
      <c r="I3015" s="4"/>
      <c r="J3015" s="18"/>
      <c r="K3015" s="4"/>
      <c r="L3015" s="19"/>
      <c r="M3015" s="20"/>
    </row>
    <row r="3016">
      <c r="A3016" s="6"/>
      <c r="B3016" s="6"/>
      <c r="C3016" s="4"/>
      <c r="D3016" s="36">
        <v>54.752166</v>
      </c>
      <c r="E3016" s="4" t="s">
        <v>699</v>
      </c>
      <c r="F3016" s="4"/>
      <c r="G3016" s="4"/>
      <c r="H3016" s="4"/>
      <c r="I3016" s="4"/>
      <c r="J3016" s="18"/>
      <c r="K3016" s="4"/>
      <c r="L3016" s="19"/>
      <c r="M3016" s="20"/>
    </row>
    <row r="3017">
      <c r="A3017" s="6"/>
      <c r="B3017" s="6"/>
      <c r="C3017" s="4"/>
      <c r="D3017" s="36">
        <v>224.000554</v>
      </c>
      <c r="E3017" s="4" t="s">
        <v>8957</v>
      </c>
      <c r="F3017" s="4"/>
      <c r="G3017" s="4"/>
      <c r="H3017" s="4"/>
      <c r="I3017" s="4"/>
      <c r="J3017" s="18"/>
      <c r="K3017" s="4"/>
      <c r="L3017" s="19"/>
      <c r="M3017" s="20"/>
    </row>
    <row r="3018">
      <c r="A3018" s="6"/>
      <c r="B3018" s="6"/>
      <c r="C3018" s="4"/>
      <c r="D3018" s="36">
        <v>115.079091</v>
      </c>
      <c r="E3018" s="4" t="s">
        <v>5565</v>
      </c>
      <c r="F3018" s="4"/>
      <c r="G3018" s="4"/>
      <c r="H3018" s="4"/>
      <c r="I3018" s="4"/>
      <c r="J3018" s="18"/>
      <c r="K3018" s="4"/>
      <c r="L3018" s="19"/>
      <c r="M3018" s="20"/>
    </row>
    <row r="3019">
      <c r="A3019" s="6"/>
      <c r="B3019" s="6"/>
      <c r="C3019" s="4"/>
      <c r="D3019" s="36">
        <v>224.000554</v>
      </c>
      <c r="E3019" s="4" t="s">
        <v>8591</v>
      </c>
      <c r="F3019" s="4"/>
      <c r="G3019" s="4"/>
      <c r="H3019" s="4"/>
      <c r="I3019" s="4"/>
      <c r="J3019" s="18"/>
      <c r="K3019" s="4"/>
      <c r="L3019" s="19"/>
      <c r="M3019" s="20"/>
    </row>
    <row r="3020">
      <c r="A3020" s="6"/>
      <c r="B3020" s="6"/>
      <c r="C3020" s="4"/>
      <c r="D3020" s="36">
        <v>224.000554</v>
      </c>
      <c r="E3020" s="4" t="s">
        <v>817</v>
      </c>
      <c r="F3020" s="4"/>
      <c r="G3020" s="4"/>
      <c r="H3020" s="4"/>
      <c r="I3020" s="4"/>
      <c r="J3020" s="18"/>
      <c r="K3020" s="4"/>
      <c r="L3020" s="19"/>
      <c r="M3020" s="20"/>
    </row>
    <row r="3021">
      <c r="A3021" s="6"/>
      <c r="B3021" s="6"/>
      <c r="C3021" s="4"/>
      <c r="D3021" s="36">
        <v>45.77125</v>
      </c>
      <c r="E3021" s="4" t="s">
        <v>2914</v>
      </c>
      <c r="F3021" s="4"/>
      <c r="G3021" s="4"/>
      <c r="H3021" s="4"/>
      <c r="I3021" s="4"/>
      <c r="J3021" s="18"/>
      <c r="K3021" s="4"/>
      <c r="L3021" s="19"/>
      <c r="M3021" s="20"/>
    </row>
    <row r="3022">
      <c r="A3022" s="6"/>
      <c r="B3022" s="6"/>
      <c r="C3022" s="4"/>
      <c r="D3022" s="36">
        <v>21.63113</v>
      </c>
      <c r="E3022" s="4" t="s">
        <v>8600</v>
      </c>
      <c r="F3022" s="4"/>
      <c r="G3022" s="4"/>
      <c r="H3022" s="4"/>
      <c r="I3022" s="4"/>
      <c r="J3022" s="18"/>
      <c r="K3022" s="4"/>
      <c r="L3022" s="19"/>
      <c r="M3022" s="20"/>
    </row>
    <row r="3023">
      <c r="A3023" s="6"/>
      <c r="B3023" s="6"/>
      <c r="C3023" s="4"/>
      <c r="D3023" s="36">
        <v>83.70905</v>
      </c>
      <c r="E3023" s="4" t="s">
        <v>390</v>
      </c>
      <c r="F3023" s="4"/>
      <c r="G3023" s="4"/>
      <c r="H3023" s="4"/>
      <c r="I3023" s="4"/>
      <c r="J3023" s="18"/>
      <c r="K3023" s="4"/>
      <c r="L3023" s="19"/>
      <c r="M3023" s="20"/>
    </row>
    <row r="3024">
      <c r="A3024" s="6"/>
      <c r="B3024" s="6"/>
      <c r="C3024" s="4"/>
      <c r="D3024" s="36">
        <v>77.742162</v>
      </c>
      <c r="E3024" s="4" t="s">
        <v>1240</v>
      </c>
      <c r="F3024" s="4"/>
      <c r="G3024" s="4"/>
      <c r="H3024" s="4"/>
      <c r="I3024" s="4"/>
      <c r="J3024" s="18"/>
      <c r="K3024" s="4"/>
      <c r="L3024" s="19"/>
      <c r="M3024" s="20"/>
    </row>
    <row r="3025">
      <c r="A3025" s="6"/>
      <c r="B3025" s="6"/>
      <c r="C3025" s="4"/>
      <c r="D3025" s="36">
        <v>224.000554</v>
      </c>
      <c r="E3025" s="4" t="s">
        <v>373</v>
      </c>
      <c r="F3025" s="4"/>
      <c r="G3025" s="4"/>
      <c r="H3025" s="4"/>
      <c r="I3025" s="4"/>
      <c r="J3025" s="18"/>
      <c r="K3025" s="4"/>
      <c r="L3025" s="19"/>
      <c r="M3025" s="20"/>
    </row>
    <row r="3026">
      <c r="A3026" s="6"/>
      <c r="B3026" s="6"/>
      <c r="C3026" s="4"/>
      <c r="D3026" s="36">
        <v>216.525408</v>
      </c>
      <c r="E3026" s="4" t="s">
        <v>8958</v>
      </c>
      <c r="F3026" s="4"/>
      <c r="G3026" s="4"/>
      <c r="H3026" s="4"/>
      <c r="I3026" s="4"/>
      <c r="J3026" s="18"/>
      <c r="K3026" s="4"/>
      <c r="L3026" s="19"/>
      <c r="M3026" s="20"/>
    </row>
    <row r="3027">
      <c r="A3027" s="6"/>
      <c r="B3027" s="6"/>
      <c r="C3027" s="4"/>
      <c r="D3027" s="36">
        <v>170.900389</v>
      </c>
      <c r="E3027" s="4" t="s">
        <v>8959</v>
      </c>
      <c r="F3027" s="4"/>
      <c r="G3027" s="4"/>
      <c r="H3027" s="4"/>
      <c r="I3027" s="4"/>
      <c r="J3027" s="18"/>
      <c r="K3027" s="4"/>
      <c r="L3027" s="19"/>
      <c r="M3027" s="20"/>
    </row>
    <row r="3028">
      <c r="A3028" s="6"/>
      <c r="B3028" s="6"/>
      <c r="C3028" s="4"/>
      <c r="D3028" s="36">
        <v>224.000554</v>
      </c>
      <c r="E3028" s="4" t="s">
        <v>1739</v>
      </c>
      <c r="F3028" s="4"/>
      <c r="G3028" s="4"/>
      <c r="H3028" s="4"/>
      <c r="I3028" s="4"/>
      <c r="J3028" s="18"/>
      <c r="K3028" s="4"/>
      <c r="L3028" s="19"/>
      <c r="M3028" s="20"/>
    </row>
    <row r="3029">
      <c r="A3029" s="6"/>
      <c r="B3029" s="6"/>
      <c r="C3029" s="4"/>
      <c r="D3029" s="36">
        <v>224.000554</v>
      </c>
      <c r="E3029" s="4" t="s">
        <v>2225</v>
      </c>
      <c r="F3029" s="4"/>
      <c r="G3029" s="4"/>
      <c r="H3029" s="4"/>
      <c r="I3029" s="4"/>
      <c r="J3029" s="18"/>
      <c r="K3029" s="4"/>
      <c r="L3029" s="19"/>
      <c r="M3029" s="20"/>
    </row>
    <row r="3030">
      <c r="A3030" s="6"/>
      <c r="B3030" s="6"/>
      <c r="C3030" s="4"/>
      <c r="D3030" s="36">
        <v>224.000554</v>
      </c>
      <c r="E3030" s="4" t="s">
        <v>8521</v>
      </c>
      <c r="F3030" s="4"/>
      <c r="G3030" s="4"/>
      <c r="H3030" s="4"/>
      <c r="I3030" s="4"/>
      <c r="J3030" s="18"/>
      <c r="K3030" s="4"/>
      <c r="L3030" s="19"/>
      <c r="M3030" s="20"/>
    </row>
    <row r="3031">
      <c r="A3031" s="6"/>
      <c r="B3031" s="6"/>
      <c r="C3031" s="4"/>
      <c r="D3031" s="36">
        <v>56.000138</v>
      </c>
      <c r="E3031" s="4" t="s">
        <v>6088</v>
      </c>
      <c r="F3031" s="4"/>
      <c r="G3031" s="4"/>
      <c r="H3031" s="4"/>
      <c r="I3031" s="4"/>
      <c r="J3031" s="18"/>
      <c r="K3031" s="4"/>
      <c r="L3031" s="19"/>
      <c r="M3031" s="20"/>
    </row>
    <row r="3032">
      <c r="A3032" s="6"/>
      <c r="B3032" s="6"/>
      <c r="C3032" s="4"/>
      <c r="D3032" s="36">
        <v>167.788955</v>
      </c>
      <c r="E3032" s="4" t="s">
        <v>8960</v>
      </c>
      <c r="F3032" s="4"/>
      <c r="G3032" s="4"/>
      <c r="H3032" s="4"/>
      <c r="I3032" s="4"/>
      <c r="J3032" s="18"/>
      <c r="K3032" s="4"/>
      <c r="L3032" s="19"/>
      <c r="M3032" s="20"/>
    </row>
    <row r="3033">
      <c r="A3033" s="6"/>
      <c r="B3033" s="6"/>
      <c r="C3033" s="4"/>
      <c r="D3033" s="36">
        <v>201.366418</v>
      </c>
      <c r="E3033" s="4" t="s">
        <v>8961</v>
      </c>
      <c r="F3033" s="4"/>
      <c r="G3033" s="4"/>
      <c r="H3033" s="4"/>
      <c r="I3033" s="4"/>
      <c r="J3033" s="18"/>
      <c r="K3033" s="4"/>
      <c r="L3033" s="19"/>
      <c r="M3033" s="20"/>
    </row>
    <row r="3034">
      <c r="A3034" s="6"/>
      <c r="B3034" s="6"/>
      <c r="C3034" s="4"/>
      <c r="D3034" s="36">
        <v>200.630974</v>
      </c>
      <c r="E3034" s="4" t="s">
        <v>8962</v>
      </c>
      <c r="F3034" s="4"/>
      <c r="G3034" s="4"/>
      <c r="H3034" s="4"/>
      <c r="I3034" s="4"/>
      <c r="J3034" s="18"/>
      <c r="K3034" s="4"/>
      <c r="L3034" s="19"/>
      <c r="M3034" s="20"/>
    </row>
    <row r="3035">
      <c r="A3035" s="6"/>
      <c r="B3035" s="6"/>
      <c r="C3035" s="4"/>
      <c r="D3035" s="36">
        <v>167.664414</v>
      </c>
      <c r="E3035" s="4" t="s">
        <v>8874</v>
      </c>
      <c r="F3035" s="4"/>
      <c r="G3035" s="4"/>
      <c r="H3035" s="4"/>
      <c r="I3035" s="4"/>
      <c r="J3035" s="18"/>
      <c r="K3035" s="4"/>
      <c r="L3035" s="19"/>
      <c r="M3035" s="20"/>
    </row>
    <row r="3036">
      <c r="A3036" s="6"/>
      <c r="B3036" s="6"/>
      <c r="C3036" s="4"/>
      <c r="D3036" s="36">
        <v>82.879176</v>
      </c>
      <c r="E3036" s="4" t="s">
        <v>8963</v>
      </c>
      <c r="F3036" s="4"/>
      <c r="G3036" s="4"/>
      <c r="H3036" s="4"/>
      <c r="I3036" s="4"/>
      <c r="J3036" s="18"/>
      <c r="K3036" s="4"/>
      <c r="L3036" s="19"/>
      <c r="M3036" s="20"/>
    </row>
    <row r="3037">
      <c r="A3037" s="6"/>
      <c r="B3037" s="6"/>
      <c r="C3037" s="4"/>
      <c r="D3037" s="36">
        <v>68.506963</v>
      </c>
      <c r="E3037" s="4" t="s">
        <v>8964</v>
      </c>
      <c r="F3037" s="4"/>
      <c r="G3037" s="4"/>
      <c r="H3037" s="4"/>
      <c r="I3037" s="4"/>
      <c r="J3037" s="18"/>
      <c r="K3037" s="4"/>
      <c r="L3037" s="19"/>
      <c r="M3037" s="20"/>
    </row>
    <row r="3038">
      <c r="A3038" s="6"/>
      <c r="B3038" s="6"/>
      <c r="C3038" s="4"/>
      <c r="D3038" s="36">
        <v>224.000554</v>
      </c>
      <c r="E3038" s="4" t="s">
        <v>4202</v>
      </c>
      <c r="F3038" s="4"/>
      <c r="G3038" s="4"/>
      <c r="H3038" s="4"/>
      <c r="I3038" s="4"/>
      <c r="J3038" s="18"/>
      <c r="K3038" s="4"/>
      <c r="L3038" s="19"/>
      <c r="M3038" s="20"/>
    </row>
    <row r="3039">
      <c r="A3039" s="6"/>
      <c r="B3039" s="6"/>
      <c r="C3039" s="4"/>
      <c r="D3039" s="36">
        <v>112.404531</v>
      </c>
      <c r="E3039" s="4" t="s">
        <v>3843</v>
      </c>
      <c r="F3039" s="4"/>
      <c r="G3039" s="4"/>
      <c r="H3039" s="4"/>
      <c r="I3039" s="4"/>
      <c r="J3039" s="18"/>
      <c r="K3039" s="4"/>
      <c r="L3039" s="19"/>
      <c r="M3039" s="20"/>
    </row>
    <row r="3040">
      <c r="A3040" s="6"/>
      <c r="B3040" s="6"/>
      <c r="C3040" s="4"/>
      <c r="D3040" s="36">
        <v>224.000554</v>
      </c>
      <c r="E3040" s="4" t="s">
        <v>501</v>
      </c>
      <c r="F3040" s="4"/>
      <c r="G3040" s="4"/>
      <c r="H3040" s="4"/>
      <c r="I3040" s="4"/>
      <c r="J3040" s="18"/>
      <c r="K3040" s="4"/>
      <c r="L3040" s="19"/>
      <c r="M3040" s="20"/>
    </row>
    <row r="3041">
      <c r="A3041" s="6"/>
      <c r="B3041" s="6"/>
      <c r="C3041" s="4"/>
      <c r="D3041" s="36">
        <v>38.785412</v>
      </c>
      <c r="E3041" s="4" t="s">
        <v>8965</v>
      </c>
      <c r="F3041" s="4"/>
      <c r="G3041" s="4"/>
      <c r="H3041" s="4"/>
      <c r="I3041" s="4"/>
      <c r="J3041" s="18"/>
      <c r="K3041" s="4"/>
      <c r="L3041" s="19"/>
      <c r="M3041" s="20"/>
    </row>
    <row r="3042">
      <c r="A3042" s="6"/>
      <c r="B3042" s="6"/>
      <c r="C3042" s="4"/>
      <c r="D3042" s="36">
        <v>224.000554</v>
      </c>
      <c r="E3042" s="4" t="s">
        <v>8966</v>
      </c>
      <c r="F3042" s="4"/>
      <c r="G3042" s="4"/>
      <c r="H3042" s="4"/>
      <c r="I3042" s="4"/>
      <c r="J3042" s="18"/>
      <c r="K3042" s="4"/>
      <c r="L3042" s="19"/>
      <c r="M3042" s="20"/>
    </row>
    <row r="3043">
      <c r="A3043" s="6"/>
      <c r="B3043" s="6"/>
      <c r="C3043" s="4"/>
      <c r="D3043" s="36">
        <v>224.000554</v>
      </c>
      <c r="E3043" s="4" t="s">
        <v>6981</v>
      </c>
      <c r="F3043" s="4"/>
      <c r="G3043" s="4"/>
      <c r="H3043" s="4"/>
      <c r="I3043" s="4"/>
      <c r="J3043" s="18"/>
      <c r="K3043" s="4"/>
      <c r="L3043" s="19"/>
      <c r="M3043" s="20"/>
    </row>
    <row r="3044">
      <c r="A3044" s="6"/>
      <c r="B3044" s="6"/>
      <c r="C3044" s="4"/>
      <c r="D3044" s="36">
        <v>180.827681</v>
      </c>
      <c r="E3044" s="4" t="s">
        <v>1631</v>
      </c>
      <c r="F3044" s="4"/>
      <c r="G3044" s="4"/>
      <c r="H3044" s="4"/>
      <c r="I3044" s="4"/>
      <c r="J3044" s="18"/>
      <c r="K3044" s="4"/>
      <c r="L3044" s="19"/>
      <c r="M3044" s="20"/>
    </row>
    <row r="3045">
      <c r="A3045" s="6"/>
      <c r="B3045" s="6"/>
      <c r="C3045" s="4"/>
      <c r="D3045" s="36">
        <v>177.200227</v>
      </c>
      <c r="E3045" s="4" t="s">
        <v>1189</v>
      </c>
      <c r="F3045" s="4"/>
      <c r="G3045" s="4"/>
      <c r="H3045" s="4"/>
      <c r="I3045" s="4"/>
      <c r="J3045" s="18"/>
      <c r="K3045" s="4"/>
      <c r="L3045" s="19"/>
      <c r="M3045" s="20"/>
    </row>
    <row r="3046">
      <c r="A3046" s="6"/>
      <c r="B3046" s="6"/>
      <c r="C3046" s="4"/>
      <c r="D3046" s="36">
        <v>224.000554</v>
      </c>
      <c r="E3046" s="4" t="s">
        <v>6325</v>
      </c>
      <c r="F3046" s="4"/>
      <c r="G3046" s="4"/>
      <c r="H3046" s="4"/>
      <c r="I3046" s="4"/>
      <c r="J3046" s="18"/>
      <c r="K3046" s="4"/>
      <c r="L3046" s="19"/>
      <c r="M3046" s="20"/>
    </row>
    <row r="3047">
      <c r="A3047" s="6"/>
      <c r="B3047" s="6"/>
      <c r="C3047" s="4"/>
      <c r="D3047" s="36">
        <v>169.33613</v>
      </c>
      <c r="E3047" s="4" t="s">
        <v>346</v>
      </c>
      <c r="F3047" s="4"/>
      <c r="G3047" s="4"/>
      <c r="H3047" s="4"/>
      <c r="I3047" s="4"/>
      <c r="J3047" s="18"/>
      <c r="K3047" s="4"/>
      <c r="L3047" s="19"/>
      <c r="M3047" s="20"/>
    </row>
    <row r="3048">
      <c r="A3048" s="6"/>
      <c r="B3048" s="6"/>
      <c r="C3048" s="4"/>
      <c r="D3048" s="36">
        <v>112.017661</v>
      </c>
      <c r="E3048" s="4" t="s">
        <v>8670</v>
      </c>
      <c r="F3048" s="4"/>
      <c r="G3048" s="4"/>
      <c r="H3048" s="4"/>
      <c r="I3048" s="4"/>
      <c r="J3048" s="18"/>
      <c r="K3048" s="4"/>
      <c r="L3048" s="19"/>
      <c r="M3048" s="20"/>
    </row>
    <row r="3049">
      <c r="A3049" s="6"/>
      <c r="B3049" s="6"/>
      <c r="C3049" s="4"/>
      <c r="D3049" s="36">
        <v>134.400332</v>
      </c>
      <c r="E3049" s="4" t="s">
        <v>5752</v>
      </c>
      <c r="F3049" s="4"/>
      <c r="G3049" s="4"/>
      <c r="H3049" s="4"/>
      <c r="I3049" s="4"/>
      <c r="J3049" s="18"/>
      <c r="K3049" s="4"/>
      <c r="L3049" s="19"/>
      <c r="M3049" s="20"/>
    </row>
    <row r="3050">
      <c r="A3050" s="6"/>
      <c r="B3050" s="6"/>
      <c r="C3050" s="4"/>
      <c r="D3050" s="36">
        <v>213.063305</v>
      </c>
      <c r="E3050" s="4" t="s">
        <v>8967</v>
      </c>
      <c r="F3050" s="4"/>
      <c r="G3050" s="4"/>
      <c r="H3050" s="4"/>
      <c r="I3050" s="4"/>
      <c r="J3050" s="18"/>
      <c r="K3050" s="4"/>
      <c r="L3050" s="19"/>
      <c r="M3050" s="20"/>
    </row>
    <row r="3051">
      <c r="A3051" s="6"/>
      <c r="B3051" s="6"/>
      <c r="C3051" s="4"/>
      <c r="D3051" s="36">
        <v>134.436021</v>
      </c>
      <c r="E3051" s="4" t="s">
        <v>3338</v>
      </c>
      <c r="F3051" s="4"/>
      <c r="G3051" s="4"/>
      <c r="H3051" s="4"/>
      <c r="I3051" s="4"/>
      <c r="J3051" s="18"/>
      <c r="K3051" s="4"/>
      <c r="L3051" s="19"/>
      <c r="M3051" s="20"/>
    </row>
    <row r="3052">
      <c r="A3052" s="6"/>
      <c r="B3052" s="6"/>
      <c r="C3052" s="4"/>
      <c r="D3052" s="36">
        <v>224.000554</v>
      </c>
      <c r="E3052" s="4" t="s">
        <v>8968</v>
      </c>
      <c r="F3052" s="4"/>
      <c r="G3052" s="4"/>
      <c r="H3052" s="4"/>
      <c r="I3052" s="4"/>
      <c r="J3052" s="18"/>
      <c r="K3052" s="4"/>
      <c r="L3052" s="19"/>
      <c r="M3052" s="20"/>
    </row>
    <row r="3053">
      <c r="A3053" s="6"/>
      <c r="B3053" s="6"/>
      <c r="C3053" s="4"/>
      <c r="D3053" s="36">
        <v>224.000554</v>
      </c>
      <c r="E3053" s="4" t="s">
        <v>8969</v>
      </c>
      <c r="F3053" s="4"/>
      <c r="G3053" s="4"/>
      <c r="H3053" s="4"/>
      <c r="I3053" s="4"/>
      <c r="J3053" s="18"/>
      <c r="K3053" s="4"/>
      <c r="L3053" s="19"/>
      <c r="M3053" s="20"/>
    </row>
    <row r="3054">
      <c r="A3054" s="6"/>
      <c r="B3054" s="6"/>
      <c r="C3054" s="4"/>
      <c r="D3054" s="36">
        <v>224.000554</v>
      </c>
      <c r="E3054" s="4" t="s">
        <v>8970</v>
      </c>
      <c r="F3054" s="4"/>
      <c r="G3054" s="4"/>
      <c r="H3054" s="4"/>
      <c r="I3054" s="4"/>
      <c r="J3054" s="18"/>
      <c r="K3054" s="4"/>
      <c r="L3054" s="19"/>
      <c r="M3054" s="20"/>
    </row>
    <row r="3055">
      <c r="A3055" s="6"/>
      <c r="B3055" s="6"/>
      <c r="C3055" s="4"/>
      <c r="D3055" s="36">
        <v>163.479754</v>
      </c>
      <c r="E3055" s="4" t="s">
        <v>8971</v>
      </c>
      <c r="F3055" s="4"/>
      <c r="G3055" s="4"/>
      <c r="H3055" s="4"/>
      <c r="I3055" s="4"/>
      <c r="J3055" s="18"/>
      <c r="K3055" s="4"/>
      <c r="L3055" s="19"/>
      <c r="M3055" s="20"/>
    </row>
    <row r="3056">
      <c r="A3056" s="6"/>
      <c r="B3056" s="6"/>
      <c r="C3056" s="4"/>
      <c r="D3056" s="36">
        <v>194.208849</v>
      </c>
      <c r="E3056" s="4" t="s">
        <v>8606</v>
      </c>
      <c r="F3056" s="4"/>
      <c r="G3056" s="4"/>
      <c r="H3056" s="4"/>
      <c r="I3056" s="4"/>
      <c r="J3056" s="18"/>
      <c r="K3056" s="4"/>
      <c r="L3056" s="19"/>
      <c r="M3056" s="20"/>
    </row>
    <row r="3057">
      <c r="A3057" s="6"/>
      <c r="B3057" s="6"/>
      <c r="C3057" s="4"/>
      <c r="D3057" s="36">
        <v>224.000554</v>
      </c>
      <c r="E3057" s="4" t="s">
        <v>1656</v>
      </c>
      <c r="F3057" s="4"/>
      <c r="G3057" s="4"/>
      <c r="H3057" s="4"/>
      <c r="I3057" s="4"/>
      <c r="J3057" s="18"/>
      <c r="K3057" s="4"/>
      <c r="L3057" s="19"/>
      <c r="M3057" s="20"/>
    </row>
    <row r="3058">
      <c r="A3058" s="6"/>
      <c r="B3058" s="6"/>
      <c r="C3058" s="4"/>
      <c r="D3058" s="36">
        <v>112.235927</v>
      </c>
      <c r="E3058" s="4" t="s">
        <v>1514</v>
      </c>
      <c r="F3058" s="4"/>
      <c r="G3058" s="4"/>
      <c r="H3058" s="4"/>
      <c r="I3058" s="4"/>
      <c r="J3058" s="18"/>
      <c r="K3058" s="4"/>
      <c r="L3058" s="19"/>
      <c r="M3058" s="20"/>
    </row>
    <row r="3059">
      <c r="A3059" s="6"/>
      <c r="B3059" s="6"/>
      <c r="C3059" s="4"/>
      <c r="D3059" s="36">
        <v>133.273049</v>
      </c>
      <c r="E3059" s="4" t="s">
        <v>8511</v>
      </c>
      <c r="F3059" s="4"/>
      <c r="G3059" s="4"/>
      <c r="H3059" s="4"/>
      <c r="I3059" s="4"/>
      <c r="J3059" s="18"/>
      <c r="K3059" s="4"/>
      <c r="L3059" s="19"/>
      <c r="M3059" s="20"/>
    </row>
    <row r="3060">
      <c r="A3060" s="6"/>
      <c r="B3060" s="6"/>
      <c r="C3060" s="4"/>
      <c r="D3060" s="36">
        <v>224.000554</v>
      </c>
      <c r="E3060" s="4" t="s">
        <v>784</v>
      </c>
      <c r="F3060" s="4"/>
      <c r="G3060" s="4"/>
      <c r="H3060" s="4"/>
      <c r="I3060" s="4"/>
      <c r="J3060" s="18"/>
      <c r="K3060" s="4"/>
      <c r="L3060" s="19"/>
      <c r="M3060" s="20"/>
    </row>
    <row r="3061">
      <c r="A3061" s="6"/>
      <c r="B3061" s="6"/>
      <c r="C3061" s="4"/>
      <c r="D3061" s="36">
        <v>34.065935</v>
      </c>
      <c r="E3061" s="4" t="s">
        <v>8972</v>
      </c>
      <c r="F3061" s="4"/>
      <c r="G3061" s="4"/>
      <c r="H3061" s="4"/>
      <c r="I3061" s="4"/>
      <c r="J3061" s="18"/>
      <c r="K3061" s="4"/>
      <c r="L3061" s="19"/>
      <c r="M3061" s="20"/>
    </row>
    <row r="3062">
      <c r="A3062" s="6"/>
      <c r="B3062" s="6"/>
      <c r="C3062" s="4"/>
      <c r="D3062" s="36">
        <v>116.076808</v>
      </c>
      <c r="E3062" s="4" t="s">
        <v>8973</v>
      </c>
      <c r="F3062" s="4"/>
      <c r="G3062" s="4"/>
      <c r="H3062" s="4"/>
      <c r="I3062" s="4"/>
      <c r="J3062" s="18"/>
      <c r="K3062" s="4"/>
      <c r="L3062" s="19"/>
      <c r="M3062" s="20"/>
    </row>
    <row r="3063">
      <c r="A3063" s="6"/>
      <c r="B3063" s="6"/>
      <c r="C3063" s="4"/>
      <c r="D3063" s="36">
        <v>33.731462</v>
      </c>
      <c r="E3063" s="4" t="s">
        <v>1101</v>
      </c>
      <c r="F3063" s="4"/>
      <c r="G3063" s="4"/>
      <c r="H3063" s="4"/>
      <c r="I3063" s="4"/>
      <c r="J3063" s="18"/>
      <c r="K3063" s="4"/>
      <c r="L3063" s="19"/>
      <c r="M3063" s="20"/>
    </row>
    <row r="3064">
      <c r="A3064" s="6"/>
      <c r="B3064" s="6"/>
      <c r="C3064" s="4"/>
      <c r="D3064" s="36">
        <v>224.000554</v>
      </c>
      <c r="E3064" s="4" t="s">
        <v>8974</v>
      </c>
      <c r="F3064" s="4"/>
      <c r="G3064" s="4"/>
      <c r="H3064" s="4"/>
      <c r="I3064" s="4"/>
      <c r="J3064" s="18"/>
      <c r="K3064" s="4"/>
      <c r="L3064" s="19"/>
      <c r="M3064" s="20"/>
    </row>
    <row r="3065">
      <c r="A3065" s="6"/>
      <c r="B3065" s="6"/>
      <c r="C3065" s="4"/>
      <c r="D3065" s="36">
        <v>84.63452</v>
      </c>
      <c r="E3065" s="4" t="s">
        <v>8975</v>
      </c>
      <c r="F3065" s="4"/>
      <c r="G3065" s="4"/>
      <c r="H3065" s="4"/>
      <c r="I3065" s="4"/>
      <c r="J3065" s="18"/>
      <c r="K3065" s="4"/>
      <c r="L3065" s="19"/>
      <c r="M3065" s="20"/>
    </row>
    <row r="3066">
      <c r="A3066" s="6"/>
      <c r="B3066" s="6"/>
      <c r="C3066" s="4"/>
      <c r="D3066" s="36">
        <v>224.000554</v>
      </c>
      <c r="E3066" s="4" t="s">
        <v>8976</v>
      </c>
      <c r="F3066" s="4"/>
      <c r="G3066" s="4"/>
      <c r="H3066" s="4"/>
      <c r="I3066" s="4"/>
      <c r="J3066" s="18"/>
      <c r="K3066" s="4"/>
      <c r="L3066" s="19"/>
      <c r="M3066" s="20"/>
    </row>
    <row r="3067">
      <c r="A3067" s="6"/>
      <c r="B3067" s="6"/>
      <c r="C3067" s="4"/>
      <c r="D3067" s="36">
        <v>73.472181</v>
      </c>
      <c r="E3067" s="4" t="s">
        <v>1183</v>
      </c>
      <c r="F3067" s="4"/>
      <c r="G3067" s="4"/>
      <c r="H3067" s="4"/>
      <c r="I3067" s="4"/>
      <c r="J3067" s="18"/>
      <c r="K3067" s="4"/>
      <c r="L3067" s="19"/>
      <c r="M3067" s="20"/>
    </row>
    <row r="3068">
      <c r="A3068" s="6"/>
      <c r="B3068" s="6"/>
      <c r="C3068" s="4"/>
      <c r="D3068" s="36">
        <v>224.000554</v>
      </c>
      <c r="E3068" s="4" t="s">
        <v>185</v>
      </c>
      <c r="F3068" s="4"/>
      <c r="G3068" s="4"/>
      <c r="H3068" s="4"/>
      <c r="I3068" s="4"/>
      <c r="J3068" s="18"/>
      <c r="K3068" s="4"/>
      <c r="L3068" s="19"/>
      <c r="M3068" s="20"/>
    </row>
    <row r="3069">
      <c r="A3069" s="6"/>
      <c r="B3069" s="6"/>
      <c r="C3069" s="4"/>
      <c r="D3069" s="36">
        <v>77.443529</v>
      </c>
      <c r="E3069" s="4" t="s">
        <v>1628</v>
      </c>
      <c r="F3069" s="4"/>
      <c r="G3069" s="4"/>
      <c r="H3069" s="4"/>
      <c r="I3069" s="4"/>
      <c r="J3069" s="18"/>
      <c r="K3069" s="4"/>
      <c r="L3069" s="19"/>
      <c r="M3069" s="20"/>
    </row>
    <row r="3070">
      <c r="A3070" s="6"/>
      <c r="B3070" s="6"/>
      <c r="C3070" s="4"/>
      <c r="D3070" s="36">
        <v>37.064314</v>
      </c>
      <c r="E3070" s="4" t="s">
        <v>8706</v>
      </c>
      <c r="F3070" s="4"/>
      <c r="G3070" s="4"/>
      <c r="H3070" s="4"/>
      <c r="I3070" s="4"/>
      <c r="J3070" s="18"/>
      <c r="K3070" s="4"/>
      <c r="L3070" s="19"/>
      <c r="M3070" s="20"/>
    </row>
    <row r="3071">
      <c r="A3071" s="6"/>
      <c r="B3071" s="6"/>
      <c r="C3071" s="4"/>
      <c r="D3071" s="36">
        <v>108.00287</v>
      </c>
      <c r="E3071" s="4" t="s">
        <v>8977</v>
      </c>
      <c r="F3071" s="4"/>
      <c r="G3071" s="4"/>
      <c r="H3071" s="4"/>
      <c r="I3071" s="4"/>
      <c r="J3071" s="18"/>
      <c r="K3071" s="4"/>
      <c r="L3071" s="19"/>
      <c r="M3071" s="20"/>
    </row>
    <row r="3072">
      <c r="A3072" s="6"/>
      <c r="B3072" s="6"/>
      <c r="C3072" s="4"/>
      <c r="D3072" s="36">
        <v>224.000554</v>
      </c>
      <c r="E3072" s="4" t="s">
        <v>5105</v>
      </c>
      <c r="F3072" s="4"/>
      <c r="G3072" s="4"/>
      <c r="H3072" s="4"/>
      <c r="I3072" s="4"/>
      <c r="J3072" s="18"/>
      <c r="K3072" s="4"/>
      <c r="L3072" s="19"/>
      <c r="M3072" s="20"/>
    </row>
    <row r="3073">
      <c r="A3073" s="6"/>
      <c r="B3073" s="6"/>
      <c r="C3073" s="4"/>
      <c r="D3073" s="36">
        <v>57.295901</v>
      </c>
      <c r="E3073" s="4" t="s">
        <v>8978</v>
      </c>
      <c r="F3073" s="4"/>
      <c r="G3073" s="4"/>
      <c r="H3073" s="4"/>
      <c r="I3073" s="4"/>
      <c r="J3073" s="18"/>
      <c r="K3073" s="4"/>
      <c r="L3073" s="19"/>
      <c r="M3073" s="20"/>
    </row>
    <row r="3074">
      <c r="A3074" s="6"/>
      <c r="B3074" s="6"/>
      <c r="C3074" s="4"/>
      <c r="D3074" s="36">
        <v>224.000554</v>
      </c>
      <c r="E3074" s="4" t="s">
        <v>8649</v>
      </c>
      <c r="F3074" s="4"/>
      <c r="G3074" s="4"/>
      <c r="H3074" s="4"/>
      <c r="I3074" s="4"/>
      <c r="J3074" s="18"/>
      <c r="K3074" s="4"/>
      <c r="L3074" s="19"/>
      <c r="M3074" s="20"/>
    </row>
    <row r="3075">
      <c r="A3075" s="6"/>
      <c r="B3075" s="6"/>
      <c r="C3075" s="4"/>
      <c r="D3075" s="36">
        <v>112.118443</v>
      </c>
      <c r="E3075" s="4" t="s">
        <v>8083</v>
      </c>
      <c r="F3075" s="4"/>
      <c r="G3075" s="4"/>
      <c r="H3075" s="4"/>
      <c r="I3075" s="4"/>
      <c r="J3075" s="18"/>
      <c r="K3075" s="4"/>
      <c r="L3075" s="19"/>
      <c r="M3075" s="20"/>
    </row>
    <row r="3076">
      <c r="A3076" s="6"/>
      <c r="B3076" s="6"/>
      <c r="C3076" s="4"/>
      <c r="D3076" s="36">
        <v>67.628957</v>
      </c>
      <c r="E3076" s="4" t="s">
        <v>8979</v>
      </c>
      <c r="F3076" s="4"/>
      <c r="G3076" s="4"/>
      <c r="H3076" s="4"/>
      <c r="I3076" s="4"/>
      <c r="J3076" s="18"/>
      <c r="K3076" s="4"/>
      <c r="L3076" s="19"/>
      <c r="M3076" s="20"/>
    </row>
    <row r="3077">
      <c r="A3077" s="6"/>
      <c r="B3077" s="6"/>
      <c r="C3077" s="4"/>
      <c r="D3077" s="36">
        <v>224.000554</v>
      </c>
      <c r="E3077" s="4" t="s">
        <v>1621</v>
      </c>
      <c r="F3077" s="4"/>
      <c r="G3077" s="4"/>
      <c r="H3077" s="4"/>
      <c r="I3077" s="4"/>
      <c r="J3077" s="18"/>
      <c r="K3077" s="4"/>
      <c r="L3077" s="19"/>
      <c r="M3077" s="20"/>
    </row>
    <row r="3078">
      <c r="A3078" s="6"/>
      <c r="B3078" s="6"/>
      <c r="C3078" s="4"/>
      <c r="D3078" s="36">
        <v>56.062858</v>
      </c>
      <c r="E3078" s="4" t="s">
        <v>8980</v>
      </c>
      <c r="F3078" s="4"/>
      <c r="G3078" s="4"/>
      <c r="H3078" s="4"/>
      <c r="I3078" s="4"/>
      <c r="J3078" s="18"/>
      <c r="K3078" s="4"/>
      <c r="L3078" s="19"/>
      <c r="M3078" s="20"/>
    </row>
    <row r="3079">
      <c r="A3079" s="6"/>
      <c r="B3079" s="6"/>
      <c r="C3079" s="4"/>
      <c r="D3079" s="36">
        <v>224.000554</v>
      </c>
      <c r="E3079" s="4" t="s">
        <v>8981</v>
      </c>
      <c r="F3079" s="4"/>
      <c r="G3079" s="4"/>
      <c r="H3079" s="4"/>
      <c r="I3079" s="4"/>
      <c r="J3079" s="18"/>
      <c r="K3079" s="4"/>
      <c r="L3079" s="19"/>
      <c r="M3079" s="20"/>
    </row>
    <row r="3080">
      <c r="A3080" s="6"/>
      <c r="B3080" s="6"/>
      <c r="C3080" s="4"/>
      <c r="D3080" s="36">
        <v>35.646147</v>
      </c>
      <c r="E3080" s="4" t="s">
        <v>8982</v>
      </c>
      <c r="F3080" s="4"/>
      <c r="G3080" s="4"/>
      <c r="H3080" s="4"/>
      <c r="I3080" s="4"/>
      <c r="J3080" s="18"/>
      <c r="K3080" s="4"/>
      <c r="L3080" s="19"/>
      <c r="M3080" s="20"/>
    </row>
    <row r="3081">
      <c r="A3081" s="6"/>
      <c r="B3081" s="6"/>
      <c r="C3081" s="4"/>
      <c r="D3081" s="36">
        <v>200.554357</v>
      </c>
      <c r="E3081" s="4" t="s">
        <v>8983</v>
      </c>
      <c r="F3081" s="4"/>
      <c r="G3081" s="4"/>
      <c r="H3081" s="4"/>
      <c r="I3081" s="4"/>
      <c r="J3081" s="18"/>
      <c r="K3081" s="4"/>
      <c r="L3081" s="19"/>
      <c r="M3081" s="20"/>
    </row>
    <row r="3082">
      <c r="A3082" s="6"/>
      <c r="B3082" s="6"/>
      <c r="C3082" s="4"/>
      <c r="D3082" s="36">
        <v>8.388203</v>
      </c>
      <c r="E3082" s="4" t="s">
        <v>7744</v>
      </c>
      <c r="F3082" s="4"/>
      <c r="G3082" s="4"/>
      <c r="H3082" s="4"/>
      <c r="I3082" s="4"/>
      <c r="J3082" s="18"/>
      <c r="K3082" s="4"/>
      <c r="L3082" s="19"/>
      <c r="M3082" s="20"/>
    </row>
    <row r="3083">
      <c r="A3083" s="6"/>
      <c r="B3083" s="6"/>
      <c r="C3083" s="4"/>
      <c r="D3083" s="36">
        <v>34.932571</v>
      </c>
      <c r="E3083" s="4" t="s">
        <v>8984</v>
      </c>
      <c r="F3083" s="4"/>
      <c r="G3083" s="4"/>
      <c r="H3083" s="4"/>
      <c r="I3083" s="4"/>
      <c r="J3083" s="18"/>
      <c r="K3083" s="4"/>
      <c r="L3083" s="19"/>
      <c r="M3083" s="20"/>
    </row>
    <row r="3084">
      <c r="A3084" s="6"/>
      <c r="B3084" s="6"/>
      <c r="C3084" s="4"/>
      <c r="D3084" s="36">
        <v>45.873793</v>
      </c>
      <c r="E3084" s="4" t="s">
        <v>5717</v>
      </c>
      <c r="F3084" s="4"/>
      <c r="G3084" s="4"/>
      <c r="H3084" s="4"/>
      <c r="I3084" s="4"/>
      <c r="J3084" s="18"/>
      <c r="K3084" s="4"/>
      <c r="L3084" s="19"/>
      <c r="M3084" s="20"/>
    </row>
    <row r="3085">
      <c r="A3085" s="6"/>
      <c r="B3085" s="6"/>
      <c r="C3085" s="4"/>
      <c r="D3085" s="36">
        <v>224.000554</v>
      </c>
      <c r="E3085" s="4" t="s">
        <v>1774</v>
      </c>
      <c r="F3085" s="4"/>
      <c r="G3085" s="4"/>
      <c r="H3085" s="4"/>
      <c r="I3085" s="4"/>
      <c r="J3085" s="18"/>
      <c r="K3085" s="4"/>
      <c r="L3085" s="19"/>
      <c r="M3085" s="20"/>
    </row>
    <row r="3086">
      <c r="A3086" s="6"/>
      <c r="B3086" s="6"/>
      <c r="C3086" s="4"/>
      <c r="D3086" s="36">
        <v>100.381043</v>
      </c>
      <c r="E3086" s="4" t="s">
        <v>239</v>
      </c>
      <c r="F3086" s="4"/>
      <c r="G3086" s="4"/>
      <c r="H3086" s="4"/>
      <c r="I3086" s="4"/>
      <c r="J3086" s="18"/>
      <c r="K3086" s="4"/>
      <c r="L3086" s="19"/>
      <c r="M3086" s="20"/>
    </row>
    <row r="3087">
      <c r="A3087" s="6"/>
      <c r="B3087" s="6"/>
      <c r="C3087" s="4"/>
      <c r="D3087" s="36">
        <v>79.02421</v>
      </c>
      <c r="E3087" s="4" t="s">
        <v>8985</v>
      </c>
      <c r="F3087" s="4"/>
      <c r="G3087" s="4"/>
      <c r="H3087" s="4"/>
      <c r="I3087" s="4"/>
      <c r="J3087" s="18"/>
      <c r="K3087" s="4"/>
      <c r="L3087" s="19"/>
      <c r="M3087" s="20"/>
    </row>
    <row r="3088">
      <c r="A3088" s="6"/>
      <c r="B3088" s="6"/>
      <c r="C3088" s="4"/>
      <c r="D3088" s="36">
        <v>101.02016</v>
      </c>
      <c r="E3088" s="4" t="s">
        <v>7052</v>
      </c>
      <c r="F3088" s="4"/>
      <c r="G3088" s="4"/>
      <c r="H3088" s="4"/>
      <c r="I3088" s="4"/>
      <c r="J3088" s="18"/>
      <c r="K3088" s="4"/>
      <c r="L3088" s="19"/>
      <c r="M3088" s="20"/>
    </row>
    <row r="3089">
      <c r="A3089" s="6"/>
      <c r="B3089" s="6"/>
      <c r="C3089" s="4"/>
      <c r="D3089" s="36">
        <v>77.799311</v>
      </c>
      <c r="E3089" s="4" t="s">
        <v>6891</v>
      </c>
      <c r="F3089" s="4"/>
      <c r="G3089" s="4"/>
      <c r="H3089" s="4"/>
      <c r="I3089" s="4"/>
      <c r="J3089" s="18"/>
      <c r="K3089" s="4"/>
      <c r="L3089" s="19"/>
      <c r="M3089" s="20"/>
    </row>
    <row r="3090">
      <c r="A3090" s="6"/>
      <c r="B3090" s="6"/>
      <c r="C3090" s="4"/>
      <c r="D3090" s="36">
        <v>42.4521</v>
      </c>
      <c r="E3090" s="4" t="s">
        <v>8986</v>
      </c>
      <c r="F3090" s="4"/>
      <c r="G3090" s="4"/>
      <c r="H3090" s="4"/>
      <c r="I3090" s="4"/>
      <c r="J3090" s="18"/>
      <c r="K3090" s="4"/>
      <c r="L3090" s="19"/>
      <c r="M3090" s="20"/>
    </row>
    <row r="3091">
      <c r="A3091" s="6"/>
      <c r="B3091" s="6"/>
      <c r="C3091" s="4"/>
      <c r="D3091" s="36">
        <v>224.000554</v>
      </c>
      <c r="E3091" s="4" t="s">
        <v>8907</v>
      </c>
      <c r="F3091" s="4"/>
      <c r="G3091" s="4"/>
      <c r="H3091" s="4"/>
      <c r="I3091" s="4"/>
      <c r="J3091" s="18"/>
      <c r="K3091" s="4"/>
      <c r="L3091" s="19"/>
      <c r="M3091" s="20"/>
    </row>
    <row r="3092">
      <c r="A3092" s="6"/>
      <c r="B3092" s="6"/>
      <c r="C3092" s="4"/>
      <c r="D3092" s="36">
        <v>125.108423</v>
      </c>
      <c r="E3092" s="4" t="s">
        <v>8987</v>
      </c>
      <c r="F3092" s="4"/>
      <c r="G3092" s="4"/>
      <c r="H3092" s="4"/>
      <c r="I3092" s="4"/>
      <c r="J3092" s="18"/>
      <c r="K3092" s="4"/>
      <c r="L3092" s="19"/>
      <c r="M3092" s="20"/>
    </row>
    <row r="3093">
      <c r="A3093" s="6"/>
      <c r="B3093" s="6"/>
      <c r="C3093" s="4"/>
      <c r="D3093" s="36">
        <v>67.231877</v>
      </c>
      <c r="E3093" s="4" t="s">
        <v>8988</v>
      </c>
      <c r="F3093" s="4"/>
      <c r="G3093" s="4"/>
      <c r="H3093" s="4"/>
      <c r="I3093" s="4"/>
      <c r="J3093" s="18"/>
      <c r="K3093" s="4"/>
      <c r="L3093" s="19"/>
      <c r="M3093" s="20"/>
    </row>
    <row r="3094">
      <c r="A3094" s="6"/>
      <c r="B3094" s="6"/>
      <c r="C3094" s="4"/>
      <c r="D3094" s="36">
        <v>63.728157</v>
      </c>
      <c r="E3094" s="4" t="s">
        <v>8989</v>
      </c>
      <c r="F3094" s="4"/>
      <c r="G3094" s="4"/>
      <c r="H3094" s="4"/>
      <c r="I3094" s="4"/>
      <c r="J3094" s="18"/>
      <c r="K3094" s="4"/>
      <c r="L3094" s="19"/>
      <c r="M3094" s="20"/>
    </row>
    <row r="3095">
      <c r="A3095" s="6"/>
      <c r="B3095" s="6"/>
      <c r="C3095" s="4"/>
      <c r="D3095" s="36">
        <v>224.000554</v>
      </c>
      <c r="E3095" s="4" t="s">
        <v>2806</v>
      </c>
      <c r="F3095" s="4"/>
      <c r="G3095" s="4"/>
      <c r="H3095" s="4"/>
      <c r="I3095" s="4"/>
      <c r="J3095" s="18"/>
      <c r="K3095" s="4"/>
      <c r="L3095" s="19"/>
      <c r="M3095" s="20"/>
    </row>
    <row r="3096">
      <c r="A3096" s="6"/>
      <c r="B3096" s="6"/>
      <c r="C3096" s="4"/>
      <c r="D3096" s="36">
        <v>119.101352</v>
      </c>
      <c r="E3096" s="4" t="s">
        <v>5940</v>
      </c>
      <c r="F3096" s="4"/>
      <c r="G3096" s="4"/>
      <c r="H3096" s="4"/>
      <c r="I3096" s="4"/>
      <c r="J3096" s="18"/>
      <c r="K3096" s="4"/>
      <c r="L3096" s="19"/>
      <c r="M3096" s="20"/>
    </row>
    <row r="3097">
      <c r="A3097" s="6"/>
      <c r="B3097" s="6"/>
      <c r="C3097" s="4"/>
      <c r="D3097" s="36">
        <v>224.000554</v>
      </c>
      <c r="E3097" s="4" t="s">
        <v>8990</v>
      </c>
      <c r="F3097" s="4"/>
      <c r="G3097" s="4"/>
      <c r="H3097" s="4"/>
      <c r="I3097" s="4"/>
      <c r="J3097" s="18"/>
      <c r="K3097" s="4"/>
      <c r="L3097" s="19"/>
      <c r="M3097" s="20"/>
    </row>
    <row r="3098">
      <c r="A3098" s="6"/>
      <c r="B3098" s="6"/>
      <c r="C3098" s="4"/>
      <c r="D3098" s="36">
        <v>224.000554</v>
      </c>
      <c r="E3098" s="4" t="s">
        <v>1667</v>
      </c>
      <c r="F3098" s="4"/>
      <c r="G3098" s="4"/>
      <c r="H3098" s="4"/>
      <c r="I3098" s="4"/>
      <c r="J3098" s="18"/>
      <c r="K3098" s="4"/>
      <c r="L3098" s="19"/>
      <c r="M3098" s="20"/>
    </row>
    <row r="3099">
      <c r="A3099" s="6"/>
      <c r="B3099" s="6"/>
      <c r="C3099" s="4"/>
      <c r="D3099" s="36">
        <v>179.200443</v>
      </c>
      <c r="E3099" s="4" t="s">
        <v>6009</v>
      </c>
      <c r="F3099" s="4"/>
      <c r="G3099" s="4"/>
      <c r="H3099" s="4"/>
      <c r="I3099" s="4"/>
      <c r="J3099" s="18"/>
      <c r="K3099" s="4"/>
      <c r="L3099" s="19"/>
      <c r="M3099" s="20"/>
    </row>
    <row r="3100">
      <c r="A3100" s="6"/>
      <c r="B3100" s="6"/>
      <c r="C3100" s="4"/>
      <c r="D3100" s="36">
        <v>60.592248</v>
      </c>
      <c r="E3100" s="4" t="s">
        <v>8991</v>
      </c>
      <c r="F3100" s="4"/>
      <c r="G3100" s="4"/>
      <c r="H3100" s="4"/>
      <c r="I3100" s="4"/>
      <c r="J3100" s="18"/>
      <c r="K3100" s="4"/>
      <c r="L3100" s="19"/>
      <c r="M3100" s="20"/>
    </row>
    <row r="3101">
      <c r="A3101" s="6"/>
      <c r="B3101" s="6"/>
      <c r="C3101" s="4"/>
      <c r="D3101" s="36">
        <v>224.000554</v>
      </c>
      <c r="E3101" s="4" t="s">
        <v>952</v>
      </c>
      <c r="F3101" s="4"/>
      <c r="G3101" s="4"/>
      <c r="H3101" s="4"/>
      <c r="I3101" s="4"/>
      <c r="J3101" s="18"/>
      <c r="K3101" s="4"/>
      <c r="L3101" s="19"/>
      <c r="M3101" s="20"/>
    </row>
    <row r="3102">
      <c r="A3102" s="6"/>
      <c r="B3102" s="6"/>
      <c r="C3102" s="4"/>
      <c r="D3102" s="36">
        <v>59.411432</v>
      </c>
      <c r="E3102" s="4" t="s">
        <v>587</v>
      </c>
      <c r="F3102" s="4"/>
      <c r="G3102" s="4"/>
      <c r="H3102" s="4"/>
      <c r="I3102" s="4"/>
      <c r="J3102" s="18"/>
      <c r="K3102" s="4"/>
      <c r="L3102" s="19"/>
      <c r="M3102" s="20"/>
    </row>
    <row r="3103">
      <c r="A3103" s="6"/>
      <c r="B3103" s="6"/>
      <c r="C3103" s="4"/>
      <c r="D3103" s="36">
        <v>33.600083</v>
      </c>
      <c r="E3103" s="4" t="s">
        <v>7073</v>
      </c>
      <c r="F3103" s="4"/>
      <c r="G3103" s="4"/>
      <c r="H3103" s="4"/>
      <c r="I3103" s="4"/>
      <c r="J3103" s="18"/>
      <c r="K3103" s="4"/>
      <c r="L3103" s="19"/>
      <c r="M3103" s="20"/>
    </row>
    <row r="3104">
      <c r="A3104" s="6"/>
      <c r="B3104" s="6"/>
      <c r="C3104" s="4"/>
      <c r="D3104" s="36">
        <v>221.807826</v>
      </c>
      <c r="E3104" s="4" t="s">
        <v>8992</v>
      </c>
      <c r="F3104" s="4"/>
      <c r="G3104" s="4"/>
      <c r="H3104" s="4"/>
      <c r="I3104" s="4"/>
      <c r="J3104" s="18"/>
      <c r="K3104" s="4"/>
      <c r="L3104" s="19"/>
      <c r="M3104" s="20"/>
    </row>
    <row r="3105">
      <c r="A3105" s="6"/>
      <c r="B3105" s="6"/>
      <c r="C3105" s="4"/>
      <c r="D3105" s="36">
        <v>198.24049</v>
      </c>
      <c r="E3105" s="4" t="s">
        <v>3887</v>
      </c>
      <c r="F3105" s="4"/>
      <c r="G3105" s="4"/>
      <c r="H3105" s="4"/>
      <c r="I3105" s="4"/>
      <c r="J3105" s="18"/>
      <c r="K3105" s="4"/>
      <c r="L3105" s="19"/>
      <c r="M3105" s="20"/>
    </row>
    <row r="3106">
      <c r="A3106" s="6"/>
      <c r="B3106" s="6"/>
      <c r="C3106" s="4"/>
      <c r="D3106" s="36">
        <v>100.824873</v>
      </c>
      <c r="E3106" s="4" t="s">
        <v>6220</v>
      </c>
      <c r="F3106" s="4"/>
      <c r="G3106" s="4"/>
      <c r="H3106" s="4"/>
      <c r="I3106" s="4"/>
      <c r="J3106" s="18"/>
      <c r="K3106" s="4"/>
      <c r="L3106" s="19"/>
      <c r="M3106" s="20"/>
    </row>
    <row r="3107">
      <c r="A3107" s="6"/>
      <c r="B3107" s="6"/>
      <c r="C3107" s="4"/>
      <c r="D3107" s="36">
        <v>56.980653</v>
      </c>
      <c r="E3107" s="4" t="s">
        <v>8645</v>
      </c>
      <c r="F3107" s="4"/>
      <c r="G3107" s="4"/>
      <c r="H3107" s="4"/>
      <c r="I3107" s="4"/>
      <c r="J3107" s="18"/>
      <c r="K3107" s="4"/>
      <c r="L3107" s="19"/>
      <c r="M3107" s="20"/>
    </row>
    <row r="3108">
      <c r="A3108" s="6"/>
      <c r="B3108" s="6"/>
      <c r="C3108" s="4"/>
      <c r="D3108" s="36">
        <v>65.55443</v>
      </c>
      <c r="E3108" s="4" t="s">
        <v>7491</v>
      </c>
      <c r="F3108" s="4"/>
      <c r="G3108" s="4"/>
      <c r="H3108" s="4"/>
      <c r="I3108" s="4"/>
      <c r="J3108" s="18"/>
      <c r="K3108" s="4"/>
      <c r="L3108" s="19"/>
      <c r="M3108" s="20"/>
    </row>
    <row r="3109">
      <c r="A3109" s="6"/>
      <c r="B3109" s="6"/>
      <c r="C3109" s="4"/>
      <c r="D3109" s="36">
        <v>224.000554</v>
      </c>
      <c r="E3109" s="4" t="s">
        <v>8547</v>
      </c>
      <c r="F3109" s="4"/>
      <c r="G3109" s="4"/>
      <c r="H3109" s="4"/>
      <c r="I3109" s="4"/>
      <c r="J3109" s="18"/>
      <c r="K3109" s="4"/>
      <c r="L3109" s="19"/>
      <c r="M3109" s="20"/>
    </row>
    <row r="3110">
      <c r="A3110" s="6"/>
      <c r="B3110" s="6"/>
      <c r="C3110" s="4"/>
      <c r="D3110" s="36">
        <v>63.324264</v>
      </c>
      <c r="E3110" s="4" t="s">
        <v>8993</v>
      </c>
      <c r="F3110" s="4"/>
      <c r="G3110" s="4"/>
      <c r="H3110" s="4"/>
      <c r="I3110" s="4"/>
      <c r="J3110" s="18"/>
      <c r="K3110" s="4"/>
      <c r="L3110" s="19"/>
      <c r="M3110" s="20"/>
    </row>
    <row r="3111">
      <c r="A3111" s="6"/>
      <c r="B3111" s="6"/>
      <c r="C3111" s="4"/>
      <c r="D3111" s="36">
        <v>112.094163</v>
      </c>
      <c r="E3111" s="4" t="s">
        <v>8994</v>
      </c>
      <c r="F3111" s="4"/>
      <c r="G3111" s="4"/>
      <c r="H3111" s="4"/>
      <c r="I3111" s="4"/>
      <c r="J3111" s="18"/>
      <c r="K3111" s="4"/>
      <c r="L3111" s="19"/>
      <c r="M3111" s="20"/>
    </row>
    <row r="3112">
      <c r="A3112" s="6"/>
      <c r="B3112" s="6"/>
      <c r="C3112" s="4"/>
      <c r="D3112" s="36">
        <v>219.120592</v>
      </c>
      <c r="E3112" s="4" t="s">
        <v>683</v>
      </c>
      <c r="F3112" s="4"/>
      <c r="G3112" s="4"/>
      <c r="H3112" s="4"/>
      <c r="I3112" s="4"/>
      <c r="J3112" s="18"/>
      <c r="K3112" s="4"/>
      <c r="L3112" s="19"/>
      <c r="M3112" s="20"/>
    </row>
    <row r="3113">
      <c r="A3113" s="6"/>
      <c r="B3113" s="6"/>
      <c r="C3113" s="4"/>
      <c r="D3113" s="36">
        <v>56.017514</v>
      </c>
      <c r="E3113" s="4" t="s">
        <v>8995</v>
      </c>
      <c r="F3113" s="4"/>
      <c r="G3113" s="4"/>
      <c r="H3113" s="4"/>
      <c r="I3113" s="4"/>
      <c r="J3113" s="18"/>
      <c r="K3113" s="4"/>
      <c r="L3113" s="19"/>
      <c r="M3113" s="20"/>
    </row>
    <row r="3114">
      <c r="A3114" s="6"/>
      <c r="B3114" s="6"/>
      <c r="C3114" s="4"/>
      <c r="D3114" s="36">
        <v>224.000554</v>
      </c>
      <c r="E3114" s="4" t="s">
        <v>8996</v>
      </c>
      <c r="F3114" s="4"/>
      <c r="G3114" s="4"/>
      <c r="H3114" s="4"/>
      <c r="I3114" s="4"/>
      <c r="J3114" s="18"/>
      <c r="K3114" s="4"/>
      <c r="L3114" s="19"/>
      <c r="M3114" s="20"/>
    </row>
    <row r="3115">
      <c r="A3115" s="6"/>
      <c r="B3115" s="6"/>
      <c r="C3115" s="4"/>
      <c r="D3115" s="36">
        <v>104.744523</v>
      </c>
      <c r="E3115" s="4" t="s">
        <v>2762</v>
      </c>
      <c r="F3115" s="4"/>
      <c r="G3115" s="4"/>
      <c r="H3115" s="4"/>
      <c r="I3115" s="4"/>
      <c r="J3115" s="18"/>
      <c r="K3115" s="4"/>
      <c r="L3115" s="19"/>
      <c r="M3115" s="20"/>
    </row>
    <row r="3116">
      <c r="A3116" s="6"/>
      <c r="B3116" s="6"/>
      <c r="C3116" s="4"/>
      <c r="D3116" s="36">
        <v>224.000554</v>
      </c>
      <c r="E3116" s="4" t="s">
        <v>8997</v>
      </c>
      <c r="F3116" s="4"/>
      <c r="G3116" s="4"/>
      <c r="H3116" s="4"/>
      <c r="I3116" s="4"/>
      <c r="J3116" s="18"/>
      <c r="K3116" s="4"/>
      <c r="L3116" s="19"/>
      <c r="M3116" s="20"/>
    </row>
    <row r="3117">
      <c r="A3117" s="6"/>
      <c r="B3117" s="6"/>
      <c r="C3117" s="4"/>
      <c r="D3117" s="36">
        <v>224.000554</v>
      </c>
      <c r="E3117" s="4" t="s">
        <v>8998</v>
      </c>
      <c r="F3117" s="4"/>
      <c r="G3117" s="4"/>
      <c r="H3117" s="4"/>
      <c r="I3117" s="4"/>
      <c r="J3117" s="18"/>
      <c r="K3117" s="4"/>
      <c r="L3117" s="19"/>
      <c r="M3117" s="20"/>
    </row>
    <row r="3118">
      <c r="A3118" s="6"/>
      <c r="B3118" s="6"/>
      <c r="C3118" s="4"/>
      <c r="D3118" s="36">
        <v>30.597206</v>
      </c>
      <c r="E3118" s="4" t="s">
        <v>5124</v>
      </c>
      <c r="F3118" s="4"/>
      <c r="G3118" s="4"/>
      <c r="H3118" s="4"/>
      <c r="I3118" s="4"/>
      <c r="J3118" s="18"/>
      <c r="K3118" s="4"/>
      <c r="L3118" s="19"/>
      <c r="M3118" s="20"/>
    </row>
    <row r="3119">
      <c r="A3119" s="6"/>
      <c r="B3119" s="6"/>
      <c r="C3119" s="4"/>
      <c r="D3119" s="36">
        <v>224.000554</v>
      </c>
      <c r="E3119" s="4" t="s">
        <v>8999</v>
      </c>
      <c r="F3119" s="4"/>
      <c r="G3119" s="4"/>
      <c r="H3119" s="4"/>
      <c r="I3119" s="4"/>
      <c r="J3119" s="18"/>
      <c r="K3119" s="4"/>
      <c r="L3119" s="19"/>
      <c r="M3119" s="20"/>
    </row>
    <row r="3120">
      <c r="A3120" s="6"/>
      <c r="B3120" s="6"/>
      <c r="C3120" s="4"/>
      <c r="D3120" s="36">
        <v>201.442182</v>
      </c>
      <c r="E3120" s="4" t="s">
        <v>8694</v>
      </c>
      <c r="F3120" s="4"/>
      <c r="G3120" s="4"/>
      <c r="H3120" s="4"/>
      <c r="I3120" s="4"/>
      <c r="J3120" s="18"/>
      <c r="K3120" s="4"/>
      <c r="L3120" s="19"/>
      <c r="M3120" s="20"/>
    </row>
    <row r="3121">
      <c r="A3121" s="6"/>
      <c r="B3121" s="6"/>
      <c r="C3121" s="4"/>
      <c r="D3121" s="36">
        <v>224.000554</v>
      </c>
      <c r="E3121" s="4" t="s">
        <v>8698</v>
      </c>
      <c r="F3121" s="4"/>
      <c r="G3121" s="4"/>
      <c r="H3121" s="4"/>
      <c r="I3121" s="4"/>
      <c r="J3121" s="18"/>
      <c r="K3121" s="4"/>
      <c r="L3121" s="19"/>
      <c r="M3121" s="20"/>
    </row>
    <row r="3122">
      <c r="A3122" s="6"/>
      <c r="B3122" s="6"/>
      <c r="C3122" s="4"/>
      <c r="D3122" s="36">
        <v>224.000554</v>
      </c>
      <c r="E3122" s="4" t="s">
        <v>966</v>
      </c>
      <c r="F3122" s="4"/>
      <c r="G3122" s="4"/>
      <c r="H3122" s="4"/>
      <c r="I3122" s="4"/>
      <c r="J3122" s="18"/>
      <c r="K3122" s="4"/>
      <c r="L3122" s="19"/>
      <c r="M3122" s="20"/>
    </row>
    <row r="3123">
      <c r="A3123" s="6"/>
      <c r="B3123" s="6"/>
      <c r="C3123" s="4"/>
      <c r="D3123" s="36">
        <v>33.603133</v>
      </c>
      <c r="E3123" s="4" t="s">
        <v>1066</v>
      </c>
      <c r="F3123" s="4"/>
      <c r="G3123" s="4"/>
      <c r="H3123" s="4"/>
      <c r="I3123" s="4"/>
      <c r="J3123" s="18"/>
      <c r="K3123" s="4"/>
      <c r="L3123" s="19"/>
      <c r="M3123" s="20"/>
    </row>
    <row r="3124">
      <c r="A3124" s="6"/>
      <c r="B3124" s="6"/>
      <c r="C3124" s="4"/>
      <c r="D3124" s="36">
        <v>97.846778</v>
      </c>
      <c r="E3124" s="4" t="s">
        <v>1154</v>
      </c>
      <c r="F3124" s="4"/>
      <c r="G3124" s="4"/>
      <c r="H3124" s="4"/>
      <c r="I3124" s="4"/>
      <c r="J3124" s="18"/>
      <c r="K3124" s="4"/>
      <c r="L3124" s="19"/>
      <c r="M3124" s="20"/>
    </row>
    <row r="3125">
      <c r="A3125" s="6"/>
      <c r="B3125" s="6"/>
      <c r="C3125" s="4"/>
      <c r="D3125" s="36">
        <v>224.000554</v>
      </c>
      <c r="E3125" s="4" t="s">
        <v>367</v>
      </c>
      <c r="F3125" s="4"/>
      <c r="G3125" s="4"/>
      <c r="H3125" s="4"/>
      <c r="I3125" s="4"/>
      <c r="J3125" s="18"/>
      <c r="K3125" s="4"/>
      <c r="L3125" s="19"/>
      <c r="M3125" s="20"/>
    </row>
    <row r="3126">
      <c r="A3126" s="6"/>
      <c r="B3126" s="6"/>
      <c r="C3126" s="4"/>
      <c r="D3126" s="36">
        <v>96.778499</v>
      </c>
      <c r="E3126" s="4" t="s">
        <v>9000</v>
      </c>
      <c r="F3126" s="4"/>
      <c r="G3126" s="4"/>
      <c r="H3126" s="4"/>
      <c r="I3126" s="4"/>
      <c r="J3126" s="18"/>
      <c r="K3126" s="4"/>
      <c r="L3126" s="19"/>
      <c r="M3126" s="20"/>
    </row>
    <row r="3127">
      <c r="A3127" s="6"/>
      <c r="B3127" s="6"/>
      <c r="C3127" s="4"/>
      <c r="D3127" s="36">
        <v>77.806694</v>
      </c>
      <c r="E3127" s="4" t="s">
        <v>9001</v>
      </c>
      <c r="F3127" s="4"/>
      <c r="G3127" s="4"/>
      <c r="H3127" s="4"/>
      <c r="I3127" s="4"/>
      <c r="J3127" s="18"/>
      <c r="K3127" s="4"/>
      <c r="L3127" s="19"/>
      <c r="M3127" s="20"/>
    </row>
    <row r="3128">
      <c r="A3128" s="6"/>
      <c r="B3128" s="6"/>
      <c r="C3128" s="4"/>
      <c r="D3128" s="36">
        <v>224.000554</v>
      </c>
      <c r="E3128" s="4" t="s">
        <v>8701</v>
      </c>
      <c r="F3128" s="4"/>
      <c r="G3128" s="4"/>
      <c r="H3128" s="4"/>
      <c r="I3128" s="4"/>
      <c r="J3128" s="18"/>
      <c r="K3128" s="4"/>
      <c r="L3128" s="19"/>
      <c r="M3128" s="20"/>
    </row>
    <row r="3129">
      <c r="A3129" s="6"/>
      <c r="B3129" s="6"/>
      <c r="C3129" s="4"/>
      <c r="D3129" s="36">
        <v>67.443487</v>
      </c>
      <c r="E3129" s="4" t="s">
        <v>7910</v>
      </c>
      <c r="F3129" s="4"/>
      <c r="G3129" s="4"/>
      <c r="H3129" s="4"/>
      <c r="I3129" s="4"/>
      <c r="J3129" s="18"/>
      <c r="K3129" s="4"/>
      <c r="L3129" s="19"/>
      <c r="M3129" s="20"/>
    </row>
    <row r="3130">
      <c r="A3130" s="6"/>
      <c r="B3130" s="6"/>
      <c r="C3130" s="4"/>
      <c r="D3130" s="36">
        <v>224.000554</v>
      </c>
      <c r="E3130" s="4" t="s">
        <v>977</v>
      </c>
      <c r="F3130" s="4"/>
      <c r="G3130" s="4"/>
      <c r="H3130" s="4"/>
      <c r="I3130" s="4"/>
      <c r="J3130" s="18"/>
      <c r="K3130" s="4"/>
      <c r="L3130" s="19"/>
      <c r="M3130" s="20"/>
    </row>
    <row r="3131">
      <c r="A3131" s="6"/>
      <c r="B3131" s="6"/>
      <c r="C3131" s="4"/>
      <c r="D3131" s="36">
        <v>145.825412</v>
      </c>
      <c r="E3131" s="4" t="s">
        <v>1524</v>
      </c>
      <c r="F3131" s="4"/>
      <c r="G3131" s="4"/>
      <c r="H3131" s="4"/>
      <c r="I3131" s="4"/>
      <c r="J3131" s="18"/>
      <c r="K3131" s="4"/>
      <c r="L3131" s="19"/>
      <c r="M3131" s="20"/>
    </row>
    <row r="3132">
      <c r="A3132" s="6"/>
      <c r="B3132" s="6"/>
      <c r="C3132" s="4"/>
      <c r="D3132" s="36">
        <v>33.600083</v>
      </c>
      <c r="E3132" s="4" t="s">
        <v>5479</v>
      </c>
      <c r="F3132" s="4"/>
      <c r="G3132" s="4"/>
      <c r="H3132" s="4"/>
      <c r="I3132" s="4"/>
      <c r="J3132" s="18"/>
      <c r="K3132" s="4"/>
      <c r="L3132" s="19"/>
      <c r="M3132" s="20"/>
    </row>
    <row r="3133">
      <c r="A3133" s="6"/>
      <c r="B3133" s="6"/>
      <c r="C3133" s="4"/>
      <c r="D3133" s="36">
        <v>63.111148</v>
      </c>
      <c r="E3133" s="4" t="s">
        <v>6717</v>
      </c>
      <c r="F3133" s="4"/>
      <c r="G3133" s="4"/>
      <c r="H3133" s="4"/>
      <c r="I3133" s="4"/>
      <c r="J3133" s="18"/>
      <c r="K3133" s="4"/>
      <c r="L3133" s="19"/>
      <c r="M3133" s="20"/>
    </row>
    <row r="3134">
      <c r="A3134" s="6"/>
      <c r="B3134" s="6"/>
      <c r="C3134" s="4"/>
      <c r="D3134" s="36">
        <v>74.898184</v>
      </c>
      <c r="E3134" s="4" t="s">
        <v>2156</v>
      </c>
      <c r="F3134" s="4"/>
      <c r="G3134" s="4"/>
      <c r="H3134" s="4"/>
      <c r="I3134" s="4"/>
      <c r="J3134" s="18"/>
      <c r="K3134" s="4"/>
      <c r="L3134" s="19"/>
      <c r="M3134" s="20"/>
    </row>
    <row r="3135">
      <c r="A3135" s="6"/>
      <c r="B3135" s="6"/>
      <c r="C3135" s="4"/>
      <c r="D3135" s="36">
        <v>52.019485</v>
      </c>
      <c r="E3135" s="4" t="s">
        <v>9002</v>
      </c>
      <c r="F3135" s="4"/>
      <c r="G3135" s="4"/>
      <c r="H3135" s="4"/>
      <c r="I3135" s="4"/>
      <c r="J3135" s="18"/>
      <c r="K3135" s="4"/>
      <c r="L3135" s="19"/>
      <c r="M3135" s="20"/>
    </row>
    <row r="3136">
      <c r="A3136" s="6"/>
      <c r="B3136" s="6"/>
      <c r="C3136" s="4"/>
      <c r="D3136" s="36">
        <v>25.241133</v>
      </c>
      <c r="E3136" s="4" t="s">
        <v>9003</v>
      </c>
      <c r="F3136" s="4"/>
      <c r="G3136" s="4"/>
      <c r="H3136" s="4"/>
      <c r="I3136" s="4"/>
      <c r="J3136" s="18"/>
      <c r="K3136" s="4"/>
      <c r="L3136" s="19"/>
      <c r="M3136" s="20"/>
    </row>
    <row r="3137">
      <c r="A3137" s="6"/>
      <c r="B3137" s="6"/>
      <c r="C3137" s="4"/>
      <c r="D3137" s="36">
        <v>89.600221</v>
      </c>
      <c r="E3137" s="4" t="s">
        <v>8630</v>
      </c>
      <c r="F3137" s="4"/>
      <c r="G3137" s="4"/>
      <c r="H3137" s="4"/>
      <c r="I3137" s="4"/>
      <c r="J3137" s="18"/>
      <c r="K3137" s="4"/>
      <c r="L3137" s="19"/>
      <c r="M3137" s="20"/>
    </row>
    <row r="3138">
      <c r="A3138" s="6"/>
      <c r="B3138" s="6"/>
      <c r="C3138" s="4"/>
      <c r="D3138" s="36">
        <v>97.888495</v>
      </c>
      <c r="E3138" s="4" t="s">
        <v>1495</v>
      </c>
      <c r="F3138" s="4"/>
      <c r="G3138" s="4"/>
      <c r="H3138" s="4"/>
      <c r="I3138" s="4"/>
      <c r="J3138" s="18"/>
      <c r="K3138" s="4"/>
      <c r="L3138" s="19"/>
      <c r="M3138" s="20"/>
    </row>
    <row r="3139">
      <c r="A3139" s="6"/>
      <c r="B3139" s="6"/>
      <c r="C3139" s="4"/>
      <c r="D3139" s="36">
        <v>224.000554</v>
      </c>
      <c r="E3139" s="4" t="s">
        <v>135</v>
      </c>
      <c r="F3139" s="4"/>
      <c r="G3139" s="4"/>
      <c r="H3139" s="4"/>
      <c r="I3139" s="4"/>
      <c r="J3139" s="18"/>
      <c r="K3139" s="4"/>
      <c r="L3139" s="19"/>
      <c r="M3139" s="20"/>
    </row>
    <row r="3140">
      <c r="A3140" s="6"/>
      <c r="B3140" s="6"/>
      <c r="C3140" s="4"/>
      <c r="D3140" s="36">
        <v>135.039302</v>
      </c>
      <c r="E3140" s="4" t="s">
        <v>9004</v>
      </c>
      <c r="F3140" s="4"/>
      <c r="G3140" s="4"/>
      <c r="H3140" s="4"/>
      <c r="I3140" s="4"/>
      <c r="J3140" s="18"/>
      <c r="K3140" s="4"/>
      <c r="L3140" s="19"/>
      <c r="M3140" s="20"/>
    </row>
    <row r="3141">
      <c r="A3141" s="6"/>
      <c r="B3141" s="6"/>
      <c r="C3141" s="4"/>
      <c r="D3141" s="36">
        <v>224.000554</v>
      </c>
      <c r="E3141" s="4" t="s">
        <v>9005</v>
      </c>
      <c r="F3141" s="4"/>
      <c r="G3141" s="4"/>
      <c r="H3141" s="4"/>
      <c r="I3141" s="4"/>
      <c r="J3141" s="18"/>
      <c r="K3141" s="4"/>
      <c r="L3141" s="19"/>
      <c r="M3141" s="20"/>
    </row>
    <row r="3142">
      <c r="A3142" s="6"/>
      <c r="B3142" s="6"/>
      <c r="C3142" s="4"/>
      <c r="D3142" s="36">
        <v>120.87151</v>
      </c>
      <c r="E3142" s="4" t="s">
        <v>9006</v>
      </c>
      <c r="F3142" s="4"/>
      <c r="G3142" s="4"/>
      <c r="H3142" s="4"/>
      <c r="I3142" s="4"/>
      <c r="J3142" s="18"/>
      <c r="K3142" s="4"/>
      <c r="L3142" s="19"/>
      <c r="M3142" s="20"/>
    </row>
    <row r="3143">
      <c r="A3143" s="6"/>
      <c r="B3143" s="6"/>
      <c r="C3143" s="4"/>
      <c r="D3143" s="36">
        <v>33.152532</v>
      </c>
      <c r="E3143" s="4" t="s">
        <v>9007</v>
      </c>
      <c r="F3143" s="4"/>
      <c r="G3143" s="4"/>
      <c r="H3143" s="4"/>
      <c r="I3143" s="4"/>
      <c r="J3143" s="18"/>
      <c r="K3143" s="4"/>
      <c r="L3143" s="19"/>
      <c r="M3143" s="20"/>
    </row>
    <row r="3144">
      <c r="A3144" s="6"/>
      <c r="B3144" s="6"/>
      <c r="C3144" s="4"/>
      <c r="D3144" s="36">
        <v>224.000554</v>
      </c>
      <c r="E3144" s="4" t="s">
        <v>9008</v>
      </c>
      <c r="F3144" s="4"/>
      <c r="G3144" s="4"/>
      <c r="H3144" s="4"/>
      <c r="I3144" s="4"/>
      <c r="J3144" s="18"/>
      <c r="K3144" s="4"/>
      <c r="L3144" s="19"/>
      <c r="M3144" s="20"/>
    </row>
    <row r="3145">
      <c r="A3145" s="6"/>
      <c r="B3145" s="6"/>
      <c r="C3145" s="4"/>
      <c r="D3145" s="36">
        <v>79.277098</v>
      </c>
      <c r="E3145" s="4" t="s">
        <v>475</v>
      </c>
      <c r="F3145" s="4"/>
      <c r="G3145" s="4"/>
      <c r="H3145" s="4"/>
      <c r="I3145" s="4"/>
      <c r="J3145" s="18"/>
      <c r="K3145" s="4"/>
      <c r="L3145" s="19"/>
      <c r="M3145" s="20"/>
    </row>
    <row r="3146">
      <c r="A3146" s="6"/>
      <c r="B3146" s="6"/>
      <c r="C3146" s="4"/>
      <c r="D3146" s="36">
        <v>37.34686</v>
      </c>
      <c r="E3146" s="4" t="s">
        <v>3239</v>
      </c>
      <c r="F3146" s="4"/>
      <c r="G3146" s="4"/>
      <c r="H3146" s="4"/>
      <c r="I3146" s="4"/>
      <c r="J3146" s="18"/>
      <c r="K3146" s="4"/>
      <c r="L3146" s="19"/>
      <c r="M3146" s="20"/>
    </row>
    <row r="3147">
      <c r="A3147" s="6"/>
      <c r="B3147" s="6"/>
      <c r="C3147" s="4"/>
      <c r="D3147" s="36">
        <v>143.391666</v>
      </c>
      <c r="E3147" s="4" t="s">
        <v>31</v>
      </c>
      <c r="F3147" s="4"/>
      <c r="G3147" s="4"/>
      <c r="H3147" s="4"/>
      <c r="I3147" s="4"/>
      <c r="J3147" s="18"/>
      <c r="K3147" s="4"/>
      <c r="L3147" s="19"/>
      <c r="M3147" s="20"/>
    </row>
    <row r="3148">
      <c r="A3148" s="6"/>
      <c r="B3148" s="6"/>
      <c r="C3148" s="4"/>
      <c r="D3148" s="36">
        <v>194.68765</v>
      </c>
      <c r="E3148" s="4" t="s">
        <v>1639</v>
      </c>
      <c r="F3148" s="4"/>
      <c r="G3148" s="4"/>
      <c r="H3148" s="4"/>
      <c r="I3148" s="4"/>
      <c r="J3148" s="18"/>
      <c r="K3148" s="4"/>
      <c r="L3148" s="19"/>
      <c r="M3148" s="20"/>
    </row>
    <row r="3149">
      <c r="A3149" s="6"/>
      <c r="B3149" s="6"/>
      <c r="C3149" s="4"/>
      <c r="D3149" s="36">
        <v>200.402386</v>
      </c>
      <c r="E3149" s="4" t="s">
        <v>534</v>
      </c>
      <c r="F3149" s="4"/>
      <c r="G3149" s="4"/>
      <c r="H3149" s="4"/>
      <c r="I3149" s="4"/>
      <c r="J3149" s="18"/>
      <c r="K3149" s="4"/>
      <c r="L3149" s="19"/>
      <c r="M3149" s="20"/>
    </row>
    <row r="3150">
      <c r="A3150" s="6"/>
      <c r="B3150" s="6"/>
      <c r="C3150" s="4"/>
      <c r="D3150" s="36">
        <v>224.000554</v>
      </c>
      <c r="E3150" s="4" t="s">
        <v>1121</v>
      </c>
      <c r="F3150" s="4"/>
      <c r="G3150" s="4"/>
      <c r="H3150" s="4"/>
      <c r="I3150" s="4"/>
      <c r="J3150" s="18"/>
      <c r="K3150" s="4"/>
      <c r="L3150" s="19"/>
      <c r="M3150" s="20"/>
    </row>
    <row r="3151">
      <c r="A3151" s="6"/>
      <c r="B3151" s="6"/>
      <c r="C3151" s="4"/>
      <c r="D3151" s="36">
        <v>111.386574</v>
      </c>
      <c r="E3151" s="4" t="s">
        <v>554</v>
      </c>
      <c r="F3151" s="4"/>
      <c r="G3151" s="4"/>
      <c r="H3151" s="4"/>
      <c r="I3151" s="4"/>
      <c r="J3151" s="18"/>
      <c r="K3151" s="4"/>
      <c r="L3151" s="19"/>
      <c r="M3151" s="20"/>
    </row>
    <row r="3152">
      <c r="A3152" s="6"/>
      <c r="B3152" s="6"/>
      <c r="C3152" s="4"/>
      <c r="D3152" s="36">
        <v>92.199412</v>
      </c>
      <c r="E3152" s="4" t="s">
        <v>929</v>
      </c>
      <c r="F3152" s="4"/>
      <c r="G3152" s="4"/>
      <c r="H3152" s="4"/>
      <c r="I3152" s="4"/>
      <c r="J3152" s="18"/>
      <c r="K3152" s="4"/>
      <c r="L3152" s="19"/>
      <c r="M3152" s="20"/>
    </row>
    <row r="3153">
      <c r="A3153" s="6"/>
      <c r="B3153" s="6"/>
      <c r="C3153" s="4"/>
      <c r="D3153" s="36">
        <v>35.191984</v>
      </c>
      <c r="E3153" s="4" t="s">
        <v>338</v>
      </c>
      <c r="F3153" s="4"/>
      <c r="G3153" s="4"/>
      <c r="H3153" s="4"/>
      <c r="I3153" s="4"/>
      <c r="J3153" s="18"/>
      <c r="K3153" s="4"/>
      <c r="L3153" s="19"/>
      <c r="M3153" s="20"/>
    </row>
    <row r="3154">
      <c r="A3154" s="6"/>
      <c r="B3154" s="6"/>
      <c r="C3154" s="4"/>
      <c r="D3154" s="36">
        <v>220.476437</v>
      </c>
      <c r="E3154" s="4" t="s">
        <v>9009</v>
      </c>
      <c r="F3154" s="4"/>
      <c r="G3154" s="4"/>
      <c r="H3154" s="4"/>
      <c r="I3154" s="4"/>
      <c r="J3154" s="18"/>
      <c r="K3154" s="4"/>
      <c r="L3154" s="19"/>
      <c r="M3154" s="20"/>
    </row>
    <row r="3155">
      <c r="A3155" s="6"/>
      <c r="B3155" s="6"/>
      <c r="C3155" s="4"/>
      <c r="D3155" s="36">
        <v>82.665564</v>
      </c>
      <c r="E3155" s="4" t="s">
        <v>5818</v>
      </c>
      <c r="F3155" s="4"/>
      <c r="G3155" s="4"/>
      <c r="H3155" s="4"/>
      <c r="I3155" s="4"/>
      <c r="J3155" s="18"/>
      <c r="K3155" s="4"/>
      <c r="L3155" s="19"/>
      <c r="M3155" s="20"/>
    </row>
    <row r="3156">
      <c r="A3156" s="6"/>
      <c r="B3156" s="6"/>
      <c r="C3156" s="4"/>
      <c r="D3156" s="36">
        <v>71.133114</v>
      </c>
      <c r="E3156" s="4" t="s">
        <v>8685</v>
      </c>
      <c r="F3156" s="4"/>
      <c r="G3156" s="4"/>
      <c r="H3156" s="4"/>
      <c r="I3156" s="4"/>
      <c r="J3156" s="18"/>
      <c r="K3156" s="4"/>
      <c r="L3156" s="19"/>
      <c r="M3156" s="20"/>
    </row>
    <row r="3157">
      <c r="A3157" s="6"/>
      <c r="B3157" s="6"/>
      <c r="C3157" s="4"/>
      <c r="D3157" s="36">
        <v>224.000554</v>
      </c>
      <c r="E3157" s="4" t="s">
        <v>9010</v>
      </c>
      <c r="F3157" s="4"/>
      <c r="G3157" s="4"/>
      <c r="H3157" s="4"/>
      <c r="I3157" s="4"/>
      <c r="J3157" s="18"/>
      <c r="K3157" s="4"/>
      <c r="L3157" s="19"/>
      <c r="M3157" s="20"/>
    </row>
    <row r="3158">
      <c r="A3158" s="6"/>
      <c r="B3158" s="6"/>
      <c r="C3158" s="4"/>
      <c r="D3158" s="36">
        <v>224.000554</v>
      </c>
      <c r="E3158" s="4" t="s">
        <v>673</v>
      </c>
      <c r="F3158" s="4"/>
      <c r="G3158" s="4"/>
      <c r="H3158" s="4"/>
      <c r="I3158" s="4"/>
      <c r="J3158" s="18"/>
      <c r="K3158" s="4"/>
      <c r="L3158" s="19"/>
      <c r="M3158" s="20"/>
    </row>
    <row r="3159">
      <c r="A3159" s="6"/>
      <c r="B3159" s="6"/>
      <c r="C3159" s="4"/>
      <c r="D3159" s="36">
        <v>224.000554</v>
      </c>
      <c r="E3159" s="4" t="s">
        <v>4576</v>
      </c>
      <c r="F3159" s="4"/>
      <c r="G3159" s="4"/>
      <c r="H3159" s="4"/>
      <c r="I3159" s="4"/>
      <c r="J3159" s="18"/>
      <c r="K3159" s="4"/>
      <c r="L3159" s="19"/>
      <c r="M3159" s="20"/>
    </row>
    <row r="3160">
      <c r="A3160" s="6"/>
      <c r="B3160" s="6"/>
      <c r="C3160" s="4"/>
      <c r="D3160" s="36">
        <v>198.97044</v>
      </c>
      <c r="E3160" s="4" t="s">
        <v>2981</v>
      </c>
      <c r="F3160" s="4"/>
      <c r="G3160" s="4"/>
      <c r="H3160" s="4"/>
      <c r="I3160" s="4"/>
      <c r="J3160" s="18"/>
      <c r="K3160" s="4"/>
      <c r="L3160" s="19"/>
      <c r="M3160" s="20"/>
    </row>
    <row r="3161">
      <c r="A3161" s="6"/>
      <c r="B3161" s="6"/>
      <c r="C3161" s="4"/>
      <c r="D3161" s="36">
        <v>91.74141</v>
      </c>
      <c r="E3161" s="4" t="s">
        <v>834</v>
      </c>
      <c r="F3161" s="4"/>
      <c r="G3161" s="4"/>
      <c r="H3161" s="4"/>
      <c r="I3161" s="4"/>
      <c r="J3161" s="18"/>
      <c r="K3161" s="4"/>
      <c r="L3161" s="19"/>
      <c r="M3161" s="20"/>
    </row>
    <row r="3162">
      <c r="A3162" s="6"/>
      <c r="B3162" s="6"/>
      <c r="C3162" s="4"/>
      <c r="D3162" s="36">
        <v>224.000554</v>
      </c>
      <c r="E3162" s="4" t="s">
        <v>9011</v>
      </c>
      <c r="F3162" s="4"/>
      <c r="G3162" s="4"/>
      <c r="H3162" s="4"/>
      <c r="I3162" s="4"/>
      <c r="J3162" s="18"/>
      <c r="K3162" s="4"/>
      <c r="L3162" s="19"/>
      <c r="M3162" s="20"/>
    </row>
    <row r="3163">
      <c r="A3163" s="6"/>
      <c r="B3163" s="6"/>
      <c r="C3163" s="4"/>
      <c r="D3163" s="36">
        <v>11.135972</v>
      </c>
      <c r="E3163" s="4" t="s">
        <v>9012</v>
      </c>
      <c r="F3163" s="4"/>
      <c r="G3163" s="4"/>
      <c r="H3163" s="4"/>
      <c r="I3163" s="4"/>
      <c r="J3163" s="18"/>
      <c r="K3163" s="4"/>
      <c r="L3163" s="19"/>
      <c r="M3163" s="20"/>
    </row>
    <row r="3164">
      <c r="A3164" s="6"/>
      <c r="B3164" s="6"/>
      <c r="C3164" s="4"/>
      <c r="D3164" s="36">
        <v>44.060319</v>
      </c>
      <c r="E3164" s="4" t="s">
        <v>8640</v>
      </c>
      <c r="F3164" s="4"/>
      <c r="G3164" s="4"/>
      <c r="H3164" s="4"/>
      <c r="I3164" s="4"/>
      <c r="J3164" s="18"/>
      <c r="K3164" s="4"/>
      <c r="L3164" s="19"/>
      <c r="M3164" s="20"/>
    </row>
    <row r="3165">
      <c r="A3165" s="6"/>
      <c r="B3165" s="6"/>
      <c r="C3165" s="4"/>
      <c r="D3165" s="36">
        <v>224.000554</v>
      </c>
      <c r="E3165" s="4" t="s">
        <v>1241</v>
      </c>
      <c r="F3165" s="4"/>
      <c r="G3165" s="4"/>
      <c r="H3165" s="4"/>
      <c r="I3165" s="4"/>
      <c r="J3165" s="18"/>
      <c r="K3165" s="4"/>
      <c r="L3165" s="19"/>
      <c r="M3165" s="20"/>
    </row>
    <row r="3166">
      <c r="A3166" s="6"/>
      <c r="B3166" s="6"/>
      <c r="C3166" s="4"/>
      <c r="D3166" s="36">
        <v>224.000554</v>
      </c>
      <c r="E3166" s="4" t="s">
        <v>9013</v>
      </c>
      <c r="F3166" s="4"/>
      <c r="G3166" s="4"/>
      <c r="H3166" s="4"/>
      <c r="I3166" s="4"/>
      <c r="J3166" s="18"/>
      <c r="K3166" s="4"/>
      <c r="L3166" s="19"/>
      <c r="M3166" s="20"/>
    </row>
    <row r="3167">
      <c r="A3167" s="6"/>
      <c r="B3167" s="6"/>
      <c r="C3167" s="4"/>
      <c r="D3167" s="36">
        <v>68.568753</v>
      </c>
      <c r="E3167" s="4" t="s">
        <v>8726</v>
      </c>
      <c r="F3167" s="4"/>
      <c r="G3167" s="4"/>
      <c r="H3167" s="4"/>
      <c r="I3167" s="4"/>
      <c r="J3167" s="18"/>
      <c r="K3167" s="4"/>
      <c r="L3167" s="19"/>
      <c r="M3167" s="20"/>
    </row>
    <row r="3168">
      <c r="A3168" s="6"/>
      <c r="B3168" s="6"/>
      <c r="C3168" s="4"/>
      <c r="D3168" s="36">
        <v>56.449098</v>
      </c>
      <c r="E3168" s="4" t="s">
        <v>9014</v>
      </c>
      <c r="F3168" s="4"/>
      <c r="G3168" s="4"/>
      <c r="H3168" s="4"/>
      <c r="I3168" s="4"/>
      <c r="J3168" s="18"/>
      <c r="K3168" s="4"/>
      <c r="L3168" s="19"/>
      <c r="M3168" s="20"/>
    </row>
    <row r="3169">
      <c r="A3169" s="6"/>
      <c r="B3169" s="6"/>
      <c r="C3169" s="4"/>
      <c r="D3169" s="36">
        <v>33.609926</v>
      </c>
      <c r="E3169" s="4" t="s">
        <v>7066</v>
      </c>
      <c r="F3169" s="4"/>
      <c r="G3169" s="4"/>
      <c r="H3169" s="4"/>
      <c r="I3169" s="4"/>
      <c r="J3169" s="18"/>
      <c r="K3169" s="4"/>
      <c r="L3169" s="19"/>
      <c r="M3169" s="20"/>
    </row>
    <row r="3170">
      <c r="A3170" s="6"/>
      <c r="B3170" s="6"/>
      <c r="C3170" s="4"/>
      <c r="D3170" s="36">
        <v>102.928114</v>
      </c>
      <c r="E3170" s="4" t="s">
        <v>5278</v>
      </c>
      <c r="F3170" s="4"/>
      <c r="G3170" s="4"/>
      <c r="H3170" s="4"/>
      <c r="I3170" s="4"/>
      <c r="J3170" s="18"/>
      <c r="K3170" s="4"/>
      <c r="L3170" s="19"/>
      <c r="M3170" s="20"/>
    </row>
    <row r="3171">
      <c r="A3171" s="6"/>
      <c r="B3171" s="6"/>
      <c r="C3171" s="4"/>
      <c r="D3171" s="36">
        <v>76.97804</v>
      </c>
      <c r="E3171" s="4" t="s">
        <v>107</v>
      </c>
      <c r="F3171" s="4"/>
      <c r="G3171" s="4"/>
      <c r="H3171" s="4"/>
      <c r="I3171" s="4"/>
      <c r="J3171" s="18"/>
      <c r="K3171" s="4"/>
      <c r="L3171" s="19"/>
      <c r="M3171" s="20"/>
    </row>
    <row r="3172">
      <c r="A3172" s="6"/>
      <c r="B3172" s="6"/>
      <c r="C3172" s="4"/>
      <c r="D3172" s="36">
        <v>56.000138</v>
      </c>
      <c r="E3172" s="4" t="s">
        <v>8321</v>
      </c>
      <c r="F3172" s="4"/>
      <c r="G3172" s="4"/>
      <c r="H3172" s="4"/>
      <c r="I3172" s="4"/>
      <c r="J3172" s="18"/>
      <c r="K3172" s="4"/>
      <c r="L3172" s="19"/>
      <c r="M3172" s="20"/>
    </row>
    <row r="3173">
      <c r="A3173" s="6"/>
      <c r="B3173" s="6"/>
      <c r="C3173" s="4"/>
      <c r="D3173" s="36">
        <v>224.000554</v>
      </c>
      <c r="E3173" s="4" t="s">
        <v>9015</v>
      </c>
      <c r="F3173" s="4"/>
      <c r="G3173" s="4"/>
      <c r="H3173" s="4"/>
      <c r="I3173" s="4"/>
      <c r="J3173" s="18"/>
      <c r="K3173" s="4"/>
      <c r="L3173" s="19"/>
      <c r="M3173" s="20"/>
    </row>
    <row r="3174">
      <c r="A3174" s="6"/>
      <c r="B3174" s="6"/>
      <c r="C3174" s="4"/>
      <c r="D3174" s="36">
        <v>224.000554</v>
      </c>
      <c r="E3174" s="4" t="s">
        <v>7465</v>
      </c>
      <c r="F3174" s="4"/>
      <c r="G3174" s="4"/>
      <c r="H3174" s="4"/>
      <c r="I3174" s="4"/>
      <c r="J3174" s="18"/>
      <c r="K3174" s="4"/>
      <c r="L3174" s="19"/>
      <c r="M3174" s="20"/>
    </row>
    <row r="3175">
      <c r="A3175" s="6"/>
      <c r="B3175" s="6"/>
      <c r="C3175" s="4"/>
      <c r="D3175" s="36">
        <v>150.080371</v>
      </c>
      <c r="E3175" s="4" t="s">
        <v>9016</v>
      </c>
      <c r="F3175" s="4"/>
      <c r="G3175" s="4"/>
      <c r="H3175" s="4"/>
      <c r="I3175" s="4"/>
      <c r="J3175" s="18"/>
      <c r="K3175" s="4"/>
      <c r="L3175" s="19"/>
      <c r="M3175" s="20"/>
    </row>
    <row r="3176">
      <c r="A3176" s="6"/>
      <c r="B3176" s="6"/>
      <c r="C3176" s="4"/>
      <c r="D3176" s="36">
        <v>224.000554</v>
      </c>
      <c r="E3176" s="4" t="s">
        <v>485</v>
      </c>
      <c r="F3176" s="4"/>
      <c r="G3176" s="4"/>
      <c r="H3176" s="4"/>
      <c r="I3176" s="4"/>
      <c r="J3176" s="18"/>
      <c r="K3176" s="4"/>
      <c r="L3176" s="19"/>
      <c r="M3176" s="20"/>
    </row>
    <row r="3177">
      <c r="A3177" s="6"/>
      <c r="B3177" s="6"/>
      <c r="C3177" s="4"/>
      <c r="D3177" s="36">
        <v>56.084471</v>
      </c>
      <c r="E3177" s="4" t="s">
        <v>8581</v>
      </c>
      <c r="F3177" s="4"/>
      <c r="G3177" s="4"/>
      <c r="H3177" s="4"/>
      <c r="I3177" s="4"/>
      <c r="J3177" s="18"/>
      <c r="K3177" s="4"/>
      <c r="L3177" s="19"/>
      <c r="M3177" s="20"/>
    </row>
    <row r="3178">
      <c r="A3178" s="6"/>
      <c r="B3178" s="6"/>
      <c r="C3178" s="4"/>
      <c r="D3178" s="36">
        <v>122.848917</v>
      </c>
      <c r="E3178" s="4" t="s">
        <v>675</v>
      </c>
      <c r="F3178" s="4"/>
      <c r="G3178" s="4"/>
      <c r="H3178" s="4"/>
      <c r="I3178" s="4"/>
      <c r="J3178" s="18"/>
      <c r="K3178" s="4"/>
      <c r="L3178" s="19"/>
      <c r="M3178" s="20"/>
    </row>
    <row r="3179">
      <c r="A3179" s="6"/>
      <c r="B3179" s="6"/>
      <c r="C3179" s="4"/>
      <c r="D3179" s="36">
        <v>59.076001</v>
      </c>
      <c r="E3179" s="4" t="s">
        <v>3626</v>
      </c>
      <c r="F3179" s="4"/>
      <c r="G3179" s="4"/>
      <c r="H3179" s="4"/>
      <c r="I3179" s="4"/>
      <c r="J3179" s="18"/>
      <c r="K3179" s="4"/>
      <c r="L3179" s="19"/>
      <c r="M3179" s="20"/>
    </row>
    <row r="3180">
      <c r="A3180" s="6"/>
      <c r="B3180" s="6"/>
      <c r="C3180" s="4"/>
      <c r="D3180" s="36">
        <v>224.000554</v>
      </c>
      <c r="E3180" s="4" t="s">
        <v>1283</v>
      </c>
      <c r="F3180" s="4"/>
      <c r="G3180" s="4"/>
      <c r="H3180" s="4"/>
      <c r="I3180" s="4"/>
      <c r="J3180" s="18"/>
      <c r="K3180" s="4"/>
      <c r="L3180" s="19"/>
      <c r="M3180" s="20"/>
    </row>
    <row r="3181">
      <c r="A3181" s="6"/>
      <c r="B3181" s="6"/>
      <c r="C3181" s="4"/>
      <c r="D3181" s="36">
        <v>27.229322</v>
      </c>
      <c r="E3181" s="4" t="s">
        <v>6761</v>
      </c>
      <c r="F3181" s="4"/>
      <c r="G3181" s="4"/>
      <c r="H3181" s="4"/>
      <c r="I3181" s="4"/>
      <c r="J3181" s="18"/>
      <c r="K3181" s="4"/>
      <c r="L3181" s="19"/>
      <c r="M3181" s="20"/>
    </row>
    <row r="3182">
      <c r="A3182" s="6"/>
      <c r="B3182" s="6"/>
      <c r="C3182" s="4"/>
      <c r="D3182" s="36">
        <v>100.811449</v>
      </c>
      <c r="E3182" s="4" t="s">
        <v>9017</v>
      </c>
      <c r="F3182" s="4"/>
      <c r="G3182" s="4"/>
      <c r="H3182" s="4"/>
      <c r="I3182" s="4"/>
      <c r="J3182" s="18"/>
      <c r="K3182" s="4"/>
      <c r="L3182" s="19"/>
      <c r="M3182" s="20"/>
    </row>
    <row r="3183">
      <c r="A3183" s="6"/>
      <c r="B3183" s="6"/>
      <c r="C3183" s="4"/>
      <c r="D3183" s="36">
        <v>224.000554</v>
      </c>
      <c r="E3183" s="4" t="s">
        <v>8453</v>
      </c>
      <c r="F3183" s="4"/>
      <c r="G3183" s="4"/>
      <c r="H3183" s="4"/>
      <c r="I3183" s="4"/>
      <c r="J3183" s="18"/>
      <c r="K3183" s="4"/>
      <c r="L3183" s="19"/>
      <c r="M3183" s="20"/>
    </row>
    <row r="3184">
      <c r="A3184" s="6"/>
      <c r="B3184" s="6"/>
      <c r="C3184" s="4"/>
      <c r="D3184" s="36">
        <v>68.127717</v>
      </c>
      <c r="E3184" s="4" t="s">
        <v>3737</v>
      </c>
      <c r="F3184" s="4"/>
      <c r="G3184" s="4"/>
      <c r="H3184" s="4"/>
      <c r="I3184" s="4"/>
      <c r="J3184" s="18"/>
      <c r="K3184" s="4"/>
      <c r="L3184" s="19"/>
      <c r="M3184" s="20"/>
    </row>
    <row r="3185">
      <c r="A3185" s="6"/>
      <c r="B3185" s="6"/>
      <c r="C3185" s="4"/>
      <c r="D3185" s="36">
        <v>224.000554</v>
      </c>
      <c r="E3185" s="4" t="s">
        <v>9018</v>
      </c>
      <c r="F3185" s="4"/>
      <c r="G3185" s="4"/>
      <c r="H3185" s="4"/>
      <c r="I3185" s="4"/>
      <c r="J3185" s="18"/>
      <c r="K3185" s="4"/>
      <c r="L3185" s="19"/>
      <c r="M3185" s="20"/>
    </row>
    <row r="3186">
      <c r="A3186" s="6"/>
      <c r="B3186" s="6"/>
      <c r="C3186" s="4"/>
      <c r="D3186" s="36">
        <v>224.000554</v>
      </c>
      <c r="E3186" s="4" t="s">
        <v>9019</v>
      </c>
      <c r="F3186" s="4"/>
      <c r="G3186" s="4"/>
      <c r="H3186" s="4"/>
      <c r="I3186" s="4"/>
      <c r="J3186" s="18"/>
      <c r="K3186" s="4"/>
      <c r="L3186" s="19"/>
      <c r="M3186" s="20"/>
    </row>
    <row r="3187">
      <c r="A3187" s="6"/>
      <c r="B3187" s="6"/>
      <c r="C3187" s="4"/>
      <c r="D3187" s="36">
        <v>224.000554</v>
      </c>
      <c r="E3187" s="4" t="s">
        <v>9020</v>
      </c>
      <c r="F3187" s="4"/>
      <c r="G3187" s="4"/>
      <c r="H3187" s="4"/>
      <c r="I3187" s="4"/>
      <c r="J3187" s="18"/>
      <c r="K3187" s="4"/>
      <c r="L3187" s="19"/>
      <c r="M3187" s="20"/>
    </row>
    <row r="3188">
      <c r="A3188" s="6"/>
      <c r="B3188" s="6"/>
      <c r="C3188" s="4"/>
      <c r="D3188" s="36">
        <v>224.000554</v>
      </c>
      <c r="E3188" s="4" t="s">
        <v>9021</v>
      </c>
      <c r="F3188" s="4"/>
      <c r="G3188" s="4"/>
      <c r="H3188" s="4"/>
      <c r="I3188" s="4"/>
      <c r="J3188" s="18"/>
      <c r="K3188" s="4"/>
      <c r="L3188" s="19"/>
      <c r="M3188" s="20"/>
    </row>
    <row r="3189">
      <c r="A3189" s="6"/>
      <c r="B3189" s="6"/>
      <c r="C3189" s="4"/>
      <c r="D3189" s="36">
        <v>98.457607</v>
      </c>
      <c r="E3189" s="4" t="s">
        <v>8753</v>
      </c>
      <c r="F3189" s="4"/>
      <c r="G3189" s="4"/>
      <c r="H3189" s="4"/>
      <c r="I3189" s="4"/>
      <c r="J3189" s="18"/>
      <c r="K3189" s="4"/>
      <c r="L3189" s="19"/>
      <c r="M3189" s="20"/>
    </row>
    <row r="3190">
      <c r="A3190" s="6"/>
      <c r="B3190" s="6"/>
      <c r="C3190" s="4"/>
      <c r="D3190" s="36">
        <v>224.000554</v>
      </c>
      <c r="E3190" s="4" t="s">
        <v>6172</v>
      </c>
      <c r="F3190" s="4"/>
      <c r="G3190" s="4"/>
      <c r="H3190" s="4"/>
      <c r="I3190" s="4"/>
      <c r="J3190" s="18"/>
      <c r="K3190" s="4"/>
      <c r="L3190" s="19"/>
      <c r="M3190" s="20"/>
    </row>
    <row r="3191">
      <c r="A3191" s="6"/>
      <c r="B3191" s="6"/>
      <c r="C3191" s="4"/>
      <c r="D3191" s="36">
        <v>217.171556</v>
      </c>
      <c r="E3191" s="4" t="s">
        <v>2999</v>
      </c>
      <c r="F3191" s="4"/>
      <c r="G3191" s="4"/>
      <c r="H3191" s="4"/>
      <c r="I3191" s="4"/>
      <c r="J3191" s="18"/>
      <c r="K3191" s="4"/>
      <c r="L3191" s="19"/>
      <c r="M3191" s="20"/>
    </row>
    <row r="3192">
      <c r="A3192" s="6"/>
      <c r="B3192" s="6"/>
      <c r="C3192" s="4"/>
      <c r="D3192" s="36">
        <v>97.642988</v>
      </c>
      <c r="E3192" s="4" t="s">
        <v>9022</v>
      </c>
      <c r="F3192" s="4"/>
      <c r="G3192" s="4"/>
      <c r="H3192" s="4"/>
      <c r="I3192" s="4"/>
      <c r="J3192" s="18"/>
      <c r="K3192" s="4"/>
      <c r="L3192" s="19"/>
      <c r="M3192" s="20"/>
    </row>
    <row r="3193">
      <c r="A3193" s="6"/>
      <c r="B3193" s="6"/>
      <c r="C3193" s="4"/>
      <c r="D3193" s="36">
        <v>63.346504</v>
      </c>
      <c r="E3193" s="4" t="s">
        <v>5958</v>
      </c>
      <c r="F3193" s="4"/>
      <c r="G3193" s="4"/>
      <c r="H3193" s="4"/>
      <c r="I3193" s="4"/>
      <c r="J3193" s="18"/>
      <c r="K3193" s="4"/>
      <c r="L3193" s="19"/>
      <c r="M3193" s="20"/>
    </row>
    <row r="3194">
      <c r="A3194" s="6"/>
      <c r="B3194" s="6"/>
      <c r="C3194" s="4"/>
      <c r="D3194" s="36">
        <v>224.000554</v>
      </c>
      <c r="E3194" s="4" t="s">
        <v>8716</v>
      </c>
      <c r="F3194" s="4"/>
      <c r="G3194" s="4"/>
      <c r="H3194" s="4"/>
      <c r="I3194" s="4"/>
      <c r="J3194" s="18"/>
      <c r="K3194" s="4"/>
      <c r="L3194" s="19"/>
      <c r="M3194" s="20"/>
    </row>
    <row r="3195">
      <c r="A3195" s="6"/>
      <c r="B3195" s="6"/>
      <c r="C3195" s="4"/>
      <c r="D3195" s="36">
        <v>224.000554</v>
      </c>
      <c r="E3195" s="4" t="s">
        <v>1576</v>
      </c>
      <c r="F3195" s="4"/>
      <c r="G3195" s="4"/>
      <c r="H3195" s="4"/>
      <c r="I3195" s="4"/>
      <c r="J3195" s="18"/>
      <c r="K3195" s="4"/>
      <c r="L3195" s="19"/>
      <c r="M3195" s="20"/>
    </row>
    <row r="3196">
      <c r="A3196" s="6"/>
      <c r="B3196" s="6"/>
      <c r="C3196" s="4"/>
      <c r="D3196" s="36">
        <v>33.663225</v>
      </c>
      <c r="E3196" s="4" t="s">
        <v>9023</v>
      </c>
      <c r="F3196" s="4"/>
      <c r="G3196" s="4"/>
      <c r="H3196" s="4"/>
      <c r="I3196" s="4"/>
      <c r="J3196" s="18"/>
      <c r="K3196" s="4"/>
      <c r="L3196" s="19"/>
      <c r="M3196" s="20"/>
    </row>
    <row r="3197">
      <c r="A3197" s="6"/>
      <c r="B3197" s="6"/>
      <c r="C3197" s="4"/>
      <c r="D3197" s="36">
        <v>224.000554</v>
      </c>
      <c r="E3197" s="4" t="s">
        <v>613</v>
      </c>
      <c r="F3197" s="4"/>
      <c r="G3197" s="4"/>
      <c r="H3197" s="4"/>
      <c r="I3197" s="4"/>
      <c r="J3197" s="18"/>
      <c r="K3197" s="4"/>
      <c r="L3197" s="19"/>
      <c r="M3197" s="20"/>
    </row>
    <row r="3198">
      <c r="A3198" s="6"/>
      <c r="B3198" s="6"/>
      <c r="C3198" s="4"/>
      <c r="D3198" s="36">
        <v>113.708904</v>
      </c>
      <c r="E3198" s="4" t="s">
        <v>3261</v>
      </c>
      <c r="F3198" s="4"/>
      <c r="G3198" s="4"/>
      <c r="H3198" s="4"/>
      <c r="I3198" s="4"/>
      <c r="J3198" s="18"/>
      <c r="K3198" s="4"/>
      <c r="L3198" s="19"/>
      <c r="M3198" s="20"/>
    </row>
    <row r="3199">
      <c r="A3199" s="6"/>
      <c r="B3199" s="6"/>
      <c r="C3199" s="4"/>
      <c r="D3199" s="36">
        <v>224.000554</v>
      </c>
      <c r="E3199" s="4" t="s">
        <v>9024</v>
      </c>
      <c r="F3199" s="4"/>
      <c r="G3199" s="4"/>
      <c r="H3199" s="4"/>
      <c r="I3199" s="4"/>
      <c r="J3199" s="18"/>
      <c r="K3199" s="4"/>
      <c r="L3199" s="19"/>
      <c r="M3199" s="20"/>
    </row>
    <row r="3200">
      <c r="A3200" s="6"/>
      <c r="B3200" s="6"/>
      <c r="C3200" s="4"/>
      <c r="D3200" s="36">
        <v>37.038088</v>
      </c>
      <c r="E3200" s="4" t="s">
        <v>8587</v>
      </c>
      <c r="F3200" s="4"/>
      <c r="G3200" s="4"/>
      <c r="H3200" s="4"/>
      <c r="I3200" s="4"/>
      <c r="J3200" s="18"/>
      <c r="K3200" s="4"/>
      <c r="L3200" s="19"/>
      <c r="M3200" s="20"/>
    </row>
    <row r="3201">
      <c r="A3201" s="6"/>
      <c r="B3201" s="6"/>
      <c r="C3201" s="4"/>
      <c r="D3201" s="36">
        <v>136.921075</v>
      </c>
      <c r="E3201" s="4" t="s">
        <v>8535</v>
      </c>
      <c r="F3201" s="4"/>
      <c r="G3201" s="4"/>
      <c r="H3201" s="4"/>
      <c r="I3201" s="4"/>
      <c r="J3201" s="18"/>
      <c r="K3201" s="4"/>
      <c r="L3201" s="19"/>
      <c r="M3201" s="20"/>
    </row>
    <row r="3202">
      <c r="A3202" s="6"/>
      <c r="B3202" s="6"/>
      <c r="C3202" s="4"/>
      <c r="D3202" s="36">
        <v>456.878902</v>
      </c>
      <c r="E3202" s="4" t="s">
        <v>9009</v>
      </c>
      <c r="F3202" s="4"/>
      <c r="G3202" s="4"/>
      <c r="H3202" s="4"/>
      <c r="I3202" s="4"/>
      <c r="J3202" s="18"/>
      <c r="K3202" s="4"/>
      <c r="L3202" s="19"/>
      <c r="M3202" s="20"/>
    </row>
    <row r="3203">
      <c r="A3203" s="6"/>
      <c r="B3203" s="6"/>
      <c r="C3203" s="4"/>
      <c r="D3203" s="36">
        <v>465.107548</v>
      </c>
      <c r="E3203" s="4" t="s">
        <v>367</v>
      </c>
      <c r="F3203" s="4"/>
      <c r="G3203" s="4"/>
      <c r="H3203" s="4"/>
      <c r="I3203" s="4"/>
      <c r="J3203" s="18"/>
      <c r="K3203" s="4"/>
      <c r="L3203" s="19"/>
      <c r="M3203" s="20"/>
    </row>
    <row r="3204">
      <c r="A3204" s="6"/>
      <c r="B3204" s="6"/>
      <c r="C3204" s="4"/>
      <c r="D3204" s="36">
        <v>465.107548</v>
      </c>
      <c r="E3204" s="4" t="s">
        <v>8701</v>
      </c>
      <c r="F3204" s="4"/>
      <c r="G3204" s="4"/>
      <c r="H3204" s="4"/>
      <c r="I3204" s="4"/>
      <c r="J3204" s="18"/>
      <c r="K3204" s="4"/>
      <c r="L3204" s="19"/>
      <c r="M3204" s="20"/>
    </row>
    <row r="3205">
      <c r="A3205" s="6"/>
      <c r="B3205" s="6"/>
      <c r="C3205" s="4"/>
      <c r="D3205" s="36">
        <v>254.587279</v>
      </c>
      <c r="E3205" s="4" t="s">
        <v>9025</v>
      </c>
      <c r="F3205" s="4"/>
      <c r="G3205" s="4"/>
      <c r="H3205" s="4"/>
      <c r="I3205" s="4"/>
      <c r="J3205" s="18"/>
      <c r="K3205" s="4"/>
      <c r="L3205" s="19"/>
      <c r="M3205" s="20"/>
    </row>
    <row r="3206">
      <c r="A3206" s="6"/>
      <c r="B3206" s="6"/>
      <c r="C3206" s="4"/>
      <c r="D3206" s="36">
        <v>465.107548</v>
      </c>
      <c r="E3206" s="4" t="s">
        <v>2806</v>
      </c>
      <c r="F3206" s="4"/>
      <c r="G3206" s="4"/>
      <c r="H3206" s="4"/>
      <c r="I3206" s="4"/>
      <c r="J3206" s="18"/>
      <c r="K3206" s="4"/>
      <c r="L3206" s="19"/>
      <c r="M3206" s="20"/>
    </row>
    <row r="3207">
      <c r="A3207" s="6"/>
      <c r="B3207" s="6"/>
      <c r="C3207" s="4"/>
      <c r="D3207" s="36">
        <v>465.107548</v>
      </c>
      <c r="E3207" s="4" t="s">
        <v>8970</v>
      </c>
      <c r="F3207" s="4"/>
      <c r="G3207" s="4"/>
      <c r="H3207" s="4"/>
      <c r="I3207" s="4"/>
      <c r="J3207" s="18"/>
      <c r="K3207" s="4"/>
      <c r="L3207" s="19"/>
      <c r="M3207" s="20"/>
    </row>
    <row r="3208">
      <c r="A3208" s="6"/>
      <c r="B3208" s="6"/>
      <c r="C3208" s="4"/>
      <c r="D3208" s="36">
        <v>465.107548</v>
      </c>
      <c r="E3208" s="4" t="s">
        <v>9018</v>
      </c>
      <c r="F3208" s="4"/>
      <c r="G3208" s="4"/>
      <c r="H3208" s="4"/>
      <c r="I3208" s="4"/>
      <c r="J3208" s="18"/>
      <c r="K3208" s="4"/>
      <c r="L3208" s="19"/>
      <c r="M3208" s="20"/>
    </row>
    <row r="3209">
      <c r="A3209" s="6"/>
      <c r="B3209" s="6"/>
      <c r="C3209" s="4"/>
      <c r="D3209" s="36">
        <v>390.5928</v>
      </c>
      <c r="E3209" s="4" t="s">
        <v>9026</v>
      </c>
      <c r="F3209" s="4"/>
      <c r="G3209" s="4"/>
      <c r="H3209" s="4"/>
      <c r="I3209" s="4"/>
      <c r="J3209" s="18"/>
      <c r="K3209" s="4"/>
      <c r="L3209" s="19"/>
      <c r="M3209" s="20"/>
    </row>
    <row r="3210">
      <c r="A3210" s="6"/>
      <c r="B3210" s="6"/>
      <c r="C3210" s="4"/>
      <c r="D3210" s="36">
        <v>422.224632</v>
      </c>
      <c r="E3210" s="4" t="s">
        <v>1713</v>
      </c>
      <c r="F3210" s="4"/>
      <c r="G3210" s="4"/>
      <c r="H3210" s="4"/>
      <c r="I3210" s="4"/>
      <c r="J3210" s="18"/>
      <c r="K3210" s="4"/>
      <c r="L3210" s="19"/>
      <c r="M3210" s="20"/>
    </row>
    <row r="3211">
      <c r="A3211" s="6"/>
      <c r="B3211" s="6"/>
      <c r="C3211" s="4"/>
      <c r="D3211" s="36">
        <v>465.107548</v>
      </c>
      <c r="E3211" s="4" t="s">
        <v>1091</v>
      </c>
      <c r="F3211" s="4"/>
      <c r="G3211" s="4"/>
      <c r="H3211" s="4"/>
      <c r="I3211" s="4"/>
      <c r="J3211" s="18"/>
      <c r="K3211" s="4"/>
      <c r="L3211" s="19"/>
      <c r="M3211" s="20"/>
    </row>
    <row r="3212">
      <c r="A3212" s="6"/>
      <c r="B3212" s="6"/>
      <c r="C3212" s="4"/>
      <c r="D3212" s="36">
        <v>465.107548</v>
      </c>
      <c r="E3212" s="4" t="s">
        <v>9020</v>
      </c>
      <c r="F3212" s="4"/>
      <c r="G3212" s="4"/>
      <c r="H3212" s="4"/>
      <c r="I3212" s="4"/>
      <c r="J3212" s="18"/>
      <c r="K3212" s="4"/>
      <c r="L3212" s="19"/>
      <c r="M3212" s="20"/>
    </row>
    <row r="3213">
      <c r="A3213" s="6"/>
      <c r="B3213" s="6"/>
      <c r="C3213" s="4"/>
      <c r="D3213" s="36">
        <v>465.107548</v>
      </c>
      <c r="E3213" s="4" t="s">
        <v>8521</v>
      </c>
      <c r="F3213" s="4"/>
      <c r="G3213" s="4"/>
      <c r="H3213" s="4"/>
      <c r="I3213" s="4"/>
      <c r="J3213" s="18"/>
      <c r="K3213" s="4"/>
      <c r="L3213" s="19"/>
      <c r="M3213" s="20"/>
    </row>
    <row r="3214">
      <c r="A3214" s="6"/>
      <c r="B3214" s="6"/>
      <c r="C3214" s="4"/>
      <c r="D3214" s="36">
        <v>410.59719</v>
      </c>
      <c r="E3214" s="4" t="s">
        <v>9027</v>
      </c>
      <c r="F3214" s="4"/>
      <c r="G3214" s="4"/>
      <c r="H3214" s="4"/>
      <c r="I3214" s="4"/>
      <c r="J3214" s="18"/>
      <c r="K3214" s="4"/>
      <c r="L3214" s="19"/>
      <c r="M3214" s="20"/>
    </row>
    <row r="3215">
      <c r="A3215" s="6"/>
      <c r="B3215" s="6"/>
      <c r="C3215" s="4"/>
      <c r="D3215" s="36">
        <v>465.107548</v>
      </c>
      <c r="E3215" s="4" t="s">
        <v>8601</v>
      </c>
      <c r="F3215" s="4"/>
      <c r="G3215" s="4"/>
      <c r="H3215" s="4"/>
      <c r="I3215" s="4"/>
      <c r="J3215" s="18"/>
      <c r="K3215" s="4"/>
      <c r="L3215" s="19"/>
      <c r="M3215" s="20"/>
    </row>
    <row r="3216">
      <c r="A3216" s="6"/>
      <c r="B3216" s="6"/>
      <c r="C3216" s="4"/>
      <c r="D3216" s="36">
        <v>465.107548</v>
      </c>
      <c r="E3216" s="4" t="s">
        <v>1576</v>
      </c>
      <c r="F3216" s="4"/>
      <c r="G3216" s="4"/>
      <c r="H3216" s="4"/>
      <c r="I3216" s="4"/>
      <c r="J3216" s="18"/>
      <c r="K3216" s="4"/>
      <c r="L3216" s="19"/>
      <c r="M3216" s="20"/>
    </row>
    <row r="3217">
      <c r="A3217" s="6"/>
      <c r="B3217" s="6"/>
      <c r="C3217" s="4"/>
      <c r="D3217" s="36">
        <v>415.6531</v>
      </c>
      <c r="E3217" s="4" t="s">
        <v>534</v>
      </c>
      <c r="F3217" s="4"/>
      <c r="G3217" s="4"/>
      <c r="H3217" s="4"/>
      <c r="I3217" s="4"/>
      <c r="J3217" s="18"/>
      <c r="K3217" s="4"/>
      <c r="L3217" s="19"/>
      <c r="M3217" s="20"/>
    </row>
    <row r="3218">
      <c r="A3218" s="6"/>
      <c r="B3218" s="6"/>
      <c r="C3218" s="4"/>
      <c r="D3218" s="36">
        <v>465.107548</v>
      </c>
      <c r="E3218" s="4" t="s">
        <v>8716</v>
      </c>
      <c r="F3218" s="4"/>
      <c r="G3218" s="4"/>
      <c r="H3218" s="4"/>
      <c r="I3218" s="4"/>
      <c r="J3218" s="18"/>
      <c r="K3218" s="4"/>
      <c r="L3218" s="19"/>
      <c r="M3218" s="20"/>
    </row>
    <row r="3219">
      <c r="A3219" s="6"/>
      <c r="B3219" s="6"/>
      <c r="C3219" s="4"/>
      <c r="D3219" s="36">
        <v>465.107548</v>
      </c>
      <c r="E3219" s="4" t="s">
        <v>9028</v>
      </c>
      <c r="F3219" s="4"/>
      <c r="G3219" s="4"/>
      <c r="H3219" s="4"/>
      <c r="I3219" s="4"/>
      <c r="J3219" s="18"/>
      <c r="K3219" s="4"/>
      <c r="L3219" s="19"/>
      <c r="M3219" s="20"/>
    </row>
    <row r="3220">
      <c r="A3220" s="6"/>
      <c r="B3220" s="6"/>
      <c r="C3220" s="4"/>
      <c r="D3220" s="36">
        <v>459.8133</v>
      </c>
      <c r="E3220" s="4" t="s">
        <v>8992</v>
      </c>
      <c r="F3220" s="4"/>
      <c r="G3220" s="4"/>
      <c r="H3220" s="4"/>
      <c r="I3220" s="4"/>
      <c r="J3220" s="18"/>
      <c r="K3220" s="4"/>
      <c r="L3220" s="19"/>
      <c r="M3220" s="20"/>
    </row>
    <row r="3221">
      <c r="A3221" s="6"/>
      <c r="B3221" s="6"/>
      <c r="C3221" s="4"/>
      <c r="D3221" s="36">
        <v>465.107548</v>
      </c>
      <c r="E3221" s="4" t="s">
        <v>8952</v>
      </c>
      <c r="F3221" s="4"/>
      <c r="G3221" s="4"/>
      <c r="H3221" s="4"/>
      <c r="I3221" s="4"/>
      <c r="J3221" s="18"/>
      <c r="K3221" s="4"/>
      <c r="L3221" s="19"/>
      <c r="M3221" s="20"/>
    </row>
    <row r="3222">
      <c r="A3222" s="6"/>
      <c r="B3222" s="6"/>
      <c r="C3222" s="4"/>
      <c r="D3222" s="36">
        <v>336.051326</v>
      </c>
      <c r="E3222" s="4" t="s">
        <v>9029</v>
      </c>
      <c r="F3222" s="4"/>
      <c r="G3222" s="4"/>
      <c r="H3222" s="4"/>
      <c r="I3222" s="4"/>
      <c r="J3222" s="18"/>
      <c r="K3222" s="4"/>
      <c r="L3222" s="19"/>
      <c r="M3222" s="20"/>
    </row>
    <row r="3223">
      <c r="A3223" s="6"/>
      <c r="B3223" s="6"/>
      <c r="C3223" s="4"/>
      <c r="D3223" s="36">
        <v>46.544253</v>
      </c>
      <c r="E3223" s="4" t="s">
        <v>8957</v>
      </c>
      <c r="F3223" s="4"/>
      <c r="G3223" s="4"/>
      <c r="H3223" s="4"/>
      <c r="I3223" s="4"/>
      <c r="J3223" s="18"/>
      <c r="K3223" s="4"/>
      <c r="L3223" s="19"/>
      <c r="M3223" s="20"/>
    </row>
    <row r="3224">
      <c r="A3224" s="6"/>
      <c r="B3224" s="6"/>
      <c r="C3224" s="4"/>
      <c r="D3224" s="36">
        <v>465.107548</v>
      </c>
      <c r="E3224" s="4" t="s">
        <v>1667</v>
      </c>
      <c r="F3224" s="4"/>
      <c r="G3224" s="4"/>
      <c r="H3224" s="4"/>
      <c r="I3224" s="4"/>
      <c r="J3224" s="18"/>
      <c r="K3224" s="4"/>
      <c r="L3224" s="19"/>
      <c r="M3224" s="20"/>
    </row>
    <row r="3225">
      <c r="A3225" s="6"/>
      <c r="B3225" s="6"/>
      <c r="C3225" s="4"/>
      <c r="D3225" s="36">
        <v>372.086038</v>
      </c>
      <c r="E3225" s="4" t="s">
        <v>8586</v>
      </c>
      <c r="F3225" s="4"/>
      <c r="G3225" s="4"/>
      <c r="H3225" s="4"/>
      <c r="I3225" s="4"/>
      <c r="J3225" s="18"/>
      <c r="K3225" s="4"/>
      <c r="L3225" s="19"/>
      <c r="M3225" s="20"/>
    </row>
    <row r="3226">
      <c r="A3226" s="6"/>
      <c r="B3226" s="6"/>
      <c r="C3226" s="4"/>
      <c r="D3226" s="36">
        <v>57.022185</v>
      </c>
      <c r="E3226" s="4" t="s">
        <v>9030</v>
      </c>
      <c r="F3226" s="4"/>
      <c r="G3226" s="4"/>
      <c r="H3226" s="4"/>
      <c r="I3226" s="4"/>
      <c r="J3226" s="18"/>
      <c r="K3226" s="4"/>
      <c r="L3226" s="19"/>
      <c r="M3226" s="20"/>
    </row>
    <row r="3227">
      <c r="A3227" s="6"/>
      <c r="B3227" s="6"/>
      <c r="C3227" s="4"/>
      <c r="D3227" s="36">
        <v>206.211514</v>
      </c>
      <c r="E3227" s="4" t="s">
        <v>239</v>
      </c>
      <c r="F3227" s="4"/>
      <c r="G3227" s="4"/>
      <c r="H3227" s="4"/>
      <c r="I3227" s="4"/>
      <c r="J3227" s="18"/>
      <c r="K3227" s="4"/>
      <c r="L3227" s="19"/>
      <c r="M3227" s="20"/>
    </row>
    <row r="3228">
      <c r="A3228" s="6"/>
      <c r="B3228" s="6"/>
      <c r="C3228" s="4"/>
      <c r="D3228" s="36">
        <v>317.230751</v>
      </c>
      <c r="E3228" s="4" t="s">
        <v>9021</v>
      </c>
      <c r="F3228" s="4"/>
      <c r="G3228" s="4"/>
      <c r="H3228" s="4"/>
      <c r="I3228" s="4"/>
      <c r="J3228" s="18"/>
      <c r="K3228" s="4"/>
      <c r="L3228" s="19"/>
      <c r="M3228" s="20"/>
    </row>
    <row r="3229">
      <c r="A3229" s="6"/>
      <c r="B3229" s="6"/>
      <c r="C3229" s="4"/>
      <c r="D3229" s="36">
        <v>465.107548</v>
      </c>
      <c r="E3229" s="4" t="s">
        <v>683</v>
      </c>
      <c r="F3229" s="4"/>
      <c r="G3229" s="4"/>
      <c r="H3229" s="4"/>
      <c r="I3229" s="4"/>
      <c r="J3229" s="18"/>
      <c r="K3229" s="4"/>
      <c r="L3229" s="19"/>
      <c r="M3229" s="20"/>
    </row>
    <row r="3230">
      <c r="A3230" s="6"/>
      <c r="B3230" s="6"/>
      <c r="C3230" s="4"/>
      <c r="D3230" s="36">
        <v>465.107548</v>
      </c>
      <c r="E3230" s="4" t="s">
        <v>1218</v>
      </c>
      <c r="F3230" s="4"/>
      <c r="G3230" s="4"/>
      <c r="H3230" s="4"/>
      <c r="I3230" s="4"/>
      <c r="J3230" s="18"/>
      <c r="K3230" s="4"/>
      <c r="L3230" s="19"/>
      <c r="M3230" s="20"/>
    </row>
    <row r="3231">
      <c r="A3231" s="6"/>
      <c r="B3231" s="6"/>
      <c r="C3231" s="4"/>
      <c r="D3231" s="36">
        <v>137.423352</v>
      </c>
      <c r="E3231" s="4" t="s">
        <v>5105</v>
      </c>
      <c r="F3231" s="4"/>
      <c r="G3231" s="4"/>
      <c r="H3231" s="4"/>
      <c r="I3231" s="4"/>
      <c r="J3231" s="18"/>
      <c r="K3231" s="4"/>
      <c r="L3231" s="19"/>
      <c r="M3231" s="20"/>
    </row>
    <row r="3232">
      <c r="A3232" s="6"/>
      <c r="B3232" s="6"/>
      <c r="C3232" s="4"/>
      <c r="D3232" s="36">
        <v>281.948195</v>
      </c>
      <c r="E3232" s="4" t="s">
        <v>8715</v>
      </c>
      <c r="F3232" s="4"/>
      <c r="G3232" s="4"/>
      <c r="H3232" s="4"/>
      <c r="I3232" s="4"/>
      <c r="J3232" s="18"/>
      <c r="K3232" s="4"/>
      <c r="L3232" s="19"/>
      <c r="M3232" s="20"/>
    </row>
    <row r="3233">
      <c r="A3233" s="6"/>
      <c r="B3233" s="6"/>
      <c r="C3233" s="4"/>
      <c r="D3233" s="36">
        <v>465.107548</v>
      </c>
      <c r="E3233" s="4" t="s">
        <v>8999</v>
      </c>
      <c r="F3233" s="4"/>
      <c r="G3233" s="4"/>
      <c r="H3233" s="4"/>
      <c r="I3233" s="4"/>
      <c r="J3233" s="18"/>
      <c r="K3233" s="4"/>
      <c r="L3233" s="19"/>
      <c r="M3233" s="20"/>
    </row>
    <row r="3234">
      <c r="A3234" s="6"/>
      <c r="B3234" s="6"/>
      <c r="C3234" s="4"/>
      <c r="D3234" s="36">
        <v>159.614393</v>
      </c>
      <c r="E3234" s="4" t="s">
        <v>107</v>
      </c>
      <c r="F3234" s="4"/>
      <c r="G3234" s="4"/>
      <c r="H3234" s="4"/>
      <c r="I3234" s="4"/>
      <c r="J3234" s="18"/>
      <c r="K3234" s="4"/>
      <c r="L3234" s="19"/>
      <c r="M3234" s="20"/>
    </row>
    <row r="3235">
      <c r="A3235" s="6"/>
      <c r="B3235" s="6"/>
      <c r="C3235" s="4"/>
      <c r="D3235" s="36">
        <v>204.965001</v>
      </c>
      <c r="E3235" s="4" t="s">
        <v>4576</v>
      </c>
      <c r="F3235" s="4"/>
      <c r="G3235" s="4"/>
      <c r="H3235" s="4"/>
      <c r="I3235" s="4"/>
      <c r="J3235" s="18"/>
      <c r="K3235" s="4"/>
      <c r="L3235" s="19"/>
      <c r="M3235" s="20"/>
    </row>
    <row r="3236">
      <c r="A3236" s="6"/>
      <c r="B3236" s="6"/>
      <c r="C3236" s="4"/>
      <c r="D3236" s="36">
        <v>465.107548</v>
      </c>
      <c r="E3236" s="4" t="s">
        <v>8547</v>
      </c>
      <c r="F3236" s="4"/>
      <c r="G3236" s="4"/>
      <c r="H3236" s="4"/>
      <c r="I3236" s="4"/>
      <c r="J3236" s="18"/>
      <c r="K3236" s="4"/>
      <c r="L3236" s="19"/>
      <c r="M3236" s="20"/>
    </row>
    <row r="3237">
      <c r="A3237" s="6"/>
      <c r="B3237" s="6"/>
      <c r="C3237" s="4"/>
      <c r="D3237" s="36">
        <v>459.022734</v>
      </c>
      <c r="E3237" s="4" t="s">
        <v>784</v>
      </c>
      <c r="F3237" s="4"/>
      <c r="G3237" s="4"/>
      <c r="H3237" s="4"/>
      <c r="I3237" s="4"/>
      <c r="J3237" s="18"/>
      <c r="K3237" s="4"/>
      <c r="L3237" s="19"/>
      <c r="M3237" s="20"/>
    </row>
    <row r="3238">
      <c r="A3238" s="6"/>
      <c r="B3238" s="6"/>
      <c r="C3238" s="4"/>
      <c r="D3238" s="36">
        <v>465.107548</v>
      </c>
      <c r="E3238" s="4" t="s">
        <v>9024</v>
      </c>
      <c r="F3238" s="4"/>
      <c r="G3238" s="4"/>
      <c r="H3238" s="4"/>
      <c r="I3238" s="4"/>
      <c r="J3238" s="18"/>
      <c r="K3238" s="4"/>
      <c r="L3238" s="19"/>
      <c r="M3238" s="20"/>
    </row>
    <row r="3239">
      <c r="A3239" s="6"/>
      <c r="B3239" s="6"/>
      <c r="C3239" s="4"/>
      <c r="D3239" s="36">
        <v>465.107548</v>
      </c>
      <c r="E3239" s="4" t="s">
        <v>1125</v>
      </c>
      <c r="F3239" s="4"/>
      <c r="G3239" s="4"/>
      <c r="H3239" s="4"/>
      <c r="I3239" s="4"/>
      <c r="J3239" s="18"/>
      <c r="K3239" s="4"/>
      <c r="L3239" s="19"/>
      <c r="M3239" s="20"/>
    </row>
    <row r="3240">
      <c r="A3240" s="6"/>
      <c r="B3240" s="6"/>
      <c r="C3240" s="4"/>
      <c r="D3240" s="36">
        <v>399.170734</v>
      </c>
      <c r="E3240" s="4" t="s">
        <v>8606</v>
      </c>
      <c r="F3240" s="4"/>
      <c r="G3240" s="4"/>
      <c r="H3240" s="4"/>
      <c r="I3240" s="4"/>
      <c r="J3240" s="18"/>
      <c r="K3240" s="4"/>
      <c r="L3240" s="19"/>
      <c r="M3240" s="20"/>
    </row>
    <row r="3241">
      <c r="A3241" s="6"/>
      <c r="B3241" s="6"/>
      <c r="C3241" s="4"/>
      <c r="D3241" s="36">
        <v>465.107548</v>
      </c>
      <c r="E3241" s="4" t="s">
        <v>9015</v>
      </c>
      <c r="F3241" s="4"/>
      <c r="G3241" s="4"/>
      <c r="H3241" s="4"/>
      <c r="I3241" s="4"/>
      <c r="J3241" s="18"/>
      <c r="K3241" s="4"/>
      <c r="L3241" s="19"/>
      <c r="M3241" s="20"/>
    </row>
    <row r="3242">
      <c r="A3242" s="6"/>
      <c r="B3242" s="6"/>
      <c r="C3242" s="4"/>
      <c r="D3242" s="36">
        <v>465.107548</v>
      </c>
      <c r="E3242" s="4" t="s">
        <v>952</v>
      </c>
      <c r="F3242" s="4"/>
      <c r="G3242" s="4"/>
      <c r="H3242" s="4"/>
      <c r="I3242" s="4"/>
      <c r="J3242" s="18"/>
      <c r="K3242" s="4"/>
      <c r="L3242" s="19"/>
      <c r="M3242" s="20"/>
    </row>
    <row r="3243">
      <c r="A3243" s="6"/>
      <c r="B3243" s="6"/>
      <c r="C3243" s="4"/>
      <c r="D3243" s="36">
        <v>215.632454</v>
      </c>
      <c r="E3243" s="4" t="s">
        <v>9031</v>
      </c>
      <c r="F3243" s="4"/>
      <c r="G3243" s="4"/>
      <c r="H3243" s="4"/>
      <c r="I3243" s="4"/>
      <c r="J3243" s="18"/>
      <c r="K3243" s="4"/>
      <c r="L3243" s="19"/>
      <c r="M3243" s="20"/>
    </row>
    <row r="3244">
      <c r="A3244" s="6"/>
      <c r="B3244" s="6"/>
      <c r="C3244" s="4"/>
      <c r="D3244" s="36">
        <v>465.107548</v>
      </c>
      <c r="E3244" s="4" t="s">
        <v>9005</v>
      </c>
      <c r="F3244" s="4"/>
      <c r="G3244" s="4"/>
      <c r="H3244" s="4"/>
      <c r="I3244" s="4"/>
      <c r="J3244" s="18"/>
      <c r="K3244" s="4"/>
      <c r="L3244" s="19"/>
      <c r="M3244" s="20"/>
    </row>
    <row r="3245">
      <c r="A3245" s="6"/>
      <c r="B3245" s="6"/>
      <c r="C3245" s="4"/>
      <c r="D3245" s="36">
        <v>465.107548</v>
      </c>
      <c r="E3245" s="4" t="s">
        <v>8517</v>
      </c>
      <c r="F3245" s="4"/>
      <c r="G3245" s="4"/>
      <c r="H3245" s="4"/>
      <c r="I3245" s="4"/>
      <c r="J3245" s="18"/>
      <c r="K3245" s="4"/>
      <c r="L3245" s="19"/>
      <c r="M3245" s="20"/>
    </row>
    <row r="3246">
      <c r="A3246" s="6"/>
      <c r="B3246" s="6"/>
      <c r="C3246" s="4"/>
      <c r="D3246" s="36">
        <v>362.086082</v>
      </c>
      <c r="E3246" s="4" t="s">
        <v>4202</v>
      </c>
      <c r="F3246" s="4"/>
      <c r="G3246" s="4"/>
      <c r="H3246" s="4"/>
      <c r="I3246" s="4"/>
      <c r="J3246" s="18"/>
      <c r="K3246" s="4"/>
      <c r="L3246" s="19"/>
      <c r="M3246" s="20"/>
    </row>
    <row r="3247">
      <c r="A3247" s="6"/>
      <c r="B3247" s="6"/>
      <c r="C3247" s="4"/>
      <c r="D3247" s="36">
        <v>163.876272</v>
      </c>
      <c r="E3247" s="4" t="s">
        <v>475</v>
      </c>
      <c r="F3247" s="4"/>
      <c r="G3247" s="4"/>
      <c r="H3247" s="4"/>
      <c r="I3247" s="4"/>
      <c r="J3247" s="18"/>
      <c r="K3247" s="4"/>
      <c r="L3247" s="19"/>
      <c r="M3247" s="20"/>
    </row>
    <row r="3248">
      <c r="A3248" s="6"/>
      <c r="B3248" s="6"/>
      <c r="C3248" s="4"/>
      <c r="D3248" s="36">
        <v>271.808851</v>
      </c>
      <c r="E3248" s="4" t="s">
        <v>1541</v>
      </c>
      <c r="F3248" s="4"/>
      <c r="G3248" s="4"/>
      <c r="H3248" s="4"/>
      <c r="I3248" s="4"/>
      <c r="J3248" s="18"/>
      <c r="K3248" s="4"/>
      <c r="L3248" s="19"/>
      <c r="M3248" s="20"/>
    </row>
    <row r="3249">
      <c r="A3249" s="6"/>
      <c r="B3249" s="6"/>
      <c r="C3249" s="4"/>
      <c r="D3249" s="36">
        <v>445.759074</v>
      </c>
      <c r="E3249" s="4" t="s">
        <v>453</v>
      </c>
      <c r="F3249" s="4"/>
      <c r="G3249" s="4"/>
      <c r="H3249" s="4"/>
      <c r="I3249" s="4"/>
      <c r="J3249" s="18"/>
      <c r="K3249" s="4"/>
      <c r="L3249" s="19"/>
      <c r="M3249" s="20"/>
    </row>
    <row r="3250">
      <c r="A3250" s="6"/>
      <c r="B3250" s="6"/>
      <c r="C3250" s="4"/>
      <c r="D3250" s="36">
        <v>465.107548</v>
      </c>
      <c r="E3250" s="4" t="s">
        <v>8968</v>
      </c>
      <c r="F3250" s="4"/>
      <c r="G3250" s="4"/>
      <c r="H3250" s="4"/>
      <c r="I3250" s="4"/>
      <c r="J3250" s="18"/>
      <c r="K3250" s="4"/>
      <c r="L3250" s="19"/>
      <c r="M3250" s="20"/>
    </row>
    <row r="3251">
      <c r="A3251" s="6"/>
      <c r="B3251" s="6"/>
      <c r="C3251" s="4"/>
      <c r="D3251" s="36">
        <v>9.397637</v>
      </c>
      <c r="E3251" s="4" t="s">
        <v>817</v>
      </c>
      <c r="F3251" s="4"/>
      <c r="G3251" s="4"/>
      <c r="H3251" s="4"/>
      <c r="I3251" s="4"/>
      <c r="J3251" s="18"/>
      <c r="K3251" s="4"/>
      <c r="L3251" s="19"/>
      <c r="M3251" s="20"/>
    </row>
    <row r="3252">
      <c r="A3252" s="6"/>
      <c r="B3252" s="6"/>
      <c r="C3252" s="4"/>
      <c r="D3252" s="36">
        <v>348.830661</v>
      </c>
      <c r="E3252" s="4" t="s">
        <v>664</v>
      </c>
      <c r="F3252" s="4"/>
      <c r="G3252" s="4"/>
      <c r="H3252" s="4"/>
      <c r="I3252" s="4"/>
      <c r="J3252" s="18"/>
      <c r="K3252" s="4"/>
      <c r="L3252" s="19"/>
      <c r="M3252" s="20"/>
    </row>
    <row r="3253">
      <c r="A3253" s="6"/>
      <c r="B3253" s="6"/>
      <c r="C3253" s="4"/>
      <c r="D3253" s="36">
        <v>337.6232</v>
      </c>
      <c r="E3253" s="4" t="s">
        <v>8971</v>
      </c>
      <c r="F3253" s="4"/>
      <c r="G3253" s="4"/>
      <c r="H3253" s="4"/>
      <c r="I3253" s="4"/>
      <c r="J3253" s="18"/>
      <c r="K3253" s="4"/>
      <c r="L3253" s="19"/>
      <c r="M3253" s="20"/>
    </row>
    <row r="3254">
      <c r="A3254" s="6"/>
      <c r="B3254" s="6"/>
      <c r="C3254" s="4"/>
      <c r="D3254" s="36">
        <v>275.367602</v>
      </c>
      <c r="E3254" s="4" t="s">
        <v>9032</v>
      </c>
      <c r="F3254" s="4"/>
      <c r="G3254" s="4"/>
      <c r="H3254" s="4"/>
      <c r="I3254" s="4"/>
      <c r="J3254" s="18"/>
      <c r="K3254" s="4"/>
      <c r="L3254" s="19"/>
      <c r="M3254" s="20"/>
    </row>
    <row r="3255">
      <c r="A3255" s="6"/>
      <c r="B3255" s="6"/>
      <c r="C3255" s="4"/>
      <c r="D3255" s="36">
        <v>372.086038</v>
      </c>
      <c r="E3255" s="4" t="s">
        <v>977</v>
      </c>
      <c r="F3255" s="4"/>
      <c r="G3255" s="4"/>
      <c r="H3255" s="4"/>
      <c r="I3255" s="4"/>
      <c r="J3255" s="18"/>
      <c r="K3255" s="4"/>
      <c r="L3255" s="19"/>
      <c r="M3255" s="20"/>
    </row>
    <row r="3256">
      <c r="A3256" s="6"/>
      <c r="B3256" s="6"/>
      <c r="C3256" s="4"/>
      <c r="D3256" s="36">
        <v>465.107548</v>
      </c>
      <c r="E3256" s="4" t="s">
        <v>1774</v>
      </c>
      <c r="F3256" s="4"/>
      <c r="G3256" s="4"/>
      <c r="H3256" s="4"/>
      <c r="I3256" s="4"/>
      <c r="J3256" s="18"/>
      <c r="K3256" s="4"/>
      <c r="L3256" s="19"/>
      <c r="M3256" s="20"/>
    </row>
    <row r="3257">
      <c r="A3257" s="6"/>
      <c r="B3257" s="6"/>
      <c r="C3257" s="4"/>
      <c r="D3257" s="36">
        <v>465.107548</v>
      </c>
      <c r="E3257" s="4" t="s">
        <v>9033</v>
      </c>
      <c r="F3257" s="4"/>
      <c r="G3257" s="4"/>
      <c r="H3257" s="4"/>
      <c r="I3257" s="4"/>
      <c r="J3257" s="18"/>
      <c r="K3257" s="4"/>
      <c r="L3257" s="19"/>
      <c r="M3257" s="20"/>
    </row>
    <row r="3258">
      <c r="A3258" s="6"/>
      <c r="B3258" s="6"/>
      <c r="C3258" s="4"/>
      <c r="D3258" s="36">
        <v>465.107548</v>
      </c>
      <c r="E3258" s="4" t="s">
        <v>8525</v>
      </c>
      <c r="F3258" s="4"/>
      <c r="G3258" s="4"/>
      <c r="H3258" s="4"/>
      <c r="I3258" s="4"/>
      <c r="J3258" s="18"/>
      <c r="K3258" s="4"/>
      <c r="L3258" s="19"/>
      <c r="M3258" s="20"/>
    </row>
    <row r="3259">
      <c r="A3259" s="6"/>
      <c r="B3259" s="6"/>
      <c r="C3259" s="4"/>
      <c r="D3259" s="36">
        <v>465.107548</v>
      </c>
      <c r="E3259" s="4" t="s">
        <v>8976</v>
      </c>
      <c r="F3259" s="4"/>
      <c r="G3259" s="4"/>
      <c r="H3259" s="4"/>
      <c r="I3259" s="4"/>
      <c r="J3259" s="18"/>
      <c r="K3259" s="4"/>
      <c r="L3259" s="19"/>
      <c r="M3259" s="20"/>
    </row>
    <row r="3260">
      <c r="A3260" s="6"/>
      <c r="B3260" s="6"/>
      <c r="C3260" s="4"/>
      <c r="D3260" s="36">
        <v>419.650808</v>
      </c>
      <c r="E3260" s="4" t="s">
        <v>8966</v>
      </c>
      <c r="F3260" s="4"/>
      <c r="G3260" s="4"/>
      <c r="H3260" s="4"/>
      <c r="I3260" s="4"/>
      <c r="J3260" s="18"/>
      <c r="K3260" s="4"/>
      <c r="L3260" s="19"/>
      <c r="M3260" s="20"/>
    </row>
    <row r="3261">
      <c r="A3261" s="6"/>
      <c r="B3261" s="6"/>
      <c r="C3261" s="4"/>
      <c r="D3261" s="36">
        <v>332.198729</v>
      </c>
      <c r="E3261" s="4" t="s">
        <v>9034</v>
      </c>
      <c r="F3261" s="4"/>
      <c r="G3261" s="4"/>
      <c r="H3261" s="4"/>
      <c r="I3261" s="4"/>
      <c r="J3261" s="18"/>
      <c r="K3261" s="4"/>
      <c r="L3261" s="19"/>
      <c r="M3261" s="20"/>
    </row>
    <row r="3262">
      <c r="A3262" s="6"/>
      <c r="B3262" s="6"/>
      <c r="C3262" s="4"/>
      <c r="D3262" s="36">
        <v>465.107548</v>
      </c>
      <c r="E3262" s="4" t="s">
        <v>1656</v>
      </c>
      <c r="F3262" s="4"/>
      <c r="G3262" s="4"/>
      <c r="H3262" s="4"/>
      <c r="I3262" s="4"/>
      <c r="J3262" s="18"/>
      <c r="K3262" s="4"/>
      <c r="L3262" s="19"/>
      <c r="M3262" s="20"/>
    </row>
    <row r="3263">
      <c r="A3263" s="6"/>
      <c r="B3263" s="6"/>
      <c r="C3263" s="4"/>
      <c r="D3263" s="36">
        <v>199.045014</v>
      </c>
      <c r="E3263" s="4" t="s">
        <v>8534</v>
      </c>
      <c r="F3263" s="4"/>
      <c r="G3263" s="4"/>
      <c r="H3263" s="4"/>
      <c r="I3263" s="4"/>
      <c r="J3263" s="18"/>
      <c r="K3263" s="4"/>
      <c r="L3263" s="19"/>
      <c r="M3263" s="20"/>
    </row>
    <row r="3264">
      <c r="A3264" s="6"/>
      <c r="B3264" s="6"/>
      <c r="C3264" s="4"/>
      <c r="D3264" s="36">
        <v>381.799772</v>
      </c>
      <c r="E3264" s="4" t="s">
        <v>8512</v>
      </c>
      <c r="F3264" s="4"/>
      <c r="G3264" s="4"/>
      <c r="H3264" s="4"/>
      <c r="I3264" s="4"/>
      <c r="J3264" s="18"/>
      <c r="K3264" s="4"/>
      <c r="L3264" s="19"/>
      <c r="M3264" s="20"/>
    </row>
    <row r="3265">
      <c r="A3265" s="6"/>
      <c r="B3265" s="6"/>
      <c r="C3265" s="4"/>
      <c r="D3265" s="36">
        <v>465.107548</v>
      </c>
      <c r="E3265" s="4" t="s">
        <v>8907</v>
      </c>
      <c r="F3265" s="4"/>
      <c r="G3265" s="4"/>
      <c r="H3265" s="4"/>
      <c r="I3265" s="4"/>
      <c r="J3265" s="18"/>
      <c r="K3265" s="4"/>
      <c r="L3265" s="19"/>
      <c r="M3265" s="20"/>
    </row>
    <row r="3266">
      <c r="A3266" s="6"/>
      <c r="B3266" s="6"/>
      <c r="C3266" s="4"/>
      <c r="D3266" s="36">
        <v>233.390967</v>
      </c>
      <c r="E3266" s="4" t="s">
        <v>1493</v>
      </c>
      <c r="F3266" s="4"/>
      <c r="G3266" s="4"/>
      <c r="H3266" s="4"/>
      <c r="I3266" s="4"/>
      <c r="J3266" s="18"/>
      <c r="K3266" s="4"/>
      <c r="L3266" s="19"/>
      <c r="M3266" s="20"/>
    </row>
    <row r="3267">
      <c r="A3267" s="6"/>
      <c r="B3267" s="6"/>
      <c r="C3267" s="4"/>
      <c r="D3267" s="36">
        <v>265.566147</v>
      </c>
      <c r="E3267" s="4" t="s">
        <v>9035</v>
      </c>
      <c r="F3267" s="4"/>
      <c r="G3267" s="4"/>
      <c r="H3267" s="4"/>
      <c r="I3267" s="4"/>
      <c r="J3267" s="18"/>
      <c r="K3267" s="4"/>
      <c r="L3267" s="19"/>
      <c r="M3267" s="20"/>
    </row>
    <row r="3268">
      <c r="A3268" s="6"/>
      <c r="B3268" s="6"/>
      <c r="C3268" s="4"/>
      <c r="D3268" s="36">
        <v>465.107548</v>
      </c>
      <c r="E3268" s="4" t="s">
        <v>8996</v>
      </c>
      <c r="F3268" s="4"/>
      <c r="G3268" s="4"/>
      <c r="H3268" s="4"/>
      <c r="I3268" s="4"/>
      <c r="J3268" s="18"/>
      <c r="K3268" s="4"/>
      <c r="L3268" s="19"/>
      <c r="M3268" s="20"/>
    </row>
    <row r="3269">
      <c r="A3269" s="6"/>
      <c r="B3269" s="6"/>
      <c r="C3269" s="4"/>
      <c r="D3269" s="36">
        <v>465.107548</v>
      </c>
      <c r="E3269" s="4" t="s">
        <v>613</v>
      </c>
      <c r="F3269" s="4"/>
      <c r="G3269" s="4"/>
      <c r="H3269" s="4"/>
      <c r="I3269" s="4"/>
      <c r="J3269" s="18"/>
      <c r="K3269" s="4"/>
      <c r="L3269" s="19"/>
      <c r="M3269" s="20"/>
    </row>
    <row r="3270">
      <c r="A3270" s="6"/>
      <c r="B3270" s="6"/>
      <c r="C3270" s="4"/>
      <c r="D3270" s="36">
        <v>412.722041</v>
      </c>
      <c r="E3270" s="4" t="s">
        <v>8962</v>
      </c>
      <c r="F3270" s="4"/>
      <c r="G3270" s="4"/>
      <c r="H3270" s="4"/>
      <c r="I3270" s="4"/>
      <c r="J3270" s="18"/>
      <c r="K3270" s="4"/>
      <c r="L3270" s="19"/>
      <c r="M3270" s="20"/>
    </row>
    <row r="3271">
      <c r="A3271" s="6"/>
      <c r="B3271" s="6"/>
      <c r="C3271" s="4"/>
      <c r="D3271" s="36">
        <v>362.199322</v>
      </c>
      <c r="E3271" s="4" t="s">
        <v>1121</v>
      </c>
      <c r="F3271" s="4"/>
      <c r="G3271" s="4"/>
      <c r="H3271" s="4"/>
      <c r="I3271" s="4"/>
      <c r="J3271" s="18"/>
      <c r="K3271" s="4"/>
      <c r="L3271" s="19"/>
      <c r="M3271" s="20"/>
    </row>
    <row r="3272">
      <c r="A3272" s="6"/>
      <c r="B3272" s="6"/>
      <c r="C3272" s="4"/>
      <c r="D3272" s="36">
        <v>465.107548</v>
      </c>
      <c r="E3272" s="4" t="s">
        <v>4068</v>
      </c>
      <c r="F3272" s="4"/>
      <c r="G3272" s="4"/>
      <c r="H3272" s="4"/>
      <c r="I3272" s="4"/>
      <c r="J3272" s="18"/>
      <c r="K3272" s="4"/>
      <c r="L3272" s="19"/>
      <c r="M3272" s="20"/>
    </row>
    <row r="3273">
      <c r="A3273" s="6"/>
      <c r="B3273" s="6"/>
      <c r="C3273" s="4"/>
      <c r="D3273" s="36">
        <v>446.080851</v>
      </c>
      <c r="E3273" s="4" t="s">
        <v>9036</v>
      </c>
      <c r="F3273" s="4"/>
      <c r="G3273" s="4"/>
      <c r="H3273" s="4"/>
      <c r="I3273" s="4"/>
      <c r="J3273" s="18"/>
      <c r="K3273" s="4"/>
      <c r="L3273" s="19"/>
      <c r="M3273" s="20"/>
    </row>
    <row r="3274">
      <c r="A3274" s="6"/>
      <c r="B3274" s="6"/>
      <c r="C3274" s="4"/>
      <c r="D3274" s="36">
        <v>465.107548</v>
      </c>
      <c r="E3274" s="4" t="s">
        <v>9037</v>
      </c>
      <c r="F3274" s="4"/>
      <c r="G3274" s="4"/>
      <c r="H3274" s="4"/>
      <c r="I3274" s="4"/>
      <c r="J3274" s="18"/>
      <c r="K3274" s="4"/>
      <c r="L3274" s="19"/>
      <c r="M3274" s="20"/>
    </row>
    <row r="3275">
      <c r="A3275" s="6"/>
      <c r="B3275" s="6"/>
      <c r="C3275" s="4"/>
      <c r="D3275" s="36">
        <v>168.640638</v>
      </c>
      <c r="E3275" s="4" t="s">
        <v>8981</v>
      </c>
      <c r="F3275" s="4"/>
      <c r="G3275" s="4"/>
      <c r="H3275" s="4"/>
      <c r="I3275" s="4"/>
      <c r="J3275" s="18"/>
      <c r="K3275" s="4"/>
      <c r="L3275" s="19"/>
      <c r="M3275" s="20"/>
    </row>
    <row r="3276">
      <c r="A3276" s="6"/>
      <c r="B3276" s="6"/>
      <c r="C3276" s="4"/>
      <c r="D3276" s="36">
        <v>465.107548</v>
      </c>
      <c r="E3276" s="4" t="s">
        <v>8998</v>
      </c>
      <c r="F3276" s="4"/>
      <c r="G3276" s="4"/>
      <c r="H3276" s="4"/>
      <c r="I3276" s="4"/>
      <c r="J3276" s="18"/>
      <c r="K3276" s="4"/>
      <c r="L3276" s="19"/>
      <c r="M3276" s="20"/>
    </row>
    <row r="3277">
      <c r="A3277" s="6"/>
      <c r="B3277" s="6"/>
      <c r="C3277" s="4"/>
      <c r="D3277" s="36">
        <v>397.215336</v>
      </c>
      <c r="E3277" s="4" t="s">
        <v>9038</v>
      </c>
      <c r="F3277" s="4"/>
      <c r="G3277" s="4"/>
      <c r="H3277" s="4"/>
      <c r="I3277" s="4"/>
      <c r="J3277" s="18"/>
      <c r="K3277" s="4"/>
      <c r="L3277" s="19"/>
      <c r="M3277" s="20"/>
    </row>
    <row r="3278">
      <c r="A3278" s="6"/>
      <c r="B3278" s="6"/>
      <c r="C3278" s="4"/>
      <c r="D3278" s="36">
        <v>465.107548</v>
      </c>
      <c r="E3278" s="4" t="s">
        <v>8974</v>
      </c>
      <c r="F3278" s="4"/>
      <c r="G3278" s="4"/>
      <c r="H3278" s="4"/>
      <c r="I3278" s="4"/>
      <c r="J3278" s="18"/>
      <c r="K3278" s="4"/>
      <c r="L3278" s="19"/>
      <c r="M3278" s="20"/>
    </row>
    <row r="3279">
      <c r="A3279" s="6"/>
      <c r="B3279" s="6"/>
      <c r="C3279" s="4"/>
      <c r="D3279" s="36">
        <v>465.107548</v>
      </c>
      <c r="E3279" s="4" t="s">
        <v>135</v>
      </c>
      <c r="F3279" s="4"/>
      <c r="G3279" s="4"/>
      <c r="H3279" s="4"/>
      <c r="I3279" s="4"/>
      <c r="J3279" s="18"/>
      <c r="K3279" s="4"/>
      <c r="L3279" s="19"/>
      <c r="M3279" s="20"/>
    </row>
    <row r="3280">
      <c r="A3280" s="6"/>
      <c r="B3280" s="6"/>
      <c r="C3280" s="4"/>
      <c r="D3280" s="36">
        <v>177.18498</v>
      </c>
      <c r="E3280" s="4" t="s">
        <v>8976</v>
      </c>
      <c r="F3280" s="4"/>
      <c r="G3280" s="4"/>
      <c r="H3280" s="4"/>
      <c r="I3280" s="4"/>
      <c r="J3280" s="18"/>
      <c r="K3280" s="4"/>
      <c r="L3280" s="19"/>
      <c r="M3280" s="20"/>
    </row>
    <row r="3281">
      <c r="A3281" s="6"/>
      <c r="B3281" s="6"/>
      <c r="C3281" s="4"/>
      <c r="D3281" s="36">
        <v>509.136905</v>
      </c>
      <c r="E3281" s="4" t="s">
        <v>8907</v>
      </c>
      <c r="F3281" s="4"/>
      <c r="G3281" s="4"/>
      <c r="H3281" s="4"/>
      <c r="I3281" s="4"/>
      <c r="J3281" s="18"/>
      <c r="K3281" s="4"/>
      <c r="L3281" s="19"/>
      <c r="M3281" s="20"/>
    </row>
    <row r="3282">
      <c r="A3282" s="6"/>
      <c r="B3282" s="6"/>
      <c r="C3282" s="4"/>
      <c r="D3282" s="36">
        <v>242.749342</v>
      </c>
      <c r="E3282" s="4" t="s">
        <v>1656</v>
      </c>
      <c r="F3282" s="4"/>
      <c r="G3282" s="4"/>
      <c r="H3282" s="4"/>
      <c r="I3282" s="4"/>
      <c r="J3282" s="18"/>
      <c r="K3282" s="4"/>
      <c r="L3282" s="19"/>
      <c r="M3282" s="20"/>
    </row>
    <row r="3283">
      <c r="A3283" s="6"/>
      <c r="B3283" s="6"/>
      <c r="C3283" s="4"/>
      <c r="D3283" s="36">
        <v>1668.567045</v>
      </c>
      <c r="E3283" s="4" t="s">
        <v>8547</v>
      </c>
      <c r="F3283" s="4"/>
      <c r="G3283" s="4"/>
      <c r="H3283" s="4"/>
      <c r="I3283" s="4"/>
      <c r="J3283" s="18"/>
      <c r="K3283" s="4"/>
      <c r="L3283" s="19"/>
      <c r="M3283" s="20"/>
    </row>
    <row r="3284">
      <c r="A3284" s="6"/>
      <c r="B3284" s="6"/>
      <c r="C3284" s="4"/>
      <c r="D3284" s="36">
        <v>679.0009</v>
      </c>
      <c r="E3284" s="4" t="s">
        <v>4068</v>
      </c>
      <c r="F3284" s="4"/>
      <c r="G3284" s="4"/>
      <c r="H3284" s="4"/>
      <c r="I3284" s="4"/>
      <c r="J3284" s="18"/>
      <c r="K3284" s="4"/>
      <c r="L3284" s="19"/>
      <c r="M3284" s="20"/>
    </row>
    <row r="3285">
      <c r="A3285" s="6"/>
      <c r="B3285" s="6"/>
      <c r="C3285" s="4"/>
      <c r="D3285" s="36">
        <v>1929.956464</v>
      </c>
      <c r="E3285" s="4" t="s">
        <v>8992</v>
      </c>
      <c r="F3285" s="4"/>
      <c r="G3285" s="4"/>
      <c r="H3285" s="4"/>
      <c r="I3285" s="4"/>
      <c r="J3285" s="18"/>
      <c r="K3285" s="4"/>
      <c r="L3285" s="19"/>
      <c r="M3285" s="20"/>
    </row>
    <row r="3286">
      <c r="A3286" s="6"/>
      <c r="B3286" s="6"/>
      <c r="C3286" s="4"/>
      <c r="D3286" s="36">
        <v>6.733403</v>
      </c>
      <c r="E3286" s="4" t="s">
        <v>489</v>
      </c>
      <c r="F3286" s="4"/>
      <c r="G3286" s="4"/>
      <c r="H3286" s="4"/>
      <c r="I3286" s="4"/>
      <c r="J3286" s="18"/>
      <c r="K3286" s="4"/>
      <c r="L3286" s="19"/>
      <c r="M3286" s="20"/>
    </row>
    <row r="3287">
      <c r="A3287" s="6"/>
      <c r="B3287" s="6"/>
      <c r="C3287" s="4"/>
      <c r="D3287" s="36">
        <v>293.502544</v>
      </c>
      <c r="E3287" s="4" t="s">
        <v>135</v>
      </c>
      <c r="F3287" s="4"/>
      <c r="G3287" s="4"/>
      <c r="H3287" s="4"/>
      <c r="I3287" s="4"/>
      <c r="J3287" s="18"/>
      <c r="K3287" s="4"/>
      <c r="L3287" s="19"/>
      <c r="M3287" s="20"/>
    </row>
    <row r="3288">
      <c r="A3288" s="6"/>
      <c r="B3288" s="6"/>
      <c r="C3288" s="4"/>
      <c r="D3288" s="36">
        <v>5341.282276</v>
      </c>
      <c r="E3288" s="4" t="s">
        <v>1576</v>
      </c>
      <c r="F3288" s="4"/>
      <c r="G3288" s="4"/>
      <c r="H3288" s="4"/>
      <c r="I3288" s="4"/>
      <c r="J3288" s="18"/>
      <c r="K3288" s="4"/>
      <c r="L3288" s="19"/>
      <c r="M3288" s="20"/>
    </row>
    <row r="3289">
      <c r="A3289" s="6"/>
      <c r="B3289" s="6"/>
      <c r="C3289" s="4"/>
      <c r="D3289" s="36">
        <v>43.792855</v>
      </c>
      <c r="E3289" s="4" t="s">
        <v>8962</v>
      </c>
      <c r="F3289" s="4"/>
      <c r="G3289" s="4"/>
      <c r="H3289" s="4"/>
      <c r="I3289" s="4"/>
      <c r="J3289" s="18"/>
      <c r="K3289" s="4"/>
      <c r="L3289" s="19"/>
      <c r="M3289" s="20"/>
    </row>
    <row r="3290">
      <c r="A3290" s="6"/>
      <c r="B3290" s="6"/>
      <c r="C3290" s="4"/>
      <c r="D3290" s="36">
        <v>629.29006</v>
      </c>
      <c r="E3290" s="4" t="s">
        <v>8996</v>
      </c>
      <c r="F3290" s="4"/>
      <c r="G3290" s="4"/>
      <c r="H3290" s="4"/>
      <c r="I3290" s="4"/>
      <c r="J3290" s="18"/>
      <c r="K3290" s="4"/>
      <c r="L3290" s="19"/>
      <c r="M3290" s="20"/>
    </row>
    <row r="3291">
      <c r="A3291" s="6"/>
      <c r="B3291" s="6"/>
      <c r="C3291" s="4"/>
      <c r="D3291" s="36">
        <v>33.522185</v>
      </c>
      <c r="E3291" s="4" t="s">
        <v>8624</v>
      </c>
      <c r="F3291" s="4"/>
      <c r="G3291" s="4"/>
      <c r="H3291" s="4"/>
      <c r="I3291" s="4"/>
      <c r="J3291" s="18"/>
      <c r="K3291" s="4"/>
      <c r="L3291" s="19"/>
      <c r="M3291" s="20"/>
    </row>
    <row r="3292">
      <c r="A3292" s="6"/>
      <c r="B3292" s="6"/>
      <c r="C3292" s="4"/>
      <c r="D3292" s="36">
        <v>14.883134</v>
      </c>
      <c r="E3292" s="4" t="s">
        <v>9039</v>
      </c>
      <c r="F3292" s="4"/>
      <c r="G3292" s="4"/>
      <c r="H3292" s="4"/>
      <c r="I3292" s="4"/>
      <c r="J3292" s="18"/>
      <c r="K3292" s="4"/>
      <c r="L3292" s="19"/>
      <c r="M3292" s="20"/>
    </row>
    <row r="3293">
      <c r="A3293" s="6"/>
      <c r="B3293" s="6"/>
      <c r="C3293" s="4"/>
      <c r="D3293" s="36">
        <v>661.95975</v>
      </c>
      <c r="E3293" s="4" t="s">
        <v>8716</v>
      </c>
      <c r="F3293" s="4"/>
      <c r="G3293" s="4"/>
      <c r="H3293" s="4"/>
      <c r="I3293" s="4"/>
      <c r="J3293" s="18"/>
      <c r="K3293" s="4"/>
      <c r="L3293" s="19"/>
      <c r="M3293" s="20"/>
    </row>
    <row r="3294">
      <c r="A3294" s="6"/>
      <c r="B3294" s="6"/>
      <c r="C3294" s="4"/>
      <c r="D3294" s="36">
        <v>766.888581</v>
      </c>
      <c r="E3294" s="4" t="s">
        <v>1667</v>
      </c>
      <c r="F3294" s="4"/>
      <c r="G3294" s="4"/>
      <c r="H3294" s="4"/>
      <c r="I3294" s="4"/>
      <c r="J3294" s="18"/>
      <c r="K3294" s="4"/>
      <c r="L3294" s="19"/>
      <c r="M3294" s="20"/>
    </row>
    <row r="3295">
      <c r="A3295" s="6"/>
      <c r="B3295" s="6"/>
      <c r="C3295" s="4"/>
      <c r="D3295" s="36">
        <v>14.535571</v>
      </c>
      <c r="E3295" s="4" t="s">
        <v>738</v>
      </c>
      <c r="F3295" s="4"/>
      <c r="G3295" s="4"/>
      <c r="H3295" s="4"/>
      <c r="I3295" s="4"/>
      <c r="J3295" s="18"/>
      <c r="K3295" s="4"/>
      <c r="L3295" s="19"/>
      <c r="M3295" s="20"/>
    </row>
    <row r="3296">
      <c r="A3296" s="6"/>
      <c r="B3296" s="6"/>
      <c r="C3296" s="4"/>
      <c r="D3296" s="36">
        <v>1772.0169</v>
      </c>
      <c r="E3296" s="4" t="s">
        <v>1774</v>
      </c>
      <c r="F3296" s="4"/>
      <c r="G3296" s="4"/>
      <c r="H3296" s="4"/>
      <c r="I3296" s="4"/>
      <c r="J3296" s="18"/>
      <c r="K3296" s="4"/>
      <c r="L3296" s="19"/>
      <c r="M3296" s="20"/>
    </row>
    <row r="3297">
      <c r="A3297" s="6"/>
      <c r="B3297" s="6"/>
      <c r="C3297" s="4"/>
      <c r="D3297" s="36">
        <v>1066.750888</v>
      </c>
      <c r="E3297" s="4" t="s">
        <v>8971</v>
      </c>
      <c r="F3297" s="4"/>
      <c r="G3297" s="4"/>
      <c r="H3297" s="4"/>
      <c r="I3297" s="4"/>
      <c r="J3297" s="18"/>
      <c r="K3297" s="4"/>
      <c r="L3297" s="19"/>
      <c r="M3297" s="20"/>
    </row>
    <row r="3298">
      <c r="A3298" s="6"/>
      <c r="B3298" s="6"/>
      <c r="C3298" s="4"/>
      <c r="D3298" s="36">
        <v>129.12199</v>
      </c>
      <c r="E3298" s="4" t="s">
        <v>8970</v>
      </c>
      <c r="F3298" s="4"/>
      <c r="G3298" s="4"/>
      <c r="H3298" s="4"/>
      <c r="I3298" s="4"/>
      <c r="J3298" s="18"/>
      <c r="K3298" s="4"/>
      <c r="L3298" s="19"/>
      <c r="M3298" s="20"/>
    </row>
    <row r="3299">
      <c r="A3299" s="6"/>
      <c r="B3299" s="6"/>
      <c r="C3299" s="4"/>
      <c r="D3299" s="36">
        <v>901.186675</v>
      </c>
      <c r="E3299" s="4" t="s">
        <v>9009</v>
      </c>
      <c r="F3299" s="4"/>
      <c r="G3299" s="4"/>
      <c r="H3299" s="4"/>
      <c r="I3299" s="4"/>
      <c r="J3299" s="18"/>
      <c r="K3299" s="30"/>
      <c r="L3299" s="19"/>
      <c r="M3299" s="20"/>
    </row>
    <row r="3300">
      <c r="A3300" s="6"/>
      <c r="B3300" s="6"/>
      <c r="C3300" s="4"/>
      <c r="D3300" s="36">
        <v>522.42748</v>
      </c>
      <c r="E3300" s="4" t="s">
        <v>952</v>
      </c>
      <c r="F3300" s="4"/>
      <c r="G3300" s="4"/>
      <c r="H3300" s="4"/>
      <c r="I3300" s="4"/>
      <c r="J3300" s="18"/>
      <c r="K3300" s="4"/>
      <c r="L3300" s="19"/>
      <c r="M3300" s="20"/>
    </row>
    <row r="3301">
      <c r="A3301" s="6"/>
      <c r="B3301" s="6"/>
      <c r="C3301" s="4"/>
      <c r="D3301" s="36">
        <v>64.560995</v>
      </c>
      <c r="E3301" s="4" t="s">
        <v>8999</v>
      </c>
      <c r="F3301" s="4"/>
      <c r="G3301" s="4"/>
      <c r="H3301" s="4"/>
      <c r="I3301" s="4"/>
      <c r="J3301" s="18"/>
      <c r="K3301" s="4"/>
      <c r="L3301" s="19"/>
      <c r="M3301" s="20"/>
    </row>
    <row r="3302">
      <c r="A3302" s="6"/>
      <c r="B3302" s="6"/>
      <c r="C3302" s="4"/>
      <c r="D3302" s="36">
        <v>410.37551</v>
      </c>
      <c r="E3302" s="4" t="s">
        <v>8601</v>
      </c>
      <c r="F3302" s="4"/>
      <c r="G3302" s="4"/>
      <c r="H3302" s="4"/>
      <c r="I3302" s="4"/>
      <c r="J3302" s="18"/>
      <c r="K3302" s="4"/>
      <c r="L3302" s="19"/>
      <c r="M3302" s="20"/>
    </row>
    <row r="3303">
      <c r="A3303" s="6"/>
      <c r="B3303" s="6"/>
      <c r="C3303" s="4"/>
      <c r="D3303" s="36">
        <v>43.912313</v>
      </c>
      <c r="E3303" s="4" t="s">
        <v>9001</v>
      </c>
      <c r="F3303" s="4"/>
      <c r="G3303" s="4"/>
      <c r="H3303" s="4"/>
      <c r="I3303" s="4"/>
      <c r="J3303" s="18"/>
      <c r="K3303" s="4"/>
      <c r="L3303" s="19"/>
      <c r="M3303" s="20"/>
    </row>
    <row r="3304">
      <c r="A3304" s="6"/>
      <c r="B3304" s="6"/>
      <c r="C3304" s="4"/>
      <c r="D3304" s="36">
        <v>182.703243</v>
      </c>
      <c r="E3304" s="4" t="s">
        <v>417</v>
      </c>
      <c r="F3304" s="4"/>
      <c r="G3304" s="4"/>
      <c r="H3304" s="4"/>
      <c r="I3304" s="4"/>
      <c r="J3304" s="18"/>
      <c r="K3304" s="4"/>
      <c r="L3304" s="19"/>
      <c r="M3304" s="20"/>
    </row>
    <row r="3305">
      <c r="A3305" s="6"/>
      <c r="B3305" s="6"/>
      <c r="C3305" s="4"/>
      <c r="D3305" s="36">
        <v>84.723498</v>
      </c>
      <c r="E3305" s="4" t="s">
        <v>1218</v>
      </c>
      <c r="F3305" s="4"/>
      <c r="G3305" s="4"/>
      <c r="H3305" s="4"/>
      <c r="I3305" s="4"/>
      <c r="J3305" s="18"/>
      <c r="K3305" s="4"/>
      <c r="L3305" s="19"/>
      <c r="M3305" s="20"/>
    </row>
    <row r="3306">
      <c r="A3306" s="6"/>
      <c r="B3306" s="6"/>
      <c r="C3306" s="4"/>
      <c r="D3306" s="36">
        <v>2587.100754</v>
      </c>
      <c r="E3306" s="4" t="s">
        <v>8606</v>
      </c>
      <c r="F3306" s="4"/>
      <c r="G3306" s="4"/>
      <c r="H3306" s="4"/>
      <c r="I3306" s="4"/>
      <c r="J3306" s="18"/>
      <c r="K3306" s="4"/>
      <c r="L3306" s="19"/>
      <c r="M3306" s="20"/>
    </row>
    <row r="3307">
      <c r="A3307" s="6"/>
      <c r="B3307" s="6"/>
      <c r="C3307" s="4"/>
      <c r="D3307" s="36">
        <v>536.062856</v>
      </c>
      <c r="E3307" s="4" t="s">
        <v>8974</v>
      </c>
      <c r="F3307" s="4"/>
      <c r="G3307" s="4"/>
      <c r="H3307" s="4"/>
      <c r="I3307" s="4"/>
      <c r="J3307" s="18"/>
      <c r="K3307" s="4"/>
      <c r="L3307" s="19"/>
      <c r="M3307" s="20"/>
    </row>
    <row r="3308">
      <c r="A3308" s="6"/>
      <c r="B3308" s="6"/>
      <c r="C3308" s="4"/>
      <c r="D3308" s="36">
        <v>852.205138</v>
      </c>
      <c r="E3308" s="4" t="s">
        <v>8998</v>
      </c>
      <c r="F3308" s="4"/>
      <c r="G3308" s="4"/>
      <c r="H3308" s="4"/>
      <c r="I3308" s="4"/>
      <c r="J3308" s="18"/>
      <c r="K3308" s="4"/>
      <c r="L3308" s="19"/>
      <c r="M3308" s="20"/>
    </row>
    <row r="3309">
      <c r="A3309" s="6"/>
      <c r="B3309" s="6"/>
      <c r="C3309" s="4"/>
      <c r="D3309" s="36">
        <v>581.066818</v>
      </c>
      <c r="E3309" s="4" t="s">
        <v>8952</v>
      </c>
      <c r="F3309" s="4"/>
      <c r="G3309" s="4"/>
      <c r="H3309" s="4"/>
      <c r="I3309" s="4"/>
      <c r="J3309" s="18"/>
      <c r="K3309" s="4"/>
      <c r="L3309" s="19"/>
      <c r="M3309" s="20"/>
    </row>
    <row r="3310">
      <c r="A3310" s="6"/>
      <c r="B3310" s="6"/>
      <c r="C3310" s="4"/>
      <c r="D3310" s="36">
        <v>38.736597</v>
      </c>
      <c r="E3310" s="4" t="s">
        <v>9040</v>
      </c>
      <c r="F3310" s="4"/>
      <c r="G3310" s="4"/>
      <c r="H3310" s="4"/>
      <c r="I3310" s="4"/>
      <c r="J3310" s="18"/>
      <c r="K3310" s="4"/>
      <c r="L3310" s="19"/>
      <c r="M3310" s="20"/>
    </row>
    <row r="3311">
      <c r="A3311" s="6"/>
      <c r="B3311" s="6"/>
      <c r="C3311" s="4"/>
      <c r="D3311" s="36">
        <v>69.17952</v>
      </c>
      <c r="E3311" s="4" t="s">
        <v>1091</v>
      </c>
      <c r="F3311" s="4"/>
      <c r="G3311" s="4"/>
      <c r="H3311" s="4"/>
      <c r="I3311" s="4"/>
      <c r="J3311" s="18"/>
      <c r="K3311" s="4"/>
      <c r="L3311" s="19"/>
      <c r="M3311" s="20"/>
    </row>
    <row r="3312">
      <c r="A3312" s="6"/>
      <c r="B3312" s="6"/>
      <c r="C3312" s="4"/>
      <c r="D3312" s="36">
        <v>300.432616</v>
      </c>
      <c r="E3312" s="4" t="s">
        <v>1344</v>
      </c>
      <c r="F3312" s="4"/>
      <c r="G3312" s="4"/>
      <c r="H3312" s="4"/>
      <c r="I3312" s="4"/>
      <c r="J3312" s="18"/>
      <c r="K3312" s="4"/>
      <c r="L3312" s="19"/>
      <c r="M3312" s="20"/>
    </row>
    <row r="3313">
      <c r="A3313" s="6"/>
      <c r="B3313" s="6"/>
      <c r="C3313" s="4"/>
      <c r="D3313" s="36">
        <v>206.864764</v>
      </c>
      <c r="E3313" s="4" t="s">
        <v>475</v>
      </c>
      <c r="F3313" s="4"/>
      <c r="G3313" s="4"/>
      <c r="H3313" s="4"/>
      <c r="I3313" s="4"/>
      <c r="J3313" s="18"/>
      <c r="K3313" s="4"/>
      <c r="L3313" s="19"/>
      <c r="M3313" s="20"/>
    </row>
    <row r="3314">
      <c r="A3314" s="6"/>
      <c r="B3314" s="6"/>
      <c r="C3314" s="4"/>
      <c r="D3314" s="36">
        <v>3073.769025</v>
      </c>
      <c r="E3314" s="4" t="s">
        <v>8517</v>
      </c>
      <c r="F3314" s="4"/>
      <c r="G3314" s="4"/>
      <c r="H3314" s="4"/>
      <c r="I3314" s="4"/>
      <c r="J3314" s="18"/>
      <c r="K3314" s="4"/>
      <c r="L3314" s="19"/>
      <c r="M3314" s="20"/>
    </row>
    <row r="3315">
      <c r="A3315" s="6"/>
      <c r="B3315" s="6"/>
      <c r="C3315" s="4"/>
      <c r="D3315" s="36">
        <v>429.568148</v>
      </c>
      <c r="E3315" s="4" t="s">
        <v>9041</v>
      </c>
      <c r="F3315" s="4"/>
      <c r="G3315" s="4"/>
      <c r="H3315" s="4"/>
      <c r="I3315" s="4"/>
      <c r="J3315" s="18"/>
      <c r="K3315" s="4"/>
      <c r="L3315" s="19"/>
      <c r="M3315" s="20"/>
    </row>
    <row r="3316">
      <c r="A3316" s="6"/>
      <c r="B3316" s="6"/>
      <c r="C3316" s="4"/>
      <c r="D3316" s="36">
        <v>189.236143</v>
      </c>
      <c r="E3316" s="4" t="s">
        <v>9034</v>
      </c>
      <c r="F3316" s="4"/>
      <c r="G3316" s="4"/>
      <c r="H3316" s="4"/>
      <c r="I3316" s="4"/>
      <c r="J3316" s="18"/>
      <c r="K3316" s="4"/>
      <c r="L3316" s="19"/>
      <c r="M3316" s="20"/>
    </row>
    <row r="3317">
      <c r="A3317" s="6"/>
      <c r="B3317" s="6"/>
      <c r="C3317" s="4"/>
      <c r="D3317" s="36">
        <v>124.076704</v>
      </c>
      <c r="E3317" s="4" t="s">
        <v>9018</v>
      </c>
      <c r="F3317" s="4"/>
      <c r="G3317" s="4"/>
      <c r="H3317" s="4"/>
      <c r="I3317" s="4"/>
      <c r="J3317" s="18"/>
      <c r="K3317" s="4"/>
      <c r="L3317" s="19"/>
      <c r="M3317" s="20"/>
    </row>
    <row r="3318">
      <c r="A3318" s="6"/>
      <c r="B3318" s="6"/>
      <c r="C3318" s="4"/>
      <c r="D3318" s="36">
        <v>670.648126</v>
      </c>
      <c r="E3318" s="4" t="s">
        <v>534</v>
      </c>
      <c r="F3318" s="4"/>
      <c r="G3318" s="4"/>
      <c r="H3318" s="4"/>
      <c r="I3318" s="4"/>
      <c r="J3318" s="18"/>
      <c r="K3318" s="4"/>
      <c r="L3318" s="19"/>
      <c r="M3318" s="20"/>
    </row>
    <row r="3319">
      <c r="A3319" s="6"/>
      <c r="B3319" s="6"/>
      <c r="C3319" s="4"/>
      <c r="D3319" s="36">
        <v>165.276148</v>
      </c>
      <c r="E3319" s="4" t="s">
        <v>8701</v>
      </c>
      <c r="F3319" s="4"/>
      <c r="G3319" s="4"/>
      <c r="H3319" s="4"/>
      <c r="I3319" s="4"/>
      <c r="J3319" s="18"/>
      <c r="K3319" s="4"/>
      <c r="L3319" s="19"/>
      <c r="M3319" s="20"/>
    </row>
    <row r="3320">
      <c r="A3320" s="6"/>
      <c r="B3320" s="6"/>
      <c r="C3320" s="4"/>
      <c r="D3320" s="36">
        <v>338.302229</v>
      </c>
      <c r="E3320" s="4" t="s">
        <v>8968</v>
      </c>
      <c r="F3320" s="4"/>
      <c r="G3320" s="4"/>
      <c r="H3320" s="4"/>
      <c r="I3320" s="4"/>
      <c r="J3320" s="18"/>
      <c r="K3320" s="4"/>
      <c r="L3320" s="19"/>
      <c r="M3320" s="20"/>
    </row>
    <row r="3321">
      <c r="A3321" s="6"/>
      <c r="B3321" s="6"/>
      <c r="C3321" s="4"/>
      <c r="D3321" s="36">
        <v>81.89662</v>
      </c>
      <c r="E3321" s="4" t="s">
        <v>683</v>
      </c>
      <c r="F3321" s="4"/>
      <c r="G3321" s="4"/>
      <c r="H3321" s="4"/>
      <c r="I3321" s="4"/>
      <c r="J3321" s="18"/>
      <c r="K3321" s="4"/>
      <c r="L3321" s="19"/>
      <c r="M3321" s="20"/>
    </row>
    <row r="3322">
      <c r="A3322" s="6"/>
      <c r="B3322" s="6"/>
      <c r="C3322" s="4"/>
      <c r="D3322" s="36">
        <v>1549.463888</v>
      </c>
      <c r="E3322" s="4" t="s">
        <v>9042</v>
      </c>
      <c r="F3322" s="4"/>
      <c r="G3322" s="4"/>
      <c r="H3322" s="4"/>
      <c r="I3322" s="4"/>
      <c r="J3322" s="18"/>
      <c r="K3322" s="4"/>
      <c r="L3322" s="19"/>
      <c r="M3322" s="20"/>
    </row>
    <row r="3323">
      <c r="A3323" s="6"/>
      <c r="B3323" s="6"/>
      <c r="C3323" s="4"/>
      <c r="D3323" s="36">
        <v>0.0</v>
      </c>
      <c r="E3323" s="4"/>
      <c r="F3323" s="4"/>
      <c r="G3323" s="4"/>
      <c r="H3323" s="4"/>
      <c r="I3323" s="4"/>
      <c r="J3323" s="18"/>
      <c r="K3323" s="4"/>
      <c r="L3323" s="19"/>
      <c r="M3323" s="20"/>
    </row>
    <row r="3324">
      <c r="A3324" s="6"/>
      <c r="B3324" s="6"/>
      <c r="C3324" s="4"/>
      <c r="D3324" s="36">
        <v>0.0</v>
      </c>
      <c r="E3324" s="4"/>
      <c r="F3324" s="4"/>
      <c r="G3324" s="4"/>
      <c r="H3324" s="4"/>
      <c r="I3324" s="4"/>
      <c r="J3324" s="18"/>
      <c r="K3324" s="4"/>
      <c r="L3324" s="19"/>
      <c r="M3324" s="20"/>
    </row>
    <row r="3325">
      <c r="A3325" s="6"/>
      <c r="B3325" s="6"/>
      <c r="C3325" s="4"/>
      <c r="D3325" s="36">
        <v>0.0</v>
      </c>
      <c r="E3325" s="4"/>
      <c r="F3325" s="4"/>
      <c r="G3325" s="4"/>
      <c r="H3325" s="4"/>
      <c r="I3325" s="4"/>
      <c r="J3325" s="18"/>
      <c r="K3325" s="4"/>
      <c r="L3325" s="19"/>
      <c r="M3325" s="20"/>
    </row>
    <row r="3326">
      <c r="A3326" s="6"/>
      <c r="B3326" s="6"/>
      <c r="C3326" s="4"/>
      <c r="D3326" s="36">
        <v>0.0</v>
      </c>
      <c r="E3326" s="4"/>
      <c r="F3326" s="4"/>
      <c r="G3326" s="4"/>
      <c r="H3326" s="4"/>
      <c r="I3326" s="4"/>
      <c r="J3326" s="18"/>
      <c r="K3326" s="4"/>
      <c r="L3326" s="19"/>
      <c r="M3326" s="20"/>
    </row>
    <row r="3327">
      <c r="A3327" s="6"/>
      <c r="B3327" s="6"/>
      <c r="C3327" s="4"/>
      <c r="D3327" s="36">
        <v>0.0</v>
      </c>
      <c r="E3327" s="4"/>
      <c r="F3327" s="4"/>
      <c r="G3327" s="4"/>
      <c r="H3327" s="4"/>
      <c r="I3327" s="4"/>
      <c r="J3327" s="18"/>
      <c r="K3327" s="4"/>
      <c r="L3327" s="19"/>
      <c r="M3327" s="20"/>
    </row>
    <row r="3328">
      <c r="A3328" s="6"/>
      <c r="B3328" s="6"/>
      <c r="C3328" s="4"/>
      <c r="D3328" s="36">
        <v>0.0</v>
      </c>
      <c r="E3328" s="4"/>
      <c r="F3328" s="4"/>
      <c r="G3328" s="4"/>
      <c r="H3328" s="4"/>
      <c r="I3328" s="4"/>
      <c r="J3328" s="18"/>
      <c r="K3328" s="4"/>
      <c r="L3328" s="19"/>
      <c r="M3328" s="20"/>
    </row>
    <row r="3329">
      <c r="A3329" s="6"/>
      <c r="B3329" s="6"/>
      <c r="C3329" s="4"/>
      <c r="D3329" s="36">
        <v>0.0</v>
      </c>
      <c r="E3329" s="4"/>
      <c r="F3329" s="4"/>
      <c r="G3329" s="4"/>
      <c r="H3329" s="4"/>
      <c r="I3329" s="4"/>
      <c r="J3329" s="18"/>
      <c r="K3329" s="4"/>
      <c r="L3329" s="19"/>
      <c r="M3329" s="20"/>
    </row>
    <row r="3330">
      <c r="A3330" s="6"/>
      <c r="B3330" s="6"/>
      <c r="C3330" s="4"/>
      <c r="D3330" s="36">
        <v>0.0</v>
      </c>
      <c r="E3330" s="4"/>
      <c r="F3330" s="4"/>
      <c r="G3330" s="4"/>
      <c r="H3330" s="4"/>
      <c r="I3330" s="4"/>
      <c r="J3330" s="18"/>
      <c r="K3330" s="4"/>
      <c r="L3330" s="19"/>
      <c r="M3330" s="20"/>
    </row>
    <row r="3331">
      <c r="A3331" s="6"/>
      <c r="B3331" s="6"/>
      <c r="C3331" s="4"/>
      <c r="D3331" s="36">
        <v>0.0</v>
      </c>
      <c r="E3331" s="4"/>
      <c r="F3331" s="4"/>
      <c r="G3331" s="4"/>
      <c r="H3331" s="4"/>
      <c r="I3331" s="4"/>
      <c r="J3331" s="18"/>
      <c r="K3331" s="4"/>
      <c r="L3331" s="19"/>
      <c r="M3331" s="20"/>
    </row>
    <row r="3332">
      <c r="A3332" s="6"/>
      <c r="B3332" s="6"/>
      <c r="C3332" s="4"/>
      <c r="D3332" s="36">
        <v>0.0</v>
      </c>
      <c r="E3332" s="4"/>
      <c r="F3332" s="4"/>
      <c r="G3332" s="4"/>
      <c r="H3332" s="4"/>
      <c r="I3332" s="4"/>
      <c r="J3332" s="18"/>
      <c r="K3332" s="4"/>
      <c r="L3332" s="19"/>
      <c r="M3332" s="20"/>
    </row>
    <row r="3333">
      <c r="A3333" s="6"/>
      <c r="B3333" s="6"/>
      <c r="C3333" s="4"/>
      <c r="D3333" s="36">
        <v>0.0</v>
      </c>
      <c r="E3333" s="4"/>
      <c r="F3333" s="4"/>
      <c r="G3333" s="4"/>
      <c r="H3333" s="4"/>
      <c r="I3333" s="4"/>
      <c r="J3333" s="18"/>
      <c r="K3333" s="4"/>
      <c r="L3333" s="19"/>
      <c r="M3333" s="20"/>
    </row>
    <row r="3334">
      <c r="A3334" s="6"/>
      <c r="B3334" s="6"/>
      <c r="C3334" s="4"/>
      <c r="D3334" s="36">
        <v>0.0</v>
      </c>
      <c r="E3334" s="4"/>
      <c r="F3334" s="4"/>
      <c r="G3334" s="4"/>
      <c r="H3334" s="4"/>
      <c r="I3334" s="4"/>
      <c r="J3334" s="18"/>
      <c r="K3334" s="4"/>
      <c r="L3334" s="19"/>
      <c r="M3334" s="20"/>
    </row>
    <row r="3335">
      <c r="A3335" s="6"/>
      <c r="B3335" s="6"/>
      <c r="C3335" s="4"/>
      <c r="D3335" s="36">
        <v>0.0</v>
      </c>
      <c r="E3335" s="4"/>
      <c r="F3335" s="4"/>
      <c r="G3335" s="4"/>
      <c r="H3335" s="4"/>
      <c r="I3335" s="4"/>
      <c r="J3335" s="18"/>
      <c r="K3335" s="4"/>
      <c r="L3335" s="19"/>
      <c r="M3335" s="20"/>
    </row>
    <row r="3336">
      <c r="A3336" s="6"/>
      <c r="B3336" s="6"/>
      <c r="C3336" s="4"/>
      <c r="D3336" s="36">
        <v>0.0</v>
      </c>
      <c r="E3336" s="4"/>
      <c r="F3336" s="4"/>
      <c r="G3336" s="4"/>
      <c r="H3336" s="4"/>
      <c r="I3336" s="4"/>
      <c r="J3336" s="18"/>
      <c r="K3336" s="4"/>
      <c r="L3336" s="19"/>
      <c r="M3336" s="20"/>
    </row>
    <row r="3337">
      <c r="A3337" s="6"/>
      <c r="B3337" s="6"/>
      <c r="C3337" s="4"/>
      <c r="D3337" s="36">
        <v>0.0</v>
      </c>
      <c r="E3337" s="4"/>
      <c r="F3337" s="4"/>
      <c r="G3337" s="4"/>
      <c r="H3337" s="4"/>
      <c r="I3337" s="4"/>
      <c r="J3337" s="18"/>
      <c r="K3337" s="4"/>
      <c r="L3337" s="19"/>
      <c r="M3337" s="20"/>
    </row>
    <row r="3338">
      <c r="A3338" s="6"/>
      <c r="B3338" s="6"/>
      <c r="C3338" s="4"/>
      <c r="D3338" s="36">
        <v>0.0</v>
      </c>
      <c r="E3338" s="4"/>
      <c r="F3338" s="4"/>
      <c r="G3338" s="4"/>
      <c r="H3338" s="4"/>
      <c r="I3338" s="4"/>
      <c r="J3338" s="18"/>
      <c r="K3338" s="4"/>
      <c r="L3338" s="19"/>
      <c r="M3338" s="20"/>
    </row>
    <row r="3339">
      <c r="A3339" s="6"/>
      <c r="B3339" s="6"/>
      <c r="C3339" s="4"/>
      <c r="D3339" s="36">
        <v>0.0</v>
      </c>
      <c r="E3339" s="4"/>
      <c r="F3339" s="4"/>
      <c r="G3339" s="4"/>
      <c r="H3339" s="4"/>
      <c r="I3339" s="4"/>
      <c r="J3339" s="18"/>
      <c r="K3339" s="4"/>
      <c r="L3339" s="19"/>
      <c r="M3339" s="20"/>
    </row>
    <row r="3340">
      <c r="A3340" s="6"/>
      <c r="B3340" s="6"/>
      <c r="C3340" s="4"/>
      <c r="D3340" s="36">
        <v>0.0</v>
      </c>
      <c r="E3340" s="4"/>
      <c r="F3340" s="4"/>
      <c r="G3340" s="4"/>
      <c r="H3340" s="4"/>
      <c r="I3340" s="4"/>
      <c r="J3340" s="18"/>
      <c r="K3340" s="4"/>
      <c r="L3340" s="19"/>
      <c r="M3340" s="20"/>
    </row>
    <row r="3341">
      <c r="A3341" s="6"/>
      <c r="B3341" s="6"/>
      <c r="C3341" s="4"/>
      <c r="D3341" s="36">
        <v>0.0</v>
      </c>
      <c r="E3341" s="4"/>
      <c r="F3341" s="4"/>
      <c r="G3341" s="4"/>
      <c r="H3341" s="4"/>
      <c r="I3341" s="4"/>
      <c r="J3341" s="18"/>
      <c r="K3341" s="4"/>
      <c r="L3341" s="19"/>
      <c r="M3341" s="20"/>
    </row>
    <row r="3342">
      <c r="A3342" s="6"/>
      <c r="B3342" s="6"/>
      <c r="C3342" s="4"/>
      <c r="D3342" s="36">
        <v>0.0</v>
      </c>
      <c r="E3342" s="4"/>
      <c r="F3342" s="4"/>
      <c r="G3342" s="4"/>
      <c r="H3342" s="4"/>
      <c r="I3342" s="4"/>
      <c r="J3342" s="18"/>
      <c r="K3342" s="4"/>
      <c r="L3342" s="19"/>
      <c r="M3342" s="20"/>
    </row>
    <row r="3343">
      <c r="A3343" s="6"/>
      <c r="B3343" s="6"/>
      <c r="C3343" s="4"/>
      <c r="D3343" s="36">
        <v>0.0</v>
      </c>
      <c r="E3343" s="4"/>
      <c r="F3343" s="4"/>
      <c r="G3343" s="4"/>
      <c r="H3343" s="4"/>
      <c r="I3343" s="4"/>
      <c r="J3343" s="18"/>
      <c r="K3343" s="4"/>
      <c r="L3343" s="19"/>
      <c r="M3343" s="20"/>
    </row>
    <row r="3344">
      <c r="A3344" s="6"/>
      <c r="B3344" s="6"/>
      <c r="C3344" s="4"/>
      <c r="D3344" s="36">
        <v>0.0</v>
      </c>
      <c r="E3344" s="4"/>
      <c r="F3344" s="4"/>
      <c r="G3344" s="4"/>
      <c r="H3344" s="4"/>
      <c r="I3344" s="4"/>
      <c r="J3344" s="18"/>
      <c r="K3344" s="4"/>
      <c r="L3344" s="19"/>
      <c r="M3344" s="20"/>
    </row>
    <row r="3345">
      <c r="A3345" s="6"/>
      <c r="B3345" s="6"/>
      <c r="C3345" s="4"/>
      <c r="D3345" s="36">
        <v>0.0</v>
      </c>
      <c r="E3345" s="4"/>
      <c r="F3345" s="4"/>
      <c r="G3345" s="4"/>
      <c r="H3345" s="4"/>
      <c r="I3345" s="4"/>
      <c r="J3345" s="18"/>
      <c r="K3345" s="4"/>
      <c r="L3345" s="19"/>
      <c r="M3345" s="20"/>
    </row>
    <row r="3346">
      <c r="A3346" s="6"/>
      <c r="B3346" s="6"/>
      <c r="C3346" s="4"/>
      <c r="D3346" s="36">
        <v>0.0</v>
      </c>
      <c r="E3346" s="4"/>
      <c r="F3346" s="4"/>
      <c r="G3346" s="4"/>
      <c r="H3346" s="4"/>
      <c r="I3346" s="4"/>
      <c r="J3346" s="18"/>
      <c r="K3346" s="4"/>
      <c r="L3346" s="19"/>
      <c r="M3346" s="20"/>
    </row>
    <row r="3347">
      <c r="A3347" s="6"/>
      <c r="B3347" s="6"/>
      <c r="C3347" s="4"/>
      <c r="D3347" s="36">
        <v>0.0</v>
      </c>
      <c r="E3347" s="4"/>
      <c r="F3347" s="4"/>
      <c r="G3347" s="4"/>
      <c r="H3347" s="4"/>
      <c r="I3347" s="4"/>
      <c r="J3347" s="18"/>
      <c r="K3347" s="4"/>
      <c r="L3347" s="19"/>
      <c r="M3347" s="20"/>
    </row>
    <row r="3348">
      <c r="A3348" s="6"/>
      <c r="B3348" s="6"/>
      <c r="C3348" s="4"/>
      <c r="D3348" s="36">
        <v>0.0</v>
      </c>
      <c r="E3348" s="4"/>
      <c r="F3348" s="4"/>
      <c r="G3348" s="4"/>
      <c r="H3348" s="4"/>
      <c r="I3348" s="4"/>
      <c r="J3348" s="18"/>
      <c r="K3348" s="4"/>
      <c r="L3348" s="19"/>
      <c r="M3348" s="20"/>
    </row>
    <row r="3349">
      <c r="A3349" s="6"/>
      <c r="B3349" s="6"/>
      <c r="C3349" s="4"/>
      <c r="D3349" s="36">
        <v>0.0</v>
      </c>
      <c r="E3349" s="4"/>
      <c r="F3349" s="4"/>
      <c r="G3349" s="4"/>
      <c r="H3349" s="4"/>
      <c r="I3349" s="4"/>
      <c r="J3349" s="18"/>
      <c r="K3349" s="4"/>
      <c r="L3349" s="19"/>
      <c r="M3349" s="20"/>
    </row>
    <row r="3350">
      <c r="A3350" s="6"/>
      <c r="B3350" s="6"/>
      <c r="C3350" s="4"/>
      <c r="D3350" s="36">
        <v>0.0</v>
      </c>
      <c r="E3350" s="4"/>
      <c r="F3350" s="4"/>
      <c r="G3350" s="4"/>
      <c r="H3350" s="4"/>
      <c r="I3350" s="4"/>
      <c r="J3350" s="18"/>
      <c r="K3350" s="4"/>
      <c r="L3350" s="19"/>
      <c r="M3350" s="20"/>
    </row>
    <row r="3351">
      <c r="A3351" s="6"/>
      <c r="B3351" s="6"/>
      <c r="C3351" s="4"/>
      <c r="D3351" s="36">
        <v>0.0</v>
      </c>
      <c r="E3351" s="4"/>
      <c r="F3351" s="4"/>
      <c r="G3351" s="4"/>
      <c r="H3351" s="4"/>
      <c r="I3351" s="4"/>
      <c r="J3351" s="18"/>
      <c r="K3351" s="4"/>
      <c r="L3351" s="19"/>
      <c r="M3351" s="20"/>
    </row>
    <row r="3352">
      <c r="A3352" s="6"/>
      <c r="B3352" s="6"/>
      <c r="C3352" s="4"/>
      <c r="D3352" s="36">
        <v>0.0</v>
      </c>
      <c r="E3352" s="4"/>
      <c r="F3352" s="4"/>
      <c r="G3352" s="4"/>
      <c r="H3352" s="4"/>
      <c r="I3352" s="4"/>
      <c r="J3352" s="18"/>
      <c r="K3352" s="4"/>
      <c r="L3352" s="19"/>
      <c r="M3352" s="20"/>
    </row>
    <row r="3353">
      <c r="A3353" s="6"/>
      <c r="B3353" s="6"/>
      <c r="C3353" s="4"/>
      <c r="D3353" s="36">
        <v>0.0</v>
      </c>
      <c r="E3353" s="4"/>
      <c r="F3353" s="4"/>
      <c r="G3353" s="4"/>
      <c r="H3353" s="4"/>
      <c r="I3353" s="4"/>
      <c r="J3353" s="18"/>
      <c r="K3353" s="4"/>
      <c r="L3353" s="19"/>
      <c r="M3353" s="20"/>
    </row>
    <row r="3354">
      <c r="A3354" s="6"/>
      <c r="B3354" s="6"/>
      <c r="C3354" s="4"/>
      <c r="D3354" s="36">
        <v>0.0</v>
      </c>
      <c r="E3354" s="4"/>
      <c r="F3354" s="4"/>
      <c r="G3354" s="4"/>
      <c r="H3354" s="4"/>
      <c r="I3354" s="4"/>
      <c r="J3354" s="18"/>
      <c r="K3354" s="4"/>
      <c r="L3354" s="19"/>
      <c r="M3354" s="20"/>
    </row>
    <row r="3355">
      <c r="A3355" s="6"/>
      <c r="B3355" s="6"/>
      <c r="C3355" s="4"/>
      <c r="D3355" s="36">
        <v>0.0</v>
      </c>
      <c r="E3355" s="4"/>
      <c r="F3355" s="4"/>
      <c r="G3355" s="4"/>
      <c r="H3355" s="4"/>
      <c r="I3355" s="4"/>
      <c r="J3355" s="18"/>
      <c r="K3355" s="4"/>
      <c r="L3355" s="19"/>
      <c r="M3355" s="20"/>
    </row>
    <row r="3356">
      <c r="A3356" s="6"/>
      <c r="B3356" s="6"/>
      <c r="C3356" s="4"/>
      <c r="D3356" s="36">
        <v>0.0</v>
      </c>
      <c r="E3356" s="4"/>
      <c r="F3356" s="4"/>
      <c r="G3356" s="4"/>
      <c r="H3356" s="4"/>
      <c r="I3356" s="4"/>
      <c r="J3356" s="18"/>
      <c r="K3356" s="4"/>
      <c r="L3356" s="19"/>
      <c r="M3356" s="20"/>
    </row>
    <row r="3357">
      <c r="A3357" s="6"/>
      <c r="B3357" s="6"/>
      <c r="C3357" s="4"/>
      <c r="D3357" s="36">
        <v>0.0</v>
      </c>
      <c r="E3357" s="4"/>
      <c r="F3357" s="4"/>
      <c r="G3357" s="4"/>
      <c r="H3357" s="4"/>
      <c r="I3357" s="4"/>
      <c r="J3357" s="18"/>
      <c r="K3357" s="4"/>
      <c r="L3357" s="19"/>
      <c r="M3357" s="20"/>
    </row>
    <row r="3358">
      <c r="A3358" s="6"/>
      <c r="B3358" s="6"/>
      <c r="C3358" s="4"/>
      <c r="D3358" s="36">
        <v>0.0</v>
      </c>
      <c r="E3358" s="4"/>
      <c r="F3358" s="4"/>
      <c r="G3358" s="4"/>
      <c r="H3358" s="4"/>
      <c r="I3358" s="4"/>
      <c r="J3358" s="18"/>
      <c r="K3358" s="4"/>
      <c r="L3358" s="19"/>
      <c r="M3358" s="20"/>
    </row>
    <row r="3359">
      <c r="A3359" s="6"/>
      <c r="B3359" s="6"/>
      <c r="C3359" s="4"/>
      <c r="D3359" s="36">
        <v>0.0</v>
      </c>
      <c r="E3359" s="4"/>
      <c r="F3359" s="4"/>
      <c r="G3359" s="4"/>
      <c r="H3359" s="4"/>
      <c r="I3359" s="4"/>
      <c r="J3359" s="18"/>
      <c r="K3359" s="4"/>
      <c r="L3359" s="19"/>
      <c r="M3359" s="20"/>
    </row>
    <row r="3360">
      <c r="A3360" s="6"/>
      <c r="B3360" s="6"/>
      <c r="C3360" s="4"/>
      <c r="D3360" s="36">
        <v>0.0</v>
      </c>
      <c r="E3360" s="4"/>
      <c r="F3360" s="4"/>
      <c r="G3360" s="4"/>
      <c r="H3360" s="4"/>
      <c r="I3360" s="4"/>
      <c r="J3360" s="18"/>
      <c r="K3360" s="4"/>
      <c r="L3360" s="19"/>
      <c r="M3360" s="20"/>
    </row>
    <row r="3361">
      <c r="A3361" s="6"/>
      <c r="B3361" s="6"/>
      <c r="C3361" s="4"/>
      <c r="D3361" s="36">
        <v>0.0</v>
      </c>
      <c r="E3361" s="4"/>
      <c r="F3361" s="4"/>
      <c r="G3361" s="4"/>
      <c r="H3361" s="4"/>
      <c r="I3361" s="4"/>
      <c r="J3361" s="18"/>
      <c r="K3361" s="4"/>
      <c r="L3361" s="19"/>
      <c r="M3361" s="20"/>
    </row>
    <row r="3362">
      <c r="A3362" s="6"/>
      <c r="B3362" s="6"/>
      <c r="C3362" s="4"/>
      <c r="D3362" s="36">
        <v>0.0</v>
      </c>
      <c r="E3362" s="4"/>
      <c r="F3362" s="4"/>
      <c r="G3362" s="4"/>
      <c r="H3362" s="4"/>
      <c r="I3362" s="4"/>
      <c r="J3362" s="18"/>
      <c r="K3362" s="4"/>
      <c r="L3362" s="19"/>
      <c r="M3362" s="20"/>
    </row>
    <row r="3363">
      <c r="A3363" s="6"/>
      <c r="B3363" s="6"/>
      <c r="C3363" s="4"/>
      <c r="D3363" s="36">
        <v>0.0</v>
      </c>
      <c r="E3363" s="4"/>
      <c r="F3363" s="4"/>
      <c r="G3363" s="4"/>
      <c r="H3363" s="4"/>
      <c r="I3363" s="4"/>
      <c r="J3363" s="18"/>
      <c r="K3363" s="4"/>
      <c r="L3363" s="19"/>
      <c r="M3363" s="20"/>
    </row>
    <row r="3364">
      <c r="A3364" s="6"/>
      <c r="B3364" s="6"/>
      <c r="C3364" s="4"/>
      <c r="D3364" s="36">
        <v>0.0</v>
      </c>
      <c r="E3364" s="4"/>
      <c r="F3364" s="4"/>
      <c r="G3364" s="4"/>
      <c r="H3364" s="4"/>
      <c r="I3364" s="4"/>
      <c r="J3364" s="18"/>
      <c r="K3364" s="4"/>
      <c r="L3364" s="19"/>
      <c r="M3364" s="20"/>
    </row>
    <row r="3365">
      <c r="A3365" s="6"/>
      <c r="B3365" s="6"/>
      <c r="C3365" s="4"/>
      <c r="D3365" s="36">
        <v>0.0</v>
      </c>
      <c r="E3365" s="4"/>
      <c r="F3365" s="4"/>
      <c r="G3365" s="4"/>
      <c r="H3365" s="4"/>
      <c r="I3365" s="4"/>
      <c r="J3365" s="18"/>
      <c r="K3365" s="4"/>
      <c r="L3365" s="19"/>
      <c r="M3365" s="20"/>
    </row>
    <row r="3366">
      <c r="A3366" s="6"/>
      <c r="B3366" s="6"/>
      <c r="C3366" s="4"/>
      <c r="D3366" s="36">
        <v>0.0</v>
      </c>
      <c r="E3366" s="4"/>
      <c r="F3366" s="4"/>
      <c r="G3366" s="4"/>
      <c r="H3366" s="4"/>
      <c r="I3366" s="4"/>
      <c r="J3366" s="18"/>
      <c r="K3366" s="4"/>
      <c r="L3366" s="19"/>
      <c r="M3366" s="20"/>
    </row>
    <row r="3367">
      <c r="A3367" s="6"/>
      <c r="B3367" s="6"/>
      <c r="C3367" s="4"/>
      <c r="D3367" s="36">
        <v>0.0</v>
      </c>
      <c r="E3367" s="4"/>
      <c r="F3367" s="4"/>
      <c r="G3367" s="4"/>
      <c r="H3367" s="4"/>
      <c r="I3367" s="4"/>
      <c r="J3367" s="18"/>
      <c r="K3367" s="4"/>
      <c r="L3367" s="19"/>
      <c r="M3367" s="20"/>
    </row>
    <row r="3368">
      <c r="A3368" s="6"/>
      <c r="B3368" s="6"/>
      <c r="C3368" s="4"/>
      <c r="D3368" s="36">
        <v>0.0</v>
      </c>
      <c r="E3368" s="4"/>
      <c r="F3368" s="4"/>
      <c r="G3368" s="4"/>
      <c r="H3368" s="4"/>
      <c r="I3368" s="4"/>
      <c r="J3368" s="18"/>
      <c r="K3368" s="4"/>
      <c r="L3368" s="19"/>
      <c r="M3368" s="20"/>
    </row>
    <row r="3369">
      <c r="A3369" s="6"/>
      <c r="B3369" s="6"/>
      <c r="C3369" s="4"/>
      <c r="D3369" s="36">
        <v>0.0</v>
      </c>
      <c r="E3369" s="4"/>
      <c r="F3369" s="4"/>
      <c r="G3369" s="4"/>
      <c r="H3369" s="4"/>
      <c r="I3369" s="4"/>
      <c r="J3369" s="18"/>
      <c r="K3369" s="4"/>
      <c r="L3369" s="19"/>
      <c r="M3369" s="20"/>
    </row>
    <row r="3370">
      <c r="A3370" s="6"/>
      <c r="B3370" s="6"/>
      <c r="C3370" s="4"/>
      <c r="D3370" s="36">
        <v>0.0</v>
      </c>
      <c r="E3370" s="4"/>
      <c r="F3370" s="4"/>
      <c r="G3370" s="4"/>
      <c r="H3370" s="4"/>
      <c r="I3370" s="4"/>
      <c r="J3370" s="18"/>
      <c r="K3370" s="4"/>
      <c r="L3370" s="19"/>
      <c r="M3370" s="20"/>
    </row>
    <row r="3371">
      <c r="A3371" s="6"/>
      <c r="B3371" s="6"/>
      <c r="C3371" s="4"/>
      <c r="D3371" s="36">
        <v>0.0</v>
      </c>
      <c r="E3371" s="4"/>
      <c r="F3371" s="4"/>
      <c r="G3371" s="4"/>
      <c r="H3371" s="4"/>
      <c r="I3371" s="4"/>
      <c r="J3371" s="18"/>
      <c r="K3371" s="4"/>
      <c r="L3371" s="19"/>
      <c r="M3371" s="20"/>
    </row>
    <row r="3372">
      <c r="A3372" s="6"/>
      <c r="B3372" s="6"/>
      <c r="C3372" s="4"/>
      <c r="D3372" s="36">
        <v>0.0</v>
      </c>
      <c r="E3372" s="4"/>
      <c r="F3372" s="4"/>
      <c r="G3372" s="4"/>
      <c r="H3372" s="4"/>
      <c r="I3372" s="4"/>
      <c r="J3372" s="18"/>
      <c r="K3372" s="4"/>
      <c r="L3372" s="19"/>
      <c r="M3372" s="20"/>
    </row>
    <row r="3373">
      <c r="A3373" s="6"/>
      <c r="B3373" s="6"/>
      <c r="C3373" s="4"/>
      <c r="D3373" s="36">
        <v>0.0</v>
      </c>
      <c r="E3373" s="4"/>
      <c r="F3373" s="4"/>
      <c r="G3373" s="4"/>
      <c r="H3373" s="4"/>
      <c r="I3373" s="4"/>
      <c r="J3373" s="18"/>
      <c r="K3373" s="4"/>
      <c r="L3373" s="19"/>
      <c r="M3373" s="20"/>
    </row>
    <row r="3374">
      <c r="A3374" s="6"/>
      <c r="B3374" s="6"/>
      <c r="C3374" s="4"/>
      <c r="D3374" s="36">
        <v>0.0</v>
      </c>
      <c r="E3374" s="4"/>
      <c r="F3374" s="4"/>
      <c r="G3374" s="4"/>
      <c r="H3374" s="4"/>
      <c r="I3374" s="4"/>
      <c r="J3374" s="18"/>
      <c r="K3374" s="4"/>
      <c r="L3374" s="19"/>
      <c r="M3374" s="20"/>
    </row>
    <row r="3375">
      <c r="A3375" s="6"/>
      <c r="B3375" s="6"/>
      <c r="C3375" s="4"/>
      <c r="D3375" s="36">
        <v>0.0</v>
      </c>
      <c r="E3375" s="4"/>
      <c r="F3375" s="4"/>
      <c r="G3375" s="4"/>
      <c r="H3375" s="4"/>
      <c r="I3375" s="4"/>
      <c r="J3375" s="18"/>
      <c r="K3375" s="4"/>
      <c r="L3375" s="19"/>
      <c r="M3375" s="20"/>
    </row>
    <row r="3376">
      <c r="A3376" s="6"/>
      <c r="B3376" s="6"/>
      <c r="C3376" s="4"/>
      <c r="D3376" s="36">
        <v>0.0</v>
      </c>
      <c r="E3376" s="4"/>
      <c r="F3376" s="4"/>
      <c r="G3376" s="4"/>
      <c r="H3376" s="4"/>
      <c r="I3376" s="4"/>
      <c r="J3376" s="18"/>
      <c r="K3376" s="4"/>
      <c r="L3376" s="19"/>
      <c r="M3376" s="20"/>
    </row>
    <row r="3377">
      <c r="A3377" s="6"/>
      <c r="B3377" s="6"/>
      <c r="C3377" s="4"/>
      <c r="D3377" s="36">
        <v>0.0</v>
      </c>
      <c r="E3377" s="4"/>
      <c r="F3377" s="4"/>
      <c r="G3377" s="4"/>
      <c r="H3377" s="4"/>
      <c r="I3377" s="4"/>
      <c r="J3377" s="18"/>
      <c r="K3377" s="4"/>
      <c r="L3377" s="19"/>
      <c r="M3377" s="20"/>
    </row>
    <row r="3378">
      <c r="A3378" s="6"/>
      <c r="B3378" s="6"/>
      <c r="C3378" s="4"/>
      <c r="D3378" s="36">
        <v>0.0</v>
      </c>
      <c r="E3378" s="4"/>
      <c r="F3378" s="4"/>
      <c r="G3378" s="4"/>
      <c r="H3378" s="4"/>
      <c r="I3378" s="4"/>
      <c r="J3378" s="18"/>
      <c r="K3378" s="4"/>
      <c r="L3378" s="19"/>
      <c r="M3378" s="20"/>
    </row>
    <row r="3379">
      <c r="A3379" s="6"/>
      <c r="B3379" s="6"/>
      <c r="C3379" s="4"/>
      <c r="D3379" s="36">
        <v>0.0</v>
      </c>
      <c r="E3379" s="4"/>
      <c r="F3379" s="4"/>
      <c r="G3379" s="4"/>
      <c r="H3379" s="4"/>
      <c r="I3379" s="4"/>
      <c r="J3379" s="18"/>
      <c r="K3379" s="4"/>
      <c r="L3379" s="19"/>
      <c r="M3379" s="20"/>
    </row>
    <row r="3380">
      <c r="A3380" s="6"/>
      <c r="B3380" s="6"/>
      <c r="C3380" s="4"/>
      <c r="D3380" s="36">
        <v>0.0</v>
      </c>
      <c r="E3380" s="4"/>
      <c r="F3380" s="4"/>
      <c r="G3380" s="4"/>
      <c r="H3380" s="4"/>
      <c r="I3380" s="4"/>
      <c r="J3380" s="18"/>
      <c r="K3380" s="4"/>
      <c r="L3380" s="19"/>
      <c r="M3380" s="20"/>
    </row>
    <row r="3381">
      <c r="A3381" s="6"/>
      <c r="B3381" s="6"/>
      <c r="C3381" s="4"/>
      <c r="D3381" s="36">
        <v>0.0</v>
      </c>
      <c r="E3381" s="4"/>
      <c r="F3381" s="4"/>
      <c r="G3381" s="4"/>
      <c r="H3381" s="4"/>
      <c r="I3381" s="4"/>
      <c r="J3381" s="18"/>
      <c r="K3381" s="4"/>
      <c r="L3381" s="19"/>
      <c r="M3381" s="20"/>
    </row>
    <row r="3382">
      <c r="A3382" s="6"/>
      <c r="B3382" s="6"/>
      <c r="C3382" s="4"/>
      <c r="D3382" s="36">
        <v>0.0</v>
      </c>
      <c r="E3382" s="4"/>
      <c r="F3382" s="4"/>
      <c r="G3382" s="4"/>
      <c r="H3382" s="4"/>
      <c r="I3382" s="4"/>
      <c r="J3382" s="18"/>
      <c r="K3382" s="4"/>
      <c r="L3382" s="19"/>
      <c r="M3382" s="20"/>
    </row>
    <row r="3383">
      <c r="A3383" s="6"/>
      <c r="B3383" s="6"/>
      <c r="C3383" s="4"/>
      <c r="D3383" s="36">
        <v>0.0</v>
      </c>
      <c r="E3383" s="4"/>
      <c r="F3383" s="4"/>
      <c r="G3383" s="4"/>
      <c r="H3383" s="4"/>
      <c r="I3383" s="4"/>
      <c r="J3383" s="18"/>
      <c r="K3383" s="4"/>
      <c r="L3383" s="19"/>
      <c r="M3383" s="20"/>
    </row>
    <row r="3384">
      <c r="A3384" s="6"/>
      <c r="B3384" s="6"/>
      <c r="C3384" s="4"/>
      <c r="D3384" s="36">
        <v>0.0</v>
      </c>
      <c r="E3384" s="4"/>
      <c r="F3384" s="4"/>
      <c r="G3384" s="4"/>
      <c r="H3384" s="4"/>
      <c r="I3384" s="4"/>
      <c r="J3384" s="18"/>
      <c r="K3384" s="4"/>
      <c r="L3384" s="19"/>
      <c r="M3384" s="20"/>
    </row>
    <row r="3385">
      <c r="A3385" s="6"/>
      <c r="B3385" s="6"/>
      <c r="C3385" s="4"/>
      <c r="D3385" s="36">
        <v>0.0</v>
      </c>
      <c r="E3385" s="4"/>
      <c r="F3385" s="4"/>
      <c r="G3385" s="4"/>
      <c r="H3385" s="4"/>
      <c r="I3385" s="4"/>
      <c r="J3385" s="18"/>
      <c r="K3385" s="4"/>
      <c r="L3385" s="19"/>
      <c r="M3385" s="20"/>
    </row>
    <row r="3386">
      <c r="A3386" s="6"/>
      <c r="B3386" s="6"/>
      <c r="C3386" s="4"/>
      <c r="D3386" s="36">
        <v>0.0</v>
      </c>
      <c r="E3386" s="4"/>
      <c r="F3386" s="4"/>
      <c r="G3386" s="4"/>
      <c r="H3386" s="4"/>
      <c r="I3386" s="4"/>
      <c r="J3386" s="18"/>
      <c r="K3386" s="4"/>
      <c r="L3386" s="19"/>
      <c r="M3386" s="20"/>
    </row>
    <row r="3387">
      <c r="A3387" s="6"/>
      <c r="B3387" s="6"/>
      <c r="C3387" s="4"/>
      <c r="D3387" s="36">
        <v>0.0</v>
      </c>
      <c r="E3387" s="4"/>
      <c r="F3387" s="4"/>
      <c r="G3387" s="4"/>
      <c r="H3387" s="4"/>
      <c r="I3387" s="4"/>
      <c r="J3387" s="18"/>
      <c r="K3387" s="4"/>
      <c r="L3387" s="19"/>
      <c r="M3387" s="20"/>
    </row>
    <row r="3388">
      <c r="A3388" s="6"/>
      <c r="B3388" s="6"/>
      <c r="C3388" s="4"/>
      <c r="D3388" s="36">
        <v>0.0</v>
      </c>
      <c r="E3388" s="4"/>
      <c r="F3388" s="4"/>
      <c r="G3388" s="4"/>
      <c r="H3388" s="4"/>
      <c r="I3388" s="4"/>
      <c r="J3388" s="18"/>
      <c r="K3388" s="4"/>
      <c r="L3388" s="19"/>
      <c r="M3388" s="20"/>
    </row>
    <row r="3389">
      <c r="A3389" s="6"/>
      <c r="B3389" s="6"/>
      <c r="C3389" s="4"/>
      <c r="D3389" s="36">
        <v>0.0</v>
      </c>
      <c r="E3389" s="4"/>
      <c r="F3389" s="4"/>
      <c r="G3389" s="4"/>
      <c r="H3389" s="4"/>
      <c r="I3389" s="4"/>
      <c r="J3389" s="18"/>
      <c r="K3389" s="4"/>
      <c r="L3389" s="19"/>
      <c r="M3389" s="20"/>
    </row>
    <row r="3390">
      <c r="A3390" s="6"/>
      <c r="B3390" s="6"/>
      <c r="C3390" s="4"/>
      <c r="D3390" s="36">
        <v>0.0</v>
      </c>
      <c r="E3390" s="4"/>
      <c r="F3390" s="4"/>
      <c r="G3390" s="4"/>
      <c r="H3390" s="4"/>
      <c r="I3390" s="4"/>
      <c r="J3390" s="18"/>
      <c r="K3390" s="4"/>
      <c r="L3390" s="19"/>
      <c r="M3390" s="20"/>
    </row>
    <row r="3391">
      <c r="A3391" s="6"/>
      <c r="B3391" s="6"/>
      <c r="C3391" s="4"/>
      <c r="D3391" s="36">
        <v>0.0</v>
      </c>
      <c r="E3391" s="4"/>
      <c r="F3391" s="4"/>
      <c r="G3391" s="4"/>
      <c r="H3391" s="4"/>
      <c r="I3391" s="4"/>
      <c r="J3391" s="18"/>
      <c r="K3391" s="4"/>
      <c r="L3391" s="19"/>
      <c r="M3391" s="20"/>
    </row>
    <row r="3392">
      <c r="A3392" s="6"/>
      <c r="B3392" s="6"/>
      <c r="C3392" s="4"/>
      <c r="D3392" s="36">
        <v>0.0</v>
      </c>
      <c r="E3392" s="4"/>
      <c r="F3392" s="4"/>
      <c r="G3392" s="4"/>
      <c r="H3392" s="4"/>
      <c r="I3392" s="4"/>
      <c r="J3392" s="18"/>
      <c r="K3392" s="4"/>
      <c r="L3392" s="19"/>
      <c r="M3392" s="20"/>
    </row>
    <row r="3393">
      <c r="A3393" s="6"/>
      <c r="B3393" s="6"/>
      <c r="C3393" s="4"/>
      <c r="D3393" s="36">
        <v>0.0</v>
      </c>
      <c r="E3393" s="4"/>
      <c r="F3393" s="4"/>
      <c r="G3393" s="4"/>
      <c r="H3393" s="4"/>
      <c r="I3393" s="4"/>
      <c r="J3393" s="18"/>
      <c r="K3393" s="4"/>
      <c r="L3393" s="19"/>
      <c r="M3393" s="20"/>
    </row>
    <row r="3394">
      <c r="A3394" s="6"/>
      <c r="B3394" s="6"/>
      <c r="C3394" s="4"/>
      <c r="D3394" s="36">
        <v>0.0</v>
      </c>
      <c r="E3394" s="4"/>
      <c r="F3394" s="4"/>
      <c r="G3394" s="4"/>
      <c r="H3394" s="4"/>
      <c r="I3394" s="4"/>
      <c r="J3394" s="18"/>
      <c r="K3394" s="4"/>
      <c r="L3394" s="19"/>
      <c r="M3394" s="20"/>
    </row>
    <row r="3395">
      <c r="A3395" s="6"/>
      <c r="B3395" s="6"/>
      <c r="C3395" s="4"/>
      <c r="D3395" s="36">
        <v>0.0</v>
      </c>
      <c r="E3395" s="4"/>
      <c r="F3395" s="4"/>
      <c r="G3395" s="4"/>
      <c r="H3395" s="4"/>
      <c r="I3395" s="4"/>
      <c r="J3395" s="18"/>
      <c r="K3395" s="4"/>
      <c r="L3395" s="19"/>
      <c r="M3395" s="20"/>
    </row>
    <row r="3396">
      <c r="A3396" s="6"/>
      <c r="B3396" s="6"/>
      <c r="C3396" s="4"/>
      <c r="D3396" s="36">
        <v>0.0</v>
      </c>
      <c r="E3396" s="4"/>
      <c r="F3396" s="4"/>
      <c r="G3396" s="4"/>
      <c r="H3396" s="4"/>
      <c r="I3396" s="4"/>
      <c r="J3396" s="18"/>
      <c r="K3396" s="4"/>
      <c r="L3396" s="19"/>
      <c r="M3396" s="20"/>
    </row>
    <row r="3397">
      <c r="A3397" s="6"/>
      <c r="B3397" s="6"/>
      <c r="C3397" s="4"/>
      <c r="D3397" s="36">
        <v>0.0</v>
      </c>
      <c r="E3397" s="4"/>
      <c r="F3397" s="4"/>
      <c r="G3397" s="4"/>
      <c r="H3397" s="4"/>
      <c r="I3397" s="4"/>
      <c r="J3397" s="18"/>
      <c r="K3397" s="4"/>
      <c r="L3397" s="19"/>
      <c r="M3397" s="20"/>
    </row>
    <row r="3398">
      <c r="A3398" s="6"/>
      <c r="B3398" s="6"/>
      <c r="C3398" s="4"/>
      <c r="D3398" s="36">
        <v>0.0</v>
      </c>
      <c r="E3398" s="4"/>
      <c r="F3398" s="4"/>
      <c r="G3398" s="4"/>
      <c r="H3398" s="4"/>
      <c r="I3398" s="4"/>
      <c r="J3398" s="18"/>
      <c r="K3398" s="4"/>
      <c r="L3398" s="19"/>
      <c r="M3398" s="20"/>
    </row>
    <row r="3399">
      <c r="A3399" s="6"/>
      <c r="B3399" s="6"/>
      <c r="C3399" s="4"/>
      <c r="D3399" s="36">
        <v>0.0</v>
      </c>
      <c r="E3399" s="4"/>
      <c r="F3399" s="4"/>
      <c r="G3399" s="4"/>
      <c r="H3399" s="4"/>
      <c r="I3399" s="4"/>
      <c r="J3399" s="18"/>
      <c r="K3399" s="4"/>
      <c r="L3399" s="19"/>
      <c r="M3399" s="20"/>
    </row>
    <row r="3400">
      <c r="A3400" s="6"/>
      <c r="B3400" s="6"/>
      <c r="C3400" s="4"/>
      <c r="D3400" s="36">
        <v>0.0</v>
      </c>
      <c r="E3400" s="4"/>
      <c r="F3400" s="4"/>
      <c r="G3400" s="4"/>
      <c r="H3400" s="4"/>
      <c r="I3400" s="4"/>
      <c r="J3400" s="18"/>
      <c r="K3400" s="4"/>
      <c r="L3400" s="19"/>
      <c r="M3400" s="20"/>
    </row>
    <row r="3401">
      <c r="A3401" s="6"/>
      <c r="B3401" s="6"/>
      <c r="C3401" s="4"/>
      <c r="D3401" s="36">
        <v>0.0</v>
      </c>
      <c r="E3401" s="4"/>
      <c r="F3401" s="4"/>
      <c r="G3401" s="4"/>
      <c r="H3401" s="4"/>
      <c r="I3401" s="4"/>
      <c r="J3401" s="18"/>
      <c r="K3401" s="4"/>
      <c r="L3401" s="19"/>
      <c r="M3401" s="20"/>
    </row>
    <row r="3402">
      <c r="A3402" s="6"/>
      <c r="B3402" s="6"/>
      <c r="C3402" s="4"/>
      <c r="D3402" s="36">
        <v>0.0</v>
      </c>
      <c r="E3402" s="4"/>
      <c r="F3402" s="4"/>
      <c r="G3402" s="4"/>
      <c r="H3402" s="4"/>
      <c r="I3402" s="4"/>
      <c r="J3402" s="18"/>
      <c r="K3402" s="4"/>
      <c r="L3402" s="19"/>
      <c r="M3402" s="20"/>
    </row>
    <row r="3403">
      <c r="A3403" s="6"/>
      <c r="B3403" s="6"/>
      <c r="C3403" s="4"/>
      <c r="D3403" s="36">
        <v>0.0</v>
      </c>
      <c r="E3403" s="4"/>
      <c r="F3403" s="4"/>
      <c r="G3403" s="4"/>
      <c r="H3403" s="4"/>
      <c r="I3403" s="4"/>
      <c r="J3403" s="18"/>
      <c r="K3403" s="4"/>
      <c r="L3403" s="19"/>
      <c r="M3403" s="20"/>
    </row>
    <row r="3404">
      <c r="A3404" s="6"/>
      <c r="B3404" s="6"/>
      <c r="C3404" s="4"/>
      <c r="D3404" s="36">
        <v>0.0</v>
      </c>
      <c r="E3404" s="4"/>
      <c r="F3404" s="4"/>
      <c r="G3404" s="4"/>
      <c r="H3404" s="4"/>
      <c r="I3404" s="4"/>
      <c r="J3404" s="18"/>
      <c r="K3404" s="4"/>
      <c r="L3404" s="19"/>
      <c r="M3404" s="20"/>
    </row>
    <row r="3405">
      <c r="A3405" s="6"/>
      <c r="B3405" s="6"/>
      <c r="C3405" s="4"/>
      <c r="D3405" s="36">
        <v>0.0</v>
      </c>
      <c r="E3405" s="4"/>
      <c r="F3405" s="4"/>
      <c r="G3405" s="4"/>
      <c r="H3405" s="4"/>
      <c r="I3405" s="4"/>
      <c r="J3405" s="18"/>
      <c r="K3405" s="4"/>
      <c r="L3405" s="19"/>
      <c r="M3405" s="20"/>
    </row>
    <row r="3406">
      <c r="A3406" s="6"/>
      <c r="B3406" s="6"/>
      <c r="C3406" s="4"/>
      <c r="D3406" s="36">
        <v>0.0</v>
      </c>
      <c r="E3406" s="4"/>
      <c r="F3406" s="4"/>
      <c r="G3406" s="4"/>
      <c r="H3406" s="4"/>
      <c r="I3406" s="4"/>
      <c r="J3406" s="18"/>
      <c r="K3406" s="4"/>
      <c r="L3406" s="19"/>
      <c r="M3406" s="20"/>
    </row>
    <row r="3407">
      <c r="A3407" s="6"/>
      <c r="B3407" s="6"/>
      <c r="C3407" s="4"/>
      <c r="D3407" s="36">
        <v>0.0</v>
      </c>
      <c r="E3407" s="4"/>
      <c r="F3407" s="4"/>
      <c r="G3407" s="4"/>
      <c r="H3407" s="4"/>
      <c r="I3407" s="4"/>
      <c r="J3407" s="18"/>
      <c r="K3407" s="4"/>
      <c r="L3407" s="19"/>
      <c r="M3407" s="20"/>
    </row>
    <row r="3408">
      <c r="A3408" s="6"/>
      <c r="B3408" s="6"/>
      <c r="C3408" s="4"/>
      <c r="D3408" s="36">
        <v>0.0</v>
      </c>
      <c r="E3408" s="4"/>
      <c r="F3408" s="4"/>
      <c r="G3408" s="4"/>
      <c r="H3408" s="4"/>
      <c r="I3408" s="4"/>
      <c r="J3408" s="18"/>
      <c r="K3408" s="4"/>
      <c r="L3408" s="19"/>
      <c r="M3408" s="20"/>
    </row>
    <row r="3409">
      <c r="A3409" s="6"/>
      <c r="B3409" s="6"/>
      <c r="C3409" s="4"/>
      <c r="D3409" s="36">
        <v>0.0</v>
      </c>
      <c r="E3409" s="4"/>
      <c r="F3409" s="4"/>
      <c r="G3409" s="4"/>
      <c r="H3409" s="4"/>
      <c r="I3409" s="4"/>
      <c r="J3409" s="18"/>
      <c r="K3409" s="4"/>
      <c r="L3409" s="19"/>
      <c r="M3409" s="20"/>
    </row>
    <row r="3410">
      <c r="A3410" s="6"/>
      <c r="B3410" s="6"/>
      <c r="C3410" s="4"/>
      <c r="D3410" s="36">
        <v>0.0</v>
      </c>
      <c r="E3410" s="4"/>
      <c r="F3410" s="4"/>
      <c r="G3410" s="4"/>
      <c r="H3410" s="4"/>
      <c r="I3410" s="4"/>
      <c r="J3410" s="18"/>
      <c r="K3410" s="4"/>
      <c r="L3410" s="19"/>
      <c r="M3410" s="20"/>
    </row>
    <row r="3411">
      <c r="A3411" s="6"/>
      <c r="B3411" s="6"/>
      <c r="C3411" s="4"/>
      <c r="D3411" s="36">
        <v>0.0</v>
      </c>
      <c r="E3411" s="4"/>
      <c r="F3411" s="4"/>
      <c r="G3411" s="4"/>
      <c r="H3411" s="4"/>
      <c r="I3411" s="4"/>
      <c r="J3411" s="18"/>
      <c r="K3411" s="4"/>
      <c r="L3411" s="19"/>
      <c r="M3411" s="20"/>
    </row>
    <row r="3412">
      <c r="A3412" s="6"/>
      <c r="B3412" s="6"/>
      <c r="C3412" s="4"/>
      <c r="D3412" s="36">
        <v>0.0</v>
      </c>
      <c r="E3412" s="4"/>
      <c r="F3412" s="4"/>
      <c r="G3412" s="4"/>
      <c r="H3412" s="4"/>
      <c r="I3412" s="4"/>
      <c r="J3412" s="18"/>
      <c r="K3412" s="4"/>
      <c r="L3412" s="19"/>
      <c r="M3412" s="20"/>
    </row>
    <row r="3413">
      <c r="A3413" s="6"/>
      <c r="B3413" s="6"/>
      <c r="C3413" s="4"/>
      <c r="D3413" s="36">
        <v>0.0</v>
      </c>
      <c r="E3413" s="4"/>
      <c r="F3413" s="4"/>
      <c r="G3413" s="4"/>
      <c r="H3413" s="4"/>
      <c r="I3413" s="4"/>
      <c r="J3413" s="18"/>
      <c r="K3413" s="4"/>
      <c r="L3413" s="19"/>
      <c r="M3413" s="20"/>
    </row>
    <row r="3414">
      <c r="A3414" s="6"/>
      <c r="B3414" s="6"/>
      <c r="C3414" s="4"/>
      <c r="D3414" s="36">
        <v>0.0</v>
      </c>
      <c r="E3414" s="4"/>
      <c r="F3414" s="4"/>
      <c r="G3414" s="4"/>
      <c r="H3414" s="4"/>
      <c r="I3414" s="4"/>
      <c r="J3414" s="18"/>
      <c r="K3414" s="4"/>
      <c r="L3414" s="19"/>
      <c r="M3414" s="20"/>
    </row>
    <row r="3415">
      <c r="A3415" s="6"/>
      <c r="B3415" s="6"/>
      <c r="C3415" s="4"/>
      <c r="D3415" s="36">
        <v>0.0</v>
      </c>
      <c r="E3415" s="4"/>
      <c r="F3415" s="4"/>
      <c r="G3415" s="4"/>
      <c r="H3415" s="4"/>
      <c r="I3415" s="4"/>
      <c r="J3415" s="18"/>
      <c r="K3415" s="4"/>
      <c r="L3415" s="19"/>
      <c r="M3415" s="20"/>
    </row>
    <row r="3416">
      <c r="A3416" s="6"/>
      <c r="B3416" s="6"/>
      <c r="C3416" s="4"/>
      <c r="D3416" s="36">
        <v>0.0</v>
      </c>
      <c r="E3416" s="4"/>
      <c r="F3416" s="4"/>
      <c r="G3416" s="4"/>
      <c r="H3416" s="4"/>
      <c r="I3416" s="4"/>
      <c r="J3416" s="18"/>
      <c r="K3416" s="4"/>
      <c r="L3416" s="19"/>
      <c r="M3416" s="20"/>
    </row>
    <row r="3417">
      <c r="A3417" s="6"/>
      <c r="B3417" s="6"/>
      <c r="C3417" s="4"/>
      <c r="D3417" s="36">
        <v>0.0</v>
      </c>
      <c r="E3417" s="4"/>
      <c r="F3417" s="4"/>
      <c r="G3417" s="4"/>
      <c r="H3417" s="4"/>
      <c r="I3417" s="4"/>
      <c r="J3417" s="18"/>
      <c r="K3417" s="4"/>
      <c r="L3417" s="19"/>
      <c r="M3417" s="20"/>
    </row>
    <row r="3418">
      <c r="A3418" s="6"/>
      <c r="B3418" s="6"/>
      <c r="C3418" s="4"/>
      <c r="D3418" s="36">
        <v>0.0</v>
      </c>
      <c r="E3418" s="4"/>
      <c r="F3418" s="4"/>
      <c r="G3418" s="4"/>
      <c r="H3418" s="4"/>
      <c r="I3418" s="4"/>
      <c r="J3418" s="18"/>
      <c r="K3418" s="4"/>
      <c r="L3418" s="19"/>
      <c r="M3418" s="20"/>
    </row>
    <row r="3419">
      <c r="A3419" s="6"/>
      <c r="B3419" s="6"/>
      <c r="C3419" s="4"/>
      <c r="D3419" s="36">
        <v>0.0</v>
      </c>
      <c r="E3419" s="4"/>
      <c r="F3419" s="4"/>
      <c r="G3419" s="4"/>
      <c r="H3419" s="4"/>
      <c r="I3419" s="4"/>
      <c r="J3419" s="18"/>
      <c r="K3419" s="4"/>
      <c r="L3419" s="19"/>
      <c r="M3419" s="20"/>
    </row>
    <row r="3420">
      <c r="A3420" s="6"/>
      <c r="B3420" s="6"/>
      <c r="C3420" s="4"/>
      <c r="D3420" s="36">
        <v>0.0</v>
      </c>
      <c r="E3420" s="4"/>
      <c r="F3420" s="4"/>
      <c r="G3420" s="4"/>
      <c r="H3420" s="4"/>
      <c r="I3420" s="4"/>
      <c r="J3420" s="18"/>
      <c r="K3420" s="4"/>
      <c r="L3420" s="19"/>
      <c r="M3420" s="20"/>
    </row>
    <row r="3421">
      <c r="A3421" s="6"/>
      <c r="B3421" s="6"/>
      <c r="C3421" s="4"/>
      <c r="D3421" s="36">
        <v>0.0</v>
      </c>
      <c r="E3421" s="4"/>
      <c r="F3421" s="4"/>
      <c r="G3421" s="4"/>
      <c r="H3421" s="4"/>
      <c r="I3421" s="4"/>
      <c r="J3421" s="18"/>
      <c r="K3421" s="4"/>
      <c r="L3421" s="19"/>
      <c r="M3421" s="20"/>
    </row>
    <row r="3422">
      <c r="A3422" s="6"/>
      <c r="B3422" s="6"/>
      <c r="C3422" s="4"/>
      <c r="D3422" s="36">
        <v>0.0</v>
      </c>
      <c r="E3422" s="4"/>
      <c r="F3422" s="4"/>
      <c r="G3422" s="4"/>
      <c r="H3422" s="4"/>
      <c r="I3422" s="4"/>
      <c r="J3422" s="18"/>
      <c r="K3422" s="4"/>
      <c r="L3422" s="19"/>
      <c r="M3422" s="20"/>
    </row>
    <row r="3423">
      <c r="A3423" s="6"/>
      <c r="B3423" s="6"/>
      <c r="C3423" s="4"/>
      <c r="D3423" s="36">
        <v>0.0</v>
      </c>
      <c r="E3423" s="4"/>
      <c r="F3423" s="4"/>
      <c r="G3423" s="4"/>
      <c r="H3423" s="4"/>
      <c r="I3423" s="4"/>
      <c r="J3423" s="18"/>
      <c r="K3423" s="4"/>
      <c r="L3423" s="19"/>
      <c r="M3423" s="20"/>
    </row>
    <row r="3424">
      <c r="A3424" s="6"/>
      <c r="B3424" s="6"/>
      <c r="C3424" s="4"/>
      <c r="D3424" s="36">
        <v>0.0</v>
      </c>
      <c r="E3424" s="4"/>
      <c r="F3424" s="4"/>
      <c r="G3424" s="4"/>
      <c r="H3424" s="4"/>
      <c r="I3424" s="4"/>
      <c r="J3424" s="18"/>
      <c r="K3424" s="4"/>
      <c r="L3424" s="19"/>
      <c r="M3424" s="20"/>
    </row>
    <row r="3425">
      <c r="A3425" s="6"/>
      <c r="B3425" s="6"/>
      <c r="C3425" s="4"/>
      <c r="D3425" s="36">
        <v>0.0</v>
      </c>
      <c r="E3425" s="4"/>
      <c r="F3425" s="4"/>
      <c r="G3425" s="4"/>
      <c r="H3425" s="4"/>
      <c r="I3425" s="4"/>
      <c r="J3425" s="18"/>
      <c r="K3425" s="4"/>
      <c r="L3425" s="19"/>
      <c r="M3425" s="20"/>
    </row>
    <row r="3426">
      <c r="A3426" s="6"/>
      <c r="B3426" s="6"/>
      <c r="C3426" s="4"/>
      <c r="D3426" s="36">
        <v>0.0</v>
      </c>
      <c r="E3426" s="4"/>
      <c r="F3426" s="4"/>
      <c r="G3426" s="4"/>
      <c r="H3426" s="4"/>
      <c r="I3426" s="4"/>
      <c r="J3426" s="18"/>
      <c r="K3426" s="4"/>
      <c r="L3426" s="19"/>
      <c r="M3426" s="20"/>
    </row>
    <row r="3427">
      <c r="A3427" s="6"/>
      <c r="B3427" s="6"/>
      <c r="C3427" s="4"/>
      <c r="D3427" s="36">
        <v>0.0</v>
      </c>
      <c r="E3427" s="4"/>
      <c r="F3427" s="4"/>
      <c r="G3427" s="4"/>
      <c r="H3427" s="4"/>
      <c r="I3427" s="4"/>
      <c r="J3427" s="18"/>
      <c r="K3427" s="4"/>
      <c r="L3427" s="19"/>
      <c r="M3427" s="20"/>
    </row>
    <row r="3428">
      <c r="A3428" s="6"/>
      <c r="B3428" s="6"/>
      <c r="C3428" s="4"/>
      <c r="D3428" s="36">
        <v>0.0</v>
      </c>
      <c r="E3428" s="4"/>
      <c r="F3428" s="4"/>
      <c r="G3428" s="4"/>
      <c r="H3428" s="4"/>
      <c r="I3428" s="4"/>
      <c r="J3428" s="18"/>
      <c r="K3428" s="4"/>
      <c r="L3428" s="19"/>
      <c r="M3428" s="20"/>
    </row>
    <row r="3429">
      <c r="A3429" s="6"/>
      <c r="B3429" s="6"/>
      <c r="C3429" s="4"/>
      <c r="D3429" s="36">
        <v>0.0</v>
      </c>
      <c r="E3429" s="4"/>
      <c r="F3429" s="4"/>
      <c r="G3429" s="4"/>
      <c r="H3429" s="4"/>
      <c r="I3429" s="4"/>
      <c r="J3429" s="18"/>
      <c r="K3429" s="4"/>
      <c r="L3429" s="19"/>
      <c r="M3429" s="20"/>
    </row>
    <row r="3430">
      <c r="A3430" s="6"/>
      <c r="B3430" s="6"/>
      <c r="C3430" s="4"/>
      <c r="D3430" s="36">
        <v>0.0</v>
      </c>
      <c r="E3430" s="4"/>
      <c r="F3430" s="4"/>
      <c r="G3430" s="4"/>
      <c r="H3430" s="4"/>
      <c r="I3430" s="4"/>
      <c r="J3430" s="18"/>
      <c r="K3430" s="4"/>
      <c r="L3430" s="19"/>
      <c r="M3430" s="20"/>
    </row>
    <row r="3431">
      <c r="A3431" s="6"/>
      <c r="B3431" s="6"/>
      <c r="C3431" s="4"/>
      <c r="D3431" s="36">
        <v>0.0</v>
      </c>
      <c r="E3431" s="4"/>
      <c r="F3431" s="4"/>
      <c r="G3431" s="4"/>
      <c r="H3431" s="4"/>
      <c r="I3431" s="4"/>
      <c r="J3431" s="18"/>
      <c r="K3431" s="4"/>
      <c r="L3431" s="19"/>
      <c r="M3431" s="20"/>
    </row>
    <row r="3432">
      <c r="A3432" s="6"/>
      <c r="B3432" s="6"/>
      <c r="C3432" s="4"/>
      <c r="D3432" s="36">
        <v>0.0</v>
      </c>
      <c r="E3432" s="4"/>
      <c r="F3432" s="4"/>
      <c r="G3432" s="4"/>
      <c r="H3432" s="4"/>
      <c r="I3432" s="4"/>
      <c r="J3432" s="18"/>
      <c r="K3432" s="4"/>
      <c r="L3432" s="19"/>
      <c r="M3432" s="20"/>
    </row>
    <row r="3433">
      <c r="A3433" s="6"/>
      <c r="B3433" s="6"/>
      <c r="C3433" s="4"/>
      <c r="D3433" s="36">
        <v>0.0</v>
      </c>
      <c r="E3433" s="4"/>
      <c r="F3433" s="4"/>
      <c r="G3433" s="4"/>
      <c r="H3433" s="4"/>
      <c r="I3433" s="4"/>
      <c r="J3433" s="18"/>
      <c r="K3433" s="4"/>
      <c r="L3433" s="19"/>
      <c r="M3433" s="20"/>
    </row>
    <row r="3434">
      <c r="A3434" s="6"/>
      <c r="B3434" s="6"/>
      <c r="C3434" s="4"/>
      <c r="D3434" s="36">
        <v>0.0</v>
      </c>
      <c r="E3434" s="4"/>
      <c r="F3434" s="4"/>
      <c r="G3434" s="4"/>
      <c r="H3434" s="4"/>
      <c r="I3434" s="4"/>
      <c r="J3434" s="18"/>
      <c r="K3434" s="4"/>
      <c r="L3434" s="19"/>
      <c r="M3434" s="20"/>
    </row>
    <row r="3435">
      <c r="A3435" s="6"/>
      <c r="B3435" s="6"/>
      <c r="C3435" s="4"/>
      <c r="D3435" s="36">
        <v>0.0</v>
      </c>
      <c r="E3435" s="4"/>
      <c r="F3435" s="4"/>
      <c r="G3435" s="4"/>
      <c r="H3435" s="4"/>
      <c r="I3435" s="4"/>
      <c r="J3435" s="18"/>
      <c r="K3435" s="4"/>
      <c r="L3435" s="19"/>
      <c r="M3435" s="20"/>
    </row>
    <row r="3436">
      <c r="A3436" s="6"/>
      <c r="B3436" s="6"/>
      <c r="C3436" s="4"/>
      <c r="D3436" s="36">
        <v>0.0</v>
      </c>
      <c r="E3436" s="4"/>
      <c r="F3436" s="4"/>
      <c r="G3436" s="4"/>
      <c r="H3436" s="4"/>
      <c r="I3436" s="4"/>
      <c r="J3436" s="18"/>
      <c r="K3436" s="4"/>
      <c r="L3436" s="19"/>
      <c r="M3436" s="20"/>
    </row>
    <row r="3437">
      <c r="A3437" s="6"/>
      <c r="B3437" s="6"/>
      <c r="C3437" s="4"/>
      <c r="D3437" s="36">
        <v>0.0</v>
      </c>
      <c r="E3437" s="4"/>
      <c r="F3437" s="4"/>
      <c r="G3437" s="4"/>
      <c r="H3437" s="4"/>
      <c r="I3437" s="4"/>
      <c r="J3437" s="18"/>
      <c r="K3437" s="4"/>
      <c r="L3437" s="19"/>
      <c r="M3437" s="20"/>
    </row>
    <row r="3438">
      <c r="A3438" s="6"/>
      <c r="B3438" s="6"/>
      <c r="C3438" s="4"/>
      <c r="D3438" s="36">
        <v>0.0</v>
      </c>
      <c r="E3438" s="4"/>
      <c r="F3438" s="4"/>
      <c r="G3438" s="4"/>
      <c r="H3438" s="4"/>
      <c r="I3438" s="4"/>
      <c r="J3438" s="18"/>
      <c r="K3438" s="4"/>
      <c r="L3438" s="19"/>
      <c r="M3438" s="20"/>
    </row>
    <row r="3439">
      <c r="A3439" s="6"/>
      <c r="B3439" s="6"/>
      <c r="C3439" s="4"/>
      <c r="D3439" s="36">
        <v>0.0</v>
      </c>
      <c r="E3439" s="4"/>
      <c r="F3439" s="4"/>
      <c r="G3439" s="4"/>
      <c r="H3439" s="4"/>
      <c r="I3439" s="4"/>
      <c r="J3439" s="18"/>
      <c r="K3439" s="4"/>
      <c r="L3439" s="19"/>
      <c r="M3439" s="20"/>
    </row>
    <row r="3440">
      <c r="A3440" s="6"/>
      <c r="B3440" s="6"/>
      <c r="C3440" s="4"/>
      <c r="D3440" s="36">
        <v>0.0</v>
      </c>
      <c r="E3440" s="4"/>
      <c r="F3440" s="4"/>
      <c r="G3440" s="4"/>
      <c r="H3440" s="4"/>
      <c r="I3440" s="4"/>
      <c r="J3440" s="18"/>
      <c r="K3440" s="4"/>
      <c r="L3440" s="19"/>
      <c r="M3440" s="20"/>
    </row>
    <row r="3441">
      <c r="A3441" s="6"/>
      <c r="B3441" s="6"/>
      <c r="C3441" s="4"/>
      <c r="D3441" s="36">
        <v>0.0</v>
      </c>
      <c r="E3441" s="4"/>
      <c r="F3441" s="4"/>
      <c r="G3441" s="4"/>
      <c r="H3441" s="4"/>
      <c r="I3441" s="4"/>
      <c r="J3441" s="18"/>
      <c r="K3441" s="4"/>
      <c r="L3441" s="19"/>
      <c r="M3441" s="20"/>
    </row>
    <row r="3442">
      <c r="A3442" s="6"/>
      <c r="B3442" s="6"/>
      <c r="C3442" s="4"/>
      <c r="D3442" s="36">
        <v>0.0</v>
      </c>
      <c r="E3442" s="4"/>
      <c r="F3442" s="4"/>
      <c r="G3442" s="4"/>
      <c r="H3442" s="4"/>
      <c r="I3442" s="4"/>
      <c r="J3442" s="18"/>
      <c r="K3442" s="4"/>
      <c r="L3442" s="19"/>
      <c r="M3442" s="20"/>
    </row>
    <row r="3443">
      <c r="A3443" s="6"/>
      <c r="B3443" s="6"/>
      <c r="C3443" s="4"/>
      <c r="D3443" s="36">
        <v>0.0</v>
      </c>
      <c r="E3443" s="4"/>
      <c r="F3443" s="4"/>
      <c r="G3443" s="4"/>
      <c r="H3443" s="4"/>
      <c r="I3443" s="4"/>
      <c r="J3443" s="18"/>
      <c r="K3443" s="4"/>
      <c r="L3443" s="19"/>
      <c r="M3443" s="20"/>
    </row>
    <row r="3444">
      <c r="A3444" s="6"/>
      <c r="B3444" s="6"/>
      <c r="C3444" s="4"/>
      <c r="D3444" s="36">
        <v>0.0</v>
      </c>
      <c r="E3444" s="4"/>
      <c r="F3444" s="4"/>
      <c r="G3444" s="4"/>
      <c r="H3444" s="4"/>
      <c r="I3444" s="4"/>
      <c r="J3444" s="18"/>
      <c r="K3444" s="4"/>
      <c r="L3444" s="19"/>
      <c r="M3444" s="20"/>
    </row>
    <row r="3445">
      <c r="A3445" s="6"/>
      <c r="B3445" s="6"/>
      <c r="C3445" s="4"/>
      <c r="D3445" s="36">
        <v>0.0</v>
      </c>
      <c r="E3445" s="4"/>
      <c r="F3445" s="4"/>
      <c r="G3445" s="4"/>
      <c r="H3445" s="4"/>
      <c r="I3445" s="4"/>
      <c r="J3445" s="18"/>
      <c r="K3445" s="4"/>
      <c r="L3445" s="19"/>
      <c r="M3445" s="20"/>
    </row>
    <row r="3446">
      <c r="A3446" s="6"/>
      <c r="B3446" s="6"/>
      <c r="C3446" s="4"/>
      <c r="D3446" s="36">
        <v>0.0</v>
      </c>
      <c r="E3446" s="4"/>
      <c r="F3446" s="4"/>
      <c r="G3446" s="4"/>
      <c r="H3446" s="4"/>
      <c r="I3446" s="4"/>
      <c r="J3446" s="18"/>
      <c r="K3446" s="4"/>
      <c r="L3446" s="19"/>
      <c r="M3446" s="20"/>
    </row>
    <row r="3447">
      <c r="A3447" s="6"/>
      <c r="B3447" s="6"/>
      <c r="C3447" s="4"/>
      <c r="D3447" s="36">
        <v>0.0</v>
      </c>
      <c r="E3447" s="4"/>
      <c r="F3447" s="4"/>
      <c r="G3447" s="4"/>
      <c r="H3447" s="4"/>
      <c r="I3447" s="4"/>
      <c r="J3447" s="18"/>
      <c r="K3447" s="4"/>
      <c r="L3447" s="19"/>
      <c r="M3447" s="20"/>
    </row>
    <row r="3448">
      <c r="A3448" s="6"/>
      <c r="B3448" s="6"/>
      <c r="C3448" s="4"/>
      <c r="D3448" s="36">
        <v>0.0</v>
      </c>
      <c r="E3448" s="4"/>
      <c r="F3448" s="4"/>
      <c r="G3448" s="4"/>
      <c r="H3448" s="4"/>
      <c r="I3448" s="4"/>
      <c r="J3448" s="18"/>
      <c r="K3448" s="4"/>
      <c r="L3448" s="19"/>
      <c r="M3448" s="20"/>
    </row>
    <row r="3449">
      <c r="A3449" s="6"/>
      <c r="B3449" s="6"/>
      <c r="C3449" s="4"/>
      <c r="D3449" s="36">
        <v>0.0</v>
      </c>
      <c r="E3449" s="4"/>
      <c r="F3449" s="4"/>
      <c r="G3449" s="4"/>
      <c r="H3449" s="4"/>
      <c r="I3449" s="4"/>
      <c r="J3449" s="18"/>
      <c r="K3449" s="4"/>
      <c r="L3449" s="19"/>
      <c r="M3449" s="20"/>
    </row>
    <row r="3450">
      <c r="A3450" s="6"/>
      <c r="B3450" s="6"/>
      <c r="C3450" s="4"/>
      <c r="D3450" s="36">
        <v>0.0</v>
      </c>
      <c r="E3450" s="4"/>
      <c r="F3450" s="4"/>
      <c r="G3450" s="4"/>
      <c r="H3450" s="4"/>
      <c r="I3450" s="4"/>
      <c r="J3450" s="18"/>
      <c r="K3450" s="4"/>
      <c r="L3450" s="19"/>
      <c r="M3450" s="20"/>
    </row>
    <row r="3451">
      <c r="A3451" s="6"/>
      <c r="B3451" s="6"/>
      <c r="C3451" s="4"/>
      <c r="D3451" s="36">
        <v>0.0</v>
      </c>
      <c r="E3451" s="4"/>
      <c r="F3451" s="4"/>
      <c r="G3451" s="4"/>
      <c r="H3451" s="4"/>
      <c r="I3451" s="4"/>
      <c r="J3451" s="18"/>
      <c r="K3451" s="4"/>
      <c r="L3451" s="19"/>
      <c r="M3451" s="20"/>
    </row>
    <row r="3452">
      <c r="A3452" s="6"/>
      <c r="B3452" s="6"/>
      <c r="C3452" s="4"/>
      <c r="D3452" s="36">
        <v>0.0</v>
      </c>
      <c r="E3452" s="4"/>
      <c r="F3452" s="4"/>
      <c r="G3452" s="4"/>
      <c r="H3452" s="4"/>
      <c r="I3452" s="4"/>
      <c r="J3452" s="18"/>
      <c r="K3452" s="4"/>
      <c r="L3452" s="19"/>
      <c r="M3452" s="20"/>
    </row>
    <row r="3453">
      <c r="A3453" s="6"/>
      <c r="B3453" s="6"/>
      <c r="C3453" s="4"/>
      <c r="D3453" s="36">
        <v>0.0</v>
      </c>
      <c r="E3453" s="4"/>
      <c r="F3453" s="4"/>
      <c r="G3453" s="4"/>
      <c r="H3453" s="4"/>
      <c r="I3453" s="4"/>
      <c r="J3453" s="18"/>
      <c r="K3453" s="4"/>
      <c r="L3453" s="19"/>
      <c r="M3453" s="20"/>
    </row>
    <row r="3454">
      <c r="A3454" s="6"/>
      <c r="B3454" s="6"/>
      <c r="C3454" s="4"/>
      <c r="D3454" s="36">
        <v>0.0</v>
      </c>
      <c r="E3454" s="4"/>
      <c r="F3454" s="4"/>
      <c r="G3454" s="4"/>
      <c r="H3454" s="4"/>
      <c r="I3454" s="4"/>
      <c r="J3454" s="18"/>
      <c r="K3454" s="4"/>
      <c r="L3454" s="19"/>
      <c r="M3454" s="20"/>
    </row>
    <row r="3455">
      <c r="A3455" s="6"/>
      <c r="B3455" s="6"/>
      <c r="C3455" s="4"/>
      <c r="D3455" s="36">
        <v>0.0</v>
      </c>
      <c r="E3455" s="4"/>
      <c r="F3455" s="4"/>
      <c r="G3455" s="4"/>
      <c r="H3455" s="4"/>
      <c r="I3455" s="4"/>
      <c r="J3455" s="18"/>
      <c r="K3455" s="4"/>
      <c r="L3455" s="19"/>
      <c r="M3455" s="20"/>
    </row>
    <row r="3456">
      <c r="A3456" s="6"/>
      <c r="B3456" s="6"/>
      <c r="C3456" s="4"/>
      <c r="D3456" s="36">
        <v>0.0</v>
      </c>
      <c r="E3456" s="4"/>
      <c r="F3456" s="4"/>
      <c r="G3456" s="4"/>
      <c r="H3456" s="4"/>
      <c r="I3456" s="4"/>
      <c r="J3456" s="18"/>
      <c r="K3456" s="4"/>
      <c r="L3456" s="19"/>
      <c r="M3456" s="20"/>
    </row>
    <row r="3457">
      <c r="A3457" s="6"/>
      <c r="B3457" s="6"/>
      <c r="C3457" s="4"/>
      <c r="D3457" s="36">
        <v>0.0</v>
      </c>
      <c r="E3457" s="4"/>
      <c r="F3457" s="4"/>
      <c r="G3457" s="4"/>
      <c r="H3457" s="4"/>
      <c r="I3457" s="4"/>
      <c r="J3457" s="18"/>
      <c r="K3457" s="4"/>
      <c r="L3457" s="19"/>
      <c r="M3457" s="20"/>
    </row>
    <row r="3458">
      <c r="A3458" s="6"/>
      <c r="B3458" s="6"/>
      <c r="C3458" s="4"/>
      <c r="D3458" s="36">
        <v>0.0</v>
      </c>
      <c r="E3458" s="4"/>
      <c r="F3458" s="4"/>
      <c r="G3458" s="4"/>
      <c r="H3458" s="4"/>
      <c r="I3458" s="4"/>
      <c r="J3458" s="18"/>
      <c r="K3458" s="4"/>
      <c r="L3458" s="19"/>
      <c r="M3458" s="20"/>
    </row>
    <row r="3459">
      <c r="A3459" s="6"/>
      <c r="B3459" s="6"/>
      <c r="C3459" s="4"/>
      <c r="D3459" s="36">
        <v>0.0</v>
      </c>
      <c r="E3459" s="4"/>
      <c r="F3459" s="4"/>
      <c r="G3459" s="4"/>
      <c r="H3459" s="4"/>
      <c r="I3459" s="4"/>
      <c r="J3459" s="18"/>
      <c r="K3459" s="4"/>
      <c r="L3459" s="19"/>
      <c r="M3459" s="20"/>
    </row>
    <row r="3460">
      <c r="A3460" s="6"/>
      <c r="B3460" s="6"/>
      <c r="C3460" s="4"/>
      <c r="D3460" s="36">
        <v>0.0</v>
      </c>
      <c r="E3460" s="4"/>
      <c r="F3460" s="4"/>
      <c r="G3460" s="4"/>
      <c r="H3460" s="4"/>
      <c r="I3460" s="4"/>
      <c r="J3460" s="18"/>
      <c r="K3460" s="4"/>
      <c r="L3460" s="19"/>
      <c r="M3460" s="20"/>
    </row>
    <row r="3461">
      <c r="A3461" s="6"/>
      <c r="B3461" s="6"/>
      <c r="C3461" s="4"/>
      <c r="D3461" s="36">
        <v>0.0</v>
      </c>
      <c r="E3461" s="4"/>
      <c r="F3461" s="4"/>
      <c r="G3461" s="4"/>
      <c r="H3461" s="4"/>
      <c r="I3461" s="4"/>
      <c r="J3461" s="18"/>
      <c r="K3461" s="4"/>
      <c r="L3461" s="19"/>
      <c r="M3461" s="20"/>
    </row>
    <row r="3462">
      <c r="A3462" s="6"/>
      <c r="B3462" s="6"/>
      <c r="C3462" s="4"/>
      <c r="D3462" s="36">
        <v>0.0</v>
      </c>
      <c r="E3462" s="4"/>
      <c r="F3462" s="4"/>
      <c r="G3462" s="4"/>
      <c r="H3462" s="4"/>
      <c r="I3462" s="4"/>
      <c r="J3462" s="18"/>
      <c r="K3462" s="4"/>
      <c r="L3462" s="19"/>
      <c r="M3462" s="20"/>
    </row>
    <row r="3463">
      <c r="A3463" s="6"/>
      <c r="B3463" s="6"/>
      <c r="C3463" s="4"/>
      <c r="D3463" s="36">
        <v>0.0</v>
      </c>
      <c r="E3463" s="4"/>
      <c r="F3463" s="4"/>
      <c r="G3463" s="4"/>
      <c r="H3463" s="4"/>
      <c r="I3463" s="4"/>
      <c r="J3463" s="18"/>
      <c r="K3463" s="4"/>
      <c r="L3463" s="19"/>
      <c r="M3463" s="20"/>
    </row>
    <row r="3464">
      <c r="A3464" s="6"/>
      <c r="B3464" s="6"/>
      <c r="C3464" s="4"/>
      <c r="D3464" s="36">
        <v>0.0</v>
      </c>
      <c r="E3464" s="4"/>
      <c r="F3464" s="4"/>
      <c r="G3464" s="4"/>
      <c r="H3464" s="4"/>
      <c r="I3464" s="4"/>
      <c r="J3464" s="18"/>
      <c r="K3464" s="4"/>
      <c r="L3464" s="19"/>
      <c r="M3464" s="20"/>
    </row>
    <row r="3465">
      <c r="A3465" s="6"/>
      <c r="B3465" s="6"/>
      <c r="C3465" s="4"/>
      <c r="D3465" s="36">
        <v>0.0</v>
      </c>
      <c r="E3465" s="4"/>
      <c r="F3465" s="4"/>
      <c r="G3465" s="4"/>
      <c r="H3465" s="4"/>
      <c r="I3465" s="4"/>
      <c r="J3465" s="18"/>
      <c r="K3465" s="4"/>
      <c r="L3465" s="19"/>
      <c r="M3465" s="20"/>
    </row>
    <row r="3466">
      <c r="A3466" s="6"/>
      <c r="B3466" s="6"/>
      <c r="C3466" s="4"/>
      <c r="D3466" s="36">
        <v>0.0</v>
      </c>
      <c r="E3466" s="4"/>
      <c r="F3466" s="4"/>
      <c r="G3466" s="4"/>
      <c r="H3466" s="4"/>
      <c r="I3466" s="4"/>
      <c r="J3466" s="18"/>
      <c r="K3466" s="4"/>
      <c r="L3466" s="19"/>
      <c r="M3466" s="20"/>
    </row>
    <row r="3467">
      <c r="A3467" s="6"/>
      <c r="B3467" s="6"/>
      <c r="C3467" s="4"/>
      <c r="D3467" s="36">
        <v>0.0</v>
      </c>
      <c r="E3467" s="4"/>
      <c r="F3467" s="4"/>
      <c r="G3467" s="4"/>
      <c r="H3467" s="4"/>
      <c r="I3467" s="4"/>
      <c r="J3467" s="18"/>
      <c r="K3467" s="4"/>
      <c r="L3467" s="19"/>
      <c r="M3467" s="20"/>
    </row>
    <row r="3468">
      <c r="A3468" s="6"/>
      <c r="B3468" s="6"/>
      <c r="C3468" s="4"/>
      <c r="D3468" s="36">
        <v>0.0</v>
      </c>
      <c r="E3468" s="4"/>
      <c r="F3468" s="4"/>
      <c r="G3468" s="4"/>
      <c r="H3468" s="4"/>
      <c r="I3468" s="4"/>
      <c r="J3468" s="18"/>
      <c r="K3468" s="4"/>
      <c r="L3468" s="19"/>
      <c r="M3468" s="20"/>
    </row>
    <row r="3469">
      <c r="A3469" s="6"/>
      <c r="B3469" s="6"/>
      <c r="C3469" s="4"/>
      <c r="D3469" s="36">
        <v>0.0</v>
      </c>
      <c r="E3469" s="4"/>
      <c r="F3469" s="4"/>
      <c r="G3469" s="4"/>
      <c r="H3469" s="4"/>
      <c r="I3469" s="4"/>
      <c r="J3469" s="18"/>
      <c r="K3469" s="4"/>
      <c r="L3469" s="19"/>
      <c r="M3469" s="20"/>
    </row>
    <row r="3470">
      <c r="A3470" s="6"/>
      <c r="B3470" s="6"/>
      <c r="C3470" s="4"/>
      <c r="D3470" s="36">
        <v>0.0</v>
      </c>
      <c r="E3470" s="4"/>
      <c r="F3470" s="4"/>
      <c r="G3470" s="4"/>
      <c r="H3470" s="4"/>
      <c r="I3470" s="4"/>
      <c r="J3470" s="18"/>
      <c r="K3470" s="4"/>
      <c r="L3470" s="19"/>
      <c r="M3470" s="20"/>
    </row>
    <row r="3471">
      <c r="A3471" s="6"/>
      <c r="B3471" s="6"/>
      <c r="C3471" s="4"/>
      <c r="D3471" s="36">
        <v>0.0</v>
      </c>
      <c r="E3471" s="4"/>
      <c r="F3471" s="4"/>
      <c r="G3471" s="4"/>
      <c r="H3471" s="4"/>
      <c r="I3471" s="4"/>
      <c r="J3471" s="18"/>
      <c r="K3471" s="4"/>
      <c r="L3471" s="19"/>
      <c r="M3471" s="20"/>
    </row>
    <row r="3472">
      <c r="A3472" s="6"/>
      <c r="B3472" s="6"/>
      <c r="C3472" s="4"/>
      <c r="D3472" s="36">
        <v>0.0</v>
      </c>
      <c r="E3472" s="4"/>
      <c r="F3472" s="4"/>
      <c r="G3472" s="4"/>
      <c r="H3472" s="4"/>
      <c r="I3472" s="4"/>
      <c r="J3472" s="18"/>
      <c r="K3472" s="4"/>
      <c r="L3472" s="19"/>
      <c r="M3472" s="20"/>
    </row>
    <row r="3473">
      <c r="A3473" s="6"/>
      <c r="B3473" s="6"/>
      <c r="C3473" s="4"/>
      <c r="D3473" s="36">
        <v>0.0</v>
      </c>
      <c r="E3473" s="4"/>
      <c r="F3473" s="4"/>
      <c r="G3473" s="4"/>
      <c r="H3473" s="4"/>
      <c r="I3473" s="4"/>
      <c r="J3473" s="18"/>
      <c r="K3473" s="4"/>
      <c r="L3473" s="19"/>
      <c r="M3473" s="20"/>
    </row>
    <row r="3474">
      <c r="A3474" s="6"/>
      <c r="B3474" s="6"/>
      <c r="C3474" s="4"/>
      <c r="D3474" s="36">
        <v>0.0</v>
      </c>
      <c r="E3474" s="4"/>
      <c r="F3474" s="4"/>
      <c r="G3474" s="4"/>
      <c r="H3474" s="4"/>
      <c r="I3474" s="4"/>
      <c r="J3474" s="18"/>
      <c r="K3474" s="4"/>
      <c r="L3474" s="19"/>
      <c r="M3474" s="20"/>
    </row>
    <row r="3475">
      <c r="A3475" s="6"/>
      <c r="B3475" s="6"/>
      <c r="C3475" s="4"/>
      <c r="D3475" s="36">
        <v>0.0</v>
      </c>
      <c r="E3475" s="4"/>
      <c r="F3475" s="4"/>
      <c r="G3475" s="4"/>
      <c r="H3475" s="4"/>
      <c r="I3475" s="4"/>
      <c r="J3475" s="18"/>
      <c r="K3475" s="4"/>
      <c r="L3475" s="19"/>
      <c r="M3475" s="20"/>
    </row>
    <row r="3476">
      <c r="A3476" s="6"/>
      <c r="B3476" s="6"/>
      <c r="C3476" s="4"/>
      <c r="D3476" s="36">
        <v>0.0</v>
      </c>
      <c r="E3476" s="4"/>
      <c r="F3476" s="4"/>
      <c r="G3476" s="4"/>
      <c r="H3476" s="4"/>
      <c r="I3476" s="4"/>
      <c r="J3476" s="18"/>
      <c r="K3476" s="4"/>
      <c r="L3476" s="19"/>
      <c r="M3476" s="20"/>
    </row>
    <row r="3477">
      <c r="A3477" s="6"/>
      <c r="B3477" s="6"/>
      <c r="C3477" s="4"/>
      <c r="D3477" s="36">
        <v>0.0</v>
      </c>
      <c r="E3477" s="4"/>
      <c r="F3477" s="4"/>
      <c r="G3477" s="4"/>
      <c r="H3477" s="4"/>
      <c r="I3477" s="4"/>
      <c r="J3477" s="18"/>
      <c r="K3477" s="4"/>
      <c r="L3477" s="19"/>
      <c r="M3477" s="20"/>
    </row>
    <row r="3478">
      <c r="A3478" s="6"/>
      <c r="B3478" s="6"/>
      <c r="C3478" s="4"/>
      <c r="D3478" s="36">
        <v>0.0</v>
      </c>
      <c r="E3478" s="4"/>
      <c r="F3478" s="4"/>
      <c r="G3478" s="4"/>
      <c r="H3478" s="4"/>
      <c r="I3478" s="4"/>
      <c r="J3478" s="18"/>
      <c r="K3478" s="4"/>
      <c r="L3478" s="19"/>
      <c r="M3478" s="20"/>
    </row>
    <row r="3479">
      <c r="A3479" s="6"/>
      <c r="B3479" s="6"/>
      <c r="C3479" s="4"/>
      <c r="D3479" s="36">
        <v>0.0</v>
      </c>
      <c r="E3479" s="4"/>
      <c r="F3479" s="4"/>
      <c r="G3479" s="4"/>
      <c r="H3479" s="4"/>
      <c r="I3479" s="4"/>
      <c r="J3479" s="18"/>
      <c r="K3479" s="4"/>
      <c r="L3479" s="19"/>
      <c r="M3479" s="20"/>
    </row>
    <row r="3480">
      <c r="A3480" s="6"/>
      <c r="B3480" s="6"/>
      <c r="C3480" s="4"/>
      <c r="D3480" s="36">
        <v>0.0</v>
      </c>
      <c r="E3480" s="4"/>
      <c r="F3480" s="4"/>
      <c r="G3480" s="4"/>
      <c r="H3480" s="4"/>
      <c r="I3480" s="4"/>
      <c r="J3480" s="18"/>
      <c r="K3480" s="4"/>
      <c r="L3480" s="19"/>
      <c r="M3480" s="20"/>
    </row>
    <row r="3481">
      <c r="A3481" s="6"/>
      <c r="B3481" s="6"/>
      <c r="C3481" s="4"/>
      <c r="D3481" s="36">
        <v>0.0</v>
      </c>
      <c r="E3481" s="4"/>
      <c r="F3481" s="4"/>
      <c r="G3481" s="4"/>
      <c r="H3481" s="4"/>
      <c r="I3481" s="4"/>
      <c r="J3481" s="18"/>
      <c r="K3481" s="4"/>
      <c r="L3481" s="19"/>
      <c r="M3481" s="20"/>
    </row>
    <row r="3482">
      <c r="A3482" s="6"/>
      <c r="B3482" s="6"/>
      <c r="C3482" s="4"/>
      <c r="D3482" s="36">
        <v>0.0</v>
      </c>
      <c r="E3482" s="4"/>
      <c r="F3482" s="4"/>
      <c r="G3482" s="4"/>
      <c r="H3482" s="4"/>
      <c r="I3482" s="4"/>
      <c r="J3482" s="18"/>
      <c r="K3482" s="4"/>
      <c r="L3482" s="19"/>
      <c r="M3482" s="20"/>
    </row>
    <row r="3483">
      <c r="A3483" s="6"/>
      <c r="B3483" s="6"/>
      <c r="C3483" s="4"/>
      <c r="D3483" s="36">
        <v>0.0</v>
      </c>
      <c r="E3483" s="4"/>
      <c r="F3483" s="4"/>
      <c r="G3483" s="4"/>
      <c r="H3483" s="4"/>
      <c r="I3483" s="4"/>
      <c r="J3483" s="18"/>
      <c r="K3483" s="4"/>
      <c r="L3483" s="19"/>
      <c r="M3483" s="20"/>
    </row>
    <row r="3484">
      <c r="A3484" s="6"/>
      <c r="B3484" s="6"/>
      <c r="C3484" s="4"/>
      <c r="D3484" s="36">
        <v>0.0</v>
      </c>
      <c r="E3484" s="4"/>
      <c r="F3484" s="4"/>
      <c r="G3484" s="4"/>
      <c r="H3484" s="4"/>
      <c r="I3484" s="4"/>
      <c r="J3484" s="18"/>
      <c r="K3484" s="4"/>
      <c r="L3484" s="19"/>
      <c r="M3484" s="20"/>
    </row>
    <row r="3485">
      <c r="A3485" s="6"/>
      <c r="B3485" s="6"/>
      <c r="C3485" s="4"/>
      <c r="D3485" s="36">
        <v>0.0</v>
      </c>
      <c r="E3485" s="4"/>
      <c r="F3485" s="4"/>
      <c r="G3485" s="4"/>
      <c r="H3485" s="4"/>
      <c r="I3485" s="4"/>
      <c r="J3485" s="18"/>
      <c r="K3485" s="4"/>
      <c r="L3485" s="19"/>
      <c r="M3485" s="20"/>
    </row>
    <row r="3486">
      <c r="A3486" s="6"/>
      <c r="B3486" s="6"/>
      <c r="C3486" s="4"/>
      <c r="D3486" s="36">
        <v>0.0</v>
      </c>
      <c r="E3486" s="4"/>
      <c r="F3486" s="4"/>
      <c r="G3486" s="4"/>
      <c r="H3486" s="4"/>
      <c r="I3486" s="4"/>
      <c r="J3486" s="18"/>
      <c r="K3486" s="4"/>
      <c r="L3486" s="19"/>
      <c r="M3486" s="20"/>
    </row>
    <row r="3487">
      <c r="A3487" s="6"/>
      <c r="B3487" s="6"/>
      <c r="C3487" s="4"/>
      <c r="D3487" s="36">
        <v>0.0</v>
      </c>
      <c r="E3487" s="4"/>
      <c r="F3487" s="4"/>
      <c r="G3487" s="4"/>
      <c r="H3487" s="4"/>
      <c r="I3487" s="4"/>
      <c r="J3487" s="18"/>
      <c r="K3487" s="4"/>
      <c r="L3487" s="19"/>
      <c r="M3487" s="20"/>
    </row>
    <row r="3488">
      <c r="A3488" s="6"/>
      <c r="B3488" s="6"/>
      <c r="C3488" s="4"/>
      <c r="D3488" s="36">
        <v>0.0</v>
      </c>
      <c r="E3488" s="4"/>
      <c r="F3488" s="4"/>
      <c r="G3488" s="4"/>
      <c r="H3488" s="4"/>
      <c r="I3488" s="4"/>
      <c r="J3488" s="18"/>
      <c r="K3488" s="4"/>
      <c r="L3488" s="19"/>
      <c r="M3488" s="20"/>
    </row>
    <row r="3489">
      <c r="A3489" s="6"/>
      <c r="B3489" s="6"/>
      <c r="C3489" s="4"/>
      <c r="D3489" s="36">
        <v>0.0</v>
      </c>
      <c r="E3489" s="4"/>
      <c r="F3489" s="4"/>
      <c r="G3489" s="4"/>
      <c r="H3489" s="4"/>
      <c r="I3489" s="4"/>
      <c r="J3489" s="18"/>
      <c r="K3489" s="4"/>
      <c r="L3489" s="19"/>
      <c r="M3489" s="20"/>
    </row>
    <row r="3490">
      <c r="A3490" s="6"/>
      <c r="B3490" s="6"/>
      <c r="C3490" s="4"/>
      <c r="D3490" s="36">
        <v>0.0</v>
      </c>
      <c r="E3490" s="4"/>
      <c r="F3490" s="4"/>
      <c r="G3490" s="4"/>
      <c r="H3490" s="4"/>
      <c r="I3490" s="4"/>
      <c r="J3490" s="18"/>
      <c r="K3490" s="4"/>
      <c r="L3490" s="19"/>
      <c r="M3490" s="20"/>
    </row>
    <row r="3491">
      <c r="A3491" s="6"/>
      <c r="B3491" s="6"/>
      <c r="C3491" s="4"/>
      <c r="D3491" s="36">
        <v>0.0</v>
      </c>
      <c r="E3491" s="4"/>
      <c r="F3491" s="4"/>
      <c r="G3491" s="4"/>
      <c r="H3491" s="4"/>
      <c r="I3491" s="4"/>
      <c r="J3491" s="18"/>
      <c r="K3491" s="4"/>
      <c r="L3491" s="19"/>
      <c r="M3491" s="20"/>
    </row>
    <row r="3492">
      <c r="A3492" s="6"/>
      <c r="B3492" s="6"/>
      <c r="C3492" s="4"/>
      <c r="D3492" s="36">
        <v>0.0</v>
      </c>
      <c r="E3492" s="4"/>
      <c r="F3492" s="4"/>
      <c r="G3492" s="4"/>
      <c r="H3492" s="4"/>
      <c r="I3492" s="4"/>
      <c r="J3492" s="18"/>
      <c r="K3492" s="4"/>
      <c r="L3492" s="19"/>
      <c r="M3492" s="20"/>
    </row>
    <row r="3493">
      <c r="A3493" s="6"/>
      <c r="B3493" s="6"/>
      <c r="C3493" s="4"/>
      <c r="D3493" s="36">
        <v>0.0</v>
      </c>
      <c r="E3493" s="4"/>
      <c r="F3493" s="4"/>
      <c r="G3493" s="4"/>
      <c r="H3493" s="4"/>
      <c r="I3493" s="4"/>
      <c r="J3493" s="18"/>
      <c r="K3493" s="4"/>
      <c r="L3493" s="19"/>
      <c r="M3493" s="20"/>
    </row>
    <row r="3494">
      <c r="A3494" s="6"/>
      <c r="B3494" s="6"/>
      <c r="C3494" s="4"/>
      <c r="D3494" s="36">
        <v>0.0</v>
      </c>
      <c r="E3494" s="4"/>
      <c r="F3494" s="4"/>
      <c r="G3494" s="4"/>
      <c r="H3494" s="4"/>
      <c r="I3494" s="4"/>
      <c r="J3494" s="18"/>
      <c r="K3494" s="4"/>
      <c r="L3494" s="19"/>
      <c r="M3494" s="20"/>
    </row>
    <row r="3495">
      <c r="A3495" s="6"/>
      <c r="B3495" s="6"/>
      <c r="C3495" s="4"/>
      <c r="D3495" s="36">
        <v>0.0</v>
      </c>
      <c r="E3495" s="4"/>
      <c r="F3495" s="4"/>
      <c r="G3495" s="4"/>
      <c r="H3495" s="4"/>
      <c r="I3495" s="4"/>
      <c r="J3495" s="18"/>
      <c r="K3495" s="4"/>
      <c r="L3495" s="19"/>
      <c r="M3495" s="20"/>
    </row>
    <row r="3496">
      <c r="A3496" s="6"/>
      <c r="B3496" s="6"/>
      <c r="C3496" s="4"/>
      <c r="D3496" s="36">
        <v>0.0</v>
      </c>
      <c r="E3496" s="4"/>
      <c r="F3496" s="4"/>
      <c r="G3496" s="4"/>
      <c r="H3496" s="4"/>
      <c r="I3496" s="4"/>
      <c r="J3496" s="18"/>
      <c r="K3496" s="4"/>
      <c r="L3496" s="19"/>
      <c r="M3496" s="20"/>
    </row>
    <row r="3497">
      <c r="A3497" s="6"/>
      <c r="B3497" s="6"/>
      <c r="C3497" s="4"/>
      <c r="D3497" s="36">
        <v>0.0</v>
      </c>
      <c r="E3497" s="4"/>
      <c r="F3497" s="4"/>
      <c r="G3497" s="4"/>
      <c r="H3497" s="4"/>
      <c r="I3497" s="4"/>
      <c r="J3497" s="18"/>
      <c r="K3497" s="4"/>
      <c r="L3497" s="19"/>
      <c r="M3497" s="20"/>
    </row>
    <row r="3498">
      <c r="A3498" s="6"/>
      <c r="B3498" s="6"/>
      <c r="C3498" s="4"/>
      <c r="D3498" s="36">
        <v>0.0</v>
      </c>
      <c r="E3498" s="4"/>
      <c r="F3498" s="4"/>
      <c r="G3498" s="4"/>
      <c r="H3498" s="4"/>
      <c r="I3498" s="4"/>
      <c r="J3498" s="18"/>
      <c r="K3498" s="4"/>
      <c r="L3498" s="19"/>
      <c r="M3498" s="20"/>
    </row>
    <row r="3499">
      <c r="A3499" s="6"/>
      <c r="B3499" s="6"/>
      <c r="C3499" s="4"/>
      <c r="D3499" s="36">
        <v>0.0</v>
      </c>
      <c r="E3499" s="4"/>
      <c r="F3499" s="4"/>
      <c r="G3499" s="4"/>
      <c r="H3499" s="4"/>
      <c r="I3499" s="4"/>
      <c r="J3499" s="18"/>
      <c r="K3499" s="4"/>
      <c r="L3499" s="19"/>
      <c r="M3499" s="20"/>
    </row>
    <row r="3500">
      <c r="A3500" s="6"/>
      <c r="B3500" s="6"/>
      <c r="C3500" s="4"/>
      <c r="D3500" s="36">
        <v>0.0</v>
      </c>
      <c r="E3500" s="4"/>
      <c r="F3500" s="4"/>
      <c r="G3500" s="4"/>
      <c r="H3500" s="4"/>
      <c r="I3500" s="4"/>
      <c r="J3500" s="18"/>
      <c r="K3500" s="4"/>
      <c r="L3500" s="19"/>
      <c r="M3500" s="20"/>
    </row>
    <row r="3501">
      <c r="A3501" s="6"/>
      <c r="B3501" s="6"/>
      <c r="C3501" s="4"/>
      <c r="D3501" s="36">
        <v>0.0</v>
      </c>
      <c r="E3501" s="4"/>
      <c r="F3501" s="4"/>
      <c r="G3501" s="4"/>
      <c r="H3501" s="4"/>
      <c r="I3501" s="4"/>
      <c r="J3501" s="18"/>
      <c r="K3501" s="4"/>
      <c r="L3501" s="19"/>
      <c r="M3501" s="20"/>
    </row>
    <row r="3502">
      <c r="A3502" s="6"/>
      <c r="B3502" s="6"/>
      <c r="C3502" s="4"/>
      <c r="D3502" s="36">
        <v>0.0</v>
      </c>
      <c r="E3502" s="4"/>
      <c r="F3502" s="4"/>
      <c r="G3502" s="4"/>
      <c r="H3502" s="4"/>
      <c r="I3502" s="4"/>
      <c r="J3502" s="18"/>
      <c r="K3502" s="4"/>
      <c r="L3502" s="19"/>
      <c r="M3502" s="20"/>
    </row>
    <row r="3503">
      <c r="A3503" s="6"/>
      <c r="B3503" s="6"/>
      <c r="C3503" s="4"/>
      <c r="D3503" s="36">
        <v>0.0</v>
      </c>
      <c r="E3503" s="4"/>
      <c r="F3503" s="4"/>
      <c r="G3503" s="4"/>
      <c r="H3503" s="4"/>
      <c r="I3503" s="4"/>
      <c r="J3503" s="18"/>
      <c r="K3503" s="4"/>
      <c r="L3503" s="19"/>
      <c r="M3503" s="20"/>
    </row>
    <row r="3504">
      <c r="A3504" s="6"/>
      <c r="B3504" s="6"/>
      <c r="C3504" s="4"/>
      <c r="D3504" s="36">
        <v>0.0</v>
      </c>
      <c r="E3504" s="4"/>
      <c r="F3504" s="4"/>
      <c r="G3504" s="4"/>
      <c r="H3504" s="4"/>
      <c r="I3504" s="4"/>
      <c r="J3504" s="18"/>
      <c r="K3504" s="4"/>
      <c r="L3504" s="19"/>
      <c r="M3504" s="20"/>
    </row>
    <row r="3505">
      <c r="A3505" s="6"/>
      <c r="B3505" s="6"/>
      <c r="C3505" s="4"/>
      <c r="D3505" s="36">
        <v>0.0</v>
      </c>
      <c r="E3505" s="4"/>
      <c r="F3505" s="4"/>
      <c r="G3505" s="4"/>
      <c r="H3505" s="4"/>
      <c r="I3505" s="4"/>
      <c r="J3505" s="18"/>
      <c r="K3505" s="4"/>
      <c r="L3505" s="19"/>
      <c r="M3505" s="20"/>
    </row>
    <row r="3506">
      <c r="A3506" s="6"/>
      <c r="B3506" s="6"/>
      <c r="C3506" s="4"/>
      <c r="D3506" s="36">
        <v>0.0</v>
      </c>
      <c r="E3506" s="4"/>
      <c r="F3506" s="4"/>
      <c r="G3506" s="4"/>
      <c r="H3506" s="4"/>
      <c r="I3506" s="4"/>
      <c r="J3506" s="18"/>
      <c r="K3506" s="4"/>
      <c r="L3506" s="19"/>
      <c r="M3506" s="20"/>
    </row>
    <row r="3507">
      <c r="A3507" s="6"/>
      <c r="B3507" s="6"/>
      <c r="C3507" s="4"/>
      <c r="D3507" s="36">
        <v>0.0</v>
      </c>
      <c r="E3507" s="4"/>
      <c r="F3507" s="4"/>
      <c r="G3507" s="4"/>
      <c r="H3507" s="4"/>
      <c r="I3507" s="4"/>
      <c r="J3507" s="18"/>
      <c r="K3507" s="4"/>
      <c r="L3507" s="19"/>
      <c r="M3507" s="20"/>
    </row>
    <row r="3508">
      <c r="A3508" s="6"/>
      <c r="B3508" s="6"/>
      <c r="C3508" s="4"/>
      <c r="D3508" s="36">
        <v>0.0</v>
      </c>
      <c r="E3508" s="4"/>
      <c r="F3508" s="4"/>
      <c r="G3508" s="4"/>
      <c r="H3508" s="4"/>
      <c r="I3508" s="4"/>
      <c r="J3508" s="18"/>
      <c r="K3508" s="4"/>
      <c r="L3508" s="19"/>
      <c r="M3508" s="20"/>
    </row>
    <row r="3509">
      <c r="A3509" s="6"/>
      <c r="B3509" s="6"/>
      <c r="C3509" s="4"/>
      <c r="D3509" s="36">
        <v>0.0</v>
      </c>
      <c r="E3509" s="4"/>
      <c r="F3509" s="4"/>
      <c r="G3509" s="4"/>
      <c r="H3509" s="4"/>
      <c r="I3509" s="4"/>
      <c r="J3509" s="18"/>
      <c r="K3509" s="4"/>
      <c r="L3509" s="19"/>
      <c r="M3509" s="20"/>
    </row>
    <row r="3510">
      <c r="A3510" s="6"/>
      <c r="B3510" s="6"/>
      <c r="C3510" s="4"/>
      <c r="D3510" s="36">
        <v>0.0</v>
      </c>
      <c r="E3510" s="4"/>
      <c r="F3510" s="4"/>
      <c r="G3510" s="4"/>
      <c r="H3510" s="4"/>
      <c r="I3510" s="4"/>
      <c r="J3510" s="18"/>
      <c r="K3510" s="4"/>
      <c r="L3510" s="19"/>
      <c r="M3510" s="20"/>
    </row>
    <row r="3511">
      <c r="A3511" s="6"/>
      <c r="B3511" s="6"/>
      <c r="C3511" s="4"/>
      <c r="D3511" s="36">
        <v>0.0</v>
      </c>
      <c r="E3511" s="4"/>
      <c r="F3511" s="4"/>
      <c r="G3511" s="4"/>
      <c r="H3511" s="4"/>
      <c r="I3511" s="4"/>
      <c r="J3511" s="18"/>
      <c r="K3511" s="4"/>
      <c r="L3511" s="19"/>
      <c r="M3511" s="20"/>
    </row>
    <row r="3512">
      <c r="A3512" s="6"/>
      <c r="B3512" s="6"/>
      <c r="C3512" s="4"/>
      <c r="D3512" s="36">
        <v>0.0</v>
      </c>
      <c r="E3512" s="4"/>
      <c r="F3512" s="4"/>
      <c r="G3512" s="4"/>
      <c r="H3512" s="4"/>
      <c r="I3512" s="4"/>
      <c r="J3512" s="18"/>
      <c r="K3512" s="4"/>
      <c r="L3512" s="19"/>
      <c r="M3512" s="20"/>
    </row>
    <row r="3513">
      <c r="A3513" s="6"/>
      <c r="B3513" s="6"/>
      <c r="C3513" s="4"/>
      <c r="D3513" s="36">
        <v>0.0</v>
      </c>
      <c r="E3513" s="4"/>
      <c r="F3513" s="4"/>
      <c r="G3513" s="4"/>
      <c r="H3513" s="4"/>
      <c r="I3513" s="4"/>
      <c r="J3513" s="18"/>
      <c r="K3513" s="4"/>
      <c r="L3513" s="19"/>
      <c r="M3513" s="20"/>
    </row>
    <row r="3514">
      <c r="A3514" s="6"/>
      <c r="B3514" s="6"/>
      <c r="C3514" s="4"/>
      <c r="D3514" s="36">
        <v>0.0</v>
      </c>
      <c r="E3514" s="4"/>
      <c r="F3514" s="4"/>
      <c r="G3514" s="4"/>
      <c r="H3514" s="4"/>
      <c r="I3514" s="4"/>
      <c r="J3514" s="18"/>
      <c r="K3514" s="4"/>
      <c r="L3514" s="19"/>
      <c r="M3514" s="20"/>
    </row>
    <row r="3515">
      <c r="A3515" s="6"/>
      <c r="B3515" s="6"/>
      <c r="C3515" s="4"/>
      <c r="D3515" s="36">
        <v>0.0</v>
      </c>
      <c r="E3515" s="4"/>
      <c r="F3515" s="4"/>
      <c r="G3515" s="4"/>
      <c r="H3515" s="4"/>
      <c r="I3515" s="4"/>
      <c r="J3515" s="18"/>
      <c r="K3515" s="4"/>
      <c r="L3515" s="19"/>
      <c r="M3515" s="20"/>
    </row>
    <row r="3516">
      <c r="A3516" s="6"/>
      <c r="B3516" s="6"/>
      <c r="C3516" s="4"/>
      <c r="D3516" s="36">
        <v>0.0</v>
      </c>
      <c r="E3516" s="4"/>
      <c r="F3516" s="4"/>
      <c r="G3516" s="4"/>
      <c r="H3516" s="4"/>
      <c r="I3516" s="4"/>
      <c r="J3516" s="18"/>
      <c r="K3516" s="4"/>
      <c r="L3516" s="19"/>
      <c r="M3516" s="20"/>
    </row>
    <row r="3517">
      <c r="A3517" s="6"/>
      <c r="B3517" s="6"/>
      <c r="C3517" s="4"/>
      <c r="D3517" s="36">
        <v>0.0</v>
      </c>
      <c r="E3517" s="4"/>
      <c r="F3517" s="4"/>
      <c r="G3517" s="4"/>
      <c r="H3517" s="4"/>
      <c r="I3517" s="4"/>
      <c r="J3517" s="18"/>
      <c r="K3517" s="4"/>
      <c r="L3517" s="19"/>
      <c r="M3517" s="20"/>
    </row>
    <row r="3518">
      <c r="A3518" s="6"/>
      <c r="B3518" s="6"/>
      <c r="C3518" s="4"/>
      <c r="D3518" s="36">
        <v>0.0</v>
      </c>
      <c r="E3518" s="4"/>
      <c r="F3518" s="4"/>
      <c r="G3518" s="4"/>
      <c r="H3518" s="4"/>
      <c r="I3518" s="4"/>
      <c r="J3518" s="18"/>
      <c r="K3518" s="4"/>
      <c r="L3518" s="19"/>
      <c r="M3518" s="20"/>
    </row>
    <row r="3519">
      <c r="A3519" s="6"/>
      <c r="B3519" s="6"/>
      <c r="C3519" s="4"/>
      <c r="D3519" s="36">
        <v>0.0</v>
      </c>
      <c r="E3519" s="4"/>
      <c r="F3519" s="4"/>
      <c r="G3519" s="4"/>
      <c r="H3519" s="4"/>
      <c r="I3519" s="4"/>
      <c r="J3519" s="18"/>
      <c r="K3519" s="4"/>
      <c r="L3519" s="19"/>
      <c r="M3519" s="20"/>
    </row>
    <row r="3520">
      <c r="A3520" s="6"/>
      <c r="B3520" s="6"/>
      <c r="C3520" s="4"/>
      <c r="D3520" s="36">
        <v>0.0</v>
      </c>
      <c r="E3520" s="4"/>
      <c r="F3520" s="4"/>
      <c r="G3520" s="4"/>
      <c r="H3520" s="4"/>
      <c r="I3520" s="4"/>
      <c r="J3520" s="18"/>
      <c r="K3520" s="4"/>
      <c r="L3520" s="19"/>
      <c r="M3520" s="20"/>
    </row>
    <row r="3521">
      <c r="A3521" s="6"/>
      <c r="B3521" s="6"/>
      <c r="C3521" s="4"/>
      <c r="D3521" s="36">
        <v>0.0</v>
      </c>
      <c r="E3521" s="4"/>
      <c r="F3521" s="4"/>
      <c r="G3521" s="4"/>
      <c r="H3521" s="4"/>
      <c r="I3521" s="4"/>
      <c r="J3521" s="18"/>
      <c r="K3521" s="4"/>
      <c r="L3521" s="19"/>
      <c r="M3521" s="20"/>
    </row>
    <row r="3522">
      <c r="A3522" s="6"/>
      <c r="B3522" s="6"/>
      <c r="C3522" s="4"/>
      <c r="D3522" s="36">
        <v>0.0</v>
      </c>
      <c r="E3522" s="4"/>
      <c r="F3522" s="4"/>
      <c r="G3522" s="4"/>
      <c r="H3522" s="4"/>
      <c r="I3522" s="4"/>
      <c r="J3522" s="18"/>
      <c r="K3522" s="4"/>
      <c r="L3522" s="19"/>
      <c r="M3522" s="20"/>
    </row>
    <row r="3523">
      <c r="A3523" s="6"/>
      <c r="B3523" s="6"/>
      <c r="C3523" s="4"/>
      <c r="D3523" s="36">
        <v>0.0</v>
      </c>
      <c r="E3523" s="4"/>
      <c r="F3523" s="4"/>
      <c r="G3523" s="4"/>
      <c r="H3523" s="4"/>
      <c r="I3523" s="4"/>
      <c r="J3523" s="18"/>
      <c r="K3523" s="4"/>
      <c r="L3523" s="19"/>
      <c r="M3523" s="20"/>
    </row>
    <row r="3524">
      <c r="A3524" s="6"/>
      <c r="B3524" s="6"/>
      <c r="C3524" s="4"/>
      <c r="D3524" s="36">
        <v>0.0</v>
      </c>
      <c r="E3524" s="4"/>
      <c r="F3524" s="4"/>
      <c r="G3524" s="4"/>
      <c r="H3524" s="4"/>
      <c r="I3524" s="4"/>
      <c r="J3524" s="18"/>
      <c r="K3524" s="4"/>
      <c r="L3524" s="19"/>
      <c r="M3524" s="20"/>
    </row>
    <row r="3525">
      <c r="A3525" s="6"/>
      <c r="B3525" s="6"/>
      <c r="C3525" s="4"/>
      <c r="D3525" s="36">
        <v>0.0</v>
      </c>
      <c r="E3525" s="4"/>
      <c r="F3525" s="4"/>
      <c r="G3525" s="4"/>
      <c r="H3525" s="4"/>
      <c r="I3525" s="4"/>
      <c r="J3525" s="18"/>
      <c r="K3525" s="4"/>
      <c r="L3525" s="19"/>
      <c r="M3525" s="20"/>
    </row>
    <row r="3526">
      <c r="A3526" s="6"/>
      <c r="B3526" s="6"/>
      <c r="C3526" s="4"/>
      <c r="D3526" s="36">
        <v>0.0</v>
      </c>
      <c r="E3526" s="4"/>
      <c r="F3526" s="4"/>
      <c r="G3526" s="4"/>
      <c r="H3526" s="4"/>
      <c r="I3526" s="4"/>
      <c r="J3526" s="18"/>
      <c r="K3526" s="4"/>
      <c r="L3526" s="19"/>
      <c r="M3526" s="20"/>
    </row>
    <row r="3527">
      <c r="A3527" s="6"/>
      <c r="B3527" s="6"/>
      <c r="C3527" s="4"/>
      <c r="D3527" s="36">
        <v>0.0</v>
      </c>
      <c r="E3527" s="4"/>
      <c r="F3527" s="4"/>
      <c r="G3527" s="4"/>
      <c r="H3527" s="4"/>
      <c r="I3527" s="4"/>
      <c r="J3527" s="18"/>
      <c r="K3527" s="4"/>
      <c r="L3527" s="19"/>
      <c r="M3527" s="20"/>
    </row>
    <row r="3528">
      <c r="A3528" s="6"/>
      <c r="B3528" s="6"/>
      <c r="C3528" s="4"/>
      <c r="D3528" s="36">
        <v>0.0</v>
      </c>
      <c r="E3528" s="4"/>
      <c r="F3528" s="4"/>
      <c r="G3528" s="4"/>
      <c r="H3528" s="4"/>
      <c r="I3528" s="4"/>
      <c r="J3528" s="18"/>
      <c r="K3528" s="4"/>
      <c r="L3528" s="19"/>
      <c r="M3528" s="20"/>
    </row>
    <row r="3529">
      <c r="A3529" s="6"/>
      <c r="B3529" s="6"/>
      <c r="C3529" s="4"/>
      <c r="D3529" s="36">
        <v>0.0</v>
      </c>
      <c r="E3529" s="4"/>
      <c r="F3529" s="4"/>
      <c r="G3529" s="4"/>
      <c r="H3529" s="4"/>
      <c r="I3529" s="4"/>
      <c r="J3529" s="18"/>
      <c r="K3529" s="4"/>
      <c r="L3529" s="19"/>
      <c r="M3529" s="20"/>
    </row>
    <row r="3530">
      <c r="A3530" s="6"/>
      <c r="B3530" s="6"/>
      <c r="C3530" s="4"/>
      <c r="D3530" s="36">
        <v>0.0</v>
      </c>
      <c r="E3530" s="4"/>
      <c r="F3530" s="4"/>
      <c r="G3530" s="4"/>
      <c r="H3530" s="4"/>
      <c r="I3530" s="4"/>
      <c r="J3530" s="18"/>
      <c r="K3530" s="4"/>
      <c r="L3530" s="19"/>
      <c r="M3530" s="20"/>
    </row>
    <row r="3531">
      <c r="A3531" s="6"/>
      <c r="B3531" s="6"/>
      <c r="C3531" s="4"/>
      <c r="D3531" s="36">
        <v>0.0</v>
      </c>
      <c r="E3531" s="4"/>
      <c r="F3531" s="4"/>
      <c r="G3531" s="4"/>
      <c r="H3531" s="4"/>
      <c r="I3531" s="4"/>
      <c r="J3531" s="18"/>
      <c r="K3531" s="4"/>
      <c r="L3531" s="19"/>
      <c r="M3531" s="20"/>
    </row>
    <row r="3532">
      <c r="A3532" s="6"/>
      <c r="B3532" s="6"/>
      <c r="C3532" s="4"/>
      <c r="D3532" s="36">
        <v>0.0</v>
      </c>
      <c r="E3532" s="4"/>
      <c r="F3532" s="4"/>
      <c r="G3532" s="4"/>
      <c r="H3532" s="4"/>
      <c r="I3532" s="4"/>
      <c r="J3532" s="18"/>
      <c r="K3532" s="4"/>
      <c r="L3532" s="19"/>
      <c r="M3532" s="20"/>
    </row>
    <row r="3533">
      <c r="A3533" s="6"/>
      <c r="B3533" s="6"/>
      <c r="C3533" s="4"/>
      <c r="D3533" s="36">
        <v>0.0</v>
      </c>
      <c r="E3533" s="4"/>
      <c r="F3533" s="4"/>
      <c r="G3533" s="4"/>
      <c r="H3533" s="4"/>
      <c r="I3533" s="4"/>
      <c r="J3533" s="18"/>
      <c r="K3533" s="4"/>
      <c r="L3533" s="19"/>
      <c r="M3533" s="20"/>
    </row>
    <row r="3534">
      <c r="A3534" s="6"/>
      <c r="B3534" s="6"/>
      <c r="C3534" s="4"/>
      <c r="D3534" s="36">
        <v>0.0</v>
      </c>
      <c r="E3534" s="4"/>
      <c r="F3534" s="4"/>
      <c r="G3534" s="4"/>
      <c r="H3534" s="4"/>
      <c r="I3534" s="4"/>
      <c r="J3534" s="18"/>
      <c r="K3534" s="4"/>
      <c r="L3534" s="19"/>
      <c r="M3534" s="20"/>
    </row>
    <row r="3535">
      <c r="A3535" s="6"/>
      <c r="B3535" s="6"/>
      <c r="C3535" s="4"/>
      <c r="D3535" s="36">
        <v>0.0</v>
      </c>
      <c r="E3535" s="4"/>
      <c r="F3535" s="4"/>
      <c r="G3535" s="4"/>
      <c r="H3535" s="4"/>
      <c r="I3535" s="4"/>
      <c r="J3535" s="18"/>
      <c r="K3535" s="4"/>
      <c r="L3535" s="19"/>
      <c r="M3535" s="20"/>
    </row>
    <row r="3536">
      <c r="A3536" s="6"/>
      <c r="B3536" s="6"/>
      <c r="C3536" s="4"/>
      <c r="D3536" s="36">
        <v>0.0</v>
      </c>
      <c r="E3536" s="4"/>
      <c r="F3536" s="4"/>
      <c r="G3536" s="4"/>
      <c r="H3536" s="4"/>
      <c r="I3536" s="4"/>
      <c r="J3536" s="18"/>
      <c r="K3536" s="4"/>
      <c r="L3536" s="19"/>
      <c r="M3536" s="20"/>
    </row>
    <row r="3537">
      <c r="A3537" s="6"/>
      <c r="B3537" s="6"/>
      <c r="C3537" s="4"/>
      <c r="D3537" s="36">
        <v>0.0</v>
      </c>
      <c r="E3537" s="4"/>
      <c r="F3537" s="4"/>
      <c r="G3537" s="4"/>
      <c r="H3537" s="4"/>
      <c r="I3537" s="4"/>
      <c r="J3537" s="18"/>
      <c r="K3537" s="4"/>
      <c r="L3537" s="19"/>
      <c r="M3537" s="20"/>
    </row>
    <row r="3538">
      <c r="A3538" s="6"/>
      <c r="B3538" s="6"/>
      <c r="C3538" s="4"/>
      <c r="D3538" s="36">
        <v>0.0</v>
      </c>
      <c r="E3538" s="4"/>
      <c r="F3538" s="4"/>
      <c r="G3538" s="4"/>
      <c r="H3538" s="4"/>
      <c r="I3538" s="4"/>
      <c r="J3538" s="18"/>
      <c r="K3538" s="4"/>
      <c r="L3538" s="19"/>
      <c r="M3538" s="20"/>
    </row>
    <row r="3539">
      <c r="A3539" s="6"/>
      <c r="B3539" s="6"/>
      <c r="C3539" s="4"/>
      <c r="D3539" s="36">
        <v>0.0</v>
      </c>
      <c r="E3539" s="4"/>
      <c r="F3539" s="4"/>
      <c r="G3539" s="4"/>
      <c r="H3539" s="4"/>
      <c r="I3539" s="4"/>
      <c r="J3539" s="18"/>
      <c r="K3539" s="4"/>
      <c r="L3539" s="19"/>
      <c r="M3539" s="20"/>
    </row>
    <row r="3540">
      <c r="A3540" s="6"/>
      <c r="B3540" s="6"/>
      <c r="C3540" s="4"/>
      <c r="D3540" s="36">
        <v>0.0</v>
      </c>
      <c r="E3540" s="4"/>
      <c r="F3540" s="4"/>
      <c r="G3540" s="4"/>
      <c r="H3540" s="4"/>
      <c r="I3540" s="4"/>
      <c r="J3540" s="18"/>
      <c r="K3540" s="4"/>
      <c r="L3540" s="19"/>
      <c r="M3540" s="20"/>
    </row>
    <row r="3541">
      <c r="A3541" s="6"/>
      <c r="B3541" s="6"/>
      <c r="C3541" s="4"/>
      <c r="D3541" s="36">
        <v>0.0</v>
      </c>
      <c r="E3541" s="4"/>
      <c r="F3541" s="4"/>
      <c r="G3541" s="4"/>
      <c r="H3541" s="4"/>
      <c r="I3541" s="4"/>
      <c r="J3541" s="18"/>
      <c r="K3541" s="4"/>
      <c r="L3541" s="19"/>
      <c r="M3541" s="20"/>
    </row>
    <row r="3542">
      <c r="A3542" s="6"/>
      <c r="B3542" s="6"/>
      <c r="C3542" s="4"/>
      <c r="D3542" s="36">
        <v>0.0</v>
      </c>
      <c r="E3542" s="4"/>
      <c r="F3542" s="4"/>
      <c r="G3542" s="4"/>
      <c r="H3542" s="4"/>
      <c r="I3542" s="4"/>
      <c r="J3542" s="18"/>
      <c r="K3542" s="4"/>
      <c r="L3542" s="19"/>
      <c r="M3542" s="20"/>
    </row>
    <row r="3543">
      <c r="A3543" s="6"/>
      <c r="B3543" s="6"/>
      <c r="C3543" s="4"/>
      <c r="D3543" s="36">
        <v>0.0</v>
      </c>
      <c r="E3543" s="4"/>
      <c r="F3543" s="4"/>
      <c r="G3543" s="4"/>
      <c r="H3543" s="4"/>
      <c r="I3543" s="4"/>
      <c r="J3543" s="18"/>
      <c r="K3543" s="4"/>
      <c r="L3543" s="19"/>
      <c r="M3543" s="20"/>
    </row>
    <row r="3544">
      <c r="A3544" s="6"/>
      <c r="B3544" s="6"/>
      <c r="C3544" s="4"/>
      <c r="D3544" s="36">
        <v>0.0</v>
      </c>
      <c r="E3544" s="4"/>
      <c r="F3544" s="4"/>
      <c r="G3544" s="4"/>
      <c r="H3544" s="4"/>
      <c r="I3544" s="4"/>
      <c r="J3544" s="18"/>
      <c r="K3544" s="4"/>
      <c r="L3544" s="19"/>
      <c r="M3544" s="20"/>
    </row>
    <row r="3545">
      <c r="A3545" s="6"/>
      <c r="B3545" s="6"/>
      <c r="C3545" s="4"/>
      <c r="D3545" s="36">
        <v>0.0</v>
      </c>
      <c r="E3545" s="4"/>
      <c r="F3545" s="4"/>
      <c r="G3545" s="4"/>
      <c r="H3545" s="4"/>
      <c r="I3545" s="4"/>
      <c r="J3545" s="18"/>
      <c r="K3545" s="4"/>
      <c r="L3545" s="19"/>
      <c r="M3545" s="20"/>
    </row>
    <row r="3546">
      <c r="A3546" s="6"/>
      <c r="B3546" s="6"/>
      <c r="C3546" s="4"/>
      <c r="D3546" s="36">
        <v>0.0</v>
      </c>
      <c r="E3546" s="4"/>
      <c r="F3546" s="4"/>
      <c r="G3546" s="4"/>
      <c r="H3546" s="4"/>
      <c r="I3546" s="4"/>
      <c r="J3546" s="18"/>
      <c r="K3546" s="4"/>
      <c r="L3546" s="19"/>
      <c r="M3546" s="20"/>
    </row>
    <row r="3547">
      <c r="A3547" s="6"/>
      <c r="B3547" s="6"/>
      <c r="C3547" s="4"/>
      <c r="D3547" s="36">
        <v>0.0</v>
      </c>
      <c r="E3547" s="4"/>
      <c r="F3547" s="4"/>
      <c r="G3547" s="4"/>
      <c r="H3547" s="4"/>
      <c r="I3547" s="4"/>
      <c r="J3547" s="18"/>
      <c r="K3547" s="4"/>
      <c r="L3547" s="19"/>
      <c r="M3547" s="20"/>
    </row>
    <row r="3548">
      <c r="A3548" s="6"/>
      <c r="B3548" s="6"/>
      <c r="C3548" s="4"/>
      <c r="D3548" s="36">
        <v>0.0</v>
      </c>
      <c r="E3548" s="4"/>
      <c r="F3548" s="4"/>
      <c r="G3548" s="4"/>
      <c r="H3548" s="4"/>
      <c r="I3548" s="4"/>
      <c r="J3548" s="18"/>
      <c r="K3548" s="4"/>
      <c r="L3548" s="19"/>
      <c r="M3548" s="20"/>
    </row>
    <row r="3549">
      <c r="A3549" s="6"/>
      <c r="B3549" s="6"/>
      <c r="C3549" s="4"/>
      <c r="D3549" s="36">
        <v>0.0</v>
      </c>
      <c r="E3549" s="4"/>
      <c r="F3549" s="4"/>
      <c r="G3549" s="4"/>
      <c r="H3549" s="4"/>
      <c r="I3549" s="4"/>
      <c r="J3549" s="18"/>
      <c r="K3549" s="4"/>
      <c r="L3549" s="19"/>
      <c r="M3549" s="20"/>
    </row>
    <row r="3550">
      <c r="A3550" s="6"/>
      <c r="B3550" s="6"/>
      <c r="C3550" s="4"/>
      <c r="D3550" s="36">
        <v>0.0</v>
      </c>
      <c r="E3550" s="4"/>
      <c r="F3550" s="4"/>
      <c r="G3550" s="4"/>
      <c r="H3550" s="4"/>
      <c r="I3550" s="4"/>
      <c r="J3550" s="18"/>
      <c r="K3550" s="4"/>
      <c r="L3550" s="19"/>
      <c r="M3550" s="20"/>
    </row>
    <row r="3551">
      <c r="A3551" s="6"/>
      <c r="B3551" s="6"/>
      <c r="C3551" s="4"/>
      <c r="D3551" s="36">
        <v>0.0</v>
      </c>
      <c r="E3551" s="4"/>
      <c r="F3551" s="4"/>
      <c r="G3551" s="4"/>
      <c r="H3551" s="4"/>
      <c r="I3551" s="4"/>
      <c r="J3551" s="18"/>
      <c r="K3551" s="4"/>
      <c r="L3551" s="19"/>
      <c r="M3551" s="20"/>
    </row>
    <row r="3552">
      <c r="A3552" s="6"/>
      <c r="B3552" s="6"/>
      <c r="C3552" s="4"/>
      <c r="D3552" s="36">
        <v>0.0</v>
      </c>
      <c r="E3552" s="4"/>
      <c r="F3552" s="4"/>
      <c r="G3552" s="4"/>
      <c r="H3552" s="4"/>
      <c r="I3552" s="4"/>
      <c r="J3552" s="18"/>
      <c r="K3552" s="4"/>
      <c r="L3552" s="19"/>
      <c r="M3552" s="20"/>
    </row>
    <row r="3553">
      <c r="A3553" s="6"/>
      <c r="B3553" s="6"/>
      <c r="C3553" s="4"/>
      <c r="D3553" s="36">
        <v>0.0</v>
      </c>
      <c r="E3553" s="4"/>
      <c r="F3553" s="4"/>
      <c r="G3553" s="4"/>
      <c r="H3553" s="4"/>
      <c r="I3553" s="4"/>
      <c r="J3553" s="18"/>
      <c r="K3553" s="4"/>
      <c r="L3553" s="19"/>
      <c r="M3553" s="20"/>
    </row>
    <row r="3554">
      <c r="A3554" s="6"/>
      <c r="B3554" s="6"/>
      <c r="C3554" s="4"/>
      <c r="D3554" s="36">
        <v>0.0</v>
      </c>
      <c r="E3554" s="4"/>
      <c r="F3554" s="4"/>
      <c r="G3554" s="4"/>
      <c r="H3554" s="4"/>
      <c r="I3554" s="4"/>
      <c r="J3554" s="18"/>
      <c r="K3554" s="4"/>
      <c r="L3554" s="19"/>
      <c r="M3554" s="20"/>
    </row>
    <row r="3555">
      <c r="A3555" s="6"/>
      <c r="B3555" s="6"/>
      <c r="C3555" s="4"/>
      <c r="D3555" s="36">
        <v>0.0</v>
      </c>
      <c r="E3555" s="4"/>
      <c r="F3555" s="4"/>
      <c r="G3555" s="4"/>
      <c r="H3555" s="4"/>
      <c r="I3555" s="4"/>
      <c r="J3555" s="18"/>
      <c r="K3555" s="4"/>
      <c r="L3555" s="19"/>
      <c r="M3555" s="20"/>
    </row>
    <row r="3556">
      <c r="A3556" s="6"/>
      <c r="B3556" s="6"/>
      <c r="C3556" s="4"/>
      <c r="D3556" s="36">
        <v>0.0</v>
      </c>
      <c r="E3556" s="4"/>
      <c r="F3556" s="4"/>
      <c r="G3556" s="4"/>
      <c r="H3556" s="4"/>
      <c r="I3556" s="4"/>
      <c r="J3556" s="18"/>
      <c r="K3556" s="4"/>
      <c r="L3556" s="19"/>
      <c r="M3556" s="20"/>
    </row>
    <row r="3557">
      <c r="A3557" s="6"/>
      <c r="B3557" s="6"/>
      <c r="C3557" s="4"/>
      <c r="D3557" s="36">
        <v>0.0</v>
      </c>
      <c r="E3557" s="4"/>
      <c r="F3557" s="4"/>
      <c r="G3557" s="4"/>
      <c r="H3557" s="4"/>
      <c r="I3557" s="4"/>
      <c r="J3557" s="18"/>
      <c r="K3557" s="4"/>
      <c r="L3557" s="19"/>
      <c r="M3557" s="20"/>
    </row>
    <row r="3558">
      <c r="A3558" s="6"/>
      <c r="B3558" s="6"/>
      <c r="C3558" s="4"/>
      <c r="D3558" s="36">
        <v>0.0</v>
      </c>
      <c r="E3558" s="4"/>
      <c r="F3558" s="4"/>
      <c r="G3558" s="4"/>
      <c r="H3558" s="4"/>
      <c r="I3558" s="4"/>
      <c r="J3558" s="18"/>
      <c r="K3558" s="4"/>
      <c r="L3558" s="19"/>
      <c r="M3558" s="20"/>
    </row>
    <row r="3559">
      <c r="A3559" s="6"/>
      <c r="B3559" s="6"/>
      <c r="C3559" s="4"/>
      <c r="D3559" s="36">
        <v>0.0</v>
      </c>
      <c r="E3559" s="4"/>
      <c r="F3559" s="4"/>
      <c r="G3559" s="4"/>
      <c r="H3559" s="4"/>
      <c r="I3559" s="4"/>
      <c r="J3559" s="18"/>
      <c r="K3559" s="4"/>
      <c r="L3559" s="19"/>
      <c r="M3559" s="20"/>
    </row>
    <row r="3560">
      <c r="A3560" s="6"/>
      <c r="B3560" s="6"/>
      <c r="C3560" s="4"/>
      <c r="D3560" s="36">
        <v>0.0</v>
      </c>
      <c r="E3560" s="4"/>
      <c r="F3560" s="4"/>
      <c r="G3560" s="4"/>
      <c r="H3560" s="4"/>
      <c r="I3560" s="4"/>
      <c r="J3560" s="18"/>
      <c r="K3560" s="4"/>
      <c r="L3560" s="19"/>
      <c r="M3560" s="20"/>
    </row>
    <row r="3561">
      <c r="A3561" s="6"/>
      <c r="B3561" s="6"/>
      <c r="C3561" s="4"/>
      <c r="D3561" s="36">
        <v>0.0</v>
      </c>
      <c r="E3561" s="4"/>
      <c r="F3561" s="4"/>
      <c r="G3561" s="4"/>
      <c r="H3561" s="4"/>
      <c r="I3561" s="4"/>
      <c r="J3561" s="18"/>
      <c r="K3561" s="4"/>
      <c r="L3561" s="19"/>
      <c r="M3561" s="20"/>
    </row>
    <row r="3562">
      <c r="A3562" s="6"/>
      <c r="B3562" s="6"/>
      <c r="C3562" s="4"/>
      <c r="D3562" s="36">
        <v>0.0</v>
      </c>
      <c r="E3562" s="4"/>
      <c r="F3562" s="4"/>
      <c r="G3562" s="4"/>
      <c r="H3562" s="4"/>
      <c r="I3562" s="4"/>
      <c r="J3562" s="18"/>
      <c r="K3562" s="4"/>
      <c r="L3562" s="19"/>
      <c r="M3562" s="20"/>
    </row>
    <row r="3563">
      <c r="A3563" s="6"/>
      <c r="B3563" s="6"/>
      <c r="C3563" s="4"/>
      <c r="D3563" s="36">
        <v>0.0</v>
      </c>
      <c r="E3563" s="4"/>
      <c r="F3563" s="4"/>
      <c r="G3563" s="4"/>
      <c r="H3563" s="4"/>
      <c r="I3563" s="4"/>
      <c r="J3563" s="18"/>
      <c r="K3563" s="4"/>
      <c r="L3563" s="19"/>
      <c r="M3563" s="20"/>
    </row>
    <row r="3564">
      <c r="A3564" s="6"/>
      <c r="B3564" s="6"/>
      <c r="C3564" s="4"/>
      <c r="D3564" s="36">
        <v>0.0</v>
      </c>
      <c r="E3564" s="4"/>
      <c r="F3564" s="4"/>
      <c r="G3564" s="4"/>
      <c r="H3564" s="4"/>
      <c r="I3564" s="4"/>
      <c r="J3564" s="18"/>
      <c r="K3564" s="4"/>
      <c r="L3564" s="19"/>
      <c r="M3564" s="20"/>
    </row>
    <row r="3565">
      <c r="A3565" s="6"/>
      <c r="B3565" s="6"/>
      <c r="C3565" s="4"/>
      <c r="D3565" s="36">
        <v>0.0</v>
      </c>
      <c r="E3565" s="4"/>
      <c r="F3565" s="4"/>
      <c r="G3565" s="4"/>
      <c r="H3565" s="4"/>
      <c r="I3565" s="4"/>
      <c r="J3565" s="18"/>
      <c r="K3565" s="4"/>
      <c r="L3565" s="19"/>
      <c r="M3565" s="20"/>
    </row>
    <row r="3566">
      <c r="A3566" s="6"/>
      <c r="B3566" s="6"/>
      <c r="C3566" s="4"/>
      <c r="D3566" s="36">
        <v>0.0</v>
      </c>
      <c r="E3566" s="4"/>
      <c r="F3566" s="4"/>
      <c r="G3566" s="4"/>
      <c r="H3566" s="4"/>
      <c r="I3566" s="4"/>
      <c r="J3566" s="18"/>
      <c r="K3566" s="4"/>
      <c r="L3566" s="19"/>
      <c r="M3566" s="20"/>
    </row>
    <row r="3567">
      <c r="A3567" s="6"/>
      <c r="B3567" s="6"/>
      <c r="C3567" s="4"/>
      <c r="D3567" s="36">
        <v>0.0</v>
      </c>
      <c r="E3567" s="4"/>
      <c r="F3567" s="4"/>
      <c r="G3567" s="4"/>
      <c r="H3567" s="4"/>
      <c r="I3567" s="4"/>
      <c r="J3567" s="18"/>
      <c r="K3567" s="4"/>
      <c r="L3567" s="19"/>
      <c r="M3567" s="20"/>
    </row>
    <row r="3568">
      <c r="A3568" s="6"/>
      <c r="B3568" s="6"/>
      <c r="C3568" s="4"/>
      <c r="D3568" s="36">
        <v>0.0</v>
      </c>
      <c r="E3568" s="4"/>
      <c r="F3568" s="4"/>
      <c r="G3568" s="4"/>
      <c r="H3568" s="4"/>
      <c r="I3568" s="4"/>
      <c r="J3568" s="18"/>
      <c r="K3568" s="4"/>
      <c r="L3568" s="19"/>
      <c r="M3568" s="20"/>
    </row>
    <row r="3569">
      <c r="A3569" s="6"/>
      <c r="B3569" s="6"/>
      <c r="C3569" s="4"/>
      <c r="D3569" s="36">
        <v>0.0</v>
      </c>
      <c r="E3569" s="4"/>
      <c r="F3569" s="4"/>
      <c r="G3569" s="4"/>
      <c r="H3569" s="4"/>
      <c r="I3569" s="4"/>
      <c r="J3569" s="18"/>
      <c r="K3569" s="4"/>
      <c r="L3569" s="19"/>
      <c r="M3569" s="20"/>
    </row>
    <row r="3570">
      <c r="A3570" s="6"/>
      <c r="B3570" s="6"/>
      <c r="C3570" s="4"/>
      <c r="D3570" s="36">
        <v>0.0</v>
      </c>
      <c r="E3570" s="4"/>
      <c r="F3570" s="4"/>
      <c r="G3570" s="4"/>
      <c r="H3570" s="4"/>
      <c r="I3570" s="4"/>
      <c r="J3570" s="18"/>
      <c r="K3570" s="4"/>
      <c r="L3570" s="19"/>
      <c r="M3570" s="20"/>
    </row>
    <row r="3571">
      <c r="A3571" s="6"/>
      <c r="B3571" s="6"/>
      <c r="C3571" s="4"/>
      <c r="D3571" s="36">
        <v>0.0</v>
      </c>
      <c r="E3571" s="4"/>
      <c r="F3571" s="4"/>
      <c r="G3571" s="4"/>
      <c r="H3571" s="4"/>
      <c r="I3571" s="4"/>
      <c r="J3571" s="18"/>
      <c r="K3571" s="4"/>
      <c r="L3571" s="19"/>
      <c r="M3571" s="20"/>
    </row>
    <row r="3572">
      <c r="A3572" s="6"/>
      <c r="B3572" s="6"/>
      <c r="C3572" s="4"/>
      <c r="D3572" s="36">
        <v>0.0</v>
      </c>
      <c r="E3572" s="4"/>
      <c r="F3572" s="4"/>
      <c r="G3572" s="4"/>
      <c r="H3572" s="4"/>
      <c r="I3572" s="4"/>
      <c r="J3572" s="18"/>
      <c r="K3572" s="4"/>
      <c r="L3572" s="19"/>
      <c r="M3572" s="20"/>
    </row>
    <row r="3573">
      <c r="A3573" s="6"/>
      <c r="B3573" s="6"/>
      <c r="C3573" s="4"/>
      <c r="D3573" s="36">
        <v>0.0</v>
      </c>
      <c r="E3573" s="4"/>
      <c r="F3573" s="4"/>
      <c r="G3573" s="4"/>
      <c r="H3573" s="4"/>
      <c r="I3573" s="4"/>
      <c r="J3573" s="18"/>
      <c r="K3573" s="4"/>
      <c r="L3573" s="19"/>
      <c r="M3573" s="20"/>
    </row>
    <row r="3574">
      <c r="A3574" s="6"/>
      <c r="B3574" s="6"/>
      <c r="C3574" s="4"/>
      <c r="D3574" s="36">
        <v>0.0</v>
      </c>
      <c r="E3574" s="4"/>
      <c r="F3574" s="4"/>
      <c r="G3574" s="4"/>
      <c r="H3574" s="4"/>
      <c r="I3574" s="4"/>
      <c r="J3574" s="18"/>
      <c r="K3574" s="4"/>
      <c r="L3574" s="19"/>
      <c r="M3574" s="20"/>
    </row>
    <row r="3575">
      <c r="A3575" s="6"/>
      <c r="B3575" s="6"/>
      <c r="C3575" s="4"/>
      <c r="D3575" s="36">
        <v>0.0</v>
      </c>
      <c r="E3575" s="4"/>
      <c r="F3575" s="4"/>
      <c r="G3575" s="4"/>
      <c r="H3575" s="4"/>
      <c r="I3575" s="4"/>
      <c r="J3575" s="18"/>
      <c r="K3575" s="4"/>
      <c r="L3575" s="19"/>
      <c r="M3575" s="20"/>
    </row>
    <row r="3576">
      <c r="A3576" s="6"/>
      <c r="B3576" s="6"/>
      <c r="C3576" s="4"/>
      <c r="D3576" s="36">
        <v>0.0</v>
      </c>
      <c r="E3576" s="4"/>
      <c r="F3576" s="4"/>
      <c r="G3576" s="4"/>
      <c r="H3576" s="4"/>
      <c r="I3576" s="4"/>
      <c r="J3576" s="18"/>
      <c r="K3576" s="4"/>
      <c r="L3576" s="19"/>
      <c r="M3576" s="20"/>
    </row>
    <row r="3577">
      <c r="A3577" s="6"/>
      <c r="B3577" s="6"/>
      <c r="C3577" s="4"/>
      <c r="D3577" s="36">
        <v>0.0</v>
      </c>
      <c r="E3577" s="4"/>
      <c r="F3577" s="4"/>
      <c r="G3577" s="4"/>
      <c r="H3577" s="4"/>
      <c r="I3577" s="4"/>
      <c r="J3577" s="18"/>
      <c r="K3577" s="4"/>
      <c r="L3577" s="19"/>
      <c r="M3577" s="20"/>
    </row>
    <row r="3578">
      <c r="A3578" s="6"/>
      <c r="B3578" s="6"/>
      <c r="C3578" s="4"/>
      <c r="D3578" s="36">
        <v>0.0</v>
      </c>
      <c r="E3578" s="4"/>
      <c r="F3578" s="4"/>
      <c r="G3578" s="4"/>
      <c r="H3578" s="4"/>
      <c r="I3578" s="4"/>
      <c r="J3578" s="18"/>
      <c r="K3578" s="4"/>
      <c r="L3578" s="19"/>
      <c r="M3578" s="20"/>
    </row>
    <row r="3579">
      <c r="A3579" s="6"/>
      <c r="B3579" s="6"/>
      <c r="C3579" s="4"/>
      <c r="D3579" s="36">
        <v>0.0</v>
      </c>
      <c r="E3579" s="4"/>
      <c r="F3579" s="4"/>
      <c r="G3579" s="4"/>
      <c r="H3579" s="4"/>
      <c r="I3579" s="4"/>
      <c r="J3579" s="18"/>
      <c r="K3579" s="4"/>
      <c r="L3579" s="19"/>
      <c r="M3579" s="20"/>
    </row>
    <row r="3580">
      <c r="A3580" s="6"/>
      <c r="B3580" s="6"/>
      <c r="C3580" s="4"/>
      <c r="D3580" s="36">
        <v>0.0</v>
      </c>
      <c r="E3580" s="4"/>
      <c r="F3580" s="4"/>
      <c r="G3580" s="4"/>
      <c r="H3580" s="4"/>
      <c r="I3580" s="4"/>
      <c r="J3580" s="18"/>
      <c r="K3580" s="4"/>
      <c r="L3580" s="19"/>
      <c r="M3580" s="20"/>
    </row>
    <row r="3581">
      <c r="A3581" s="6"/>
      <c r="B3581" s="6"/>
      <c r="C3581" s="4"/>
      <c r="D3581" s="36">
        <v>0.0</v>
      </c>
      <c r="E3581" s="4"/>
      <c r="F3581" s="4"/>
      <c r="G3581" s="4"/>
      <c r="H3581" s="4"/>
      <c r="I3581" s="4"/>
      <c r="J3581" s="18"/>
      <c r="K3581" s="4"/>
      <c r="L3581" s="19"/>
      <c r="M3581" s="20"/>
    </row>
    <row r="3582">
      <c r="A3582" s="6"/>
      <c r="B3582" s="6"/>
      <c r="C3582" s="4"/>
      <c r="D3582" s="36">
        <v>0.0</v>
      </c>
      <c r="E3582" s="4"/>
      <c r="F3582" s="4"/>
      <c r="G3582" s="4"/>
      <c r="H3582" s="4"/>
      <c r="I3582" s="4"/>
      <c r="J3582" s="18"/>
      <c r="K3582" s="4"/>
      <c r="L3582" s="19"/>
      <c r="M3582" s="20"/>
    </row>
    <row r="3583">
      <c r="A3583" s="6"/>
      <c r="B3583" s="6"/>
      <c r="C3583" s="4"/>
      <c r="D3583" s="36">
        <v>0.0</v>
      </c>
      <c r="E3583" s="4"/>
      <c r="F3583" s="4"/>
      <c r="G3583" s="4"/>
      <c r="H3583" s="4"/>
      <c r="I3583" s="4"/>
      <c r="J3583" s="18"/>
      <c r="K3583" s="4"/>
      <c r="L3583" s="19"/>
      <c r="M3583" s="20"/>
    </row>
    <row r="3584">
      <c r="A3584" s="6"/>
      <c r="B3584" s="6"/>
      <c r="C3584" s="4"/>
      <c r="D3584" s="36">
        <v>0.0</v>
      </c>
      <c r="E3584" s="4"/>
      <c r="F3584" s="4"/>
      <c r="G3584" s="4"/>
      <c r="H3584" s="4"/>
      <c r="I3584" s="4"/>
      <c r="J3584" s="18"/>
      <c r="K3584" s="4"/>
      <c r="L3584" s="19"/>
      <c r="M3584" s="20"/>
    </row>
    <row r="3585">
      <c r="A3585" s="6"/>
      <c r="B3585" s="6"/>
      <c r="C3585" s="4"/>
      <c r="D3585" s="36">
        <v>0.0</v>
      </c>
      <c r="E3585" s="4"/>
      <c r="F3585" s="4"/>
      <c r="G3585" s="4"/>
      <c r="H3585" s="4"/>
      <c r="I3585" s="4"/>
      <c r="J3585" s="18"/>
      <c r="K3585" s="4"/>
      <c r="L3585" s="19"/>
      <c r="M3585" s="20"/>
    </row>
    <row r="3586">
      <c r="A3586" s="6"/>
      <c r="B3586" s="6"/>
      <c r="C3586" s="4"/>
      <c r="D3586" s="36">
        <v>0.0</v>
      </c>
      <c r="E3586" s="4"/>
      <c r="F3586" s="4"/>
      <c r="G3586" s="4"/>
      <c r="H3586" s="4"/>
      <c r="I3586" s="4"/>
      <c r="J3586" s="18"/>
      <c r="K3586" s="4"/>
      <c r="L3586" s="19"/>
      <c r="M3586" s="20"/>
    </row>
    <row r="3587">
      <c r="A3587" s="6"/>
      <c r="B3587" s="6"/>
      <c r="C3587" s="4"/>
      <c r="D3587" s="36">
        <v>0.0</v>
      </c>
      <c r="E3587" s="4"/>
      <c r="F3587" s="4"/>
      <c r="G3587" s="4"/>
      <c r="H3587" s="4"/>
      <c r="I3587" s="4"/>
      <c r="J3587" s="18"/>
      <c r="K3587" s="4"/>
      <c r="L3587" s="19"/>
      <c r="M3587" s="20"/>
    </row>
    <row r="3588">
      <c r="A3588" s="6"/>
      <c r="B3588" s="6"/>
      <c r="C3588" s="4"/>
      <c r="D3588" s="36">
        <v>0.0</v>
      </c>
      <c r="E3588" s="4"/>
      <c r="F3588" s="4"/>
      <c r="G3588" s="4"/>
      <c r="H3588" s="4"/>
      <c r="I3588" s="4"/>
      <c r="J3588" s="18"/>
      <c r="K3588" s="4"/>
      <c r="L3588" s="19"/>
      <c r="M3588" s="20"/>
    </row>
    <row r="3589">
      <c r="A3589" s="6"/>
      <c r="B3589" s="6"/>
      <c r="C3589" s="4"/>
      <c r="D3589" s="36">
        <v>0.0</v>
      </c>
      <c r="E3589" s="4"/>
      <c r="F3589" s="4"/>
      <c r="G3589" s="4"/>
      <c r="H3589" s="4"/>
      <c r="I3589" s="4"/>
      <c r="J3589" s="18"/>
      <c r="K3589" s="4"/>
      <c r="L3589" s="19"/>
      <c r="M3589" s="20"/>
    </row>
    <row r="3590">
      <c r="A3590" s="6"/>
      <c r="B3590" s="6"/>
      <c r="C3590" s="4"/>
      <c r="D3590" s="36">
        <v>0.0</v>
      </c>
      <c r="E3590" s="4"/>
      <c r="F3590" s="4"/>
      <c r="G3590" s="4"/>
      <c r="H3590" s="4"/>
      <c r="I3590" s="4"/>
      <c r="J3590" s="18"/>
      <c r="K3590" s="4"/>
      <c r="L3590" s="19"/>
      <c r="M3590" s="20"/>
    </row>
    <row r="3591">
      <c r="A3591" s="6"/>
      <c r="B3591" s="6"/>
      <c r="C3591" s="4"/>
      <c r="D3591" s="36">
        <v>0.0</v>
      </c>
      <c r="E3591" s="4"/>
      <c r="F3591" s="4"/>
      <c r="G3591" s="4"/>
      <c r="H3591" s="4"/>
      <c r="I3591" s="4"/>
      <c r="J3591" s="18"/>
      <c r="K3591" s="4"/>
      <c r="L3591" s="19"/>
      <c r="M3591" s="20"/>
    </row>
    <row r="3592">
      <c r="A3592" s="6"/>
      <c r="B3592" s="6"/>
      <c r="C3592" s="4"/>
      <c r="D3592" s="36">
        <v>0.0</v>
      </c>
      <c r="E3592" s="4"/>
      <c r="F3592" s="4"/>
      <c r="G3592" s="4"/>
      <c r="H3592" s="4"/>
      <c r="I3592" s="4"/>
      <c r="J3592" s="18"/>
      <c r="K3592" s="4"/>
      <c r="L3592" s="19"/>
      <c r="M3592" s="20"/>
    </row>
    <row r="3593">
      <c r="A3593" s="6"/>
      <c r="B3593" s="6"/>
      <c r="C3593" s="4"/>
      <c r="D3593" s="36">
        <v>0.0</v>
      </c>
      <c r="E3593" s="4"/>
      <c r="F3593" s="4"/>
      <c r="G3593" s="4"/>
      <c r="H3593" s="4"/>
      <c r="I3593" s="4"/>
      <c r="J3593" s="18"/>
      <c r="K3593" s="4"/>
      <c r="L3593" s="19"/>
      <c r="M3593" s="20"/>
    </row>
    <row r="3594">
      <c r="A3594" s="6"/>
      <c r="B3594" s="6"/>
      <c r="C3594" s="4"/>
      <c r="D3594" s="36">
        <v>0.0</v>
      </c>
      <c r="E3594" s="4"/>
      <c r="F3594" s="4"/>
      <c r="G3594" s="4"/>
      <c r="H3594" s="4"/>
      <c r="I3594" s="4"/>
      <c r="J3594" s="18"/>
      <c r="K3594" s="4"/>
      <c r="L3594" s="19"/>
      <c r="M3594" s="20"/>
    </row>
    <row r="3595">
      <c r="A3595" s="6"/>
      <c r="B3595" s="6"/>
      <c r="C3595" s="4"/>
      <c r="D3595" s="36">
        <v>0.0</v>
      </c>
      <c r="E3595" s="4"/>
      <c r="F3595" s="4"/>
      <c r="G3595" s="4"/>
      <c r="H3595" s="4"/>
      <c r="I3595" s="4"/>
      <c r="J3595" s="18"/>
      <c r="K3595" s="4"/>
      <c r="L3595" s="19"/>
      <c r="M3595" s="20"/>
    </row>
    <row r="3596">
      <c r="A3596" s="6"/>
      <c r="B3596" s="6"/>
      <c r="C3596" s="4"/>
      <c r="D3596" s="36">
        <v>0.0</v>
      </c>
      <c r="E3596" s="4"/>
      <c r="F3596" s="4"/>
      <c r="G3596" s="4"/>
      <c r="H3596" s="4"/>
      <c r="I3596" s="4"/>
      <c r="J3596" s="18"/>
      <c r="K3596" s="4"/>
      <c r="L3596" s="19"/>
      <c r="M3596" s="20"/>
    </row>
    <row r="3597">
      <c r="A3597" s="6"/>
      <c r="B3597" s="6"/>
      <c r="C3597" s="4"/>
      <c r="D3597" s="36">
        <v>0.0</v>
      </c>
      <c r="E3597" s="4"/>
      <c r="F3597" s="4"/>
      <c r="G3597" s="4"/>
      <c r="H3597" s="4"/>
      <c r="I3597" s="4"/>
      <c r="J3597" s="18"/>
      <c r="K3597" s="4"/>
      <c r="L3597" s="19"/>
      <c r="M3597" s="20"/>
    </row>
    <row r="3598">
      <c r="A3598" s="6"/>
      <c r="B3598" s="6"/>
      <c r="C3598" s="4"/>
      <c r="D3598" s="36">
        <v>0.0</v>
      </c>
      <c r="E3598" s="4"/>
      <c r="F3598" s="4"/>
      <c r="G3598" s="4"/>
      <c r="H3598" s="4"/>
      <c r="I3598" s="4"/>
      <c r="J3598" s="18"/>
      <c r="K3598" s="4"/>
      <c r="L3598" s="19"/>
      <c r="M3598" s="20"/>
    </row>
    <row r="3599">
      <c r="A3599" s="6"/>
      <c r="B3599" s="6"/>
      <c r="C3599" s="4"/>
      <c r="D3599" s="36">
        <v>0.0</v>
      </c>
      <c r="E3599" s="4"/>
      <c r="F3599" s="4"/>
      <c r="G3599" s="4"/>
      <c r="H3599" s="4"/>
      <c r="I3599" s="4"/>
      <c r="J3599" s="18"/>
      <c r="K3599" s="4"/>
      <c r="L3599" s="19"/>
      <c r="M3599" s="20"/>
    </row>
    <row r="3600">
      <c r="A3600" s="6"/>
      <c r="B3600" s="6"/>
      <c r="C3600" s="4"/>
      <c r="D3600" s="36">
        <v>0.0</v>
      </c>
      <c r="E3600" s="4"/>
      <c r="F3600" s="4"/>
      <c r="G3600" s="4"/>
      <c r="H3600" s="4"/>
      <c r="I3600" s="4"/>
      <c r="J3600" s="18"/>
      <c r="K3600" s="4"/>
      <c r="L3600" s="19"/>
      <c r="M3600" s="20"/>
    </row>
    <row r="3601">
      <c r="A3601" s="6"/>
      <c r="B3601" s="6"/>
      <c r="C3601" s="4"/>
      <c r="D3601" s="36">
        <v>0.0</v>
      </c>
      <c r="E3601" s="4"/>
      <c r="F3601" s="4"/>
      <c r="G3601" s="4"/>
      <c r="H3601" s="4"/>
      <c r="I3601" s="4"/>
      <c r="J3601" s="18"/>
      <c r="K3601" s="4"/>
      <c r="L3601" s="19"/>
      <c r="M3601" s="20"/>
    </row>
    <row r="3602">
      <c r="A3602" s="6"/>
      <c r="B3602" s="6"/>
      <c r="C3602" s="4"/>
      <c r="D3602" s="36">
        <v>0.0</v>
      </c>
      <c r="E3602" s="4"/>
      <c r="F3602" s="4"/>
      <c r="G3602" s="4"/>
      <c r="H3602" s="4"/>
      <c r="I3602" s="4"/>
      <c r="J3602" s="18"/>
      <c r="K3602" s="4"/>
      <c r="L3602" s="19"/>
      <c r="M3602" s="20"/>
    </row>
    <row r="3603">
      <c r="A3603" s="6"/>
      <c r="B3603" s="6"/>
      <c r="C3603" s="4"/>
      <c r="D3603" s="36">
        <v>0.0</v>
      </c>
      <c r="E3603" s="4"/>
      <c r="F3603" s="4"/>
      <c r="G3603" s="4"/>
      <c r="H3603" s="4"/>
      <c r="I3603" s="4"/>
      <c r="J3603" s="18"/>
      <c r="K3603" s="4"/>
      <c r="L3603" s="19"/>
      <c r="M3603" s="20"/>
    </row>
    <row r="3604">
      <c r="A3604" s="6"/>
      <c r="B3604" s="6"/>
      <c r="C3604" s="4"/>
      <c r="D3604" s="36">
        <v>0.0</v>
      </c>
      <c r="E3604" s="4"/>
      <c r="F3604" s="4"/>
      <c r="G3604" s="4"/>
      <c r="H3604" s="4"/>
      <c r="I3604" s="4"/>
      <c r="J3604" s="18"/>
      <c r="K3604" s="4"/>
      <c r="L3604" s="19"/>
      <c r="M3604" s="20"/>
    </row>
    <row r="3605">
      <c r="A3605" s="6"/>
      <c r="B3605" s="6"/>
      <c r="C3605" s="4"/>
      <c r="D3605" s="36">
        <v>0.0</v>
      </c>
      <c r="E3605" s="4"/>
      <c r="F3605" s="4"/>
      <c r="G3605" s="4"/>
      <c r="H3605" s="4"/>
      <c r="I3605" s="4"/>
      <c r="J3605" s="18"/>
      <c r="K3605" s="4"/>
      <c r="L3605" s="19"/>
      <c r="M3605" s="20"/>
    </row>
    <row r="3606">
      <c r="A3606" s="6"/>
      <c r="B3606" s="6"/>
      <c r="C3606" s="4"/>
      <c r="D3606" s="36">
        <v>0.0</v>
      </c>
      <c r="E3606" s="4"/>
      <c r="F3606" s="4"/>
      <c r="G3606" s="4"/>
      <c r="H3606" s="4"/>
      <c r="I3606" s="4"/>
      <c r="J3606" s="18"/>
      <c r="K3606" s="4"/>
      <c r="L3606" s="19"/>
      <c r="M3606" s="20"/>
    </row>
    <row r="3607">
      <c r="A3607" s="6"/>
      <c r="B3607" s="6"/>
      <c r="C3607" s="4"/>
      <c r="D3607" s="36">
        <v>0.0</v>
      </c>
      <c r="E3607" s="4"/>
      <c r="F3607" s="4"/>
      <c r="G3607" s="4"/>
      <c r="H3607" s="4"/>
      <c r="I3607" s="4"/>
      <c r="J3607" s="18"/>
      <c r="K3607" s="4"/>
      <c r="L3607" s="19"/>
      <c r="M3607" s="20"/>
    </row>
    <row r="3608">
      <c r="A3608" s="6"/>
      <c r="B3608" s="6"/>
      <c r="C3608" s="4"/>
      <c r="D3608" s="36">
        <v>0.0</v>
      </c>
      <c r="E3608" s="4"/>
      <c r="F3608" s="4"/>
      <c r="G3608" s="4"/>
      <c r="H3608" s="4"/>
      <c r="I3608" s="4"/>
      <c r="J3608" s="18"/>
      <c r="K3608" s="4"/>
      <c r="L3608" s="19"/>
      <c r="M3608" s="20"/>
    </row>
    <row r="3609">
      <c r="A3609" s="6"/>
      <c r="B3609" s="6"/>
      <c r="C3609" s="4"/>
      <c r="D3609" s="36">
        <v>0.0</v>
      </c>
      <c r="E3609" s="4"/>
      <c r="F3609" s="4"/>
      <c r="G3609" s="4"/>
      <c r="H3609" s="4"/>
      <c r="I3609" s="4"/>
      <c r="J3609" s="18"/>
      <c r="K3609" s="4"/>
      <c r="L3609" s="19"/>
      <c r="M3609" s="20"/>
    </row>
    <row r="3610">
      <c r="A3610" s="6"/>
      <c r="B3610" s="6"/>
      <c r="C3610" s="4"/>
      <c r="D3610" s="36">
        <v>0.0</v>
      </c>
      <c r="E3610" s="4"/>
      <c r="F3610" s="4"/>
      <c r="G3610" s="4"/>
      <c r="H3610" s="4"/>
      <c r="I3610" s="4"/>
      <c r="J3610" s="18"/>
      <c r="K3610" s="4"/>
      <c r="L3610" s="19"/>
      <c r="M3610" s="20"/>
    </row>
    <row r="3611">
      <c r="A3611" s="6"/>
      <c r="B3611" s="6"/>
      <c r="C3611" s="4"/>
      <c r="D3611" s="36">
        <v>0.0</v>
      </c>
      <c r="E3611" s="4"/>
      <c r="F3611" s="4"/>
      <c r="G3611" s="4"/>
      <c r="H3611" s="4"/>
      <c r="I3611" s="4"/>
      <c r="J3611" s="18"/>
      <c r="K3611" s="4"/>
      <c r="L3611" s="19"/>
      <c r="M3611" s="20"/>
    </row>
    <row r="3612">
      <c r="A3612" s="6"/>
      <c r="B3612" s="6"/>
      <c r="C3612" s="4"/>
      <c r="D3612" s="36">
        <v>0.0</v>
      </c>
      <c r="E3612" s="4"/>
      <c r="F3612" s="4"/>
      <c r="G3612" s="4"/>
      <c r="H3612" s="4"/>
      <c r="I3612" s="4"/>
      <c r="J3612" s="18"/>
      <c r="K3612" s="4"/>
      <c r="L3612" s="19"/>
      <c r="M3612" s="20"/>
    </row>
    <row r="3613">
      <c r="A3613" s="6"/>
      <c r="B3613" s="6"/>
      <c r="C3613" s="4"/>
      <c r="D3613" s="36">
        <v>0.0</v>
      </c>
      <c r="E3613" s="4"/>
      <c r="F3613" s="4"/>
      <c r="G3613" s="4"/>
      <c r="H3613" s="4"/>
      <c r="I3613" s="4"/>
      <c r="J3613" s="18"/>
      <c r="K3613" s="4"/>
      <c r="L3613" s="19"/>
      <c r="M3613" s="20"/>
    </row>
    <row r="3614">
      <c r="A3614" s="6"/>
      <c r="B3614" s="6"/>
      <c r="C3614" s="4"/>
      <c r="D3614" s="36">
        <v>0.0</v>
      </c>
      <c r="E3614" s="4"/>
      <c r="F3614" s="4"/>
      <c r="G3614" s="4"/>
      <c r="H3614" s="4"/>
      <c r="I3614" s="4"/>
      <c r="J3614" s="18"/>
      <c r="K3614" s="4"/>
      <c r="L3614" s="19"/>
      <c r="M3614" s="20"/>
    </row>
    <row r="3615">
      <c r="A3615" s="6"/>
      <c r="B3615" s="6"/>
      <c r="C3615" s="4"/>
      <c r="D3615" s="36">
        <v>0.0</v>
      </c>
      <c r="E3615" s="4"/>
      <c r="F3615" s="4"/>
      <c r="G3615" s="4"/>
      <c r="H3615" s="4"/>
      <c r="I3615" s="4"/>
      <c r="J3615" s="18"/>
      <c r="K3615" s="4"/>
      <c r="L3615" s="19"/>
      <c r="M3615" s="20"/>
    </row>
    <row r="3616">
      <c r="A3616" s="6"/>
      <c r="B3616" s="6"/>
      <c r="C3616" s="4"/>
      <c r="D3616" s="36">
        <v>0.0</v>
      </c>
      <c r="E3616" s="4"/>
      <c r="F3616" s="4"/>
      <c r="G3616" s="4"/>
      <c r="H3616" s="4"/>
      <c r="I3616" s="4"/>
      <c r="J3616" s="18"/>
      <c r="K3616" s="4"/>
      <c r="L3616" s="19"/>
      <c r="M3616" s="20"/>
    </row>
    <row r="3617">
      <c r="A3617" s="6"/>
      <c r="B3617" s="6"/>
      <c r="C3617" s="4"/>
      <c r="D3617" s="36">
        <v>0.0</v>
      </c>
      <c r="E3617" s="4"/>
      <c r="F3617" s="4"/>
      <c r="G3617" s="4"/>
      <c r="H3617" s="4"/>
      <c r="I3617" s="4"/>
      <c r="J3617" s="18"/>
      <c r="K3617" s="4"/>
      <c r="L3617" s="19"/>
      <c r="M3617" s="20"/>
    </row>
    <row r="3618">
      <c r="A3618" s="6"/>
      <c r="B3618" s="6"/>
      <c r="C3618" s="4"/>
      <c r="D3618" s="36">
        <v>0.0</v>
      </c>
      <c r="E3618" s="4"/>
      <c r="F3618" s="4"/>
      <c r="G3618" s="4"/>
      <c r="H3618" s="4"/>
      <c r="I3618" s="4"/>
      <c r="J3618" s="18"/>
      <c r="K3618" s="4"/>
      <c r="L3618" s="19"/>
      <c r="M3618" s="20"/>
    </row>
    <row r="3619">
      <c r="A3619" s="6"/>
      <c r="B3619" s="6"/>
      <c r="C3619" s="4"/>
      <c r="D3619" s="36">
        <v>0.0</v>
      </c>
      <c r="E3619" s="4"/>
      <c r="F3619" s="4"/>
      <c r="G3619" s="4"/>
      <c r="H3619" s="4"/>
      <c r="I3619" s="4"/>
      <c r="J3619" s="18"/>
      <c r="K3619" s="4"/>
      <c r="L3619" s="19"/>
      <c r="M3619" s="20"/>
    </row>
    <row r="3620">
      <c r="A3620" s="6"/>
      <c r="B3620" s="6"/>
      <c r="C3620" s="4"/>
      <c r="D3620" s="36">
        <v>0.0</v>
      </c>
      <c r="E3620" s="4"/>
      <c r="F3620" s="4"/>
      <c r="G3620" s="4"/>
      <c r="H3620" s="4"/>
      <c r="I3620" s="4"/>
      <c r="J3620" s="18"/>
      <c r="K3620" s="4"/>
      <c r="L3620" s="19"/>
      <c r="M3620" s="20"/>
    </row>
    <row r="3621">
      <c r="A3621" s="6"/>
      <c r="B3621" s="6"/>
      <c r="C3621" s="4"/>
      <c r="D3621" s="36">
        <v>0.0</v>
      </c>
      <c r="E3621" s="4"/>
      <c r="F3621" s="4"/>
      <c r="G3621" s="4"/>
      <c r="H3621" s="4"/>
      <c r="I3621" s="4"/>
      <c r="J3621" s="18"/>
      <c r="K3621" s="4"/>
      <c r="L3621" s="19"/>
      <c r="M3621" s="20"/>
    </row>
    <row r="3622">
      <c r="A3622" s="6"/>
      <c r="B3622" s="6"/>
      <c r="C3622" s="4"/>
      <c r="D3622" s="36">
        <v>0.0</v>
      </c>
      <c r="E3622" s="4"/>
      <c r="F3622" s="4"/>
      <c r="G3622" s="4"/>
      <c r="H3622" s="4"/>
      <c r="I3622" s="4"/>
      <c r="J3622" s="18"/>
      <c r="K3622" s="4"/>
      <c r="L3622" s="19"/>
      <c r="M3622" s="20"/>
    </row>
    <row r="3623">
      <c r="A3623" s="6"/>
      <c r="B3623" s="6"/>
      <c r="C3623" s="4"/>
      <c r="D3623" s="36">
        <v>0.0</v>
      </c>
      <c r="E3623" s="4"/>
      <c r="F3623" s="4"/>
      <c r="G3623" s="4"/>
      <c r="H3623" s="4"/>
      <c r="I3623" s="4"/>
      <c r="J3623" s="18"/>
      <c r="K3623" s="4"/>
      <c r="L3623" s="19"/>
      <c r="M3623" s="20"/>
    </row>
    <row r="3624">
      <c r="A3624" s="6"/>
      <c r="B3624" s="6"/>
      <c r="C3624" s="4"/>
      <c r="D3624" s="36">
        <v>0.0</v>
      </c>
      <c r="E3624" s="4"/>
      <c r="F3624" s="4"/>
      <c r="G3624" s="4"/>
      <c r="H3624" s="4"/>
      <c r="I3624" s="4"/>
      <c r="J3624" s="18"/>
      <c r="K3624" s="4"/>
      <c r="L3624" s="19"/>
      <c r="M3624" s="20"/>
    </row>
    <row r="3625">
      <c r="A3625" s="6"/>
      <c r="B3625" s="6"/>
      <c r="C3625" s="4"/>
      <c r="D3625" s="36">
        <v>0.0</v>
      </c>
      <c r="E3625" s="4"/>
      <c r="F3625" s="4"/>
      <c r="G3625" s="4"/>
      <c r="H3625" s="4"/>
      <c r="I3625" s="4"/>
      <c r="J3625" s="18"/>
      <c r="K3625" s="4"/>
      <c r="L3625" s="19"/>
      <c r="M3625" s="20"/>
    </row>
    <row r="3626">
      <c r="A3626" s="6"/>
      <c r="B3626" s="6"/>
      <c r="C3626" s="4"/>
      <c r="D3626" s="36">
        <v>0.0</v>
      </c>
      <c r="E3626" s="4"/>
      <c r="F3626" s="4"/>
      <c r="G3626" s="4"/>
      <c r="H3626" s="4"/>
      <c r="I3626" s="4"/>
      <c r="J3626" s="18"/>
      <c r="K3626" s="4"/>
      <c r="L3626" s="19"/>
      <c r="M3626" s="20"/>
    </row>
    <row r="3627">
      <c r="A3627" s="6"/>
      <c r="B3627" s="6"/>
      <c r="C3627" s="4"/>
      <c r="D3627" s="36">
        <v>0.0</v>
      </c>
      <c r="E3627" s="4"/>
      <c r="F3627" s="4"/>
      <c r="G3627" s="4"/>
      <c r="H3627" s="4"/>
      <c r="I3627" s="4"/>
      <c r="J3627" s="18"/>
      <c r="K3627" s="4"/>
      <c r="L3627" s="19"/>
      <c r="M3627" s="20"/>
    </row>
    <row r="3628">
      <c r="A3628" s="6"/>
      <c r="B3628" s="6"/>
      <c r="C3628" s="4"/>
      <c r="D3628" s="36">
        <v>0.0</v>
      </c>
      <c r="E3628" s="4"/>
      <c r="F3628" s="4"/>
      <c r="G3628" s="4"/>
      <c r="H3628" s="4"/>
      <c r="I3628" s="4"/>
      <c r="J3628" s="18"/>
      <c r="K3628" s="4"/>
      <c r="L3628" s="19"/>
      <c r="M3628" s="20"/>
    </row>
    <row r="3629">
      <c r="A3629" s="6"/>
      <c r="B3629" s="6"/>
      <c r="C3629" s="4"/>
      <c r="D3629" s="36">
        <v>0.0</v>
      </c>
      <c r="E3629" s="4"/>
      <c r="F3629" s="4"/>
      <c r="G3629" s="4"/>
      <c r="H3629" s="4"/>
      <c r="I3629" s="4"/>
      <c r="J3629" s="18"/>
      <c r="K3629" s="4"/>
      <c r="L3629" s="19"/>
      <c r="M3629" s="20"/>
    </row>
    <row r="3630">
      <c r="A3630" s="6"/>
      <c r="B3630" s="6"/>
      <c r="C3630" s="4"/>
      <c r="D3630" s="36">
        <v>0.0</v>
      </c>
      <c r="E3630" s="4"/>
      <c r="F3630" s="4"/>
      <c r="G3630" s="4"/>
      <c r="H3630" s="4"/>
      <c r="I3630" s="4"/>
      <c r="J3630" s="18"/>
      <c r="K3630" s="4"/>
      <c r="L3630" s="19"/>
      <c r="M3630" s="20"/>
    </row>
    <row r="3631">
      <c r="A3631" s="6"/>
      <c r="B3631" s="6"/>
      <c r="C3631" s="4"/>
      <c r="D3631" s="36">
        <v>0.0</v>
      </c>
      <c r="E3631" s="4"/>
      <c r="F3631" s="4"/>
      <c r="G3631" s="4"/>
      <c r="H3631" s="4"/>
      <c r="I3631" s="4"/>
      <c r="J3631" s="18"/>
      <c r="K3631" s="4"/>
      <c r="L3631" s="19"/>
      <c r="M3631" s="20"/>
    </row>
    <row r="3632">
      <c r="A3632" s="6"/>
      <c r="B3632" s="6"/>
      <c r="C3632" s="4"/>
      <c r="D3632" s="36">
        <v>0.0</v>
      </c>
      <c r="E3632" s="4"/>
      <c r="F3632" s="4"/>
      <c r="G3632" s="4"/>
      <c r="H3632" s="4"/>
      <c r="I3632" s="4"/>
      <c r="J3632" s="18"/>
      <c r="K3632" s="4"/>
      <c r="L3632" s="19"/>
      <c r="M3632" s="20"/>
    </row>
    <row r="3633">
      <c r="A3633" s="6"/>
      <c r="B3633" s="6"/>
      <c r="C3633" s="4"/>
      <c r="D3633" s="36">
        <v>0.0</v>
      </c>
      <c r="E3633" s="4"/>
      <c r="F3633" s="4"/>
      <c r="G3633" s="4"/>
      <c r="H3633" s="4"/>
      <c r="I3633" s="4"/>
      <c r="J3633" s="18"/>
      <c r="K3633" s="4"/>
      <c r="L3633" s="19"/>
      <c r="M3633" s="20"/>
    </row>
    <row r="3634">
      <c r="A3634" s="6"/>
      <c r="B3634" s="6"/>
      <c r="C3634" s="4"/>
      <c r="D3634" s="36">
        <v>0.0</v>
      </c>
      <c r="E3634" s="4"/>
      <c r="F3634" s="4"/>
      <c r="G3634" s="4"/>
      <c r="H3634" s="4"/>
      <c r="I3634" s="4"/>
      <c r="J3634" s="18"/>
      <c r="K3634" s="4"/>
      <c r="L3634" s="19"/>
      <c r="M3634" s="20"/>
    </row>
    <row r="3635">
      <c r="A3635" s="6"/>
      <c r="B3635" s="6"/>
      <c r="C3635" s="4"/>
      <c r="D3635" s="36">
        <v>0.0</v>
      </c>
      <c r="E3635" s="4"/>
      <c r="F3635" s="4"/>
      <c r="G3635" s="4"/>
      <c r="H3635" s="4"/>
      <c r="I3635" s="4"/>
      <c r="J3635" s="18"/>
      <c r="K3635" s="4"/>
      <c r="L3635" s="19"/>
      <c r="M3635" s="20"/>
    </row>
    <row r="3636">
      <c r="A3636" s="6"/>
      <c r="B3636" s="6"/>
      <c r="C3636" s="4"/>
      <c r="D3636" s="36">
        <v>0.0</v>
      </c>
      <c r="E3636" s="4"/>
      <c r="F3636" s="4"/>
      <c r="G3636" s="4"/>
      <c r="H3636" s="4"/>
      <c r="I3636" s="4"/>
      <c r="J3636" s="18"/>
      <c r="K3636" s="4"/>
      <c r="L3636" s="19"/>
      <c r="M3636" s="20"/>
    </row>
    <row r="3637">
      <c r="A3637" s="6"/>
      <c r="B3637" s="6"/>
      <c r="C3637" s="4"/>
      <c r="D3637" s="36">
        <v>0.0</v>
      </c>
      <c r="E3637" s="4"/>
      <c r="F3637" s="4"/>
      <c r="G3637" s="4"/>
      <c r="H3637" s="4"/>
      <c r="I3637" s="4"/>
      <c r="J3637" s="18"/>
      <c r="K3637" s="4"/>
      <c r="L3637" s="19"/>
      <c r="M3637" s="20"/>
    </row>
    <row r="3638">
      <c r="A3638" s="6"/>
      <c r="B3638" s="6"/>
      <c r="C3638" s="4"/>
      <c r="D3638" s="36">
        <v>0.0</v>
      </c>
      <c r="E3638" s="4"/>
      <c r="F3638" s="4"/>
      <c r="G3638" s="4"/>
      <c r="H3638" s="4"/>
      <c r="I3638" s="4"/>
      <c r="J3638" s="18"/>
      <c r="K3638" s="4"/>
      <c r="L3638" s="19"/>
      <c r="M3638" s="20"/>
    </row>
    <row r="3639">
      <c r="A3639" s="6"/>
      <c r="B3639" s="6"/>
      <c r="C3639" s="4"/>
      <c r="D3639" s="36">
        <v>0.0</v>
      </c>
      <c r="E3639" s="4"/>
      <c r="F3639" s="4"/>
      <c r="G3639" s="4"/>
      <c r="H3639" s="4"/>
      <c r="I3639" s="4"/>
      <c r="J3639" s="18"/>
      <c r="K3639" s="4"/>
      <c r="L3639" s="19"/>
      <c r="M3639" s="20"/>
    </row>
    <row r="3640">
      <c r="A3640" s="6"/>
      <c r="B3640" s="6"/>
      <c r="C3640" s="4"/>
      <c r="D3640" s="36">
        <v>0.0</v>
      </c>
      <c r="E3640" s="4"/>
      <c r="F3640" s="4"/>
      <c r="G3640" s="4"/>
      <c r="H3640" s="4"/>
      <c r="I3640" s="4"/>
      <c r="J3640" s="18"/>
      <c r="K3640" s="4"/>
      <c r="L3640" s="19"/>
      <c r="M3640" s="20"/>
    </row>
    <row r="3641">
      <c r="A3641" s="6"/>
      <c r="B3641" s="6"/>
      <c r="C3641" s="4"/>
      <c r="D3641" s="36">
        <v>0.0</v>
      </c>
      <c r="E3641" s="4"/>
      <c r="F3641" s="4"/>
      <c r="G3641" s="4"/>
      <c r="H3641" s="4"/>
      <c r="I3641" s="4"/>
      <c r="J3641" s="18"/>
      <c r="K3641" s="4"/>
      <c r="L3641" s="19"/>
      <c r="M3641" s="20"/>
    </row>
    <row r="3642">
      <c r="A3642" s="6"/>
      <c r="B3642" s="6"/>
      <c r="C3642" s="4"/>
      <c r="D3642" s="36">
        <v>0.0</v>
      </c>
      <c r="E3642" s="4"/>
      <c r="F3642" s="4"/>
      <c r="G3642" s="4"/>
      <c r="H3642" s="4"/>
      <c r="I3642" s="4"/>
      <c r="J3642" s="18"/>
      <c r="K3642" s="4"/>
      <c r="L3642" s="19"/>
      <c r="M3642" s="20"/>
    </row>
    <row r="3643">
      <c r="A3643" s="6"/>
      <c r="B3643" s="6"/>
      <c r="C3643" s="4"/>
      <c r="D3643" s="36">
        <v>0.0</v>
      </c>
      <c r="E3643" s="4"/>
      <c r="F3643" s="4"/>
      <c r="G3643" s="4"/>
      <c r="H3643" s="4"/>
      <c r="I3643" s="4"/>
      <c r="J3643" s="18"/>
      <c r="K3643" s="4"/>
      <c r="L3643" s="19"/>
      <c r="M3643" s="20"/>
    </row>
    <row r="3644">
      <c r="A3644" s="6"/>
      <c r="B3644" s="6"/>
      <c r="C3644" s="4"/>
      <c r="D3644" s="36">
        <v>0.0</v>
      </c>
      <c r="E3644" s="4"/>
      <c r="F3644" s="4"/>
      <c r="G3644" s="4"/>
      <c r="H3644" s="4"/>
      <c r="I3644" s="4"/>
      <c r="J3644" s="18"/>
      <c r="K3644" s="4"/>
      <c r="L3644" s="19"/>
      <c r="M3644" s="20"/>
    </row>
    <row r="3645">
      <c r="A3645" s="6"/>
      <c r="B3645" s="6"/>
      <c r="C3645" s="4"/>
      <c r="D3645" s="36">
        <v>0.0</v>
      </c>
      <c r="E3645" s="4"/>
      <c r="F3645" s="4"/>
      <c r="G3645" s="4"/>
      <c r="H3645" s="4"/>
      <c r="I3645" s="4"/>
      <c r="J3645" s="18"/>
      <c r="K3645" s="4"/>
      <c r="L3645" s="19"/>
      <c r="M3645" s="20"/>
    </row>
    <row r="3646">
      <c r="A3646" s="6"/>
      <c r="B3646" s="6"/>
      <c r="C3646" s="4"/>
      <c r="D3646" s="36">
        <v>0.0</v>
      </c>
      <c r="E3646" s="4"/>
      <c r="F3646" s="4"/>
      <c r="G3646" s="4"/>
      <c r="H3646" s="4"/>
      <c r="I3646" s="4"/>
      <c r="J3646" s="18"/>
      <c r="K3646" s="4"/>
      <c r="L3646" s="19"/>
      <c r="M3646" s="20"/>
    </row>
    <row r="3647">
      <c r="A3647" s="6"/>
      <c r="B3647" s="6"/>
      <c r="C3647" s="4"/>
      <c r="D3647" s="36">
        <v>0.0</v>
      </c>
      <c r="E3647" s="4"/>
      <c r="F3647" s="4"/>
      <c r="G3647" s="4"/>
      <c r="H3647" s="4"/>
      <c r="I3647" s="4"/>
      <c r="J3647" s="18"/>
      <c r="K3647" s="4"/>
      <c r="L3647" s="19"/>
      <c r="M3647" s="20"/>
    </row>
    <row r="3648">
      <c r="A3648" s="6"/>
      <c r="B3648" s="6"/>
      <c r="C3648" s="4"/>
      <c r="D3648" s="36">
        <v>0.0</v>
      </c>
      <c r="E3648" s="4"/>
      <c r="F3648" s="4"/>
      <c r="G3648" s="4"/>
      <c r="H3648" s="4"/>
      <c r="I3648" s="4"/>
      <c r="J3648" s="18"/>
      <c r="K3648" s="4"/>
      <c r="L3648" s="19"/>
      <c r="M3648" s="20"/>
    </row>
    <row r="3649">
      <c r="A3649" s="6"/>
      <c r="B3649" s="6"/>
      <c r="C3649" s="4"/>
      <c r="D3649" s="36">
        <v>0.0</v>
      </c>
      <c r="E3649" s="4"/>
      <c r="F3649" s="4"/>
      <c r="G3649" s="4"/>
      <c r="H3649" s="4"/>
      <c r="I3649" s="4"/>
      <c r="J3649" s="18"/>
      <c r="K3649" s="4"/>
      <c r="L3649" s="19"/>
      <c r="M3649" s="20"/>
    </row>
    <row r="3650">
      <c r="A3650" s="6"/>
      <c r="B3650" s="6"/>
      <c r="C3650" s="4"/>
      <c r="D3650" s="36">
        <v>0.0</v>
      </c>
      <c r="E3650" s="4"/>
      <c r="F3650" s="4"/>
      <c r="G3650" s="4"/>
      <c r="H3650" s="4"/>
      <c r="I3650" s="4"/>
      <c r="J3650" s="18"/>
      <c r="K3650" s="4"/>
      <c r="L3650" s="19"/>
      <c r="M3650" s="20"/>
    </row>
    <row r="3651">
      <c r="A3651" s="6"/>
      <c r="B3651" s="6"/>
      <c r="C3651" s="4"/>
      <c r="D3651" s="36">
        <v>0.0</v>
      </c>
      <c r="E3651" s="4"/>
      <c r="F3651" s="4"/>
      <c r="G3651" s="4"/>
      <c r="H3651" s="4"/>
      <c r="I3651" s="4"/>
      <c r="J3651" s="18"/>
      <c r="K3651" s="4"/>
      <c r="L3651" s="19"/>
      <c r="M3651" s="20"/>
    </row>
    <row r="3652">
      <c r="A3652" s="6"/>
      <c r="B3652" s="6"/>
      <c r="C3652" s="4"/>
      <c r="D3652" s="36">
        <v>0.0</v>
      </c>
      <c r="E3652" s="4"/>
      <c r="F3652" s="4"/>
      <c r="G3652" s="4"/>
      <c r="H3652" s="4"/>
      <c r="I3652" s="4"/>
      <c r="J3652" s="18"/>
      <c r="K3652" s="4"/>
      <c r="L3652" s="19"/>
      <c r="M3652" s="20"/>
    </row>
    <row r="3653">
      <c r="A3653" s="6"/>
      <c r="B3653" s="6"/>
      <c r="C3653" s="4"/>
      <c r="D3653" s="36">
        <v>0.0</v>
      </c>
      <c r="E3653" s="4"/>
      <c r="F3653" s="4"/>
      <c r="G3653" s="4"/>
      <c r="H3653" s="4"/>
      <c r="I3653" s="4"/>
      <c r="J3653" s="18"/>
      <c r="K3653" s="4"/>
      <c r="L3653" s="19"/>
      <c r="M3653" s="20"/>
    </row>
    <row r="3654">
      <c r="A3654" s="6"/>
      <c r="B3654" s="6"/>
      <c r="C3654" s="4"/>
      <c r="D3654" s="36">
        <v>0.0</v>
      </c>
      <c r="E3654" s="4"/>
      <c r="F3654" s="4"/>
      <c r="G3654" s="4"/>
      <c r="H3654" s="4"/>
      <c r="I3654" s="4"/>
      <c r="J3654" s="18"/>
      <c r="K3654" s="4"/>
      <c r="L3654" s="19"/>
      <c r="M3654" s="20"/>
    </row>
    <row r="3655">
      <c r="A3655" s="6"/>
      <c r="B3655" s="6"/>
      <c r="C3655" s="4"/>
      <c r="D3655" s="36">
        <v>0.0</v>
      </c>
      <c r="E3655" s="4"/>
      <c r="F3655" s="4"/>
      <c r="G3655" s="4"/>
      <c r="H3655" s="4"/>
      <c r="I3655" s="4"/>
      <c r="J3655" s="18"/>
      <c r="K3655" s="4"/>
      <c r="L3655" s="19"/>
      <c r="M3655" s="20"/>
    </row>
    <row r="3656">
      <c r="A3656" s="6"/>
      <c r="B3656" s="6"/>
      <c r="C3656" s="4"/>
      <c r="D3656" s="36">
        <v>0.0</v>
      </c>
      <c r="E3656" s="4"/>
      <c r="F3656" s="4"/>
      <c r="G3656" s="4"/>
      <c r="H3656" s="4"/>
      <c r="I3656" s="4"/>
      <c r="J3656" s="18"/>
      <c r="K3656" s="4"/>
      <c r="L3656" s="19"/>
      <c r="M3656" s="20"/>
    </row>
    <row r="3657">
      <c r="A3657" s="6"/>
      <c r="B3657" s="6"/>
      <c r="C3657" s="4"/>
      <c r="D3657" s="36">
        <v>0.0</v>
      </c>
      <c r="E3657" s="4"/>
      <c r="F3657" s="4"/>
      <c r="G3657" s="4"/>
      <c r="H3657" s="4"/>
      <c r="I3657" s="4"/>
      <c r="J3657" s="18"/>
      <c r="K3657" s="4"/>
      <c r="L3657" s="19"/>
      <c r="M3657" s="20"/>
    </row>
    <row r="3658">
      <c r="A3658" s="6"/>
      <c r="B3658" s="6"/>
      <c r="C3658" s="4"/>
      <c r="D3658" s="36">
        <v>0.0</v>
      </c>
      <c r="E3658" s="4"/>
      <c r="F3658" s="4"/>
      <c r="G3658" s="4"/>
      <c r="H3658" s="4"/>
      <c r="I3658" s="4"/>
      <c r="J3658" s="18"/>
      <c r="K3658" s="4"/>
      <c r="L3658" s="19"/>
      <c r="M3658" s="20"/>
    </row>
    <row r="3659">
      <c r="A3659" s="6"/>
      <c r="B3659" s="6"/>
      <c r="C3659" s="4"/>
      <c r="D3659" s="36">
        <v>0.0</v>
      </c>
      <c r="E3659" s="4"/>
      <c r="F3659" s="4"/>
      <c r="G3659" s="4"/>
      <c r="H3659" s="4"/>
      <c r="I3659" s="4"/>
      <c r="J3659" s="18"/>
      <c r="K3659" s="4"/>
      <c r="L3659" s="19"/>
      <c r="M3659" s="20"/>
    </row>
    <row r="3660">
      <c r="A3660" s="6"/>
      <c r="B3660" s="6"/>
      <c r="C3660" s="4"/>
      <c r="D3660" s="36">
        <v>0.0</v>
      </c>
      <c r="E3660" s="4"/>
      <c r="F3660" s="4"/>
      <c r="G3660" s="4"/>
      <c r="H3660" s="4"/>
      <c r="I3660" s="4"/>
      <c r="J3660" s="18"/>
      <c r="K3660" s="4"/>
      <c r="L3660" s="19"/>
      <c r="M3660" s="20"/>
    </row>
    <row r="3661">
      <c r="A3661" s="6"/>
      <c r="B3661" s="6"/>
      <c r="C3661" s="4"/>
      <c r="D3661" s="36">
        <v>0.0</v>
      </c>
      <c r="E3661" s="4"/>
      <c r="F3661" s="4"/>
      <c r="G3661" s="4"/>
      <c r="H3661" s="4"/>
      <c r="I3661" s="4"/>
      <c r="J3661" s="18"/>
      <c r="K3661" s="4"/>
      <c r="L3661" s="19"/>
      <c r="M3661" s="20"/>
    </row>
    <row r="3662">
      <c r="A3662" s="6"/>
      <c r="B3662" s="6"/>
      <c r="C3662" s="4"/>
      <c r="D3662" s="36">
        <v>0.0</v>
      </c>
      <c r="E3662" s="4"/>
      <c r="F3662" s="4"/>
      <c r="G3662" s="4"/>
      <c r="H3662" s="4"/>
      <c r="I3662" s="4"/>
      <c r="J3662" s="18"/>
      <c r="K3662" s="4"/>
      <c r="L3662" s="19"/>
      <c r="M3662" s="20"/>
    </row>
    <row r="3663">
      <c r="A3663" s="6"/>
      <c r="B3663" s="6"/>
      <c r="C3663" s="4"/>
      <c r="D3663" s="36">
        <v>0.0</v>
      </c>
      <c r="E3663" s="4"/>
      <c r="F3663" s="4"/>
      <c r="G3663" s="4"/>
      <c r="H3663" s="4"/>
      <c r="I3663" s="4"/>
      <c r="J3663" s="18"/>
      <c r="K3663" s="4"/>
      <c r="L3663" s="19"/>
      <c r="M3663" s="20"/>
    </row>
    <row r="3664">
      <c r="A3664" s="6"/>
      <c r="B3664" s="6"/>
      <c r="C3664" s="4"/>
      <c r="D3664" s="36">
        <v>0.0</v>
      </c>
      <c r="E3664" s="4"/>
      <c r="F3664" s="4"/>
      <c r="G3664" s="4"/>
      <c r="H3664" s="4"/>
      <c r="I3664" s="4"/>
      <c r="J3664" s="18"/>
      <c r="K3664" s="4"/>
      <c r="L3664" s="19"/>
      <c r="M3664" s="20"/>
    </row>
    <row r="3665">
      <c r="A3665" s="6"/>
      <c r="B3665" s="6"/>
      <c r="C3665" s="4"/>
      <c r="D3665" s="36">
        <v>0.0</v>
      </c>
      <c r="E3665" s="4"/>
      <c r="F3665" s="4"/>
      <c r="G3665" s="4"/>
      <c r="H3665" s="4"/>
      <c r="I3665" s="4"/>
      <c r="J3665" s="18"/>
      <c r="K3665" s="4"/>
      <c r="L3665" s="19"/>
      <c r="M3665" s="20"/>
    </row>
    <row r="3666">
      <c r="A3666" s="6"/>
      <c r="B3666" s="6"/>
      <c r="C3666" s="4"/>
      <c r="D3666" s="36">
        <v>0.0</v>
      </c>
      <c r="E3666" s="4"/>
      <c r="F3666" s="4"/>
      <c r="G3666" s="4"/>
      <c r="H3666" s="4"/>
      <c r="I3666" s="4"/>
      <c r="J3666" s="18"/>
      <c r="K3666" s="4"/>
      <c r="L3666" s="19"/>
      <c r="M3666" s="20"/>
    </row>
    <row r="3667">
      <c r="A3667" s="6"/>
      <c r="B3667" s="6"/>
      <c r="C3667" s="4"/>
      <c r="D3667" s="36">
        <v>0.0</v>
      </c>
      <c r="E3667" s="4"/>
      <c r="F3667" s="4"/>
      <c r="G3667" s="4"/>
      <c r="H3667" s="4"/>
      <c r="I3667" s="4"/>
      <c r="J3667" s="18"/>
      <c r="K3667" s="4"/>
      <c r="L3667" s="19"/>
      <c r="M3667" s="20"/>
    </row>
    <row r="3668">
      <c r="A3668" s="6"/>
      <c r="B3668" s="6"/>
      <c r="C3668" s="4"/>
      <c r="D3668" s="36">
        <v>0.0</v>
      </c>
      <c r="E3668" s="4"/>
      <c r="F3668" s="4"/>
      <c r="G3668" s="4"/>
      <c r="H3668" s="4"/>
      <c r="I3668" s="4"/>
      <c r="J3668" s="18"/>
      <c r="K3668" s="4"/>
      <c r="L3668" s="19"/>
      <c r="M3668" s="20"/>
    </row>
    <row r="3669">
      <c r="A3669" s="6"/>
      <c r="B3669" s="6"/>
      <c r="C3669" s="4"/>
      <c r="D3669" s="36">
        <v>0.0</v>
      </c>
      <c r="E3669" s="4"/>
      <c r="F3669" s="4"/>
      <c r="G3669" s="4"/>
      <c r="H3669" s="4"/>
      <c r="I3669" s="4"/>
      <c r="J3669" s="18"/>
      <c r="K3669" s="4"/>
      <c r="L3669" s="19"/>
      <c r="M3669" s="20"/>
    </row>
    <row r="3670">
      <c r="A3670" s="6"/>
      <c r="B3670" s="6"/>
      <c r="C3670" s="4"/>
      <c r="D3670" s="36">
        <v>0.0</v>
      </c>
      <c r="E3670" s="4"/>
      <c r="F3670" s="4"/>
      <c r="G3670" s="4"/>
      <c r="H3670" s="4"/>
      <c r="I3670" s="4"/>
      <c r="J3670" s="18"/>
      <c r="K3670" s="4"/>
      <c r="L3670" s="19"/>
      <c r="M3670" s="20"/>
    </row>
    <row r="3671">
      <c r="A3671" s="6"/>
      <c r="B3671" s="6"/>
      <c r="C3671" s="4"/>
      <c r="D3671" s="36">
        <v>0.0</v>
      </c>
      <c r="E3671" s="4"/>
      <c r="F3671" s="4"/>
      <c r="G3671" s="4"/>
      <c r="H3671" s="4"/>
      <c r="I3671" s="4"/>
      <c r="J3671" s="18"/>
      <c r="K3671" s="4"/>
      <c r="L3671" s="19"/>
      <c r="M3671" s="20"/>
    </row>
    <row r="3672">
      <c r="A3672" s="6"/>
      <c r="B3672" s="6"/>
      <c r="C3672" s="4"/>
      <c r="D3672" s="36">
        <v>0.0</v>
      </c>
      <c r="E3672" s="4"/>
      <c r="F3672" s="4"/>
      <c r="G3672" s="4"/>
      <c r="H3672" s="4"/>
      <c r="I3672" s="4"/>
      <c r="J3672" s="18"/>
      <c r="K3672" s="4"/>
      <c r="L3672" s="19"/>
      <c r="M3672" s="20"/>
    </row>
    <row r="3673">
      <c r="A3673" s="6"/>
      <c r="B3673" s="6"/>
      <c r="C3673" s="4"/>
      <c r="D3673" s="36">
        <v>0.0</v>
      </c>
      <c r="E3673" s="4"/>
      <c r="F3673" s="4"/>
      <c r="G3673" s="4"/>
      <c r="H3673" s="4"/>
      <c r="I3673" s="4"/>
      <c r="J3673" s="18"/>
      <c r="K3673" s="4"/>
      <c r="L3673" s="19"/>
      <c r="M3673" s="20"/>
    </row>
    <row r="3674">
      <c r="A3674" s="6"/>
      <c r="B3674" s="6"/>
      <c r="C3674" s="4"/>
      <c r="D3674" s="36">
        <v>0.0</v>
      </c>
      <c r="E3674" s="4"/>
      <c r="F3674" s="4"/>
      <c r="G3674" s="4"/>
      <c r="H3674" s="4"/>
      <c r="I3674" s="4"/>
      <c r="J3674" s="18"/>
      <c r="K3674" s="4"/>
      <c r="L3674" s="19"/>
      <c r="M3674" s="20"/>
    </row>
    <row r="3675">
      <c r="A3675" s="6"/>
      <c r="B3675" s="6"/>
      <c r="C3675" s="4"/>
      <c r="D3675" s="36">
        <v>0.0</v>
      </c>
      <c r="E3675" s="4"/>
      <c r="F3675" s="4"/>
      <c r="G3675" s="4"/>
      <c r="H3675" s="4"/>
      <c r="I3675" s="4"/>
      <c r="J3675" s="18"/>
      <c r="K3675" s="4"/>
      <c r="L3675" s="19"/>
      <c r="M3675" s="20"/>
    </row>
    <row r="3676">
      <c r="A3676" s="6"/>
      <c r="B3676" s="6"/>
      <c r="C3676" s="4"/>
      <c r="D3676" s="36">
        <v>0.0</v>
      </c>
      <c r="E3676" s="4"/>
      <c r="F3676" s="4"/>
      <c r="G3676" s="4"/>
      <c r="H3676" s="4"/>
      <c r="I3676" s="4"/>
      <c r="J3676" s="18"/>
      <c r="K3676" s="4"/>
      <c r="L3676" s="19"/>
      <c r="M3676" s="20"/>
    </row>
    <row r="3677">
      <c r="A3677" s="6"/>
      <c r="B3677" s="6"/>
      <c r="C3677" s="4"/>
      <c r="D3677" s="36">
        <v>0.0</v>
      </c>
      <c r="E3677" s="4"/>
      <c r="F3677" s="4"/>
      <c r="G3677" s="4"/>
      <c r="H3677" s="4"/>
      <c r="I3677" s="4"/>
      <c r="J3677" s="18"/>
      <c r="K3677" s="4"/>
      <c r="L3677" s="19"/>
      <c r="M3677" s="20"/>
    </row>
    <row r="3678">
      <c r="A3678" s="6"/>
      <c r="B3678" s="6"/>
      <c r="C3678" s="4"/>
      <c r="D3678" s="36">
        <v>0.0</v>
      </c>
      <c r="E3678" s="4"/>
      <c r="F3678" s="4"/>
      <c r="G3678" s="4"/>
      <c r="H3678" s="4"/>
      <c r="I3678" s="4"/>
      <c r="J3678" s="18"/>
      <c r="K3678" s="4"/>
      <c r="L3678" s="19"/>
      <c r="M3678" s="20"/>
    </row>
    <row r="3679">
      <c r="A3679" s="6"/>
      <c r="B3679" s="6"/>
      <c r="C3679" s="4"/>
      <c r="D3679" s="36">
        <v>0.0</v>
      </c>
      <c r="E3679" s="4"/>
      <c r="F3679" s="4"/>
      <c r="G3679" s="4"/>
      <c r="H3679" s="4"/>
      <c r="I3679" s="4"/>
      <c r="J3679" s="18"/>
      <c r="K3679" s="4"/>
      <c r="L3679" s="19"/>
      <c r="M3679" s="20"/>
    </row>
    <row r="3680">
      <c r="A3680" s="6"/>
      <c r="B3680" s="6"/>
      <c r="C3680" s="4"/>
      <c r="D3680" s="36">
        <v>0.0</v>
      </c>
      <c r="E3680" s="4"/>
      <c r="F3680" s="4"/>
      <c r="G3680" s="4"/>
      <c r="H3680" s="4"/>
      <c r="I3680" s="4"/>
      <c r="J3680" s="18"/>
      <c r="K3680" s="4"/>
      <c r="L3680" s="19"/>
      <c r="M3680" s="20"/>
    </row>
    <row r="3681">
      <c r="A3681" s="6"/>
      <c r="B3681" s="6"/>
      <c r="C3681" s="4"/>
      <c r="D3681" s="36">
        <v>0.0</v>
      </c>
      <c r="E3681" s="4"/>
      <c r="F3681" s="4"/>
      <c r="G3681" s="4"/>
      <c r="H3681" s="4"/>
      <c r="I3681" s="4"/>
      <c r="J3681" s="18"/>
      <c r="K3681" s="4"/>
      <c r="L3681" s="19"/>
      <c r="M3681" s="20"/>
    </row>
    <row r="3682">
      <c r="A3682" s="6"/>
      <c r="B3682" s="6"/>
      <c r="C3682" s="4"/>
      <c r="D3682" s="36">
        <v>0.0</v>
      </c>
      <c r="E3682" s="4"/>
      <c r="F3682" s="4"/>
      <c r="G3682" s="4"/>
      <c r="H3682" s="4"/>
      <c r="I3682" s="4"/>
      <c r="J3682" s="18"/>
      <c r="K3682" s="4"/>
      <c r="L3682" s="19"/>
      <c r="M3682" s="20"/>
    </row>
    <row r="3683">
      <c r="A3683" s="6"/>
      <c r="B3683" s="6"/>
      <c r="C3683" s="4"/>
      <c r="D3683" s="36">
        <v>0.0</v>
      </c>
      <c r="E3683" s="4"/>
      <c r="F3683" s="4"/>
      <c r="G3683" s="4"/>
      <c r="H3683" s="4"/>
      <c r="I3683" s="4"/>
      <c r="J3683" s="18"/>
      <c r="K3683" s="4"/>
      <c r="L3683" s="19"/>
      <c r="M3683" s="20"/>
    </row>
    <row r="3684">
      <c r="A3684" s="6"/>
      <c r="B3684" s="6"/>
      <c r="C3684" s="4"/>
      <c r="D3684" s="36">
        <v>0.0</v>
      </c>
      <c r="E3684" s="4"/>
      <c r="F3684" s="4"/>
      <c r="G3684" s="4"/>
      <c r="H3684" s="4"/>
      <c r="I3684" s="4"/>
      <c r="J3684" s="18"/>
      <c r="K3684" s="4"/>
      <c r="L3684" s="19"/>
      <c r="M3684" s="20"/>
    </row>
    <row r="3685">
      <c r="A3685" s="6"/>
      <c r="B3685" s="6"/>
      <c r="C3685" s="4"/>
      <c r="D3685" s="36">
        <v>0.0</v>
      </c>
      <c r="E3685" s="4"/>
      <c r="F3685" s="4"/>
      <c r="G3685" s="4"/>
      <c r="H3685" s="4"/>
      <c r="I3685" s="4"/>
      <c r="J3685" s="18"/>
      <c r="K3685" s="4"/>
      <c r="L3685" s="19"/>
      <c r="M3685" s="20"/>
    </row>
    <row r="3686">
      <c r="A3686" s="6"/>
      <c r="B3686" s="6"/>
      <c r="C3686" s="4"/>
      <c r="D3686" s="36">
        <v>0.0</v>
      </c>
      <c r="E3686" s="4"/>
      <c r="F3686" s="4"/>
      <c r="G3686" s="4"/>
      <c r="H3686" s="4"/>
      <c r="I3686" s="4"/>
      <c r="J3686" s="18"/>
      <c r="K3686" s="4"/>
      <c r="L3686" s="19"/>
      <c r="M3686" s="20"/>
    </row>
    <row r="3687">
      <c r="A3687" s="6"/>
      <c r="B3687" s="6"/>
      <c r="C3687" s="4"/>
      <c r="D3687" s="36">
        <v>0.0</v>
      </c>
      <c r="E3687" s="4"/>
      <c r="F3687" s="4"/>
      <c r="G3687" s="4"/>
      <c r="H3687" s="4"/>
      <c r="I3687" s="4"/>
      <c r="J3687" s="18"/>
      <c r="K3687" s="4"/>
      <c r="L3687" s="19"/>
      <c r="M3687" s="20"/>
    </row>
    <row r="3688">
      <c r="A3688" s="6"/>
      <c r="B3688" s="6"/>
      <c r="C3688" s="4"/>
      <c r="D3688" s="36">
        <v>0.0</v>
      </c>
      <c r="E3688" s="4"/>
      <c r="F3688" s="4"/>
      <c r="G3688" s="4"/>
      <c r="H3688" s="4"/>
      <c r="I3688" s="4"/>
      <c r="J3688" s="18"/>
      <c r="K3688" s="4"/>
      <c r="L3688" s="19"/>
      <c r="M3688" s="20"/>
    </row>
    <row r="3689">
      <c r="A3689" s="6"/>
      <c r="B3689" s="6"/>
      <c r="C3689" s="4"/>
      <c r="D3689" s="36">
        <v>0.0</v>
      </c>
      <c r="E3689" s="4"/>
      <c r="F3689" s="4"/>
      <c r="G3689" s="4"/>
      <c r="H3689" s="4"/>
      <c r="I3689" s="4"/>
      <c r="J3689" s="18"/>
      <c r="K3689" s="4"/>
      <c r="L3689" s="19"/>
      <c r="M3689" s="20"/>
    </row>
    <row r="3690">
      <c r="A3690" s="6"/>
      <c r="B3690" s="6"/>
      <c r="C3690" s="4"/>
      <c r="D3690" s="36">
        <v>0.0</v>
      </c>
      <c r="E3690" s="4"/>
      <c r="F3690" s="4"/>
      <c r="G3690" s="4"/>
      <c r="H3690" s="4"/>
      <c r="I3690" s="4"/>
      <c r="J3690" s="18"/>
      <c r="K3690" s="4"/>
      <c r="L3690" s="19"/>
      <c r="M3690" s="20"/>
    </row>
    <row r="3691">
      <c r="A3691" s="6"/>
      <c r="B3691" s="6"/>
      <c r="C3691" s="4"/>
      <c r="D3691" s="36">
        <v>0.0</v>
      </c>
      <c r="E3691" s="4"/>
      <c r="F3691" s="4"/>
      <c r="G3691" s="4"/>
      <c r="H3691" s="4"/>
      <c r="I3691" s="4"/>
      <c r="J3691" s="18"/>
      <c r="K3691" s="4"/>
      <c r="L3691" s="19"/>
      <c r="M3691" s="20"/>
    </row>
    <row r="3692">
      <c r="A3692" s="6"/>
      <c r="B3692" s="6"/>
      <c r="C3692" s="4"/>
      <c r="D3692" s="36">
        <v>0.0</v>
      </c>
      <c r="E3692" s="4"/>
      <c r="F3692" s="4"/>
      <c r="G3692" s="4"/>
      <c r="H3692" s="4"/>
      <c r="I3692" s="4"/>
      <c r="J3692" s="18"/>
      <c r="K3692" s="4"/>
      <c r="L3692" s="19"/>
      <c r="M3692" s="20"/>
    </row>
    <row r="3693">
      <c r="A3693" s="6"/>
      <c r="B3693" s="6"/>
      <c r="C3693" s="4"/>
      <c r="D3693" s="36">
        <v>0.0</v>
      </c>
      <c r="E3693" s="4"/>
      <c r="F3693" s="4"/>
      <c r="G3693" s="4"/>
      <c r="H3693" s="4"/>
      <c r="I3693" s="4"/>
      <c r="J3693" s="18"/>
      <c r="K3693" s="4"/>
      <c r="L3693" s="19"/>
      <c r="M3693" s="20"/>
    </row>
    <row r="3694">
      <c r="A3694" s="6"/>
      <c r="B3694" s="6"/>
      <c r="C3694" s="4"/>
      <c r="D3694" s="36">
        <v>0.0</v>
      </c>
      <c r="E3694" s="4"/>
      <c r="F3694" s="4"/>
      <c r="G3694" s="4"/>
      <c r="H3694" s="4"/>
      <c r="I3694" s="4"/>
      <c r="J3694" s="18"/>
      <c r="K3694" s="4"/>
      <c r="L3694" s="19"/>
      <c r="M3694" s="20"/>
    </row>
    <row r="3695">
      <c r="A3695" s="6"/>
      <c r="B3695" s="6"/>
      <c r="C3695" s="4"/>
      <c r="D3695" s="36">
        <v>0.0</v>
      </c>
      <c r="E3695" s="4"/>
      <c r="F3695" s="4"/>
      <c r="G3695" s="4"/>
      <c r="H3695" s="4"/>
      <c r="I3695" s="4"/>
      <c r="J3695" s="18"/>
      <c r="K3695" s="4"/>
      <c r="L3695" s="19"/>
      <c r="M3695" s="20"/>
    </row>
    <row r="3696">
      <c r="A3696" s="6"/>
      <c r="B3696" s="6"/>
      <c r="C3696" s="4"/>
      <c r="D3696" s="36">
        <v>0.0</v>
      </c>
      <c r="E3696" s="4"/>
      <c r="F3696" s="4"/>
      <c r="G3696" s="4"/>
      <c r="H3696" s="4"/>
      <c r="I3696" s="4"/>
      <c r="J3696" s="18"/>
      <c r="K3696" s="4"/>
      <c r="L3696" s="19"/>
      <c r="M3696" s="20"/>
    </row>
    <row r="3697">
      <c r="A3697" s="6"/>
      <c r="B3697" s="6"/>
      <c r="C3697" s="4"/>
      <c r="D3697" s="36">
        <v>0.0</v>
      </c>
      <c r="E3697" s="4"/>
      <c r="F3697" s="4"/>
      <c r="G3697" s="4"/>
      <c r="H3697" s="4"/>
      <c r="I3697" s="4"/>
      <c r="J3697" s="18"/>
      <c r="K3697" s="4"/>
      <c r="L3697" s="19"/>
      <c r="M3697" s="20"/>
    </row>
    <row r="3698">
      <c r="A3698" s="6"/>
      <c r="B3698" s="6"/>
      <c r="C3698" s="4"/>
      <c r="D3698" s="36">
        <v>0.0</v>
      </c>
      <c r="E3698" s="4"/>
      <c r="F3698" s="4"/>
      <c r="G3698" s="4"/>
      <c r="H3698" s="4"/>
      <c r="I3698" s="4"/>
      <c r="J3698" s="18"/>
      <c r="K3698" s="4"/>
      <c r="L3698" s="19"/>
      <c r="M3698" s="20"/>
    </row>
    <row r="3699">
      <c r="A3699" s="6"/>
      <c r="B3699" s="6"/>
      <c r="C3699" s="4"/>
      <c r="D3699" s="36">
        <v>0.0</v>
      </c>
      <c r="E3699" s="4"/>
      <c r="F3699" s="4"/>
      <c r="G3699" s="4"/>
      <c r="H3699" s="4"/>
      <c r="I3699" s="4"/>
      <c r="J3699" s="18"/>
      <c r="K3699" s="4"/>
      <c r="L3699" s="19"/>
      <c r="M3699" s="20"/>
    </row>
    <row r="3700">
      <c r="A3700" s="6"/>
      <c r="B3700" s="6"/>
      <c r="C3700" s="4"/>
      <c r="D3700" s="36">
        <v>0.0</v>
      </c>
      <c r="E3700" s="4"/>
      <c r="F3700" s="4"/>
      <c r="G3700" s="4"/>
      <c r="H3700" s="4"/>
      <c r="I3700" s="4"/>
      <c r="J3700" s="18"/>
      <c r="K3700" s="4"/>
      <c r="L3700" s="19"/>
      <c r="M3700" s="20"/>
    </row>
    <row r="3701">
      <c r="A3701" s="6"/>
      <c r="B3701" s="6"/>
      <c r="C3701" s="4"/>
      <c r="D3701" s="36">
        <v>0.0</v>
      </c>
      <c r="E3701" s="4"/>
      <c r="F3701" s="4"/>
      <c r="G3701" s="4"/>
      <c r="H3701" s="4"/>
      <c r="I3701" s="4"/>
      <c r="J3701" s="18"/>
      <c r="K3701" s="4"/>
      <c r="L3701" s="19"/>
      <c r="M3701" s="20"/>
    </row>
    <row r="3702">
      <c r="A3702" s="6"/>
      <c r="B3702" s="6"/>
      <c r="C3702" s="4"/>
      <c r="D3702" s="36">
        <v>0.0</v>
      </c>
      <c r="E3702" s="4"/>
      <c r="F3702" s="4"/>
      <c r="G3702" s="4"/>
      <c r="H3702" s="4"/>
      <c r="I3702" s="4"/>
      <c r="J3702" s="18"/>
      <c r="K3702" s="4"/>
      <c r="L3702" s="19"/>
      <c r="M3702" s="20"/>
    </row>
    <row r="3703">
      <c r="A3703" s="6"/>
      <c r="B3703" s="6"/>
      <c r="C3703" s="4"/>
      <c r="D3703" s="36">
        <v>0.0</v>
      </c>
      <c r="E3703" s="4"/>
      <c r="F3703" s="4"/>
      <c r="G3703" s="4"/>
      <c r="H3703" s="4"/>
      <c r="I3703" s="4"/>
      <c r="J3703" s="18"/>
      <c r="K3703" s="4"/>
      <c r="L3703" s="19"/>
      <c r="M3703" s="20"/>
    </row>
    <row r="3704">
      <c r="A3704" s="6"/>
      <c r="B3704" s="6"/>
      <c r="C3704" s="4"/>
      <c r="D3704" s="36">
        <v>0.0</v>
      </c>
      <c r="E3704" s="4"/>
      <c r="F3704" s="4"/>
      <c r="G3704" s="4"/>
      <c r="H3704" s="4"/>
      <c r="I3704" s="4"/>
      <c r="J3704" s="18"/>
      <c r="K3704" s="4"/>
      <c r="L3704" s="19"/>
      <c r="M3704" s="20"/>
    </row>
    <row r="3705">
      <c r="A3705" s="6"/>
      <c r="B3705" s="6"/>
      <c r="C3705" s="4"/>
      <c r="D3705" s="36">
        <v>0.0</v>
      </c>
      <c r="E3705" s="4"/>
      <c r="F3705" s="4"/>
      <c r="G3705" s="4"/>
      <c r="H3705" s="4"/>
      <c r="I3705" s="4"/>
      <c r="J3705" s="18"/>
      <c r="K3705" s="4"/>
      <c r="L3705" s="19"/>
      <c r="M3705" s="20"/>
    </row>
    <row r="3706">
      <c r="A3706" s="6"/>
      <c r="B3706" s="6"/>
      <c r="C3706" s="4"/>
      <c r="D3706" s="36">
        <v>0.0</v>
      </c>
      <c r="E3706" s="4"/>
      <c r="F3706" s="4"/>
      <c r="G3706" s="4"/>
      <c r="H3706" s="4"/>
      <c r="I3706" s="4"/>
      <c r="J3706" s="18"/>
      <c r="K3706" s="4"/>
      <c r="L3706" s="19"/>
      <c r="M3706" s="20"/>
    </row>
    <row r="3707">
      <c r="A3707" s="6"/>
      <c r="B3707" s="6"/>
      <c r="C3707" s="4"/>
      <c r="D3707" s="36">
        <v>0.0</v>
      </c>
      <c r="E3707" s="4"/>
      <c r="F3707" s="4"/>
      <c r="G3707" s="4"/>
      <c r="H3707" s="4"/>
      <c r="I3707" s="4"/>
      <c r="J3707" s="18"/>
      <c r="K3707" s="4"/>
      <c r="L3707" s="19"/>
      <c r="M3707" s="20"/>
    </row>
    <row r="3708">
      <c r="A3708" s="6"/>
      <c r="B3708" s="6"/>
      <c r="C3708" s="4"/>
      <c r="D3708" s="36">
        <v>0.0</v>
      </c>
      <c r="E3708" s="4"/>
      <c r="F3708" s="4"/>
      <c r="G3708" s="4"/>
      <c r="H3708" s="4"/>
      <c r="I3708" s="4"/>
      <c r="J3708" s="18"/>
      <c r="K3708" s="4"/>
      <c r="L3708" s="19"/>
      <c r="M3708" s="20"/>
    </row>
    <row r="3709">
      <c r="A3709" s="6"/>
      <c r="B3709" s="6"/>
      <c r="C3709" s="4"/>
      <c r="D3709" s="36">
        <v>0.0</v>
      </c>
      <c r="E3709" s="4"/>
      <c r="F3709" s="4"/>
      <c r="G3709" s="4"/>
      <c r="H3709" s="4"/>
      <c r="I3709" s="4"/>
      <c r="J3709" s="18"/>
      <c r="K3709" s="4"/>
      <c r="L3709" s="19"/>
      <c r="M3709" s="20"/>
    </row>
    <row r="3710">
      <c r="A3710" s="6"/>
      <c r="B3710" s="6"/>
      <c r="C3710" s="4"/>
      <c r="D3710" s="36">
        <v>0.0</v>
      </c>
      <c r="E3710" s="4"/>
      <c r="F3710" s="4"/>
      <c r="G3710" s="4"/>
      <c r="H3710" s="4"/>
      <c r="I3710" s="4"/>
      <c r="J3710" s="18"/>
      <c r="K3710" s="4"/>
      <c r="L3710" s="19"/>
      <c r="M3710" s="20"/>
    </row>
    <row r="3711">
      <c r="A3711" s="6"/>
      <c r="B3711" s="6"/>
      <c r="C3711" s="4"/>
      <c r="D3711" s="36">
        <v>0.0</v>
      </c>
      <c r="E3711" s="4"/>
      <c r="F3711" s="4"/>
      <c r="G3711" s="4"/>
      <c r="H3711" s="4"/>
      <c r="I3711" s="4"/>
      <c r="J3711" s="18"/>
      <c r="K3711" s="4"/>
      <c r="L3711" s="19"/>
      <c r="M3711" s="20"/>
    </row>
    <row r="3712">
      <c r="A3712" s="6"/>
      <c r="B3712" s="6"/>
      <c r="C3712" s="4"/>
      <c r="D3712" s="36">
        <v>0.0</v>
      </c>
      <c r="E3712" s="4"/>
      <c r="F3712" s="4"/>
      <c r="G3712" s="4"/>
      <c r="H3712" s="4"/>
      <c r="I3712" s="4"/>
      <c r="J3712" s="18"/>
      <c r="K3712" s="4"/>
      <c r="L3712" s="19"/>
      <c r="M3712" s="20"/>
    </row>
    <row r="3713">
      <c r="A3713" s="6"/>
      <c r="B3713" s="6"/>
      <c r="C3713" s="4"/>
      <c r="D3713" s="36">
        <v>0.0</v>
      </c>
      <c r="E3713" s="4"/>
      <c r="F3713" s="4"/>
      <c r="G3713" s="4"/>
      <c r="H3713" s="4"/>
      <c r="I3713" s="4"/>
      <c r="J3713" s="18"/>
      <c r="K3713" s="4"/>
      <c r="L3713" s="19"/>
      <c r="M3713" s="20"/>
    </row>
    <row r="3714">
      <c r="A3714" s="6"/>
      <c r="B3714" s="6"/>
      <c r="C3714" s="4"/>
      <c r="D3714" s="36">
        <v>0.0</v>
      </c>
      <c r="E3714" s="4"/>
      <c r="F3714" s="4"/>
      <c r="G3714" s="4"/>
      <c r="H3714" s="4"/>
      <c r="I3714" s="4"/>
      <c r="J3714" s="18"/>
      <c r="K3714" s="4"/>
      <c r="L3714" s="19"/>
      <c r="M3714" s="20"/>
    </row>
    <row r="3715">
      <c r="A3715" s="6"/>
      <c r="B3715" s="6"/>
      <c r="C3715" s="4"/>
      <c r="D3715" s="36">
        <v>0.0</v>
      </c>
      <c r="E3715" s="4"/>
      <c r="F3715" s="4"/>
      <c r="G3715" s="4"/>
      <c r="H3715" s="4"/>
      <c r="I3715" s="4"/>
      <c r="J3715" s="18"/>
      <c r="K3715" s="4"/>
      <c r="L3715" s="19"/>
      <c r="M3715" s="20"/>
    </row>
    <row r="3716">
      <c r="A3716" s="6"/>
      <c r="B3716" s="6"/>
      <c r="C3716" s="4"/>
      <c r="D3716" s="36">
        <v>0.0</v>
      </c>
      <c r="E3716" s="4"/>
      <c r="F3716" s="4"/>
      <c r="G3716" s="4"/>
      <c r="H3716" s="4"/>
      <c r="I3716" s="4"/>
      <c r="J3716" s="18"/>
      <c r="K3716" s="4"/>
      <c r="L3716" s="19"/>
      <c r="M3716" s="20"/>
    </row>
    <row r="3717">
      <c r="A3717" s="6"/>
      <c r="B3717" s="6"/>
      <c r="C3717" s="4"/>
      <c r="D3717" s="36">
        <v>0.0</v>
      </c>
      <c r="E3717" s="4"/>
      <c r="F3717" s="4"/>
      <c r="G3717" s="4"/>
      <c r="H3717" s="4"/>
      <c r="I3717" s="4"/>
      <c r="J3717" s="18"/>
      <c r="K3717" s="4"/>
      <c r="L3717" s="19"/>
      <c r="M3717" s="20"/>
    </row>
    <row r="3718">
      <c r="A3718" s="6"/>
      <c r="B3718" s="6"/>
      <c r="C3718" s="4"/>
      <c r="D3718" s="36">
        <v>0.0</v>
      </c>
      <c r="E3718" s="4"/>
      <c r="F3718" s="4"/>
      <c r="G3718" s="4"/>
      <c r="H3718" s="4"/>
      <c r="I3718" s="4"/>
      <c r="J3718" s="18"/>
      <c r="K3718" s="4"/>
      <c r="L3718" s="19"/>
      <c r="M3718" s="20"/>
    </row>
    <row r="3719">
      <c r="A3719" s="6"/>
      <c r="B3719" s="6"/>
      <c r="C3719" s="4"/>
      <c r="D3719" s="36">
        <v>0.0</v>
      </c>
      <c r="E3719" s="4"/>
      <c r="F3719" s="4"/>
      <c r="G3719" s="4"/>
      <c r="H3719" s="4"/>
      <c r="I3719" s="4"/>
      <c r="J3719" s="18"/>
      <c r="K3719" s="4"/>
      <c r="L3719" s="19"/>
      <c r="M3719" s="20"/>
    </row>
    <row r="3720">
      <c r="A3720" s="6"/>
      <c r="B3720" s="6"/>
      <c r="C3720" s="4"/>
      <c r="D3720" s="36">
        <v>0.0</v>
      </c>
      <c r="E3720" s="4"/>
      <c r="F3720" s="4"/>
      <c r="G3720" s="4"/>
      <c r="H3720" s="4"/>
      <c r="I3720" s="4"/>
      <c r="J3720" s="18"/>
      <c r="K3720" s="4"/>
      <c r="L3720" s="19"/>
      <c r="M3720" s="20"/>
    </row>
    <row r="3721">
      <c r="A3721" s="6"/>
      <c r="B3721" s="6"/>
      <c r="C3721" s="4"/>
      <c r="D3721" s="36">
        <v>0.0</v>
      </c>
      <c r="E3721" s="4"/>
      <c r="F3721" s="4"/>
      <c r="G3721" s="4"/>
      <c r="H3721" s="4"/>
      <c r="I3721" s="4"/>
      <c r="J3721" s="18"/>
      <c r="K3721" s="4"/>
      <c r="L3721" s="19"/>
      <c r="M3721" s="20"/>
    </row>
    <row r="3722">
      <c r="A3722" s="6"/>
      <c r="B3722" s="6"/>
      <c r="C3722" s="4"/>
      <c r="D3722" s="36">
        <v>0.0</v>
      </c>
      <c r="E3722" s="4"/>
      <c r="F3722" s="4"/>
      <c r="G3722" s="4"/>
      <c r="H3722" s="4"/>
      <c r="I3722" s="4"/>
      <c r="J3722" s="18"/>
      <c r="K3722" s="4"/>
      <c r="L3722" s="19"/>
      <c r="M3722" s="20"/>
    </row>
    <row r="3723">
      <c r="A3723" s="6"/>
      <c r="B3723" s="6"/>
      <c r="C3723" s="4"/>
      <c r="D3723" s="36">
        <v>0.0</v>
      </c>
      <c r="E3723" s="4"/>
      <c r="F3723" s="4"/>
      <c r="G3723" s="4"/>
      <c r="H3723" s="4"/>
      <c r="I3723" s="4"/>
      <c r="J3723" s="18"/>
      <c r="K3723" s="4"/>
      <c r="L3723" s="19"/>
      <c r="M3723" s="20"/>
    </row>
    <row r="3724">
      <c r="A3724" s="6"/>
      <c r="B3724" s="6"/>
      <c r="C3724" s="4"/>
      <c r="D3724" s="36">
        <v>0.0</v>
      </c>
      <c r="E3724" s="4"/>
      <c r="F3724" s="4"/>
      <c r="G3724" s="4"/>
      <c r="H3724" s="4"/>
      <c r="I3724" s="4"/>
      <c r="J3724" s="18"/>
      <c r="K3724" s="4"/>
      <c r="L3724" s="19"/>
      <c r="M3724" s="20"/>
    </row>
    <row r="3725">
      <c r="A3725" s="6"/>
      <c r="B3725" s="6"/>
      <c r="C3725" s="4"/>
      <c r="D3725" s="36">
        <v>0.0</v>
      </c>
      <c r="E3725" s="4"/>
      <c r="F3725" s="4"/>
      <c r="G3725" s="4"/>
      <c r="H3725" s="4"/>
      <c r="I3725" s="4"/>
      <c r="J3725" s="18"/>
      <c r="K3725" s="4"/>
      <c r="L3725" s="19"/>
      <c r="M3725" s="20"/>
    </row>
    <row r="3726">
      <c r="A3726" s="6"/>
      <c r="B3726" s="6"/>
      <c r="C3726" s="4"/>
      <c r="D3726" s="36">
        <v>0.0</v>
      </c>
      <c r="E3726" s="4"/>
      <c r="F3726" s="4"/>
      <c r="G3726" s="4"/>
      <c r="H3726" s="4"/>
      <c r="I3726" s="4"/>
      <c r="J3726" s="18"/>
      <c r="K3726" s="4"/>
      <c r="L3726" s="19"/>
      <c r="M3726" s="20"/>
    </row>
    <row r="3727">
      <c r="A3727" s="6"/>
      <c r="B3727" s="6"/>
      <c r="C3727" s="4"/>
      <c r="D3727" s="36">
        <v>0.0</v>
      </c>
      <c r="E3727" s="4"/>
      <c r="F3727" s="4"/>
      <c r="G3727" s="4"/>
      <c r="H3727" s="4"/>
      <c r="I3727" s="4"/>
      <c r="J3727" s="18"/>
      <c r="K3727" s="4"/>
      <c r="L3727" s="19"/>
      <c r="M3727" s="20"/>
    </row>
    <row r="3728">
      <c r="A3728" s="6"/>
      <c r="B3728" s="6"/>
      <c r="C3728" s="4"/>
      <c r="D3728" s="36">
        <v>0.0</v>
      </c>
      <c r="E3728" s="4"/>
      <c r="F3728" s="4"/>
      <c r="G3728" s="4"/>
      <c r="H3728" s="4"/>
      <c r="I3728" s="4"/>
      <c r="J3728" s="18"/>
      <c r="K3728" s="4"/>
      <c r="L3728" s="19"/>
      <c r="M3728" s="20"/>
    </row>
    <row r="3729">
      <c r="A3729" s="6"/>
      <c r="B3729" s="6"/>
      <c r="C3729" s="4"/>
      <c r="D3729" s="36">
        <v>0.0</v>
      </c>
      <c r="E3729" s="4"/>
      <c r="F3729" s="4"/>
      <c r="G3729" s="4"/>
      <c r="H3729" s="4"/>
      <c r="I3729" s="4"/>
      <c r="J3729" s="18"/>
      <c r="K3729" s="4"/>
      <c r="L3729" s="19"/>
      <c r="M3729" s="20"/>
    </row>
    <row r="3730">
      <c r="A3730" s="6"/>
      <c r="B3730" s="6"/>
      <c r="C3730" s="4"/>
      <c r="D3730" s="36">
        <v>0.0</v>
      </c>
      <c r="E3730" s="4"/>
      <c r="F3730" s="4"/>
      <c r="G3730" s="4"/>
      <c r="H3730" s="4"/>
      <c r="I3730" s="4"/>
      <c r="J3730" s="18"/>
      <c r="K3730" s="4"/>
      <c r="L3730" s="19"/>
      <c r="M3730" s="20"/>
    </row>
    <row r="3731">
      <c r="A3731" s="6"/>
      <c r="B3731" s="6"/>
      <c r="C3731" s="4"/>
      <c r="D3731" s="36">
        <v>0.0</v>
      </c>
      <c r="E3731" s="4"/>
      <c r="F3731" s="4"/>
      <c r="G3731" s="4"/>
      <c r="H3731" s="4"/>
      <c r="I3731" s="4"/>
      <c r="J3731" s="18"/>
      <c r="K3731" s="4"/>
      <c r="L3731" s="19"/>
      <c r="M3731" s="20"/>
    </row>
    <row r="3732">
      <c r="A3732" s="6"/>
      <c r="B3732" s="6"/>
      <c r="C3732" s="4"/>
      <c r="D3732" s="36">
        <v>0.0</v>
      </c>
      <c r="E3732" s="4"/>
      <c r="F3732" s="4"/>
      <c r="G3732" s="4"/>
      <c r="H3732" s="4"/>
      <c r="I3732" s="4"/>
      <c r="J3732" s="18"/>
      <c r="K3732" s="4"/>
      <c r="L3732" s="19"/>
      <c r="M3732" s="20"/>
    </row>
    <row r="3733">
      <c r="A3733" s="6"/>
      <c r="B3733" s="6"/>
      <c r="C3733" s="4"/>
      <c r="D3733" s="36">
        <v>0.0</v>
      </c>
      <c r="E3733" s="4"/>
      <c r="F3733" s="4"/>
      <c r="G3733" s="4"/>
      <c r="H3733" s="4"/>
      <c r="I3733" s="4"/>
      <c r="J3733" s="18"/>
      <c r="K3733" s="4"/>
      <c r="L3733" s="19"/>
      <c r="M3733" s="20"/>
    </row>
    <row r="3734">
      <c r="A3734" s="6"/>
      <c r="B3734" s="6"/>
      <c r="C3734" s="4"/>
      <c r="D3734" s="36">
        <v>0.0</v>
      </c>
      <c r="E3734" s="4"/>
      <c r="F3734" s="4"/>
      <c r="G3734" s="4"/>
      <c r="H3734" s="4"/>
      <c r="I3734" s="4"/>
      <c r="J3734" s="18"/>
      <c r="K3734" s="4"/>
      <c r="L3734" s="19"/>
      <c r="M3734" s="20"/>
    </row>
    <row r="3735">
      <c r="A3735" s="6"/>
      <c r="B3735" s="6"/>
      <c r="C3735" s="4"/>
      <c r="D3735" s="36">
        <v>0.0</v>
      </c>
      <c r="E3735" s="4"/>
      <c r="F3735" s="4"/>
      <c r="G3735" s="4"/>
      <c r="H3735" s="4"/>
      <c r="I3735" s="4"/>
      <c r="J3735" s="18"/>
      <c r="K3735" s="4"/>
      <c r="L3735" s="19"/>
      <c r="M3735" s="20"/>
    </row>
    <row r="3736">
      <c r="A3736" s="6"/>
      <c r="B3736" s="6"/>
      <c r="C3736" s="4"/>
      <c r="D3736" s="36">
        <v>0.0</v>
      </c>
      <c r="E3736" s="4"/>
      <c r="F3736" s="4"/>
      <c r="G3736" s="4"/>
      <c r="H3736" s="4"/>
      <c r="I3736" s="4"/>
      <c r="J3736" s="18"/>
      <c r="K3736" s="4"/>
      <c r="L3736" s="19"/>
      <c r="M3736" s="20"/>
    </row>
    <row r="3737">
      <c r="A3737" s="6"/>
      <c r="B3737" s="6"/>
      <c r="C3737" s="4"/>
      <c r="D3737" s="36">
        <v>0.0</v>
      </c>
      <c r="E3737" s="4"/>
      <c r="F3737" s="4"/>
      <c r="G3737" s="4"/>
      <c r="H3737" s="4"/>
      <c r="I3737" s="4"/>
      <c r="J3737" s="18"/>
      <c r="K3737" s="4"/>
      <c r="L3737" s="19"/>
      <c r="M3737" s="20"/>
    </row>
    <row r="3738">
      <c r="A3738" s="6"/>
      <c r="B3738" s="6"/>
      <c r="C3738" s="4"/>
      <c r="D3738" s="36">
        <v>0.0</v>
      </c>
      <c r="E3738" s="4"/>
      <c r="F3738" s="4"/>
      <c r="G3738" s="4"/>
      <c r="H3738" s="4"/>
      <c r="I3738" s="4"/>
      <c r="J3738" s="18"/>
      <c r="K3738" s="4"/>
      <c r="L3738" s="19"/>
      <c r="M3738" s="20"/>
    </row>
    <row r="3739">
      <c r="A3739" s="6"/>
      <c r="B3739" s="6"/>
      <c r="C3739" s="4"/>
      <c r="D3739" s="36">
        <v>0.0</v>
      </c>
      <c r="E3739" s="4"/>
      <c r="F3739" s="4"/>
      <c r="G3739" s="4"/>
      <c r="H3739" s="4"/>
      <c r="I3739" s="4"/>
      <c r="J3739" s="18"/>
      <c r="K3739" s="4"/>
      <c r="L3739" s="19"/>
      <c r="M3739" s="20"/>
    </row>
    <row r="3740">
      <c r="A3740" s="6"/>
      <c r="B3740" s="6"/>
      <c r="C3740" s="4"/>
      <c r="D3740" s="36">
        <v>0.0</v>
      </c>
      <c r="E3740" s="4"/>
      <c r="F3740" s="4"/>
      <c r="G3740" s="4"/>
      <c r="H3740" s="4"/>
      <c r="I3740" s="4"/>
      <c r="J3740" s="18"/>
      <c r="K3740" s="4"/>
      <c r="L3740" s="19"/>
      <c r="M3740" s="20"/>
    </row>
    <row r="3741">
      <c r="A3741" s="6"/>
      <c r="B3741" s="6"/>
      <c r="C3741" s="4"/>
      <c r="D3741" s="36">
        <v>0.0</v>
      </c>
      <c r="E3741" s="4"/>
      <c r="F3741" s="4"/>
      <c r="G3741" s="4"/>
      <c r="H3741" s="4"/>
      <c r="I3741" s="4"/>
      <c r="J3741" s="18"/>
      <c r="K3741" s="4"/>
      <c r="L3741" s="19"/>
      <c r="M3741" s="20"/>
    </row>
    <row r="3742">
      <c r="A3742" s="6"/>
      <c r="B3742" s="6"/>
      <c r="C3742" s="4"/>
      <c r="D3742" s="36">
        <v>0.0</v>
      </c>
      <c r="E3742" s="4"/>
      <c r="F3742" s="4"/>
      <c r="G3742" s="4"/>
      <c r="H3742" s="4"/>
      <c r="I3742" s="4"/>
      <c r="J3742" s="18"/>
      <c r="K3742" s="4"/>
      <c r="L3742" s="19"/>
      <c r="M3742" s="20"/>
    </row>
    <row r="3743">
      <c r="A3743" s="6"/>
      <c r="B3743" s="6"/>
      <c r="C3743" s="4"/>
      <c r="D3743" s="36">
        <v>0.0</v>
      </c>
      <c r="E3743" s="4"/>
      <c r="F3743" s="4"/>
      <c r="G3743" s="4"/>
      <c r="H3743" s="4"/>
      <c r="I3743" s="4"/>
      <c r="J3743" s="18"/>
      <c r="K3743" s="4"/>
      <c r="L3743" s="19"/>
      <c r="M3743" s="20"/>
    </row>
    <row r="3744">
      <c r="A3744" s="6"/>
      <c r="B3744" s="6"/>
      <c r="C3744" s="4"/>
      <c r="D3744" s="36">
        <v>0.0</v>
      </c>
      <c r="E3744" s="4"/>
      <c r="F3744" s="4"/>
      <c r="G3744" s="4"/>
      <c r="H3744" s="4"/>
      <c r="I3744" s="4"/>
      <c r="J3744" s="18"/>
      <c r="K3744" s="4"/>
      <c r="L3744" s="19"/>
      <c r="M3744" s="20"/>
    </row>
    <row r="3745">
      <c r="A3745" s="6"/>
      <c r="B3745" s="6"/>
      <c r="C3745" s="4"/>
      <c r="D3745" s="36">
        <v>0.0</v>
      </c>
      <c r="E3745" s="4"/>
      <c r="F3745" s="4"/>
      <c r="G3745" s="4"/>
      <c r="H3745" s="4"/>
      <c r="I3745" s="4"/>
      <c r="J3745" s="18"/>
      <c r="K3745" s="4"/>
      <c r="L3745" s="19"/>
      <c r="M3745" s="20"/>
    </row>
    <row r="3746">
      <c r="A3746" s="6"/>
      <c r="B3746" s="6"/>
      <c r="C3746" s="4"/>
      <c r="D3746" s="36">
        <v>0.0</v>
      </c>
      <c r="E3746" s="4"/>
      <c r="F3746" s="4"/>
      <c r="G3746" s="4"/>
      <c r="H3746" s="4"/>
      <c r="I3746" s="4"/>
      <c r="J3746" s="18"/>
      <c r="K3746" s="4"/>
      <c r="L3746" s="19"/>
      <c r="M3746" s="20"/>
    </row>
    <row r="3747">
      <c r="A3747" s="6"/>
      <c r="B3747" s="6"/>
      <c r="C3747" s="4"/>
      <c r="D3747" s="36">
        <v>0.0</v>
      </c>
      <c r="E3747" s="4"/>
      <c r="F3747" s="4"/>
      <c r="G3747" s="4"/>
      <c r="H3747" s="4"/>
      <c r="I3747" s="4"/>
      <c r="J3747" s="18"/>
      <c r="K3747" s="4"/>
      <c r="L3747" s="19"/>
      <c r="M3747" s="20"/>
    </row>
    <row r="3748">
      <c r="A3748" s="6"/>
      <c r="B3748" s="6"/>
      <c r="C3748" s="4"/>
      <c r="D3748" s="36">
        <v>0.0</v>
      </c>
      <c r="E3748" s="4"/>
      <c r="F3748" s="4"/>
      <c r="G3748" s="4"/>
      <c r="H3748" s="4"/>
      <c r="I3748" s="4"/>
      <c r="J3748" s="18"/>
      <c r="K3748" s="4"/>
      <c r="L3748" s="19"/>
      <c r="M3748" s="20"/>
    </row>
    <row r="3749">
      <c r="A3749" s="6"/>
      <c r="B3749" s="6"/>
      <c r="C3749" s="4"/>
      <c r="D3749" s="36">
        <v>0.0</v>
      </c>
      <c r="E3749" s="4"/>
      <c r="F3749" s="4"/>
      <c r="G3749" s="4"/>
      <c r="H3749" s="4"/>
      <c r="I3749" s="4"/>
      <c r="J3749" s="18"/>
      <c r="K3749" s="4"/>
      <c r="L3749" s="19"/>
      <c r="M3749" s="20"/>
    </row>
    <row r="3750">
      <c r="A3750" s="6"/>
      <c r="B3750" s="6"/>
      <c r="C3750" s="4"/>
      <c r="D3750" s="36">
        <v>0.0</v>
      </c>
      <c r="E3750" s="4"/>
      <c r="F3750" s="4"/>
      <c r="G3750" s="4"/>
      <c r="H3750" s="4"/>
      <c r="I3750" s="4"/>
      <c r="J3750" s="18"/>
      <c r="K3750" s="4"/>
      <c r="L3750" s="19"/>
      <c r="M3750" s="20"/>
    </row>
    <row r="3751">
      <c r="A3751" s="6"/>
      <c r="B3751" s="6"/>
      <c r="C3751" s="4"/>
      <c r="D3751" s="36">
        <v>0.0</v>
      </c>
      <c r="E3751" s="4"/>
      <c r="F3751" s="4"/>
      <c r="G3751" s="4"/>
      <c r="H3751" s="4"/>
      <c r="I3751" s="4"/>
      <c r="J3751" s="18"/>
      <c r="K3751" s="4"/>
      <c r="L3751" s="19"/>
      <c r="M3751" s="20"/>
    </row>
    <row r="3752">
      <c r="A3752" s="6"/>
      <c r="B3752" s="6"/>
      <c r="C3752" s="4"/>
      <c r="D3752" s="36">
        <v>0.0</v>
      </c>
      <c r="E3752" s="4"/>
      <c r="F3752" s="4"/>
      <c r="G3752" s="4"/>
      <c r="H3752" s="4"/>
      <c r="I3752" s="4"/>
      <c r="J3752" s="18"/>
      <c r="K3752" s="4"/>
      <c r="L3752" s="19"/>
      <c r="M3752" s="20"/>
    </row>
    <row r="3753">
      <c r="A3753" s="6"/>
      <c r="B3753" s="6"/>
      <c r="C3753" s="4"/>
      <c r="D3753" s="36">
        <v>0.0</v>
      </c>
      <c r="E3753" s="4"/>
      <c r="F3753" s="4"/>
      <c r="G3753" s="4"/>
      <c r="H3753" s="4"/>
      <c r="I3753" s="4"/>
      <c r="J3753" s="18"/>
      <c r="K3753" s="4"/>
      <c r="L3753" s="19"/>
      <c r="M3753" s="20"/>
    </row>
    <row r="3754">
      <c r="A3754" s="6"/>
      <c r="B3754" s="6"/>
      <c r="C3754" s="4"/>
      <c r="D3754" s="36">
        <v>0.0</v>
      </c>
      <c r="E3754" s="4"/>
      <c r="F3754" s="4"/>
      <c r="G3754" s="4"/>
      <c r="H3754" s="4"/>
      <c r="I3754" s="4"/>
      <c r="J3754" s="18"/>
      <c r="K3754" s="4"/>
      <c r="L3754" s="19"/>
      <c r="M3754" s="20"/>
    </row>
    <row r="3755">
      <c r="A3755" s="6"/>
      <c r="B3755" s="6"/>
      <c r="C3755" s="4"/>
      <c r="D3755" s="36">
        <v>0.0</v>
      </c>
      <c r="E3755" s="4"/>
      <c r="F3755" s="4"/>
      <c r="G3755" s="4"/>
      <c r="H3755" s="4"/>
      <c r="I3755" s="4"/>
      <c r="J3755" s="18"/>
      <c r="K3755" s="4"/>
      <c r="L3755" s="19"/>
      <c r="M3755" s="20"/>
    </row>
    <row r="3756">
      <c r="A3756" s="6"/>
      <c r="B3756" s="6"/>
      <c r="C3756" s="4"/>
      <c r="D3756" s="36">
        <v>0.0</v>
      </c>
      <c r="E3756" s="4"/>
      <c r="F3756" s="4"/>
      <c r="G3756" s="4"/>
      <c r="H3756" s="4"/>
      <c r="I3756" s="4"/>
      <c r="J3756" s="18"/>
      <c r="K3756" s="4"/>
      <c r="L3756" s="19"/>
      <c r="M3756" s="20"/>
    </row>
    <row r="3757">
      <c r="A3757" s="6"/>
      <c r="B3757" s="6"/>
      <c r="C3757" s="4"/>
      <c r="D3757" s="36">
        <v>0.0</v>
      </c>
      <c r="E3757" s="4"/>
      <c r="F3757" s="4"/>
      <c r="G3757" s="4"/>
      <c r="H3757" s="4"/>
      <c r="I3757" s="4"/>
      <c r="J3757" s="18"/>
      <c r="K3757" s="4"/>
      <c r="L3757" s="19"/>
      <c r="M3757" s="20"/>
    </row>
    <row r="3758">
      <c r="A3758" s="6"/>
      <c r="B3758" s="6"/>
      <c r="C3758" s="4"/>
      <c r="D3758" s="36">
        <v>0.0</v>
      </c>
      <c r="E3758" s="4"/>
      <c r="F3758" s="4"/>
      <c r="G3758" s="4"/>
      <c r="H3758" s="4"/>
      <c r="I3758" s="4"/>
      <c r="J3758" s="18"/>
      <c r="K3758" s="4"/>
      <c r="L3758" s="19"/>
      <c r="M3758" s="20"/>
    </row>
    <row r="3759">
      <c r="A3759" s="6"/>
      <c r="B3759" s="6"/>
      <c r="C3759" s="4"/>
      <c r="D3759" s="36">
        <v>0.0</v>
      </c>
      <c r="E3759" s="4"/>
      <c r="F3759" s="4"/>
      <c r="G3759" s="4"/>
      <c r="H3759" s="4"/>
      <c r="I3759" s="4"/>
      <c r="J3759" s="18"/>
      <c r="K3759" s="4"/>
      <c r="L3759" s="19"/>
      <c r="M3759" s="20"/>
    </row>
    <row r="3760">
      <c r="A3760" s="6"/>
      <c r="B3760" s="6"/>
      <c r="C3760" s="4"/>
      <c r="D3760" s="36">
        <v>0.0</v>
      </c>
      <c r="E3760" s="4"/>
      <c r="F3760" s="4"/>
      <c r="G3760" s="4"/>
      <c r="H3760" s="4"/>
      <c r="I3760" s="4"/>
      <c r="J3760" s="18"/>
      <c r="K3760" s="4"/>
      <c r="L3760" s="19"/>
      <c r="M3760" s="20"/>
    </row>
    <row r="3761">
      <c r="A3761" s="6"/>
      <c r="B3761" s="6"/>
      <c r="C3761" s="4"/>
      <c r="D3761" s="36">
        <v>0.0</v>
      </c>
      <c r="E3761" s="4"/>
      <c r="F3761" s="4"/>
      <c r="G3761" s="4"/>
      <c r="H3761" s="4"/>
      <c r="I3761" s="4"/>
      <c r="J3761" s="18"/>
      <c r="K3761" s="4"/>
      <c r="L3761" s="19"/>
      <c r="M3761" s="20"/>
    </row>
    <row r="3762">
      <c r="A3762" s="6"/>
      <c r="B3762" s="6"/>
      <c r="C3762" s="4"/>
      <c r="D3762" s="36">
        <v>0.0</v>
      </c>
      <c r="E3762" s="4"/>
      <c r="F3762" s="4"/>
      <c r="G3762" s="4"/>
      <c r="H3762" s="4"/>
      <c r="I3762" s="4"/>
      <c r="J3762" s="18"/>
      <c r="K3762" s="4"/>
      <c r="L3762" s="19"/>
      <c r="M3762" s="20"/>
    </row>
    <row r="3763">
      <c r="A3763" s="6"/>
      <c r="B3763" s="6"/>
      <c r="C3763" s="4"/>
      <c r="D3763" s="36">
        <v>0.0</v>
      </c>
      <c r="E3763" s="4"/>
      <c r="F3763" s="4"/>
      <c r="G3763" s="4"/>
      <c r="H3763" s="4"/>
      <c r="I3763" s="4"/>
      <c r="J3763" s="18"/>
      <c r="K3763" s="4"/>
      <c r="L3763" s="19"/>
      <c r="M3763" s="20"/>
    </row>
    <row r="3764">
      <c r="A3764" s="6"/>
      <c r="B3764" s="6"/>
      <c r="C3764" s="4"/>
      <c r="D3764" s="36">
        <v>0.0</v>
      </c>
      <c r="E3764" s="4"/>
      <c r="F3764" s="4"/>
      <c r="G3764" s="4"/>
      <c r="H3764" s="4"/>
      <c r="I3764" s="4"/>
      <c r="J3764" s="18"/>
      <c r="K3764" s="4"/>
      <c r="L3764" s="19"/>
      <c r="M3764" s="20"/>
    </row>
    <row r="3765">
      <c r="A3765" s="6"/>
      <c r="B3765" s="6"/>
      <c r="C3765" s="4"/>
      <c r="D3765" s="36">
        <v>0.0</v>
      </c>
      <c r="E3765" s="4"/>
      <c r="F3765" s="4"/>
      <c r="G3765" s="4"/>
      <c r="H3765" s="4"/>
      <c r="I3765" s="4"/>
      <c r="J3765" s="18"/>
      <c r="K3765" s="4"/>
      <c r="L3765" s="19"/>
      <c r="M3765" s="20"/>
    </row>
    <row r="3766">
      <c r="A3766" s="6"/>
      <c r="B3766" s="6"/>
      <c r="C3766" s="4"/>
      <c r="D3766" s="36">
        <v>0.0</v>
      </c>
      <c r="E3766" s="4"/>
      <c r="F3766" s="4"/>
      <c r="G3766" s="4"/>
      <c r="H3766" s="4"/>
      <c r="I3766" s="4"/>
      <c r="J3766" s="18"/>
      <c r="K3766" s="4"/>
      <c r="L3766" s="19"/>
      <c r="M3766" s="20"/>
    </row>
    <row r="3767">
      <c r="A3767" s="6"/>
      <c r="B3767" s="6"/>
      <c r="C3767" s="4"/>
      <c r="D3767" s="36">
        <v>0.0</v>
      </c>
      <c r="E3767" s="4"/>
      <c r="F3767" s="4"/>
      <c r="G3767" s="4"/>
      <c r="H3767" s="4"/>
      <c r="I3767" s="4"/>
      <c r="J3767" s="18"/>
      <c r="K3767" s="4"/>
      <c r="L3767" s="19"/>
      <c r="M3767" s="20"/>
    </row>
    <row r="3768">
      <c r="A3768" s="6"/>
      <c r="B3768" s="6"/>
      <c r="C3768" s="4"/>
      <c r="D3768" s="36">
        <v>0.0</v>
      </c>
      <c r="E3768" s="4"/>
      <c r="F3768" s="4"/>
      <c r="G3768" s="4"/>
      <c r="H3768" s="4"/>
      <c r="I3768" s="4"/>
      <c r="J3768" s="18"/>
      <c r="K3768" s="4"/>
      <c r="L3768" s="19"/>
      <c r="M3768" s="20"/>
    </row>
    <row r="3769">
      <c r="A3769" s="6"/>
      <c r="B3769" s="6"/>
      <c r="C3769" s="4"/>
      <c r="D3769" s="36">
        <v>0.0</v>
      </c>
      <c r="E3769" s="4"/>
      <c r="F3769" s="4"/>
      <c r="G3769" s="4"/>
      <c r="H3769" s="4"/>
      <c r="I3769" s="4"/>
      <c r="J3769" s="18"/>
      <c r="K3769" s="4"/>
      <c r="L3769" s="19"/>
      <c r="M3769" s="20"/>
    </row>
    <row r="3770">
      <c r="A3770" s="6"/>
      <c r="B3770" s="6"/>
      <c r="C3770" s="4"/>
      <c r="D3770" s="36">
        <v>0.0</v>
      </c>
      <c r="E3770" s="4"/>
      <c r="F3770" s="4"/>
      <c r="G3770" s="4"/>
      <c r="H3770" s="4"/>
      <c r="I3770" s="4"/>
      <c r="J3770" s="18"/>
      <c r="K3770" s="4"/>
      <c r="L3770" s="19"/>
      <c r="M3770" s="20"/>
    </row>
    <row r="3771">
      <c r="A3771" s="6"/>
      <c r="B3771" s="6"/>
      <c r="C3771" s="4"/>
      <c r="D3771" s="36">
        <v>0.0</v>
      </c>
      <c r="E3771" s="4"/>
      <c r="F3771" s="4"/>
      <c r="G3771" s="4"/>
      <c r="H3771" s="4"/>
      <c r="I3771" s="4"/>
      <c r="J3771" s="18"/>
      <c r="K3771" s="4"/>
      <c r="L3771" s="19"/>
      <c r="M3771" s="20"/>
    </row>
    <row r="3772">
      <c r="A3772" s="6"/>
      <c r="B3772" s="6"/>
      <c r="C3772" s="4"/>
      <c r="D3772" s="36">
        <v>0.0</v>
      </c>
      <c r="E3772" s="4"/>
      <c r="F3772" s="4"/>
      <c r="G3772" s="4"/>
      <c r="H3772" s="4"/>
      <c r="I3772" s="4"/>
      <c r="J3772" s="18"/>
      <c r="K3772" s="4"/>
      <c r="L3772" s="19"/>
      <c r="M3772" s="20"/>
    </row>
    <row r="3773">
      <c r="A3773" s="6"/>
      <c r="B3773" s="6"/>
      <c r="C3773" s="4"/>
      <c r="D3773" s="36">
        <v>0.0</v>
      </c>
      <c r="E3773" s="4"/>
      <c r="F3773" s="4"/>
      <c r="G3773" s="4"/>
      <c r="H3773" s="4"/>
      <c r="I3773" s="4"/>
      <c r="J3773" s="18"/>
      <c r="K3773" s="4"/>
      <c r="L3773" s="19"/>
      <c r="M3773" s="20"/>
    </row>
    <row r="3774">
      <c r="A3774" s="6"/>
      <c r="B3774" s="6"/>
      <c r="C3774" s="4"/>
      <c r="D3774" s="36">
        <v>0.0</v>
      </c>
      <c r="E3774" s="4"/>
      <c r="F3774" s="4"/>
      <c r="G3774" s="4"/>
      <c r="H3774" s="4"/>
      <c r="I3774" s="4"/>
      <c r="J3774" s="18"/>
      <c r="K3774" s="4"/>
      <c r="L3774" s="19"/>
      <c r="M3774" s="20"/>
    </row>
    <row r="3775">
      <c r="A3775" s="6"/>
      <c r="B3775" s="6"/>
      <c r="C3775" s="4"/>
      <c r="D3775" s="36">
        <v>0.0</v>
      </c>
      <c r="E3775" s="4"/>
      <c r="F3775" s="4"/>
      <c r="G3775" s="4"/>
      <c r="H3775" s="4"/>
      <c r="I3775" s="4"/>
      <c r="J3775" s="18"/>
      <c r="K3775" s="4"/>
      <c r="L3775" s="19"/>
      <c r="M3775" s="20"/>
    </row>
    <row r="3776">
      <c r="A3776" s="6"/>
      <c r="B3776" s="6"/>
      <c r="C3776" s="4"/>
      <c r="D3776" s="36">
        <v>0.0</v>
      </c>
      <c r="E3776" s="4"/>
      <c r="F3776" s="4"/>
      <c r="G3776" s="4"/>
      <c r="H3776" s="4"/>
      <c r="I3776" s="4"/>
      <c r="J3776" s="18"/>
      <c r="K3776" s="4"/>
      <c r="L3776" s="19"/>
      <c r="M3776" s="20"/>
    </row>
    <row r="3777">
      <c r="A3777" s="6"/>
      <c r="B3777" s="6"/>
      <c r="C3777" s="4"/>
      <c r="D3777" s="36">
        <v>0.0</v>
      </c>
      <c r="E3777" s="4"/>
      <c r="F3777" s="4"/>
      <c r="G3777" s="4"/>
      <c r="H3777" s="4"/>
      <c r="I3777" s="4"/>
      <c r="J3777" s="18"/>
      <c r="K3777" s="4"/>
      <c r="L3777" s="19"/>
      <c r="M3777" s="20"/>
    </row>
    <row r="3778">
      <c r="A3778" s="6"/>
      <c r="B3778" s="6"/>
      <c r="C3778" s="4"/>
      <c r="D3778" s="36">
        <v>0.0</v>
      </c>
      <c r="E3778" s="4"/>
      <c r="F3778" s="4"/>
      <c r="G3778" s="4"/>
      <c r="H3778" s="4"/>
      <c r="I3778" s="4"/>
      <c r="J3778" s="18"/>
      <c r="K3778" s="4"/>
      <c r="L3778" s="19"/>
      <c r="M3778" s="20"/>
    </row>
    <row r="3779">
      <c r="A3779" s="6"/>
      <c r="B3779" s="6"/>
      <c r="C3779" s="4"/>
      <c r="D3779" s="36">
        <v>0.0</v>
      </c>
      <c r="E3779" s="4"/>
      <c r="F3779" s="4"/>
      <c r="G3779" s="4"/>
      <c r="H3779" s="4"/>
      <c r="I3779" s="4"/>
      <c r="J3779" s="18"/>
      <c r="K3779" s="4"/>
      <c r="L3779" s="19"/>
      <c r="M3779" s="20"/>
    </row>
    <row r="3780">
      <c r="A3780" s="6"/>
      <c r="B3780" s="6"/>
      <c r="C3780" s="4"/>
      <c r="D3780" s="36">
        <v>0.0</v>
      </c>
      <c r="E3780" s="4"/>
      <c r="F3780" s="4"/>
      <c r="G3780" s="4"/>
      <c r="H3780" s="4"/>
      <c r="I3780" s="4"/>
      <c r="J3780" s="18"/>
      <c r="K3780" s="4"/>
      <c r="L3780" s="19"/>
      <c r="M3780" s="20"/>
    </row>
    <row r="3781">
      <c r="A3781" s="6"/>
      <c r="B3781" s="6"/>
      <c r="C3781" s="4"/>
      <c r="D3781" s="36">
        <v>0.0</v>
      </c>
      <c r="E3781" s="4"/>
      <c r="F3781" s="4"/>
      <c r="G3781" s="4"/>
      <c r="H3781" s="4"/>
      <c r="I3781" s="4"/>
      <c r="J3781" s="18"/>
      <c r="K3781" s="4"/>
      <c r="L3781" s="19"/>
      <c r="M3781" s="20"/>
    </row>
    <row r="3782">
      <c r="A3782" s="6"/>
      <c r="B3782" s="6"/>
      <c r="C3782" s="4"/>
      <c r="D3782" s="36">
        <v>0.0</v>
      </c>
      <c r="E3782" s="4"/>
      <c r="F3782" s="4"/>
      <c r="G3782" s="4"/>
      <c r="H3782" s="4"/>
      <c r="I3782" s="4"/>
      <c r="J3782" s="18"/>
      <c r="K3782" s="4"/>
      <c r="L3782" s="19"/>
      <c r="M3782" s="20"/>
    </row>
    <row r="3783">
      <c r="A3783" s="6"/>
      <c r="B3783" s="6"/>
      <c r="C3783" s="4"/>
      <c r="D3783" s="36">
        <v>0.0</v>
      </c>
      <c r="E3783" s="4"/>
      <c r="F3783" s="4"/>
      <c r="G3783" s="4"/>
      <c r="H3783" s="4"/>
      <c r="I3783" s="4"/>
      <c r="J3783" s="18"/>
      <c r="K3783" s="4"/>
      <c r="L3783" s="19"/>
      <c r="M3783" s="20"/>
    </row>
    <row r="3784">
      <c r="A3784" s="6"/>
      <c r="B3784" s="6"/>
      <c r="C3784" s="4"/>
      <c r="D3784" s="36">
        <v>0.0</v>
      </c>
      <c r="E3784" s="4"/>
      <c r="F3784" s="4"/>
      <c r="G3784" s="4"/>
      <c r="H3784" s="4"/>
      <c r="I3784" s="4"/>
      <c r="J3784" s="18"/>
      <c r="K3784" s="4"/>
      <c r="L3784" s="19"/>
      <c r="M3784" s="20"/>
    </row>
    <row r="3785">
      <c r="A3785" s="6"/>
      <c r="B3785" s="6"/>
      <c r="C3785" s="4"/>
      <c r="D3785" s="36">
        <v>0.0</v>
      </c>
      <c r="E3785" s="4"/>
      <c r="F3785" s="4"/>
      <c r="G3785" s="4"/>
      <c r="H3785" s="4"/>
      <c r="I3785" s="4"/>
      <c r="J3785" s="18"/>
      <c r="K3785" s="4"/>
      <c r="L3785" s="19"/>
      <c r="M3785" s="20"/>
    </row>
    <row r="3786">
      <c r="A3786" s="6"/>
      <c r="B3786" s="6"/>
      <c r="C3786" s="4"/>
      <c r="D3786" s="36">
        <v>0.0</v>
      </c>
      <c r="E3786" s="4"/>
      <c r="F3786" s="4"/>
      <c r="G3786" s="4"/>
      <c r="H3786" s="4"/>
      <c r="I3786" s="4"/>
      <c r="J3786" s="18"/>
      <c r="K3786" s="4"/>
      <c r="L3786" s="19"/>
      <c r="M3786" s="20"/>
    </row>
    <row r="3787">
      <c r="A3787" s="6"/>
      <c r="B3787" s="6"/>
      <c r="C3787" s="4"/>
      <c r="D3787" s="36">
        <v>0.0</v>
      </c>
      <c r="E3787" s="4"/>
      <c r="F3787" s="4"/>
      <c r="G3787" s="4"/>
      <c r="H3787" s="4"/>
      <c r="I3787" s="4"/>
      <c r="J3787" s="18"/>
      <c r="K3787" s="4"/>
      <c r="L3787" s="19"/>
      <c r="M3787" s="20"/>
    </row>
    <row r="3788">
      <c r="A3788" s="6"/>
      <c r="B3788" s="6"/>
      <c r="C3788" s="4"/>
      <c r="D3788" s="36">
        <v>0.0</v>
      </c>
      <c r="E3788" s="4"/>
      <c r="F3788" s="4"/>
      <c r="G3788" s="4"/>
      <c r="H3788" s="4"/>
      <c r="I3788" s="4"/>
      <c r="J3788" s="18"/>
      <c r="K3788" s="4"/>
      <c r="L3788" s="19"/>
      <c r="M3788" s="20"/>
    </row>
    <row r="3789">
      <c r="A3789" s="6"/>
      <c r="B3789" s="6"/>
      <c r="C3789" s="4"/>
      <c r="D3789" s="36">
        <v>0.0</v>
      </c>
      <c r="E3789" s="4"/>
      <c r="F3789" s="4"/>
      <c r="G3789" s="4"/>
      <c r="H3789" s="4"/>
      <c r="I3789" s="4"/>
      <c r="J3789" s="18"/>
      <c r="K3789" s="4"/>
      <c r="L3789" s="19"/>
      <c r="M3789" s="20"/>
    </row>
    <row r="3790">
      <c r="A3790" s="6"/>
      <c r="B3790" s="6"/>
      <c r="C3790" s="4"/>
      <c r="D3790" s="36">
        <v>0.0</v>
      </c>
      <c r="E3790" s="4"/>
      <c r="F3790" s="4"/>
      <c r="G3790" s="4"/>
      <c r="H3790" s="4"/>
      <c r="I3790" s="4"/>
      <c r="J3790" s="18"/>
      <c r="K3790" s="4"/>
      <c r="L3790" s="19"/>
      <c r="M3790" s="20"/>
    </row>
    <row r="3791">
      <c r="A3791" s="6"/>
      <c r="B3791" s="6"/>
      <c r="C3791" s="4"/>
      <c r="D3791" s="36">
        <v>0.0</v>
      </c>
      <c r="E3791" s="4"/>
      <c r="F3791" s="4"/>
      <c r="G3791" s="4"/>
      <c r="H3791" s="4"/>
      <c r="I3791" s="4"/>
      <c r="J3791" s="18"/>
      <c r="K3791" s="4"/>
      <c r="L3791" s="19"/>
      <c r="M3791" s="20"/>
    </row>
    <row r="3792">
      <c r="A3792" s="6"/>
      <c r="B3792" s="6"/>
      <c r="C3792" s="4"/>
      <c r="D3792" s="36">
        <v>0.0</v>
      </c>
      <c r="E3792" s="4"/>
      <c r="F3792" s="4"/>
      <c r="G3792" s="4"/>
      <c r="H3792" s="4"/>
      <c r="I3792" s="4"/>
      <c r="J3792" s="18"/>
      <c r="K3792" s="4"/>
      <c r="L3792" s="19"/>
      <c r="M3792" s="20"/>
    </row>
    <row r="3793">
      <c r="A3793" s="6"/>
      <c r="B3793" s="6"/>
      <c r="C3793" s="4"/>
      <c r="D3793" s="36">
        <v>0.0</v>
      </c>
      <c r="E3793" s="4"/>
      <c r="F3793" s="4"/>
      <c r="G3793" s="4"/>
      <c r="H3793" s="4"/>
      <c r="I3793" s="4"/>
      <c r="J3793" s="18"/>
      <c r="K3793" s="4"/>
      <c r="L3793" s="19"/>
      <c r="M3793" s="20"/>
    </row>
    <row r="3794">
      <c r="A3794" s="6"/>
      <c r="B3794" s="6"/>
      <c r="C3794" s="4"/>
      <c r="D3794" s="36">
        <v>0.0</v>
      </c>
      <c r="E3794" s="4"/>
      <c r="F3794" s="4"/>
      <c r="G3794" s="4"/>
      <c r="H3794" s="4"/>
      <c r="I3794" s="4"/>
      <c r="J3794" s="18"/>
      <c r="K3794" s="4"/>
      <c r="L3794" s="19"/>
      <c r="M3794" s="20"/>
    </row>
    <row r="3795">
      <c r="A3795" s="6"/>
      <c r="B3795" s="6"/>
      <c r="C3795" s="4"/>
      <c r="D3795" s="36">
        <v>0.0</v>
      </c>
      <c r="E3795" s="4"/>
      <c r="F3795" s="4"/>
      <c r="G3795" s="4"/>
      <c r="H3795" s="4"/>
      <c r="I3795" s="4"/>
      <c r="J3795" s="18"/>
      <c r="K3795" s="4"/>
      <c r="L3795" s="19"/>
      <c r="M3795" s="20"/>
    </row>
    <row r="3796">
      <c r="A3796" s="6"/>
      <c r="B3796" s="6"/>
      <c r="C3796" s="4"/>
      <c r="D3796" s="36">
        <v>0.0</v>
      </c>
      <c r="E3796" s="4"/>
      <c r="F3796" s="4"/>
      <c r="G3796" s="4"/>
      <c r="H3796" s="4"/>
      <c r="I3796" s="4"/>
      <c r="J3796" s="18"/>
      <c r="K3796" s="4"/>
      <c r="L3796" s="19"/>
      <c r="M3796" s="20"/>
    </row>
    <row r="3797">
      <c r="A3797" s="6"/>
      <c r="B3797" s="6"/>
      <c r="C3797" s="4"/>
      <c r="D3797" s="36">
        <v>0.0</v>
      </c>
      <c r="E3797" s="4"/>
      <c r="F3797" s="4"/>
      <c r="G3797" s="4"/>
      <c r="H3797" s="4"/>
      <c r="I3797" s="4"/>
      <c r="J3797" s="18"/>
      <c r="K3797" s="4"/>
      <c r="L3797" s="19"/>
      <c r="M3797" s="20"/>
    </row>
    <row r="3798">
      <c r="A3798" s="6"/>
      <c r="B3798" s="6"/>
      <c r="C3798" s="4"/>
      <c r="D3798" s="36">
        <v>0.0</v>
      </c>
      <c r="E3798" s="4"/>
      <c r="F3798" s="4"/>
      <c r="G3798" s="4"/>
      <c r="H3798" s="4"/>
      <c r="I3798" s="4"/>
      <c r="J3798" s="18"/>
      <c r="K3798" s="4"/>
      <c r="L3798" s="19"/>
      <c r="M3798" s="20"/>
    </row>
    <row r="3799">
      <c r="A3799" s="6"/>
      <c r="B3799" s="6"/>
      <c r="C3799" s="4"/>
      <c r="D3799" s="36">
        <v>0.0</v>
      </c>
      <c r="E3799" s="4"/>
      <c r="F3799" s="4"/>
      <c r="G3799" s="4"/>
      <c r="H3799" s="4"/>
      <c r="I3799" s="4"/>
      <c r="J3799" s="18"/>
      <c r="K3799" s="4"/>
      <c r="L3799" s="19"/>
      <c r="M3799" s="20"/>
    </row>
    <row r="3800">
      <c r="A3800" s="6"/>
      <c r="B3800" s="6"/>
      <c r="C3800" s="4"/>
      <c r="D3800" s="36">
        <v>0.0</v>
      </c>
      <c r="E3800" s="4"/>
      <c r="F3800" s="4"/>
      <c r="G3800" s="4"/>
      <c r="H3800" s="4"/>
      <c r="I3800" s="4"/>
      <c r="J3800" s="18"/>
      <c r="K3800" s="4"/>
      <c r="L3800" s="19"/>
      <c r="M3800" s="20"/>
    </row>
    <row r="3801">
      <c r="A3801" s="6"/>
      <c r="B3801" s="6"/>
      <c r="C3801" s="4"/>
      <c r="D3801" s="36">
        <v>0.0</v>
      </c>
      <c r="E3801" s="4"/>
      <c r="F3801" s="4"/>
      <c r="G3801" s="4"/>
      <c r="H3801" s="4"/>
      <c r="I3801" s="4"/>
      <c r="J3801" s="18"/>
      <c r="K3801" s="4"/>
      <c r="L3801" s="19"/>
      <c r="M3801" s="20"/>
    </row>
    <row r="3802">
      <c r="A3802" s="6"/>
      <c r="B3802" s="6"/>
      <c r="C3802" s="4"/>
      <c r="D3802" s="36">
        <v>0.0</v>
      </c>
      <c r="E3802" s="4"/>
      <c r="F3802" s="4"/>
      <c r="G3802" s="4"/>
      <c r="H3802" s="4"/>
      <c r="I3802" s="4"/>
      <c r="J3802" s="18"/>
      <c r="K3802" s="4"/>
      <c r="L3802" s="19"/>
      <c r="M3802" s="20"/>
    </row>
    <row r="3803">
      <c r="A3803" s="6"/>
      <c r="B3803" s="6"/>
      <c r="C3803" s="4"/>
      <c r="D3803" s="36">
        <v>0.0</v>
      </c>
      <c r="E3803" s="4"/>
      <c r="F3803" s="4"/>
      <c r="G3803" s="4"/>
      <c r="H3803" s="4"/>
      <c r="I3803" s="4"/>
      <c r="J3803" s="18"/>
      <c r="K3803" s="4"/>
      <c r="L3803" s="19"/>
      <c r="M3803" s="20"/>
    </row>
    <row r="3804">
      <c r="A3804" s="6"/>
      <c r="B3804" s="6"/>
      <c r="C3804" s="4"/>
      <c r="D3804" s="36">
        <v>0.0</v>
      </c>
      <c r="E3804" s="4"/>
      <c r="F3804" s="4"/>
      <c r="G3804" s="4"/>
      <c r="H3804" s="4"/>
      <c r="I3804" s="4"/>
      <c r="J3804" s="18"/>
      <c r="K3804" s="4"/>
      <c r="L3804" s="19"/>
      <c r="M3804" s="20"/>
    </row>
    <row r="3805">
      <c r="A3805" s="6"/>
      <c r="B3805" s="6"/>
      <c r="C3805" s="4"/>
      <c r="D3805" s="36">
        <v>0.0</v>
      </c>
      <c r="E3805" s="4"/>
      <c r="F3805" s="4"/>
      <c r="G3805" s="4"/>
      <c r="H3805" s="4"/>
      <c r="I3805" s="4"/>
      <c r="J3805" s="18"/>
      <c r="K3805" s="4"/>
      <c r="L3805" s="19"/>
      <c r="M3805" s="20"/>
    </row>
    <row r="3806">
      <c r="A3806" s="6"/>
      <c r="B3806" s="6"/>
      <c r="C3806" s="4"/>
      <c r="D3806" s="36">
        <v>0.0</v>
      </c>
      <c r="E3806" s="4"/>
      <c r="F3806" s="4"/>
      <c r="G3806" s="4"/>
      <c r="H3806" s="4"/>
      <c r="I3806" s="4"/>
      <c r="J3806" s="18"/>
      <c r="K3806" s="4"/>
      <c r="L3806" s="19"/>
      <c r="M3806" s="20"/>
    </row>
    <row r="3807">
      <c r="A3807" s="6"/>
      <c r="B3807" s="6"/>
      <c r="C3807" s="4"/>
      <c r="D3807" s="36">
        <v>0.0</v>
      </c>
      <c r="E3807" s="4"/>
      <c r="F3807" s="4"/>
      <c r="G3807" s="4"/>
      <c r="H3807" s="4"/>
      <c r="I3807" s="4"/>
      <c r="J3807" s="18"/>
      <c r="K3807" s="4"/>
      <c r="L3807" s="19"/>
      <c r="M3807" s="20"/>
    </row>
    <row r="3808">
      <c r="A3808" s="6"/>
      <c r="B3808" s="6"/>
      <c r="C3808" s="4"/>
      <c r="D3808" s="36">
        <v>0.0</v>
      </c>
      <c r="E3808" s="4"/>
      <c r="F3808" s="4"/>
      <c r="G3808" s="4"/>
      <c r="H3808" s="4"/>
      <c r="I3808" s="4"/>
      <c r="J3808" s="18"/>
      <c r="K3808" s="4"/>
      <c r="L3808" s="19"/>
      <c r="M3808" s="20"/>
    </row>
    <row r="3809">
      <c r="A3809" s="6"/>
      <c r="B3809" s="6"/>
      <c r="C3809" s="4"/>
      <c r="D3809" s="36">
        <v>0.0</v>
      </c>
      <c r="E3809" s="4"/>
      <c r="F3809" s="4"/>
      <c r="G3809" s="4"/>
      <c r="H3809" s="4"/>
      <c r="I3809" s="4"/>
      <c r="J3809" s="18"/>
      <c r="K3809" s="4"/>
      <c r="L3809" s="19"/>
      <c r="M3809" s="20"/>
    </row>
    <row r="3810">
      <c r="A3810" s="6"/>
      <c r="B3810" s="6"/>
      <c r="C3810" s="4"/>
      <c r="D3810" s="36">
        <v>0.0</v>
      </c>
      <c r="E3810" s="4"/>
      <c r="F3810" s="4"/>
      <c r="G3810" s="4"/>
      <c r="H3810" s="4"/>
      <c r="I3810" s="4"/>
      <c r="J3810" s="18"/>
      <c r="K3810" s="4"/>
      <c r="L3810" s="19"/>
      <c r="M3810" s="20"/>
    </row>
    <row r="3811">
      <c r="A3811" s="6"/>
      <c r="B3811" s="6"/>
      <c r="C3811" s="4"/>
      <c r="D3811" s="36">
        <v>0.0</v>
      </c>
      <c r="E3811" s="4"/>
      <c r="F3811" s="4"/>
      <c r="G3811" s="4"/>
      <c r="H3811" s="4"/>
      <c r="I3811" s="4"/>
      <c r="J3811" s="18"/>
      <c r="K3811" s="4"/>
      <c r="L3811" s="19"/>
      <c r="M3811" s="20"/>
    </row>
    <row r="3812">
      <c r="A3812" s="6"/>
      <c r="B3812" s="6"/>
      <c r="C3812" s="4"/>
      <c r="D3812" s="36">
        <v>0.0</v>
      </c>
      <c r="E3812" s="4"/>
      <c r="F3812" s="4"/>
      <c r="G3812" s="4"/>
      <c r="H3812" s="4"/>
      <c r="I3812" s="4"/>
      <c r="J3812" s="18"/>
      <c r="K3812" s="4"/>
      <c r="L3812" s="19"/>
      <c r="M3812" s="20"/>
    </row>
    <row r="3813">
      <c r="A3813" s="6"/>
      <c r="B3813" s="6"/>
      <c r="C3813" s="4"/>
      <c r="D3813" s="36">
        <v>0.0</v>
      </c>
      <c r="E3813" s="4"/>
      <c r="F3813" s="4"/>
      <c r="G3813" s="4"/>
      <c r="H3813" s="4"/>
      <c r="I3813" s="4"/>
      <c r="J3813" s="18"/>
      <c r="K3813" s="4"/>
      <c r="L3813" s="19"/>
      <c r="M3813" s="20"/>
    </row>
    <row r="3814">
      <c r="A3814" s="6"/>
      <c r="B3814" s="6"/>
      <c r="C3814" s="4"/>
      <c r="D3814" s="36">
        <v>0.0</v>
      </c>
      <c r="E3814" s="4"/>
      <c r="F3814" s="4"/>
      <c r="G3814" s="4"/>
      <c r="H3814" s="4"/>
      <c r="I3814" s="4"/>
      <c r="J3814" s="18"/>
      <c r="K3814" s="4"/>
      <c r="L3814" s="19"/>
      <c r="M3814" s="20"/>
    </row>
    <row r="3815">
      <c r="A3815" s="6"/>
      <c r="B3815" s="6"/>
      <c r="C3815" s="4"/>
      <c r="D3815" s="36">
        <v>0.0</v>
      </c>
      <c r="E3815" s="4"/>
      <c r="F3815" s="4"/>
      <c r="G3815" s="4"/>
      <c r="H3815" s="4"/>
      <c r="I3815" s="4"/>
      <c r="J3815" s="18"/>
      <c r="K3815" s="4"/>
      <c r="L3815" s="19"/>
      <c r="M3815" s="20"/>
    </row>
    <row r="3816">
      <c r="A3816" s="6"/>
      <c r="B3816" s="6"/>
      <c r="C3816" s="4"/>
      <c r="D3816" s="36">
        <v>0.0</v>
      </c>
      <c r="E3816" s="4"/>
      <c r="F3816" s="4"/>
      <c r="G3816" s="4"/>
      <c r="H3816" s="4"/>
      <c r="I3816" s="4"/>
      <c r="J3816" s="18"/>
      <c r="K3816" s="4"/>
      <c r="L3816" s="19"/>
      <c r="M3816" s="20"/>
    </row>
    <row r="3817">
      <c r="A3817" s="6"/>
      <c r="B3817" s="6"/>
      <c r="C3817" s="4"/>
      <c r="D3817" s="36">
        <v>0.0</v>
      </c>
      <c r="E3817" s="4"/>
      <c r="F3817" s="4"/>
      <c r="G3817" s="4"/>
      <c r="H3817" s="4"/>
      <c r="I3817" s="4"/>
      <c r="J3817" s="18"/>
      <c r="K3817" s="4"/>
      <c r="L3817" s="19"/>
      <c r="M3817" s="20"/>
    </row>
    <row r="3818">
      <c r="A3818" s="6"/>
      <c r="B3818" s="6"/>
      <c r="C3818" s="4"/>
      <c r="D3818" s="36">
        <v>0.0</v>
      </c>
      <c r="E3818" s="4"/>
      <c r="F3818" s="4"/>
      <c r="G3818" s="4"/>
      <c r="H3818" s="4"/>
      <c r="I3818" s="4"/>
      <c r="J3818" s="18"/>
      <c r="K3818" s="4"/>
      <c r="L3818" s="19"/>
      <c r="M3818" s="20"/>
    </row>
    <row r="3819">
      <c r="A3819" s="6"/>
      <c r="B3819" s="6"/>
      <c r="C3819" s="4"/>
      <c r="D3819" s="36">
        <v>0.0</v>
      </c>
      <c r="E3819" s="4"/>
      <c r="F3819" s="4"/>
      <c r="G3819" s="4"/>
      <c r="H3819" s="4"/>
      <c r="I3819" s="4"/>
      <c r="J3819" s="18"/>
      <c r="K3819" s="4"/>
      <c r="L3819" s="19"/>
      <c r="M3819" s="20"/>
    </row>
    <row r="3820">
      <c r="A3820" s="6"/>
      <c r="B3820" s="6"/>
      <c r="C3820" s="4"/>
      <c r="D3820" s="36">
        <v>0.0</v>
      </c>
      <c r="E3820" s="4"/>
      <c r="F3820" s="4"/>
      <c r="G3820" s="4"/>
      <c r="H3820" s="4"/>
      <c r="I3820" s="4"/>
      <c r="J3820" s="18"/>
      <c r="K3820" s="4"/>
      <c r="L3820" s="19"/>
      <c r="M3820" s="20"/>
    </row>
    <row r="3821">
      <c r="A3821" s="6"/>
      <c r="B3821" s="6"/>
      <c r="C3821" s="4"/>
      <c r="D3821" s="36">
        <v>0.0</v>
      </c>
      <c r="E3821" s="4"/>
      <c r="F3821" s="4"/>
      <c r="G3821" s="4"/>
      <c r="H3821" s="4"/>
      <c r="I3821" s="4"/>
      <c r="J3821" s="18"/>
      <c r="K3821" s="4"/>
      <c r="L3821" s="19"/>
      <c r="M3821" s="20"/>
    </row>
    <row r="3822">
      <c r="A3822" s="6"/>
      <c r="B3822" s="6"/>
      <c r="C3822" s="4"/>
      <c r="D3822" s="36">
        <v>0.0</v>
      </c>
      <c r="E3822" s="4"/>
      <c r="F3822" s="4"/>
      <c r="G3822" s="4"/>
      <c r="H3822" s="4"/>
      <c r="I3822" s="4"/>
      <c r="J3822" s="18"/>
      <c r="K3822" s="4"/>
      <c r="L3822" s="19"/>
      <c r="M3822" s="20"/>
    </row>
    <row r="3823">
      <c r="A3823" s="6"/>
      <c r="B3823" s="6"/>
      <c r="C3823" s="4"/>
      <c r="D3823" s="36">
        <v>0.0</v>
      </c>
      <c r="E3823" s="4"/>
      <c r="F3823" s="4"/>
      <c r="G3823" s="4"/>
      <c r="H3823" s="4"/>
      <c r="I3823" s="4"/>
      <c r="J3823" s="18"/>
      <c r="K3823" s="4"/>
      <c r="L3823" s="19"/>
      <c r="M3823" s="20"/>
    </row>
    <row r="3824">
      <c r="A3824" s="6"/>
      <c r="B3824" s="6"/>
      <c r="C3824" s="4"/>
      <c r="D3824" s="36">
        <v>0.0</v>
      </c>
      <c r="E3824" s="4"/>
      <c r="F3824" s="4"/>
      <c r="G3824" s="4"/>
      <c r="H3824" s="4"/>
      <c r="I3824" s="4"/>
      <c r="J3824" s="18"/>
      <c r="K3824" s="4"/>
      <c r="L3824" s="19"/>
      <c r="M3824" s="20"/>
    </row>
    <row r="3825">
      <c r="A3825" s="6"/>
      <c r="B3825" s="6"/>
      <c r="C3825" s="4"/>
      <c r="D3825" s="36">
        <v>0.0</v>
      </c>
      <c r="E3825" s="4"/>
      <c r="F3825" s="4"/>
      <c r="G3825" s="4"/>
      <c r="H3825" s="4"/>
      <c r="I3825" s="4"/>
      <c r="J3825" s="18"/>
      <c r="K3825" s="4"/>
      <c r="L3825" s="19"/>
      <c r="M3825" s="20"/>
    </row>
    <row r="3826">
      <c r="A3826" s="6"/>
      <c r="B3826" s="6"/>
      <c r="C3826" s="4"/>
      <c r="D3826" s="36">
        <v>0.0</v>
      </c>
      <c r="E3826" s="4"/>
      <c r="F3826" s="4"/>
      <c r="G3826" s="4"/>
      <c r="H3826" s="4"/>
      <c r="I3826" s="4"/>
      <c r="J3826" s="18"/>
      <c r="K3826" s="4"/>
      <c r="L3826" s="19"/>
      <c r="M3826" s="20"/>
    </row>
    <row r="3827">
      <c r="A3827" s="6"/>
      <c r="B3827" s="6"/>
      <c r="C3827" s="4"/>
      <c r="D3827" s="36">
        <v>0.0</v>
      </c>
      <c r="E3827" s="4"/>
      <c r="F3827" s="4"/>
      <c r="G3827" s="4"/>
      <c r="H3827" s="4"/>
      <c r="I3827" s="4"/>
      <c r="J3827" s="18"/>
      <c r="K3827" s="4"/>
      <c r="L3827" s="19"/>
      <c r="M3827" s="20"/>
    </row>
    <row r="3828">
      <c r="A3828" s="6"/>
      <c r="B3828" s="6"/>
      <c r="C3828" s="4"/>
      <c r="D3828" s="36">
        <v>0.0</v>
      </c>
      <c r="E3828" s="4"/>
      <c r="F3828" s="4"/>
      <c r="G3828" s="4"/>
      <c r="H3828" s="4"/>
      <c r="I3828" s="4"/>
      <c r="J3828" s="18"/>
      <c r="K3828" s="4"/>
      <c r="L3828" s="19"/>
      <c r="M3828" s="20"/>
    </row>
    <row r="3829">
      <c r="A3829" s="6"/>
      <c r="B3829" s="6"/>
      <c r="C3829" s="4"/>
      <c r="D3829" s="36">
        <v>0.0</v>
      </c>
      <c r="E3829" s="4"/>
      <c r="F3829" s="4"/>
      <c r="G3829" s="4"/>
      <c r="H3829" s="4"/>
      <c r="I3829" s="4"/>
      <c r="J3829" s="18"/>
      <c r="K3829" s="4"/>
      <c r="L3829" s="19"/>
      <c r="M3829" s="20"/>
    </row>
    <row r="3830">
      <c r="A3830" s="6"/>
      <c r="B3830" s="6"/>
      <c r="C3830" s="4"/>
      <c r="D3830" s="36">
        <v>0.0</v>
      </c>
      <c r="E3830" s="4"/>
      <c r="F3830" s="4"/>
      <c r="G3830" s="4"/>
      <c r="H3830" s="4"/>
      <c r="I3830" s="4"/>
      <c r="J3830" s="18"/>
      <c r="K3830" s="4"/>
      <c r="L3830" s="19"/>
      <c r="M3830" s="20"/>
    </row>
    <row r="3831">
      <c r="A3831" s="6"/>
      <c r="B3831" s="6"/>
      <c r="C3831" s="4"/>
      <c r="D3831" s="36">
        <v>0.0</v>
      </c>
      <c r="E3831" s="4"/>
      <c r="F3831" s="4"/>
      <c r="G3831" s="4"/>
      <c r="H3831" s="4"/>
      <c r="I3831" s="4"/>
      <c r="J3831" s="18"/>
      <c r="K3831" s="4"/>
      <c r="L3831" s="19"/>
      <c r="M3831" s="20"/>
    </row>
    <row r="3832">
      <c r="A3832" s="6"/>
      <c r="B3832" s="6"/>
      <c r="C3832" s="4"/>
      <c r="D3832" s="36">
        <v>0.0</v>
      </c>
      <c r="E3832" s="4"/>
      <c r="F3832" s="4"/>
      <c r="G3832" s="4"/>
      <c r="H3832" s="4"/>
      <c r="I3832" s="4"/>
      <c r="J3832" s="18"/>
      <c r="K3832" s="4"/>
      <c r="L3832" s="19"/>
      <c r="M3832" s="20"/>
    </row>
    <row r="3833">
      <c r="A3833" s="6"/>
      <c r="B3833" s="6"/>
      <c r="C3833" s="4"/>
      <c r="D3833" s="36">
        <v>0.0</v>
      </c>
      <c r="E3833" s="4"/>
      <c r="F3833" s="4"/>
      <c r="G3833" s="4"/>
      <c r="H3833" s="4"/>
      <c r="I3833" s="4"/>
      <c r="J3833" s="18"/>
      <c r="K3833" s="4"/>
      <c r="L3833" s="19"/>
      <c r="M3833" s="20"/>
    </row>
    <row r="3834">
      <c r="A3834" s="6"/>
      <c r="B3834" s="6"/>
      <c r="C3834" s="4"/>
      <c r="D3834" s="36">
        <v>0.0</v>
      </c>
      <c r="E3834" s="4"/>
      <c r="F3834" s="4"/>
      <c r="G3834" s="4"/>
      <c r="H3834" s="4"/>
      <c r="I3834" s="4"/>
      <c r="J3834" s="18"/>
      <c r="K3834" s="4"/>
      <c r="L3834" s="19"/>
      <c r="M3834" s="20"/>
    </row>
    <row r="3835">
      <c r="A3835" s="6"/>
      <c r="B3835" s="6"/>
      <c r="C3835" s="4"/>
      <c r="D3835" s="36">
        <v>0.0</v>
      </c>
      <c r="E3835" s="4"/>
      <c r="F3835" s="4"/>
      <c r="G3835" s="4"/>
      <c r="H3835" s="4"/>
      <c r="I3835" s="4"/>
      <c r="J3835" s="18"/>
      <c r="K3835" s="4"/>
      <c r="L3835" s="19"/>
      <c r="M3835" s="20"/>
    </row>
    <row r="3836">
      <c r="A3836" s="6"/>
      <c r="B3836" s="6"/>
      <c r="C3836" s="4"/>
      <c r="D3836" s="36">
        <v>0.0</v>
      </c>
      <c r="E3836" s="4"/>
      <c r="F3836" s="4"/>
      <c r="G3836" s="4"/>
      <c r="H3836" s="4"/>
      <c r="I3836" s="4"/>
      <c r="J3836" s="18"/>
      <c r="K3836" s="4"/>
      <c r="L3836" s="19"/>
      <c r="M3836" s="20"/>
    </row>
    <row r="3837">
      <c r="A3837" s="6"/>
      <c r="B3837" s="6"/>
      <c r="C3837" s="4"/>
      <c r="D3837" s="36">
        <v>0.0</v>
      </c>
      <c r="E3837" s="4"/>
      <c r="F3837" s="4"/>
      <c r="G3837" s="4"/>
      <c r="H3837" s="4"/>
      <c r="I3837" s="4"/>
      <c r="J3837" s="18"/>
      <c r="K3837" s="4"/>
      <c r="L3837" s="19"/>
      <c r="M3837" s="20"/>
    </row>
    <row r="3838">
      <c r="A3838" s="6"/>
      <c r="B3838" s="6"/>
      <c r="C3838" s="4"/>
      <c r="D3838" s="36">
        <v>0.0</v>
      </c>
      <c r="E3838" s="4"/>
      <c r="F3838" s="4"/>
      <c r="G3838" s="4"/>
      <c r="H3838" s="4"/>
      <c r="I3838" s="4"/>
      <c r="J3838" s="18"/>
      <c r="K3838" s="4"/>
      <c r="L3838" s="19"/>
      <c r="M3838" s="20"/>
    </row>
    <row r="3839">
      <c r="A3839" s="6"/>
      <c r="B3839" s="6"/>
      <c r="C3839" s="4"/>
      <c r="D3839" s="36">
        <v>0.0</v>
      </c>
      <c r="E3839" s="4"/>
      <c r="F3839" s="4"/>
      <c r="G3839" s="4"/>
      <c r="H3839" s="4"/>
      <c r="I3839" s="4"/>
      <c r="J3839" s="18"/>
      <c r="K3839" s="4"/>
      <c r="L3839" s="19"/>
      <c r="M3839" s="20"/>
    </row>
    <row r="3840">
      <c r="A3840" s="6"/>
      <c r="B3840" s="6"/>
      <c r="C3840" s="4"/>
      <c r="D3840" s="36">
        <v>0.0</v>
      </c>
      <c r="E3840" s="4"/>
      <c r="F3840" s="4"/>
      <c r="G3840" s="4"/>
      <c r="H3840" s="4"/>
      <c r="I3840" s="4"/>
      <c r="J3840" s="18"/>
      <c r="K3840" s="4"/>
      <c r="L3840" s="19"/>
      <c r="M3840" s="20"/>
    </row>
    <row r="3841">
      <c r="A3841" s="6"/>
      <c r="B3841" s="6"/>
      <c r="C3841" s="4"/>
      <c r="D3841" s="36">
        <v>0.0</v>
      </c>
      <c r="E3841" s="4"/>
      <c r="F3841" s="4"/>
      <c r="G3841" s="4"/>
      <c r="H3841" s="4"/>
      <c r="I3841" s="4"/>
      <c r="J3841" s="18"/>
      <c r="K3841" s="4"/>
      <c r="L3841" s="19"/>
      <c r="M3841" s="20"/>
    </row>
    <row r="3842">
      <c r="A3842" s="6"/>
      <c r="B3842" s="6"/>
      <c r="C3842" s="4"/>
      <c r="D3842" s="36">
        <v>0.0</v>
      </c>
      <c r="E3842" s="4"/>
      <c r="F3842" s="4"/>
      <c r="G3842" s="4"/>
      <c r="H3842" s="4"/>
      <c r="I3842" s="4"/>
      <c r="J3842" s="18"/>
      <c r="K3842" s="4"/>
      <c r="L3842" s="19"/>
      <c r="M3842" s="20"/>
    </row>
    <row r="3843">
      <c r="A3843" s="6"/>
      <c r="B3843" s="6"/>
      <c r="C3843" s="4"/>
      <c r="D3843" s="36">
        <v>0.0</v>
      </c>
      <c r="E3843" s="4"/>
      <c r="F3843" s="4"/>
      <c r="G3843" s="4"/>
      <c r="H3843" s="4"/>
      <c r="I3843" s="4"/>
      <c r="J3843" s="18"/>
      <c r="K3843" s="4"/>
      <c r="L3843" s="19"/>
      <c r="M3843" s="20"/>
    </row>
    <row r="3844">
      <c r="A3844" s="6"/>
      <c r="B3844" s="6"/>
      <c r="C3844" s="4"/>
      <c r="D3844" s="36">
        <v>0.0</v>
      </c>
      <c r="E3844" s="4"/>
      <c r="F3844" s="4"/>
      <c r="G3844" s="4"/>
      <c r="H3844" s="4"/>
      <c r="I3844" s="4"/>
      <c r="J3844" s="18"/>
      <c r="K3844" s="4"/>
      <c r="L3844" s="19"/>
      <c r="M3844" s="20"/>
    </row>
    <row r="3845">
      <c r="A3845" s="6"/>
      <c r="B3845" s="6"/>
      <c r="C3845" s="4"/>
      <c r="D3845" s="36">
        <v>0.0</v>
      </c>
      <c r="E3845" s="4"/>
      <c r="F3845" s="4"/>
      <c r="G3845" s="4"/>
      <c r="H3845" s="4"/>
      <c r="I3845" s="4"/>
      <c r="J3845" s="18"/>
      <c r="K3845" s="4"/>
      <c r="L3845" s="19"/>
      <c r="M3845" s="20"/>
    </row>
    <row r="3846">
      <c r="A3846" s="6"/>
      <c r="B3846" s="6"/>
      <c r="C3846" s="4"/>
      <c r="D3846" s="36">
        <v>0.0</v>
      </c>
      <c r="E3846" s="4"/>
      <c r="F3846" s="4"/>
      <c r="G3846" s="4"/>
      <c r="H3846" s="4"/>
      <c r="I3846" s="4"/>
      <c r="J3846" s="18"/>
      <c r="K3846" s="4"/>
      <c r="L3846" s="19"/>
      <c r="M3846" s="20"/>
    </row>
    <row r="3847">
      <c r="A3847" s="6"/>
      <c r="B3847" s="6"/>
      <c r="C3847" s="4"/>
      <c r="D3847" s="36">
        <v>0.0</v>
      </c>
      <c r="E3847" s="4"/>
      <c r="F3847" s="4"/>
      <c r="G3847" s="4"/>
      <c r="H3847" s="4"/>
      <c r="I3847" s="4"/>
      <c r="J3847" s="18"/>
      <c r="K3847" s="4"/>
      <c r="L3847" s="19"/>
      <c r="M3847" s="20"/>
    </row>
    <row r="3848">
      <c r="A3848" s="6"/>
      <c r="B3848" s="6"/>
      <c r="C3848" s="4"/>
      <c r="D3848" s="36">
        <v>0.0</v>
      </c>
      <c r="E3848" s="4"/>
      <c r="F3848" s="4"/>
      <c r="G3848" s="4"/>
      <c r="H3848" s="4"/>
      <c r="I3848" s="4"/>
      <c r="J3848" s="18"/>
      <c r="K3848" s="4"/>
      <c r="L3848" s="19"/>
      <c r="M3848" s="20"/>
    </row>
    <row r="3849">
      <c r="A3849" s="6"/>
      <c r="B3849" s="6"/>
      <c r="C3849" s="4"/>
      <c r="D3849" s="36">
        <v>0.0</v>
      </c>
      <c r="E3849" s="4"/>
      <c r="F3849" s="4"/>
      <c r="G3849" s="4"/>
      <c r="H3849" s="4"/>
      <c r="I3849" s="4"/>
      <c r="J3849" s="18"/>
      <c r="K3849" s="4"/>
      <c r="L3849" s="19"/>
      <c r="M3849" s="20"/>
    </row>
    <row r="3850">
      <c r="A3850" s="6"/>
      <c r="B3850" s="6"/>
      <c r="C3850" s="4"/>
      <c r="D3850" s="36">
        <v>0.0</v>
      </c>
      <c r="E3850" s="4"/>
      <c r="F3850" s="4"/>
      <c r="G3850" s="4"/>
      <c r="H3850" s="4"/>
      <c r="I3850" s="4"/>
      <c r="J3850" s="18"/>
      <c r="K3850" s="4"/>
      <c r="L3850" s="19"/>
      <c r="M3850" s="20"/>
    </row>
    <row r="3851">
      <c r="A3851" s="6"/>
      <c r="B3851" s="6"/>
      <c r="C3851" s="4"/>
      <c r="D3851" s="36">
        <v>0.0</v>
      </c>
      <c r="E3851" s="4"/>
      <c r="F3851" s="4"/>
      <c r="G3851" s="4"/>
      <c r="H3851" s="4"/>
      <c r="I3851" s="4"/>
      <c r="J3851" s="18"/>
      <c r="K3851" s="4"/>
      <c r="L3851" s="19"/>
      <c r="M3851" s="20"/>
    </row>
    <row r="3852">
      <c r="A3852" s="6"/>
      <c r="B3852" s="6"/>
      <c r="C3852" s="4"/>
      <c r="D3852" s="36">
        <v>0.0</v>
      </c>
      <c r="E3852" s="4"/>
      <c r="F3852" s="4"/>
      <c r="G3852" s="4"/>
      <c r="H3852" s="4"/>
      <c r="I3852" s="4"/>
      <c r="J3852" s="18"/>
      <c r="K3852" s="4"/>
      <c r="L3852" s="19"/>
      <c r="M3852" s="20"/>
    </row>
    <row r="3853">
      <c r="A3853" s="6"/>
      <c r="B3853" s="6"/>
      <c r="C3853" s="4"/>
      <c r="D3853" s="36">
        <v>0.0</v>
      </c>
      <c r="E3853" s="4"/>
      <c r="F3853" s="4"/>
      <c r="G3853" s="4"/>
      <c r="H3853" s="4"/>
      <c r="I3853" s="4"/>
      <c r="J3853" s="18"/>
      <c r="K3853" s="4"/>
      <c r="L3853" s="19"/>
      <c r="M3853" s="20"/>
    </row>
    <row r="3854">
      <c r="A3854" s="6"/>
      <c r="B3854" s="6"/>
      <c r="C3854" s="4"/>
      <c r="D3854" s="36">
        <v>0.0</v>
      </c>
      <c r="E3854" s="4"/>
      <c r="F3854" s="4"/>
      <c r="G3854" s="4"/>
      <c r="H3854" s="4"/>
      <c r="I3854" s="4"/>
      <c r="J3854" s="18"/>
      <c r="K3854" s="4"/>
      <c r="L3854" s="19"/>
      <c r="M3854" s="20"/>
    </row>
    <row r="3855">
      <c r="A3855" s="6"/>
      <c r="B3855" s="6"/>
      <c r="C3855" s="4"/>
      <c r="D3855" s="36">
        <v>0.0</v>
      </c>
      <c r="E3855" s="4"/>
      <c r="F3855" s="4"/>
      <c r="G3855" s="4"/>
      <c r="H3855" s="4"/>
      <c r="I3855" s="4"/>
      <c r="J3855" s="18"/>
      <c r="K3855" s="4"/>
      <c r="L3855" s="19"/>
      <c r="M3855" s="20"/>
    </row>
    <row r="3856">
      <c r="A3856" s="6"/>
      <c r="B3856" s="6"/>
      <c r="C3856" s="4"/>
      <c r="D3856" s="36">
        <v>0.0</v>
      </c>
      <c r="E3856" s="4"/>
      <c r="F3856" s="4"/>
      <c r="G3856" s="4"/>
      <c r="H3856" s="4"/>
      <c r="I3856" s="4"/>
      <c r="J3856" s="18"/>
      <c r="K3856" s="4"/>
      <c r="L3856" s="19"/>
      <c r="M3856" s="20"/>
    </row>
    <row r="3857">
      <c r="A3857" s="6"/>
      <c r="B3857" s="6"/>
      <c r="C3857" s="4"/>
      <c r="D3857" s="36">
        <v>0.0</v>
      </c>
      <c r="E3857" s="4"/>
      <c r="F3857" s="4"/>
      <c r="G3857" s="4"/>
      <c r="H3857" s="4"/>
      <c r="I3857" s="4"/>
      <c r="J3857" s="18"/>
      <c r="K3857" s="4"/>
      <c r="L3857" s="19"/>
      <c r="M3857" s="20"/>
    </row>
    <row r="3858">
      <c r="A3858" s="6"/>
      <c r="B3858" s="6"/>
      <c r="C3858" s="4"/>
      <c r="D3858" s="36">
        <v>0.0</v>
      </c>
      <c r="E3858" s="4"/>
      <c r="F3858" s="4"/>
      <c r="G3858" s="4"/>
      <c r="H3858" s="4"/>
      <c r="I3858" s="4"/>
      <c r="J3858" s="18"/>
      <c r="K3858" s="4"/>
      <c r="L3858" s="19"/>
      <c r="M3858" s="20"/>
    </row>
    <row r="3859">
      <c r="A3859" s="6"/>
      <c r="B3859" s="6"/>
      <c r="C3859" s="4"/>
      <c r="D3859" s="36">
        <v>0.0</v>
      </c>
      <c r="E3859" s="4"/>
      <c r="F3859" s="4"/>
      <c r="G3859" s="4"/>
      <c r="H3859" s="4"/>
      <c r="I3859" s="4"/>
      <c r="J3859" s="18"/>
      <c r="K3859" s="4"/>
      <c r="L3859" s="19"/>
      <c r="M3859" s="20"/>
    </row>
    <row r="3860">
      <c r="A3860" s="6"/>
      <c r="B3860" s="6"/>
      <c r="C3860" s="4"/>
      <c r="D3860" s="36">
        <v>0.0</v>
      </c>
      <c r="E3860" s="4"/>
      <c r="F3860" s="4"/>
      <c r="G3860" s="4"/>
      <c r="H3860" s="4"/>
      <c r="I3860" s="4"/>
      <c r="J3860" s="18"/>
      <c r="K3860" s="4"/>
      <c r="L3860" s="19"/>
      <c r="M3860" s="20"/>
    </row>
    <row r="3861">
      <c r="A3861" s="6"/>
      <c r="B3861" s="6"/>
      <c r="C3861" s="4"/>
      <c r="D3861" s="36">
        <v>0.0</v>
      </c>
      <c r="E3861" s="4"/>
      <c r="F3861" s="4"/>
      <c r="G3861" s="4"/>
      <c r="H3861" s="4"/>
      <c r="I3861" s="4"/>
      <c r="J3861" s="18"/>
      <c r="K3861" s="4"/>
      <c r="L3861" s="19"/>
      <c r="M3861" s="20"/>
    </row>
    <row r="3862">
      <c r="A3862" s="6"/>
      <c r="B3862" s="6"/>
      <c r="C3862" s="4"/>
      <c r="D3862" s="36">
        <v>0.0</v>
      </c>
      <c r="E3862" s="4"/>
      <c r="F3862" s="4"/>
      <c r="G3862" s="4"/>
      <c r="H3862" s="4"/>
      <c r="I3862" s="4"/>
      <c r="J3862" s="18"/>
      <c r="K3862" s="4"/>
      <c r="L3862" s="19"/>
      <c r="M3862" s="20"/>
    </row>
    <row r="3863">
      <c r="A3863" s="6"/>
      <c r="B3863" s="6"/>
      <c r="C3863" s="4"/>
      <c r="D3863" s="36">
        <v>0.0</v>
      </c>
      <c r="E3863" s="4"/>
      <c r="F3863" s="4"/>
      <c r="G3863" s="4"/>
      <c r="H3863" s="4"/>
      <c r="I3863" s="4"/>
      <c r="J3863" s="18"/>
      <c r="K3863" s="4"/>
      <c r="L3863" s="19"/>
      <c r="M3863" s="20"/>
    </row>
    <row r="3864">
      <c r="A3864" s="6"/>
      <c r="B3864" s="6"/>
      <c r="C3864" s="4"/>
      <c r="D3864" s="36">
        <v>0.0</v>
      </c>
      <c r="E3864" s="4"/>
      <c r="F3864" s="4"/>
      <c r="G3864" s="4"/>
      <c r="H3864" s="4"/>
      <c r="I3864" s="4"/>
      <c r="J3864" s="18"/>
      <c r="K3864" s="4"/>
      <c r="L3864" s="19"/>
      <c r="M3864" s="20"/>
    </row>
    <row r="3865">
      <c r="A3865" s="6"/>
      <c r="B3865" s="6"/>
      <c r="C3865" s="4"/>
      <c r="D3865" s="36">
        <v>0.0</v>
      </c>
      <c r="E3865" s="4"/>
      <c r="F3865" s="4"/>
      <c r="G3865" s="4"/>
      <c r="H3865" s="4"/>
      <c r="I3865" s="4"/>
      <c r="J3865" s="18"/>
      <c r="K3865" s="4"/>
      <c r="L3865" s="19"/>
      <c r="M3865" s="20"/>
    </row>
    <row r="3866">
      <c r="A3866" s="6"/>
      <c r="B3866" s="6"/>
      <c r="C3866" s="4"/>
      <c r="D3866" s="36">
        <v>0.0</v>
      </c>
      <c r="E3866" s="4"/>
      <c r="F3866" s="4"/>
      <c r="G3866" s="4"/>
      <c r="H3866" s="4"/>
      <c r="I3866" s="4"/>
      <c r="J3866" s="18"/>
      <c r="K3866" s="4"/>
      <c r="L3866" s="19"/>
      <c r="M3866" s="20"/>
    </row>
    <row r="3867">
      <c r="A3867" s="6"/>
      <c r="B3867" s="6"/>
      <c r="C3867" s="4"/>
      <c r="D3867" s="36">
        <v>0.0</v>
      </c>
      <c r="E3867" s="4"/>
      <c r="F3867" s="4"/>
      <c r="G3867" s="4"/>
      <c r="H3867" s="4"/>
      <c r="I3867" s="4"/>
      <c r="J3867" s="18"/>
      <c r="K3867" s="4"/>
      <c r="L3867" s="19"/>
      <c r="M3867" s="20"/>
    </row>
    <row r="3868">
      <c r="A3868" s="6"/>
      <c r="B3868" s="6"/>
      <c r="C3868" s="4"/>
      <c r="D3868" s="36">
        <v>0.0</v>
      </c>
      <c r="E3868" s="4"/>
      <c r="F3868" s="4"/>
      <c r="G3868" s="4"/>
      <c r="H3868" s="4"/>
      <c r="I3868" s="4"/>
      <c r="J3868" s="18"/>
      <c r="K3868" s="4"/>
      <c r="L3868" s="19"/>
      <c r="M3868" s="20"/>
    </row>
    <row r="3869">
      <c r="A3869" s="6"/>
      <c r="B3869" s="6"/>
      <c r="C3869" s="4"/>
      <c r="D3869" s="36">
        <v>0.0</v>
      </c>
      <c r="E3869" s="4"/>
      <c r="F3869" s="4"/>
      <c r="G3869" s="4"/>
      <c r="H3869" s="4"/>
      <c r="I3869" s="4"/>
      <c r="J3869" s="18"/>
      <c r="K3869" s="4"/>
      <c r="L3869" s="19"/>
      <c r="M3869" s="20"/>
    </row>
    <row r="3870">
      <c r="A3870" s="6"/>
      <c r="B3870" s="6"/>
      <c r="C3870" s="4"/>
      <c r="D3870" s="36">
        <v>0.0</v>
      </c>
      <c r="E3870" s="4"/>
      <c r="F3870" s="4"/>
      <c r="G3870" s="4"/>
      <c r="H3870" s="4"/>
      <c r="I3870" s="4"/>
      <c r="J3870" s="18"/>
      <c r="K3870" s="4"/>
      <c r="L3870" s="19"/>
      <c r="M3870" s="20"/>
    </row>
    <row r="3871">
      <c r="A3871" s="6"/>
      <c r="B3871" s="6"/>
      <c r="C3871" s="4"/>
      <c r="D3871" s="36">
        <v>0.0</v>
      </c>
      <c r="E3871" s="4"/>
      <c r="F3871" s="4"/>
      <c r="G3871" s="4"/>
      <c r="H3871" s="4"/>
      <c r="I3871" s="4"/>
      <c r="J3871" s="18"/>
      <c r="K3871" s="4"/>
      <c r="L3871" s="19"/>
      <c r="M3871" s="20"/>
    </row>
    <row r="3872">
      <c r="A3872" s="6"/>
      <c r="B3872" s="6"/>
      <c r="C3872" s="4"/>
      <c r="D3872" s="36">
        <v>0.0</v>
      </c>
      <c r="E3872" s="4"/>
      <c r="F3872" s="4"/>
      <c r="G3872" s="4"/>
      <c r="H3872" s="4"/>
      <c r="I3872" s="4"/>
      <c r="J3872" s="18"/>
      <c r="K3872" s="4"/>
      <c r="L3872" s="19"/>
      <c r="M3872" s="20"/>
    </row>
    <row r="3873">
      <c r="A3873" s="6"/>
      <c r="B3873" s="6"/>
      <c r="C3873" s="4"/>
      <c r="D3873" s="36">
        <v>0.0</v>
      </c>
      <c r="E3873" s="4"/>
      <c r="F3873" s="4"/>
      <c r="G3873" s="4"/>
      <c r="H3873" s="4"/>
      <c r="I3873" s="4"/>
      <c r="J3873" s="18"/>
      <c r="K3873" s="4"/>
      <c r="L3873" s="19"/>
      <c r="M3873" s="20"/>
    </row>
    <row r="3874">
      <c r="A3874" s="6"/>
      <c r="B3874" s="6"/>
      <c r="C3874" s="4"/>
      <c r="D3874" s="36">
        <v>0.0</v>
      </c>
      <c r="E3874" s="4"/>
      <c r="F3874" s="4"/>
      <c r="G3874" s="4"/>
      <c r="H3874" s="4"/>
      <c r="I3874" s="4"/>
      <c r="J3874" s="18"/>
      <c r="K3874" s="4"/>
      <c r="L3874" s="19"/>
      <c r="M3874" s="20"/>
    </row>
    <row r="3875">
      <c r="A3875" s="6"/>
      <c r="B3875" s="6"/>
      <c r="C3875" s="4"/>
      <c r="D3875" s="36">
        <v>0.0</v>
      </c>
      <c r="E3875" s="4"/>
      <c r="F3875" s="4"/>
      <c r="G3875" s="4"/>
      <c r="H3875" s="4"/>
      <c r="I3875" s="4"/>
      <c r="J3875" s="18"/>
      <c r="K3875" s="4"/>
      <c r="L3875" s="19"/>
      <c r="M3875" s="20"/>
    </row>
    <row r="3876">
      <c r="A3876" s="6"/>
      <c r="B3876" s="6"/>
      <c r="C3876" s="4"/>
      <c r="D3876" s="36">
        <v>0.0</v>
      </c>
      <c r="E3876" s="4"/>
      <c r="F3876" s="4"/>
      <c r="G3876" s="4"/>
      <c r="H3876" s="4"/>
      <c r="I3876" s="4"/>
      <c r="J3876" s="18"/>
      <c r="K3876" s="4"/>
      <c r="L3876" s="19"/>
      <c r="M3876" s="20"/>
    </row>
    <row r="3877">
      <c r="A3877" s="6"/>
      <c r="B3877" s="6"/>
      <c r="C3877" s="4"/>
      <c r="D3877" s="36">
        <v>0.0</v>
      </c>
      <c r="E3877" s="4"/>
      <c r="F3877" s="4"/>
      <c r="G3877" s="4"/>
      <c r="H3877" s="4"/>
      <c r="I3877" s="4"/>
      <c r="J3877" s="18"/>
      <c r="K3877" s="4"/>
      <c r="L3877" s="19"/>
      <c r="M3877" s="20"/>
    </row>
    <row r="3878">
      <c r="A3878" s="6"/>
      <c r="B3878" s="6"/>
      <c r="C3878" s="4"/>
      <c r="D3878" s="36">
        <v>0.0</v>
      </c>
      <c r="E3878" s="4"/>
      <c r="F3878" s="4"/>
      <c r="G3878" s="4"/>
      <c r="H3878" s="4"/>
      <c r="I3878" s="4"/>
      <c r="J3878" s="18"/>
      <c r="K3878" s="4"/>
      <c r="L3878" s="19"/>
      <c r="M3878" s="20"/>
    </row>
    <row r="3879">
      <c r="A3879" s="6"/>
      <c r="B3879" s="6"/>
      <c r="C3879" s="4"/>
      <c r="D3879" s="36">
        <v>0.0</v>
      </c>
      <c r="E3879" s="4"/>
      <c r="F3879" s="4"/>
      <c r="G3879" s="4"/>
      <c r="H3879" s="4"/>
      <c r="I3879" s="4"/>
      <c r="J3879" s="18"/>
      <c r="K3879" s="4"/>
      <c r="L3879" s="19"/>
      <c r="M3879" s="20"/>
    </row>
    <row r="3880">
      <c r="A3880" s="6"/>
      <c r="B3880" s="6"/>
      <c r="C3880" s="4"/>
      <c r="D3880" s="36">
        <v>0.0</v>
      </c>
      <c r="E3880" s="4"/>
      <c r="F3880" s="4"/>
      <c r="G3880" s="4"/>
      <c r="H3880" s="4"/>
      <c r="I3880" s="4"/>
      <c r="J3880" s="18"/>
      <c r="K3880" s="4"/>
      <c r="L3880" s="19"/>
      <c r="M3880" s="20"/>
    </row>
    <row r="3881">
      <c r="A3881" s="6"/>
      <c r="B3881" s="6"/>
      <c r="C3881" s="4"/>
      <c r="D3881" s="36">
        <v>0.0</v>
      </c>
      <c r="E3881" s="4"/>
      <c r="F3881" s="4"/>
      <c r="G3881" s="4"/>
      <c r="H3881" s="4"/>
      <c r="I3881" s="4"/>
      <c r="J3881" s="18"/>
      <c r="K3881" s="4"/>
      <c r="L3881" s="19"/>
      <c r="M3881" s="20"/>
    </row>
    <row r="3882">
      <c r="A3882" s="6"/>
      <c r="B3882" s="6"/>
      <c r="C3882" s="4"/>
      <c r="D3882" s="36">
        <v>0.0</v>
      </c>
      <c r="E3882" s="4"/>
      <c r="F3882" s="4"/>
      <c r="G3882" s="4"/>
      <c r="H3882" s="4"/>
      <c r="I3882" s="4"/>
      <c r="J3882" s="18"/>
      <c r="K3882" s="4"/>
      <c r="L3882" s="19"/>
      <c r="M3882" s="20"/>
    </row>
    <row r="3883">
      <c r="A3883" s="6"/>
      <c r="B3883" s="6"/>
      <c r="C3883" s="4"/>
      <c r="D3883" s="36">
        <v>0.0</v>
      </c>
      <c r="E3883" s="4"/>
      <c r="F3883" s="4"/>
      <c r="G3883" s="4"/>
      <c r="H3883" s="4"/>
      <c r="I3883" s="4"/>
      <c r="J3883" s="18"/>
      <c r="K3883" s="4"/>
      <c r="L3883" s="19"/>
      <c r="M3883" s="20"/>
    </row>
    <row r="3884">
      <c r="A3884" s="6"/>
      <c r="B3884" s="6"/>
      <c r="C3884" s="4"/>
      <c r="D3884" s="36">
        <v>0.0</v>
      </c>
      <c r="E3884" s="4"/>
      <c r="F3884" s="4"/>
      <c r="G3884" s="4"/>
      <c r="H3884" s="4"/>
      <c r="I3884" s="4"/>
      <c r="J3884" s="18"/>
      <c r="K3884" s="4"/>
      <c r="L3884" s="19"/>
      <c r="M3884" s="20"/>
    </row>
    <row r="3885">
      <c r="A3885" s="6"/>
      <c r="B3885" s="6"/>
      <c r="C3885" s="4"/>
      <c r="D3885" s="36">
        <v>0.0</v>
      </c>
      <c r="E3885" s="4"/>
      <c r="F3885" s="4"/>
      <c r="G3885" s="4"/>
      <c r="H3885" s="4"/>
      <c r="I3885" s="4"/>
      <c r="J3885" s="18"/>
      <c r="K3885" s="4"/>
      <c r="L3885" s="19"/>
      <c r="M3885" s="20"/>
    </row>
    <row r="3886">
      <c r="A3886" s="6"/>
      <c r="B3886" s="6"/>
      <c r="C3886" s="4"/>
      <c r="D3886" s="36">
        <v>0.0</v>
      </c>
      <c r="E3886" s="4"/>
      <c r="F3886" s="4"/>
      <c r="G3886" s="4"/>
      <c r="H3886" s="4"/>
      <c r="I3886" s="4"/>
      <c r="J3886" s="18"/>
      <c r="K3886" s="4"/>
      <c r="L3886" s="19"/>
      <c r="M3886" s="20"/>
    </row>
    <row r="3887">
      <c r="A3887" s="6"/>
      <c r="B3887" s="6"/>
      <c r="C3887" s="4"/>
      <c r="D3887" s="36">
        <v>0.0</v>
      </c>
      <c r="E3887" s="4"/>
      <c r="F3887" s="4"/>
      <c r="G3887" s="4"/>
      <c r="H3887" s="4"/>
      <c r="I3887" s="4"/>
      <c r="J3887" s="18"/>
      <c r="K3887" s="4"/>
      <c r="L3887" s="19"/>
      <c r="M3887" s="20"/>
    </row>
    <row r="3888">
      <c r="A3888" s="6"/>
      <c r="B3888" s="6"/>
      <c r="C3888" s="4"/>
      <c r="D3888" s="36">
        <v>0.0</v>
      </c>
      <c r="E3888" s="4"/>
      <c r="F3888" s="4"/>
      <c r="G3888" s="4"/>
      <c r="H3888" s="4"/>
      <c r="I3888" s="4"/>
      <c r="J3888" s="18"/>
      <c r="K3888" s="4"/>
      <c r="L3888" s="19"/>
      <c r="M3888" s="20"/>
    </row>
    <row r="3889">
      <c r="A3889" s="6"/>
      <c r="B3889" s="6"/>
      <c r="C3889" s="4"/>
      <c r="D3889" s="36">
        <v>0.0</v>
      </c>
      <c r="E3889" s="4"/>
      <c r="F3889" s="4"/>
      <c r="G3889" s="4"/>
      <c r="H3889" s="4"/>
      <c r="I3889" s="4"/>
      <c r="J3889" s="18"/>
      <c r="K3889" s="4"/>
      <c r="L3889" s="19"/>
      <c r="M3889" s="20"/>
    </row>
    <row r="3890">
      <c r="A3890" s="6"/>
      <c r="B3890" s="6"/>
      <c r="C3890" s="4"/>
      <c r="D3890" s="36">
        <v>0.0</v>
      </c>
      <c r="E3890" s="4"/>
      <c r="F3890" s="4"/>
      <c r="G3890" s="4"/>
      <c r="H3890" s="4"/>
      <c r="I3890" s="4"/>
      <c r="J3890" s="18"/>
      <c r="K3890" s="4"/>
      <c r="L3890" s="19"/>
      <c r="M3890" s="20"/>
    </row>
    <row r="3891">
      <c r="A3891" s="6"/>
      <c r="B3891" s="6"/>
      <c r="C3891" s="4"/>
      <c r="D3891" s="36">
        <v>0.0</v>
      </c>
      <c r="E3891" s="4"/>
      <c r="F3891" s="4"/>
      <c r="G3891" s="4"/>
      <c r="H3891" s="4"/>
      <c r="I3891" s="4"/>
      <c r="J3891" s="18"/>
      <c r="K3891" s="4"/>
      <c r="L3891" s="19"/>
      <c r="M3891" s="20"/>
    </row>
    <row r="3892">
      <c r="A3892" s="6"/>
      <c r="B3892" s="6"/>
      <c r="C3892" s="4"/>
      <c r="D3892" s="36">
        <v>0.0</v>
      </c>
      <c r="E3892" s="4"/>
      <c r="F3892" s="4"/>
      <c r="G3892" s="4"/>
      <c r="H3892" s="4"/>
      <c r="I3892" s="4"/>
      <c r="J3892" s="18"/>
      <c r="K3892" s="4"/>
      <c r="L3892" s="19"/>
      <c r="M3892" s="20"/>
    </row>
    <row r="3893">
      <c r="A3893" s="6"/>
      <c r="B3893" s="6"/>
      <c r="C3893" s="4"/>
      <c r="D3893" s="36">
        <v>0.0</v>
      </c>
      <c r="E3893" s="4"/>
      <c r="F3893" s="4"/>
      <c r="G3893" s="4"/>
      <c r="H3893" s="4"/>
      <c r="I3893" s="4"/>
      <c r="J3893" s="18"/>
      <c r="K3893" s="4"/>
      <c r="L3893" s="19"/>
      <c r="M3893" s="20"/>
    </row>
    <row r="3894">
      <c r="A3894" s="6"/>
      <c r="B3894" s="6"/>
      <c r="C3894" s="4"/>
      <c r="D3894" s="36">
        <v>0.0</v>
      </c>
      <c r="E3894" s="4"/>
      <c r="F3894" s="4"/>
      <c r="G3894" s="4"/>
      <c r="H3894" s="4"/>
      <c r="I3894" s="4"/>
      <c r="J3894" s="18"/>
      <c r="K3894" s="4"/>
      <c r="L3894" s="19"/>
      <c r="M3894" s="20"/>
    </row>
    <row r="3895">
      <c r="A3895" s="6"/>
      <c r="B3895" s="6"/>
      <c r="C3895" s="4"/>
      <c r="D3895" s="36">
        <v>0.0</v>
      </c>
      <c r="E3895" s="4"/>
      <c r="F3895" s="4"/>
      <c r="G3895" s="4"/>
      <c r="H3895" s="4"/>
      <c r="I3895" s="4"/>
      <c r="J3895" s="18"/>
      <c r="K3895" s="4"/>
      <c r="L3895" s="19"/>
      <c r="M3895" s="20"/>
    </row>
    <row r="3896">
      <c r="A3896" s="6"/>
      <c r="B3896" s="6"/>
      <c r="C3896" s="4"/>
      <c r="D3896" s="36">
        <v>0.0</v>
      </c>
      <c r="E3896" s="4"/>
      <c r="F3896" s="4"/>
      <c r="G3896" s="4"/>
      <c r="H3896" s="4"/>
      <c r="I3896" s="4"/>
      <c r="J3896" s="18"/>
      <c r="K3896" s="4"/>
      <c r="L3896" s="19"/>
      <c r="M3896" s="20"/>
    </row>
    <row r="3897">
      <c r="A3897" s="6"/>
      <c r="B3897" s="6"/>
      <c r="C3897" s="4"/>
      <c r="D3897" s="36">
        <v>0.0</v>
      </c>
      <c r="E3897" s="4"/>
      <c r="F3897" s="4"/>
      <c r="G3897" s="4"/>
      <c r="H3897" s="4"/>
      <c r="I3897" s="4"/>
      <c r="J3897" s="18"/>
      <c r="K3897" s="4"/>
      <c r="L3897" s="19"/>
      <c r="M3897" s="20"/>
    </row>
    <row r="3898">
      <c r="A3898" s="6"/>
      <c r="B3898" s="6"/>
      <c r="C3898" s="4"/>
      <c r="D3898" s="36">
        <v>0.0</v>
      </c>
      <c r="E3898" s="4"/>
      <c r="F3898" s="4"/>
      <c r="G3898" s="4"/>
      <c r="H3898" s="4"/>
      <c r="I3898" s="4"/>
      <c r="J3898" s="18"/>
      <c r="K3898" s="4"/>
      <c r="L3898" s="19"/>
      <c r="M3898" s="20"/>
    </row>
    <row r="3899">
      <c r="A3899" s="6"/>
      <c r="B3899" s="6"/>
      <c r="C3899" s="4"/>
      <c r="D3899" s="36">
        <v>0.0</v>
      </c>
      <c r="E3899" s="4"/>
      <c r="F3899" s="4"/>
      <c r="G3899" s="4"/>
      <c r="H3899" s="4"/>
      <c r="I3899" s="4"/>
      <c r="J3899" s="18"/>
      <c r="K3899" s="4"/>
      <c r="L3899" s="19"/>
      <c r="M3899" s="20"/>
    </row>
    <row r="3900">
      <c r="A3900" s="6"/>
      <c r="B3900" s="6"/>
      <c r="C3900" s="4"/>
      <c r="D3900" s="36">
        <v>0.0</v>
      </c>
      <c r="E3900" s="4"/>
      <c r="F3900" s="4"/>
      <c r="G3900" s="4"/>
      <c r="H3900" s="4"/>
      <c r="I3900" s="4"/>
      <c r="J3900" s="18"/>
      <c r="K3900" s="4"/>
      <c r="L3900" s="19"/>
      <c r="M3900" s="20"/>
    </row>
    <row r="3901">
      <c r="A3901" s="6"/>
      <c r="B3901" s="6"/>
      <c r="C3901" s="4"/>
      <c r="D3901" s="36">
        <v>0.0</v>
      </c>
      <c r="E3901" s="4"/>
      <c r="F3901" s="4"/>
      <c r="G3901" s="4"/>
      <c r="H3901" s="4"/>
      <c r="I3901" s="4"/>
      <c r="J3901" s="18"/>
      <c r="K3901" s="4"/>
      <c r="L3901" s="19"/>
      <c r="M3901" s="20"/>
    </row>
    <row r="3902">
      <c r="A3902" s="6"/>
      <c r="B3902" s="6"/>
      <c r="C3902" s="4"/>
      <c r="D3902" s="36">
        <v>0.0</v>
      </c>
      <c r="E3902" s="4"/>
      <c r="F3902" s="4"/>
      <c r="G3902" s="4"/>
      <c r="H3902" s="4"/>
      <c r="I3902" s="4"/>
      <c r="J3902" s="18"/>
      <c r="K3902" s="4"/>
      <c r="L3902" s="19"/>
      <c r="M3902" s="20"/>
    </row>
    <row r="3903">
      <c r="A3903" s="6"/>
      <c r="B3903" s="6"/>
      <c r="C3903" s="4"/>
      <c r="D3903" s="36">
        <v>0.0</v>
      </c>
      <c r="E3903" s="4"/>
      <c r="F3903" s="4"/>
      <c r="G3903" s="4"/>
      <c r="H3903" s="4"/>
      <c r="I3903" s="4"/>
      <c r="J3903" s="18"/>
      <c r="K3903" s="4"/>
      <c r="L3903" s="19"/>
      <c r="M3903" s="20"/>
    </row>
    <row r="3904">
      <c r="A3904" s="6"/>
      <c r="B3904" s="6"/>
      <c r="C3904" s="4"/>
      <c r="D3904" s="36">
        <v>0.0</v>
      </c>
      <c r="E3904" s="4"/>
      <c r="F3904" s="4"/>
      <c r="G3904" s="4"/>
      <c r="H3904" s="4"/>
      <c r="I3904" s="4"/>
      <c r="J3904" s="18"/>
      <c r="K3904" s="4"/>
      <c r="L3904" s="19"/>
      <c r="M3904" s="20"/>
    </row>
    <row r="3905">
      <c r="A3905" s="6"/>
      <c r="B3905" s="6"/>
      <c r="C3905" s="4"/>
      <c r="D3905" s="36">
        <v>0.0</v>
      </c>
      <c r="E3905" s="4"/>
      <c r="F3905" s="4"/>
      <c r="G3905" s="4"/>
      <c r="H3905" s="4"/>
      <c r="I3905" s="4"/>
      <c r="J3905" s="18"/>
      <c r="K3905" s="4"/>
      <c r="L3905" s="19"/>
      <c r="M3905" s="20"/>
    </row>
    <row r="3906">
      <c r="A3906" s="6"/>
      <c r="B3906" s="6"/>
      <c r="C3906" s="4"/>
      <c r="D3906" s="36">
        <v>0.0</v>
      </c>
      <c r="E3906" s="4"/>
      <c r="F3906" s="4"/>
      <c r="G3906" s="4"/>
      <c r="H3906" s="4"/>
      <c r="I3906" s="4"/>
      <c r="J3906" s="18"/>
      <c r="K3906" s="4"/>
      <c r="L3906" s="19"/>
      <c r="M3906" s="20"/>
    </row>
    <row r="3907">
      <c r="A3907" s="6"/>
      <c r="B3907" s="6"/>
      <c r="C3907" s="4"/>
      <c r="D3907" s="36">
        <v>0.0</v>
      </c>
      <c r="E3907" s="4"/>
      <c r="F3907" s="4"/>
      <c r="G3907" s="4"/>
      <c r="H3907" s="4"/>
      <c r="I3907" s="4"/>
      <c r="J3907" s="18"/>
      <c r="K3907" s="4"/>
      <c r="L3907" s="19"/>
      <c r="M3907" s="20"/>
    </row>
    <row r="3908">
      <c r="A3908" s="6"/>
      <c r="B3908" s="6"/>
      <c r="C3908" s="4"/>
      <c r="D3908" s="36">
        <v>0.0</v>
      </c>
      <c r="E3908" s="4"/>
      <c r="F3908" s="4"/>
      <c r="G3908" s="4"/>
      <c r="H3908" s="4"/>
      <c r="I3908" s="4"/>
      <c r="J3908" s="18"/>
      <c r="K3908" s="4"/>
      <c r="L3908" s="19"/>
      <c r="M3908" s="20"/>
    </row>
    <row r="3909">
      <c r="A3909" s="6"/>
      <c r="B3909" s="6"/>
      <c r="C3909" s="4"/>
      <c r="D3909" s="36">
        <v>0.0</v>
      </c>
      <c r="E3909" s="4"/>
      <c r="F3909" s="4"/>
      <c r="G3909" s="4"/>
      <c r="H3909" s="4"/>
      <c r="I3909" s="4"/>
      <c r="J3909" s="18"/>
      <c r="K3909" s="4"/>
      <c r="L3909" s="19"/>
      <c r="M3909" s="20"/>
    </row>
    <row r="3910">
      <c r="A3910" s="6"/>
      <c r="B3910" s="6"/>
      <c r="C3910" s="4"/>
      <c r="D3910" s="36">
        <v>0.0</v>
      </c>
      <c r="E3910" s="4"/>
      <c r="F3910" s="4"/>
      <c r="G3910" s="4"/>
      <c r="H3910" s="4"/>
      <c r="I3910" s="4"/>
      <c r="J3910" s="18"/>
      <c r="K3910" s="4"/>
      <c r="L3910" s="19"/>
      <c r="M3910" s="20"/>
    </row>
    <row r="3911">
      <c r="A3911" s="6"/>
      <c r="B3911" s="6"/>
      <c r="C3911" s="4"/>
      <c r="D3911" s="36">
        <v>0.0</v>
      </c>
      <c r="E3911" s="4"/>
      <c r="F3911" s="4"/>
      <c r="G3911" s="4"/>
      <c r="H3911" s="4"/>
      <c r="I3911" s="4"/>
      <c r="J3911" s="18"/>
      <c r="K3911" s="4"/>
      <c r="L3911" s="19"/>
      <c r="M3911" s="20"/>
    </row>
    <row r="3912">
      <c r="A3912" s="6"/>
      <c r="B3912" s="6"/>
      <c r="C3912" s="4"/>
      <c r="D3912" s="36">
        <v>0.0</v>
      </c>
      <c r="E3912" s="4"/>
      <c r="F3912" s="4"/>
      <c r="G3912" s="4"/>
      <c r="H3912" s="4"/>
      <c r="I3912" s="4"/>
      <c r="J3912" s="18"/>
      <c r="K3912" s="4"/>
      <c r="L3912" s="19"/>
      <c r="M3912" s="20"/>
    </row>
    <row r="3913">
      <c r="A3913" s="6"/>
      <c r="B3913" s="6"/>
      <c r="C3913" s="4"/>
      <c r="D3913" s="36">
        <v>0.0</v>
      </c>
      <c r="E3913" s="4"/>
      <c r="F3913" s="4"/>
      <c r="G3913" s="4"/>
      <c r="H3913" s="4"/>
      <c r="I3913" s="4"/>
      <c r="J3913" s="18"/>
      <c r="K3913" s="4"/>
      <c r="L3913" s="19"/>
      <c r="M3913" s="20"/>
    </row>
    <row r="3914">
      <c r="A3914" s="6"/>
      <c r="B3914" s="6"/>
      <c r="C3914" s="4"/>
      <c r="D3914" s="36">
        <v>0.0</v>
      </c>
      <c r="E3914" s="4"/>
      <c r="F3914" s="4"/>
      <c r="G3914" s="4"/>
      <c r="H3914" s="4"/>
      <c r="I3914" s="4"/>
      <c r="J3914" s="18"/>
      <c r="K3914" s="4"/>
      <c r="L3914" s="19"/>
      <c r="M3914" s="20"/>
    </row>
    <row r="3915">
      <c r="A3915" s="6"/>
      <c r="B3915" s="6"/>
      <c r="C3915" s="4"/>
      <c r="D3915" s="36">
        <v>0.0</v>
      </c>
      <c r="E3915" s="4"/>
      <c r="F3915" s="4"/>
      <c r="G3915" s="4"/>
      <c r="H3915" s="4"/>
      <c r="I3915" s="4"/>
      <c r="J3915" s="18"/>
      <c r="K3915" s="4"/>
      <c r="L3915" s="19"/>
      <c r="M3915" s="20"/>
    </row>
    <row r="3916">
      <c r="A3916" s="6"/>
      <c r="B3916" s="6"/>
      <c r="C3916" s="4"/>
      <c r="D3916" s="36">
        <v>0.0</v>
      </c>
      <c r="E3916" s="4"/>
      <c r="F3916" s="4"/>
      <c r="G3916" s="4"/>
      <c r="H3916" s="4"/>
      <c r="I3916" s="4"/>
      <c r="J3916" s="18"/>
      <c r="K3916" s="4"/>
      <c r="L3916" s="19"/>
      <c r="M3916" s="20"/>
    </row>
    <row r="3917">
      <c r="A3917" s="6"/>
      <c r="B3917" s="6"/>
      <c r="C3917" s="4"/>
      <c r="D3917" s="36">
        <v>0.0</v>
      </c>
      <c r="E3917" s="4"/>
      <c r="F3917" s="4"/>
      <c r="G3917" s="4"/>
      <c r="H3917" s="4"/>
      <c r="I3917" s="4"/>
      <c r="J3917" s="18"/>
      <c r="K3917" s="4"/>
      <c r="L3917" s="19"/>
      <c r="M3917" s="20"/>
    </row>
    <row r="3918">
      <c r="A3918" s="6"/>
      <c r="B3918" s="6"/>
      <c r="C3918" s="4"/>
      <c r="D3918" s="36">
        <v>0.0</v>
      </c>
      <c r="E3918" s="4"/>
      <c r="F3918" s="4"/>
      <c r="G3918" s="4"/>
      <c r="H3918" s="4"/>
      <c r="I3918" s="4"/>
      <c r="J3918" s="18"/>
      <c r="K3918" s="4"/>
      <c r="L3918" s="19"/>
      <c r="M3918" s="20"/>
    </row>
    <row r="3919">
      <c r="A3919" s="6"/>
      <c r="B3919" s="6"/>
      <c r="C3919" s="4"/>
      <c r="D3919" s="36">
        <v>0.0</v>
      </c>
      <c r="E3919" s="4"/>
      <c r="F3919" s="4"/>
      <c r="G3919" s="4"/>
      <c r="H3919" s="4"/>
      <c r="I3919" s="4"/>
      <c r="J3919" s="18"/>
      <c r="K3919" s="4"/>
      <c r="L3919" s="19"/>
      <c r="M3919" s="20"/>
    </row>
    <row r="3920">
      <c r="A3920" s="6"/>
      <c r="B3920" s="6"/>
      <c r="C3920" s="4"/>
      <c r="D3920" s="36">
        <v>0.0</v>
      </c>
      <c r="E3920" s="4"/>
      <c r="F3920" s="4"/>
      <c r="G3920" s="4"/>
      <c r="H3920" s="4"/>
      <c r="I3920" s="4"/>
      <c r="J3920" s="18"/>
      <c r="K3920" s="4"/>
      <c r="L3920" s="19"/>
      <c r="M3920" s="20"/>
    </row>
    <row r="3921">
      <c r="A3921" s="6"/>
      <c r="B3921" s="6"/>
      <c r="C3921" s="4"/>
      <c r="D3921" s="36">
        <v>0.0</v>
      </c>
      <c r="E3921" s="4"/>
      <c r="F3921" s="4"/>
      <c r="G3921" s="4"/>
      <c r="H3921" s="4"/>
      <c r="I3921" s="4"/>
      <c r="J3921" s="18"/>
      <c r="K3921" s="4"/>
      <c r="L3921" s="19"/>
      <c r="M3921" s="20"/>
    </row>
    <row r="3922">
      <c r="A3922" s="6"/>
      <c r="B3922" s="6"/>
      <c r="C3922" s="4"/>
      <c r="D3922" s="36">
        <v>0.0</v>
      </c>
      <c r="E3922" s="4"/>
      <c r="F3922" s="4"/>
      <c r="G3922" s="4"/>
      <c r="H3922" s="4"/>
      <c r="I3922" s="4"/>
      <c r="J3922" s="18"/>
      <c r="K3922" s="4"/>
      <c r="L3922" s="19"/>
      <c r="M3922" s="20"/>
    </row>
    <row r="3923">
      <c r="A3923" s="6"/>
      <c r="B3923" s="6"/>
      <c r="C3923" s="4"/>
      <c r="D3923" s="36">
        <v>0.0</v>
      </c>
      <c r="E3923" s="4"/>
      <c r="F3923" s="4"/>
      <c r="G3923" s="4"/>
      <c r="H3923" s="4"/>
      <c r="I3923" s="4"/>
      <c r="J3923" s="18"/>
      <c r="K3923" s="4"/>
      <c r="L3923" s="19"/>
      <c r="M3923" s="20"/>
    </row>
    <row r="3924">
      <c r="A3924" s="6"/>
      <c r="B3924" s="6"/>
      <c r="C3924" s="4"/>
      <c r="D3924" s="36">
        <v>0.0</v>
      </c>
      <c r="E3924" s="4"/>
      <c r="F3924" s="4"/>
      <c r="G3924" s="4"/>
      <c r="H3924" s="4"/>
      <c r="I3924" s="4"/>
      <c r="J3924" s="18"/>
      <c r="K3924" s="4"/>
      <c r="L3924" s="19"/>
      <c r="M3924" s="20"/>
    </row>
    <row r="3925">
      <c r="A3925" s="6"/>
      <c r="B3925" s="6"/>
      <c r="C3925" s="4"/>
      <c r="D3925" s="36">
        <v>0.0</v>
      </c>
      <c r="E3925" s="4"/>
      <c r="F3925" s="4"/>
      <c r="G3925" s="4"/>
      <c r="H3925" s="4"/>
      <c r="I3925" s="4"/>
      <c r="J3925" s="18"/>
      <c r="K3925" s="4"/>
      <c r="L3925" s="19"/>
      <c r="M3925" s="20"/>
    </row>
    <row r="3926">
      <c r="A3926" s="6"/>
      <c r="B3926" s="6"/>
      <c r="C3926" s="4"/>
      <c r="D3926" s="36">
        <v>0.0</v>
      </c>
      <c r="E3926" s="4"/>
      <c r="F3926" s="4"/>
      <c r="G3926" s="4"/>
      <c r="H3926" s="4"/>
      <c r="I3926" s="4"/>
      <c r="J3926" s="18"/>
      <c r="K3926" s="4"/>
      <c r="L3926" s="19"/>
      <c r="M3926" s="20"/>
    </row>
    <row r="3927">
      <c r="A3927" s="6"/>
      <c r="B3927" s="6"/>
      <c r="C3927" s="4"/>
      <c r="D3927" s="36">
        <v>0.0</v>
      </c>
      <c r="E3927" s="4"/>
      <c r="F3927" s="4"/>
      <c r="G3927" s="4"/>
      <c r="H3927" s="4"/>
      <c r="I3927" s="4"/>
      <c r="J3927" s="18"/>
      <c r="K3927" s="4"/>
      <c r="L3927" s="19"/>
      <c r="M3927" s="20"/>
    </row>
    <row r="3928">
      <c r="A3928" s="6"/>
      <c r="B3928" s="6"/>
      <c r="C3928" s="4"/>
      <c r="D3928" s="36">
        <v>0.0</v>
      </c>
      <c r="E3928" s="4"/>
      <c r="F3928" s="4"/>
      <c r="G3928" s="4"/>
      <c r="H3928" s="4"/>
      <c r="I3928" s="4"/>
      <c r="J3928" s="18"/>
      <c r="K3928" s="4"/>
      <c r="L3928" s="19"/>
      <c r="M3928" s="20"/>
    </row>
    <row r="3929">
      <c r="A3929" s="6"/>
      <c r="B3929" s="6"/>
      <c r="C3929" s="4"/>
      <c r="D3929" s="36">
        <v>0.0</v>
      </c>
      <c r="E3929" s="4"/>
      <c r="F3929" s="4"/>
      <c r="G3929" s="4"/>
      <c r="H3929" s="4"/>
      <c r="I3929" s="4"/>
      <c r="J3929" s="18"/>
      <c r="K3929" s="4"/>
      <c r="L3929" s="19"/>
      <c r="M3929" s="20"/>
    </row>
    <row r="3930">
      <c r="A3930" s="6"/>
      <c r="B3930" s="6"/>
      <c r="C3930" s="4"/>
      <c r="D3930" s="36">
        <v>0.0</v>
      </c>
      <c r="E3930" s="4"/>
      <c r="F3930" s="4"/>
      <c r="G3930" s="4"/>
      <c r="H3930" s="4"/>
      <c r="I3930" s="4"/>
      <c r="J3930" s="18"/>
      <c r="K3930" s="4"/>
      <c r="L3930" s="19"/>
      <c r="M3930" s="20"/>
    </row>
    <row r="3931">
      <c r="A3931" s="6"/>
      <c r="B3931" s="6"/>
      <c r="C3931" s="4"/>
      <c r="D3931" s="36">
        <v>0.0</v>
      </c>
      <c r="E3931" s="4"/>
      <c r="F3931" s="4"/>
      <c r="G3931" s="4"/>
      <c r="H3931" s="4"/>
      <c r="I3931" s="4"/>
      <c r="J3931" s="18"/>
      <c r="K3931" s="4"/>
      <c r="L3931" s="19"/>
      <c r="M3931" s="20"/>
    </row>
    <row r="3932">
      <c r="A3932" s="6"/>
      <c r="B3932" s="6"/>
      <c r="C3932" s="4"/>
      <c r="D3932" s="36">
        <v>0.0</v>
      </c>
      <c r="E3932" s="4"/>
      <c r="F3932" s="4"/>
      <c r="G3932" s="4"/>
      <c r="H3932" s="4"/>
      <c r="I3932" s="4"/>
      <c r="J3932" s="18"/>
      <c r="K3932" s="4"/>
      <c r="L3932" s="19"/>
      <c r="M3932" s="20"/>
    </row>
    <row r="3933">
      <c r="A3933" s="6"/>
      <c r="B3933" s="6"/>
      <c r="C3933" s="4"/>
      <c r="D3933" s="36">
        <v>0.0</v>
      </c>
      <c r="E3933" s="4"/>
      <c r="F3933" s="4"/>
      <c r="G3933" s="4"/>
      <c r="H3933" s="4"/>
      <c r="I3933" s="4"/>
      <c r="J3933" s="18"/>
      <c r="K3933" s="4"/>
      <c r="L3933" s="19"/>
      <c r="M3933" s="20"/>
    </row>
    <row r="3934">
      <c r="A3934" s="6"/>
      <c r="B3934" s="6"/>
      <c r="C3934" s="4"/>
      <c r="D3934" s="36">
        <v>0.0</v>
      </c>
      <c r="E3934" s="4"/>
      <c r="F3934" s="4"/>
      <c r="G3934" s="4"/>
      <c r="H3934" s="4"/>
      <c r="I3934" s="4"/>
      <c r="J3934" s="18"/>
      <c r="K3934" s="4"/>
      <c r="L3934" s="19"/>
      <c r="M3934" s="20"/>
    </row>
    <row r="3935">
      <c r="A3935" s="6"/>
      <c r="B3935" s="6"/>
      <c r="C3935" s="4"/>
      <c r="D3935" s="36">
        <v>0.0</v>
      </c>
      <c r="E3935" s="4"/>
      <c r="F3935" s="4"/>
      <c r="G3935" s="4"/>
      <c r="H3935" s="4"/>
      <c r="I3935" s="4"/>
      <c r="J3935" s="18"/>
      <c r="K3935" s="4"/>
      <c r="L3935" s="19"/>
      <c r="M3935" s="20"/>
    </row>
    <row r="3936">
      <c r="A3936" s="6"/>
      <c r="B3936" s="6"/>
      <c r="C3936" s="4"/>
      <c r="D3936" s="36">
        <v>0.0</v>
      </c>
      <c r="E3936" s="4"/>
      <c r="F3936" s="4"/>
      <c r="G3936" s="4"/>
      <c r="H3936" s="4"/>
      <c r="I3936" s="4"/>
      <c r="J3936" s="18"/>
      <c r="K3936" s="4"/>
      <c r="L3936" s="19"/>
      <c r="M3936" s="20"/>
    </row>
    <row r="3937">
      <c r="A3937" s="6"/>
      <c r="B3937" s="6"/>
      <c r="C3937" s="4"/>
      <c r="D3937" s="36">
        <v>0.0</v>
      </c>
      <c r="E3937" s="4"/>
      <c r="F3937" s="4"/>
      <c r="G3937" s="4"/>
      <c r="H3937" s="4"/>
      <c r="I3937" s="4"/>
      <c r="J3937" s="18"/>
      <c r="K3937" s="4"/>
      <c r="L3937" s="19"/>
      <c r="M3937" s="20"/>
    </row>
    <row r="3938">
      <c r="A3938" s="6"/>
      <c r="B3938" s="6"/>
      <c r="C3938" s="4"/>
      <c r="D3938" s="36">
        <v>0.0</v>
      </c>
      <c r="E3938" s="4"/>
      <c r="F3938" s="4"/>
      <c r="G3938" s="4"/>
      <c r="H3938" s="4"/>
      <c r="I3938" s="4"/>
      <c r="J3938" s="18"/>
      <c r="K3938" s="4"/>
      <c r="L3938" s="19"/>
      <c r="M3938" s="20"/>
    </row>
    <row r="3939">
      <c r="A3939" s="6"/>
      <c r="B3939" s="6"/>
      <c r="C3939" s="4"/>
      <c r="D3939" s="36">
        <v>0.0</v>
      </c>
      <c r="E3939" s="4"/>
      <c r="F3939" s="4"/>
      <c r="G3939" s="4"/>
      <c r="H3939" s="4"/>
      <c r="I3939" s="4"/>
      <c r="J3939" s="18"/>
      <c r="K3939" s="4"/>
      <c r="L3939" s="19"/>
      <c r="M3939" s="20"/>
    </row>
    <row r="3940">
      <c r="A3940" s="6"/>
      <c r="B3940" s="6"/>
      <c r="C3940" s="4"/>
      <c r="D3940" s="36">
        <v>0.0</v>
      </c>
      <c r="E3940" s="4"/>
      <c r="F3940" s="4"/>
      <c r="G3940" s="4"/>
      <c r="H3940" s="4"/>
      <c r="I3940" s="4"/>
      <c r="J3940" s="18"/>
      <c r="K3940" s="4"/>
      <c r="L3940" s="19"/>
      <c r="M3940" s="20"/>
    </row>
    <row r="3941">
      <c r="A3941" s="6"/>
      <c r="B3941" s="6"/>
      <c r="C3941" s="4"/>
      <c r="D3941" s="36">
        <v>0.0</v>
      </c>
      <c r="E3941" s="4"/>
      <c r="F3941" s="4"/>
      <c r="G3941" s="4"/>
      <c r="H3941" s="4"/>
      <c r="I3941" s="4"/>
      <c r="J3941" s="18"/>
      <c r="K3941" s="4"/>
      <c r="L3941" s="19"/>
      <c r="M3941" s="20"/>
    </row>
    <row r="3942">
      <c r="A3942" s="6"/>
      <c r="B3942" s="6"/>
      <c r="C3942" s="4"/>
      <c r="D3942" s="36">
        <v>0.0</v>
      </c>
      <c r="E3942" s="4"/>
      <c r="F3942" s="4"/>
      <c r="G3942" s="4"/>
      <c r="H3942" s="4"/>
      <c r="I3942" s="4"/>
      <c r="J3942" s="18"/>
      <c r="K3942" s="4"/>
      <c r="L3942" s="19"/>
      <c r="M3942" s="20"/>
    </row>
    <row r="3943">
      <c r="A3943" s="6"/>
      <c r="B3943" s="6"/>
      <c r="C3943" s="4"/>
      <c r="D3943" s="36">
        <v>0.0</v>
      </c>
      <c r="E3943" s="4"/>
      <c r="F3943" s="4"/>
      <c r="G3943" s="4"/>
      <c r="H3943" s="4"/>
      <c r="I3943" s="4"/>
      <c r="J3943" s="18"/>
      <c r="K3943" s="4"/>
      <c r="L3943" s="19"/>
      <c r="M3943" s="20"/>
    </row>
    <row r="3944">
      <c r="A3944" s="6"/>
      <c r="B3944" s="6"/>
      <c r="C3944" s="4"/>
      <c r="D3944" s="36">
        <v>0.0</v>
      </c>
      <c r="E3944" s="4"/>
      <c r="F3944" s="4"/>
      <c r="G3944" s="4"/>
      <c r="H3944" s="4"/>
      <c r="I3944" s="4"/>
      <c r="J3944" s="18"/>
      <c r="K3944" s="4"/>
      <c r="L3944" s="19"/>
      <c r="M3944" s="20"/>
    </row>
    <row r="3945">
      <c r="A3945" s="6"/>
      <c r="B3945" s="6"/>
      <c r="C3945" s="4"/>
      <c r="D3945" s="36">
        <v>0.0</v>
      </c>
      <c r="E3945" s="4"/>
      <c r="F3945" s="4"/>
      <c r="G3945" s="4"/>
      <c r="H3945" s="4"/>
      <c r="I3945" s="4"/>
      <c r="J3945" s="18"/>
      <c r="K3945" s="4"/>
      <c r="L3945" s="19"/>
      <c r="M3945" s="20"/>
    </row>
    <row r="3946">
      <c r="A3946" s="6"/>
      <c r="B3946" s="6"/>
      <c r="C3946" s="4"/>
      <c r="D3946" s="36">
        <v>0.0</v>
      </c>
      <c r="E3946" s="4"/>
      <c r="F3946" s="4"/>
      <c r="G3946" s="4"/>
      <c r="H3946" s="4"/>
      <c r="I3946" s="4"/>
      <c r="J3946" s="18"/>
      <c r="K3946" s="4"/>
      <c r="L3946" s="19"/>
      <c r="M3946" s="20"/>
    </row>
    <row r="3947">
      <c r="A3947" s="6"/>
      <c r="B3947" s="6"/>
      <c r="C3947" s="4"/>
      <c r="D3947" s="36">
        <v>0.0</v>
      </c>
      <c r="E3947" s="4"/>
      <c r="F3947" s="4"/>
      <c r="G3947" s="4"/>
      <c r="H3947" s="4"/>
      <c r="I3947" s="4"/>
      <c r="J3947" s="18"/>
      <c r="K3947" s="4"/>
      <c r="L3947" s="19"/>
      <c r="M3947" s="20"/>
    </row>
    <row r="3948">
      <c r="A3948" s="6"/>
      <c r="B3948" s="6"/>
      <c r="C3948" s="4"/>
      <c r="D3948" s="36">
        <v>0.0</v>
      </c>
      <c r="E3948" s="4"/>
      <c r="F3948" s="4"/>
      <c r="G3948" s="4"/>
      <c r="H3948" s="4"/>
      <c r="I3948" s="4"/>
      <c r="J3948" s="18"/>
      <c r="K3948" s="4"/>
      <c r="L3948" s="19"/>
      <c r="M3948" s="20"/>
    </row>
    <row r="3949">
      <c r="A3949" s="6"/>
      <c r="B3949" s="6"/>
      <c r="C3949" s="4"/>
      <c r="D3949" s="36">
        <v>0.0</v>
      </c>
      <c r="E3949" s="4"/>
      <c r="F3949" s="4"/>
      <c r="G3949" s="4"/>
      <c r="H3949" s="4"/>
      <c r="I3949" s="4"/>
      <c r="J3949" s="18"/>
      <c r="K3949" s="4"/>
      <c r="L3949" s="19"/>
      <c r="M3949" s="20"/>
    </row>
    <row r="3950">
      <c r="A3950" s="6"/>
      <c r="B3950" s="6"/>
      <c r="C3950" s="4"/>
      <c r="D3950" s="36">
        <v>0.0</v>
      </c>
      <c r="E3950" s="4"/>
      <c r="F3950" s="4"/>
      <c r="G3950" s="4"/>
      <c r="H3950" s="4"/>
      <c r="I3950" s="4"/>
      <c r="J3950" s="18"/>
      <c r="K3950" s="4"/>
      <c r="L3950" s="19"/>
      <c r="M3950" s="20"/>
    </row>
    <row r="3951">
      <c r="A3951" s="6"/>
      <c r="B3951" s="6"/>
      <c r="C3951" s="4"/>
      <c r="D3951" s="36">
        <v>0.0</v>
      </c>
      <c r="E3951" s="4"/>
      <c r="F3951" s="4"/>
      <c r="G3951" s="4"/>
      <c r="H3951" s="4"/>
      <c r="I3951" s="4"/>
      <c r="J3951" s="18"/>
      <c r="K3951" s="4"/>
      <c r="L3951" s="19"/>
      <c r="M3951" s="20"/>
    </row>
    <row r="3952">
      <c r="A3952" s="6"/>
      <c r="B3952" s="6"/>
      <c r="C3952" s="4"/>
      <c r="D3952" s="36">
        <v>0.0</v>
      </c>
      <c r="E3952" s="4"/>
      <c r="F3952" s="4"/>
      <c r="G3952" s="4"/>
      <c r="H3952" s="4"/>
      <c r="I3952" s="4"/>
      <c r="J3952" s="18"/>
      <c r="K3952" s="4"/>
      <c r="L3952" s="19"/>
      <c r="M3952" s="20"/>
    </row>
    <row r="3953">
      <c r="A3953" s="6"/>
      <c r="B3953" s="6"/>
      <c r="C3953" s="4"/>
      <c r="D3953" s="36">
        <v>0.0</v>
      </c>
      <c r="E3953" s="4"/>
      <c r="F3953" s="4"/>
      <c r="G3953" s="4"/>
      <c r="H3953" s="4"/>
      <c r="I3953" s="4"/>
      <c r="J3953" s="18"/>
      <c r="K3953" s="4"/>
      <c r="L3953" s="19"/>
      <c r="M3953" s="20"/>
    </row>
    <row r="3954">
      <c r="A3954" s="6"/>
      <c r="B3954" s="6"/>
      <c r="C3954" s="4"/>
      <c r="D3954" s="36">
        <v>0.0</v>
      </c>
      <c r="E3954" s="4"/>
      <c r="F3954" s="4"/>
      <c r="G3954" s="4"/>
      <c r="H3954" s="4"/>
      <c r="I3954" s="4"/>
      <c r="J3954" s="18"/>
      <c r="K3954" s="4"/>
      <c r="L3954" s="19"/>
      <c r="M3954" s="20"/>
    </row>
    <row r="3955">
      <c r="A3955" s="6"/>
      <c r="B3955" s="6"/>
      <c r="C3955" s="4"/>
      <c r="D3955" s="36">
        <v>0.0</v>
      </c>
      <c r="E3955" s="4"/>
      <c r="F3955" s="4"/>
      <c r="G3955" s="4"/>
      <c r="H3955" s="4"/>
      <c r="I3955" s="4"/>
      <c r="J3955" s="18"/>
      <c r="K3955" s="4"/>
      <c r="L3955" s="19"/>
      <c r="M3955" s="20"/>
    </row>
    <row r="3956">
      <c r="A3956" s="6"/>
      <c r="B3956" s="6"/>
      <c r="C3956" s="4"/>
      <c r="D3956" s="36">
        <v>0.0</v>
      </c>
      <c r="E3956" s="4"/>
      <c r="F3956" s="4"/>
      <c r="G3956" s="4"/>
      <c r="H3956" s="4"/>
      <c r="I3956" s="4"/>
      <c r="J3956" s="18"/>
      <c r="K3956" s="4"/>
      <c r="L3956" s="19"/>
      <c r="M3956" s="20"/>
    </row>
    <row r="3957">
      <c r="A3957" s="6"/>
      <c r="B3957" s="6"/>
      <c r="C3957" s="4"/>
      <c r="D3957" s="36">
        <v>0.0</v>
      </c>
      <c r="E3957" s="4"/>
      <c r="F3957" s="4"/>
      <c r="G3957" s="4"/>
      <c r="H3957" s="4"/>
      <c r="I3957" s="4"/>
      <c r="J3957" s="18"/>
      <c r="K3957" s="4"/>
      <c r="L3957" s="19"/>
      <c r="M3957" s="20"/>
    </row>
    <row r="3958">
      <c r="A3958" s="6"/>
      <c r="B3958" s="6"/>
      <c r="C3958" s="4"/>
      <c r="D3958" s="36">
        <v>0.0</v>
      </c>
      <c r="E3958" s="4"/>
      <c r="F3958" s="4"/>
      <c r="G3958" s="4"/>
      <c r="H3958" s="4"/>
      <c r="I3958" s="4"/>
      <c r="J3958" s="18"/>
      <c r="K3958" s="4"/>
      <c r="L3958" s="19"/>
      <c r="M3958" s="20"/>
    </row>
    <row r="3959">
      <c r="A3959" s="6"/>
      <c r="B3959" s="6"/>
      <c r="C3959" s="4"/>
      <c r="D3959" s="36">
        <v>0.0</v>
      </c>
      <c r="E3959" s="4"/>
      <c r="F3959" s="4"/>
      <c r="G3959" s="4"/>
      <c r="H3959" s="4"/>
      <c r="I3959" s="4"/>
      <c r="J3959" s="18"/>
      <c r="K3959" s="4"/>
      <c r="L3959" s="19"/>
      <c r="M3959" s="20"/>
    </row>
    <row r="3960">
      <c r="A3960" s="6"/>
      <c r="B3960" s="6"/>
      <c r="C3960" s="4"/>
      <c r="D3960" s="36">
        <v>0.0</v>
      </c>
      <c r="E3960" s="4"/>
      <c r="F3960" s="4"/>
      <c r="G3960" s="4"/>
      <c r="H3960" s="4"/>
      <c r="I3960" s="4"/>
      <c r="J3960" s="18"/>
      <c r="K3960" s="4"/>
      <c r="L3960" s="19"/>
      <c r="M3960" s="20"/>
    </row>
    <row r="3961">
      <c r="A3961" s="6"/>
      <c r="B3961" s="6"/>
      <c r="C3961" s="4"/>
      <c r="D3961" s="36">
        <v>0.0</v>
      </c>
      <c r="E3961" s="4"/>
      <c r="F3961" s="4"/>
      <c r="G3961" s="4"/>
      <c r="H3961" s="4"/>
      <c r="I3961" s="4"/>
      <c r="J3961" s="18"/>
      <c r="K3961" s="4"/>
      <c r="L3961" s="19"/>
      <c r="M3961" s="20"/>
    </row>
    <row r="3962">
      <c r="A3962" s="6"/>
      <c r="B3962" s="6"/>
      <c r="C3962" s="4"/>
      <c r="D3962" s="36">
        <v>0.0</v>
      </c>
      <c r="E3962" s="4"/>
      <c r="F3962" s="4"/>
      <c r="G3962" s="4"/>
      <c r="H3962" s="4"/>
      <c r="I3962" s="4"/>
      <c r="J3962" s="18"/>
      <c r="K3962" s="4"/>
      <c r="L3962" s="19"/>
      <c r="M3962" s="20"/>
    </row>
    <row r="3963">
      <c r="A3963" s="6"/>
      <c r="B3963" s="6"/>
      <c r="C3963" s="4"/>
      <c r="D3963" s="36">
        <v>0.0</v>
      </c>
      <c r="E3963" s="4"/>
      <c r="F3963" s="4"/>
      <c r="G3963" s="4"/>
      <c r="H3963" s="4"/>
      <c r="I3963" s="4"/>
      <c r="J3963" s="18"/>
      <c r="K3963" s="4"/>
      <c r="L3963" s="19"/>
      <c r="M3963" s="20"/>
    </row>
    <row r="3964">
      <c r="A3964" s="6"/>
      <c r="B3964" s="6"/>
      <c r="C3964" s="4"/>
      <c r="D3964" s="36">
        <v>0.0</v>
      </c>
      <c r="E3964" s="4"/>
      <c r="F3964" s="4"/>
      <c r="G3964" s="4"/>
      <c r="H3964" s="4"/>
      <c r="I3964" s="4"/>
      <c r="J3964" s="18"/>
      <c r="K3964" s="4"/>
      <c r="L3964" s="19"/>
      <c r="M3964" s="20"/>
    </row>
    <row r="3965">
      <c r="A3965" s="6"/>
      <c r="B3965" s="6"/>
      <c r="C3965" s="4"/>
      <c r="D3965" s="36">
        <v>0.0</v>
      </c>
      <c r="E3965" s="4"/>
      <c r="F3965" s="4"/>
      <c r="G3965" s="4"/>
      <c r="H3965" s="4"/>
      <c r="I3965" s="4"/>
      <c r="J3965" s="18"/>
      <c r="K3965" s="4"/>
      <c r="L3965" s="19"/>
      <c r="M3965" s="20"/>
    </row>
    <row r="3966">
      <c r="A3966" s="6"/>
      <c r="B3966" s="6"/>
      <c r="C3966" s="4"/>
      <c r="D3966" s="36">
        <v>0.0</v>
      </c>
      <c r="E3966" s="4"/>
      <c r="F3966" s="4"/>
      <c r="G3966" s="4"/>
      <c r="H3966" s="4"/>
      <c r="I3966" s="4"/>
      <c r="J3966" s="18"/>
      <c r="K3966" s="4"/>
      <c r="L3966" s="19"/>
      <c r="M3966" s="20"/>
    </row>
    <row r="3967">
      <c r="A3967" s="6"/>
      <c r="B3967" s="6"/>
      <c r="C3967" s="4"/>
      <c r="D3967" s="36">
        <v>0.0</v>
      </c>
      <c r="E3967" s="4"/>
      <c r="F3967" s="4"/>
      <c r="G3967" s="4"/>
      <c r="H3967" s="4"/>
      <c r="I3967" s="4"/>
      <c r="J3967" s="18"/>
      <c r="K3967" s="4"/>
      <c r="L3967" s="19"/>
      <c r="M3967" s="20"/>
    </row>
    <row r="3968">
      <c r="A3968" s="6"/>
      <c r="B3968" s="6"/>
      <c r="C3968" s="4"/>
      <c r="D3968" s="36">
        <v>0.0</v>
      </c>
      <c r="E3968" s="4"/>
      <c r="F3968" s="4"/>
      <c r="G3968" s="4"/>
      <c r="H3968" s="4"/>
      <c r="I3968" s="4"/>
      <c r="J3968" s="18"/>
      <c r="K3968" s="4"/>
      <c r="L3968" s="19"/>
      <c r="M3968" s="20"/>
    </row>
    <row r="3969">
      <c r="A3969" s="6"/>
      <c r="B3969" s="6"/>
      <c r="C3969" s="4"/>
      <c r="D3969" s="36">
        <v>0.0</v>
      </c>
      <c r="E3969" s="4"/>
      <c r="F3969" s="4"/>
      <c r="G3969" s="4"/>
      <c r="H3969" s="4"/>
      <c r="I3969" s="4"/>
      <c r="J3969" s="18"/>
      <c r="K3969" s="4"/>
      <c r="L3969" s="19"/>
      <c r="M3969" s="20"/>
    </row>
    <row r="3970">
      <c r="A3970" s="6"/>
      <c r="B3970" s="6"/>
      <c r="C3970" s="4"/>
      <c r="D3970" s="36">
        <v>0.0</v>
      </c>
      <c r="E3970" s="4"/>
      <c r="F3970" s="4"/>
      <c r="G3970" s="4"/>
      <c r="H3970" s="4"/>
      <c r="I3970" s="4"/>
      <c r="J3970" s="18"/>
      <c r="K3970" s="4"/>
      <c r="L3970" s="19"/>
      <c r="M3970" s="20"/>
    </row>
    <row r="3971">
      <c r="A3971" s="6"/>
      <c r="B3971" s="6"/>
      <c r="C3971" s="4"/>
      <c r="D3971" s="36">
        <v>0.0</v>
      </c>
      <c r="E3971" s="4"/>
      <c r="F3971" s="4"/>
      <c r="G3971" s="4"/>
      <c r="H3971" s="4"/>
      <c r="I3971" s="4"/>
      <c r="J3971" s="18"/>
      <c r="K3971" s="4"/>
      <c r="L3971" s="19"/>
      <c r="M3971" s="20"/>
    </row>
    <row r="3972">
      <c r="A3972" s="6"/>
      <c r="B3972" s="6"/>
      <c r="C3972" s="4"/>
      <c r="D3972" s="36">
        <v>0.0</v>
      </c>
      <c r="E3972" s="4"/>
      <c r="F3972" s="4"/>
      <c r="G3972" s="4"/>
      <c r="H3972" s="4"/>
      <c r="I3972" s="4"/>
      <c r="J3972" s="18"/>
      <c r="K3972" s="4"/>
      <c r="L3972" s="19"/>
      <c r="M3972" s="20"/>
    </row>
    <row r="3973">
      <c r="A3973" s="6"/>
      <c r="B3973" s="6"/>
      <c r="C3973" s="4"/>
      <c r="D3973" s="36">
        <v>0.0</v>
      </c>
      <c r="E3973" s="4"/>
      <c r="F3973" s="4"/>
      <c r="G3973" s="4"/>
      <c r="H3973" s="4"/>
      <c r="I3973" s="4"/>
      <c r="J3973" s="18"/>
      <c r="K3973" s="4"/>
      <c r="L3973" s="19"/>
      <c r="M3973" s="20"/>
    </row>
    <row r="3974">
      <c r="A3974" s="6"/>
      <c r="B3974" s="6"/>
      <c r="C3974" s="4"/>
      <c r="D3974" s="36">
        <v>0.0</v>
      </c>
      <c r="E3974" s="4"/>
      <c r="F3974" s="4"/>
      <c r="G3974" s="4"/>
      <c r="H3974" s="4"/>
      <c r="I3974" s="4"/>
      <c r="J3974" s="18"/>
      <c r="K3974" s="4"/>
      <c r="L3974" s="19"/>
      <c r="M3974" s="20"/>
    </row>
    <row r="3975">
      <c r="A3975" s="6"/>
      <c r="B3975" s="6"/>
      <c r="C3975" s="4"/>
      <c r="D3975" s="36">
        <v>0.0</v>
      </c>
      <c r="E3975" s="4"/>
      <c r="F3975" s="4"/>
      <c r="G3975" s="4"/>
      <c r="H3975" s="4"/>
      <c r="I3975" s="4"/>
      <c r="J3975" s="18"/>
      <c r="K3975" s="4"/>
      <c r="L3975" s="19"/>
      <c r="M3975" s="20"/>
    </row>
    <row r="3976">
      <c r="A3976" s="6"/>
      <c r="B3976" s="6"/>
      <c r="C3976" s="4"/>
      <c r="D3976" s="36">
        <v>0.0</v>
      </c>
      <c r="E3976" s="4"/>
      <c r="F3976" s="4"/>
      <c r="G3976" s="4"/>
      <c r="H3976" s="4"/>
      <c r="I3976" s="4"/>
      <c r="J3976" s="18"/>
      <c r="K3976" s="4"/>
      <c r="L3976" s="19"/>
      <c r="M3976" s="20"/>
    </row>
    <row r="3977">
      <c r="A3977" s="6"/>
      <c r="B3977" s="6"/>
      <c r="C3977" s="4"/>
      <c r="D3977" s="36">
        <v>0.0</v>
      </c>
      <c r="E3977" s="4"/>
      <c r="F3977" s="4"/>
      <c r="G3977" s="4"/>
      <c r="H3977" s="4"/>
      <c r="I3977" s="4"/>
      <c r="J3977" s="18"/>
      <c r="K3977" s="4"/>
      <c r="L3977" s="19"/>
      <c r="M3977" s="20"/>
    </row>
    <row r="3978">
      <c r="A3978" s="6"/>
      <c r="B3978" s="6"/>
      <c r="C3978" s="4"/>
      <c r="D3978" s="36">
        <v>0.0</v>
      </c>
      <c r="E3978" s="4"/>
      <c r="F3978" s="4"/>
      <c r="G3978" s="4"/>
      <c r="H3978" s="4"/>
      <c r="I3978" s="4"/>
      <c r="J3978" s="18"/>
      <c r="K3978" s="4"/>
      <c r="L3978" s="19"/>
      <c r="M3978" s="20"/>
    </row>
    <row r="3979">
      <c r="A3979" s="6"/>
      <c r="B3979" s="6"/>
      <c r="C3979" s="4"/>
      <c r="D3979" s="36">
        <v>0.0</v>
      </c>
      <c r="E3979" s="4"/>
      <c r="F3979" s="4"/>
      <c r="G3979" s="4"/>
      <c r="H3979" s="4"/>
      <c r="I3979" s="4"/>
      <c r="J3979" s="18"/>
      <c r="K3979" s="4"/>
      <c r="L3979" s="19"/>
      <c r="M3979" s="20"/>
    </row>
    <row r="3980">
      <c r="A3980" s="6"/>
      <c r="B3980" s="6"/>
      <c r="C3980" s="4"/>
      <c r="D3980" s="36">
        <v>0.0</v>
      </c>
      <c r="E3980" s="4"/>
      <c r="F3980" s="4"/>
      <c r="G3980" s="4"/>
      <c r="H3980" s="4"/>
      <c r="I3980" s="4"/>
      <c r="J3980" s="18"/>
      <c r="K3980" s="4"/>
      <c r="L3980" s="19"/>
      <c r="M3980" s="20"/>
    </row>
    <row r="3981">
      <c r="A3981" s="6"/>
      <c r="B3981" s="6"/>
      <c r="C3981" s="4"/>
      <c r="D3981" s="36">
        <v>0.0</v>
      </c>
      <c r="E3981" s="4"/>
      <c r="F3981" s="4"/>
      <c r="G3981" s="4"/>
      <c r="H3981" s="4"/>
      <c r="I3981" s="4"/>
      <c r="J3981" s="18"/>
      <c r="K3981" s="4"/>
      <c r="L3981" s="19"/>
      <c r="M3981" s="20"/>
    </row>
    <row r="3982">
      <c r="A3982" s="6"/>
      <c r="B3982" s="6"/>
      <c r="C3982" s="4"/>
      <c r="D3982" s="36">
        <v>0.0</v>
      </c>
      <c r="E3982" s="4"/>
      <c r="F3982" s="4"/>
      <c r="G3982" s="4"/>
      <c r="H3982" s="4"/>
      <c r="I3982" s="4"/>
      <c r="J3982" s="18"/>
      <c r="K3982" s="4"/>
      <c r="L3982" s="19"/>
      <c r="M3982" s="20"/>
    </row>
    <row r="3983">
      <c r="A3983" s="6"/>
      <c r="B3983" s="6"/>
      <c r="C3983" s="4"/>
      <c r="D3983" s="36">
        <v>0.0</v>
      </c>
      <c r="E3983" s="4"/>
      <c r="F3983" s="4"/>
      <c r="G3983" s="4"/>
      <c r="H3983" s="4"/>
      <c r="I3983" s="4"/>
      <c r="J3983" s="18"/>
      <c r="K3983" s="4"/>
      <c r="L3983" s="19"/>
      <c r="M3983" s="20"/>
    </row>
    <row r="3984">
      <c r="A3984" s="6"/>
      <c r="B3984" s="6"/>
      <c r="C3984" s="4"/>
      <c r="D3984" s="36">
        <v>0.0</v>
      </c>
      <c r="E3984" s="4"/>
      <c r="F3984" s="4"/>
      <c r="G3984" s="4"/>
      <c r="H3984" s="4"/>
      <c r="I3984" s="4"/>
      <c r="J3984" s="18"/>
      <c r="K3984" s="4"/>
      <c r="L3984" s="19"/>
      <c r="M3984" s="20"/>
    </row>
    <row r="3985">
      <c r="A3985" s="6"/>
      <c r="B3985" s="6"/>
      <c r="C3985" s="4"/>
      <c r="D3985" s="36">
        <v>0.0</v>
      </c>
      <c r="E3985" s="4"/>
      <c r="F3985" s="4"/>
      <c r="G3985" s="4"/>
      <c r="H3985" s="4"/>
      <c r="I3985" s="4"/>
      <c r="J3985" s="18"/>
      <c r="K3985" s="4"/>
      <c r="L3985" s="19"/>
      <c r="M3985" s="20"/>
    </row>
    <row r="3986">
      <c r="A3986" s="6"/>
      <c r="B3986" s="6"/>
      <c r="C3986" s="4"/>
      <c r="D3986" s="36">
        <v>0.0</v>
      </c>
      <c r="E3986" s="4"/>
      <c r="F3986" s="4"/>
      <c r="G3986" s="4"/>
      <c r="H3986" s="4"/>
      <c r="I3986" s="4"/>
      <c r="J3986" s="18"/>
      <c r="K3986" s="4"/>
      <c r="L3986" s="19"/>
      <c r="M3986" s="20"/>
    </row>
    <row r="3987">
      <c r="A3987" s="6"/>
      <c r="B3987" s="6"/>
      <c r="C3987" s="4"/>
      <c r="D3987" s="36">
        <v>0.0</v>
      </c>
      <c r="E3987" s="4"/>
      <c r="F3987" s="4"/>
      <c r="G3987" s="4"/>
      <c r="H3987" s="4"/>
      <c r="I3987" s="4"/>
      <c r="J3987" s="18"/>
      <c r="K3987" s="4"/>
      <c r="L3987" s="19"/>
      <c r="M3987" s="20"/>
    </row>
    <row r="3988">
      <c r="A3988" s="6"/>
      <c r="B3988" s="6"/>
      <c r="C3988" s="4"/>
      <c r="D3988" s="36">
        <v>0.0</v>
      </c>
      <c r="E3988" s="4"/>
      <c r="F3988" s="4"/>
      <c r="G3988" s="4"/>
      <c r="H3988" s="4"/>
      <c r="I3988" s="4"/>
      <c r="J3988" s="18"/>
      <c r="K3988" s="4"/>
      <c r="L3988" s="19"/>
      <c r="M3988" s="20"/>
    </row>
    <row r="3989">
      <c r="A3989" s="6"/>
      <c r="B3989" s="6"/>
      <c r="C3989" s="4"/>
      <c r="D3989" s="36">
        <v>0.0</v>
      </c>
      <c r="E3989" s="4"/>
      <c r="F3989" s="4"/>
      <c r="G3989" s="4"/>
      <c r="H3989" s="4"/>
      <c r="I3989" s="4"/>
      <c r="J3989" s="18"/>
      <c r="K3989" s="4"/>
      <c r="L3989" s="19"/>
      <c r="M3989" s="20"/>
    </row>
    <row r="3990">
      <c r="A3990" s="6"/>
      <c r="B3990" s="6"/>
      <c r="C3990" s="4"/>
      <c r="D3990" s="36">
        <v>0.0</v>
      </c>
      <c r="E3990" s="4"/>
      <c r="F3990" s="4"/>
      <c r="G3990" s="4"/>
      <c r="H3990" s="4"/>
      <c r="I3990" s="4"/>
      <c r="J3990" s="18"/>
      <c r="K3990" s="4"/>
      <c r="L3990" s="19"/>
      <c r="M3990" s="20"/>
    </row>
    <row r="3991">
      <c r="A3991" s="6"/>
      <c r="B3991" s="6"/>
      <c r="C3991" s="4"/>
      <c r="D3991" s="36">
        <v>0.0</v>
      </c>
      <c r="E3991" s="4"/>
      <c r="F3991" s="4"/>
      <c r="G3991" s="4"/>
      <c r="H3991" s="4"/>
      <c r="I3991" s="4"/>
      <c r="J3991" s="18"/>
      <c r="K3991" s="4"/>
      <c r="L3991" s="19"/>
      <c r="M3991" s="20"/>
    </row>
    <row r="3992">
      <c r="A3992" s="6"/>
      <c r="B3992" s="6"/>
      <c r="C3992" s="4"/>
      <c r="D3992" s="36">
        <v>0.0</v>
      </c>
      <c r="E3992" s="4"/>
      <c r="F3992" s="4"/>
      <c r="G3992" s="4"/>
      <c r="H3992" s="4"/>
      <c r="I3992" s="4"/>
      <c r="J3992" s="18"/>
      <c r="K3992" s="4"/>
      <c r="L3992" s="19"/>
      <c r="M3992" s="20"/>
    </row>
    <row r="3993">
      <c r="A3993" s="6"/>
      <c r="B3993" s="6"/>
      <c r="C3993" s="4"/>
      <c r="D3993" s="36">
        <v>0.0</v>
      </c>
      <c r="E3993" s="4"/>
      <c r="F3993" s="4"/>
      <c r="G3993" s="4"/>
      <c r="H3993" s="4"/>
      <c r="I3993" s="4"/>
      <c r="J3993" s="18"/>
      <c r="K3993" s="4"/>
      <c r="L3993" s="19"/>
      <c r="M3993" s="20"/>
    </row>
    <row r="3994">
      <c r="A3994" s="6"/>
      <c r="B3994" s="6"/>
      <c r="C3994" s="4"/>
      <c r="D3994" s="36">
        <v>0.0</v>
      </c>
      <c r="E3994" s="4"/>
      <c r="F3994" s="4"/>
      <c r="G3994" s="4"/>
      <c r="H3994" s="4"/>
      <c r="I3994" s="4"/>
      <c r="J3994" s="18"/>
      <c r="K3994" s="4"/>
      <c r="L3994" s="19"/>
      <c r="M3994" s="20"/>
    </row>
    <row r="3995">
      <c r="A3995" s="6"/>
      <c r="B3995" s="6"/>
      <c r="C3995" s="4"/>
      <c r="D3995" s="36">
        <v>0.0</v>
      </c>
      <c r="E3995" s="4"/>
      <c r="F3995" s="4"/>
      <c r="G3995" s="4"/>
      <c r="H3995" s="4"/>
      <c r="I3995" s="4"/>
      <c r="J3995" s="18"/>
      <c r="K3995" s="4"/>
      <c r="L3995" s="19"/>
      <c r="M3995" s="20"/>
    </row>
    <row r="3996">
      <c r="A3996" s="6"/>
      <c r="B3996" s="6"/>
      <c r="C3996" s="4"/>
      <c r="D3996" s="36">
        <v>0.0</v>
      </c>
      <c r="E3996" s="4"/>
      <c r="F3996" s="4"/>
      <c r="G3996" s="4"/>
      <c r="H3996" s="4"/>
      <c r="I3996" s="4"/>
      <c r="J3996" s="18"/>
      <c r="K3996" s="4"/>
      <c r="L3996" s="19"/>
      <c r="M3996" s="20"/>
    </row>
    <row r="3997">
      <c r="A3997" s="6"/>
      <c r="B3997" s="6"/>
      <c r="C3997" s="4"/>
      <c r="D3997" s="36">
        <v>0.0</v>
      </c>
      <c r="E3997" s="4"/>
      <c r="F3997" s="4"/>
      <c r="G3997" s="4"/>
      <c r="H3997" s="4"/>
      <c r="I3997" s="4"/>
      <c r="J3997" s="18"/>
      <c r="K3997" s="4"/>
      <c r="L3997" s="19"/>
      <c r="M3997" s="20"/>
    </row>
    <row r="3998">
      <c r="A3998" s="6"/>
      <c r="B3998" s="6"/>
      <c r="C3998" s="4"/>
      <c r="D3998" s="36">
        <v>0.0</v>
      </c>
      <c r="E3998" s="4"/>
      <c r="F3998" s="4"/>
      <c r="G3998" s="4"/>
      <c r="H3998" s="4"/>
      <c r="I3998" s="4"/>
      <c r="J3998" s="18"/>
      <c r="K3998" s="4"/>
      <c r="L3998" s="19"/>
      <c r="M3998" s="20"/>
    </row>
    <row r="3999">
      <c r="A3999" s="6"/>
      <c r="B3999" s="6"/>
      <c r="C3999" s="4"/>
      <c r="D3999" s="36">
        <v>0.0</v>
      </c>
      <c r="E3999" s="4"/>
      <c r="F3999" s="4"/>
      <c r="G3999" s="4"/>
      <c r="H3999" s="4"/>
      <c r="I3999" s="4"/>
      <c r="J3999" s="18"/>
      <c r="K3999" s="4"/>
      <c r="L3999" s="19"/>
      <c r="M3999" s="20"/>
    </row>
    <row r="4000">
      <c r="A4000" s="6"/>
      <c r="B4000" s="6"/>
      <c r="C4000" s="4"/>
      <c r="D4000" s="36">
        <v>0.0</v>
      </c>
      <c r="E4000" s="4"/>
      <c r="F4000" s="4"/>
      <c r="G4000" s="4"/>
      <c r="H4000" s="4"/>
      <c r="I4000" s="4"/>
      <c r="J4000" s="18"/>
      <c r="K4000" s="4"/>
      <c r="L4000" s="19"/>
      <c r="M4000" s="20"/>
    </row>
    <row r="4001">
      <c r="A4001" s="6"/>
      <c r="B4001" s="6"/>
      <c r="C4001" s="2"/>
      <c r="D4001" s="36" t="s">
        <v>3</v>
      </c>
      <c r="E4001" s="38" t="s">
        <v>1</v>
      </c>
      <c r="F4001" s="4"/>
      <c r="G4001" s="4"/>
      <c r="H4001" s="4"/>
      <c r="I4001" s="4"/>
      <c r="J4001" s="18"/>
      <c r="K4001" s="4"/>
      <c r="L4001" s="19"/>
      <c r="M4001" s="20"/>
    </row>
    <row r="4002">
      <c r="A4002" s="6"/>
      <c r="B4002" s="6"/>
      <c r="C4002" s="4"/>
      <c r="D4002" s="36">
        <v>224.000554</v>
      </c>
      <c r="E4002" s="4" t="s">
        <v>1218</v>
      </c>
      <c r="F4002" s="4"/>
      <c r="G4002" s="4"/>
      <c r="H4002" s="4"/>
      <c r="I4002" s="4"/>
      <c r="J4002" s="18"/>
      <c r="K4002" s="4"/>
      <c r="L4002" s="19"/>
      <c r="M4002" s="20"/>
    </row>
    <row r="4003">
      <c r="A4003" s="6"/>
      <c r="B4003" s="6"/>
      <c r="C4003" s="4"/>
      <c r="D4003" s="36">
        <v>22.400055</v>
      </c>
      <c r="E4003" s="4" t="s">
        <v>3190</v>
      </c>
      <c r="F4003" s="4"/>
      <c r="G4003" s="4"/>
      <c r="H4003" s="4"/>
      <c r="I4003" s="4"/>
      <c r="J4003" s="18"/>
      <c r="K4003" s="4"/>
      <c r="L4003" s="19"/>
      <c r="M4003" s="20"/>
    </row>
    <row r="4004">
      <c r="A4004" s="6"/>
      <c r="B4004" s="6"/>
      <c r="C4004" s="4"/>
      <c r="D4004" s="36">
        <v>224.000554</v>
      </c>
      <c r="E4004" s="4" t="s">
        <v>8952</v>
      </c>
      <c r="F4004" s="4"/>
      <c r="G4004" s="4"/>
      <c r="H4004" s="4"/>
      <c r="I4004" s="4"/>
      <c r="J4004" s="18"/>
      <c r="K4004" s="4"/>
      <c r="L4004" s="19"/>
      <c r="M4004" s="20"/>
    </row>
    <row r="4005">
      <c r="A4005" s="6"/>
      <c r="B4005" s="6"/>
      <c r="C4005" s="4"/>
      <c r="D4005" s="36">
        <v>45.457118</v>
      </c>
      <c r="E4005" s="4" t="s">
        <v>6587</v>
      </c>
      <c r="F4005" s="4"/>
      <c r="G4005" s="4"/>
      <c r="H4005" s="4"/>
      <c r="I4005" s="4"/>
      <c r="J4005" s="18"/>
      <c r="K4005" s="4"/>
      <c r="L4005" s="19"/>
      <c r="M4005" s="20"/>
    </row>
    <row r="4006">
      <c r="A4006" s="6"/>
      <c r="B4006" s="6"/>
      <c r="C4006" s="4"/>
      <c r="D4006" s="36">
        <v>224.000554</v>
      </c>
      <c r="E4006" s="4" t="s">
        <v>1091</v>
      </c>
      <c r="F4006" s="4"/>
      <c r="G4006" s="4"/>
      <c r="H4006" s="4"/>
      <c r="I4006" s="4"/>
      <c r="J4006" s="18"/>
      <c r="K4006" s="4"/>
      <c r="L4006" s="19"/>
      <c r="M4006" s="20"/>
    </row>
    <row r="4007">
      <c r="A4007" s="6"/>
      <c r="B4007" s="6"/>
      <c r="C4007" s="4"/>
      <c r="D4007" s="36">
        <v>38.981056</v>
      </c>
      <c r="E4007" s="4" t="s">
        <v>8953</v>
      </c>
      <c r="F4007" s="4"/>
      <c r="G4007" s="4"/>
      <c r="H4007" s="4"/>
      <c r="I4007" s="4"/>
      <c r="J4007" s="18"/>
      <c r="K4007" s="4"/>
      <c r="L4007" s="19"/>
      <c r="M4007" s="20"/>
    </row>
    <row r="4008">
      <c r="A4008" s="6"/>
      <c r="B4008" s="6"/>
      <c r="C4008" s="4"/>
      <c r="D4008" s="36">
        <v>116.139411</v>
      </c>
      <c r="E4008" s="4" t="s">
        <v>2112</v>
      </c>
      <c r="F4008" s="4"/>
      <c r="G4008" s="4"/>
      <c r="H4008" s="4"/>
      <c r="I4008" s="4"/>
      <c r="J4008" s="18"/>
      <c r="K4008" s="4"/>
      <c r="L4008" s="19"/>
      <c r="M4008" s="20"/>
    </row>
    <row r="4009">
      <c r="A4009" s="6"/>
      <c r="B4009" s="6"/>
      <c r="C4009" s="4"/>
      <c r="D4009" s="36">
        <v>119.085493</v>
      </c>
      <c r="E4009" s="4" t="s">
        <v>8643</v>
      </c>
      <c r="F4009" s="4"/>
      <c r="G4009" s="4"/>
      <c r="H4009" s="4"/>
      <c r="I4009" s="4"/>
      <c r="J4009" s="18"/>
      <c r="K4009" s="4"/>
      <c r="L4009" s="19"/>
      <c r="M4009" s="20"/>
    </row>
    <row r="4010">
      <c r="A4010" s="6"/>
      <c r="B4010" s="6"/>
      <c r="C4010" s="4"/>
      <c r="D4010" s="36">
        <v>68.699196</v>
      </c>
      <c r="E4010" s="4" t="s">
        <v>6764</v>
      </c>
      <c r="F4010" s="4"/>
      <c r="G4010" s="4"/>
      <c r="H4010" s="4"/>
      <c r="I4010" s="4"/>
      <c r="J4010" s="18"/>
      <c r="K4010" s="4"/>
      <c r="L4010" s="19"/>
      <c r="M4010" s="20"/>
    </row>
    <row r="4011">
      <c r="A4011" s="6"/>
      <c r="B4011" s="6"/>
      <c r="C4011" s="4"/>
      <c r="D4011" s="36">
        <v>224.000554</v>
      </c>
      <c r="E4011" s="4" t="s">
        <v>8954</v>
      </c>
      <c r="F4011" s="4"/>
      <c r="G4011" s="4"/>
      <c r="H4011" s="4"/>
      <c r="I4011" s="4"/>
      <c r="J4011" s="18"/>
      <c r="K4011" s="4"/>
      <c r="L4011" s="19"/>
      <c r="M4011" s="20"/>
    </row>
    <row r="4012">
      <c r="A4012" s="6"/>
      <c r="B4012" s="6"/>
      <c r="C4012" s="4"/>
      <c r="D4012" s="36">
        <v>172.929876</v>
      </c>
      <c r="E4012" s="4" t="s">
        <v>8955</v>
      </c>
      <c r="F4012" s="4"/>
      <c r="G4012" s="4"/>
      <c r="H4012" s="4"/>
      <c r="I4012" s="4"/>
      <c r="J4012" s="18"/>
      <c r="K4012" s="4"/>
      <c r="L4012" s="19"/>
      <c r="M4012" s="20"/>
    </row>
    <row r="4013">
      <c r="A4013" s="6"/>
      <c r="B4013" s="6"/>
      <c r="C4013" s="4"/>
      <c r="D4013" s="36">
        <v>224.000554</v>
      </c>
      <c r="E4013" s="4" t="s">
        <v>8956</v>
      </c>
      <c r="F4013" s="4"/>
      <c r="G4013" s="4"/>
      <c r="H4013" s="4"/>
      <c r="I4013" s="4"/>
      <c r="J4013" s="18"/>
      <c r="K4013" s="4"/>
      <c r="L4013" s="19"/>
      <c r="M4013" s="20"/>
    </row>
    <row r="4014">
      <c r="A4014" s="6"/>
      <c r="B4014" s="6"/>
      <c r="C4014" s="4"/>
      <c r="D4014" s="36">
        <v>41.794396</v>
      </c>
      <c r="E4014" s="4" t="s">
        <v>6175</v>
      </c>
      <c r="F4014" s="4"/>
      <c r="G4014" s="4"/>
      <c r="H4014" s="4"/>
      <c r="I4014" s="4"/>
      <c r="J4014" s="18"/>
      <c r="K4014" s="4"/>
      <c r="L4014" s="19"/>
      <c r="M4014" s="20"/>
    </row>
    <row r="4015">
      <c r="A4015" s="6"/>
      <c r="B4015" s="6"/>
      <c r="C4015" s="4"/>
      <c r="D4015" s="36">
        <v>224.000554</v>
      </c>
      <c r="E4015" s="4" t="s">
        <v>7610</v>
      </c>
      <c r="F4015" s="4"/>
      <c r="G4015" s="4"/>
      <c r="H4015" s="4"/>
      <c r="I4015" s="4"/>
      <c r="J4015" s="18"/>
      <c r="K4015" s="4"/>
      <c r="L4015" s="19"/>
      <c r="M4015" s="20"/>
    </row>
    <row r="4016">
      <c r="A4016" s="6"/>
      <c r="B4016" s="6"/>
      <c r="C4016" s="4"/>
      <c r="D4016" s="36">
        <v>54.752166</v>
      </c>
      <c r="E4016" s="4" t="s">
        <v>699</v>
      </c>
      <c r="F4016" s="4"/>
      <c r="G4016" s="4"/>
      <c r="H4016" s="4"/>
      <c r="I4016" s="4"/>
      <c r="J4016" s="18"/>
      <c r="K4016" s="4"/>
      <c r="L4016" s="19"/>
      <c r="M4016" s="20"/>
    </row>
    <row r="4017">
      <c r="A4017" s="6"/>
      <c r="B4017" s="6"/>
      <c r="C4017" s="4"/>
      <c r="D4017" s="36">
        <v>224.000554</v>
      </c>
      <c r="E4017" s="4" t="s">
        <v>8957</v>
      </c>
      <c r="F4017" s="4"/>
      <c r="G4017" s="4"/>
      <c r="H4017" s="4"/>
      <c r="I4017" s="4"/>
      <c r="J4017" s="18"/>
      <c r="K4017" s="4"/>
      <c r="L4017" s="19"/>
      <c r="M4017" s="20"/>
    </row>
    <row r="4018">
      <c r="A4018" s="6"/>
      <c r="B4018" s="6"/>
      <c r="C4018" s="4"/>
      <c r="D4018" s="36">
        <v>115.079091</v>
      </c>
      <c r="E4018" s="4" t="s">
        <v>5565</v>
      </c>
      <c r="F4018" s="4"/>
      <c r="G4018" s="4"/>
      <c r="H4018" s="4"/>
      <c r="I4018" s="4"/>
      <c r="J4018" s="18"/>
      <c r="K4018" s="4"/>
      <c r="L4018" s="19"/>
      <c r="M4018" s="20"/>
    </row>
    <row r="4019">
      <c r="A4019" s="6"/>
      <c r="B4019" s="6"/>
      <c r="C4019" s="4"/>
      <c r="D4019" s="36">
        <v>224.000554</v>
      </c>
      <c r="E4019" s="4" t="s">
        <v>8591</v>
      </c>
      <c r="F4019" s="4"/>
      <c r="G4019" s="4"/>
      <c r="H4019" s="4"/>
      <c r="I4019" s="4"/>
      <c r="J4019" s="18"/>
      <c r="K4019" s="4"/>
      <c r="L4019" s="19"/>
      <c r="M4019" s="20"/>
    </row>
    <row r="4020">
      <c r="A4020" s="6"/>
      <c r="B4020" s="6"/>
      <c r="C4020" s="4"/>
      <c r="D4020" s="36">
        <v>224.000554</v>
      </c>
      <c r="E4020" s="4" t="s">
        <v>817</v>
      </c>
      <c r="F4020" s="4"/>
      <c r="G4020" s="4"/>
      <c r="H4020" s="4"/>
      <c r="I4020" s="4"/>
      <c r="J4020" s="18"/>
      <c r="K4020" s="4"/>
      <c r="L4020" s="19"/>
      <c r="M4020" s="20"/>
    </row>
    <row r="4021">
      <c r="A4021" s="6"/>
      <c r="B4021" s="6"/>
      <c r="C4021" s="4"/>
      <c r="D4021" s="36">
        <v>45.77125</v>
      </c>
      <c r="E4021" s="4" t="s">
        <v>2914</v>
      </c>
      <c r="F4021" s="4"/>
      <c r="G4021" s="4"/>
      <c r="H4021" s="4"/>
      <c r="I4021" s="4"/>
      <c r="J4021" s="18"/>
      <c r="K4021" s="4"/>
      <c r="L4021" s="19"/>
      <c r="M4021" s="20"/>
    </row>
    <row r="4022">
      <c r="A4022" s="6"/>
      <c r="B4022" s="6"/>
      <c r="C4022" s="4"/>
      <c r="D4022" s="36">
        <v>21.63113</v>
      </c>
      <c r="E4022" s="4" t="s">
        <v>8600</v>
      </c>
      <c r="F4022" s="4"/>
      <c r="G4022" s="4"/>
      <c r="H4022" s="4"/>
      <c r="I4022" s="4"/>
      <c r="J4022" s="18"/>
      <c r="K4022" s="4"/>
      <c r="L4022" s="19"/>
      <c r="M4022" s="20"/>
    </row>
    <row r="4023">
      <c r="A4023" s="6"/>
      <c r="B4023" s="6"/>
      <c r="C4023" s="4"/>
      <c r="D4023" s="36">
        <v>83.70905</v>
      </c>
      <c r="E4023" s="4" t="s">
        <v>390</v>
      </c>
      <c r="F4023" s="4"/>
      <c r="G4023" s="4"/>
      <c r="H4023" s="4"/>
      <c r="I4023" s="4"/>
      <c r="J4023" s="18"/>
      <c r="K4023" s="4"/>
      <c r="L4023" s="19"/>
      <c r="M4023" s="20"/>
    </row>
    <row r="4024">
      <c r="A4024" s="6"/>
      <c r="B4024" s="6"/>
      <c r="C4024" s="4"/>
      <c r="D4024" s="36">
        <v>77.742162</v>
      </c>
      <c r="E4024" s="4" t="s">
        <v>1240</v>
      </c>
      <c r="F4024" s="4"/>
      <c r="G4024" s="4"/>
      <c r="H4024" s="4"/>
      <c r="I4024" s="4"/>
      <c r="J4024" s="18"/>
      <c r="K4024" s="4"/>
      <c r="L4024" s="19"/>
      <c r="M4024" s="20"/>
    </row>
    <row r="4025">
      <c r="A4025" s="6"/>
      <c r="B4025" s="6"/>
      <c r="C4025" s="4"/>
      <c r="D4025" s="36">
        <v>224.000554</v>
      </c>
      <c r="E4025" s="4" t="s">
        <v>373</v>
      </c>
      <c r="F4025" s="4"/>
      <c r="G4025" s="4"/>
      <c r="H4025" s="4"/>
      <c r="I4025" s="4"/>
      <c r="J4025" s="18"/>
      <c r="K4025" s="4"/>
      <c r="L4025" s="19"/>
      <c r="M4025" s="20"/>
    </row>
    <row r="4026">
      <c r="A4026" s="6"/>
      <c r="B4026" s="6"/>
      <c r="C4026" s="4"/>
      <c r="D4026" s="36">
        <v>216.525408</v>
      </c>
      <c r="E4026" s="4" t="s">
        <v>8958</v>
      </c>
      <c r="F4026" s="4"/>
      <c r="G4026" s="4"/>
      <c r="H4026" s="4"/>
      <c r="I4026" s="4"/>
      <c r="J4026" s="18"/>
      <c r="K4026" s="4"/>
      <c r="L4026" s="19"/>
      <c r="M4026" s="20"/>
    </row>
    <row r="4027">
      <c r="A4027" s="6"/>
      <c r="B4027" s="6"/>
      <c r="C4027" s="4"/>
      <c r="D4027" s="36">
        <v>170.900389</v>
      </c>
      <c r="E4027" s="4" t="s">
        <v>8959</v>
      </c>
      <c r="F4027" s="4"/>
      <c r="G4027" s="4"/>
      <c r="H4027" s="4"/>
      <c r="I4027" s="4"/>
      <c r="J4027" s="18"/>
      <c r="K4027" s="4"/>
      <c r="L4027" s="19"/>
      <c r="M4027" s="20"/>
    </row>
    <row r="4028">
      <c r="A4028" s="6"/>
      <c r="B4028" s="6"/>
      <c r="C4028" s="4"/>
      <c r="D4028" s="36">
        <v>224.000554</v>
      </c>
      <c r="E4028" s="4" t="s">
        <v>1739</v>
      </c>
      <c r="F4028" s="4"/>
      <c r="G4028" s="4"/>
      <c r="H4028" s="4"/>
      <c r="I4028" s="4"/>
      <c r="J4028" s="18"/>
      <c r="K4028" s="4"/>
      <c r="L4028" s="19"/>
      <c r="M4028" s="20"/>
    </row>
    <row r="4029">
      <c r="A4029" s="6"/>
      <c r="B4029" s="6"/>
      <c r="C4029" s="4"/>
      <c r="D4029" s="36">
        <v>224.000554</v>
      </c>
      <c r="E4029" s="4" t="s">
        <v>2225</v>
      </c>
      <c r="F4029" s="4"/>
      <c r="G4029" s="4"/>
      <c r="H4029" s="4"/>
      <c r="I4029" s="4"/>
      <c r="J4029" s="18"/>
      <c r="K4029" s="4"/>
      <c r="L4029" s="19"/>
      <c r="M4029" s="20"/>
    </row>
    <row r="4030">
      <c r="A4030" s="6"/>
      <c r="B4030" s="6"/>
      <c r="C4030" s="4"/>
      <c r="D4030" s="36">
        <v>224.000554</v>
      </c>
      <c r="E4030" s="4" t="s">
        <v>8521</v>
      </c>
      <c r="F4030" s="4"/>
      <c r="G4030" s="4"/>
      <c r="H4030" s="4"/>
      <c r="I4030" s="4"/>
      <c r="J4030" s="18"/>
      <c r="K4030" s="4"/>
      <c r="L4030" s="19"/>
      <c r="M4030" s="20"/>
    </row>
    <row r="4031">
      <c r="A4031" s="6"/>
      <c r="B4031" s="6"/>
      <c r="C4031" s="4"/>
      <c r="D4031" s="36">
        <v>56.000138</v>
      </c>
      <c r="E4031" s="4" t="s">
        <v>6088</v>
      </c>
      <c r="F4031" s="4"/>
      <c r="G4031" s="4"/>
      <c r="H4031" s="4"/>
      <c r="I4031" s="4"/>
      <c r="J4031" s="18"/>
      <c r="K4031" s="4"/>
      <c r="L4031" s="19"/>
      <c r="M4031" s="20"/>
    </row>
    <row r="4032">
      <c r="A4032" s="6"/>
      <c r="B4032" s="6"/>
      <c r="C4032" s="4"/>
      <c r="D4032" s="36">
        <v>167.788955</v>
      </c>
      <c r="E4032" s="4" t="s">
        <v>8960</v>
      </c>
      <c r="F4032" s="4"/>
      <c r="G4032" s="4"/>
      <c r="H4032" s="4"/>
      <c r="I4032" s="4"/>
      <c r="J4032" s="18"/>
      <c r="K4032" s="4"/>
      <c r="L4032" s="19"/>
      <c r="M4032" s="20"/>
    </row>
    <row r="4033">
      <c r="A4033" s="6"/>
      <c r="B4033" s="6"/>
      <c r="C4033" s="4"/>
      <c r="D4033" s="36">
        <v>201.366418</v>
      </c>
      <c r="E4033" s="4" t="s">
        <v>8961</v>
      </c>
      <c r="F4033" s="4"/>
      <c r="G4033" s="4"/>
      <c r="H4033" s="4"/>
      <c r="I4033" s="4"/>
      <c r="J4033" s="18"/>
      <c r="K4033" s="4"/>
      <c r="L4033" s="19"/>
      <c r="M4033" s="20"/>
    </row>
    <row r="4034">
      <c r="A4034" s="6"/>
      <c r="B4034" s="6"/>
      <c r="C4034" s="4"/>
      <c r="D4034" s="36">
        <v>200.630974</v>
      </c>
      <c r="E4034" s="4" t="s">
        <v>8962</v>
      </c>
      <c r="F4034" s="4"/>
      <c r="G4034" s="4"/>
      <c r="H4034" s="4"/>
      <c r="I4034" s="4"/>
      <c r="J4034" s="18"/>
      <c r="K4034" s="4"/>
      <c r="L4034" s="19"/>
      <c r="M4034" s="20"/>
    </row>
    <row r="4035">
      <c r="A4035" s="6"/>
      <c r="B4035" s="6"/>
      <c r="C4035" s="4"/>
      <c r="D4035" s="36">
        <v>167.664414</v>
      </c>
      <c r="E4035" s="4" t="s">
        <v>8874</v>
      </c>
      <c r="F4035" s="4"/>
      <c r="G4035" s="4"/>
      <c r="H4035" s="4"/>
      <c r="I4035" s="4"/>
      <c r="J4035" s="18"/>
      <c r="K4035" s="4"/>
      <c r="L4035" s="19"/>
      <c r="M4035" s="20"/>
    </row>
    <row r="4036">
      <c r="A4036" s="6"/>
      <c r="B4036" s="6"/>
      <c r="C4036" s="4"/>
      <c r="D4036" s="36">
        <v>82.879176</v>
      </c>
      <c r="E4036" s="4" t="s">
        <v>8963</v>
      </c>
      <c r="F4036" s="4"/>
      <c r="G4036" s="4"/>
      <c r="H4036" s="4"/>
      <c r="I4036" s="4"/>
      <c r="J4036" s="18"/>
      <c r="K4036" s="4"/>
      <c r="L4036" s="19"/>
      <c r="M4036" s="20"/>
    </row>
    <row r="4037">
      <c r="A4037" s="6"/>
      <c r="B4037" s="6"/>
      <c r="C4037" s="4"/>
      <c r="D4037" s="36">
        <v>68.506963</v>
      </c>
      <c r="E4037" s="4" t="s">
        <v>8964</v>
      </c>
      <c r="F4037" s="4"/>
      <c r="G4037" s="4"/>
      <c r="H4037" s="4"/>
      <c r="I4037" s="4"/>
      <c r="J4037" s="18"/>
      <c r="K4037" s="4"/>
      <c r="L4037" s="19"/>
      <c r="M4037" s="20"/>
    </row>
    <row r="4038">
      <c r="A4038" s="6"/>
      <c r="B4038" s="6"/>
      <c r="C4038" s="4"/>
      <c r="D4038" s="36">
        <v>224.000554</v>
      </c>
      <c r="E4038" s="4" t="s">
        <v>4202</v>
      </c>
      <c r="F4038" s="4"/>
      <c r="G4038" s="4"/>
      <c r="H4038" s="4"/>
      <c r="I4038" s="4"/>
      <c r="J4038" s="18"/>
      <c r="K4038" s="4"/>
      <c r="L4038" s="19"/>
      <c r="M4038" s="20"/>
    </row>
    <row r="4039">
      <c r="A4039" s="6"/>
      <c r="B4039" s="6"/>
      <c r="C4039" s="4"/>
      <c r="D4039" s="36">
        <v>112.404531</v>
      </c>
      <c r="E4039" s="4" t="s">
        <v>3843</v>
      </c>
      <c r="F4039" s="4"/>
      <c r="G4039" s="4"/>
      <c r="H4039" s="4"/>
      <c r="I4039" s="4"/>
      <c r="J4039" s="18"/>
      <c r="K4039" s="4"/>
      <c r="L4039" s="19"/>
      <c r="M4039" s="20"/>
    </row>
    <row r="4040">
      <c r="A4040" s="6"/>
      <c r="B4040" s="6"/>
      <c r="C4040" s="4"/>
      <c r="D4040" s="36">
        <v>224.000554</v>
      </c>
      <c r="E4040" s="4" t="s">
        <v>501</v>
      </c>
      <c r="F4040" s="4"/>
      <c r="G4040" s="4"/>
      <c r="H4040" s="4"/>
      <c r="I4040" s="4"/>
      <c r="J4040" s="18"/>
      <c r="K4040" s="4"/>
      <c r="L4040" s="19"/>
      <c r="M4040" s="20"/>
    </row>
    <row r="4041">
      <c r="A4041" s="6"/>
      <c r="B4041" s="6"/>
      <c r="C4041" s="4"/>
      <c r="D4041" s="36">
        <v>38.785412</v>
      </c>
      <c r="E4041" s="4" t="s">
        <v>8965</v>
      </c>
      <c r="F4041" s="4"/>
      <c r="G4041" s="4"/>
      <c r="H4041" s="4"/>
      <c r="I4041" s="4"/>
      <c r="J4041" s="18"/>
      <c r="K4041" s="4"/>
      <c r="L4041" s="19"/>
      <c r="M4041" s="20"/>
    </row>
    <row r="4042">
      <c r="A4042" s="6"/>
      <c r="B4042" s="6"/>
      <c r="C4042" s="4"/>
      <c r="D4042" s="36">
        <v>224.000554</v>
      </c>
      <c r="E4042" s="4" t="s">
        <v>8966</v>
      </c>
      <c r="F4042" s="4"/>
      <c r="G4042" s="4"/>
      <c r="H4042" s="4"/>
      <c r="I4042" s="4"/>
      <c r="J4042" s="18"/>
      <c r="K4042" s="4"/>
      <c r="L4042" s="19"/>
      <c r="M4042" s="20"/>
    </row>
    <row r="4043">
      <c r="A4043" s="6"/>
      <c r="B4043" s="6"/>
      <c r="C4043" s="4"/>
      <c r="D4043" s="36">
        <v>224.000554</v>
      </c>
      <c r="E4043" s="4" t="s">
        <v>6981</v>
      </c>
      <c r="F4043" s="4"/>
      <c r="G4043" s="4"/>
      <c r="H4043" s="4"/>
      <c r="I4043" s="4"/>
      <c r="J4043" s="18"/>
      <c r="K4043" s="4"/>
      <c r="L4043" s="19"/>
      <c r="M4043" s="20"/>
    </row>
    <row r="4044">
      <c r="A4044" s="6"/>
      <c r="B4044" s="6"/>
      <c r="C4044" s="4"/>
      <c r="D4044" s="36">
        <v>180.827681</v>
      </c>
      <c r="E4044" s="4" t="s">
        <v>1631</v>
      </c>
      <c r="F4044" s="4"/>
      <c r="G4044" s="4"/>
      <c r="H4044" s="4"/>
      <c r="I4044" s="4"/>
      <c r="J4044" s="18"/>
      <c r="K4044" s="4"/>
      <c r="L4044" s="19"/>
      <c r="M4044" s="20"/>
    </row>
    <row r="4045">
      <c r="A4045" s="6"/>
      <c r="B4045" s="6"/>
      <c r="C4045" s="4"/>
      <c r="D4045" s="36">
        <v>177.200227</v>
      </c>
      <c r="E4045" s="4" t="s">
        <v>1189</v>
      </c>
      <c r="F4045" s="4"/>
      <c r="G4045" s="4"/>
      <c r="H4045" s="4"/>
      <c r="I4045" s="4"/>
      <c r="J4045" s="18"/>
      <c r="K4045" s="4"/>
      <c r="L4045" s="19"/>
      <c r="M4045" s="20"/>
    </row>
    <row r="4046">
      <c r="A4046" s="6"/>
      <c r="B4046" s="6"/>
      <c r="C4046" s="4"/>
      <c r="D4046" s="36">
        <v>224.000554</v>
      </c>
      <c r="E4046" s="4" t="s">
        <v>6325</v>
      </c>
      <c r="F4046" s="4"/>
      <c r="G4046" s="4"/>
      <c r="H4046" s="4"/>
      <c r="I4046" s="4"/>
      <c r="J4046" s="18"/>
      <c r="K4046" s="4"/>
      <c r="L4046" s="19"/>
      <c r="M4046" s="20"/>
    </row>
    <row r="4047">
      <c r="A4047" s="6"/>
      <c r="B4047" s="6"/>
      <c r="C4047" s="4"/>
      <c r="D4047" s="36">
        <v>169.33613</v>
      </c>
      <c r="E4047" s="4" t="s">
        <v>346</v>
      </c>
      <c r="F4047" s="4"/>
      <c r="G4047" s="4"/>
      <c r="H4047" s="4"/>
      <c r="I4047" s="4"/>
      <c r="J4047" s="18"/>
      <c r="K4047" s="4"/>
      <c r="L4047" s="19"/>
      <c r="M4047" s="20"/>
    </row>
    <row r="4048">
      <c r="A4048" s="6"/>
      <c r="B4048" s="6"/>
      <c r="C4048" s="4"/>
      <c r="D4048" s="36">
        <v>112.017661</v>
      </c>
      <c r="E4048" s="4" t="s">
        <v>8670</v>
      </c>
      <c r="F4048" s="4"/>
      <c r="G4048" s="4"/>
      <c r="H4048" s="4"/>
      <c r="I4048" s="4"/>
      <c r="J4048" s="18"/>
      <c r="K4048" s="4"/>
      <c r="L4048" s="19"/>
      <c r="M4048" s="20"/>
    </row>
    <row r="4049">
      <c r="A4049" s="6"/>
      <c r="B4049" s="6"/>
      <c r="C4049" s="4"/>
      <c r="D4049" s="36">
        <v>134.400332</v>
      </c>
      <c r="E4049" s="4" t="s">
        <v>5752</v>
      </c>
      <c r="F4049" s="4"/>
      <c r="G4049" s="4"/>
      <c r="H4049" s="4"/>
      <c r="I4049" s="4"/>
      <c r="J4049" s="18"/>
      <c r="K4049" s="4"/>
      <c r="L4049" s="19"/>
      <c r="M4049" s="20"/>
    </row>
    <row r="4050">
      <c r="A4050" s="6"/>
      <c r="B4050" s="6"/>
      <c r="C4050" s="4"/>
      <c r="D4050" s="36">
        <v>213.063305</v>
      </c>
      <c r="E4050" s="4" t="s">
        <v>8967</v>
      </c>
      <c r="F4050" s="4"/>
      <c r="G4050" s="4"/>
      <c r="H4050" s="4"/>
      <c r="I4050" s="4"/>
      <c r="J4050" s="18"/>
      <c r="K4050" s="4"/>
      <c r="L4050" s="19"/>
      <c r="M4050" s="20"/>
    </row>
    <row r="4051">
      <c r="A4051" s="6"/>
      <c r="B4051" s="6"/>
      <c r="C4051" s="4"/>
      <c r="D4051" s="36">
        <v>134.436021</v>
      </c>
      <c r="E4051" s="4" t="s">
        <v>3338</v>
      </c>
      <c r="F4051" s="4"/>
      <c r="G4051" s="4"/>
      <c r="H4051" s="4"/>
      <c r="I4051" s="4"/>
      <c r="J4051" s="18"/>
      <c r="K4051" s="4"/>
      <c r="L4051" s="19"/>
      <c r="M4051" s="20"/>
    </row>
    <row r="4052">
      <c r="A4052" s="6"/>
      <c r="B4052" s="6"/>
      <c r="C4052" s="4"/>
      <c r="D4052" s="36">
        <v>224.000554</v>
      </c>
      <c r="E4052" s="4" t="s">
        <v>8968</v>
      </c>
      <c r="F4052" s="4"/>
      <c r="G4052" s="4"/>
      <c r="H4052" s="4"/>
      <c r="I4052" s="4"/>
      <c r="J4052" s="18"/>
      <c r="K4052" s="4"/>
      <c r="L4052" s="19"/>
      <c r="M4052" s="20"/>
    </row>
    <row r="4053">
      <c r="A4053" s="6"/>
      <c r="B4053" s="6"/>
      <c r="C4053" s="4"/>
      <c r="D4053" s="36">
        <v>224.000554</v>
      </c>
      <c r="E4053" s="4" t="s">
        <v>8969</v>
      </c>
      <c r="F4053" s="4"/>
      <c r="G4053" s="4"/>
      <c r="H4053" s="4"/>
      <c r="I4053" s="4"/>
      <c r="J4053" s="18"/>
      <c r="K4053" s="4"/>
      <c r="L4053" s="19"/>
      <c r="M4053" s="20"/>
    </row>
    <row r="4054">
      <c r="A4054" s="6"/>
      <c r="B4054" s="6"/>
      <c r="C4054" s="4"/>
      <c r="D4054" s="36">
        <v>224.000554</v>
      </c>
      <c r="E4054" s="4" t="s">
        <v>8970</v>
      </c>
      <c r="F4054" s="4"/>
      <c r="G4054" s="4"/>
      <c r="H4054" s="4"/>
      <c r="I4054" s="4"/>
      <c r="J4054" s="18"/>
      <c r="K4054" s="4"/>
      <c r="L4054" s="19"/>
      <c r="M4054" s="20"/>
    </row>
    <row r="4055">
      <c r="A4055" s="6"/>
      <c r="B4055" s="6"/>
      <c r="C4055" s="4"/>
      <c r="D4055" s="36">
        <v>163.479754</v>
      </c>
      <c r="E4055" s="4" t="s">
        <v>8971</v>
      </c>
      <c r="F4055" s="4"/>
      <c r="G4055" s="4"/>
      <c r="H4055" s="4"/>
      <c r="I4055" s="4"/>
      <c r="J4055" s="18"/>
      <c r="K4055" s="4"/>
      <c r="L4055" s="19"/>
      <c r="M4055" s="20"/>
    </row>
    <row r="4056">
      <c r="A4056" s="6"/>
      <c r="B4056" s="6"/>
      <c r="C4056" s="4"/>
      <c r="D4056" s="36">
        <v>194.208849</v>
      </c>
      <c r="E4056" s="4" t="s">
        <v>8606</v>
      </c>
      <c r="F4056" s="4"/>
      <c r="G4056" s="4"/>
      <c r="H4056" s="4"/>
      <c r="I4056" s="4"/>
      <c r="J4056" s="18"/>
      <c r="K4056" s="4"/>
      <c r="L4056" s="19"/>
      <c r="M4056" s="20"/>
    </row>
    <row r="4057">
      <c r="A4057" s="6"/>
      <c r="B4057" s="6"/>
      <c r="C4057" s="4"/>
      <c r="D4057" s="36">
        <v>224.000554</v>
      </c>
      <c r="E4057" s="4" t="s">
        <v>1656</v>
      </c>
      <c r="F4057" s="4"/>
      <c r="G4057" s="4"/>
      <c r="H4057" s="4"/>
      <c r="I4057" s="4"/>
      <c r="J4057" s="18"/>
      <c r="K4057" s="4"/>
      <c r="L4057" s="19"/>
      <c r="M4057" s="20"/>
    </row>
    <row r="4058">
      <c r="A4058" s="6"/>
      <c r="B4058" s="6"/>
      <c r="C4058" s="4"/>
      <c r="D4058" s="36">
        <v>112.235927</v>
      </c>
      <c r="E4058" s="4" t="s">
        <v>1514</v>
      </c>
      <c r="F4058" s="4"/>
      <c r="G4058" s="4"/>
      <c r="H4058" s="4"/>
      <c r="I4058" s="4"/>
      <c r="J4058" s="18"/>
      <c r="K4058" s="4"/>
      <c r="L4058" s="19"/>
      <c r="M4058" s="20"/>
    </row>
    <row r="4059">
      <c r="A4059" s="6"/>
      <c r="B4059" s="6"/>
      <c r="C4059" s="4"/>
      <c r="D4059" s="36">
        <v>133.273049</v>
      </c>
      <c r="E4059" s="4" t="s">
        <v>8511</v>
      </c>
      <c r="F4059" s="4"/>
      <c r="G4059" s="4"/>
      <c r="H4059" s="4"/>
      <c r="I4059" s="4"/>
      <c r="J4059" s="18"/>
      <c r="K4059" s="4"/>
      <c r="L4059" s="19"/>
      <c r="M4059" s="20"/>
    </row>
    <row r="4060">
      <c r="A4060" s="6"/>
      <c r="B4060" s="6"/>
      <c r="C4060" s="4"/>
      <c r="D4060" s="36">
        <v>224.000554</v>
      </c>
      <c r="E4060" s="4" t="s">
        <v>784</v>
      </c>
      <c r="F4060" s="4"/>
      <c r="G4060" s="4"/>
      <c r="H4060" s="4"/>
      <c r="I4060" s="4"/>
      <c r="J4060" s="18"/>
      <c r="K4060" s="4"/>
      <c r="L4060" s="19"/>
      <c r="M4060" s="20"/>
    </row>
    <row r="4061">
      <c r="A4061" s="6"/>
      <c r="B4061" s="6"/>
      <c r="C4061" s="4"/>
      <c r="D4061" s="36">
        <v>34.065935</v>
      </c>
      <c r="E4061" s="4" t="s">
        <v>8972</v>
      </c>
      <c r="F4061" s="4"/>
      <c r="G4061" s="4"/>
      <c r="H4061" s="4"/>
      <c r="I4061" s="4"/>
      <c r="J4061" s="18"/>
      <c r="K4061" s="4"/>
      <c r="L4061" s="19"/>
      <c r="M4061" s="20"/>
    </row>
    <row r="4062">
      <c r="A4062" s="6"/>
      <c r="B4062" s="6"/>
      <c r="C4062" s="4"/>
      <c r="D4062" s="36">
        <v>116.076808</v>
      </c>
      <c r="E4062" s="4" t="s">
        <v>8973</v>
      </c>
      <c r="F4062" s="4"/>
      <c r="G4062" s="4"/>
      <c r="H4062" s="4"/>
      <c r="I4062" s="4"/>
      <c r="J4062" s="18"/>
      <c r="K4062" s="4"/>
      <c r="L4062" s="19"/>
      <c r="M4062" s="20"/>
    </row>
    <row r="4063">
      <c r="A4063" s="6"/>
      <c r="B4063" s="6"/>
      <c r="C4063" s="4"/>
      <c r="D4063" s="36">
        <v>33.731462</v>
      </c>
      <c r="E4063" s="4" t="s">
        <v>1101</v>
      </c>
      <c r="F4063" s="4"/>
      <c r="G4063" s="4"/>
      <c r="H4063" s="4"/>
      <c r="I4063" s="4"/>
      <c r="J4063" s="18"/>
      <c r="K4063" s="4"/>
      <c r="L4063" s="19"/>
      <c r="M4063" s="20"/>
    </row>
    <row r="4064">
      <c r="A4064" s="6"/>
      <c r="B4064" s="6"/>
      <c r="C4064" s="4"/>
      <c r="D4064" s="36">
        <v>224.000554</v>
      </c>
      <c r="E4064" s="4" t="s">
        <v>8974</v>
      </c>
      <c r="F4064" s="4"/>
      <c r="G4064" s="4"/>
      <c r="H4064" s="4"/>
      <c r="I4064" s="4"/>
      <c r="J4064" s="18"/>
      <c r="K4064" s="4"/>
      <c r="L4064" s="19"/>
      <c r="M4064" s="20"/>
    </row>
    <row r="4065">
      <c r="A4065" s="6"/>
      <c r="B4065" s="6"/>
      <c r="C4065" s="4"/>
      <c r="D4065" s="36">
        <v>84.63452</v>
      </c>
      <c r="E4065" s="4" t="s">
        <v>8975</v>
      </c>
      <c r="F4065" s="4"/>
      <c r="G4065" s="4"/>
      <c r="H4065" s="4"/>
      <c r="I4065" s="4"/>
      <c r="J4065" s="18"/>
      <c r="K4065" s="4"/>
      <c r="L4065" s="19"/>
      <c r="M4065" s="20"/>
    </row>
    <row r="4066">
      <c r="A4066" s="6"/>
      <c r="B4066" s="6"/>
      <c r="C4066" s="4"/>
      <c r="D4066" s="36">
        <v>224.000554</v>
      </c>
      <c r="E4066" s="4" t="s">
        <v>8976</v>
      </c>
      <c r="F4066" s="4"/>
      <c r="G4066" s="4"/>
      <c r="H4066" s="4"/>
      <c r="I4066" s="4"/>
      <c r="J4066" s="18"/>
      <c r="K4066" s="4"/>
      <c r="L4066" s="19"/>
      <c r="M4066" s="20"/>
    </row>
    <row r="4067">
      <c r="A4067" s="6"/>
      <c r="B4067" s="6"/>
      <c r="C4067" s="4"/>
      <c r="D4067" s="36">
        <v>73.472181</v>
      </c>
      <c r="E4067" s="4" t="s">
        <v>1183</v>
      </c>
      <c r="F4067" s="4"/>
      <c r="G4067" s="4"/>
      <c r="H4067" s="4"/>
      <c r="I4067" s="4"/>
      <c r="J4067" s="18"/>
      <c r="K4067" s="4"/>
      <c r="L4067" s="19"/>
      <c r="M4067" s="20"/>
    </row>
    <row r="4068">
      <c r="A4068" s="6"/>
      <c r="B4068" s="6"/>
      <c r="C4068" s="4"/>
      <c r="D4068" s="36">
        <v>224.000554</v>
      </c>
      <c r="E4068" s="4" t="s">
        <v>185</v>
      </c>
      <c r="F4068" s="4"/>
      <c r="G4068" s="4"/>
      <c r="H4068" s="4"/>
      <c r="I4068" s="4"/>
      <c r="J4068" s="18"/>
      <c r="K4068" s="4"/>
      <c r="L4068" s="19"/>
      <c r="M4068" s="20"/>
    </row>
    <row r="4069">
      <c r="A4069" s="6"/>
      <c r="B4069" s="6"/>
      <c r="C4069" s="4"/>
      <c r="D4069" s="36">
        <v>77.443529</v>
      </c>
      <c r="E4069" s="4" t="s">
        <v>1628</v>
      </c>
      <c r="F4069" s="4"/>
      <c r="G4069" s="4"/>
      <c r="H4069" s="4"/>
      <c r="I4069" s="4"/>
      <c r="J4069" s="18"/>
      <c r="K4069" s="4"/>
      <c r="L4069" s="19"/>
      <c r="M4069" s="20"/>
    </row>
    <row r="4070">
      <c r="A4070" s="6"/>
      <c r="B4070" s="6"/>
      <c r="C4070" s="4"/>
      <c r="D4070" s="36">
        <v>37.064314</v>
      </c>
      <c r="E4070" s="4" t="s">
        <v>8706</v>
      </c>
      <c r="F4070" s="4"/>
      <c r="G4070" s="4"/>
      <c r="H4070" s="4"/>
      <c r="I4070" s="4"/>
      <c r="J4070" s="18"/>
      <c r="K4070" s="4"/>
      <c r="L4070" s="19"/>
      <c r="M4070" s="20"/>
    </row>
    <row r="4071">
      <c r="A4071" s="6"/>
      <c r="B4071" s="6"/>
      <c r="C4071" s="4"/>
      <c r="D4071" s="36">
        <v>108.00287</v>
      </c>
      <c r="E4071" s="4" t="s">
        <v>8977</v>
      </c>
      <c r="F4071" s="4"/>
      <c r="G4071" s="4"/>
      <c r="H4071" s="4"/>
      <c r="I4071" s="4"/>
      <c r="J4071" s="18"/>
      <c r="K4071" s="4"/>
      <c r="L4071" s="19"/>
      <c r="M4071" s="20"/>
    </row>
    <row r="4072">
      <c r="A4072" s="6"/>
      <c r="B4072" s="6"/>
      <c r="C4072" s="4"/>
      <c r="D4072" s="36">
        <v>224.000554</v>
      </c>
      <c r="E4072" s="4" t="s">
        <v>5105</v>
      </c>
      <c r="F4072" s="4"/>
      <c r="G4072" s="4"/>
      <c r="H4072" s="4"/>
      <c r="I4072" s="4"/>
      <c r="J4072" s="18"/>
      <c r="K4072" s="4"/>
      <c r="L4072" s="19"/>
      <c r="M4072" s="20"/>
    </row>
    <row r="4073">
      <c r="A4073" s="6"/>
      <c r="B4073" s="6"/>
      <c r="C4073" s="4"/>
      <c r="D4073" s="36">
        <v>57.295901</v>
      </c>
      <c r="E4073" s="4" t="s">
        <v>8978</v>
      </c>
      <c r="F4073" s="4"/>
      <c r="G4073" s="4"/>
      <c r="H4073" s="4"/>
      <c r="I4073" s="4"/>
      <c r="J4073" s="18"/>
      <c r="K4073" s="4"/>
      <c r="L4073" s="19"/>
      <c r="M4073" s="20"/>
    </row>
    <row r="4074">
      <c r="A4074" s="6"/>
      <c r="B4074" s="6"/>
      <c r="C4074" s="4"/>
      <c r="D4074" s="36">
        <v>224.000554</v>
      </c>
      <c r="E4074" s="4" t="s">
        <v>8649</v>
      </c>
      <c r="F4074" s="4"/>
      <c r="G4074" s="4"/>
      <c r="H4074" s="4"/>
      <c r="I4074" s="4"/>
      <c r="J4074" s="18"/>
      <c r="K4074" s="4"/>
      <c r="L4074" s="19"/>
      <c r="M4074" s="20"/>
    </row>
    <row r="4075">
      <c r="A4075" s="6"/>
      <c r="B4075" s="6"/>
      <c r="C4075" s="4"/>
      <c r="D4075" s="36">
        <v>112.118443</v>
      </c>
      <c r="E4075" s="4" t="s">
        <v>8083</v>
      </c>
      <c r="F4075" s="4"/>
      <c r="G4075" s="4"/>
      <c r="H4075" s="4"/>
      <c r="I4075" s="4"/>
      <c r="J4075" s="18"/>
      <c r="K4075" s="4"/>
      <c r="L4075" s="19"/>
      <c r="M4075" s="20"/>
    </row>
    <row r="4076">
      <c r="A4076" s="6"/>
      <c r="B4076" s="6"/>
      <c r="C4076" s="4"/>
      <c r="D4076" s="36">
        <v>67.628957</v>
      </c>
      <c r="E4076" s="4" t="s">
        <v>8979</v>
      </c>
      <c r="F4076" s="4"/>
      <c r="G4076" s="4"/>
      <c r="H4076" s="4"/>
      <c r="I4076" s="4"/>
      <c r="J4076" s="18"/>
      <c r="K4076" s="4"/>
      <c r="L4076" s="19"/>
      <c r="M4076" s="20"/>
    </row>
    <row r="4077">
      <c r="A4077" s="6"/>
      <c r="B4077" s="6"/>
      <c r="C4077" s="4"/>
      <c r="D4077" s="36">
        <v>224.000554</v>
      </c>
      <c r="E4077" s="4" t="s">
        <v>1621</v>
      </c>
      <c r="F4077" s="4"/>
      <c r="G4077" s="4"/>
      <c r="H4077" s="4"/>
      <c r="I4077" s="4"/>
      <c r="J4077" s="18"/>
      <c r="K4077" s="4"/>
      <c r="L4077" s="19"/>
      <c r="M4077" s="20"/>
    </row>
    <row r="4078">
      <c r="A4078" s="6"/>
      <c r="B4078" s="6"/>
      <c r="C4078" s="4"/>
      <c r="D4078" s="36">
        <v>56.062858</v>
      </c>
      <c r="E4078" s="4" t="s">
        <v>8980</v>
      </c>
      <c r="F4078" s="4"/>
      <c r="G4078" s="4"/>
      <c r="H4078" s="4"/>
      <c r="I4078" s="4"/>
      <c r="J4078" s="18"/>
      <c r="K4078" s="4"/>
      <c r="L4078" s="19"/>
      <c r="M4078" s="20"/>
    </row>
    <row r="4079">
      <c r="A4079" s="6"/>
      <c r="B4079" s="6"/>
      <c r="C4079" s="4"/>
      <c r="D4079" s="36">
        <v>224.000554</v>
      </c>
      <c r="E4079" s="4" t="s">
        <v>8981</v>
      </c>
      <c r="F4079" s="4"/>
      <c r="G4079" s="4"/>
      <c r="H4079" s="4"/>
      <c r="I4079" s="4"/>
      <c r="J4079" s="18"/>
      <c r="K4079" s="4"/>
      <c r="L4079" s="19"/>
      <c r="M4079" s="20"/>
    </row>
    <row r="4080">
      <c r="A4080" s="6"/>
      <c r="B4080" s="6"/>
      <c r="C4080" s="4"/>
      <c r="D4080" s="36">
        <v>35.646147</v>
      </c>
      <c r="E4080" s="4" t="s">
        <v>8982</v>
      </c>
      <c r="F4080" s="4"/>
      <c r="G4080" s="4"/>
      <c r="H4080" s="4"/>
      <c r="I4080" s="4"/>
      <c r="J4080" s="18"/>
      <c r="K4080" s="4"/>
      <c r="L4080" s="19"/>
      <c r="M4080" s="20"/>
    </row>
    <row r="4081">
      <c r="A4081" s="6"/>
      <c r="B4081" s="6"/>
      <c r="C4081" s="4"/>
      <c r="D4081" s="36">
        <v>200.554357</v>
      </c>
      <c r="E4081" s="4" t="s">
        <v>8983</v>
      </c>
      <c r="F4081" s="4"/>
      <c r="G4081" s="4"/>
      <c r="H4081" s="4"/>
      <c r="I4081" s="4"/>
      <c r="J4081" s="18"/>
      <c r="K4081" s="4"/>
      <c r="L4081" s="19"/>
      <c r="M4081" s="20"/>
    </row>
    <row r="4082">
      <c r="A4082" s="6"/>
      <c r="B4082" s="6"/>
      <c r="C4082" s="4"/>
      <c r="D4082" s="36">
        <v>8.388203</v>
      </c>
      <c r="E4082" s="4" t="s">
        <v>7744</v>
      </c>
      <c r="F4082" s="4"/>
      <c r="G4082" s="4"/>
      <c r="H4082" s="4"/>
      <c r="I4082" s="4"/>
      <c r="J4082" s="18"/>
      <c r="K4082" s="4"/>
      <c r="L4082" s="19"/>
      <c r="M4082" s="20"/>
    </row>
    <row r="4083">
      <c r="A4083" s="6"/>
      <c r="B4083" s="6"/>
      <c r="C4083" s="4"/>
      <c r="D4083" s="36">
        <v>34.932571</v>
      </c>
      <c r="E4083" s="4" t="s">
        <v>8984</v>
      </c>
      <c r="F4083" s="4"/>
      <c r="G4083" s="4"/>
      <c r="H4083" s="4"/>
      <c r="I4083" s="4"/>
      <c r="J4083" s="18"/>
      <c r="K4083" s="4"/>
      <c r="L4083" s="19"/>
      <c r="M4083" s="20"/>
    </row>
    <row r="4084">
      <c r="A4084" s="6"/>
      <c r="B4084" s="6"/>
      <c r="C4084" s="4"/>
      <c r="D4084" s="36">
        <v>45.873793</v>
      </c>
      <c r="E4084" s="4" t="s">
        <v>5717</v>
      </c>
      <c r="F4084" s="4"/>
      <c r="G4084" s="4"/>
      <c r="H4084" s="4"/>
      <c r="I4084" s="4"/>
      <c r="J4084" s="18"/>
      <c r="K4084" s="4"/>
      <c r="L4084" s="19"/>
      <c r="M4084" s="20"/>
    </row>
    <row r="4085">
      <c r="A4085" s="6"/>
      <c r="B4085" s="6"/>
      <c r="C4085" s="4"/>
      <c r="D4085" s="36">
        <v>224.000554</v>
      </c>
      <c r="E4085" s="4" t="s">
        <v>1774</v>
      </c>
      <c r="F4085" s="4"/>
      <c r="G4085" s="4"/>
      <c r="H4085" s="4"/>
      <c r="I4085" s="4"/>
      <c r="J4085" s="18"/>
      <c r="K4085" s="4"/>
      <c r="L4085" s="19"/>
      <c r="M4085" s="20"/>
    </row>
    <row r="4086">
      <c r="A4086" s="6"/>
      <c r="B4086" s="6"/>
      <c r="C4086" s="4"/>
      <c r="D4086" s="36">
        <v>100.381043</v>
      </c>
      <c r="E4086" s="4" t="s">
        <v>239</v>
      </c>
      <c r="F4086" s="4"/>
      <c r="G4086" s="4"/>
      <c r="H4086" s="4"/>
      <c r="I4086" s="4"/>
      <c r="J4086" s="18"/>
      <c r="K4086" s="4"/>
      <c r="L4086" s="19"/>
      <c r="M4086" s="20"/>
    </row>
    <row r="4087">
      <c r="A4087" s="6"/>
      <c r="B4087" s="6"/>
      <c r="C4087" s="4"/>
      <c r="D4087" s="36">
        <v>79.02421</v>
      </c>
      <c r="E4087" s="4" t="s">
        <v>8985</v>
      </c>
      <c r="F4087" s="4"/>
      <c r="G4087" s="4"/>
      <c r="H4087" s="4"/>
      <c r="I4087" s="4"/>
      <c r="J4087" s="18"/>
      <c r="K4087" s="4"/>
      <c r="L4087" s="19"/>
      <c r="M4087" s="20"/>
    </row>
    <row r="4088">
      <c r="A4088" s="6"/>
      <c r="B4088" s="6"/>
      <c r="C4088" s="4"/>
      <c r="D4088" s="36">
        <v>101.02016</v>
      </c>
      <c r="E4088" s="4" t="s">
        <v>7052</v>
      </c>
      <c r="F4088" s="4"/>
      <c r="G4088" s="4"/>
      <c r="H4088" s="4"/>
      <c r="I4088" s="4"/>
      <c r="J4088" s="18"/>
      <c r="K4088" s="4"/>
      <c r="L4088" s="19"/>
      <c r="M4088" s="20"/>
    </row>
    <row r="4089">
      <c r="A4089" s="6"/>
      <c r="B4089" s="6"/>
      <c r="C4089" s="4"/>
      <c r="D4089" s="36">
        <v>77.799311</v>
      </c>
      <c r="E4089" s="4" t="s">
        <v>6891</v>
      </c>
      <c r="F4089" s="4"/>
      <c r="G4089" s="4"/>
      <c r="H4089" s="4"/>
      <c r="I4089" s="4"/>
      <c r="J4089" s="18"/>
      <c r="K4089" s="4"/>
      <c r="L4089" s="19"/>
      <c r="M4089" s="20"/>
    </row>
    <row r="4090">
      <c r="A4090" s="6"/>
      <c r="B4090" s="6"/>
      <c r="C4090" s="4"/>
      <c r="D4090" s="36">
        <v>42.4521</v>
      </c>
      <c r="E4090" s="4" t="s">
        <v>8986</v>
      </c>
      <c r="F4090" s="4"/>
      <c r="G4090" s="4"/>
      <c r="H4090" s="4"/>
      <c r="I4090" s="4"/>
      <c r="J4090" s="18"/>
      <c r="K4090" s="4"/>
      <c r="L4090" s="19"/>
      <c r="M4090" s="20"/>
    </row>
    <row r="4091">
      <c r="A4091" s="6"/>
      <c r="B4091" s="6"/>
      <c r="C4091" s="4"/>
      <c r="D4091" s="36">
        <v>224.000554</v>
      </c>
      <c r="E4091" s="4" t="s">
        <v>8907</v>
      </c>
      <c r="F4091" s="4"/>
      <c r="G4091" s="4"/>
      <c r="H4091" s="4"/>
      <c r="I4091" s="4"/>
      <c r="J4091" s="18"/>
      <c r="K4091" s="4"/>
      <c r="L4091" s="19"/>
      <c r="M4091" s="20"/>
    </row>
    <row r="4092">
      <c r="A4092" s="6"/>
      <c r="B4092" s="6"/>
      <c r="C4092" s="4"/>
      <c r="D4092" s="36">
        <v>125.108423</v>
      </c>
      <c r="E4092" s="4" t="s">
        <v>8987</v>
      </c>
      <c r="F4092" s="4"/>
      <c r="G4092" s="4"/>
      <c r="H4092" s="4"/>
      <c r="I4092" s="4"/>
      <c r="J4092" s="18"/>
      <c r="K4092" s="4"/>
      <c r="L4092" s="19"/>
      <c r="M4092" s="20"/>
    </row>
    <row r="4093">
      <c r="A4093" s="6"/>
      <c r="B4093" s="6"/>
      <c r="C4093" s="4"/>
      <c r="D4093" s="36">
        <v>67.231877</v>
      </c>
      <c r="E4093" s="4" t="s">
        <v>8988</v>
      </c>
      <c r="F4093" s="4"/>
      <c r="G4093" s="4"/>
      <c r="H4093" s="4"/>
      <c r="I4093" s="4"/>
      <c r="J4093" s="18"/>
      <c r="K4093" s="4"/>
      <c r="L4093" s="19"/>
      <c r="M4093" s="20"/>
    </row>
    <row r="4094">
      <c r="A4094" s="6"/>
      <c r="B4094" s="6"/>
      <c r="C4094" s="4"/>
      <c r="D4094" s="36">
        <v>63.728157</v>
      </c>
      <c r="E4094" s="4" t="s">
        <v>8989</v>
      </c>
      <c r="F4094" s="4"/>
      <c r="G4094" s="4"/>
      <c r="H4094" s="4"/>
      <c r="I4094" s="4"/>
      <c r="J4094" s="18"/>
      <c r="K4094" s="4"/>
      <c r="L4094" s="19"/>
      <c r="M4094" s="20"/>
    </row>
    <row r="4095">
      <c r="A4095" s="6"/>
      <c r="B4095" s="6"/>
      <c r="C4095" s="4"/>
      <c r="D4095" s="36">
        <v>224.000554</v>
      </c>
      <c r="E4095" s="4" t="s">
        <v>2806</v>
      </c>
      <c r="F4095" s="4"/>
      <c r="G4095" s="4"/>
      <c r="H4095" s="4"/>
      <c r="I4095" s="4"/>
      <c r="J4095" s="18"/>
      <c r="K4095" s="4"/>
      <c r="L4095" s="19"/>
      <c r="M4095" s="20"/>
    </row>
    <row r="4096">
      <c r="A4096" s="6"/>
      <c r="B4096" s="6"/>
      <c r="C4096" s="4"/>
      <c r="D4096" s="36">
        <v>119.101352</v>
      </c>
      <c r="E4096" s="4" t="s">
        <v>5940</v>
      </c>
      <c r="F4096" s="4"/>
      <c r="G4096" s="4"/>
      <c r="H4096" s="4"/>
      <c r="I4096" s="4"/>
      <c r="J4096" s="18"/>
      <c r="K4096" s="4"/>
      <c r="L4096" s="19"/>
      <c r="M4096" s="20"/>
    </row>
    <row r="4097">
      <c r="A4097" s="6"/>
      <c r="B4097" s="6"/>
      <c r="C4097" s="4"/>
      <c r="D4097" s="36">
        <v>224.000554</v>
      </c>
      <c r="E4097" s="4" t="s">
        <v>8990</v>
      </c>
      <c r="F4097" s="4"/>
      <c r="G4097" s="4"/>
      <c r="H4097" s="4"/>
      <c r="I4097" s="4"/>
      <c r="J4097" s="18"/>
      <c r="K4097" s="4"/>
      <c r="L4097" s="19"/>
      <c r="M4097" s="20"/>
    </row>
    <row r="4098">
      <c r="A4098" s="6"/>
      <c r="B4098" s="6"/>
      <c r="C4098" s="4"/>
      <c r="D4098" s="36">
        <v>224.000554</v>
      </c>
      <c r="E4098" s="4" t="s">
        <v>1667</v>
      </c>
      <c r="F4098" s="4"/>
      <c r="G4098" s="4"/>
      <c r="H4098" s="4"/>
      <c r="I4098" s="4"/>
      <c r="J4098" s="18"/>
      <c r="K4098" s="4"/>
      <c r="L4098" s="19"/>
      <c r="M4098" s="20"/>
    </row>
    <row r="4099">
      <c r="A4099" s="6"/>
      <c r="B4099" s="6"/>
      <c r="C4099" s="4"/>
      <c r="D4099" s="36">
        <v>179.200443</v>
      </c>
      <c r="E4099" s="4" t="s">
        <v>6009</v>
      </c>
      <c r="F4099" s="4"/>
      <c r="G4099" s="4"/>
      <c r="H4099" s="4"/>
      <c r="I4099" s="4"/>
      <c r="J4099" s="18"/>
      <c r="K4099" s="4"/>
      <c r="L4099" s="19"/>
      <c r="M4099" s="20"/>
    </row>
    <row r="4100">
      <c r="A4100" s="6"/>
      <c r="B4100" s="6"/>
      <c r="C4100" s="4"/>
      <c r="D4100" s="36">
        <v>60.592248</v>
      </c>
      <c r="E4100" s="4" t="s">
        <v>8991</v>
      </c>
      <c r="F4100" s="4"/>
      <c r="G4100" s="4"/>
      <c r="H4100" s="4"/>
      <c r="I4100" s="4"/>
      <c r="J4100" s="18"/>
      <c r="K4100" s="4"/>
      <c r="L4100" s="19"/>
      <c r="M4100" s="20"/>
    </row>
    <row r="4101">
      <c r="A4101" s="6"/>
      <c r="B4101" s="6"/>
      <c r="C4101" s="4"/>
      <c r="D4101" s="36">
        <v>224.000554</v>
      </c>
      <c r="E4101" s="4" t="s">
        <v>952</v>
      </c>
      <c r="F4101" s="4"/>
      <c r="G4101" s="4"/>
      <c r="H4101" s="4"/>
      <c r="I4101" s="4"/>
      <c r="J4101" s="18"/>
      <c r="K4101" s="4"/>
      <c r="L4101" s="19"/>
      <c r="M4101" s="20"/>
    </row>
    <row r="4102">
      <c r="A4102" s="6"/>
      <c r="B4102" s="6"/>
      <c r="C4102" s="4"/>
      <c r="D4102" s="36">
        <v>59.411432</v>
      </c>
      <c r="E4102" s="4" t="s">
        <v>587</v>
      </c>
      <c r="F4102" s="4"/>
      <c r="G4102" s="4"/>
      <c r="H4102" s="4"/>
      <c r="I4102" s="4"/>
      <c r="J4102" s="18"/>
      <c r="K4102" s="4"/>
      <c r="L4102" s="19"/>
      <c r="M4102" s="20"/>
    </row>
    <row r="4103">
      <c r="A4103" s="6"/>
      <c r="B4103" s="6"/>
      <c r="C4103" s="4"/>
      <c r="D4103" s="36">
        <v>33.600083</v>
      </c>
      <c r="E4103" s="4" t="s">
        <v>7073</v>
      </c>
      <c r="F4103" s="4"/>
      <c r="G4103" s="4"/>
      <c r="H4103" s="4"/>
      <c r="I4103" s="4"/>
      <c r="J4103" s="18"/>
      <c r="K4103" s="4"/>
      <c r="L4103" s="19"/>
      <c r="M4103" s="20"/>
    </row>
    <row r="4104">
      <c r="A4104" s="6"/>
      <c r="B4104" s="6"/>
      <c r="C4104" s="4"/>
      <c r="D4104" s="36">
        <v>221.807826</v>
      </c>
      <c r="E4104" s="4" t="s">
        <v>8992</v>
      </c>
      <c r="F4104" s="4"/>
      <c r="G4104" s="4"/>
      <c r="H4104" s="4"/>
      <c r="I4104" s="4"/>
      <c r="J4104" s="18"/>
      <c r="K4104" s="4"/>
      <c r="L4104" s="19"/>
      <c r="M4104" s="20"/>
    </row>
    <row r="4105">
      <c r="A4105" s="6"/>
      <c r="B4105" s="6"/>
      <c r="C4105" s="4"/>
      <c r="D4105" s="36">
        <v>198.24049</v>
      </c>
      <c r="E4105" s="4" t="s">
        <v>3887</v>
      </c>
      <c r="F4105" s="4"/>
      <c r="G4105" s="4"/>
      <c r="H4105" s="4"/>
      <c r="I4105" s="4"/>
      <c r="J4105" s="18"/>
      <c r="K4105" s="4"/>
      <c r="L4105" s="19"/>
      <c r="M4105" s="20"/>
    </row>
    <row r="4106">
      <c r="A4106" s="6"/>
      <c r="B4106" s="6"/>
      <c r="C4106" s="4"/>
      <c r="D4106" s="36">
        <v>100.824873</v>
      </c>
      <c r="E4106" s="4" t="s">
        <v>6220</v>
      </c>
      <c r="F4106" s="4"/>
      <c r="G4106" s="4"/>
      <c r="H4106" s="4"/>
      <c r="I4106" s="4"/>
      <c r="J4106" s="18"/>
      <c r="K4106" s="4"/>
      <c r="L4106" s="19"/>
      <c r="M4106" s="20"/>
    </row>
    <row r="4107">
      <c r="A4107" s="6"/>
      <c r="B4107" s="6"/>
      <c r="C4107" s="4"/>
      <c r="D4107" s="36">
        <v>56.980653</v>
      </c>
      <c r="E4107" s="4" t="s">
        <v>8645</v>
      </c>
      <c r="F4107" s="4"/>
      <c r="G4107" s="4"/>
      <c r="H4107" s="4"/>
      <c r="I4107" s="4"/>
      <c r="J4107" s="18"/>
      <c r="K4107" s="4"/>
      <c r="L4107" s="19"/>
      <c r="M4107" s="20"/>
    </row>
    <row r="4108">
      <c r="A4108" s="6"/>
      <c r="B4108" s="6"/>
      <c r="C4108" s="4"/>
      <c r="D4108" s="36">
        <v>65.55443</v>
      </c>
      <c r="E4108" s="4" t="s">
        <v>7491</v>
      </c>
      <c r="F4108" s="4"/>
      <c r="G4108" s="4"/>
      <c r="H4108" s="4"/>
      <c r="I4108" s="4"/>
      <c r="J4108" s="18"/>
      <c r="K4108" s="4"/>
      <c r="L4108" s="19"/>
      <c r="M4108" s="20"/>
    </row>
    <row r="4109">
      <c r="A4109" s="6"/>
      <c r="B4109" s="6"/>
      <c r="C4109" s="4"/>
      <c r="D4109" s="36">
        <v>224.000554</v>
      </c>
      <c r="E4109" s="4" t="s">
        <v>8547</v>
      </c>
      <c r="F4109" s="4"/>
      <c r="G4109" s="4"/>
      <c r="H4109" s="4"/>
      <c r="I4109" s="4"/>
      <c r="J4109" s="18"/>
      <c r="K4109" s="4"/>
      <c r="L4109" s="19"/>
      <c r="M4109" s="20"/>
    </row>
    <row r="4110">
      <c r="A4110" s="6"/>
      <c r="B4110" s="6"/>
      <c r="C4110" s="4"/>
      <c r="D4110" s="36">
        <v>63.324264</v>
      </c>
      <c r="E4110" s="4" t="s">
        <v>8993</v>
      </c>
      <c r="F4110" s="4"/>
      <c r="G4110" s="4"/>
      <c r="H4110" s="4"/>
      <c r="I4110" s="4"/>
      <c r="J4110" s="18"/>
      <c r="K4110" s="4"/>
      <c r="L4110" s="19"/>
      <c r="M4110" s="20"/>
    </row>
    <row r="4111">
      <c r="A4111" s="6"/>
      <c r="B4111" s="6"/>
      <c r="C4111" s="4"/>
      <c r="D4111" s="36">
        <v>112.094163</v>
      </c>
      <c r="E4111" s="4" t="s">
        <v>8994</v>
      </c>
      <c r="F4111" s="4"/>
      <c r="G4111" s="4"/>
      <c r="H4111" s="4"/>
      <c r="I4111" s="4"/>
      <c r="J4111" s="18"/>
      <c r="K4111" s="4"/>
      <c r="L4111" s="19"/>
      <c r="M4111" s="20"/>
    </row>
    <row r="4112">
      <c r="A4112" s="6"/>
      <c r="B4112" s="6"/>
      <c r="C4112" s="4"/>
      <c r="D4112" s="36">
        <v>219.120592</v>
      </c>
      <c r="E4112" s="4" t="s">
        <v>683</v>
      </c>
      <c r="F4112" s="4"/>
      <c r="G4112" s="4"/>
      <c r="H4112" s="4"/>
      <c r="I4112" s="4"/>
      <c r="J4112" s="18"/>
      <c r="K4112" s="4"/>
      <c r="L4112" s="19"/>
      <c r="M4112" s="20"/>
    </row>
    <row r="4113">
      <c r="A4113" s="6"/>
      <c r="B4113" s="6"/>
      <c r="C4113" s="4"/>
      <c r="D4113" s="36">
        <v>56.017514</v>
      </c>
      <c r="E4113" s="4" t="s">
        <v>8995</v>
      </c>
      <c r="F4113" s="4"/>
      <c r="G4113" s="4"/>
      <c r="H4113" s="4"/>
      <c r="I4113" s="4"/>
      <c r="J4113" s="18"/>
      <c r="K4113" s="4"/>
      <c r="L4113" s="19"/>
      <c r="M4113" s="20"/>
    </row>
    <row r="4114">
      <c r="A4114" s="6"/>
      <c r="B4114" s="6"/>
      <c r="C4114" s="4"/>
      <c r="D4114" s="36">
        <v>224.000554</v>
      </c>
      <c r="E4114" s="4" t="s">
        <v>8996</v>
      </c>
      <c r="F4114" s="4"/>
      <c r="G4114" s="4"/>
      <c r="H4114" s="4"/>
      <c r="I4114" s="4"/>
      <c r="J4114" s="18"/>
      <c r="K4114" s="4"/>
      <c r="L4114" s="19"/>
      <c r="M4114" s="20"/>
    </row>
    <row r="4115">
      <c r="A4115" s="6"/>
      <c r="B4115" s="6"/>
      <c r="C4115" s="4"/>
      <c r="D4115" s="36">
        <v>104.744523</v>
      </c>
      <c r="E4115" s="4" t="s">
        <v>2762</v>
      </c>
      <c r="F4115" s="4"/>
      <c r="G4115" s="4"/>
      <c r="H4115" s="4"/>
      <c r="I4115" s="4"/>
      <c r="J4115" s="18"/>
      <c r="K4115" s="4"/>
      <c r="L4115" s="19"/>
      <c r="M4115" s="20"/>
    </row>
    <row r="4116">
      <c r="A4116" s="6"/>
      <c r="B4116" s="6"/>
      <c r="C4116" s="4"/>
      <c r="D4116" s="36">
        <v>224.000554</v>
      </c>
      <c r="E4116" s="4" t="s">
        <v>8997</v>
      </c>
      <c r="F4116" s="4"/>
      <c r="G4116" s="4"/>
      <c r="H4116" s="4"/>
      <c r="I4116" s="4"/>
      <c r="J4116" s="18"/>
      <c r="K4116" s="4"/>
      <c r="L4116" s="19"/>
      <c r="M4116" s="20"/>
    </row>
    <row r="4117">
      <c r="A4117" s="6"/>
      <c r="B4117" s="6"/>
      <c r="C4117" s="4"/>
      <c r="D4117" s="36">
        <v>224.000554</v>
      </c>
      <c r="E4117" s="4" t="s">
        <v>8998</v>
      </c>
      <c r="F4117" s="4"/>
      <c r="G4117" s="4"/>
      <c r="H4117" s="4"/>
      <c r="I4117" s="4"/>
      <c r="J4117" s="18"/>
      <c r="K4117" s="4"/>
      <c r="L4117" s="19"/>
      <c r="M4117" s="20"/>
    </row>
    <row r="4118">
      <c r="A4118" s="6"/>
      <c r="B4118" s="6"/>
      <c r="C4118" s="4"/>
      <c r="D4118" s="36">
        <v>30.597206</v>
      </c>
      <c r="E4118" s="4" t="s">
        <v>5124</v>
      </c>
      <c r="F4118" s="4"/>
      <c r="G4118" s="4"/>
      <c r="H4118" s="4"/>
      <c r="I4118" s="4"/>
      <c r="J4118" s="18"/>
      <c r="K4118" s="4"/>
      <c r="L4118" s="19"/>
      <c r="M4118" s="20"/>
    </row>
    <row r="4119">
      <c r="A4119" s="6"/>
      <c r="B4119" s="6"/>
      <c r="C4119" s="4"/>
      <c r="D4119" s="36">
        <v>224.000554</v>
      </c>
      <c r="E4119" s="4" t="s">
        <v>8999</v>
      </c>
      <c r="F4119" s="4"/>
      <c r="G4119" s="4"/>
      <c r="H4119" s="4"/>
      <c r="I4119" s="4"/>
      <c r="J4119" s="18"/>
      <c r="K4119" s="4"/>
      <c r="L4119" s="19"/>
      <c r="M4119" s="20"/>
    </row>
    <row r="4120">
      <c r="A4120" s="6"/>
      <c r="B4120" s="6"/>
      <c r="C4120" s="4"/>
      <c r="D4120" s="36">
        <v>201.442182</v>
      </c>
      <c r="E4120" s="4" t="s">
        <v>8694</v>
      </c>
      <c r="F4120" s="4"/>
      <c r="G4120" s="4"/>
      <c r="H4120" s="4"/>
      <c r="I4120" s="4"/>
      <c r="J4120" s="18"/>
      <c r="K4120" s="4"/>
      <c r="L4120" s="19"/>
      <c r="M4120" s="20"/>
    </row>
    <row r="4121">
      <c r="A4121" s="6"/>
      <c r="B4121" s="6"/>
      <c r="C4121" s="4"/>
      <c r="D4121" s="36">
        <v>224.000554</v>
      </c>
      <c r="E4121" s="4" t="s">
        <v>8698</v>
      </c>
      <c r="F4121" s="4"/>
      <c r="G4121" s="4"/>
      <c r="H4121" s="4"/>
      <c r="I4121" s="4"/>
      <c r="J4121" s="18"/>
      <c r="K4121" s="4"/>
      <c r="L4121" s="19"/>
      <c r="M4121" s="20"/>
    </row>
    <row r="4122">
      <c r="A4122" s="6"/>
      <c r="B4122" s="6"/>
      <c r="C4122" s="4"/>
      <c r="D4122" s="36">
        <v>224.000554</v>
      </c>
      <c r="E4122" s="4" t="s">
        <v>966</v>
      </c>
      <c r="F4122" s="4"/>
      <c r="G4122" s="4"/>
      <c r="H4122" s="4"/>
      <c r="I4122" s="4"/>
      <c r="J4122" s="18"/>
      <c r="K4122" s="4"/>
      <c r="L4122" s="19"/>
      <c r="M4122" s="20"/>
    </row>
    <row r="4123">
      <c r="A4123" s="6"/>
      <c r="B4123" s="6"/>
      <c r="C4123" s="4"/>
      <c r="D4123" s="36">
        <v>33.603133</v>
      </c>
      <c r="E4123" s="4" t="s">
        <v>1066</v>
      </c>
      <c r="F4123" s="4"/>
      <c r="G4123" s="4"/>
      <c r="H4123" s="4"/>
      <c r="I4123" s="4"/>
      <c r="J4123" s="18"/>
      <c r="K4123" s="4"/>
      <c r="L4123" s="19"/>
      <c r="M4123" s="20"/>
    </row>
    <row r="4124">
      <c r="A4124" s="6"/>
      <c r="B4124" s="6"/>
      <c r="C4124" s="4"/>
      <c r="D4124" s="36">
        <v>97.846778</v>
      </c>
      <c r="E4124" s="4" t="s">
        <v>1154</v>
      </c>
      <c r="F4124" s="4"/>
      <c r="G4124" s="4"/>
      <c r="H4124" s="4"/>
      <c r="I4124" s="4"/>
      <c r="J4124" s="18"/>
      <c r="K4124" s="4"/>
      <c r="L4124" s="19"/>
      <c r="M4124" s="20"/>
    </row>
    <row r="4125">
      <c r="A4125" s="6"/>
      <c r="B4125" s="6"/>
      <c r="C4125" s="4"/>
      <c r="D4125" s="36">
        <v>224.000554</v>
      </c>
      <c r="E4125" s="4" t="s">
        <v>367</v>
      </c>
      <c r="F4125" s="4"/>
      <c r="G4125" s="4"/>
      <c r="H4125" s="4"/>
      <c r="I4125" s="4"/>
      <c r="J4125" s="18"/>
      <c r="K4125" s="4"/>
      <c r="L4125" s="19"/>
      <c r="M4125" s="20"/>
    </row>
    <row r="4126">
      <c r="A4126" s="6"/>
      <c r="B4126" s="6"/>
      <c r="C4126" s="4"/>
      <c r="D4126" s="36">
        <v>96.778499</v>
      </c>
      <c r="E4126" s="4" t="s">
        <v>9000</v>
      </c>
      <c r="F4126" s="4"/>
      <c r="G4126" s="4"/>
      <c r="H4126" s="4"/>
      <c r="I4126" s="4"/>
      <c r="J4126" s="18"/>
      <c r="K4126" s="4"/>
      <c r="L4126" s="19"/>
      <c r="M4126" s="20"/>
    </row>
    <row r="4127">
      <c r="A4127" s="6"/>
      <c r="B4127" s="6"/>
      <c r="C4127" s="4"/>
      <c r="D4127" s="36">
        <v>77.806694</v>
      </c>
      <c r="E4127" s="4" t="s">
        <v>9001</v>
      </c>
      <c r="F4127" s="4"/>
      <c r="G4127" s="4"/>
      <c r="H4127" s="4"/>
      <c r="I4127" s="4"/>
      <c r="J4127" s="18"/>
      <c r="K4127" s="4"/>
      <c r="L4127" s="19"/>
      <c r="M4127" s="20"/>
    </row>
    <row r="4128">
      <c r="A4128" s="6"/>
      <c r="B4128" s="6"/>
      <c r="C4128" s="4"/>
      <c r="D4128" s="36">
        <v>224.000554</v>
      </c>
      <c r="E4128" s="4" t="s">
        <v>8701</v>
      </c>
      <c r="F4128" s="4"/>
      <c r="G4128" s="4"/>
      <c r="H4128" s="4"/>
      <c r="I4128" s="4"/>
      <c r="J4128" s="18"/>
      <c r="K4128" s="4"/>
      <c r="L4128" s="19"/>
      <c r="M4128" s="20"/>
    </row>
    <row r="4129">
      <c r="A4129" s="6"/>
      <c r="B4129" s="6"/>
      <c r="C4129" s="4"/>
      <c r="D4129" s="36">
        <v>67.443487</v>
      </c>
      <c r="E4129" s="4" t="s">
        <v>7910</v>
      </c>
      <c r="F4129" s="4"/>
      <c r="G4129" s="4"/>
      <c r="H4129" s="4"/>
      <c r="I4129" s="4"/>
      <c r="J4129" s="18"/>
      <c r="K4129" s="4"/>
      <c r="L4129" s="19"/>
      <c r="M4129" s="20"/>
    </row>
    <row r="4130">
      <c r="A4130" s="6"/>
      <c r="B4130" s="6"/>
      <c r="C4130" s="4"/>
      <c r="D4130" s="36">
        <v>224.000554</v>
      </c>
      <c r="E4130" s="4" t="s">
        <v>977</v>
      </c>
      <c r="F4130" s="4"/>
      <c r="G4130" s="4"/>
      <c r="H4130" s="4"/>
      <c r="I4130" s="4"/>
      <c r="J4130" s="18"/>
      <c r="K4130" s="4"/>
      <c r="L4130" s="19"/>
      <c r="M4130" s="20"/>
    </row>
    <row r="4131">
      <c r="A4131" s="6"/>
      <c r="B4131" s="6"/>
      <c r="C4131" s="4"/>
      <c r="D4131" s="36">
        <v>145.825412</v>
      </c>
      <c r="E4131" s="4" t="s">
        <v>1524</v>
      </c>
      <c r="F4131" s="4"/>
      <c r="G4131" s="4"/>
      <c r="H4131" s="4"/>
      <c r="I4131" s="4"/>
      <c r="J4131" s="18"/>
      <c r="K4131" s="4"/>
      <c r="L4131" s="19"/>
      <c r="M4131" s="20"/>
    </row>
    <row r="4132">
      <c r="A4132" s="6"/>
      <c r="B4132" s="6"/>
      <c r="C4132" s="4"/>
      <c r="D4132" s="36">
        <v>33.600083</v>
      </c>
      <c r="E4132" s="4" t="s">
        <v>5479</v>
      </c>
      <c r="F4132" s="4"/>
      <c r="G4132" s="4"/>
      <c r="H4132" s="4"/>
      <c r="I4132" s="4"/>
      <c r="J4132" s="18"/>
      <c r="K4132" s="4"/>
      <c r="L4132" s="19"/>
      <c r="M4132" s="20"/>
    </row>
    <row r="4133">
      <c r="A4133" s="6"/>
      <c r="B4133" s="6"/>
      <c r="C4133" s="4"/>
      <c r="D4133" s="36">
        <v>63.111148</v>
      </c>
      <c r="E4133" s="4" t="s">
        <v>6717</v>
      </c>
      <c r="F4133" s="4"/>
      <c r="G4133" s="4"/>
      <c r="H4133" s="4"/>
      <c r="I4133" s="4"/>
      <c r="J4133" s="18"/>
      <c r="K4133" s="4"/>
      <c r="L4133" s="19"/>
      <c r="M4133" s="20"/>
    </row>
    <row r="4134">
      <c r="A4134" s="6"/>
      <c r="B4134" s="6"/>
      <c r="C4134" s="4"/>
      <c r="D4134" s="36">
        <v>74.898184</v>
      </c>
      <c r="E4134" s="4" t="s">
        <v>2156</v>
      </c>
      <c r="F4134" s="4"/>
      <c r="G4134" s="4"/>
      <c r="H4134" s="4"/>
      <c r="I4134" s="4"/>
      <c r="J4134" s="18"/>
      <c r="K4134" s="4"/>
      <c r="L4134" s="19"/>
      <c r="M4134" s="20"/>
    </row>
    <row r="4135">
      <c r="A4135" s="6"/>
      <c r="B4135" s="6"/>
      <c r="C4135" s="4"/>
      <c r="D4135" s="36">
        <v>52.019485</v>
      </c>
      <c r="E4135" s="4" t="s">
        <v>9002</v>
      </c>
      <c r="F4135" s="4"/>
      <c r="G4135" s="4"/>
      <c r="H4135" s="4"/>
      <c r="I4135" s="4"/>
      <c r="J4135" s="18"/>
      <c r="K4135" s="4"/>
      <c r="L4135" s="19"/>
      <c r="M4135" s="20"/>
    </row>
    <row r="4136">
      <c r="A4136" s="6"/>
      <c r="B4136" s="6"/>
      <c r="C4136" s="4"/>
      <c r="D4136" s="36">
        <v>25.241133</v>
      </c>
      <c r="E4136" s="4" t="s">
        <v>9003</v>
      </c>
      <c r="F4136" s="4"/>
      <c r="G4136" s="4"/>
      <c r="H4136" s="4"/>
      <c r="I4136" s="4"/>
      <c r="J4136" s="18"/>
      <c r="K4136" s="4"/>
      <c r="L4136" s="19"/>
      <c r="M4136" s="20"/>
    </row>
    <row r="4137">
      <c r="A4137" s="6"/>
      <c r="B4137" s="6"/>
      <c r="C4137" s="4"/>
      <c r="D4137" s="36">
        <v>89.600221</v>
      </c>
      <c r="E4137" s="4" t="s">
        <v>8630</v>
      </c>
      <c r="F4137" s="4"/>
      <c r="G4137" s="4"/>
      <c r="H4137" s="4"/>
      <c r="I4137" s="4"/>
      <c r="J4137" s="18"/>
      <c r="K4137" s="4"/>
      <c r="L4137" s="19"/>
      <c r="M4137" s="20"/>
    </row>
    <row r="4138">
      <c r="A4138" s="6"/>
      <c r="B4138" s="6"/>
      <c r="C4138" s="4"/>
      <c r="D4138" s="36">
        <v>97.888495</v>
      </c>
      <c r="E4138" s="4" t="s">
        <v>1495</v>
      </c>
      <c r="F4138" s="4"/>
      <c r="G4138" s="4"/>
      <c r="H4138" s="4"/>
      <c r="I4138" s="4"/>
      <c r="J4138" s="18"/>
      <c r="K4138" s="4"/>
      <c r="L4138" s="19"/>
      <c r="M4138" s="20"/>
    </row>
    <row r="4139">
      <c r="A4139" s="6"/>
      <c r="B4139" s="6"/>
      <c r="C4139" s="4"/>
      <c r="D4139" s="36">
        <v>224.000554</v>
      </c>
      <c r="E4139" s="4" t="s">
        <v>135</v>
      </c>
      <c r="F4139" s="4"/>
      <c r="G4139" s="4"/>
      <c r="H4139" s="4"/>
      <c r="I4139" s="4"/>
      <c r="J4139" s="18"/>
      <c r="K4139" s="4"/>
      <c r="L4139" s="19"/>
      <c r="M4139" s="20"/>
    </row>
    <row r="4140">
      <c r="A4140" s="6"/>
      <c r="B4140" s="6"/>
      <c r="C4140" s="4"/>
      <c r="D4140" s="36">
        <v>135.039302</v>
      </c>
      <c r="E4140" s="4" t="s">
        <v>9004</v>
      </c>
      <c r="F4140" s="4"/>
      <c r="G4140" s="4"/>
      <c r="H4140" s="4"/>
      <c r="I4140" s="4"/>
      <c r="J4140" s="18"/>
      <c r="K4140" s="4"/>
      <c r="L4140" s="19"/>
      <c r="M4140" s="20"/>
    </row>
    <row r="4141">
      <c r="A4141" s="6"/>
      <c r="B4141" s="6"/>
      <c r="C4141" s="4"/>
      <c r="D4141" s="36">
        <v>224.000554</v>
      </c>
      <c r="E4141" s="4" t="s">
        <v>9005</v>
      </c>
      <c r="F4141" s="4"/>
      <c r="G4141" s="4"/>
      <c r="H4141" s="4"/>
      <c r="I4141" s="4"/>
      <c r="J4141" s="18"/>
      <c r="K4141" s="4"/>
      <c r="L4141" s="19"/>
      <c r="M4141" s="20"/>
    </row>
    <row r="4142">
      <c r="A4142" s="6"/>
      <c r="B4142" s="6"/>
      <c r="C4142" s="4"/>
      <c r="D4142" s="36">
        <v>120.87151</v>
      </c>
      <c r="E4142" s="4" t="s">
        <v>9006</v>
      </c>
      <c r="F4142" s="4"/>
      <c r="G4142" s="4"/>
      <c r="H4142" s="4"/>
      <c r="I4142" s="4"/>
      <c r="J4142" s="18"/>
      <c r="K4142" s="4"/>
      <c r="L4142" s="19"/>
      <c r="M4142" s="20"/>
    </row>
    <row r="4143">
      <c r="A4143" s="6"/>
      <c r="B4143" s="6"/>
      <c r="C4143" s="4"/>
      <c r="D4143" s="36">
        <v>33.152532</v>
      </c>
      <c r="E4143" s="4" t="s">
        <v>9007</v>
      </c>
      <c r="F4143" s="4"/>
      <c r="G4143" s="4"/>
      <c r="H4143" s="4"/>
      <c r="I4143" s="4"/>
      <c r="J4143" s="18"/>
      <c r="K4143" s="4"/>
      <c r="L4143" s="19"/>
      <c r="M4143" s="20"/>
    </row>
    <row r="4144">
      <c r="A4144" s="6"/>
      <c r="B4144" s="6"/>
      <c r="C4144" s="4"/>
      <c r="D4144" s="36">
        <v>224.000554</v>
      </c>
      <c r="E4144" s="4" t="s">
        <v>9008</v>
      </c>
      <c r="F4144" s="4"/>
      <c r="G4144" s="4"/>
      <c r="H4144" s="4"/>
      <c r="I4144" s="4"/>
      <c r="J4144" s="18"/>
      <c r="K4144" s="4"/>
      <c r="L4144" s="19"/>
      <c r="M4144" s="20"/>
    </row>
    <row r="4145">
      <c r="A4145" s="6"/>
      <c r="B4145" s="6"/>
      <c r="C4145" s="4"/>
      <c r="D4145" s="36">
        <v>79.277098</v>
      </c>
      <c r="E4145" s="4" t="s">
        <v>475</v>
      </c>
      <c r="F4145" s="4"/>
      <c r="G4145" s="4"/>
      <c r="H4145" s="4"/>
      <c r="I4145" s="4"/>
      <c r="J4145" s="18"/>
      <c r="K4145" s="4"/>
      <c r="L4145" s="19"/>
      <c r="M4145" s="20"/>
    </row>
    <row r="4146">
      <c r="A4146" s="6"/>
      <c r="B4146" s="6"/>
      <c r="C4146" s="4"/>
      <c r="D4146" s="36">
        <v>37.34686</v>
      </c>
      <c r="E4146" s="4" t="s">
        <v>3239</v>
      </c>
      <c r="F4146" s="4"/>
      <c r="G4146" s="4"/>
      <c r="H4146" s="4"/>
      <c r="I4146" s="4"/>
      <c r="J4146" s="18"/>
      <c r="K4146" s="4"/>
      <c r="L4146" s="19"/>
      <c r="M4146" s="20"/>
    </row>
    <row r="4147">
      <c r="A4147" s="6"/>
      <c r="B4147" s="6"/>
      <c r="C4147" s="4"/>
      <c r="D4147" s="36">
        <v>143.391666</v>
      </c>
      <c r="E4147" s="4" t="s">
        <v>31</v>
      </c>
      <c r="F4147" s="4"/>
      <c r="G4147" s="4"/>
      <c r="H4147" s="4"/>
      <c r="I4147" s="4"/>
      <c r="J4147" s="18"/>
      <c r="K4147" s="4"/>
      <c r="L4147" s="19"/>
      <c r="M4147" s="20"/>
    </row>
    <row r="4148">
      <c r="A4148" s="6"/>
      <c r="B4148" s="6"/>
      <c r="C4148" s="4"/>
      <c r="D4148" s="36">
        <v>194.68765</v>
      </c>
      <c r="E4148" s="4" t="s">
        <v>1639</v>
      </c>
      <c r="F4148" s="4"/>
      <c r="G4148" s="4"/>
      <c r="H4148" s="4"/>
      <c r="I4148" s="4"/>
      <c r="J4148" s="18"/>
      <c r="K4148" s="4"/>
      <c r="L4148" s="19"/>
      <c r="M4148" s="20"/>
    </row>
    <row r="4149">
      <c r="A4149" s="6"/>
      <c r="B4149" s="6"/>
      <c r="C4149" s="4"/>
      <c r="D4149" s="36">
        <v>200.402386</v>
      </c>
      <c r="E4149" s="4" t="s">
        <v>534</v>
      </c>
      <c r="F4149" s="4"/>
      <c r="G4149" s="4"/>
      <c r="H4149" s="4"/>
      <c r="I4149" s="4"/>
      <c r="J4149" s="18"/>
      <c r="K4149" s="4"/>
      <c r="L4149" s="19"/>
      <c r="M4149" s="20"/>
    </row>
    <row r="4150">
      <c r="A4150" s="6"/>
      <c r="B4150" s="6"/>
      <c r="C4150" s="4"/>
      <c r="D4150" s="36">
        <v>224.000554</v>
      </c>
      <c r="E4150" s="4" t="s">
        <v>1121</v>
      </c>
      <c r="F4150" s="4"/>
      <c r="G4150" s="4"/>
      <c r="H4150" s="4"/>
      <c r="I4150" s="4"/>
      <c r="J4150" s="18"/>
      <c r="K4150" s="4"/>
      <c r="L4150" s="19"/>
      <c r="M4150" s="20"/>
    </row>
    <row r="4151">
      <c r="A4151" s="6"/>
      <c r="B4151" s="6"/>
      <c r="C4151" s="4"/>
      <c r="D4151" s="36">
        <v>111.386574</v>
      </c>
      <c r="E4151" s="4" t="s">
        <v>554</v>
      </c>
      <c r="F4151" s="4"/>
      <c r="G4151" s="4"/>
      <c r="H4151" s="4"/>
      <c r="I4151" s="4"/>
      <c r="J4151" s="18"/>
      <c r="K4151" s="4"/>
      <c r="L4151" s="19"/>
      <c r="M4151" s="20"/>
    </row>
    <row r="4152">
      <c r="A4152" s="6"/>
      <c r="B4152" s="6"/>
      <c r="C4152" s="4"/>
      <c r="D4152" s="36">
        <v>92.199412</v>
      </c>
      <c r="E4152" s="4" t="s">
        <v>929</v>
      </c>
      <c r="F4152" s="4"/>
      <c r="G4152" s="4"/>
      <c r="H4152" s="4"/>
      <c r="I4152" s="4"/>
      <c r="J4152" s="18"/>
      <c r="K4152" s="4"/>
      <c r="L4152" s="19"/>
      <c r="M4152" s="20"/>
    </row>
    <row r="4153">
      <c r="A4153" s="6"/>
      <c r="B4153" s="6"/>
      <c r="C4153" s="4"/>
      <c r="D4153" s="36">
        <v>35.191984</v>
      </c>
      <c r="E4153" s="4" t="s">
        <v>338</v>
      </c>
      <c r="F4153" s="4"/>
      <c r="G4153" s="4"/>
      <c r="H4153" s="4"/>
      <c r="I4153" s="4"/>
      <c r="J4153" s="18"/>
      <c r="K4153" s="4"/>
      <c r="L4153" s="19"/>
      <c r="M4153" s="20"/>
    </row>
    <row r="4154">
      <c r="A4154" s="6"/>
      <c r="B4154" s="6"/>
      <c r="C4154" s="4"/>
      <c r="D4154" s="36">
        <v>220.476437</v>
      </c>
      <c r="E4154" s="4" t="s">
        <v>9009</v>
      </c>
      <c r="F4154" s="4"/>
      <c r="G4154" s="4"/>
      <c r="H4154" s="4"/>
      <c r="I4154" s="4"/>
      <c r="J4154" s="18"/>
      <c r="K4154" s="4"/>
      <c r="L4154" s="19"/>
      <c r="M4154" s="20"/>
    </row>
    <row r="4155">
      <c r="A4155" s="6"/>
      <c r="B4155" s="6"/>
      <c r="C4155" s="4"/>
      <c r="D4155" s="36">
        <v>82.665564</v>
      </c>
      <c r="E4155" s="4" t="s">
        <v>5818</v>
      </c>
      <c r="F4155" s="4"/>
      <c r="G4155" s="4"/>
      <c r="H4155" s="4"/>
      <c r="I4155" s="4"/>
      <c r="J4155" s="18"/>
      <c r="K4155" s="4"/>
      <c r="L4155" s="19"/>
      <c r="M4155" s="20"/>
    </row>
    <row r="4156">
      <c r="A4156" s="6"/>
      <c r="B4156" s="6"/>
      <c r="C4156" s="4"/>
      <c r="D4156" s="36">
        <v>71.133114</v>
      </c>
      <c r="E4156" s="4" t="s">
        <v>8685</v>
      </c>
      <c r="F4156" s="4"/>
      <c r="G4156" s="4"/>
      <c r="H4156" s="4"/>
      <c r="I4156" s="4"/>
      <c r="J4156" s="18"/>
      <c r="K4156" s="4"/>
      <c r="L4156" s="19"/>
      <c r="M4156" s="20"/>
    </row>
    <row r="4157">
      <c r="A4157" s="6"/>
      <c r="B4157" s="6"/>
      <c r="C4157" s="4"/>
      <c r="D4157" s="36">
        <v>224.000554</v>
      </c>
      <c r="E4157" s="4" t="s">
        <v>9010</v>
      </c>
      <c r="F4157" s="4"/>
      <c r="G4157" s="4"/>
      <c r="H4157" s="4"/>
      <c r="I4157" s="4"/>
      <c r="J4157" s="18"/>
      <c r="K4157" s="4"/>
      <c r="L4157" s="19"/>
      <c r="M4157" s="20"/>
    </row>
    <row r="4158">
      <c r="A4158" s="6"/>
      <c r="B4158" s="6"/>
      <c r="C4158" s="4"/>
      <c r="D4158" s="36">
        <v>224.000554</v>
      </c>
      <c r="E4158" s="4" t="s">
        <v>673</v>
      </c>
      <c r="F4158" s="4"/>
      <c r="G4158" s="4"/>
      <c r="H4158" s="4"/>
      <c r="I4158" s="4"/>
      <c r="J4158" s="18"/>
      <c r="K4158" s="4"/>
      <c r="L4158" s="19"/>
      <c r="M4158" s="20"/>
    </row>
    <row r="4159">
      <c r="A4159" s="6"/>
      <c r="B4159" s="6"/>
      <c r="C4159" s="4"/>
      <c r="D4159" s="36">
        <v>224.000554</v>
      </c>
      <c r="E4159" s="4" t="s">
        <v>4576</v>
      </c>
      <c r="F4159" s="4"/>
      <c r="G4159" s="4"/>
      <c r="H4159" s="4"/>
      <c r="I4159" s="4"/>
      <c r="J4159" s="18"/>
      <c r="K4159" s="4"/>
      <c r="L4159" s="19"/>
      <c r="M4159" s="20"/>
    </row>
    <row r="4160">
      <c r="A4160" s="6"/>
      <c r="B4160" s="6"/>
      <c r="C4160" s="4"/>
      <c r="D4160" s="36">
        <v>198.97044</v>
      </c>
      <c r="E4160" s="4" t="s">
        <v>2981</v>
      </c>
      <c r="F4160" s="4"/>
      <c r="G4160" s="4"/>
      <c r="H4160" s="4"/>
      <c r="I4160" s="4"/>
      <c r="J4160" s="18"/>
      <c r="K4160" s="4"/>
      <c r="L4160" s="19"/>
      <c r="M4160" s="20"/>
    </row>
    <row r="4161">
      <c r="A4161" s="6"/>
      <c r="B4161" s="6"/>
      <c r="C4161" s="4"/>
      <c r="D4161" s="36">
        <v>91.74141</v>
      </c>
      <c r="E4161" s="4" t="s">
        <v>834</v>
      </c>
      <c r="F4161" s="4"/>
      <c r="G4161" s="4"/>
      <c r="H4161" s="4"/>
      <c r="I4161" s="4"/>
      <c r="J4161" s="18"/>
      <c r="K4161" s="4"/>
      <c r="L4161" s="19"/>
      <c r="M4161" s="20"/>
    </row>
    <row r="4162">
      <c r="A4162" s="6"/>
      <c r="B4162" s="6"/>
      <c r="C4162" s="4"/>
      <c r="D4162" s="36">
        <v>224.000554</v>
      </c>
      <c r="E4162" s="4" t="s">
        <v>9011</v>
      </c>
      <c r="F4162" s="4"/>
      <c r="G4162" s="4"/>
      <c r="H4162" s="4"/>
      <c r="I4162" s="4"/>
      <c r="J4162" s="18"/>
      <c r="K4162" s="4"/>
      <c r="L4162" s="19"/>
      <c r="M4162" s="20"/>
    </row>
    <row r="4163">
      <c r="A4163" s="6"/>
      <c r="B4163" s="6"/>
      <c r="C4163" s="4"/>
      <c r="D4163" s="36">
        <v>11.135972</v>
      </c>
      <c r="E4163" s="4" t="s">
        <v>9012</v>
      </c>
      <c r="F4163" s="4"/>
      <c r="G4163" s="4"/>
      <c r="H4163" s="4"/>
      <c r="I4163" s="4"/>
      <c r="J4163" s="18"/>
      <c r="K4163" s="4"/>
      <c r="L4163" s="19"/>
      <c r="M4163" s="20"/>
    </row>
    <row r="4164">
      <c r="A4164" s="6"/>
      <c r="B4164" s="6"/>
      <c r="C4164" s="4"/>
      <c r="D4164" s="36">
        <v>44.060319</v>
      </c>
      <c r="E4164" s="4" t="s">
        <v>8640</v>
      </c>
      <c r="F4164" s="4"/>
      <c r="G4164" s="4"/>
      <c r="H4164" s="4"/>
      <c r="I4164" s="4"/>
      <c r="J4164" s="18"/>
      <c r="K4164" s="4"/>
      <c r="L4164" s="19"/>
      <c r="M4164" s="20"/>
    </row>
    <row r="4165">
      <c r="A4165" s="6"/>
      <c r="B4165" s="6"/>
      <c r="C4165" s="4"/>
      <c r="D4165" s="36">
        <v>224.000554</v>
      </c>
      <c r="E4165" s="4" t="s">
        <v>1241</v>
      </c>
      <c r="F4165" s="4"/>
      <c r="G4165" s="4"/>
      <c r="H4165" s="4"/>
      <c r="I4165" s="4"/>
      <c r="J4165" s="18"/>
      <c r="K4165" s="4"/>
      <c r="L4165" s="19"/>
      <c r="M4165" s="20"/>
    </row>
    <row r="4166">
      <c r="A4166" s="6"/>
      <c r="B4166" s="6"/>
      <c r="C4166" s="4"/>
      <c r="D4166" s="36">
        <v>224.000554</v>
      </c>
      <c r="E4166" s="4" t="s">
        <v>9013</v>
      </c>
      <c r="F4166" s="4"/>
      <c r="G4166" s="4"/>
      <c r="H4166" s="4"/>
      <c r="I4166" s="4"/>
      <c r="J4166" s="18"/>
      <c r="K4166" s="4"/>
      <c r="L4166" s="19"/>
      <c r="M4166" s="20"/>
    </row>
    <row r="4167">
      <c r="A4167" s="6"/>
      <c r="B4167" s="6"/>
      <c r="C4167" s="4"/>
      <c r="D4167" s="36">
        <v>68.568753</v>
      </c>
      <c r="E4167" s="4" t="s">
        <v>8726</v>
      </c>
      <c r="F4167" s="4"/>
      <c r="G4167" s="4"/>
      <c r="H4167" s="4"/>
      <c r="I4167" s="4"/>
      <c r="J4167" s="18"/>
      <c r="K4167" s="4"/>
      <c r="L4167" s="19"/>
      <c r="M4167" s="20"/>
    </row>
    <row r="4168">
      <c r="A4168" s="6"/>
      <c r="B4168" s="6"/>
      <c r="C4168" s="4"/>
      <c r="D4168" s="36">
        <v>56.449098</v>
      </c>
      <c r="E4168" s="4" t="s">
        <v>9014</v>
      </c>
      <c r="F4168" s="4"/>
      <c r="G4168" s="4"/>
      <c r="H4168" s="4"/>
      <c r="I4168" s="4"/>
      <c r="J4168" s="18"/>
      <c r="K4168" s="4"/>
      <c r="L4168" s="19"/>
      <c r="M4168" s="20"/>
    </row>
    <row r="4169">
      <c r="A4169" s="6"/>
      <c r="B4169" s="6"/>
      <c r="C4169" s="4"/>
      <c r="D4169" s="36">
        <v>33.609926</v>
      </c>
      <c r="E4169" s="4" t="s">
        <v>7066</v>
      </c>
      <c r="F4169" s="4"/>
      <c r="G4169" s="4"/>
      <c r="H4169" s="4"/>
      <c r="I4169" s="4"/>
      <c r="J4169" s="18"/>
      <c r="K4169" s="4"/>
      <c r="L4169" s="19"/>
      <c r="M4169" s="20"/>
    </row>
    <row r="4170">
      <c r="A4170" s="6"/>
      <c r="B4170" s="6"/>
      <c r="C4170" s="4"/>
      <c r="D4170" s="36">
        <v>102.928114</v>
      </c>
      <c r="E4170" s="4" t="s">
        <v>5278</v>
      </c>
      <c r="F4170" s="4"/>
      <c r="G4170" s="4"/>
      <c r="H4170" s="4"/>
      <c r="I4170" s="4"/>
      <c r="J4170" s="18"/>
      <c r="K4170" s="4"/>
      <c r="L4170" s="19"/>
      <c r="M4170" s="20"/>
    </row>
    <row r="4171">
      <c r="A4171" s="6"/>
      <c r="B4171" s="6"/>
      <c r="C4171" s="4"/>
      <c r="D4171" s="36">
        <v>76.97804</v>
      </c>
      <c r="E4171" s="4" t="s">
        <v>107</v>
      </c>
      <c r="F4171" s="4"/>
      <c r="G4171" s="4"/>
      <c r="H4171" s="4"/>
      <c r="I4171" s="4"/>
      <c r="J4171" s="18"/>
      <c r="K4171" s="4"/>
      <c r="L4171" s="19"/>
      <c r="M4171" s="20"/>
    </row>
    <row r="4172">
      <c r="A4172" s="6"/>
      <c r="B4172" s="6"/>
      <c r="C4172" s="4"/>
      <c r="D4172" s="36">
        <v>56.000138</v>
      </c>
      <c r="E4172" s="4" t="s">
        <v>8321</v>
      </c>
      <c r="F4172" s="4"/>
      <c r="G4172" s="4"/>
      <c r="H4172" s="4"/>
      <c r="I4172" s="4"/>
      <c r="J4172" s="18"/>
      <c r="K4172" s="4"/>
      <c r="L4172" s="19"/>
      <c r="M4172" s="20"/>
    </row>
    <row r="4173">
      <c r="A4173" s="6"/>
      <c r="B4173" s="6"/>
      <c r="C4173" s="4"/>
      <c r="D4173" s="36">
        <v>224.000554</v>
      </c>
      <c r="E4173" s="4" t="s">
        <v>9015</v>
      </c>
      <c r="F4173" s="4"/>
      <c r="G4173" s="4"/>
      <c r="H4173" s="4"/>
      <c r="I4173" s="4"/>
      <c r="J4173" s="18"/>
      <c r="K4173" s="4"/>
      <c r="L4173" s="19"/>
      <c r="M4173" s="20"/>
    </row>
    <row r="4174">
      <c r="A4174" s="6"/>
      <c r="B4174" s="6"/>
      <c r="C4174" s="4"/>
      <c r="D4174" s="36">
        <v>224.000554</v>
      </c>
      <c r="E4174" s="4" t="s">
        <v>7465</v>
      </c>
      <c r="F4174" s="4"/>
      <c r="G4174" s="4"/>
      <c r="H4174" s="4"/>
      <c r="I4174" s="4"/>
      <c r="J4174" s="18"/>
      <c r="K4174" s="4"/>
      <c r="L4174" s="19"/>
      <c r="M4174" s="20"/>
    </row>
    <row r="4175">
      <c r="A4175" s="6"/>
      <c r="B4175" s="6"/>
      <c r="C4175" s="4"/>
      <c r="D4175" s="36">
        <v>150.080371</v>
      </c>
      <c r="E4175" s="4" t="s">
        <v>9016</v>
      </c>
      <c r="F4175" s="4"/>
      <c r="G4175" s="4"/>
      <c r="H4175" s="4"/>
      <c r="I4175" s="4"/>
      <c r="J4175" s="18"/>
      <c r="K4175" s="4"/>
      <c r="L4175" s="19"/>
      <c r="M4175" s="20"/>
    </row>
    <row r="4176">
      <c r="A4176" s="6"/>
      <c r="B4176" s="6"/>
      <c r="C4176" s="4"/>
      <c r="D4176" s="36">
        <v>224.000554</v>
      </c>
      <c r="E4176" s="4" t="s">
        <v>485</v>
      </c>
      <c r="F4176" s="4"/>
      <c r="G4176" s="4"/>
      <c r="H4176" s="4"/>
      <c r="I4176" s="4"/>
      <c r="J4176" s="18"/>
      <c r="K4176" s="4"/>
      <c r="L4176" s="19"/>
      <c r="M4176" s="20"/>
    </row>
    <row r="4177">
      <c r="A4177" s="6"/>
      <c r="B4177" s="6"/>
      <c r="C4177" s="4"/>
      <c r="D4177" s="36">
        <v>56.084471</v>
      </c>
      <c r="E4177" s="4" t="s">
        <v>8581</v>
      </c>
      <c r="F4177" s="4"/>
      <c r="G4177" s="4"/>
      <c r="H4177" s="4"/>
      <c r="I4177" s="4"/>
      <c r="J4177" s="18"/>
      <c r="K4177" s="4"/>
      <c r="L4177" s="19"/>
      <c r="M4177" s="20"/>
    </row>
    <row r="4178">
      <c r="A4178" s="6"/>
      <c r="B4178" s="6"/>
      <c r="C4178" s="4"/>
      <c r="D4178" s="36">
        <v>122.848917</v>
      </c>
      <c r="E4178" s="4" t="s">
        <v>675</v>
      </c>
      <c r="F4178" s="4"/>
      <c r="G4178" s="4"/>
      <c r="H4178" s="4"/>
      <c r="I4178" s="4"/>
      <c r="J4178" s="18"/>
      <c r="K4178" s="4"/>
      <c r="L4178" s="19"/>
      <c r="M4178" s="20"/>
    </row>
    <row r="4179">
      <c r="A4179" s="6"/>
      <c r="B4179" s="6"/>
      <c r="C4179" s="4"/>
      <c r="D4179" s="36">
        <v>59.076001</v>
      </c>
      <c r="E4179" s="4" t="s">
        <v>3626</v>
      </c>
      <c r="F4179" s="4"/>
      <c r="G4179" s="4"/>
      <c r="H4179" s="4"/>
      <c r="I4179" s="4"/>
      <c r="J4179" s="18"/>
      <c r="K4179" s="4"/>
      <c r="L4179" s="19"/>
      <c r="M4179" s="20"/>
    </row>
    <row r="4180">
      <c r="A4180" s="6"/>
      <c r="B4180" s="6"/>
      <c r="C4180" s="4"/>
      <c r="D4180" s="36">
        <v>224.000554</v>
      </c>
      <c r="E4180" s="4" t="s">
        <v>1283</v>
      </c>
      <c r="F4180" s="4"/>
      <c r="G4180" s="4"/>
      <c r="H4180" s="4"/>
      <c r="I4180" s="4"/>
      <c r="J4180" s="18"/>
      <c r="K4180" s="4"/>
      <c r="L4180" s="19"/>
      <c r="M4180" s="20"/>
    </row>
    <row r="4181">
      <c r="A4181" s="6"/>
      <c r="B4181" s="6"/>
      <c r="C4181" s="4"/>
      <c r="D4181" s="36">
        <v>27.229322</v>
      </c>
      <c r="E4181" s="4" t="s">
        <v>6761</v>
      </c>
      <c r="F4181" s="4"/>
      <c r="G4181" s="4"/>
      <c r="H4181" s="4"/>
      <c r="I4181" s="4"/>
      <c r="J4181" s="18"/>
      <c r="K4181" s="4"/>
      <c r="L4181" s="19"/>
      <c r="M4181" s="20"/>
    </row>
    <row r="4182">
      <c r="A4182" s="6"/>
      <c r="B4182" s="6"/>
      <c r="C4182" s="4"/>
      <c r="D4182" s="36">
        <v>100.811449</v>
      </c>
      <c r="E4182" s="4" t="s">
        <v>9017</v>
      </c>
      <c r="F4182" s="4"/>
      <c r="G4182" s="4"/>
      <c r="H4182" s="4"/>
      <c r="I4182" s="4"/>
      <c r="J4182" s="18"/>
      <c r="K4182" s="4"/>
      <c r="L4182" s="19"/>
      <c r="M4182" s="20"/>
    </row>
    <row r="4183">
      <c r="A4183" s="6"/>
      <c r="B4183" s="6"/>
      <c r="C4183" s="4"/>
      <c r="D4183" s="36">
        <v>224.000554</v>
      </c>
      <c r="E4183" s="4" t="s">
        <v>8453</v>
      </c>
      <c r="F4183" s="4"/>
      <c r="G4183" s="4"/>
      <c r="H4183" s="4"/>
      <c r="I4183" s="4"/>
      <c r="J4183" s="18"/>
      <c r="K4183" s="4"/>
      <c r="L4183" s="19"/>
      <c r="M4183" s="20"/>
    </row>
    <row r="4184">
      <c r="A4184" s="6"/>
      <c r="B4184" s="6"/>
      <c r="C4184" s="4"/>
      <c r="D4184" s="36">
        <v>68.127717</v>
      </c>
      <c r="E4184" s="4" t="s">
        <v>3737</v>
      </c>
      <c r="F4184" s="4"/>
      <c r="G4184" s="4"/>
      <c r="H4184" s="4"/>
      <c r="I4184" s="4"/>
      <c r="J4184" s="18"/>
      <c r="K4184" s="4"/>
      <c r="L4184" s="19"/>
      <c r="M4184" s="20"/>
    </row>
    <row r="4185">
      <c r="A4185" s="6"/>
      <c r="B4185" s="6"/>
      <c r="C4185" s="4"/>
      <c r="D4185" s="36">
        <v>224.000554</v>
      </c>
      <c r="E4185" s="4" t="s">
        <v>9018</v>
      </c>
      <c r="F4185" s="4"/>
      <c r="G4185" s="4"/>
      <c r="H4185" s="4"/>
      <c r="I4185" s="4"/>
      <c r="J4185" s="18"/>
      <c r="K4185" s="4"/>
      <c r="L4185" s="19"/>
      <c r="M4185" s="20"/>
    </row>
    <row r="4186">
      <c r="A4186" s="6"/>
      <c r="B4186" s="6"/>
      <c r="C4186" s="4"/>
      <c r="D4186" s="36">
        <v>224.000554</v>
      </c>
      <c r="E4186" s="4" t="s">
        <v>9019</v>
      </c>
      <c r="F4186" s="4"/>
      <c r="G4186" s="4"/>
      <c r="H4186" s="4"/>
      <c r="I4186" s="4"/>
      <c r="J4186" s="18"/>
      <c r="K4186" s="4"/>
      <c r="L4186" s="19"/>
      <c r="M4186" s="20"/>
    </row>
    <row r="4187">
      <c r="A4187" s="6"/>
      <c r="B4187" s="6"/>
      <c r="C4187" s="4"/>
      <c r="D4187" s="36">
        <v>224.000554</v>
      </c>
      <c r="E4187" s="4" t="s">
        <v>9020</v>
      </c>
      <c r="F4187" s="4"/>
      <c r="G4187" s="4"/>
      <c r="H4187" s="4"/>
      <c r="I4187" s="4"/>
      <c r="J4187" s="18"/>
      <c r="K4187" s="4"/>
      <c r="L4187" s="19"/>
      <c r="M4187" s="20"/>
    </row>
    <row r="4188">
      <c r="A4188" s="6"/>
      <c r="B4188" s="6"/>
      <c r="C4188" s="4"/>
      <c r="D4188" s="36">
        <v>224.000554</v>
      </c>
      <c r="E4188" s="4" t="s">
        <v>9021</v>
      </c>
      <c r="F4188" s="4"/>
      <c r="G4188" s="4"/>
      <c r="H4188" s="4"/>
      <c r="I4188" s="4"/>
      <c r="J4188" s="18"/>
      <c r="K4188" s="4"/>
      <c r="L4188" s="19"/>
      <c r="M4188" s="20"/>
    </row>
    <row r="4189">
      <c r="A4189" s="6"/>
      <c r="B4189" s="6"/>
      <c r="C4189" s="4"/>
      <c r="D4189" s="36">
        <v>98.457607</v>
      </c>
      <c r="E4189" s="4" t="s">
        <v>8753</v>
      </c>
      <c r="F4189" s="4"/>
      <c r="G4189" s="4"/>
      <c r="H4189" s="4"/>
      <c r="I4189" s="4"/>
      <c r="J4189" s="18"/>
      <c r="K4189" s="4"/>
      <c r="L4189" s="19"/>
      <c r="M4189" s="20"/>
    </row>
    <row r="4190">
      <c r="A4190" s="6"/>
      <c r="B4190" s="6"/>
      <c r="C4190" s="4"/>
      <c r="D4190" s="36">
        <v>224.000554</v>
      </c>
      <c r="E4190" s="4" t="s">
        <v>6172</v>
      </c>
      <c r="F4190" s="4"/>
      <c r="G4190" s="4"/>
      <c r="H4190" s="4"/>
      <c r="I4190" s="4"/>
      <c r="J4190" s="18"/>
      <c r="K4190" s="4"/>
      <c r="L4190" s="19"/>
      <c r="M4190" s="20"/>
    </row>
    <row r="4191">
      <c r="A4191" s="6"/>
      <c r="B4191" s="6"/>
      <c r="C4191" s="4"/>
      <c r="D4191" s="36">
        <v>217.171556</v>
      </c>
      <c r="E4191" s="4" t="s">
        <v>2999</v>
      </c>
      <c r="F4191" s="4"/>
      <c r="G4191" s="4"/>
      <c r="H4191" s="4"/>
      <c r="I4191" s="4"/>
      <c r="J4191" s="18"/>
      <c r="K4191" s="4"/>
      <c r="L4191" s="19"/>
      <c r="M4191" s="20"/>
    </row>
    <row r="4192">
      <c r="A4192" s="6"/>
      <c r="B4192" s="6"/>
      <c r="C4192" s="4"/>
      <c r="D4192" s="36">
        <v>97.642988</v>
      </c>
      <c r="E4192" s="4" t="s">
        <v>9022</v>
      </c>
      <c r="F4192" s="4"/>
      <c r="G4192" s="4"/>
      <c r="H4192" s="4"/>
      <c r="I4192" s="4"/>
      <c r="J4192" s="18"/>
      <c r="K4192" s="4"/>
      <c r="L4192" s="19"/>
      <c r="M4192" s="20"/>
    </row>
    <row r="4193">
      <c r="A4193" s="6"/>
      <c r="B4193" s="6"/>
      <c r="C4193" s="4"/>
      <c r="D4193" s="36">
        <v>63.346504</v>
      </c>
      <c r="E4193" s="4" t="s">
        <v>5958</v>
      </c>
      <c r="F4193" s="4"/>
      <c r="G4193" s="4"/>
      <c r="H4193" s="4"/>
      <c r="I4193" s="4"/>
      <c r="J4193" s="18"/>
      <c r="K4193" s="4"/>
      <c r="L4193" s="19"/>
      <c r="M4193" s="20"/>
    </row>
    <row r="4194">
      <c r="A4194" s="6"/>
      <c r="B4194" s="6"/>
      <c r="C4194" s="4"/>
      <c r="D4194" s="36">
        <v>224.000554</v>
      </c>
      <c r="E4194" s="4" t="s">
        <v>8716</v>
      </c>
      <c r="F4194" s="4"/>
      <c r="G4194" s="4"/>
      <c r="H4194" s="4"/>
      <c r="I4194" s="4"/>
      <c r="J4194" s="18"/>
      <c r="K4194" s="4"/>
      <c r="L4194" s="19"/>
      <c r="M4194" s="20"/>
    </row>
    <row r="4195">
      <c r="A4195" s="6"/>
      <c r="B4195" s="6"/>
      <c r="C4195" s="4"/>
      <c r="D4195" s="36">
        <v>224.000554</v>
      </c>
      <c r="E4195" s="4" t="s">
        <v>1576</v>
      </c>
      <c r="F4195" s="4"/>
      <c r="G4195" s="4"/>
      <c r="H4195" s="4"/>
      <c r="I4195" s="4"/>
      <c r="J4195" s="18"/>
      <c r="K4195" s="4"/>
      <c r="L4195" s="19"/>
      <c r="M4195" s="20"/>
    </row>
    <row r="4196">
      <c r="A4196" s="6"/>
      <c r="B4196" s="6"/>
      <c r="C4196" s="4"/>
      <c r="D4196" s="36">
        <v>33.663225</v>
      </c>
      <c r="E4196" s="4" t="s">
        <v>9023</v>
      </c>
      <c r="F4196" s="4"/>
      <c r="G4196" s="4"/>
      <c r="H4196" s="4"/>
      <c r="I4196" s="4"/>
      <c r="J4196" s="18"/>
      <c r="K4196" s="4"/>
      <c r="L4196" s="19"/>
      <c r="M4196" s="20"/>
    </row>
    <row r="4197">
      <c r="A4197" s="6"/>
      <c r="B4197" s="6"/>
      <c r="C4197" s="4"/>
      <c r="D4197" s="36">
        <v>224.000554</v>
      </c>
      <c r="E4197" s="4" t="s">
        <v>613</v>
      </c>
      <c r="F4197" s="4"/>
      <c r="G4197" s="4"/>
      <c r="H4197" s="4"/>
      <c r="I4197" s="4"/>
      <c r="J4197" s="18"/>
      <c r="K4197" s="4"/>
      <c r="L4197" s="19"/>
      <c r="M4197" s="20"/>
    </row>
    <row r="4198">
      <c r="A4198" s="6"/>
      <c r="B4198" s="6"/>
      <c r="C4198" s="4"/>
      <c r="D4198" s="36">
        <v>113.708904</v>
      </c>
      <c r="E4198" s="4" t="s">
        <v>3261</v>
      </c>
      <c r="F4198" s="4"/>
      <c r="G4198" s="4"/>
      <c r="H4198" s="4"/>
      <c r="I4198" s="4"/>
      <c r="J4198" s="18"/>
      <c r="K4198" s="4"/>
      <c r="L4198" s="19"/>
      <c r="M4198" s="20"/>
    </row>
    <row r="4199">
      <c r="A4199" s="6"/>
      <c r="B4199" s="6"/>
      <c r="C4199" s="4"/>
      <c r="D4199" s="36">
        <v>224.000554</v>
      </c>
      <c r="E4199" s="4" t="s">
        <v>9024</v>
      </c>
      <c r="F4199" s="4"/>
      <c r="G4199" s="4"/>
      <c r="H4199" s="4"/>
      <c r="I4199" s="4"/>
      <c r="J4199" s="18"/>
      <c r="K4199" s="4"/>
      <c r="L4199" s="19"/>
      <c r="M4199" s="20"/>
    </row>
    <row r="4200">
      <c r="A4200" s="6"/>
      <c r="B4200" s="6"/>
      <c r="C4200" s="4"/>
      <c r="D4200" s="36">
        <v>37.038088</v>
      </c>
      <c r="E4200" s="4" t="s">
        <v>8587</v>
      </c>
      <c r="F4200" s="4"/>
      <c r="G4200" s="4"/>
      <c r="H4200" s="4"/>
      <c r="I4200" s="4"/>
      <c r="J4200" s="18"/>
      <c r="K4200" s="4"/>
      <c r="L4200" s="19"/>
      <c r="M4200" s="20"/>
    </row>
    <row r="4201">
      <c r="A4201" s="6"/>
      <c r="B4201" s="6"/>
      <c r="C4201" s="4"/>
      <c r="D4201" s="36">
        <v>136.921075</v>
      </c>
      <c r="E4201" s="4" t="s">
        <v>8535</v>
      </c>
      <c r="F4201" s="4"/>
      <c r="G4201" s="4"/>
      <c r="H4201" s="4"/>
      <c r="I4201" s="4"/>
      <c r="J4201" s="18"/>
      <c r="K4201" s="4"/>
      <c r="L4201" s="19"/>
      <c r="M4201" s="20"/>
    </row>
    <row r="4202">
      <c r="A4202" s="6"/>
      <c r="B4202" s="6"/>
      <c r="C4202" s="4"/>
      <c r="D4202" s="36">
        <v>456.878902</v>
      </c>
      <c r="E4202" s="4" t="s">
        <v>9009</v>
      </c>
      <c r="F4202" s="4"/>
      <c r="G4202" s="4"/>
      <c r="H4202" s="4"/>
      <c r="I4202" s="4"/>
      <c r="J4202" s="18"/>
      <c r="K4202" s="4"/>
      <c r="L4202" s="19"/>
      <c r="M4202" s="20"/>
    </row>
    <row r="4203">
      <c r="A4203" s="6"/>
      <c r="B4203" s="6"/>
      <c r="C4203" s="4"/>
      <c r="D4203" s="36">
        <v>465.107548</v>
      </c>
      <c r="E4203" s="4" t="s">
        <v>367</v>
      </c>
      <c r="F4203" s="4"/>
      <c r="G4203" s="4"/>
      <c r="H4203" s="4"/>
      <c r="I4203" s="4"/>
      <c r="J4203" s="18"/>
      <c r="K4203" s="4"/>
      <c r="L4203" s="19"/>
      <c r="M4203" s="20"/>
    </row>
    <row r="4204">
      <c r="A4204" s="6"/>
      <c r="B4204" s="6"/>
      <c r="C4204" s="4"/>
      <c r="D4204" s="36">
        <v>465.107548</v>
      </c>
      <c r="E4204" s="4" t="s">
        <v>8701</v>
      </c>
      <c r="F4204" s="4"/>
      <c r="G4204" s="4"/>
      <c r="H4204" s="4"/>
      <c r="I4204" s="4"/>
      <c r="J4204" s="18"/>
      <c r="K4204" s="4"/>
      <c r="L4204" s="19"/>
      <c r="M4204" s="20"/>
    </row>
    <row r="4205">
      <c r="A4205" s="6"/>
      <c r="B4205" s="6"/>
      <c r="C4205" s="4"/>
      <c r="D4205" s="36">
        <v>254.587279</v>
      </c>
      <c r="E4205" s="4" t="s">
        <v>9025</v>
      </c>
      <c r="F4205" s="4"/>
      <c r="G4205" s="4"/>
      <c r="H4205" s="4"/>
      <c r="I4205" s="4"/>
      <c r="J4205" s="18"/>
      <c r="K4205" s="4"/>
      <c r="L4205" s="19"/>
      <c r="M4205" s="20"/>
    </row>
    <row r="4206">
      <c r="A4206" s="6"/>
      <c r="B4206" s="6"/>
      <c r="C4206" s="4"/>
      <c r="D4206" s="36">
        <v>465.107548</v>
      </c>
      <c r="E4206" s="4" t="s">
        <v>2806</v>
      </c>
      <c r="F4206" s="4"/>
      <c r="G4206" s="4"/>
      <c r="H4206" s="4"/>
      <c r="I4206" s="4"/>
      <c r="J4206" s="18"/>
      <c r="K4206" s="4"/>
      <c r="L4206" s="19"/>
      <c r="M4206" s="20"/>
    </row>
    <row r="4207">
      <c r="A4207" s="6"/>
      <c r="B4207" s="6"/>
      <c r="C4207" s="4"/>
      <c r="D4207" s="36">
        <v>465.107548</v>
      </c>
      <c r="E4207" s="4" t="s">
        <v>8970</v>
      </c>
      <c r="F4207" s="4"/>
      <c r="G4207" s="4"/>
      <c r="H4207" s="4"/>
      <c r="I4207" s="4"/>
      <c r="J4207" s="18"/>
      <c r="K4207" s="4"/>
      <c r="L4207" s="19"/>
      <c r="M4207" s="20"/>
    </row>
    <row r="4208">
      <c r="A4208" s="6"/>
      <c r="B4208" s="6"/>
      <c r="C4208" s="4"/>
      <c r="D4208" s="36">
        <v>465.107548</v>
      </c>
      <c r="E4208" s="4" t="s">
        <v>9018</v>
      </c>
      <c r="F4208" s="4"/>
      <c r="G4208" s="4"/>
      <c r="H4208" s="4"/>
      <c r="I4208" s="4"/>
      <c r="J4208" s="18"/>
      <c r="K4208" s="4"/>
      <c r="L4208" s="19"/>
      <c r="M4208" s="20"/>
    </row>
    <row r="4209">
      <c r="A4209" s="6"/>
      <c r="B4209" s="6"/>
      <c r="C4209" s="4"/>
      <c r="D4209" s="36">
        <v>390.5928</v>
      </c>
      <c r="E4209" s="4" t="s">
        <v>9026</v>
      </c>
      <c r="F4209" s="4"/>
      <c r="G4209" s="4"/>
      <c r="H4209" s="4"/>
      <c r="I4209" s="4"/>
      <c r="J4209" s="18"/>
      <c r="K4209" s="4"/>
      <c r="L4209" s="19"/>
      <c r="M4209" s="20"/>
    </row>
    <row r="4210">
      <c r="A4210" s="6"/>
      <c r="B4210" s="6"/>
      <c r="C4210" s="4"/>
      <c r="D4210" s="36">
        <v>422.224632</v>
      </c>
      <c r="E4210" s="4" t="s">
        <v>1713</v>
      </c>
      <c r="F4210" s="4"/>
      <c r="G4210" s="4"/>
      <c r="H4210" s="4"/>
      <c r="I4210" s="4"/>
      <c r="J4210" s="18"/>
      <c r="K4210" s="4"/>
      <c r="L4210" s="19"/>
      <c r="M4210" s="20"/>
    </row>
    <row r="4211">
      <c r="A4211" s="6"/>
      <c r="B4211" s="6"/>
      <c r="C4211" s="4"/>
      <c r="D4211" s="36">
        <v>465.107548</v>
      </c>
      <c r="E4211" s="4" t="s">
        <v>1091</v>
      </c>
      <c r="F4211" s="4"/>
      <c r="G4211" s="4"/>
      <c r="H4211" s="4"/>
      <c r="I4211" s="4"/>
      <c r="J4211" s="18"/>
      <c r="K4211" s="4"/>
      <c r="L4211" s="19"/>
      <c r="M4211" s="20"/>
    </row>
    <row r="4212">
      <c r="A4212" s="6"/>
      <c r="B4212" s="6"/>
      <c r="C4212" s="4"/>
      <c r="D4212" s="36">
        <v>465.107548</v>
      </c>
      <c r="E4212" s="4" t="s">
        <v>9020</v>
      </c>
      <c r="F4212" s="4"/>
      <c r="G4212" s="4"/>
      <c r="H4212" s="4"/>
      <c r="I4212" s="4"/>
      <c r="J4212" s="18"/>
      <c r="K4212" s="4"/>
      <c r="L4212" s="19"/>
      <c r="M4212" s="20"/>
    </row>
    <row r="4213">
      <c r="A4213" s="6"/>
      <c r="B4213" s="6"/>
      <c r="C4213" s="4"/>
      <c r="D4213" s="36">
        <v>465.107548</v>
      </c>
      <c r="E4213" s="4" t="s">
        <v>8521</v>
      </c>
      <c r="F4213" s="4"/>
      <c r="G4213" s="4"/>
      <c r="H4213" s="4"/>
      <c r="I4213" s="4"/>
      <c r="J4213" s="18"/>
      <c r="K4213" s="4"/>
      <c r="L4213" s="19"/>
      <c r="M4213" s="20"/>
    </row>
    <row r="4214">
      <c r="A4214" s="6"/>
      <c r="B4214" s="6"/>
      <c r="C4214" s="4"/>
      <c r="D4214" s="36">
        <v>410.59719</v>
      </c>
      <c r="E4214" s="4" t="s">
        <v>9027</v>
      </c>
      <c r="F4214" s="4"/>
      <c r="G4214" s="4"/>
      <c r="H4214" s="4"/>
      <c r="I4214" s="4"/>
      <c r="J4214" s="18"/>
      <c r="K4214" s="4"/>
      <c r="L4214" s="19"/>
      <c r="M4214" s="20"/>
    </row>
    <row r="4215">
      <c r="A4215" s="6"/>
      <c r="B4215" s="6"/>
      <c r="C4215" s="4"/>
      <c r="D4215" s="36">
        <v>465.107548</v>
      </c>
      <c r="E4215" s="4" t="s">
        <v>8601</v>
      </c>
      <c r="F4215" s="4"/>
      <c r="G4215" s="4"/>
      <c r="H4215" s="4"/>
      <c r="I4215" s="4"/>
      <c r="J4215" s="18"/>
      <c r="K4215" s="4"/>
      <c r="L4215" s="19"/>
      <c r="M4215" s="20"/>
    </row>
    <row r="4216">
      <c r="A4216" s="6"/>
      <c r="B4216" s="6"/>
      <c r="C4216" s="4"/>
      <c r="D4216" s="36">
        <v>465.107548</v>
      </c>
      <c r="E4216" s="4" t="s">
        <v>1576</v>
      </c>
      <c r="F4216" s="4"/>
      <c r="G4216" s="4"/>
      <c r="H4216" s="4"/>
      <c r="I4216" s="4"/>
      <c r="J4216" s="18"/>
      <c r="K4216" s="4"/>
      <c r="L4216" s="19"/>
      <c r="M4216" s="20"/>
    </row>
    <row r="4217">
      <c r="A4217" s="6"/>
      <c r="B4217" s="6"/>
      <c r="C4217" s="4"/>
      <c r="D4217" s="36">
        <v>415.6531</v>
      </c>
      <c r="E4217" s="4" t="s">
        <v>534</v>
      </c>
      <c r="F4217" s="4"/>
      <c r="G4217" s="4"/>
      <c r="H4217" s="4"/>
      <c r="I4217" s="4"/>
      <c r="J4217" s="18"/>
      <c r="K4217" s="4"/>
      <c r="L4217" s="19"/>
      <c r="M4217" s="20"/>
    </row>
    <row r="4218">
      <c r="A4218" s="6"/>
      <c r="B4218" s="6"/>
      <c r="C4218" s="4"/>
      <c r="D4218" s="36">
        <v>465.107548</v>
      </c>
      <c r="E4218" s="4" t="s">
        <v>8716</v>
      </c>
      <c r="F4218" s="4"/>
      <c r="G4218" s="4"/>
      <c r="H4218" s="4"/>
      <c r="I4218" s="4"/>
      <c r="J4218" s="18"/>
      <c r="K4218" s="4"/>
      <c r="L4218" s="19"/>
      <c r="M4218" s="20"/>
    </row>
    <row r="4219">
      <c r="A4219" s="6"/>
      <c r="B4219" s="6"/>
      <c r="C4219" s="4"/>
      <c r="D4219" s="36">
        <v>465.107548</v>
      </c>
      <c r="E4219" s="4" t="s">
        <v>9028</v>
      </c>
      <c r="F4219" s="4"/>
      <c r="G4219" s="4"/>
      <c r="H4219" s="4"/>
      <c r="I4219" s="4"/>
      <c r="J4219" s="18"/>
      <c r="K4219" s="4"/>
      <c r="L4219" s="19"/>
      <c r="M4219" s="20"/>
    </row>
    <row r="4220">
      <c r="A4220" s="6"/>
      <c r="B4220" s="6"/>
      <c r="C4220" s="4"/>
      <c r="D4220" s="36">
        <v>459.8133</v>
      </c>
      <c r="E4220" s="4" t="s">
        <v>8992</v>
      </c>
      <c r="F4220" s="4"/>
      <c r="G4220" s="4"/>
      <c r="H4220" s="4"/>
      <c r="I4220" s="4"/>
      <c r="J4220" s="18"/>
      <c r="K4220" s="4"/>
      <c r="L4220" s="19"/>
      <c r="M4220" s="20"/>
    </row>
    <row r="4221">
      <c r="A4221" s="6"/>
      <c r="B4221" s="6"/>
      <c r="C4221" s="4"/>
      <c r="D4221" s="36">
        <v>465.107548</v>
      </c>
      <c r="E4221" s="4" t="s">
        <v>8952</v>
      </c>
      <c r="F4221" s="4"/>
      <c r="G4221" s="4"/>
      <c r="H4221" s="4"/>
      <c r="I4221" s="4"/>
      <c r="J4221" s="18"/>
      <c r="K4221" s="4"/>
      <c r="L4221" s="19"/>
      <c r="M4221" s="20"/>
    </row>
    <row r="4222">
      <c r="A4222" s="6"/>
      <c r="B4222" s="6"/>
      <c r="C4222" s="4"/>
      <c r="D4222" s="36">
        <v>336.051326</v>
      </c>
      <c r="E4222" s="4" t="s">
        <v>9029</v>
      </c>
      <c r="F4222" s="4"/>
      <c r="G4222" s="4"/>
      <c r="H4222" s="4"/>
      <c r="I4222" s="4"/>
      <c r="J4222" s="18"/>
      <c r="K4222" s="4"/>
      <c r="L4222" s="19"/>
      <c r="M4222" s="20"/>
    </row>
    <row r="4223">
      <c r="A4223" s="6"/>
      <c r="B4223" s="6"/>
      <c r="C4223" s="4"/>
      <c r="D4223" s="36">
        <v>46.544253</v>
      </c>
      <c r="E4223" s="4" t="s">
        <v>8957</v>
      </c>
      <c r="F4223" s="4"/>
      <c r="G4223" s="4"/>
      <c r="H4223" s="4"/>
      <c r="I4223" s="4"/>
      <c r="J4223" s="18"/>
      <c r="K4223" s="4"/>
      <c r="L4223" s="19"/>
      <c r="M4223" s="20"/>
    </row>
    <row r="4224">
      <c r="A4224" s="6"/>
      <c r="B4224" s="6"/>
      <c r="C4224" s="4"/>
      <c r="D4224" s="36">
        <v>465.107548</v>
      </c>
      <c r="E4224" s="4" t="s">
        <v>1667</v>
      </c>
      <c r="F4224" s="4"/>
      <c r="G4224" s="4"/>
      <c r="H4224" s="4"/>
      <c r="I4224" s="4"/>
      <c r="J4224" s="18"/>
      <c r="K4224" s="4"/>
      <c r="L4224" s="19"/>
      <c r="M4224" s="20"/>
    </row>
    <row r="4225">
      <c r="A4225" s="6"/>
      <c r="B4225" s="6"/>
      <c r="C4225" s="4"/>
      <c r="D4225" s="36">
        <v>372.086038</v>
      </c>
      <c r="E4225" s="4" t="s">
        <v>8586</v>
      </c>
      <c r="F4225" s="4"/>
      <c r="G4225" s="4"/>
      <c r="H4225" s="4"/>
      <c r="I4225" s="4"/>
      <c r="J4225" s="18"/>
      <c r="K4225" s="4"/>
      <c r="L4225" s="19"/>
      <c r="M4225" s="20"/>
    </row>
    <row r="4226">
      <c r="A4226" s="6"/>
      <c r="B4226" s="6"/>
      <c r="C4226" s="4"/>
      <c r="D4226" s="36">
        <v>57.022185</v>
      </c>
      <c r="E4226" s="4" t="s">
        <v>9030</v>
      </c>
      <c r="F4226" s="4"/>
      <c r="G4226" s="4"/>
      <c r="H4226" s="4"/>
      <c r="I4226" s="4"/>
      <c r="J4226" s="18"/>
      <c r="K4226" s="4"/>
      <c r="L4226" s="19"/>
      <c r="M4226" s="20"/>
    </row>
    <row r="4227">
      <c r="A4227" s="6"/>
      <c r="B4227" s="6"/>
      <c r="C4227" s="4"/>
      <c r="D4227" s="36">
        <v>206.211514</v>
      </c>
      <c r="E4227" s="4" t="s">
        <v>239</v>
      </c>
      <c r="F4227" s="4"/>
      <c r="G4227" s="4"/>
      <c r="H4227" s="4"/>
      <c r="I4227" s="4"/>
      <c r="J4227" s="18"/>
      <c r="K4227" s="4"/>
      <c r="L4227" s="19"/>
      <c r="M4227" s="20"/>
    </row>
    <row r="4228">
      <c r="A4228" s="6"/>
      <c r="B4228" s="6"/>
      <c r="C4228" s="4"/>
      <c r="D4228" s="36">
        <v>317.230751</v>
      </c>
      <c r="E4228" s="4" t="s">
        <v>9021</v>
      </c>
      <c r="F4228" s="4"/>
      <c r="G4228" s="4"/>
      <c r="H4228" s="4"/>
      <c r="I4228" s="4"/>
      <c r="J4228" s="18"/>
      <c r="K4228" s="4"/>
      <c r="L4228" s="19"/>
      <c r="M4228" s="20"/>
    </row>
    <row r="4229">
      <c r="A4229" s="6"/>
      <c r="B4229" s="6"/>
      <c r="C4229" s="4"/>
      <c r="D4229" s="36">
        <v>465.107548</v>
      </c>
      <c r="E4229" s="4" t="s">
        <v>683</v>
      </c>
      <c r="F4229" s="4"/>
      <c r="G4229" s="4"/>
      <c r="H4229" s="4"/>
      <c r="I4229" s="4"/>
      <c r="J4229" s="18"/>
      <c r="K4229" s="4"/>
      <c r="L4229" s="19"/>
      <c r="M4229" s="20"/>
    </row>
    <row r="4230">
      <c r="A4230" s="6"/>
      <c r="B4230" s="6"/>
      <c r="C4230" s="4"/>
      <c r="D4230" s="36">
        <v>465.107548</v>
      </c>
      <c r="E4230" s="4" t="s">
        <v>1218</v>
      </c>
      <c r="F4230" s="4"/>
      <c r="G4230" s="4"/>
      <c r="H4230" s="4"/>
      <c r="I4230" s="4"/>
      <c r="J4230" s="18"/>
      <c r="K4230" s="4"/>
      <c r="L4230" s="19"/>
      <c r="M4230" s="20"/>
    </row>
    <row r="4231">
      <c r="A4231" s="6"/>
      <c r="B4231" s="6"/>
      <c r="C4231" s="4"/>
      <c r="D4231" s="36">
        <v>137.423352</v>
      </c>
      <c r="E4231" s="4" t="s">
        <v>5105</v>
      </c>
      <c r="F4231" s="4"/>
      <c r="G4231" s="4"/>
      <c r="H4231" s="4"/>
      <c r="I4231" s="4"/>
      <c r="J4231" s="18"/>
      <c r="K4231" s="4"/>
      <c r="L4231" s="19"/>
      <c r="M4231" s="20"/>
    </row>
    <row r="4232">
      <c r="A4232" s="6"/>
      <c r="B4232" s="6"/>
      <c r="C4232" s="4"/>
      <c r="D4232" s="36">
        <v>281.948195</v>
      </c>
      <c r="E4232" s="4" t="s">
        <v>8715</v>
      </c>
      <c r="F4232" s="4"/>
      <c r="G4232" s="4"/>
      <c r="H4232" s="4"/>
      <c r="I4232" s="4"/>
      <c r="J4232" s="18"/>
      <c r="K4232" s="4"/>
      <c r="L4232" s="19"/>
      <c r="M4232" s="20"/>
    </row>
    <row r="4233">
      <c r="A4233" s="6"/>
      <c r="B4233" s="6"/>
      <c r="C4233" s="4"/>
      <c r="D4233" s="36">
        <v>465.107548</v>
      </c>
      <c r="E4233" s="4" t="s">
        <v>8999</v>
      </c>
      <c r="F4233" s="4"/>
      <c r="G4233" s="4"/>
      <c r="H4233" s="4"/>
      <c r="I4233" s="4"/>
      <c r="J4233" s="18"/>
      <c r="K4233" s="4"/>
      <c r="L4233" s="19"/>
      <c r="M4233" s="20"/>
    </row>
    <row r="4234">
      <c r="A4234" s="6"/>
      <c r="B4234" s="6"/>
      <c r="C4234" s="4"/>
      <c r="D4234" s="36">
        <v>159.614393</v>
      </c>
      <c r="E4234" s="4" t="s">
        <v>107</v>
      </c>
      <c r="F4234" s="4"/>
      <c r="G4234" s="4"/>
      <c r="H4234" s="4"/>
      <c r="I4234" s="4"/>
      <c r="J4234" s="18"/>
      <c r="K4234" s="4"/>
      <c r="L4234" s="19"/>
      <c r="M4234" s="20"/>
    </row>
    <row r="4235">
      <c r="A4235" s="6"/>
      <c r="B4235" s="6"/>
      <c r="C4235" s="4"/>
      <c r="D4235" s="36">
        <v>204.965001</v>
      </c>
      <c r="E4235" s="4" t="s">
        <v>4576</v>
      </c>
      <c r="F4235" s="4"/>
      <c r="G4235" s="4"/>
      <c r="H4235" s="4"/>
      <c r="I4235" s="4"/>
      <c r="J4235" s="18"/>
      <c r="K4235" s="4"/>
      <c r="L4235" s="19"/>
      <c r="M4235" s="20"/>
    </row>
    <row r="4236">
      <c r="A4236" s="6"/>
      <c r="B4236" s="6"/>
      <c r="C4236" s="4"/>
      <c r="D4236" s="36">
        <v>465.107548</v>
      </c>
      <c r="E4236" s="4" t="s">
        <v>8547</v>
      </c>
      <c r="F4236" s="4"/>
      <c r="G4236" s="4"/>
      <c r="H4236" s="4"/>
      <c r="I4236" s="4"/>
      <c r="J4236" s="18"/>
      <c r="K4236" s="4"/>
      <c r="L4236" s="19"/>
      <c r="M4236" s="20"/>
    </row>
    <row r="4237">
      <c r="A4237" s="6"/>
      <c r="B4237" s="6"/>
      <c r="C4237" s="4"/>
      <c r="D4237" s="36">
        <v>459.022734</v>
      </c>
      <c r="E4237" s="4" t="s">
        <v>784</v>
      </c>
      <c r="F4237" s="4"/>
      <c r="G4237" s="4"/>
      <c r="H4237" s="4"/>
      <c r="I4237" s="4"/>
      <c r="J4237" s="18"/>
      <c r="K4237" s="4"/>
      <c r="L4237" s="19"/>
      <c r="M4237" s="20"/>
    </row>
    <row r="4238">
      <c r="A4238" s="6"/>
      <c r="B4238" s="6"/>
      <c r="C4238" s="4"/>
      <c r="D4238" s="36">
        <v>465.107548</v>
      </c>
      <c r="E4238" s="4" t="s">
        <v>9024</v>
      </c>
      <c r="F4238" s="4"/>
      <c r="G4238" s="4"/>
      <c r="H4238" s="4"/>
      <c r="I4238" s="4"/>
      <c r="J4238" s="18"/>
      <c r="K4238" s="4"/>
      <c r="L4238" s="19"/>
      <c r="M4238" s="20"/>
    </row>
    <row r="4239">
      <c r="A4239" s="6"/>
      <c r="B4239" s="6"/>
      <c r="C4239" s="4"/>
      <c r="D4239" s="36">
        <v>465.107548</v>
      </c>
      <c r="E4239" s="4" t="s">
        <v>1125</v>
      </c>
      <c r="F4239" s="4"/>
      <c r="G4239" s="4"/>
      <c r="H4239" s="4"/>
      <c r="I4239" s="4"/>
      <c r="J4239" s="18"/>
      <c r="K4239" s="4"/>
      <c r="L4239" s="19"/>
      <c r="M4239" s="20"/>
    </row>
    <row r="4240">
      <c r="A4240" s="6"/>
      <c r="B4240" s="6"/>
      <c r="C4240" s="4"/>
      <c r="D4240" s="36">
        <v>399.170734</v>
      </c>
      <c r="E4240" s="4" t="s">
        <v>8606</v>
      </c>
      <c r="F4240" s="4"/>
      <c r="G4240" s="4"/>
      <c r="H4240" s="4"/>
      <c r="I4240" s="4"/>
      <c r="J4240" s="18"/>
      <c r="K4240" s="4"/>
      <c r="L4240" s="19"/>
      <c r="M4240" s="20"/>
    </row>
    <row r="4241">
      <c r="A4241" s="6"/>
      <c r="B4241" s="6"/>
      <c r="C4241" s="4"/>
      <c r="D4241" s="36">
        <v>465.107548</v>
      </c>
      <c r="E4241" s="4" t="s">
        <v>9015</v>
      </c>
      <c r="F4241" s="4"/>
      <c r="G4241" s="4"/>
      <c r="H4241" s="4"/>
      <c r="I4241" s="4"/>
      <c r="J4241" s="18"/>
      <c r="K4241" s="4"/>
      <c r="L4241" s="19"/>
      <c r="M4241" s="20"/>
    </row>
    <row r="4242">
      <c r="A4242" s="6"/>
      <c r="B4242" s="6"/>
      <c r="C4242" s="4"/>
      <c r="D4242" s="36">
        <v>465.107548</v>
      </c>
      <c r="E4242" s="4" t="s">
        <v>952</v>
      </c>
      <c r="F4242" s="4"/>
      <c r="G4242" s="4"/>
      <c r="H4242" s="4"/>
      <c r="I4242" s="4"/>
      <c r="J4242" s="18"/>
      <c r="K4242" s="4"/>
      <c r="L4242" s="19"/>
      <c r="M4242" s="20"/>
    </row>
    <row r="4243">
      <c r="A4243" s="6"/>
      <c r="B4243" s="6"/>
      <c r="C4243" s="4"/>
      <c r="D4243" s="36">
        <v>215.632454</v>
      </c>
      <c r="E4243" s="4" t="s">
        <v>9031</v>
      </c>
      <c r="F4243" s="4"/>
      <c r="G4243" s="4"/>
      <c r="H4243" s="4"/>
      <c r="I4243" s="4"/>
      <c r="J4243" s="18"/>
      <c r="K4243" s="4"/>
      <c r="L4243" s="19"/>
      <c r="M4243" s="20"/>
    </row>
    <row r="4244">
      <c r="A4244" s="6"/>
      <c r="B4244" s="6"/>
      <c r="C4244" s="4"/>
      <c r="D4244" s="36">
        <v>465.107548</v>
      </c>
      <c r="E4244" s="4" t="s">
        <v>9005</v>
      </c>
      <c r="F4244" s="4"/>
      <c r="G4244" s="4"/>
      <c r="H4244" s="4"/>
      <c r="I4244" s="4"/>
      <c r="J4244" s="18"/>
      <c r="K4244" s="4"/>
      <c r="L4244" s="19"/>
      <c r="M4244" s="20"/>
    </row>
    <row r="4245">
      <c r="A4245" s="6"/>
      <c r="B4245" s="6"/>
      <c r="C4245" s="4"/>
      <c r="D4245" s="36">
        <v>465.107548</v>
      </c>
      <c r="E4245" s="4" t="s">
        <v>8517</v>
      </c>
      <c r="F4245" s="4"/>
      <c r="G4245" s="4"/>
      <c r="H4245" s="4"/>
      <c r="I4245" s="4"/>
      <c r="J4245" s="18"/>
      <c r="K4245" s="4"/>
      <c r="L4245" s="19"/>
      <c r="M4245" s="20"/>
    </row>
    <row r="4246">
      <c r="A4246" s="6"/>
      <c r="B4246" s="6"/>
      <c r="C4246" s="4"/>
      <c r="D4246" s="36">
        <v>362.086082</v>
      </c>
      <c r="E4246" s="4" t="s">
        <v>4202</v>
      </c>
      <c r="F4246" s="4"/>
      <c r="G4246" s="4"/>
      <c r="H4246" s="4"/>
      <c r="I4246" s="4"/>
      <c r="J4246" s="18"/>
      <c r="K4246" s="4"/>
      <c r="L4246" s="19"/>
      <c r="M4246" s="20"/>
    </row>
    <row r="4247">
      <c r="A4247" s="6"/>
      <c r="B4247" s="6"/>
      <c r="C4247" s="4"/>
      <c r="D4247" s="36">
        <v>163.876272</v>
      </c>
      <c r="E4247" s="4" t="s">
        <v>475</v>
      </c>
      <c r="F4247" s="4"/>
      <c r="G4247" s="4"/>
      <c r="H4247" s="4"/>
      <c r="I4247" s="4"/>
      <c r="J4247" s="18"/>
      <c r="K4247" s="4"/>
      <c r="L4247" s="19"/>
      <c r="M4247" s="20"/>
    </row>
    <row r="4248">
      <c r="A4248" s="6"/>
      <c r="B4248" s="6"/>
      <c r="C4248" s="4"/>
      <c r="D4248" s="36">
        <v>271.808851</v>
      </c>
      <c r="E4248" s="4" t="s">
        <v>1541</v>
      </c>
      <c r="F4248" s="4"/>
      <c r="G4248" s="4"/>
      <c r="H4248" s="4"/>
      <c r="I4248" s="4"/>
      <c r="J4248" s="18"/>
      <c r="K4248" s="4"/>
      <c r="L4248" s="19"/>
      <c r="M4248" s="20"/>
    </row>
    <row r="4249">
      <c r="A4249" s="6"/>
      <c r="B4249" s="6"/>
      <c r="C4249" s="4"/>
      <c r="D4249" s="36">
        <v>445.759074</v>
      </c>
      <c r="E4249" s="4" t="s">
        <v>453</v>
      </c>
      <c r="F4249" s="4"/>
      <c r="G4249" s="4"/>
      <c r="H4249" s="4"/>
      <c r="I4249" s="4"/>
      <c r="J4249" s="18"/>
      <c r="K4249" s="4"/>
      <c r="L4249" s="19"/>
      <c r="M4249" s="20"/>
    </row>
    <row r="4250">
      <c r="A4250" s="6"/>
      <c r="B4250" s="6"/>
      <c r="C4250" s="4"/>
      <c r="D4250" s="36">
        <v>465.107548</v>
      </c>
      <c r="E4250" s="4" t="s">
        <v>8968</v>
      </c>
      <c r="F4250" s="4"/>
      <c r="G4250" s="4"/>
      <c r="H4250" s="4"/>
      <c r="I4250" s="4"/>
      <c r="J4250" s="18"/>
      <c r="K4250" s="4"/>
      <c r="L4250" s="19"/>
      <c r="M4250" s="20"/>
    </row>
    <row r="4251">
      <c r="A4251" s="6"/>
      <c r="B4251" s="6"/>
      <c r="C4251" s="4"/>
      <c r="D4251" s="36">
        <v>9.397637</v>
      </c>
      <c r="E4251" s="4" t="s">
        <v>817</v>
      </c>
      <c r="F4251" s="4"/>
      <c r="G4251" s="4"/>
      <c r="H4251" s="4"/>
      <c r="I4251" s="4"/>
      <c r="J4251" s="18"/>
      <c r="K4251" s="4"/>
      <c r="L4251" s="19"/>
      <c r="M4251" s="20"/>
    </row>
    <row r="4252">
      <c r="A4252" s="6"/>
      <c r="B4252" s="6"/>
      <c r="C4252" s="4"/>
      <c r="D4252" s="36">
        <v>348.830661</v>
      </c>
      <c r="E4252" s="4" t="s">
        <v>664</v>
      </c>
      <c r="F4252" s="4"/>
      <c r="G4252" s="4"/>
      <c r="H4252" s="4"/>
      <c r="I4252" s="4"/>
      <c r="J4252" s="18"/>
      <c r="K4252" s="4"/>
      <c r="L4252" s="19"/>
      <c r="M4252" s="20"/>
    </row>
    <row r="4253">
      <c r="A4253" s="6"/>
      <c r="B4253" s="6"/>
      <c r="C4253" s="4"/>
      <c r="D4253" s="36">
        <v>337.6232</v>
      </c>
      <c r="E4253" s="4" t="s">
        <v>8971</v>
      </c>
      <c r="F4253" s="4"/>
      <c r="G4253" s="4"/>
      <c r="H4253" s="4"/>
      <c r="I4253" s="4"/>
      <c r="J4253" s="18"/>
      <c r="K4253" s="4"/>
      <c r="L4253" s="19"/>
      <c r="M4253" s="20"/>
    </row>
    <row r="4254">
      <c r="A4254" s="6"/>
      <c r="B4254" s="6"/>
      <c r="C4254" s="4"/>
      <c r="D4254" s="36">
        <v>275.367602</v>
      </c>
      <c r="E4254" s="4" t="s">
        <v>9032</v>
      </c>
      <c r="F4254" s="4"/>
      <c r="G4254" s="4"/>
      <c r="H4254" s="4"/>
      <c r="I4254" s="4"/>
      <c r="J4254" s="18"/>
      <c r="K4254" s="4"/>
      <c r="L4254" s="19"/>
      <c r="M4254" s="20"/>
    </row>
    <row r="4255">
      <c r="A4255" s="6"/>
      <c r="B4255" s="6"/>
      <c r="C4255" s="4"/>
      <c r="D4255" s="36">
        <v>372.086038</v>
      </c>
      <c r="E4255" s="4" t="s">
        <v>977</v>
      </c>
      <c r="F4255" s="4"/>
      <c r="G4255" s="4"/>
      <c r="H4255" s="4"/>
      <c r="I4255" s="4"/>
      <c r="J4255" s="18"/>
      <c r="K4255" s="4"/>
      <c r="L4255" s="19"/>
      <c r="M4255" s="20"/>
    </row>
    <row r="4256">
      <c r="A4256" s="6"/>
      <c r="B4256" s="6"/>
      <c r="C4256" s="4"/>
      <c r="D4256" s="36">
        <v>465.107548</v>
      </c>
      <c r="E4256" s="4" t="s">
        <v>1774</v>
      </c>
      <c r="F4256" s="4"/>
      <c r="G4256" s="4"/>
      <c r="H4256" s="4"/>
      <c r="I4256" s="4"/>
      <c r="J4256" s="18"/>
      <c r="K4256" s="4"/>
      <c r="L4256" s="19"/>
      <c r="M4256" s="20"/>
    </row>
    <row r="4257">
      <c r="A4257" s="6"/>
      <c r="B4257" s="6"/>
      <c r="C4257" s="4"/>
      <c r="D4257" s="36">
        <v>465.107548</v>
      </c>
      <c r="E4257" s="4" t="s">
        <v>9033</v>
      </c>
      <c r="F4257" s="4"/>
      <c r="G4257" s="4"/>
      <c r="H4257" s="4"/>
      <c r="I4257" s="4"/>
      <c r="J4257" s="18"/>
      <c r="K4257" s="4"/>
      <c r="L4257" s="19"/>
      <c r="M4257" s="20"/>
    </row>
    <row r="4258">
      <c r="A4258" s="6"/>
      <c r="B4258" s="6"/>
      <c r="C4258" s="4"/>
      <c r="D4258" s="36">
        <v>465.107548</v>
      </c>
      <c r="E4258" s="4" t="s">
        <v>8525</v>
      </c>
      <c r="F4258" s="4"/>
      <c r="G4258" s="4"/>
      <c r="H4258" s="4"/>
      <c r="I4258" s="4"/>
      <c r="J4258" s="18"/>
      <c r="K4258" s="4"/>
      <c r="L4258" s="19"/>
      <c r="M4258" s="20"/>
    </row>
    <row r="4259">
      <c r="A4259" s="6"/>
      <c r="B4259" s="6"/>
      <c r="C4259" s="4"/>
      <c r="D4259" s="36">
        <v>465.107548</v>
      </c>
      <c r="E4259" s="4" t="s">
        <v>8976</v>
      </c>
      <c r="F4259" s="4"/>
      <c r="G4259" s="4"/>
      <c r="H4259" s="4"/>
      <c r="I4259" s="4"/>
      <c r="J4259" s="18"/>
      <c r="K4259" s="4"/>
      <c r="L4259" s="19"/>
      <c r="M4259" s="20"/>
    </row>
    <row r="4260">
      <c r="A4260" s="6"/>
      <c r="B4260" s="6"/>
      <c r="C4260" s="4"/>
      <c r="D4260" s="36">
        <v>419.650808</v>
      </c>
      <c r="E4260" s="4" t="s">
        <v>8966</v>
      </c>
      <c r="F4260" s="4"/>
      <c r="G4260" s="4"/>
      <c r="H4260" s="4"/>
      <c r="I4260" s="4"/>
      <c r="J4260" s="18"/>
      <c r="K4260" s="4"/>
      <c r="L4260" s="19"/>
      <c r="M4260" s="20"/>
    </row>
    <row r="4261">
      <c r="A4261" s="6"/>
      <c r="B4261" s="6"/>
      <c r="C4261" s="4"/>
      <c r="D4261" s="36">
        <v>332.198729</v>
      </c>
      <c r="E4261" s="4" t="s">
        <v>9034</v>
      </c>
      <c r="F4261" s="4"/>
      <c r="G4261" s="4"/>
      <c r="H4261" s="4"/>
      <c r="I4261" s="4"/>
      <c r="J4261" s="18"/>
      <c r="K4261" s="4"/>
      <c r="L4261" s="19"/>
      <c r="M4261" s="20"/>
    </row>
    <row r="4262">
      <c r="A4262" s="6"/>
      <c r="B4262" s="6"/>
      <c r="C4262" s="4"/>
      <c r="D4262" s="36">
        <v>465.107548</v>
      </c>
      <c r="E4262" s="4" t="s">
        <v>1656</v>
      </c>
      <c r="F4262" s="4"/>
      <c r="G4262" s="4"/>
      <c r="H4262" s="4"/>
      <c r="I4262" s="4"/>
      <c r="J4262" s="18"/>
      <c r="K4262" s="4"/>
      <c r="L4262" s="19"/>
      <c r="M4262" s="20"/>
    </row>
    <row r="4263">
      <c r="A4263" s="6"/>
      <c r="B4263" s="6"/>
      <c r="C4263" s="4"/>
      <c r="D4263" s="36">
        <v>199.045014</v>
      </c>
      <c r="E4263" s="4" t="s">
        <v>8534</v>
      </c>
      <c r="F4263" s="4"/>
      <c r="G4263" s="4"/>
      <c r="H4263" s="4"/>
      <c r="I4263" s="4"/>
      <c r="J4263" s="18"/>
      <c r="K4263" s="4"/>
      <c r="L4263" s="19"/>
      <c r="M4263" s="20"/>
    </row>
    <row r="4264">
      <c r="A4264" s="6"/>
      <c r="B4264" s="6"/>
      <c r="C4264" s="4"/>
      <c r="D4264" s="36">
        <v>381.799772</v>
      </c>
      <c r="E4264" s="4" t="s">
        <v>8512</v>
      </c>
      <c r="F4264" s="4"/>
      <c r="G4264" s="4"/>
      <c r="H4264" s="4"/>
      <c r="I4264" s="4"/>
      <c r="J4264" s="18"/>
      <c r="K4264" s="4"/>
      <c r="L4264" s="19"/>
      <c r="M4264" s="20"/>
    </row>
    <row r="4265">
      <c r="A4265" s="6"/>
      <c r="B4265" s="6"/>
      <c r="C4265" s="4"/>
      <c r="D4265" s="36">
        <v>465.107548</v>
      </c>
      <c r="E4265" s="4" t="s">
        <v>8907</v>
      </c>
      <c r="F4265" s="4"/>
      <c r="G4265" s="4"/>
      <c r="H4265" s="4"/>
      <c r="I4265" s="4"/>
      <c r="J4265" s="18"/>
      <c r="K4265" s="4"/>
      <c r="L4265" s="19"/>
      <c r="M4265" s="20"/>
    </row>
    <row r="4266">
      <c r="A4266" s="6"/>
      <c r="B4266" s="6"/>
      <c r="C4266" s="4"/>
      <c r="D4266" s="36">
        <v>233.390967</v>
      </c>
      <c r="E4266" s="4" t="s">
        <v>1493</v>
      </c>
      <c r="F4266" s="4"/>
      <c r="G4266" s="4"/>
      <c r="H4266" s="4"/>
      <c r="I4266" s="4"/>
      <c r="J4266" s="18"/>
      <c r="K4266" s="4"/>
      <c r="L4266" s="19"/>
      <c r="M4266" s="20"/>
    </row>
    <row r="4267">
      <c r="A4267" s="6"/>
      <c r="B4267" s="6"/>
      <c r="C4267" s="4"/>
      <c r="D4267" s="36">
        <v>265.566147</v>
      </c>
      <c r="E4267" s="4" t="s">
        <v>9035</v>
      </c>
      <c r="F4267" s="4"/>
      <c r="G4267" s="4"/>
      <c r="H4267" s="4"/>
      <c r="I4267" s="4"/>
      <c r="J4267" s="18"/>
      <c r="K4267" s="4"/>
      <c r="L4267" s="19"/>
      <c r="M4267" s="20"/>
    </row>
    <row r="4268">
      <c r="A4268" s="6"/>
      <c r="B4268" s="6"/>
      <c r="C4268" s="4"/>
      <c r="D4268" s="36">
        <v>465.107548</v>
      </c>
      <c r="E4268" s="4" t="s">
        <v>8996</v>
      </c>
      <c r="F4268" s="4"/>
      <c r="G4268" s="4"/>
      <c r="H4268" s="4"/>
      <c r="I4268" s="4"/>
      <c r="J4268" s="18"/>
      <c r="K4268" s="4"/>
      <c r="L4268" s="19"/>
      <c r="M4268" s="20"/>
    </row>
    <row r="4269">
      <c r="A4269" s="6"/>
      <c r="B4269" s="6"/>
      <c r="C4269" s="4"/>
      <c r="D4269" s="36">
        <v>465.107548</v>
      </c>
      <c r="E4269" s="4" t="s">
        <v>613</v>
      </c>
      <c r="F4269" s="4"/>
      <c r="G4269" s="4"/>
      <c r="H4269" s="4"/>
      <c r="I4269" s="4"/>
      <c r="J4269" s="18"/>
      <c r="K4269" s="4"/>
      <c r="L4269" s="19"/>
      <c r="M4269" s="20"/>
    </row>
    <row r="4270">
      <c r="A4270" s="6"/>
      <c r="B4270" s="6"/>
      <c r="C4270" s="4"/>
      <c r="D4270" s="36">
        <v>412.722041</v>
      </c>
      <c r="E4270" s="4" t="s">
        <v>8962</v>
      </c>
      <c r="F4270" s="4"/>
      <c r="G4270" s="4"/>
      <c r="H4270" s="4"/>
      <c r="I4270" s="4"/>
      <c r="J4270" s="18"/>
      <c r="K4270" s="4"/>
      <c r="L4270" s="19"/>
      <c r="M4270" s="20"/>
    </row>
    <row r="4271">
      <c r="A4271" s="6"/>
      <c r="B4271" s="6"/>
      <c r="C4271" s="4"/>
      <c r="D4271" s="36">
        <v>362.199322</v>
      </c>
      <c r="E4271" s="4" t="s">
        <v>1121</v>
      </c>
      <c r="F4271" s="4"/>
      <c r="G4271" s="4"/>
      <c r="H4271" s="4"/>
      <c r="I4271" s="4"/>
      <c r="J4271" s="18"/>
      <c r="K4271" s="4"/>
      <c r="L4271" s="19"/>
      <c r="M4271" s="20"/>
    </row>
    <row r="4272">
      <c r="A4272" s="6"/>
      <c r="B4272" s="6"/>
      <c r="C4272" s="4"/>
      <c r="D4272" s="36">
        <v>465.107548</v>
      </c>
      <c r="E4272" s="4" t="s">
        <v>4068</v>
      </c>
      <c r="F4272" s="4"/>
      <c r="G4272" s="4"/>
      <c r="H4272" s="4"/>
      <c r="I4272" s="4"/>
      <c r="J4272" s="18"/>
      <c r="K4272" s="4"/>
      <c r="L4272" s="19"/>
      <c r="M4272" s="20"/>
    </row>
    <row r="4273">
      <c r="A4273" s="6"/>
      <c r="B4273" s="6"/>
      <c r="C4273" s="4"/>
      <c r="D4273" s="36">
        <v>446.080851</v>
      </c>
      <c r="E4273" s="4" t="s">
        <v>9036</v>
      </c>
      <c r="F4273" s="4"/>
      <c r="G4273" s="4"/>
      <c r="H4273" s="4"/>
      <c r="I4273" s="4"/>
      <c r="J4273" s="18"/>
      <c r="K4273" s="4"/>
      <c r="L4273" s="19"/>
      <c r="M4273" s="20"/>
    </row>
    <row r="4274">
      <c r="A4274" s="6"/>
      <c r="B4274" s="6"/>
      <c r="C4274" s="4"/>
      <c r="D4274" s="36">
        <v>465.107548</v>
      </c>
      <c r="E4274" s="4" t="s">
        <v>9037</v>
      </c>
      <c r="F4274" s="4"/>
      <c r="G4274" s="4"/>
      <c r="H4274" s="4"/>
      <c r="I4274" s="4"/>
      <c r="J4274" s="18"/>
      <c r="K4274" s="4"/>
      <c r="L4274" s="19"/>
      <c r="M4274" s="20"/>
    </row>
    <row r="4275">
      <c r="A4275" s="6"/>
      <c r="B4275" s="6"/>
      <c r="C4275" s="4"/>
      <c r="D4275" s="36">
        <v>168.640638</v>
      </c>
      <c r="E4275" s="4" t="s">
        <v>8981</v>
      </c>
      <c r="F4275" s="4"/>
      <c r="G4275" s="4"/>
      <c r="H4275" s="4"/>
      <c r="I4275" s="4"/>
      <c r="J4275" s="18"/>
      <c r="K4275" s="4"/>
      <c r="L4275" s="19"/>
      <c r="M4275" s="20"/>
    </row>
    <row r="4276">
      <c r="A4276" s="6"/>
      <c r="B4276" s="6"/>
      <c r="C4276" s="4"/>
      <c r="D4276" s="36">
        <v>465.107548</v>
      </c>
      <c r="E4276" s="4" t="s">
        <v>8998</v>
      </c>
      <c r="F4276" s="4"/>
      <c r="G4276" s="4"/>
      <c r="H4276" s="4"/>
      <c r="I4276" s="4"/>
      <c r="J4276" s="18"/>
      <c r="K4276" s="4"/>
      <c r="L4276" s="19"/>
      <c r="M4276" s="20"/>
    </row>
    <row r="4277">
      <c r="A4277" s="6"/>
      <c r="B4277" s="6"/>
      <c r="C4277" s="4"/>
      <c r="D4277" s="36">
        <v>397.215336</v>
      </c>
      <c r="E4277" s="4" t="s">
        <v>9038</v>
      </c>
      <c r="F4277" s="4"/>
      <c r="G4277" s="4"/>
      <c r="H4277" s="4"/>
      <c r="I4277" s="4"/>
      <c r="J4277" s="18"/>
      <c r="K4277" s="4"/>
      <c r="L4277" s="19"/>
      <c r="M4277" s="20"/>
    </row>
    <row r="4278">
      <c r="A4278" s="6"/>
      <c r="B4278" s="6"/>
      <c r="C4278" s="4"/>
      <c r="D4278" s="36">
        <v>465.107548</v>
      </c>
      <c r="E4278" s="4" t="s">
        <v>8974</v>
      </c>
      <c r="F4278" s="4"/>
      <c r="G4278" s="4"/>
      <c r="H4278" s="4"/>
      <c r="I4278" s="4"/>
      <c r="J4278" s="18"/>
      <c r="K4278" s="4"/>
      <c r="L4278" s="19"/>
      <c r="M4278" s="20"/>
    </row>
    <row r="4279">
      <c r="A4279" s="6"/>
      <c r="B4279" s="6"/>
      <c r="C4279" s="4"/>
      <c r="D4279" s="36">
        <v>465.107548</v>
      </c>
      <c r="E4279" s="4" t="s">
        <v>135</v>
      </c>
      <c r="F4279" s="4"/>
      <c r="G4279" s="4"/>
      <c r="H4279" s="4"/>
      <c r="I4279" s="4"/>
      <c r="J4279" s="18"/>
      <c r="K4279" s="4"/>
      <c r="L4279" s="19"/>
      <c r="M4279" s="20"/>
    </row>
    <row r="4280">
      <c r="A4280" s="6"/>
      <c r="B4280" s="6"/>
      <c r="C4280" s="4"/>
      <c r="D4280" s="36">
        <v>177.18498</v>
      </c>
      <c r="E4280" s="4" t="s">
        <v>8976</v>
      </c>
      <c r="F4280" s="4"/>
      <c r="G4280" s="4"/>
      <c r="H4280" s="4"/>
      <c r="I4280" s="4"/>
      <c r="J4280" s="18"/>
      <c r="K4280" s="4"/>
      <c r="L4280" s="19"/>
      <c r="M4280" s="20"/>
    </row>
    <row r="4281">
      <c r="A4281" s="6"/>
      <c r="B4281" s="6"/>
      <c r="C4281" s="4"/>
      <c r="D4281" s="36">
        <v>509.136905</v>
      </c>
      <c r="E4281" s="4" t="s">
        <v>8907</v>
      </c>
      <c r="F4281" s="4"/>
      <c r="G4281" s="4"/>
      <c r="H4281" s="4"/>
      <c r="I4281" s="4"/>
      <c r="J4281" s="18"/>
      <c r="K4281" s="4"/>
      <c r="L4281" s="19"/>
      <c r="M4281" s="20"/>
    </row>
    <row r="4282">
      <c r="A4282" s="6"/>
      <c r="B4282" s="6"/>
      <c r="C4282" s="4"/>
      <c r="D4282" s="36">
        <v>242.749342</v>
      </c>
      <c r="E4282" s="4" t="s">
        <v>1656</v>
      </c>
      <c r="F4282" s="4"/>
      <c r="G4282" s="4"/>
      <c r="H4282" s="4"/>
      <c r="I4282" s="4"/>
      <c r="J4282" s="18"/>
      <c r="K4282" s="4"/>
      <c r="L4282" s="19"/>
      <c r="M4282" s="20"/>
    </row>
    <row r="4283">
      <c r="A4283" s="6"/>
      <c r="B4283" s="6"/>
      <c r="C4283" s="4"/>
      <c r="D4283" s="36">
        <v>1668.567045</v>
      </c>
      <c r="E4283" s="4" t="s">
        <v>8547</v>
      </c>
      <c r="F4283" s="4"/>
      <c r="G4283" s="4"/>
      <c r="H4283" s="4"/>
      <c r="I4283" s="4"/>
      <c r="J4283" s="18"/>
      <c r="K4283" s="4"/>
      <c r="L4283" s="19"/>
      <c r="M4283" s="20"/>
    </row>
    <row r="4284">
      <c r="A4284" s="6"/>
      <c r="B4284" s="6"/>
      <c r="C4284" s="4"/>
      <c r="D4284" s="36">
        <v>679.0009</v>
      </c>
      <c r="E4284" s="4" t="s">
        <v>4068</v>
      </c>
      <c r="F4284" s="4"/>
      <c r="G4284" s="4"/>
      <c r="H4284" s="4"/>
      <c r="I4284" s="4"/>
      <c r="J4284" s="18"/>
      <c r="K4284" s="4"/>
      <c r="L4284" s="19"/>
      <c r="M4284" s="20"/>
    </row>
    <row r="4285">
      <c r="A4285" s="6"/>
      <c r="B4285" s="6"/>
      <c r="C4285" s="4"/>
      <c r="D4285" s="36">
        <v>1929.956464</v>
      </c>
      <c r="E4285" s="4" t="s">
        <v>8992</v>
      </c>
      <c r="F4285" s="4"/>
      <c r="G4285" s="4"/>
      <c r="H4285" s="4"/>
      <c r="I4285" s="4"/>
      <c r="J4285" s="18"/>
      <c r="K4285" s="4"/>
      <c r="L4285" s="19"/>
      <c r="M4285" s="20"/>
    </row>
    <row r="4286">
      <c r="A4286" s="6"/>
      <c r="B4286" s="6"/>
      <c r="C4286" s="4"/>
      <c r="D4286" s="36">
        <v>6.733403</v>
      </c>
      <c r="E4286" s="4" t="s">
        <v>489</v>
      </c>
      <c r="F4286" s="4"/>
      <c r="G4286" s="4"/>
      <c r="H4286" s="4"/>
      <c r="I4286" s="4"/>
      <c r="J4286" s="18"/>
      <c r="K4286" s="4"/>
      <c r="L4286" s="19"/>
      <c r="M4286" s="20"/>
    </row>
    <row r="4287">
      <c r="A4287" s="6"/>
      <c r="B4287" s="6"/>
      <c r="C4287" s="4"/>
      <c r="D4287" s="36">
        <v>293.502544</v>
      </c>
      <c r="E4287" s="4" t="s">
        <v>135</v>
      </c>
      <c r="F4287" s="4"/>
      <c r="G4287" s="4"/>
      <c r="H4287" s="4"/>
      <c r="I4287" s="4"/>
      <c r="J4287" s="18"/>
      <c r="K4287" s="4"/>
      <c r="L4287" s="19"/>
      <c r="M4287" s="20"/>
    </row>
    <row r="4288">
      <c r="A4288" s="6"/>
      <c r="B4288" s="6"/>
      <c r="C4288" s="4"/>
      <c r="D4288" s="36">
        <v>5341.282276</v>
      </c>
      <c r="E4288" s="4" t="s">
        <v>1576</v>
      </c>
      <c r="F4288" s="4"/>
      <c r="G4288" s="4"/>
      <c r="H4288" s="4"/>
      <c r="I4288" s="4"/>
      <c r="J4288" s="18"/>
      <c r="K4288" s="4"/>
      <c r="L4288" s="19"/>
      <c r="M4288" s="20"/>
    </row>
    <row r="4289">
      <c r="A4289" s="6"/>
      <c r="B4289" s="6"/>
      <c r="C4289" s="4"/>
      <c r="D4289" s="36">
        <v>43.792855</v>
      </c>
      <c r="E4289" s="4" t="s">
        <v>8962</v>
      </c>
      <c r="F4289" s="4"/>
      <c r="G4289" s="4"/>
      <c r="H4289" s="4"/>
      <c r="I4289" s="4"/>
      <c r="J4289" s="18"/>
      <c r="K4289" s="4"/>
      <c r="L4289" s="19"/>
      <c r="M4289" s="20"/>
    </row>
    <row r="4290">
      <c r="A4290" s="6"/>
      <c r="B4290" s="6"/>
      <c r="C4290" s="4"/>
      <c r="D4290" s="36">
        <v>629.29006</v>
      </c>
      <c r="E4290" s="4" t="s">
        <v>8996</v>
      </c>
      <c r="F4290" s="4"/>
      <c r="G4290" s="4"/>
      <c r="H4290" s="4"/>
      <c r="I4290" s="4"/>
      <c r="J4290" s="18"/>
      <c r="K4290" s="4"/>
      <c r="L4290" s="19"/>
      <c r="M4290" s="20"/>
    </row>
    <row r="4291">
      <c r="A4291" s="6"/>
      <c r="B4291" s="6"/>
      <c r="C4291" s="4"/>
      <c r="D4291" s="36">
        <v>33.522185</v>
      </c>
      <c r="E4291" s="4" t="s">
        <v>8624</v>
      </c>
      <c r="F4291" s="4"/>
      <c r="G4291" s="4"/>
      <c r="H4291" s="4"/>
      <c r="I4291" s="4"/>
      <c r="J4291" s="18"/>
      <c r="K4291" s="4"/>
      <c r="L4291" s="19"/>
      <c r="M4291" s="20"/>
    </row>
    <row r="4292">
      <c r="A4292" s="6"/>
      <c r="B4292" s="6"/>
      <c r="C4292" s="4"/>
      <c r="D4292" s="36">
        <v>14.883134</v>
      </c>
      <c r="E4292" s="4" t="s">
        <v>9039</v>
      </c>
      <c r="F4292" s="4"/>
      <c r="G4292" s="4"/>
      <c r="H4292" s="4"/>
      <c r="I4292" s="4"/>
      <c r="J4292" s="18"/>
      <c r="K4292" s="4"/>
      <c r="L4292" s="19"/>
      <c r="M4292" s="20"/>
    </row>
    <row r="4293">
      <c r="A4293" s="6"/>
      <c r="B4293" s="6"/>
      <c r="C4293" s="4"/>
      <c r="D4293" s="36">
        <v>661.95975</v>
      </c>
      <c r="E4293" s="4" t="s">
        <v>8716</v>
      </c>
      <c r="F4293" s="4"/>
      <c r="G4293" s="4"/>
      <c r="H4293" s="4"/>
      <c r="I4293" s="4"/>
      <c r="J4293" s="18"/>
      <c r="K4293" s="4"/>
      <c r="L4293" s="19"/>
      <c r="M4293" s="20"/>
    </row>
    <row r="4294">
      <c r="A4294" s="6"/>
      <c r="B4294" s="6"/>
      <c r="C4294" s="4"/>
      <c r="D4294" s="36">
        <v>766.888581</v>
      </c>
      <c r="E4294" s="4" t="s">
        <v>1667</v>
      </c>
      <c r="F4294" s="4"/>
      <c r="G4294" s="4"/>
      <c r="H4294" s="4"/>
      <c r="I4294" s="4"/>
      <c r="J4294" s="18"/>
      <c r="K4294" s="4"/>
      <c r="L4294" s="19"/>
      <c r="M4294" s="20"/>
    </row>
    <row r="4295">
      <c r="A4295" s="6"/>
      <c r="B4295" s="6"/>
      <c r="C4295" s="4"/>
      <c r="D4295" s="36">
        <v>14.535571</v>
      </c>
      <c r="E4295" s="4" t="s">
        <v>738</v>
      </c>
      <c r="F4295" s="4"/>
      <c r="G4295" s="4"/>
      <c r="H4295" s="4"/>
      <c r="I4295" s="4"/>
      <c r="J4295" s="18"/>
      <c r="K4295" s="4"/>
      <c r="L4295" s="19"/>
      <c r="M4295" s="20"/>
    </row>
    <row r="4296">
      <c r="A4296" s="6"/>
      <c r="B4296" s="6"/>
      <c r="C4296" s="4"/>
      <c r="D4296" s="36">
        <v>1772.0169</v>
      </c>
      <c r="E4296" s="4" t="s">
        <v>1774</v>
      </c>
      <c r="F4296" s="4"/>
      <c r="G4296" s="4"/>
      <c r="H4296" s="4"/>
      <c r="I4296" s="4"/>
      <c r="J4296" s="18"/>
      <c r="K4296" s="4"/>
      <c r="L4296" s="19"/>
      <c r="M4296" s="20"/>
    </row>
    <row r="4297">
      <c r="A4297" s="6"/>
      <c r="B4297" s="6"/>
      <c r="C4297" s="4"/>
      <c r="D4297" s="36">
        <v>1066.750888</v>
      </c>
      <c r="E4297" s="4" t="s">
        <v>8971</v>
      </c>
      <c r="F4297" s="4"/>
      <c r="G4297" s="4"/>
      <c r="H4297" s="4"/>
      <c r="I4297" s="4"/>
      <c r="J4297" s="18"/>
      <c r="K4297" s="4"/>
      <c r="L4297" s="19"/>
      <c r="M4297" s="20"/>
    </row>
    <row r="4298">
      <c r="A4298" s="6"/>
      <c r="B4298" s="6"/>
      <c r="C4298" s="4"/>
      <c r="D4298" s="36">
        <v>129.12199</v>
      </c>
      <c r="E4298" s="4" t="s">
        <v>8970</v>
      </c>
      <c r="F4298" s="4"/>
      <c r="G4298" s="4"/>
      <c r="H4298" s="4"/>
      <c r="I4298" s="4"/>
      <c r="J4298" s="18"/>
      <c r="K4298" s="4"/>
      <c r="L4298" s="19"/>
      <c r="M4298" s="20"/>
    </row>
    <row r="4299">
      <c r="A4299" s="6"/>
      <c r="B4299" s="6"/>
      <c r="C4299" s="4"/>
      <c r="D4299" s="36">
        <v>901.186675</v>
      </c>
      <c r="E4299" s="4" t="s">
        <v>9009</v>
      </c>
      <c r="F4299" s="4"/>
      <c r="G4299" s="4"/>
      <c r="H4299" s="4"/>
      <c r="I4299" s="4"/>
      <c r="J4299" s="18"/>
      <c r="K4299" s="4"/>
      <c r="L4299" s="19"/>
      <c r="M4299" s="20"/>
    </row>
    <row r="4300">
      <c r="A4300" s="6"/>
      <c r="B4300" s="6"/>
      <c r="C4300" s="4"/>
      <c r="D4300" s="36">
        <v>522.42748</v>
      </c>
      <c r="E4300" s="4" t="s">
        <v>952</v>
      </c>
      <c r="F4300" s="4"/>
      <c r="G4300" s="4"/>
      <c r="H4300" s="4"/>
      <c r="I4300" s="4"/>
      <c r="J4300" s="18"/>
      <c r="K4300" s="4"/>
      <c r="L4300" s="19"/>
      <c r="M4300" s="20"/>
    </row>
    <row r="4301">
      <c r="A4301" s="6"/>
      <c r="B4301" s="6"/>
      <c r="C4301" s="4"/>
      <c r="D4301" s="36">
        <v>64.560995</v>
      </c>
      <c r="E4301" s="4" t="s">
        <v>8999</v>
      </c>
      <c r="F4301" s="4"/>
      <c r="G4301" s="4"/>
      <c r="H4301" s="4"/>
      <c r="I4301" s="4"/>
      <c r="J4301" s="18"/>
      <c r="K4301" s="4"/>
      <c r="L4301" s="19"/>
      <c r="M4301" s="20"/>
    </row>
    <row r="4302">
      <c r="A4302" s="6"/>
      <c r="B4302" s="6"/>
      <c r="C4302" s="4"/>
      <c r="D4302" s="36">
        <v>410.37551</v>
      </c>
      <c r="E4302" s="4" t="s">
        <v>8601</v>
      </c>
      <c r="F4302" s="4"/>
      <c r="G4302" s="4"/>
      <c r="H4302" s="4"/>
      <c r="I4302" s="4"/>
      <c r="J4302" s="18"/>
      <c r="K4302" s="4"/>
      <c r="L4302" s="19"/>
      <c r="M4302" s="20"/>
    </row>
    <row r="4303">
      <c r="A4303" s="6"/>
      <c r="B4303" s="6"/>
      <c r="C4303" s="4"/>
      <c r="D4303" s="36">
        <v>43.912313</v>
      </c>
      <c r="E4303" s="4" t="s">
        <v>9001</v>
      </c>
      <c r="F4303" s="4"/>
      <c r="G4303" s="4"/>
      <c r="H4303" s="4"/>
      <c r="I4303" s="4"/>
      <c r="J4303" s="18"/>
      <c r="K4303" s="4"/>
      <c r="L4303" s="19"/>
      <c r="M4303" s="20"/>
    </row>
    <row r="4304">
      <c r="A4304" s="6"/>
      <c r="B4304" s="6"/>
      <c r="C4304" s="4"/>
      <c r="D4304" s="36">
        <v>182.703243</v>
      </c>
      <c r="E4304" s="4" t="s">
        <v>417</v>
      </c>
      <c r="F4304" s="4"/>
      <c r="G4304" s="4"/>
      <c r="H4304" s="4"/>
      <c r="I4304" s="4"/>
      <c r="J4304" s="18"/>
      <c r="K4304" s="4"/>
      <c r="L4304" s="19"/>
      <c r="M4304" s="20"/>
    </row>
    <row r="4305">
      <c r="A4305" s="6"/>
      <c r="B4305" s="6"/>
      <c r="C4305" s="4"/>
      <c r="D4305" s="36">
        <v>84.723498</v>
      </c>
      <c r="E4305" s="4" t="s">
        <v>1218</v>
      </c>
      <c r="F4305" s="4"/>
      <c r="G4305" s="4"/>
      <c r="H4305" s="4"/>
      <c r="I4305" s="4"/>
      <c r="J4305" s="18"/>
      <c r="K4305" s="4"/>
      <c r="L4305" s="19"/>
      <c r="M4305" s="20"/>
    </row>
    <row r="4306">
      <c r="A4306" s="6"/>
      <c r="B4306" s="6"/>
      <c r="C4306" s="4"/>
      <c r="D4306" s="36">
        <v>2587.100754</v>
      </c>
      <c r="E4306" s="4" t="s">
        <v>8606</v>
      </c>
      <c r="F4306" s="4"/>
      <c r="G4306" s="4"/>
      <c r="H4306" s="4"/>
      <c r="I4306" s="4"/>
      <c r="J4306" s="18"/>
      <c r="K4306" s="4"/>
      <c r="L4306" s="19"/>
      <c r="M4306" s="20"/>
    </row>
    <row r="4307">
      <c r="A4307" s="6"/>
      <c r="B4307" s="6"/>
      <c r="C4307" s="4"/>
      <c r="D4307" s="36">
        <v>536.062856</v>
      </c>
      <c r="E4307" s="4" t="s">
        <v>8974</v>
      </c>
      <c r="F4307" s="4"/>
      <c r="G4307" s="4"/>
      <c r="H4307" s="4"/>
      <c r="I4307" s="4"/>
      <c r="J4307" s="18"/>
      <c r="K4307" s="4"/>
      <c r="L4307" s="19"/>
      <c r="M4307" s="20"/>
    </row>
    <row r="4308">
      <c r="A4308" s="6"/>
      <c r="B4308" s="6"/>
      <c r="C4308" s="4"/>
      <c r="D4308" s="36">
        <v>852.205138</v>
      </c>
      <c r="E4308" s="4" t="s">
        <v>8998</v>
      </c>
      <c r="F4308" s="4"/>
      <c r="G4308" s="4"/>
      <c r="H4308" s="4"/>
      <c r="I4308" s="4"/>
      <c r="J4308" s="18"/>
      <c r="K4308" s="4"/>
      <c r="L4308" s="19"/>
      <c r="M4308" s="20"/>
    </row>
    <row r="4309">
      <c r="A4309" s="6"/>
      <c r="B4309" s="6"/>
      <c r="C4309" s="4"/>
      <c r="D4309" s="36">
        <v>581.066818</v>
      </c>
      <c r="E4309" s="4" t="s">
        <v>8952</v>
      </c>
      <c r="F4309" s="4"/>
      <c r="G4309" s="4"/>
      <c r="H4309" s="4"/>
      <c r="I4309" s="4"/>
      <c r="J4309" s="18"/>
      <c r="K4309" s="4"/>
      <c r="L4309" s="19"/>
      <c r="M4309" s="20"/>
    </row>
    <row r="4310">
      <c r="A4310" s="6"/>
      <c r="B4310" s="6"/>
      <c r="C4310" s="4"/>
      <c r="D4310" s="36">
        <v>38.736597</v>
      </c>
      <c r="E4310" s="4" t="s">
        <v>9040</v>
      </c>
      <c r="F4310" s="4"/>
      <c r="G4310" s="4"/>
      <c r="H4310" s="4"/>
      <c r="I4310" s="4"/>
      <c r="J4310" s="18"/>
      <c r="K4310" s="4"/>
      <c r="L4310" s="19"/>
      <c r="M4310" s="20"/>
    </row>
    <row r="4311">
      <c r="A4311" s="6"/>
      <c r="B4311" s="6"/>
      <c r="C4311" s="4"/>
      <c r="D4311" s="36">
        <v>69.17952</v>
      </c>
      <c r="E4311" s="4" t="s">
        <v>1091</v>
      </c>
      <c r="F4311" s="4"/>
      <c r="G4311" s="4"/>
      <c r="H4311" s="4"/>
      <c r="I4311" s="4"/>
      <c r="J4311" s="18"/>
      <c r="K4311" s="4"/>
      <c r="L4311" s="19"/>
      <c r="M4311" s="20"/>
    </row>
    <row r="4312">
      <c r="A4312" s="6"/>
      <c r="B4312" s="6"/>
      <c r="C4312" s="4"/>
      <c r="D4312" s="36">
        <v>300.432616</v>
      </c>
      <c r="E4312" s="4" t="s">
        <v>1344</v>
      </c>
      <c r="F4312" s="4"/>
      <c r="G4312" s="4"/>
      <c r="H4312" s="4"/>
      <c r="I4312" s="4"/>
      <c r="J4312" s="18"/>
      <c r="K4312" s="4"/>
      <c r="L4312" s="19"/>
      <c r="M4312" s="20"/>
    </row>
    <row r="4313">
      <c r="A4313" s="6"/>
      <c r="B4313" s="6"/>
      <c r="C4313" s="4"/>
      <c r="D4313" s="36">
        <v>206.864764</v>
      </c>
      <c r="E4313" s="4" t="s">
        <v>475</v>
      </c>
      <c r="F4313" s="4"/>
      <c r="G4313" s="4"/>
      <c r="H4313" s="4"/>
      <c r="I4313" s="4"/>
      <c r="J4313" s="18"/>
      <c r="K4313" s="4"/>
      <c r="L4313" s="19"/>
      <c r="M4313" s="20"/>
    </row>
    <row r="4314">
      <c r="A4314" s="6"/>
      <c r="B4314" s="6"/>
      <c r="C4314" s="4"/>
      <c r="D4314" s="36">
        <v>3073.769025</v>
      </c>
      <c r="E4314" s="4" t="s">
        <v>8517</v>
      </c>
      <c r="F4314" s="4"/>
      <c r="G4314" s="4"/>
      <c r="H4314" s="4"/>
      <c r="I4314" s="4"/>
      <c r="J4314" s="18"/>
      <c r="K4314" s="4"/>
      <c r="L4314" s="19"/>
      <c r="M4314" s="20"/>
    </row>
    <row r="4315">
      <c r="A4315" s="6"/>
      <c r="B4315" s="6"/>
      <c r="C4315" s="4"/>
      <c r="D4315" s="36">
        <v>429.568148</v>
      </c>
      <c r="E4315" s="4" t="s">
        <v>9041</v>
      </c>
      <c r="F4315" s="4"/>
      <c r="G4315" s="4"/>
      <c r="H4315" s="4"/>
      <c r="I4315" s="4"/>
      <c r="J4315" s="18"/>
      <c r="K4315" s="4"/>
      <c r="L4315" s="19"/>
      <c r="M4315" s="20"/>
    </row>
    <row r="4316">
      <c r="A4316" s="6"/>
      <c r="B4316" s="6"/>
      <c r="C4316" s="4"/>
      <c r="D4316" s="36">
        <v>189.236143</v>
      </c>
      <c r="E4316" s="4" t="s">
        <v>9034</v>
      </c>
      <c r="F4316" s="4"/>
      <c r="G4316" s="4"/>
      <c r="H4316" s="4"/>
      <c r="I4316" s="4"/>
      <c r="J4316" s="18"/>
      <c r="K4316" s="4"/>
      <c r="L4316" s="19"/>
      <c r="M4316" s="20"/>
    </row>
    <row r="4317">
      <c r="A4317" s="6"/>
      <c r="B4317" s="6"/>
      <c r="C4317" s="4"/>
      <c r="D4317" s="36">
        <v>124.076704</v>
      </c>
      <c r="E4317" s="4" t="s">
        <v>9018</v>
      </c>
      <c r="F4317" s="4"/>
      <c r="G4317" s="4"/>
      <c r="H4317" s="4"/>
      <c r="I4317" s="4"/>
      <c r="J4317" s="18"/>
      <c r="K4317" s="4"/>
      <c r="L4317" s="19"/>
      <c r="M4317" s="20"/>
    </row>
    <row r="4318">
      <c r="A4318" s="6"/>
      <c r="B4318" s="6"/>
      <c r="C4318" s="4"/>
      <c r="D4318" s="36">
        <v>670.648126</v>
      </c>
      <c r="E4318" s="4" t="s">
        <v>534</v>
      </c>
      <c r="F4318" s="4"/>
      <c r="G4318" s="4"/>
      <c r="H4318" s="4"/>
      <c r="I4318" s="4"/>
      <c r="J4318" s="18"/>
      <c r="K4318" s="4"/>
      <c r="L4318" s="19"/>
      <c r="M4318" s="20"/>
    </row>
    <row r="4319">
      <c r="A4319" s="6"/>
      <c r="B4319" s="6"/>
      <c r="C4319" s="4"/>
      <c r="D4319" s="36">
        <v>165.276148</v>
      </c>
      <c r="E4319" s="4" t="s">
        <v>8701</v>
      </c>
      <c r="F4319" s="4"/>
      <c r="G4319" s="4"/>
      <c r="H4319" s="4"/>
      <c r="I4319" s="4"/>
      <c r="J4319" s="18"/>
      <c r="K4319" s="4"/>
      <c r="L4319" s="19"/>
      <c r="M4319" s="20"/>
    </row>
    <row r="4320">
      <c r="A4320" s="6"/>
      <c r="B4320" s="6"/>
      <c r="C4320" s="4"/>
      <c r="D4320" s="36">
        <v>338.302229</v>
      </c>
      <c r="E4320" s="4" t="s">
        <v>8968</v>
      </c>
      <c r="F4320" s="4"/>
      <c r="G4320" s="4"/>
      <c r="H4320" s="4"/>
      <c r="I4320" s="4"/>
      <c r="J4320" s="18"/>
      <c r="K4320" s="4"/>
      <c r="L4320" s="19"/>
      <c r="M4320" s="20"/>
    </row>
    <row r="4321">
      <c r="A4321" s="6"/>
      <c r="B4321" s="6"/>
      <c r="C4321" s="4"/>
      <c r="D4321" s="36">
        <v>81.89662</v>
      </c>
      <c r="E4321" s="4" t="s">
        <v>683</v>
      </c>
      <c r="F4321" s="4"/>
      <c r="G4321" s="4"/>
      <c r="H4321" s="4"/>
      <c r="I4321" s="4"/>
      <c r="J4321" s="18"/>
      <c r="K4321" s="4"/>
      <c r="L4321" s="19"/>
      <c r="M4321" s="20"/>
    </row>
    <row r="4322">
      <c r="A4322" s="6"/>
      <c r="B4322" s="6"/>
      <c r="C4322" s="4"/>
      <c r="D4322" s="36">
        <v>1549.463888</v>
      </c>
      <c r="E4322" s="4" t="s">
        <v>9042</v>
      </c>
      <c r="F4322" s="4"/>
      <c r="G4322" s="4"/>
      <c r="H4322" s="4"/>
      <c r="I4322" s="4"/>
      <c r="J4322" s="18"/>
      <c r="K4322" s="4"/>
      <c r="L4322" s="19"/>
      <c r="M4322" s="20"/>
    </row>
    <row r="4323">
      <c r="A4323" s="6"/>
      <c r="B4323" s="6"/>
      <c r="C4323" s="4"/>
      <c r="D4323" s="36">
        <v>0.0</v>
      </c>
      <c r="E4323" s="4"/>
      <c r="F4323" s="4"/>
      <c r="G4323" s="4"/>
      <c r="H4323" s="4"/>
      <c r="I4323" s="4"/>
      <c r="J4323" s="18"/>
      <c r="K4323" s="4"/>
      <c r="L4323" s="19"/>
      <c r="M4323" s="20"/>
    </row>
    <row r="4324">
      <c r="A4324" s="6"/>
      <c r="B4324" s="6"/>
      <c r="C4324" s="4"/>
      <c r="D4324" s="36">
        <v>0.0</v>
      </c>
      <c r="E4324" s="4"/>
      <c r="F4324" s="4"/>
      <c r="G4324" s="4"/>
      <c r="H4324" s="4"/>
      <c r="I4324" s="4"/>
      <c r="J4324" s="18"/>
      <c r="K4324" s="4"/>
      <c r="L4324" s="19"/>
      <c r="M4324" s="20"/>
    </row>
    <row r="4325">
      <c r="A4325" s="6"/>
      <c r="B4325" s="6"/>
      <c r="C4325" s="4"/>
      <c r="D4325" s="36">
        <v>0.0</v>
      </c>
      <c r="E4325" s="4"/>
      <c r="F4325" s="4"/>
      <c r="G4325" s="4"/>
      <c r="H4325" s="4"/>
      <c r="I4325" s="4"/>
      <c r="J4325" s="18"/>
      <c r="K4325" s="4"/>
      <c r="L4325" s="19"/>
      <c r="M4325" s="20"/>
    </row>
    <row r="4326">
      <c r="A4326" s="6"/>
      <c r="B4326" s="6"/>
      <c r="C4326" s="4"/>
      <c r="D4326" s="36">
        <v>0.0</v>
      </c>
      <c r="E4326" s="4"/>
      <c r="F4326" s="4"/>
      <c r="G4326" s="4"/>
      <c r="H4326" s="4"/>
      <c r="I4326" s="4"/>
      <c r="J4326" s="18"/>
      <c r="K4326" s="4"/>
      <c r="L4326" s="19"/>
      <c r="M4326" s="20"/>
    </row>
    <row r="4327">
      <c r="A4327" s="6"/>
      <c r="B4327" s="6"/>
      <c r="C4327" s="4"/>
      <c r="D4327" s="36">
        <v>0.0</v>
      </c>
      <c r="E4327" s="4"/>
      <c r="F4327" s="4"/>
      <c r="G4327" s="4"/>
      <c r="H4327" s="4"/>
      <c r="I4327" s="4"/>
      <c r="J4327" s="18"/>
      <c r="K4327" s="4"/>
      <c r="L4327" s="19"/>
      <c r="M4327" s="20"/>
    </row>
    <row r="4328">
      <c r="A4328" s="6"/>
      <c r="B4328" s="6"/>
      <c r="C4328" s="4"/>
      <c r="D4328" s="36">
        <v>0.0</v>
      </c>
      <c r="E4328" s="4"/>
      <c r="F4328" s="4"/>
      <c r="G4328" s="4"/>
      <c r="H4328" s="4"/>
      <c r="I4328" s="4"/>
      <c r="J4328" s="18"/>
      <c r="K4328" s="4"/>
      <c r="L4328" s="19"/>
      <c r="M4328" s="20"/>
    </row>
    <row r="4329">
      <c r="A4329" s="6"/>
      <c r="B4329" s="6"/>
      <c r="C4329" s="4"/>
      <c r="D4329" s="36">
        <v>0.0</v>
      </c>
      <c r="E4329" s="4"/>
      <c r="F4329" s="4"/>
      <c r="G4329" s="4"/>
      <c r="H4329" s="4"/>
      <c r="I4329" s="4"/>
      <c r="J4329" s="18"/>
      <c r="K4329" s="4"/>
      <c r="L4329" s="19"/>
      <c r="M4329" s="20"/>
    </row>
    <row r="4330">
      <c r="A4330" s="6"/>
      <c r="B4330" s="6"/>
      <c r="C4330" s="4"/>
      <c r="D4330" s="36">
        <v>0.0</v>
      </c>
      <c r="E4330" s="4"/>
      <c r="F4330" s="4"/>
      <c r="G4330" s="4"/>
      <c r="H4330" s="4"/>
      <c r="I4330" s="4"/>
      <c r="J4330" s="18"/>
      <c r="K4330" s="4"/>
      <c r="L4330" s="19"/>
      <c r="M4330" s="20"/>
    </row>
    <row r="4331">
      <c r="A4331" s="6"/>
      <c r="B4331" s="6"/>
      <c r="C4331" s="4"/>
      <c r="D4331" s="36">
        <v>0.0</v>
      </c>
      <c r="E4331" s="4"/>
      <c r="F4331" s="4"/>
      <c r="G4331" s="4"/>
      <c r="H4331" s="4"/>
      <c r="I4331" s="4"/>
      <c r="J4331" s="18"/>
      <c r="K4331" s="4"/>
      <c r="L4331" s="19"/>
      <c r="M4331" s="20"/>
    </row>
    <row r="4332">
      <c r="A4332" s="6"/>
      <c r="B4332" s="6"/>
      <c r="C4332" s="4"/>
      <c r="D4332" s="36">
        <v>0.0</v>
      </c>
      <c r="E4332" s="4"/>
      <c r="F4332" s="4"/>
      <c r="G4332" s="4"/>
      <c r="H4332" s="4"/>
      <c r="I4332" s="4"/>
      <c r="J4332" s="18"/>
      <c r="K4332" s="4"/>
      <c r="L4332" s="19"/>
      <c r="M4332" s="20"/>
    </row>
    <row r="4333">
      <c r="A4333" s="6"/>
      <c r="B4333" s="6"/>
      <c r="C4333" s="4"/>
      <c r="D4333" s="36">
        <v>0.0</v>
      </c>
      <c r="E4333" s="4"/>
      <c r="F4333" s="4"/>
      <c r="G4333" s="4"/>
      <c r="H4333" s="4"/>
      <c r="I4333" s="4"/>
      <c r="J4333" s="18"/>
      <c r="K4333" s="4"/>
      <c r="L4333" s="19"/>
      <c r="M4333" s="20"/>
    </row>
    <row r="4334">
      <c r="A4334" s="6"/>
      <c r="B4334" s="6"/>
      <c r="C4334" s="4"/>
      <c r="D4334" s="36">
        <v>0.0</v>
      </c>
      <c r="E4334" s="4"/>
      <c r="F4334" s="4"/>
      <c r="G4334" s="4"/>
      <c r="H4334" s="4"/>
      <c r="I4334" s="4"/>
      <c r="J4334" s="18"/>
      <c r="K4334" s="4"/>
      <c r="L4334" s="19"/>
      <c r="M4334" s="20"/>
    </row>
    <row r="4335">
      <c r="A4335" s="6"/>
      <c r="B4335" s="6"/>
      <c r="C4335" s="4"/>
      <c r="D4335" s="36">
        <v>0.0</v>
      </c>
      <c r="E4335" s="4"/>
      <c r="F4335" s="4"/>
      <c r="G4335" s="4"/>
      <c r="H4335" s="4"/>
      <c r="I4335" s="4"/>
      <c r="J4335" s="18"/>
      <c r="K4335" s="4"/>
      <c r="L4335" s="19"/>
      <c r="M4335" s="20"/>
    </row>
    <row r="4336">
      <c r="A4336" s="6"/>
      <c r="B4336" s="6"/>
      <c r="C4336" s="4"/>
      <c r="D4336" s="36">
        <v>0.0</v>
      </c>
      <c r="E4336" s="4"/>
      <c r="F4336" s="4"/>
      <c r="G4336" s="4"/>
      <c r="H4336" s="4"/>
      <c r="I4336" s="4"/>
      <c r="J4336" s="18"/>
      <c r="K4336" s="4"/>
      <c r="L4336" s="19"/>
      <c r="M4336" s="20"/>
    </row>
    <row r="4337">
      <c r="A4337" s="6"/>
      <c r="B4337" s="6"/>
      <c r="C4337" s="4"/>
      <c r="D4337" s="36">
        <v>0.0</v>
      </c>
      <c r="E4337" s="4"/>
      <c r="F4337" s="4"/>
      <c r="G4337" s="4"/>
      <c r="H4337" s="4"/>
      <c r="I4337" s="4"/>
      <c r="J4337" s="18"/>
      <c r="K4337" s="4"/>
      <c r="L4337" s="19"/>
      <c r="M4337" s="20"/>
    </row>
    <row r="4338">
      <c r="A4338" s="6"/>
      <c r="B4338" s="6"/>
      <c r="C4338" s="4"/>
      <c r="D4338" s="36">
        <v>0.0</v>
      </c>
      <c r="E4338" s="4"/>
      <c r="F4338" s="4"/>
      <c r="G4338" s="4"/>
      <c r="H4338" s="4"/>
      <c r="I4338" s="4"/>
      <c r="J4338" s="18"/>
      <c r="K4338" s="4"/>
      <c r="L4338" s="19"/>
      <c r="M4338" s="20"/>
    </row>
    <row r="4339">
      <c r="A4339" s="6"/>
      <c r="B4339" s="6"/>
      <c r="C4339" s="4"/>
      <c r="D4339" s="36">
        <v>0.0</v>
      </c>
      <c r="E4339" s="4"/>
      <c r="F4339" s="4"/>
      <c r="G4339" s="4"/>
      <c r="H4339" s="4"/>
      <c r="I4339" s="4"/>
      <c r="J4339" s="18"/>
      <c r="K4339" s="4"/>
      <c r="L4339" s="19"/>
      <c r="M4339" s="20"/>
    </row>
    <row r="4340">
      <c r="A4340" s="6"/>
      <c r="B4340" s="6"/>
      <c r="C4340" s="4"/>
      <c r="D4340" s="36">
        <v>0.0</v>
      </c>
      <c r="E4340" s="4"/>
      <c r="F4340" s="4"/>
      <c r="G4340" s="4"/>
      <c r="H4340" s="4"/>
      <c r="I4340" s="4"/>
      <c r="J4340" s="18"/>
      <c r="K4340" s="4"/>
      <c r="L4340" s="19"/>
      <c r="M4340" s="20"/>
    </row>
    <row r="4341">
      <c r="A4341" s="6"/>
      <c r="B4341" s="6"/>
      <c r="C4341" s="4"/>
      <c r="D4341" s="36">
        <v>0.0</v>
      </c>
      <c r="E4341" s="4"/>
      <c r="F4341" s="4"/>
      <c r="G4341" s="4"/>
      <c r="H4341" s="4"/>
      <c r="I4341" s="4"/>
      <c r="J4341" s="18"/>
      <c r="K4341" s="4"/>
      <c r="L4341" s="19"/>
      <c r="M4341" s="20"/>
    </row>
    <row r="4342">
      <c r="A4342" s="6"/>
      <c r="B4342" s="6"/>
      <c r="C4342" s="4"/>
      <c r="D4342" s="36">
        <v>0.0</v>
      </c>
      <c r="E4342" s="4"/>
      <c r="F4342" s="4"/>
      <c r="G4342" s="4"/>
      <c r="H4342" s="4"/>
      <c r="I4342" s="4"/>
      <c r="J4342" s="18"/>
      <c r="K4342" s="4"/>
      <c r="L4342" s="19"/>
      <c r="M4342" s="20"/>
    </row>
    <row r="4343">
      <c r="A4343" s="6"/>
      <c r="B4343" s="6"/>
      <c r="C4343" s="4"/>
      <c r="D4343" s="36">
        <v>0.0</v>
      </c>
      <c r="E4343" s="4"/>
      <c r="F4343" s="4"/>
      <c r="G4343" s="4"/>
      <c r="H4343" s="4"/>
      <c r="I4343" s="4"/>
      <c r="J4343" s="18"/>
      <c r="K4343" s="4"/>
      <c r="L4343" s="19"/>
      <c r="M4343" s="20"/>
    </row>
    <row r="4344">
      <c r="A4344" s="6"/>
      <c r="B4344" s="6"/>
      <c r="C4344" s="4"/>
      <c r="D4344" s="36">
        <v>0.0</v>
      </c>
      <c r="E4344" s="4"/>
      <c r="F4344" s="4"/>
      <c r="G4344" s="4"/>
      <c r="H4344" s="4"/>
      <c r="I4344" s="4"/>
      <c r="J4344" s="18"/>
      <c r="K4344" s="4"/>
      <c r="L4344" s="19"/>
      <c r="M4344" s="20"/>
    </row>
    <row r="4345">
      <c r="A4345" s="6"/>
      <c r="B4345" s="6"/>
      <c r="C4345" s="4"/>
      <c r="D4345" s="36">
        <v>0.0</v>
      </c>
      <c r="E4345" s="4"/>
      <c r="F4345" s="4"/>
      <c r="G4345" s="4"/>
      <c r="H4345" s="4"/>
      <c r="I4345" s="4"/>
      <c r="J4345" s="18"/>
      <c r="K4345" s="4"/>
      <c r="L4345" s="19"/>
      <c r="M4345" s="20"/>
    </row>
    <row r="4346">
      <c r="A4346" s="6"/>
      <c r="B4346" s="6"/>
      <c r="C4346" s="4"/>
      <c r="D4346" s="36">
        <v>0.0</v>
      </c>
      <c r="E4346" s="4"/>
      <c r="F4346" s="4"/>
      <c r="G4346" s="4"/>
      <c r="H4346" s="4"/>
      <c r="I4346" s="4"/>
      <c r="J4346" s="18"/>
      <c r="K4346" s="4"/>
      <c r="L4346" s="19"/>
      <c r="M4346" s="20"/>
    </row>
    <row r="4347">
      <c r="A4347" s="6"/>
      <c r="B4347" s="6"/>
      <c r="C4347" s="4"/>
      <c r="D4347" s="36">
        <v>0.0</v>
      </c>
      <c r="E4347" s="4"/>
      <c r="F4347" s="4"/>
      <c r="G4347" s="4"/>
      <c r="H4347" s="4"/>
      <c r="I4347" s="4"/>
      <c r="J4347" s="18"/>
      <c r="K4347" s="4"/>
      <c r="L4347" s="19"/>
      <c r="M4347" s="20"/>
    </row>
    <row r="4348">
      <c r="A4348" s="6"/>
      <c r="B4348" s="6"/>
      <c r="C4348" s="4"/>
      <c r="D4348" s="36">
        <v>0.0</v>
      </c>
      <c r="E4348" s="4"/>
      <c r="F4348" s="4"/>
      <c r="G4348" s="4"/>
      <c r="H4348" s="4"/>
      <c r="I4348" s="4"/>
      <c r="J4348" s="18"/>
      <c r="K4348" s="4"/>
      <c r="L4348" s="19"/>
      <c r="M4348" s="20"/>
    </row>
    <row r="4349">
      <c r="A4349" s="6"/>
      <c r="B4349" s="6"/>
      <c r="C4349" s="4"/>
      <c r="D4349" s="36">
        <v>0.0</v>
      </c>
      <c r="E4349" s="4"/>
      <c r="F4349" s="4"/>
      <c r="G4349" s="4"/>
      <c r="H4349" s="4"/>
      <c r="I4349" s="4"/>
      <c r="J4349" s="18"/>
      <c r="K4349" s="4"/>
      <c r="L4349" s="19"/>
      <c r="M4349" s="20"/>
    </row>
    <row r="4350">
      <c r="A4350" s="6"/>
      <c r="B4350" s="6"/>
      <c r="C4350" s="4"/>
      <c r="D4350" s="36">
        <v>0.0</v>
      </c>
      <c r="E4350" s="4"/>
      <c r="F4350" s="4"/>
      <c r="G4350" s="4"/>
      <c r="H4350" s="4"/>
      <c r="I4350" s="4"/>
      <c r="J4350" s="18"/>
      <c r="K4350" s="4"/>
      <c r="L4350" s="19"/>
      <c r="M4350" s="20"/>
    </row>
    <row r="4351">
      <c r="A4351" s="6"/>
      <c r="B4351" s="6"/>
      <c r="C4351" s="4"/>
      <c r="D4351" s="36">
        <v>0.0</v>
      </c>
      <c r="E4351" s="4"/>
      <c r="F4351" s="4"/>
      <c r="G4351" s="4"/>
      <c r="H4351" s="4"/>
      <c r="I4351" s="4"/>
      <c r="J4351" s="18"/>
      <c r="K4351" s="4"/>
      <c r="L4351" s="19"/>
      <c r="M4351" s="20"/>
    </row>
    <row r="4352">
      <c r="A4352" s="6"/>
      <c r="B4352" s="6"/>
      <c r="C4352" s="4"/>
      <c r="D4352" s="36">
        <v>0.0</v>
      </c>
      <c r="E4352" s="4"/>
      <c r="F4352" s="4"/>
      <c r="G4352" s="4"/>
      <c r="H4352" s="4"/>
      <c r="I4352" s="4"/>
      <c r="J4352" s="18"/>
      <c r="K4352" s="4"/>
      <c r="L4352" s="19"/>
      <c r="M4352" s="20"/>
    </row>
    <row r="4353">
      <c r="A4353" s="6"/>
      <c r="B4353" s="6"/>
      <c r="C4353" s="4"/>
      <c r="D4353" s="36">
        <v>0.0</v>
      </c>
      <c r="E4353" s="4"/>
      <c r="F4353" s="4"/>
      <c r="G4353" s="4"/>
      <c r="H4353" s="4"/>
      <c r="I4353" s="4"/>
      <c r="J4353" s="18"/>
      <c r="K4353" s="4"/>
      <c r="L4353" s="19"/>
      <c r="M4353" s="20"/>
    </row>
    <row r="4354">
      <c r="A4354" s="6"/>
      <c r="B4354" s="6"/>
      <c r="C4354" s="4"/>
      <c r="D4354" s="36">
        <v>0.0</v>
      </c>
      <c r="E4354" s="4"/>
      <c r="F4354" s="4"/>
      <c r="G4354" s="4"/>
      <c r="H4354" s="4"/>
      <c r="I4354" s="4"/>
      <c r="J4354" s="18"/>
      <c r="K4354" s="4"/>
      <c r="L4354" s="19"/>
      <c r="M4354" s="20"/>
    </row>
    <row r="4355">
      <c r="A4355" s="6"/>
      <c r="B4355" s="6"/>
      <c r="C4355" s="4"/>
      <c r="D4355" s="36">
        <v>0.0</v>
      </c>
      <c r="E4355" s="4"/>
      <c r="F4355" s="4"/>
      <c r="G4355" s="4"/>
      <c r="H4355" s="4"/>
      <c r="I4355" s="4"/>
      <c r="J4355" s="18"/>
      <c r="K4355" s="4"/>
      <c r="L4355" s="19"/>
      <c r="M4355" s="20"/>
    </row>
    <row r="4356">
      <c r="A4356" s="6"/>
      <c r="B4356" s="6"/>
      <c r="C4356" s="4"/>
      <c r="D4356" s="36">
        <v>0.0</v>
      </c>
      <c r="E4356" s="4"/>
      <c r="F4356" s="4"/>
      <c r="G4356" s="4"/>
      <c r="H4356" s="4"/>
      <c r="I4356" s="4"/>
      <c r="J4356" s="18"/>
      <c r="K4356" s="4"/>
      <c r="L4356" s="19"/>
      <c r="M4356" s="20"/>
    </row>
    <row r="4357">
      <c r="A4357" s="6"/>
      <c r="B4357" s="6"/>
      <c r="C4357" s="4"/>
      <c r="D4357" s="36">
        <v>0.0</v>
      </c>
      <c r="E4357" s="4"/>
      <c r="F4357" s="4"/>
      <c r="G4357" s="4"/>
      <c r="H4357" s="4"/>
      <c r="I4357" s="4"/>
      <c r="J4357" s="18"/>
      <c r="K4357" s="4"/>
      <c r="L4357" s="19"/>
      <c r="M4357" s="20"/>
    </row>
    <row r="4358">
      <c r="A4358" s="6"/>
      <c r="B4358" s="6"/>
      <c r="C4358" s="4"/>
      <c r="D4358" s="36">
        <v>0.0</v>
      </c>
      <c r="E4358" s="4"/>
      <c r="F4358" s="4"/>
      <c r="G4358" s="4"/>
      <c r="H4358" s="4"/>
      <c r="I4358" s="4"/>
      <c r="J4358" s="18"/>
      <c r="K4358" s="4"/>
      <c r="L4358" s="19"/>
      <c r="M4358" s="20"/>
    </row>
    <row r="4359">
      <c r="A4359" s="6"/>
      <c r="B4359" s="6"/>
      <c r="C4359" s="4"/>
      <c r="D4359" s="36">
        <v>0.0</v>
      </c>
      <c r="E4359" s="4"/>
      <c r="F4359" s="4"/>
      <c r="G4359" s="4"/>
      <c r="H4359" s="4"/>
      <c r="I4359" s="4"/>
      <c r="J4359" s="18"/>
      <c r="K4359" s="4"/>
      <c r="L4359" s="19"/>
      <c r="M4359" s="20"/>
    </row>
    <row r="4360">
      <c r="A4360" s="6"/>
      <c r="B4360" s="6"/>
      <c r="C4360" s="4"/>
      <c r="D4360" s="36">
        <v>0.0</v>
      </c>
      <c r="E4360" s="4"/>
      <c r="F4360" s="4"/>
      <c r="G4360" s="4"/>
      <c r="H4360" s="4"/>
      <c r="I4360" s="4"/>
      <c r="J4360" s="18"/>
      <c r="K4360" s="4"/>
      <c r="L4360" s="19"/>
      <c r="M4360" s="20"/>
    </row>
    <row r="4361">
      <c r="A4361" s="6"/>
      <c r="B4361" s="6"/>
      <c r="C4361" s="4"/>
      <c r="D4361" s="36">
        <v>0.0</v>
      </c>
      <c r="E4361" s="4"/>
      <c r="F4361" s="4"/>
      <c r="G4361" s="4"/>
      <c r="H4361" s="4"/>
      <c r="I4361" s="4"/>
      <c r="J4361" s="18"/>
      <c r="K4361" s="4"/>
      <c r="L4361" s="19"/>
      <c r="M4361" s="20"/>
    </row>
    <row r="4362">
      <c r="A4362" s="6"/>
      <c r="B4362" s="6"/>
      <c r="C4362" s="4"/>
      <c r="D4362" s="36">
        <v>0.0</v>
      </c>
      <c r="E4362" s="4"/>
      <c r="F4362" s="4"/>
      <c r="G4362" s="4"/>
      <c r="H4362" s="4"/>
      <c r="I4362" s="4"/>
      <c r="J4362" s="18"/>
      <c r="K4362" s="4"/>
      <c r="L4362" s="19"/>
      <c r="M4362" s="20"/>
    </row>
    <row r="4363">
      <c r="A4363" s="6"/>
      <c r="B4363" s="6"/>
      <c r="C4363" s="4"/>
      <c r="D4363" s="36">
        <v>0.0</v>
      </c>
      <c r="E4363" s="4"/>
      <c r="F4363" s="4"/>
      <c r="G4363" s="4"/>
      <c r="H4363" s="4"/>
      <c r="I4363" s="4"/>
      <c r="J4363" s="18"/>
      <c r="K4363" s="4"/>
      <c r="L4363" s="19"/>
      <c r="M4363" s="20"/>
    </row>
    <row r="4364">
      <c r="A4364" s="6"/>
      <c r="B4364" s="6"/>
      <c r="C4364" s="4"/>
      <c r="D4364" s="36">
        <v>0.0</v>
      </c>
      <c r="E4364" s="4"/>
      <c r="F4364" s="4"/>
      <c r="G4364" s="4"/>
      <c r="H4364" s="4"/>
      <c r="I4364" s="4"/>
      <c r="J4364" s="18"/>
      <c r="K4364" s="4"/>
      <c r="L4364" s="19"/>
      <c r="M4364" s="20"/>
    </row>
    <row r="4365">
      <c r="A4365" s="6"/>
      <c r="B4365" s="6"/>
      <c r="C4365" s="4"/>
      <c r="D4365" s="36">
        <v>0.0</v>
      </c>
      <c r="E4365" s="4"/>
      <c r="F4365" s="4"/>
      <c r="G4365" s="4"/>
      <c r="H4365" s="4"/>
      <c r="I4365" s="4"/>
      <c r="J4365" s="18"/>
      <c r="K4365" s="4"/>
      <c r="L4365" s="19"/>
      <c r="M4365" s="20"/>
    </row>
    <row r="4366">
      <c r="A4366" s="6"/>
      <c r="B4366" s="6"/>
      <c r="C4366" s="4"/>
      <c r="D4366" s="36">
        <v>0.0</v>
      </c>
      <c r="E4366" s="4"/>
      <c r="F4366" s="4"/>
      <c r="G4366" s="4"/>
      <c r="H4366" s="4"/>
      <c r="I4366" s="4"/>
      <c r="J4366" s="18"/>
      <c r="K4366" s="4"/>
      <c r="L4366" s="19"/>
      <c r="M4366" s="20"/>
    </row>
    <row r="4367">
      <c r="A4367" s="6"/>
      <c r="B4367" s="6"/>
      <c r="C4367" s="4"/>
      <c r="D4367" s="36">
        <v>0.0</v>
      </c>
      <c r="E4367" s="4"/>
      <c r="F4367" s="4"/>
      <c r="G4367" s="4"/>
      <c r="H4367" s="4"/>
      <c r="I4367" s="4"/>
      <c r="J4367" s="18"/>
      <c r="K4367" s="4"/>
      <c r="L4367" s="19"/>
      <c r="M4367" s="20"/>
    </row>
    <row r="4368">
      <c r="A4368" s="6"/>
      <c r="B4368" s="6"/>
      <c r="C4368" s="4"/>
      <c r="D4368" s="36">
        <v>0.0</v>
      </c>
      <c r="E4368" s="4"/>
      <c r="F4368" s="4"/>
      <c r="G4368" s="4"/>
      <c r="H4368" s="4"/>
      <c r="I4368" s="4"/>
      <c r="J4368" s="18"/>
      <c r="K4368" s="4"/>
      <c r="L4368" s="19"/>
      <c r="M4368" s="20"/>
    </row>
    <row r="4369">
      <c r="A4369" s="6"/>
      <c r="B4369" s="6"/>
      <c r="C4369" s="4"/>
      <c r="D4369" s="36">
        <v>0.0</v>
      </c>
      <c r="E4369" s="4"/>
      <c r="F4369" s="4"/>
      <c r="G4369" s="4"/>
      <c r="H4369" s="4"/>
      <c r="I4369" s="4"/>
      <c r="J4369" s="18"/>
      <c r="K4369" s="4"/>
      <c r="L4369" s="19"/>
      <c r="M4369" s="20"/>
    </row>
    <row r="4370">
      <c r="A4370" s="6"/>
      <c r="B4370" s="6"/>
      <c r="C4370" s="4"/>
      <c r="D4370" s="36">
        <v>0.0</v>
      </c>
      <c r="E4370" s="4"/>
      <c r="F4370" s="4"/>
      <c r="G4370" s="4"/>
      <c r="H4370" s="4"/>
      <c r="I4370" s="4"/>
      <c r="J4370" s="18"/>
      <c r="K4370" s="4"/>
      <c r="L4370" s="19"/>
      <c r="M4370" s="20"/>
    </row>
    <row r="4371">
      <c r="A4371" s="6"/>
      <c r="B4371" s="6"/>
      <c r="C4371" s="4"/>
      <c r="D4371" s="36">
        <v>0.0</v>
      </c>
      <c r="E4371" s="4"/>
      <c r="F4371" s="4"/>
      <c r="G4371" s="4"/>
      <c r="H4371" s="4"/>
      <c r="I4371" s="4"/>
      <c r="J4371" s="18"/>
      <c r="K4371" s="4"/>
      <c r="L4371" s="19"/>
      <c r="M4371" s="20"/>
    </row>
    <row r="4372">
      <c r="A4372" s="6"/>
      <c r="B4372" s="6"/>
      <c r="C4372" s="4"/>
      <c r="D4372" s="36">
        <v>0.0</v>
      </c>
      <c r="E4372" s="4"/>
      <c r="F4372" s="4"/>
      <c r="G4372" s="4"/>
      <c r="H4372" s="4"/>
      <c r="I4372" s="4"/>
      <c r="J4372" s="18"/>
      <c r="K4372" s="4"/>
      <c r="L4372" s="19"/>
      <c r="M4372" s="20"/>
    </row>
    <row r="4373">
      <c r="A4373" s="6"/>
      <c r="B4373" s="6"/>
      <c r="C4373" s="4"/>
      <c r="D4373" s="36">
        <v>0.0</v>
      </c>
      <c r="E4373" s="4"/>
      <c r="F4373" s="4"/>
      <c r="G4373" s="4"/>
      <c r="H4373" s="4"/>
      <c r="I4373" s="4"/>
      <c r="J4373" s="18"/>
      <c r="K4373" s="4"/>
      <c r="L4373" s="19"/>
      <c r="M4373" s="20"/>
    </row>
    <row r="4374">
      <c r="A4374" s="6"/>
      <c r="B4374" s="6"/>
      <c r="C4374" s="4"/>
      <c r="D4374" s="36">
        <v>0.0</v>
      </c>
      <c r="E4374" s="4"/>
      <c r="F4374" s="4"/>
      <c r="G4374" s="4"/>
      <c r="H4374" s="4"/>
      <c r="I4374" s="4"/>
      <c r="J4374" s="18"/>
      <c r="K4374" s="4"/>
      <c r="L4374" s="19"/>
      <c r="M4374" s="20"/>
    </row>
    <row r="4375">
      <c r="A4375" s="6"/>
      <c r="B4375" s="6"/>
      <c r="C4375" s="4"/>
      <c r="D4375" s="36">
        <v>0.0</v>
      </c>
      <c r="E4375" s="4"/>
      <c r="F4375" s="4"/>
      <c r="G4375" s="4"/>
      <c r="H4375" s="4"/>
      <c r="I4375" s="4"/>
      <c r="J4375" s="18"/>
      <c r="K4375" s="4"/>
      <c r="L4375" s="19"/>
      <c r="M4375" s="20"/>
    </row>
    <row r="4376">
      <c r="A4376" s="6"/>
      <c r="B4376" s="6"/>
      <c r="C4376" s="4"/>
      <c r="D4376" s="36">
        <v>0.0</v>
      </c>
      <c r="E4376" s="4"/>
      <c r="F4376" s="4"/>
      <c r="G4376" s="4"/>
      <c r="H4376" s="4"/>
      <c r="I4376" s="4"/>
      <c r="J4376" s="18"/>
      <c r="K4376" s="4"/>
      <c r="L4376" s="19"/>
      <c r="M4376" s="20"/>
    </row>
    <row r="4377">
      <c r="A4377" s="6"/>
      <c r="B4377" s="6"/>
      <c r="C4377" s="4"/>
      <c r="D4377" s="36">
        <v>0.0</v>
      </c>
      <c r="E4377" s="4"/>
      <c r="F4377" s="4"/>
      <c r="G4377" s="4"/>
      <c r="H4377" s="4"/>
      <c r="I4377" s="4"/>
      <c r="J4377" s="18"/>
      <c r="K4377" s="4"/>
      <c r="L4377" s="19"/>
      <c r="M4377" s="20"/>
    </row>
    <row r="4378">
      <c r="A4378" s="6"/>
      <c r="B4378" s="6"/>
      <c r="C4378" s="4"/>
      <c r="D4378" s="36">
        <v>0.0</v>
      </c>
      <c r="E4378" s="4"/>
      <c r="F4378" s="4"/>
      <c r="G4378" s="4"/>
      <c r="H4378" s="4"/>
      <c r="I4378" s="4"/>
      <c r="J4378" s="18"/>
      <c r="K4378" s="4"/>
      <c r="L4378" s="19"/>
      <c r="M4378" s="20"/>
    </row>
    <row r="4379">
      <c r="A4379" s="6"/>
      <c r="B4379" s="6"/>
      <c r="C4379" s="4"/>
      <c r="D4379" s="36">
        <v>0.0</v>
      </c>
      <c r="E4379" s="4"/>
      <c r="F4379" s="4"/>
      <c r="G4379" s="4"/>
      <c r="H4379" s="4"/>
      <c r="I4379" s="4"/>
      <c r="J4379" s="18"/>
      <c r="K4379" s="4"/>
      <c r="L4379" s="19"/>
      <c r="M4379" s="20"/>
    </row>
    <row r="4380">
      <c r="A4380" s="6"/>
      <c r="B4380" s="6"/>
      <c r="C4380" s="4"/>
      <c r="D4380" s="36">
        <v>0.0</v>
      </c>
      <c r="E4380" s="4"/>
      <c r="F4380" s="4"/>
      <c r="G4380" s="4"/>
      <c r="H4380" s="4"/>
      <c r="I4380" s="4"/>
      <c r="J4380" s="18"/>
      <c r="K4380" s="4"/>
      <c r="L4380" s="19"/>
      <c r="M4380" s="20"/>
    </row>
    <row r="4381">
      <c r="A4381" s="6"/>
      <c r="B4381" s="6"/>
      <c r="C4381" s="4"/>
      <c r="D4381" s="36">
        <v>0.0</v>
      </c>
      <c r="E4381" s="4"/>
      <c r="F4381" s="4"/>
      <c r="G4381" s="4"/>
      <c r="H4381" s="4"/>
      <c r="I4381" s="4"/>
      <c r="J4381" s="18"/>
      <c r="K4381" s="4"/>
      <c r="L4381" s="19"/>
      <c r="M4381" s="20"/>
    </row>
    <row r="4382">
      <c r="A4382" s="6"/>
      <c r="B4382" s="6"/>
      <c r="C4382" s="4"/>
      <c r="D4382" s="36">
        <v>0.0</v>
      </c>
      <c r="E4382" s="4"/>
      <c r="F4382" s="4"/>
      <c r="G4382" s="4"/>
      <c r="H4382" s="4"/>
      <c r="I4382" s="4"/>
      <c r="J4382" s="18"/>
      <c r="K4382" s="4"/>
      <c r="L4382" s="19"/>
      <c r="M4382" s="20"/>
    </row>
    <row r="4383">
      <c r="A4383" s="6"/>
      <c r="B4383" s="6"/>
      <c r="C4383" s="4"/>
      <c r="D4383" s="36">
        <v>0.0</v>
      </c>
      <c r="E4383" s="4"/>
      <c r="F4383" s="4"/>
      <c r="G4383" s="4"/>
      <c r="H4383" s="4"/>
      <c r="I4383" s="4"/>
      <c r="J4383" s="18"/>
      <c r="K4383" s="4"/>
      <c r="L4383" s="19"/>
      <c r="M4383" s="20"/>
    </row>
    <row r="4384">
      <c r="A4384" s="6"/>
      <c r="B4384" s="6"/>
      <c r="C4384" s="4"/>
      <c r="D4384" s="36">
        <v>0.0</v>
      </c>
      <c r="E4384" s="4"/>
      <c r="F4384" s="4"/>
      <c r="G4384" s="4"/>
      <c r="H4384" s="4"/>
      <c r="I4384" s="4"/>
      <c r="J4384" s="18"/>
      <c r="K4384" s="4"/>
      <c r="L4384" s="19"/>
      <c r="M4384" s="20"/>
    </row>
    <row r="4385">
      <c r="A4385" s="6"/>
      <c r="B4385" s="6"/>
      <c r="C4385" s="4"/>
      <c r="D4385" s="36">
        <v>0.0</v>
      </c>
      <c r="E4385" s="4"/>
      <c r="F4385" s="4"/>
      <c r="G4385" s="4"/>
      <c r="H4385" s="4"/>
      <c r="I4385" s="4"/>
      <c r="J4385" s="18"/>
      <c r="K4385" s="4"/>
      <c r="L4385" s="19"/>
      <c r="M4385" s="20"/>
    </row>
    <row r="4386">
      <c r="A4386" s="6"/>
      <c r="B4386" s="6"/>
      <c r="C4386" s="4"/>
      <c r="D4386" s="36">
        <v>0.0</v>
      </c>
      <c r="E4386" s="4"/>
      <c r="F4386" s="4"/>
      <c r="G4386" s="4"/>
      <c r="H4386" s="4"/>
      <c r="I4386" s="4"/>
      <c r="J4386" s="18"/>
      <c r="K4386" s="4"/>
      <c r="L4386" s="19"/>
      <c r="M4386" s="20"/>
    </row>
    <row r="4387">
      <c r="A4387" s="6"/>
      <c r="B4387" s="6"/>
      <c r="C4387" s="4"/>
      <c r="D4387" s="36">
        <v>0.0</v>
      </c>
      <c r="E4387" s="4"/>
      <c r="F4387" s="4"/>
      <c r="G4387" s="4"/>
      <c r="H4387" s="4"/>
      <c r="I4387" s="4"/>
      <c r="J4387" s="18"/>
      <c r="K4387" s="4"/>
      <c r="L4387" s="19"/>
      <c r="M4387" s="20"/>
    </row>
    <row r="4388">
      <c r="A4388" s="6"/>
      <c r="B4388" s="6"/>
      <c r="C4388" s="4"/>
      <c r="D4388" s="36">
        <v>0.0</v>
      </c>
      <c r="E4388" s="4"/>
      <c r="F4388" s="4"/>
      <c r="G4388" s="4"/>
      <c r="H4388" s="4"/>
      <c r="I4388" s="4"/>
      <c r="J4388" s="18"/>
      <c r="K4388" s="4"/>
      <c r="L4388" s="19"/>
      <c r="M4388" s="20"/>
    </row>
    <row r="4389">
      <c r="A4389" s="6"/>
      <c r="B4389" s="6"/>
      <c r="C4389" s="4"/>
      <c r="D4389" s="36">
        <v>0.0</v>
      </c>
      <c r="E4389" s="4"/>
      <c r="F4389" s="4"/>
      <c r="G4389" s="4"/>
      <c r="H4389" s="4"/>
      <c r="I4389" s="4"/>
      <c r="J4389" s="18"/>
      <c r="K4389" s="4"/>
      <c r="L4389" s="19"/>
      <c r="M4389" s="20"/>
    </row>
    <row r="4390">
      <c r="A4390" s="6"/>
      <c r="B4390" s="6"/>
      <c r="C4390" s="4"/>
      <c r="D4390" s="36">
        <v>0.0</v>
      </c>
      <c r="E4390" s="4"/>
      <c r="F4390" s="4"/>
      <c r="G4390" s="4"/>
      <c r="H4390" s="4"/>
      <c r="I4390" s="4"/>
      <c r="J4390" s="18"/>
      <c r="K4390" s="4"/>
      <c r="L4390" s="19"/>
      <c r="M4390" s="20"/>
    </row>
    <row r="4391">
      <c r="A4391" s="6"/>
      <c r="B4391" s="6"/>
      <c r="C4391" s="4"/>
      <c r="D4391" s="36">
        <v>0.0</v>
      </c>
      <c r="E4391" s="4"/>
      <c r="F4391" s="4"/>
      <c r="G4391" s="4"/>
      <c r="H4391" s="4"/>
      <c r="I4391" s="4"/>
      <c r="J4391" s="18"/>
      <c r="K4391" s="4"/>
      <c r="L4391" s="19"/>
      <c r="M4391" s="20"/>
    </row>
    <row r="4392">
      <c r="A4392" s="6"/>
      <c r="B4392" s="6"/>
      <c r="C4392" s="4"/>
      <c r="D4392" s="36">
        <v>0.0</v>
      </c>
      <c r="E4392" s="4"/>
      <c r="F4392" s="4"/>
      <c r="G4392" s="4"/>
      <c r="H4392" s="4"/>
      <c r="I4392" s="4"/>
      <c r="J4392" s="18"/>
      <c r="K4392" s="4"/>
      <c r="L4392" s="19"/>
      <c r="M4392" s="20"/>
    </row>
    <row r="4393">
      <c r="A4393" s="6"/>
      <c r="B4393" s="6"/>
      <c r="C4393" s="4"/>
      <c r="D4393" s="36">
        <v>0.0</v>
      </c>
      <c r="E4393" s="4"/>
      <c r="F4393" s="4"/>
      <c r="G4393" s="4"/>
      <c r="H4393" s="4"/>
      <c r="I4393" s="4"/>
      <c r="J4393" s="18"/>
      <c r="K4393" s="4"/>
      <c r="L4393" s="19"/>
      <c r="M4393" s="20"/>
    </row>
    <row r="4394">
      <c r="A4394" s="6"/>
      <c r="B4394" s="6"/>
      <c r="C4394" s="4"/>
      <c r="D4394" s="36">
        <v>0.0</v>
      </c>
      <c r="E4394" s="4"/>
      <c r="F4394" s="4"/>
      <c r="G4394" s="4"/>
      <c r="H4394" s="4"/>
      <c r="I4394" s="4"/>
      <c r="J4394" s="18"/>
      <c r="K4394" s="4"/>
      <c r="L4394" s="19"/>
      <c r="M4394" s="20"/>
    </row>
    <row r="4395">
      <c r="A4395" s="6"/>
      <c r="B4395" s="6"/>
      <c r="C4395" s="4"/>
      <c r="D4395" s="36">
        <v>0.0</v>
      </c>
      <c r="E4395" s="4"/>
      <c r="F4395" s="4"/>
      <c r="G4395" s="4"/>
      <c r="H4395" s="4"/>
      <c r="I4395" s="4"/>
      <c r="J4395" s="18"/>
      <c r="K4395" s="4"/>
      <c r="L4395" s="19"/>
      <c r="M4395" s="20"/>
    </row>
    <row r="4396">
      <c r="A4396" s="6"/>
      <c r="B4396" s="6"/>
      <c r="C4396" s="4"/>
      <c r="D4396" s="36">
        <v>0.0</v>
      </c>
      <c r="E4396" s="4"/>
      <c r="F4396" s="4"/>
      <c r="G4396" s="4"/>
      <c r="H4396" s="4"/>
      <c r="I4396" s="4"/>
      <c r="J4396" s="18"/>
      <c r="K4396" s="4"/>
      <c r="L4396" s="19"/>
      <c r="M4396" s="20"/>
    </row>
    <row r="4397">
      <c r="A4397" s="6"/>
      <c r="B4397" s="6"/>
      <c r="C4397" s="4"/>
      <c r="D4397" s="36">
        <v>0.0</v>
      </c>
      <c r="E4397" s="4"/>
      <c r="F4397" s="4"/>
      <c r="G4397" s="4"/>
      <c r="H4397" s="4"/>
      <c r="I4397" s="4"/>
      <c r="J4397" s="18"/>
      <c r="K4397" s="4"/>
      <c r="L4397" s="19"/>
      <c r="M4397" s="20"/>
    </row>
    <row r="4398">
      <c r="A4398" s="6"/>
      <c r="B4398" s="6"/>
      <c r="C4398" s="4"/>
      <c r="D4398" s="36">
        <v>0.0</v>
      </c>
      <c r="E4398" s="4"/>
      <c r="F4398" s="4"/>
      <c r="G4398" s="4"/>
      <c r="H4398" s="4"/>
      <c r="I4398" s="4"/>
      <c r="J4398" s="18"/>
      <c r="K4398" s="4"/>
      <c r="L4398" s="19"/>
      <c r="M4398" s="20"/>
    </row>
    <row r="4399">
      <c r="A4399" s="6"/>
      <c r="B4399" s="6"/>
      <c r="C4399" s="4"/>
      <c r="D4399" s="36">
        <v>0.0</v>
      </c>
      <c r="E4399" s="4"/>
      <c r="F4399" s="4"/>
      <c r="G4399" s="4"/>
      <c r="H4399" s="4"/>
      <c r="I4399" s="4"/>
      <c r="J4399" s="18"/>
      <c r="K4399" s="4"/>
      <c r="L4399" s="19"/>
      <c r="M4399" s="20"/>
    </row>
    <row r="4400">
      <c r="A4400" s="6"/>
      <c r="B4400" s="6"/>
      <c r="C4400" s="4"/>
      <c r="D4400" s="36">
        <v>0.0</v>
      </c>
      <c r="E4400" s="4"/>
      <c r="F4400" s="4"/>
      <c r="G4400" s="4"/>
      <c r="H4400" s="4"/>
      <c r="I4400" s="4"/>
      <c r="J4400" s="18"/>
      <c r="K4400" s="4"/>
      <c r="L4400" s="19"/>
      <c r="M4400" s="20"/>
    </row>
    <row r="4401">
      <c r="A4401" s="6"/>
      <c r="B4401" s="6"/>
      <c r="C4401" s="4"/>
      <c r="D4401" s="36">
        <v>0.0</v>
      </c>
      <c r="E4401" s="4"/>
      <c r="F4401" s="4"/>
      <c r="G4401" s="4"/>
      <c r="H4401" s="4"/>
      <c r="I4401" s="4"/>
      <c r="J4401" s="18"/>
      <c r="K4401" s="4"/>
      <c r="L4401" s="19"/>
      <c r="M4401" s="20"/>
    </row>
    <row r="4402">
      <c r="A4402" s="6"/>
      <c r="B4402" s="6"/>
      <c r="C4402" s="4"/>
      <c r="D4402" s="36">
        <v>0.0</v>
      </c>
      <c r="E4402" s="4"/>
      <c r="F4402" s="4"/>
      <c r="G4402" s="4"/>
      <c r="H4402" s="4"/>
      <c r="I4402" s="4"/>
      <c r="J4402" s="18"/>
      <c r="K4402" s="4"/>
      <c r="L4402" s="19"/>
      <c r="M4402" s="20"/>
    </row>
    <row r="4403">
      <c r="A4403" s="6"/>
      <c r="B4403" s="6"/>
      <c r="C4403" s="4"/>
      <c r="D4403" s="36">
        <v>0.0</v>
      </c>
      <c r="E4403" s="4"/>
      <c r="F4403" s="4"/>
      <c r="G4403" s="4"/>
      <c r="H4403" s="4"/>
      <c r="I4403" s="4"/>
      <c r="J4403" s="18"/>
      <c r="K4403" s="4"/>
      <c r="L4403" s="19"/>
      <c r="M4403" s="20"/>
    </row>
    <row r="4404">
      <c r="A4404" s="6"/>
      <c r="B4404" s="6"/>
      <c r="C4404" s="4"/>
      <c r="D4404" s="36">
        <v>0.0</v>
      </c>
      <c r="E4404" s="4"/>
      <c r="F4404" s="4"/>
      <c r="G4404" s="4"/>
      <c r="H4404" s="4"/>
      <c r="I4404" s="4"/>
      <c r="J4404" s="18"/>
      <c r="K4404" s="4"/>
      <c r="L4404" s="19"/>
      <c r="M4404" s="20"/>
    </row>
    <row r="4405">
      <c r="A4405" s="6"/>
      <c r="B4405" s="6"/>
      <c r="C4405" s="4"/>
      <c r="D4405" s="36">
        <v>0.0</v>
      </c>
      <c r="E4405" s="4"/>
      <c r="F4405" s="4"/>
      <c r="G4405" s="4"/>
      <c r="H4405" s="4"/>
      <c r="I4405" s="4"/>
      <c r="J4405" s="18"/>
      <c r="K4405" s="4"/>
      <c r="L4405" s="19"/>
      <c r="M4405" s="20"/>
    </row>
    <row r="4406">
      <c r="A4406" s="6"/>
      <c r="B4406" s="6"/>
      <c r="C4406" s="4"/>
      <c r="D4406" s="36">
        <v>0.0</v>
      </c>
      <c r="E4406" s="4"/>
      <c r="F4406" s="4"/>
      <c r="G4406" s="4"/>
      <c r="H4406" s="4"/>
      <c r="I4406" s="4"/>
      <c r="J4406" s="18"/>
      <c r="K4406" s="4"/>
      <c r="L4406" s="19"/>
      <c r="M4406" s="20"/>
    </row>
    <row r="4407">
      <c r="A4407" s="6"/>
      <c r="B4407" s="6"/>
      <c r="C4407" s="4"/>
      <c r="D4407" s="36">
        <v>0.0</v>
      </c>
      <c r="E4407" s="4"/>
      <c r="F4407" s="4"/>
      <c r="G4407" s="4"/>
      <c r="H4407" s="4"/>
      <c r="I4407" s="4"/>
      <c r="J4407" s="18"/>
      <c r="K4407" s="4"/>
      <c r="L4407" s="19"/>
      <c r="M4407" s="20"/>
    </row>
    <row r="4408">
      <c r="A4408" s="6"/>
      <c r="B4408" s="6"/>
      <c r="C4408" s="4"/>
      <c r="D4408" s="36">
        <v>0.0</v>
      </c>
      <c r="E4408" s="4"/>
      <c r="F4408" s="4"/>
      <c r="G4408" s="4"/>
      <c r="H4408" s="4"/>
      <c r="I4408" s="4"/>
      <c r="J4408" s="18"/>
      <c r="K4408" s="4"/>
      <c r="L4408" s="19"/>
      <c r="M4408" s="20"/>
    </row>
    <row r="4409">
      <c r="A4409" s="6"/>
      <c r="B4409" s="6"/>
      <c r="C4409" s="4"/>
      <c r="D4409" s="36">
        <v>0.0</v>
      </c>
      <c r="E4409" s="4"/>
      <c r="F4409" s="4"/>
      <c r="G4409" s="4"/>
      <c r="H4409" s="4"/>
      <c r="I4409" s="4"/>
      <c r="J4409" s="18"/>
      <c r="K4409" s="4"/>
      <c r="L4409" s="19"/>
      <c r="M4409" s="20"/>
    </row>
    <row r="4410">
      <c r="A4410" s="6"/>
      <c r="B4410" s="6"/>
      <c r="C4410" s="4"/>
      <c r="D4410" s="36">
        <v>0.0</v>
      </c>
      <c r="E4410" s="4"/>
      <c r="F4410" s="4"/>
      <c r="G4410" s="4"/>
      <c r="H4410" s="4"/>
      <c r="I4410" s="4"/>
      <c r="J4410" s="18"/>
      <c r="K4410" s="4"/>
      <c r="L4410" s="19"/>
      <c r="M4410" s="20"/>
    </row>
    <row r="4411">
      <c r="A4411" s="6"/>
      <c r="B4411" s="6"/>
      <c r="C4411" s="4"/>
      <c r="D4411" s="36">
        <v>0.0</v>
      </c>
      <c r="E4411" s="4"/>
      <c r="F4411" s="4"/>
      <c r="G4411" s="4"/>
      <c r="H4411" s="4"/>
      <c r="I4411" s="4"/>
      <c r="J4411" s="18"/>
      <c r="K4411" s="4"/>
      <c r="L4411" s="19"/>
      <c r="M4411" s="20"/>
    </row>
    <row r="4412">
      <c r="A4412" s="6"/>
      <c r="B4412" s="6"/>
      <c r="C4412" s="4"/>
      <c r="D4412" s="36">
        <v>0.0</v>
      </c>
      <c r="E4412" s="4"/>
      <c r="F4412" s="4"/>
      <c r="G4412" s="4"/>
      <c r="H4412" s="4"/>
      <c r="I4412" s="4"/>
      <c r="J4412" s="18"/>
      <c r="K4412" s="4"/>
      <c r="L4412" s="19"/>
      <c r="M4412" s="20"/>
    </row>
    <row r="4413">
      <c r="A4413" s="6"/>
      <c r="B4413" s="6"/>
      <c r="C4413" s="4"/>
      <c r="D4413" s="36">
        <v>0.0</v>
      </c>
      <c r="E4413" s="4"/>
      <c r="F4413" s="4"/>
      <c r="G4413" s="4"/>
      <c r="H4413" s="4"/>
      <c r="I4413" s="4"/>
      <c r="J4413" s="18"/>
      <c r="K4413" s="4"/>
      <c r="L4413" s="19"/>
      <c r="M4413" s="20"/>
    </row>
    <row r="4414">
      <c r="A4414" s="6"/>
      <c r="B4414" s="6"/>
      <c r="C4414" s="4"/>
      <c r="D4414" s="36">
        <v>0.0</v>
      </c>
      <c r="E4414" s="4"/>
      <c r="F4414" s="4"/>
      <c r="G4414" s="4"/>
      <c r="H4414" s="4"/>
      <c r="I4414" s="4"/>
      <c r="J4414" s="18"/>
      <c r="K4414" s="4"/>
      <c r="L4414" s="19"/>
      <c r="M4414" s="20"/>
    </row>
    <row r="4415">
      <c r="A4415" s="6"/>
      <c r="B4415" s="6"/>
      <c r="C4415" s="4"/>
      <c r="D4415" s="36">
        <v>0.0</v>
      </c>
      <c r="E4415" s="4"/>
      <c r="F4415" s="4"/>
      <c r="G4415" s="4"/>
      <c r="H4415" s="4"/>
      <c r="I4415" s="4"/>
      <c r="J4415" s="18"/>
      <c r="K4415" s="4"/>
      <c r="L4415" s="19"/>
      <c r="M4415" s="20"/>
    </row>
    <row r="4416">
      <c r="A4416" s="6"/>
      <c r="B4416" s="6"/>
      <c r="C4416" s="4"/>
      <c r="D4416" s="36">
        <v>0.0</v>
      </c>
      <c r="E4416" s="4"/>
      <c r="F4416" s="4"/>
      <c r="G4416" s="4"/>
      <c r="H4416" s="4"/>
      <c r="I4416" s="4"/>
      <c r="J4416" s="18"/>
      <c r="K4416" s="4"/>
      <c r="L4416" s="19"/>
      <c r="M4416" s="20"/>
    </row>
    <row r="4417">
      <c r="A4417" s="6"/>
      <c r="B4417" s="6"/>
      <c r="C4417" s="4"/>
      <c r="D4417" s="36">
        <v>0.0</v>
      </c>
      <c r="E4417" s="4"/>
      <c r="F4417" s="4"/>
      <c r="G4417" s="4"/>
      <c r="H4417" s="4"/>
      <c r="I4417" s="4"/>
      <c r="J4417" s="18"/>
      <c r="K4417" s="4"/>
      <c r="L4417" s="19"/>
      <c r="M4417" s="20"/>
    </row>
    <row r="4418">
      <c r="A4418" s="6"/>
      <c r="B4418" s="6"/>
      <c r="C4418" s="4"/>
      <c r="D4418" s="36">
        <v>0.0</v>
      </c>
      <c r="E4418" s="4"/>
      <c r="F4418" s="4"/>
      <c r="G4418" s="4"/>
      <c r="H4418" s="4"/>
      <c r="I4418" s="4"/>
      <c r="J4418" s="18"/>
      <c r="K4418" s="4"/>
      <c r="L4418" s="19"/>
      <c r="M4418" s="20"/>
    </row>
    <row r="4419">
      <c r="A4419" s="6"/>
      <c r="B4419" s="6"/>
      <c r="C4419" s="4"/>
      <c r="D4419" s="36">
        <v>0.0</v>
      </c>
      <c r="E4419" s="4"/>
      <c r="F4419" s="4"/>
      <c r="G4419" s="4"/>
      <c r="H4419" s="4"/>
      <c r="I4419" s="4"/>
      <c r="J4419" s="18"/>
      <c r="K4419" s="4"/>
      <c r="L4419" s="19"/>
      <c r="M4419" s="20"/>
    </row>
    <row r="4420">
      <c r="A4420" s="6"/>
      <c r="B4420" s="6"/>
      <c r="C4420" s="4"/>
      <c r="D4420" s="36">
        <v>0.0</v>
      </c>
      <c r="E4420" s="4"/>
      <c r="F4420" s="4"/>
      <c r="G4420" s="4"/>
      <c r="H4420" s="4"/>
      <c r="I4420" s="4"/>
      <c r="J4420" s="18"/>
      <c r="K4420" s="4"/>
      <c r="L4420" s="19"/>
      <c r="M4420" s="20"/>
    </row>
    <row r="4421">
      <c r="A4421" s="6"/>
      <c r="B4421" s="6"/>
      <c r="C4421" s="4"/>
      <c r="D4421" s="36">
        <v>0.0</v>
      </c>
      <c r="E4421" s="4"/>
      <c r="F4421" s="4"/>
      <c r="G4421" s="4"/>
      <c r="H4421" s="4"/>
      <c r="I4421" s="4"/>
      <c r="J4421" s="18"/>
      <c r="K4421" s="4"/>
      <c r="L4421" s="19"/>
      <c r="M4421" s="20"/>
    </row>
    <row r="4422">
      <c r="A4422" s="6"/>
      <c r="B4422" s="6"/>
      <c r="C4422" s="4"/>
      <c r="D4422" s="36">
        <v>0.0</v>
      </c>
      <c r="E4422" s="4"/>
      <c r="F4422" s="4"/>
      <c r="G4422" s="4"/>
      <c r="H4422" s="4"/>
      <c r="I4422" s="4"/>
      <c r="J4422" s="18"/>
      <c r="K4422" s="4"/>
      <c r="L4422" s="19"/>
      <c r="M4422" s="20"/>
    </row>
    <row r="4423">
      <c r="A4423" s="6"/>
      <c r="B4423" s="6"/>
      <c r="C4423" s="4"/>
      <c r="D4423" s="36">
        <v>0.0</v>
      </c>
      <c r="E4423" s="4"/>
      <c r="F4423" s="4"/>
      <c r="G4423" s="4"/>
      <c r="H4423" s="4"/>
      <c r="I4423" s="4"/>
      <c r="J4423" s="18"/>
      <c r="K4423" s="4"/>
      <c r="L4423" s="19"/>
      <c r="M4423" s="20"/>
    </row>
    <row r="4424">
      <c r="A4424" s="6"/>
      <c r="B4424" s="6"/>
      <c r="C4424" s="4"/>
      <c r="D4424" s="36">
        <v>0.0</v>
      </c>
      <c r="E4424" s="4"/>
      <c r="F4424" s="4"/>
      <c r="G4424" s="4"/>
      <c r="H4424" s="4"/>
      <c r="I4424" s="4"/>
      <c r="J4424" s="18"/>
      <c r="K4424" s="4"/>
      <c r="L4424" s="19"/>
      <c r="M4424" s="20"/>
    </row>
    <row r="4425">
      <c r="A4425" s="6"/>
      <c r="B4425" s="6"/>
      <c r="C4425" s="4"/>
      <c r="D4425" s="36">
        <v>0.0</v>
      </c>
      <c r="E4425" s="4"/>
      <c r="F4425" s="4"/>
      <c r="G4425" s="4"/>
      <c r="H4425" s="4"/>
      <c r="I4425" s="4"/>
      <c r="J4425" s="18"/>
      <c r="K4425" s="4"/>
      <c r="L4425" s="19"/>
      <c r="M4425" s="20"/>
    </row>
    <row r="4426">
      <c r="A4426" s="6"/>
      <c r="B4426" s="6"/>
      <c r="C4426" s="4"/>
      <c r="D4426" s="36">
        <v>0.0</v>
      </c>
      <c r="E4426" s="4"/>
      <c r="F4426" s="4"/>
      <c r="G4426" s="4"/>
      <c r="H4426" s="4"/>
      <c r="I4426" s="4"/>
      <c r="J4426" s="18"/>
      <c r="K4426" s="4"/>
      <c r="L4426" s="19"/>
      <c r="M4426" s="20"/>
    </row>
    <row r="4427">
      <c r="A4427" s="6"/>
      <c r="B4427" s="6"/>
      <c r="C4427" s="4"/>
      <c r="D4427" s="36">
        <v>0.0</v>
      </c>
      <c r="E4427" s="4"/>
      <c r="F4427" s="4"/>
      <c r="G4427" s="4"/>
      <c r="H4427" s="4"/>
      <c r="I4427" s="4"/>
      <c r="J4427" s="18"/>
      <c r="K4427" s="4"/>
      <c r="L4427" s="19"/>
      <c r="M4427" s="20"/>
    </row>
    <row r="4428">
      <c r="A4428" s="6"/>
      <c r="B4428" s="6"/>
      <c r="C4428" s="4"/>
      <c r="D4428" s="36">
        <v>0.0</v>
      </c>
      <c r="E4428" s="4"/>
      <c r="F4428" s="4"/>
      <c r="G4428" s="4"/>
      <c r="H4428" s="4"/>
      <c r="I4428" s="4"/>
      <c r="J4428" s="18"/>
      <c r="K4428" s="4"/>
      <c r="L4428" s="19"/>
      <c r="M4428" s="20"/>
    </row>
    <row r="4429">
      <c r="A4429" s="6"/>
      <c r="B4429" s="6"/>
      <c r="C4429" s="4"/>
      <c r="D4429" s="36">
        <v>0.0</v>
      </c>
      <c r="E4429" s="4"/>
      <c r="F4429" s="4"/>
      <c r="G4429" s="4"/>
      <c r="H4429" s="4"/>
      <c r="I4429" s="4"/>
      <c r="J4429" s="18"/>
      <c r="K4429" s="4"/>
      <c r="L4429" s="19"/>
      <c r="M4429" s="20"/>
    </row>
    <row r="4430">
      <c r="A4430" s="6"/>
      <c r="B4430" s="6"/>
      <c r="C4430" s="4"/>
      <c r="D4430" s="36">
        <v>0.0</v>
      </c>
      <c r="E4430" s="4"/>
      <c r="F4430" s="4"/>
      <c r="G4430" s="4"/>
      <c r="H4430" s="4"/>
      <c r="I4430" s="4"/>
      <c r="J4430" s="18"/>
      <c r="K4430" s="4"/>
      <c r="L4430" s="19"/>
      <c r="M4430" s="20"/>
    </row>
    <row r="4431">
      <c r="A4431" s="6"/>
      <c r="B4431" s="6"/>
      <c r="C4431" s="4"/>
      <c r="D4431" s="36">
        <v>0.0</v>
      </c>
      <c r="E4431" s="4"/>
      <c r="F4431" s="4"/>
      <c r="G4431" s="4"/>
      <c r="H4431" s="4"/>
      <c r="I4431" s="4"/>
      <c r="J4431" s="18"/>
      <c r="K4431" s="4"/>
      <c r="L4431" s="19"/>
      <c r="M4431" s="20"/>
    </row>
    <row r="4432">
      <c r="A4432" s="6"/>
      <c r="B4432" s="6"/>
      <c r="C4432" s="4"/>
      <c r="D4432" s="36">
        <v>0.0</v>
      </c>
      <c r="E4432" s="4"/>
      <c r="F4432" s="4"/>
      <c r="G4432" s="4"/>
      <c r="H4432" s="4"/>
      <c r="I4432" s="4"/>
      <c r="J4432" s="18"/>
      <c r="K4432" s="4"/>
      <c r="L4432" s="19"/>
      <c r="M4432" s="20"/>
    </row>
    <row r="4433">
      <c r="A4433" s="6"/>
      <c r="B4433" s="6"/>
      <c r="C4433" s="4"/>
      <c r="D4433" s="36">
        <v>0.0</v>
      </c>
      <c r="E4433" s="4"/>
      <c r="F4433" s="4"/>
      <c r="G4433" s="4"/>
      <c r="H4433" s="4"/>
      <c r="I4433" s="4"/>
      <c r="J4433" s="18"/>
      <c r="K4433" s="4"/>
      <c r="L4433" s="19"/>
      <c r="M4433" s="20"/>
    </row>
    <row r="4434">
      <c r="A4434" s="6"/>
      <c r="B4434" s="6"/>
      <c r="C4434" s="4"/>
      <c r="D4434" s="36">
        <v>0.0</v>
      </c>
      <c r="E4434" s="4"/>
      <c r="F4434" s="4"/>
      <c r="G4434" s="4"/>
      <c r="H4434" s="4"/>
      <c r="I4434" s="4"/>
      <c r="J4434" s="18"/>
      <c r="K4434" s="4"/>
      <c r="L4434" s="19"/>
      <c r="M4434" s="20"/>
    </row>
    <row r="4435">
      <c r="A4435" s="6"/>
      <c r="B4435" s="6"/>
      <c r="C4435" s="4"/>
      <c r="D4435" s="36">
        <v>0.0</v>
      </c>
      <c r="E4435" s="4"/>
      <c r="F4435" s="4"/>
      <c r="G4435" s="4"/>
      <c r="H4435" s="4"/>
      <c r="I4435" s="4"/>
      <c r="J4435" s="18"/>
      <c r="K4435" s="4"/>
      <c r="L4435" s="19"/>
      <c r="M4435" s="20"/>
    </row>
    <row r="4436">
      <c r="A4436" s="6"/>
      <c r="B4436" s="6"/>
      <c r="C4436" s="4"/>
      <c r="D4436" s="36">
        <v>0.0</v>
      </c>
      <c r="E4436" s="4"/>
      <c r="F4436" s="4"/>
      <c r="G4436" s="4"/>
      <c r="H4436" s="4"/>
      <c r="I4436" s="4"/>
      <c r="J4436" s="18"/>
      <c r="K4436" s="4"/>
      <c r="L4436" s="19"/>
      <c r="M4436" s="20"/>
    </row>
    <row r="4437">
      <c r="A4437" s="6"/>
      <c r="B4437" s="6"/>
      <c r="C4437" s="4"/>
      <c r="D4437" s="36">
        <v>0.0</v>
      </c>
      <c r="E4437" s="4"/>
      <c r="F4437" s="4"/>
      <c r="G4437" s="4"/>
      <c r="H4437" s="4"/>
      <c r="I4437" s="4"/>
      <c r="J4437" s="18"/>
      <c r="K4437" s="4"/>
      <c r="L4437" s="19"/>
      <c r="M4437" s="20"/>
    </row>
    <row r="4438">
      <c r="A4438" s="6"/>
      <c r="B4438" s="6"/>
      <c r="C4438" s="4"/>
      <c r="D4438" s="36">
        <v>0.0</v>
      </c>
      <c r="E4438" s="4"/>
      <c r="F4438" s="4"/>
      <c r="G4438" s="4"/>
      <c r="H4438" s="4"/>
      <c r="I4438" s="4"/>
      <c r="J4438" s="18"/>
      <c r="K4438" s="4"/>
      <c r="L4438" s="19"/>
      <c r="M4438" s="20"/>
    </row>
    <row r="4439">
      <c r="A4439" s="6"/>
      <c r="B4439" s="6"/>
      <c r="C4439" s="4"/>
      <c r="D4439" s="36">
        <v>0.0</v>
      </c>
      <c r="E4439" s="4"/>
      <c r="F4439" s="4"/>
      <c r="G4439" s="4"/>
      <c r="H4439" s="4"/>
      <c r="I4439" s="4"/>
      <c r="J4439" s="18"/>
      <c r="K4439" s="4"/>
      <c r="L4439" s="19"/>
      <c r="M4439" s="20"/>
    </row>
    <row r="4440">
      <c r="A4440" s="6"/>
      <c r="B4440" s="6"/>
      <c r="C4440" s="4"/>
      <c r="D4440" s="36">
        <v>0.0</v>
      </c>
      <c r="E4440" s="4"/>
      <c r="F4440" s="4"/>
      <c r="G4440" s="4"/>
      <c r="H4440" s="4"/>
      <c r="I4440" s="4"/>
      <c r="J4440" s="18"/>
      <c r="K4440" s="4"/>
      <c r="L4440" s="19"/>
      <c r="M4440" s="20"/>
    </row>
    <row r="4441">
      <c r="A4441" s="6"/>
      <c r="B4441" s="6"/>
      <c r="C4441" s="4"/>
      <c r="D4441" s="36">
        <v>0.0</v>
      </c>
      <c r="E4441" s="4"/>
      <c r="F4441" s="4"/>
      <c r="G4441" s="4"/>
      <c r="H4441" s="4"/>
      <c r="I4441" s="4"/>
      <c r="J4441" s="18"/>
      <c r="K4441" s="4"/>
      <c r="L4441" s="19"/>
      <c r="M4441" s="20"/>
    </row>
    <row r="4442">
      <c r="A4442" s="6"/>
      <c r="B4442" s="6"/>
      <c r="C4442" s="4"/>
      <c r="D4442" s="36">
        <v>0.0</v>
      </c>
      <c r="E4442" s="4"/>
      <c r="F4442" s="4"/>
      <c r="G4442" s="4"/>
      <c r="H4442" s="4"/>
      <c r="I4442" s="4"/>
      <c r="J4442" s="18"/>
      <c r="K4442" s="4"/>
      <c r="L4442" s="19"/>
      <c r="M4442" s="20"/>
    </row>
    <row r="4443">
      <c r="A4443" s="6"/>
      <c r="B4443" s="6"/>
      <c r="C4443" s="4"/>
      <c r="D4443" s="36">
        <v>0.0</v>
      </c>
      <c r="E4443" s="4"/>
      <c r="F4443" s="4"/>
      <c r="G4443" s="4"/>
      <c r="H4443" s="4"/>
      <c r="I4443" s="4"/>
      <c r="J4443" s="18"/>
      <c r="K4443" s="4"/>
      <c r="L4443" s="19"/>
      <c r="M4443" s="20"/>
    </row>
    <row r="4444">
      <c r="A4444" s="6"/>
      <c r="B4444" s="6"/>
      <c r="C4444" s="4"/>
      <c r="D4444" s="36">
        <v>0.0</v>
      </c>
      <c r="E4444" s="4"/>
      <c r="F4444" s="4"/>
      <c r="G4444" s="4"/>
      <c r="H4444" s="4"/>
      <c r="I4444" s="4"/>
      <c r="J4444" s="18"/>
      <c r="K4444" s="4"/>
      <c r="L4444" s="19"/>
      <c r="M4444" s="20"/>
    </row>
    <row r="4445">
      <c r="A4445" s="6"/>
      <c r="B4445" s="6"/>
      <c r="C4445" s="4"/>
      <c r="D4445" s="36">
        <v>0.0</v>
      </c>
      <c r="E4445" s="4"/>
      <c r="F4445" s="4"/>
      <c r="G4445" s="4"/>
      <c r="H4445" s="4"/>
      <c r="I4445" s="4"/>
      <c r="J4445" s="18"/>
      <c r="K4445" s="4"/>
      <c r="L4445" s="19"/>
      <c r="M4445" s="20"/>
    </row>
    <row r="4446">
      <c r="A4446" s="6"/>
      <c r="B4446" s="6"/>
      <c r="C4446" s="4"/>
      <c r="D4446" s="36">
        <v>0.0</v>
      </c>
      <c r="E4446" s="4"/>
      <c r="F4446" s="4"/>
      <c r="G4446" s="4"/>
      <c r="H4446" s="4"/>
      <c r="I4446" s="4"/>
      <c r="J4446" s="18"/>
      <c r="K4446" s="4"/>
      <c r="L4446" s="19"/>
      <c r="M4446" s="20"/>
    </row>
    <row r="4447">
      <c r="A4447" s="6"/>
      <c r="B4447" s="6"/>
      <c r="C4447" s="4"/>
      <c r="D4447" s="36">
        <v>0.0</v>
      </c>
      <c r="E4447" s="4"/>
      <c r="F4447" s="4"/>
      <c r="G4447" s="4"/>
      <c r="H4447" s="4"/>
      <c r="I4447" s="4"/>
      <c r="J4447" s="18"/>
      <c r="K4447" s="4"/>
      <c r="L4447" s="19"/>
      <c r="M4447" s="20"/>
    </row>
    <row r="4448">
      <c r="A4448" s="6"/>
      <c r="B4448" s="6"/>
      <c r="C4448" s="4"/>
      <c r="D4448" s="36">
        <v>0.0</v>
      </c>
      <c r="E4448" s="4"/>
      <c r="F4448" s="4"/>
      <c r="G4448" s="4"/>
      <c r="H4448" s="4"/>
      <c r="I4448" s="4"/>
      <c r="J4448" s="18"/>
      <c r="K4448" s="4"/>
      <c r="L4448" s="19"/>
      <c r="M4448" s="20"/>
    </row>
    <row r="4449">
      <c r="A4449" s="6"/>
      <c r="B4449" s="6"/>
      <c r="C4449" s="4"/>
      <c r="D4449" s="36">
        <v>0.0</v>
      </c>
      <c r="E4449" s="4"/>
      <c r="F4449" s="4"/>
      <c r="G4449" s="4"/>
      <c r="H4449" s="4"/>
      <c r="I4449" s="4"/>
      <c r="J4449" s="18"/>
      <c r="K4449" s="4"/>
      <c r="L4449" s="19"/>
      <c r="M4449" s="20"/>
    </row>
    <row r="4450">
      <c r="A4450" s="6"/>
      <c r="B4450" s="6"/>
      <c r="C4450" s="4"/>
      <c r="D4450" s="36">
        <v>0.0</v>
      </c>
      <c r="E4450" s="4"/>
      <c r="F4450" s="4"/>
      <c r="G4450" s="4"/>
      <c r="H4450" s="4"/>
      <c r="I4450" s="4"/>
      <c r="J4450" s="18"/>
      <c r="K4450" s="4"/>
      <c r="L4450" s="19"/>
      <c r="M4450" s="20"/>
    </row>
    <row r="4451">
      <c r="A4451" s="6"/>
      <c r="B4451" s="6"/>
      <c r="C4451" s="4"/>
      <c r="D4451" s="36">
        <v>0.0</v>
      </c>
      <c r="E4451" s="4"/>
      <c r="F4451" s="4"/>
      <c r="G4451" s="4"/>
      <c r="H4451" s="4"/>
      <c r="I4451" s="4"/>
      <c r="J4451" s="18"/>
      <c r="K4451" s="4"/>
      <c r="L4451" s="19"/>
      <c r="M4451" s="20"/>
    </row>
    <row r="4452">
      <c r="A4452" s="6"/>
      <c r="B4452" s="6"/>
      <c r="C4452" s="4"/>
      <c r="D4452" s="36">
        <v>0.0</v>
      </c>
      <c r="E4452" s="4"/>
      <c r="F4452" s="4"/>
      <c r="G4452" s="4"/>
      <c r="H4452" s="4"/>
      <c r="I4452" s="4"/>
      <c r="J4452" s="18"/>
      <c r="K4452" s="4"/>
      <c r="L4452" s="19"/>
      <c r="M4452" s="20"/>
    </row>
    <row r="4453">
      <c r="A4453" s="6"/>
      <c r="B4453" s="6"/>
      <c r="C4453" s="4"/>
      <c r="D4453" s="36">
        <v>0.0</v>
      </c>
      <c r="E4453" s="4"/>
      <c r="F4453" s="4"/>
      <c r="G4453" s="4"/>
      <c r="H4453" s="4"/>
      <c r="I4453" s="4"/>
      <c r="J4453" s="18"/>
      <c r="K4453" s="4"/>
      <c r="L4453" s="19"/>
      <c r="M4453" s="20"/>
    </row>
    <row r="4454">
      <c r="A4454" s="6"/>
      <c r="B4454" s="6"/>
      <c r="C4454" s="4"/>
      <c r="D4454" s="36">
        <v>0.0</v>
      </c>
      <c r="E4454" s="4"/>
      <c r="F4454" s="4"/>
      <c r="G4454" s="4"/>
      <c r="H4454" s="4"/>
      <c r="I4454" s="4"/>
      <c r="J4454" s="18"/>
      <c r="K4454" s="4"/>
      <c r="L4454" s="19"/>
      <c r="M4454" s="20"/>
    </row>
    <row r="4455">
      <c r="A4455" s="6"/>
      <c r="B4455" s="6"/>
      <c r="C4455" s="4"/>
      <c r="D4455" s="36">
        <v>0.0</v>
      </c>
      <c r="E4455" s="4"/>
      <c r="F4455" s="4"/>
      <c r="G4455" s="4"/>
      <c r="H4455" s="4"/>
      <c r="I4455" s="4"/>
      <c r="J4455" s="18"/>
      <c r="K4455" s="4"/>
      <c r="L4455" s="19"/>
      <c r="M4455" s="20"/>
    </row>
    <row r="4456">
      <c r="A4456" s="6"/>
      <c r="B4456" s="6"/>
      <c r="C4456" s="4"/>
      <c r="D4456" s="36">
        <v>0.0</v>
      </c>
      <c r="E4456" s="4"/>
      <c r="F4456" s="4"/>
      <c r="G4456" s="4"/>
      <c r="H4456" s="4"/>
      <c r="I4456" s="4"/>
      <c r="J4456" s="18"/>
      <c r="K4456" s="4"/>
      <c r="L4456" s="19"/>
      <c r="M4456" s="20"/>
    </row>
    <row r="4457">
      <c r="A4457" s="6"/>
      <c r="B4457" s="6"/>
      <c r="C4457" s="4"/>
      <c r="D4457" s="36">
        <v>0.0</v>
      </c>
      <c r="E4457" s="4"/>
      <c r="F4457" s="4"/>
      <c r="G4457" s="4"/>
      <c r="H4457" s="4"/>
      <c r="I4457" s="4"/>
      <c r="J4457" s="18"/>
      <c r="K4457" s="4"/>
      <c r="L4457" s="19"/>
      <c r="M4457" s="20"/>
    </row>
    <row r="4458">
      <c r="A4458" s="6"/>
      <c r="B4458" s="6"/>
      <c r="C4458" s="4"/>
      <c r="D4458" s="36">
        <v>0.0</v>
      </c>
      <c r="E4458" s="4"/>
      <c r="F4458" s="4"/>
      <c r="G4458" s="4"/>
      <c r="H4458" s="4"/>
      <c r="I4458" s="4"/>
      <c r="J4458" s="18"/>
      <c r="K4458" s="4"/>
      <c r="L4458" s="19"/>
      <c r="M4458" s="20"/>
    </row>
    <row r="4459">
      <c r="A4459" s="6"/>
      <c r="B4459" s="6"/>
      <c r="C4459" s="4"/>
      <c r="D4459" s="36">
        <v>0.0</v>
      </c>
      <c r="E4459" s="4"/>
      <c r="F4459" s="4"/>
      <c r="G4459" s="4"/>
      <c r="H4459" s="4"/>
      <c r="I4459" s="4"/>
      <c r="J4459" s="18"/>
      <c r="K4459" s="4"/>
      <c r="L4459" s="19"/>
      <c r="M4459" s="20"/>
    </row>
    <row r="4460">
      <c r="A4460" s="6"/>
      <c r="B4460" s="6"/>
      <c r="C4460" s="4"/>
      <c r="D4460" s="36">
        <v>0.0</v>
      </c>
      <c r="E4460" s="4"/>
      <c r="F4460" s="4"/>
      <c r="G4460" s="4"/>
      <c r="H4460" s="4"/>
      <c r="I4460" s="4"/>
      <c r="J4460" s="18"/>
      <c r="K4460" s="4"/>
      <c r="L4460" s="19"/>
      <c r="M4460" s="20"/>
    </row>
    <row r="4461">
      <c r="A4461" s="6"/>
      <c r="B4461" s="6"/>
      <c r="C4461" s="4"/>
      <c r="D4461" s="36">
        <v>0.0</v>
      </c>
      <c r="E4461" s="4"/>
      <c r="F4461" s="4"/>
      <c r="G4461" s="4"/>
      <c r="H4461" s="4"/>
      <c r="I4461" s="4"/>
      <c r="J4461" s="18"/>
      <c r="K4461" s="4"/>
      <c r="L4461" s="19"/>
      <c r="M4461" s="20"/>
    </row>
    <row r="4462">
      <c r="A4462" s="6"/>
      <c r="B4462" s="6"/>
      <c r="C4462" s="4"/>
      <c r="D4462" s="36">
        <v>0.0</v>
      </c>
      <c r="E4462" s="4"/>
      <c r="F4462" s="4"/>
      <c r="G4462" s="4"/>
      <c r="H4462" s="4"/>
      <c r="I4462" s="4"/>
      <c r="J4462" s="18"/>
      <c r="K4462" s="4"/>
      <c r="L4462" s="19"/>
      <c r="M4462" s="20"/>
    </row>
    <row r="4463">
      <c r="A4463" s="6"/>
      <c r="B4463" s="6"/>
      <c r="C4463" s="4"/>
      <c r="D4463" s="36">
        <v>0.0</v>
      </c>
      <c r="E4463" s="4"/>
      <c r="F4463" s="4"/>
      <c r="G4463" s="4"/>
      <c r="H4463" s="4"/>
      <c r="I4463" s="4"/>
      <c r="J4463" s="18"/>
      <c r="K4463" s="4"/>
      <c r="L4463" s="19"/>
      <c r="M4463" s="20"/>
    </row>
    <row r="4464">
      <c r="A4464" s="6"/>
      <c r="B4464" s="6"/>
      <c r="C4464" s="4"/>
      <c r="D4464" s="36">
        <v>0.0</v>
      </c>
      <c r="E4464" s="4"/>
      <c r="F4464" s="4"/>
      <c r="G4464" s="4"/>
      <c r="H4464" s="4"/>
      <c r="I4464" s="4"/>
      <c r="J4464" s="18"/>
      <c r="K4464" s="4"/>
      <c r="L4464" s="19"/>
      <c r="M4464" s="20"/>
    </row>
    <row r="4465">
      <c r="A4465" s="6"/>
      <c r="B4465" s="6"/>
      <c r="C4465" s="4"/>
      <c r="D4465" s="36">
        <v>0.0</v>
      </c>
      <c r="E4465" s="4"/>
      <c r="F4465" s="4"/>
      <c r="G4465" s="4"/>
      <c r="H4465" s="4"/>
      <c r="I4465" s="4"/>
      <c r="J4465" s="18"/>
      <c r="K4465" s="4"/>
      <c r="L4465" s="19"/>
      <c r="M4465" s="20"/>
    </row>
    <row r="4466">
      <c r="A4466" s="6"/>
      <c r="B4466" s="6"/>
      <c r="C4466" s="4"/>
      <c r="D4466" s="36">
        <v>0.0</v>
      </c>
      <c r="E4466" s="4"/>
      <c r="F4466" s="4"/>
      <c r="G4466" s="4"/>
      <c r="H4466" s="4"/>
      <c r="I4466" s="4"/>
      <c r="J4466" s="18"/>
      <c r="K4466" s="4"/>
      <c r="L4466" s="19"/>
      <c r="M4466" s="20"/>
    </row>
    <row r="4467">
      <c r="A4467" s="6"/>
      <c r="B4467" s="6"/>
      <c r="C4467" s="4"/>
      <c r="D4467" s="36">
        <v>0.0</v>
      </c>
      <c r="E4467" s="4"/>
      <c r="F4467" s="4"/>
      <c r="G4467" s="4"/>
      <c r="H4467" s="4"/>
      <c r="I4467" s="4"/>
      <c r="J4467" s="18"/>
      <c r="K4467" s="4"/>
      <c r="L4467" s="19"/>
      <c r="M4467" s="20"/>
    </row>
    <row r="4468">
      <c r="A4468" s="6"/>
      <c r="B4468" s="6"/>
      <c r="C4468" s="4"/>
      <c r="D4468" s="36">
        <v>0.0</v>
      </c>
      <c r="E4468" s="4"/>
      <c r="F4468" s="4"/>
      <c r="G4468" s="4"/>
      <c r="H4468" s="4"/>
      <c r="I4468" s="4"/>
      <c r="J4468" s="18"/>
      <c r="K4468" s="4"/>
      <c r="L4468" s="19"/>
      <c r="M4468" s="20"/>
    </row>
    <row r="4469">
      <c r="A4469" s="6"/>
      <c r="B4469" s="6"/>
      <c r="C4469" s="4"/>
      <c r="D4469" s="36">
        <v>0.0</v>
      </c>
      <c r="E4469" s="4"/>
      <c r="F4469" s="4"/>
      <c r="G4469" s="4"/>
      <c r="H4469" s="4"/>
      <c r="I4469" s="4"/>
      <c r="J4469" s="18"/>
      <c r="K4469" s="4"/>
      <c r="L4469" s="19"/>
      <c r="M4469" s="20"/>
    </row>
    <row r="4470">
      <c r="A4470" s="6"/>
      <c r="B4470" s="6"/>
      <c r="C4470" s="4"/>
      <c r="D4470" s="36">
        <v>0.0</v>
      </c>
      <c r="E4470" s="4"/>
      <c r="F4470" s="4"/>
      <c r="G4470" s="4"/>
      <c r="H4470" s="4"/>
      <c r="I4470" s="4"/>
      <c r="J4470" s="18"/>
      <c r="K4470" s="4"/>
      <c r="L4470" s="19"/>
      <c r="M4470" s="20"/>
    </row>
    <row r="4471">
      <c r="A4471" s="6"/>
      <c r="B4471" s="6"/>
      <c r="C4471" s="4"/>
      <c r="D4471" s="36">
        <v>0.0</v>
      </c>
      <c r="E4471" s="4"/>
      <c r="F4471" s="4"/>
      <c r="G4471" s="4"/>
      <c r="H4471" s="4"/>
      <c r="I4471" s="4"/>
      <c r="J4471" s="18"/>
      <c r="K4471" s="4"/>
      <c r="L4471" s="19"/>
      <c r="M4471" s="20"/>
    </row>
    <row r="4472">
      <c r="A4472" s="6"/>
      <c r="B4472" s="6"/>
      <c r="C4472" s="4"/>
      <c r="D4472" s="36">
        <v>0.0</v>
      </c>
      <c r="E4472" s="4"/>
      <c r="F4472" s="4"/>
      <c r="G4472" s="4"/>
      <c r="H4472" s="4"/>
      <c r="I4472" s="4"/>
      <c r="J4472" s="18"/>
      <c r="K4472" s="4"/>
      <c r="L4472" s="19"/>
      <c r="M4472" s="20"/>
    </row>
    <row r="4473">
      <c r="A4473" s="6"/>
      <c r="B4473" s="6"/>
      <c r="C4473" s="4"/>
      <c r="D4473" s="36">
        <v>0.0</v>
      </c>
      <c r="E4473" s="4"/>
      <c r="F4473" s="4"/>
      <c r="G4473" s="4"/>
      <c r="H4473" s="4"/>
      <c r="I4473" s="4"/>
      <c r="J4473" s="18"/>
      <c r="K4473" s="4"/>
      <c r="L4473" s="19"/>
      <c r="M4473" s="20"/>
    </row>
    <row r="4474">
      <c r="A4474" s="6"/>
      <c r="B4474" s="6"/>
      <c r="C4474" s="4"/>
      <c r="D4474" s="36">
        <v>0.0</v>
      </c>
      <c r="E4474" s="4"/>
      <c r="F4474" s="4"/>
      <c r="G4474" s="4"/>
      <c r="H4474" s="4"/>
      <c r="I4474" s="4"/>
      <c r="J4474" s="18"/>
      <c r="K4474" s="4"/>
      <c r="L4474" s="19"/>
      <c r="M4474" s="20"/>
    </row>
    <row r="4475">
      <c r="A4475" s="6"/>
      <c r="B4475" s="6"/>
      <c r="C4475" s="4"/>
      <c r="D4475" s="36">
        <v>0.0</v>
      </c>
      <c r="E4475" s="4"/>
      <c r="F4475" s="4"/>
      <c r="G4475" s="4"/>
      <c r="H4475" s="4"/>
      <c r="I4475" s="4"/>
      <c r="J4475" s="18"/>
      <c r="K4475" s="4"/>
      <c r="L4475" s="19"/>
      <c r="M4475" s="20"/>
    </row>
    <row r="4476">
      <c r="A4476" s="6"/>
      <c r="B4476" s="6"/>
      <c r="C4476" s="4"/>
      <c r="D4476" s="36">
        <v>0.0</v>
      </c>
      <c r="E4476" s="4"/>
      <c r="F4476" s="4"/>
      <c r="G4476" s="4"/>
      <c r="H4476" s="4"/>
      <c r="I4476" s="4"/>
      <c r="J4476" s="18"/>
      <c r="K4476" s="4"/>
      <c r="L4476" s="19"/>
      <c r="M4476" s="20"/>
    </row>
    <row r="4477">
      <c r="A4477" s="6"/>
      <c r="B4477" s="6"/>
      <c r="C4477" s="4"/>
      <c r="D4477" s="36">
        <v>0.0</v>
      </c>
      <c r="E4477" s="4"/>
      <c r="F4477" s="4"/>
      <c r="G4477" s="4"/>
      <c r="H4477" s="4"/>
      <c r="I4477" s="4"/>
      <c r="J4477" s="18"/>
      <c r="K4477" s="4"/>
      <c r="L4477" s="19"/>
      <c r="M4477" s="20"/>
    </row>
    <row r="4478">
      <c r="A4478" s="6"/>
      <c r="B4478" s="6"/>
      <c r="C4478" s="4"/>
      <c r="D4478" s="36">
        <v>0.0</v>
      </c>
      <c r="E4478" s="4"/>
      <c r="F4478" s="4"/>
      <c r="G4478" s="4"/>
      <c r="H4478" s="4"/>
      <c r="I4478" s="4"/>
      <c r="J4478" s="18"/>
      <c r="K4478" s="4"/>
      <c r="L4478" s="19"/>
      <c r="M4478" s="20"/>
    </row>
    <row r="4479">
      <c r="A4479" s="6"/>
      <c r="B4479" s="6"/>
      <c r="C4479" s="4"/>
      <c r="D4479" s="36">
        <v>0.0</v>
      </c>
      <c r="E4479" s="4"/>
      <c r="F4479" s="4"/>
      <c r="G4479" s="4"/>
      <c r="H4479" s="4"/>
      <c r="I4479" s="4"/>
      <c r="J4479" s="18"/>
      <c r="K4479" s="4"/>
      <c r="L4479" s="19"/>
      <c r="M4479" s="20"/>
    </row>
    <row r="4480">
      <c r="A4480" s="6"/>
      <c r="B4480" s="6"/>
      <c r="C4480" s="4"/>
      <c r="D4480" s="36">
        <v>0.0</v>
      </c>
      <c r="E4480" s="4"/>
      <c r="F4480" s="4"/>
      <c r="G4480" s="4"/>
      <c r="H4480" s="4"/>
      <c r="I4480" s="4"/>
      <c r="J4480" s="18"/>
      <c r="K4480" s="4"/>
      <c r="L4480" s="19"/>
      <c r="M4480" s="20"/>
    </row>
    <row r="4481">
      <c r="A4481" s="6"/>
      <c r="B4481" s="6"/>
      <c r="C4481" s="4"/>
      <c r="D4481" s="36">
        <v>0.0</v>
      </c>
      <c r="E4481" s="4"/>
      <c r="F4481" s="4"/>
      <c r="G4481" s="4"/>
      <c r="H4481" s="4"/>
      <c r="I4481" s="4"/>
      <c r="J4481" s="18"/>
      <c r="K4481" s="4"/>
      <c r="L4481" s="19"/>
      <c r="M4481" s="20"/>
    </row>
    <row r="4482">
      <c r="A4482" s="6"/>
      <c r="B4482" s="6"/>
      <c r="C4482" s="4"/>
      <c r="D4482" s="36">
        <v>0.0</v>
      </c>
      <c r="E4482" s="4"/>
      <c r="F4482" s="4"/>
      <c r="G4482" s="4"/>
      <c r="H4482" s="4"/>
      <c r="I4482" s="4"/>
      <c r="J4482" s="18"/>
      <c r="K4482" s="4"/>
      <c r="L4482" s="19"/>
      <c r="M4482" s="20"/>
    </row>
    <row r="4483">
      <c r="A4483" s="6"/>
      <c r="B4483" s="6"/>
      <c r="C4483" s="4"/>
      <c r="D4483" s="36">
        <v>0.0</v>
      </c>
      <c r="E4483" s="4"/>
      <c r="F4483" s="4"/>
      <c r="G4483" s="4"/>
      <c r="H4483" s="4"/>
      <c r="I4483" s="4"/>
      <c r="J4483" s="18"/>
      <c r="K4483" s="4"/>
      <c r="L4483" s="19"/>
      <c r="M4483" s="20"/>
    </row>
    <row r="4484">
      <c r="A4484" s="6"/>
      <c r="B4484" s="6"/>
      <c r="C4484" s="4"/>
      <c r="D4484" s="36">
        <v>0.0</v>
      </c>
      <c r="E4484" s="4"/>
      <c r="F4484" s="4"/>
      <c r="G4484" s="4"/>
      <c r="H4484" s="4"/>
      <c r="I4484" s="4"/>
      <c r="J4484" s="18"/>
      <c r="K4484" s="4"/>
      <c r="L4484" s="19"/>
      <c r="M4484" s="20"/>
    </row>
    <row r="4485">
      <c r="A4485" s="6"/>
      <c r="B4485" s="6"/>
      <c r="C4485" s="4"/>
      <c r="D4485" s="36">
        <v>0.0</v>
      </c>
      <c r="E4485" s="4"/>
      <c r="F4485" s="4"/>
      <c r="G4485" s="4"/>
      <c r="H4485" s="4"/>
      <c r="I4485" s="4"/>
      <c r="J4485" s="18"/>
      <c r="K4485" s="4"/>
      <c r="L4485" s="19"/>
      <c r="M4485" s="20"/>
    </row>
    <row r="4486">
      <c r="A4486" s="6"/>
      <c r="B4486" s="6"/>
      <c r="C4486" s="4"/>
      <c r="D4486" s="36">
        <v>0.0</v>
      </c>
      <c r="E4486" s="4"/>
      <c r="F4486" s="4"/>
      <c r="G4486" s="4"/>
      <c r="H4486" s="4"/>
      <c r="I4486" s="4"/>
      <c r="J4486" s="18"/>
      <c r="K4486" s="4"/>
      <c r="L4486" s="19"/>
      <c r="M4486" s="20"/>
    </row>
    <row r="4487">
      <c r="A4487" s="6"/>
      <c r="B4487" s="6"/>
      <c r="C4487" s="4"/>
      <c r="D4487" s="36">
        <v>0.0</v>
      </c>
      <c r="E4487" s="4"/>
      <c r="F4487" s="4"/>
      <c r="G4487" s="4"/>
      <c r="H4487" s="4"/>
      <c r="I4487" s="4"/>
      <c r="J4487" s="18"/>
      <c r="K4487" s="4"/>
      <c r="L4487" s="19"/>
      <c r="M4487" s="20"/>
    </row>
    <row r="4488">
      <c r="A4488" s="6"/>
      <c r="B4488" s="6"/>
      <c r="C4488" s="4"/>
      <c r="D4488" s="36">
        <v>0.0</v>
      </c>
      <c r="E4488" s="4"/>
      <c r="F4488" s="4"/>
      <c r="G4488" s="4"/>
      <c r="H4488" s="4"/>
      <c r="I4488" s="4"/>
      <c r="J4488" s="18"/>
      <c r="K4488" s="4"/>
      <c r="L4488" s="19"/>
      <c r="M4488" s="20"/>
    </row>
    <row r="4489">
      <c r="A4489" s="6"/>
      <c r="B4489" s="6"/>
      <c r="C4489" s="4"/>
      <c r="D4489" s="36">
        <v>0.0</v>
      </c>
      <c r="E4489" s="4"/>
      <c r="F4489" s="4"/>
      <c r="G4489" s="4"/>
      <c r="H4489" s="4"/>
      <c r="I4489" s="4"/>
      <c r="J4489" s="18"/>
      <c r="K4489" s="4"/>
      <c r="L4489" s="19"/>
      <c r="M4489" s="20"/>
    </row>
    <row r="4490">
      <c r="A4490" s="6"/>
      <c r="B4490" s="6"/>
      <c r="C4490" s="4"/>
      <c r="D4490" s="36">
        <v>0.0</v>
      </c>
      <c r="E4490" s="4"/>
      <c r="F4490" s="4"/>
      <c r="G4490" s="4"/>
      <c r="H4490" s="4"/>
      <c r="I4490" s="4"/>
      <c r="J4490" s="18"/>
      <c r="K4490" s="4"/>
      <c r="L4490" s="19"/>
      <c r="M4490" s="20"/>
    </row>
    <row r="4491">
      <c r="A4491" s="6"/>
      <c r="B4491" s="6"/>
      <c r="C4491" s="4"/>
      <c r="D4491" s="36">
        <v>0.0</v>
      </c>
      <c r="E4491" s="4"/>
      <c r="F4491" s="4"/>
      <c r="G4491" s="4"/>
      <c r="H4491" s="4"/>
      <c r="I4491" s="4"/>
      <c r="J4491" s="18"/>
      <c r="K4491" s="4"/>
      <c r="L4491" s="19"/>
      <c r="M4491" s="20"/>
    </row>
    <row r="4492">
      <c r="A4492" s="6"/>
      <c r="B4492" s="6"/>
      <c r="C4492" s="4"/>
      <c r="D4492" s="36">
        <v>0.0</v>
      </c>
      <c r="E4492" s="4"/>
      <c r="F4492" s="4"/>
      <c r="G4492" s="4"/>
      <c r="H4492" s="4"/>
      <c r="I4492" s="4"/>
      <c r="J4492" s="18"/>
      <c r="K4492" s="4"/>
      <c r="L4492" s="19"/>
      <c r="M4492" s="20"/>
    </row>
    <row r="4493">
      <c r="A4493" s="6"/>
      <c r="B4493" s="6"/>
      <c r="C4493" s="4"/>
      <c r="D4493" s="36">
        <v>0.0</v>
      </c>
      <c r="E4493" s="4"/>
      <c r="F4493" s="4"/>
      <c r="G4493" s="4"/>
      <c r="H4493" s="4"/>
      <c r="I4493" s="4"/>
      <c r="J4493" s="18"/>
      <c r="K4493" s="4"/>
      <c r="L4493" s="19"/>
      <c r="M4493" s="20"/>
    </row>
    <row r="4494">
      <c r="A4494" s="6"/>
      <c r="B4494" s="6"/>
      <c r="C4494" s="4"/>
      <c r="D4494" s="36">
        <v>0.0</v>
      </c>
      <c r="E4494" s="4"/>
      <c r="F4494" s="4"/>
      <c r="G4494" s="4"/>
      <c r="H4494" s="4"/>
      <c r="I4494" s="4"/>
      <c r="J4494" s="18"/>
      <c r="K4494" s="4"/>
      <c r="L4494" s="19"/>
      <c r="M4494" s="20"/>
    </row>
    <row r="4495">
      <c r="A4495" s="6"/>
      <c r="B4495" s="6"/>
      <c r="C4495" s="4"/>
      <c r="D4495" s="36">
        <v>0.0</v>
      </c>
      <c r="E4495" s="4"/>
      <c r="F4495" s="4"/>
      <c r="G4495" s="4"/>
      <c r="H4495" s="4"/>
      <c r="I4495" s="4"/>
      <c r="J4495" s="18"/>
      <c r="K4495" s="4"/>
      <c r="L4495" s="19"/>
      <c r="M4495" s="20"/>
    </row>
    <row r="4496">
      <c r="A4496" s="6"/>
      <c r="B4496" s="6"/>
      <c r="C4496" s="4"/>
      <c r="D4496" s="36">
        <v>0.0</v>
      </c>
      <c r="E4496" s="4"/>
      <c r="F4496" s="4"/>
      <c r="G4496" s="4"/>
      <c r="H4496" s="4"/>
      <c r="I4496" s="4"/>
      <c r="J4496" s="18"/>
      <c r="K4496" s="4"/>
      <c r="L4496" s="19"/>
      <c r="M4496" s="20"/>
    </row>
    <row r="4497">
      <c r="A4497" s="6"/>
      <c r="B4497" s="6"/>
      <c r="C4497" s="4"/>
      <c r="D4497" s="36">
        <v>0.0</v>
      </c>
      <c r="E4497" s="4"/>
      <c r="F4497" s="4"/>
      <c r="G4497" s="4"/>
      <c r="H4497" s="4"/>
      <c r="I4497" s="4"/>
      <c r="J4497" s="18"/>
      <c r="K4497" s="4"/>
      <c r="L4497" s="19"/>
      <c r="M4497" s="20"/>
    </row>
    <row r="4498">
      <c r="A4498" s="6"/>
      <c r="B4498" s="6"/>
      <c r="C4498" s="4"/>
      <c r="D4498" s="36">
        <v>0.0</v>
      </c>
      <c r="E4498" s="4"/>
      <c r="F4498" s="4"/>
      <c r="G4498" s="4"/>
      <c r="H4498" s="4"/>
      <c r="I4498" s="4"/>
      <c r="J4498" s="18"/>
      <c r="K4498" s="4"/>
      <c r="L4498" s="19"/>
      <c r="M4498" s="20"/>
    </row>
    <row r="4499">
      <c r="A4499" s="6"/>
      <c r="B4499" s="6"/>
      <c r="C4499" s="4"/>
      <c r="D4499" s="36">
        <v>0.0</v>
      </c>
      <c r="E4499" s="4"/>
      <c r="F4499" s="4"/>
      <c r="G4499" s="4"/>
      <c r="H4499" s="4"/>
      <c r="I4499" s="4"/>
      <c r="J4499" s="18"/>
      <c r="K4499" s="4"/>
      <c r="L4499" s="19"/>
      <c r="M4499" s="20"/>
    </row>
    <row r="4500">
      <c r="A4500" s="6"/>
      <c r="B4500" s="6"/>
      <c r="C4500" s="4"/>
      <c r="D4500" s="36">
        <v>0.0</v>
      </c>
      <c r="E4500" s="4"/>
      <c r="F4500" s="4"/>
      <c r="G4500" s="4"/>
      <c r="H4500" s="4"/>
      <c r="I4500" s="4"/>
      <c r="J4500" s="18"/>
      <c r="K4500" s="4"/>
      <c r="L4500" s="19"/>
      <c r="M4500" s="20"/>
    </row>
    <row r="4501">
      <c r="A4501" s="6"/>
      <c r="B4501" s="6"/>
      <c r="C4501" s="4"/>
      <c r="D4501" s="36">
        <v>0.0</v>
      </c>
      <c r="E4501" s="4"/>
      <c r="F4501" s="4"/>
      <c r="G4501" s="4"/>
      <c r="H4501" s="4"/>
      <c r="I4501" s="4"/>
      <c r="J4501" s="18"/>
      <c r="K4501" s="4"/>
      <c r="L4501" s="19"/>
      <c r="M4501" s="20"/>
    </row>
    <row r="4502">
      <c r="A4502" s="6"/>
      <c r="B4502" s="6"/>
      <c r="C4502" s="4"/>
      <c r="D4502" s="36">
        <v>0.0</v>
      </c>
      <c r="E4502" s="4"/>
      <c r="F4502" s="4"/>
      <c r="G4502" s="4"/>
      <c r="H4502" s="4"/>
      <c r="I4502" s="4"/>
      <c r="J4502" s="18"/>
      <c r="K4502" s="4"/>
      <c r="L4502" s="19"/>
      <c r="M4502" s="20"/>
    </row>
    <row r="4503">
      <c r="A4503" s="6"/>
      <c r="B4503" s="6"/>
      <c r="C4503" s="4"/>
      <c r="D4503" s="36">
        <v>0.0</v>
      </c>
      <c r="E4503" s="4"/>
      <c r="F4503" s="4"/>
      <c r="G4503" s="4"/>
      <c r="H4503" s="4"/>
      <c r="I4503" s="4"/>
      <c r="J4503" s="18"/>
      <c r="K4503" s="4"/>
      <c r="L4503" s="19"/>
      <c r="M4503" s="20"/>
    </row>
    <row r="4504">
      <c r="A4504" s="6"/>
      <c r="B4504" s="6"/>
      <c r="C4504" s="4"/>
      <c r="D4504" s="36">
        <v>0.0</v>
      </c>
      <c r="E4504" s="4"/>
      <c r="F4504" s="4"/>
      <c r="G4504" s="4"/>
      <c r="H4504" s="4"/>
      <c r="I4504" s="4"/>
      <c r="J4504" s="18"/>
      <c r="K4504" s="4"/>
      <c r="L4504" s="19"/>
      <c r="M4504" s="20"/>
    </row>
    <row r="4505">
      <c r="A4505" s="6"/>
      <c r="B4505" s="6"/>
      <c r="C4505" s="4"/>
      <c r="D4505" s="36">
        <v>0.0</v>
      </c>
      <c r="E4505" s="4"/>
      <c r="F4505" s="4"/>
      <c r="G4505" s="4"/>
      <c r="H4505" s="4"/>
      <c r="I4505" s="4"/>
      <c r="J4505" s="18"/>
      <c r="K4505" s="4"/>
      <c r="L4505" s="19"/>
      <c r="M4505" s="20"/>
    </row>
    <row r="4506">
      <c r="A4506" s="6"/>
      <c r="B4506" s="6"/>
      <c r="C4506" s="4"/>
      <c r="D4506" s="36">
        <v>0.0</v>
      </c>
      <c r="E4506" s="4"/>
      <c r="F4506" s="4"/>
      <c r="G4506" s="4"/>
      <c r="H4506" s="4"/>
      <c r="I4506" s="4"/>
      <c r="J4506" s="18"/>
      <c r="K4506" s="4"/>
      <c r="L4506" s="19"/>
      <c r="M4506" s="20"/>
    </row>
    <row r="4507">
      <c r="A4507" s="6"/>
      <c r="B4507" s="6"/>
      <c r="C4507" s="4"/>
      <c r="D4507" s="36">
        <v>0.0</v>
      </c>
      <c r="E4507" s="4"/>
      <c r="F4507" s="4"/>
      <c r="G4507" s="4"/>
      <c r="H4507" s="4"/>
      <c r="I4507" s="4"/>
      <c r="J4507" s="18"/>
      <c r="K4507" s="4"/>
      <c r="L4507" s="19"/>
      <c r="M4507" s="20"/>
    </row>
    <row r="4508">
      <c r="A4508" s="6"/>
      <c r="B4508" s="6"/>
      <c r="C4508" s="4"/>
      <c r="D4508" s="36">
        <v>0.0</v>
      </c>
      <c r="E4508" s="4"/>
      <c r="F4508" s="4"/>
      <c r="G4508" s="4"/>
      <c r="H4508" s="4"/>
      <c r="I4508" s="4"/>
      <c r="J4508" s="18"/>
      <c r="K4508" s="4"/>
      <c r="L4508" s="19"/>
      <c r="M4508" s="20"/>
    </row>
    <row r="4509">
      <c r="A4509" s="6"/>
      <c r="B4509" s="6"/>
      <c r="C4509" s="4"/>
      <c r="D4509" s="36">
        <v>0.0</v>
      </c>
      <c r="E4509" s="4"/>
      <c r="F4509" s="4"/>
      <c r="G4509" s="4"/>
      <c r="H4509" s="4"/>
      <c r="I4509" s="4"/>
      <c r="J4509" s="18"/>
      <c r="K4509" s="4"/>
      <c r="L4509" s="19"/>
      <c r="M4509" s="20"/>
    </row>
    <row r="4510">
      <c r="A4510" s="6"/>
      <c r="B4510" s="6"/>
      <c r="C4510" s="4"/>
      <c r="D4510" s="36">
        <v>0.0</v>
      </c>
      <c r="E4510" s="4"/>
      <c r="F4510" s="4"/>
      <c r="G4510" s="4"/>
      <c r="H4510" s="4"/>
      <c r="I4510" s="4"/>
      <c r="J4510" s="18"/>
      <c r="K4510" s="4"/>
      <c r="L4510" s="19"/>
      <c r="M4510" s="20"/>
    </row>
    <row r="4511">
      <c r="A4511" s="6"/>
      <c r="B4511" s="6"/>
      <c r="C4511" s="4"/>
      <c r="D4511" s="36">
        <v>0.0</v>
      </c>
      <c r="E4511" s="4"/>
      <c r="F4511" s="4"/>
      <c r="G4511" s="4"/>
      <c r="H4511" s="4"/>
      <c r="I4511" s="4"/>
      <c r="J4511" s="18"/>
      <c r="K4511" s="4"/>
      <c r="L4511" s="19"/>
      <c r="M4511" s="20"/>
    </row>
    <row r="4512">
      <c r="A4512" s="6"/>
      <c r="B4512" s="6"/>
      <c r="C4512" s="4"/>
      <c r="D4512" s="36">
        <v>0.0</v>
      </c>
      <c r="E4512" s="4"/>
      <c r="F4512" s="4"/>
      <c r="G4512" s="4"/>
      <c r="H4512" s="4"/>
      <c r="I4512" s="4"/>
      <c r="J4512" s="18"/>
      <c r="K4512" s="4"/>
      <c r="L4512" s="19"/>
      <c r="M4512" s="20"/>
    </row>
    <row r="4513">
      <c r="A4513" s="6"/>
      <c r="B4513" s="6"/>
      <c r="C4513" s="4"/>
      <c r="D4513" s="36">
        <v>0.0</v>
      </c>
      <c r="E4513" s="4"/>
      <c r="F4513" s="4"/>
      <c r="G4513" s="4"/>
      <c r="H4513" s="4"/>
      <c r="I4513" s="4"/>
      <c r="J4513" s="18"/>
      <c r="K4513" s="4"/>
      <c r="L4513" s="19"/>
      <c r="M4513" s="20"/>
    </row>
    <row r="4514">
      <c r="A4514" s="6"/>
      <c r="B4514" s="6"/>
      <c r="C4514" s="4"/>
      <c r="D4514" s="36">
        <v>0.0</v>
      </c>
      <c r="E4514" s="4"/>
      <c r="F4514" s="4"/>
      <c r="G4514" s="4"/>
      <c r="H4514" s="4"/>
      <c r="I4514" s="4"/>
      <c r="J4514" s="18"/>
      <c r="K4514" s="4"/>
      <c r="L4514" s="19"/>
      <c r="M4514" s="20"/>
    </row>
    <row r="4515">
      <c r="A4515" s="6"/>
      <c r="B4515" s="6"/>
      <c r="C4515" s="4"/>
      <c r="D4515" s="36">
        <v>0.0</v>
      </c>
      <c r="E4515" s="4"/>
      <c r="F4515" s="4"/>
      <c r="G4515" s="4"/>
      <c r="H4515" s="4"/>
      <c r="I4515" s="4"/>
      <c r="J4515" s="18"/>
      <c r="K4515" s="4"/>
      <c r="L4515" s="19"/>
      <c r="M4515" s="20"/>
    </row>
    <row r="4516">
      <c r="A4516" s="6"/>
      <c r="B4516" s="6"/>
      <c r="C4516" s="4"/>
      <c r="D4516" s="36">
        <v>0.0</v>
      </c>
      <c r="E4516" s="4"/>
      <c r="F4516" s="4"/>
      <c r="G4516" s="4"/>
      <c r="H4516" s="4"/>
      <c r="I4516" s="4"/>
      <c r="J4516" s="18"/>
      <c r="K4516" s="4"/>
      <c r="L4516" s="19"/>
      <c r="M4516" s="20"/>
    </row>
    <row r="4517">
      <c r="A4517" s="6"/>
      <c r="B4517" s="6"/>
      <c r="C4517" s="4"/>
      <c r="D4517" s="36">
        <v>0.0</v>
      </c>
      <c r="E4517" s="4"/>
      <c r="F4517" s="4"/>
      <c r="G4517" s="4"/>
      <c r="H4517" s="4"/>
      <c r="I4517" s="4"/>
      <c r="J4517" s="18"/>
      <c r="K4517" s="4"/>
      <c r="L4517" s="19"/>
      <c r="M4517" s="20"/>
    </row>
    <row r="4518">
      <c r="A4518" s="6"/>
      <c r="B4518" s="6"/>
      <c r="C4518" s="4"/>
      <c r="D4518" s="36">
        <v>0.0</v>
      </c>
      <c r="E4518" s="4"/>
      <c r="F4518" s="4"/>
      <c r="G4518" s="4"/>
      <c r="H4518" s="4"/>
      <c r="I4518" s="4"/>
      <c r="J4518" s="18"/>
      <c r="K4518" s="4"/>
      <c r="L4518" s="19"/>
      <c r="M4518" s="20"/>
    </row>
    <row r="4519">
      <c r="A4519" s="6"/>
      <c r="B4519" s="6"/>
      <c r="C4519" s="4"/>
      <c r="D4519" s="36">
        <v>0.0</v>
      </c>
      <c r="E4519" s="4"/>
      <c r="F4519" s="4"/>
      <c r="G4519" s="4"/>
      <c r="H4519" s="4"/>
      <c r="I4519" s="4"/>
      <c r="J4519" s="18"/>
      <c r="K4519" s="4"/>
      <c r="L4519" s="19"/>
      <c r="M4519" s="20"/>
    </row>
    <row r="4520">
      <c r="A4520" s="6"/>
      <c r="B4520" s="6"/>
      <c r="C4520" s="4"/>
      <c r="D4520" s="36">
        <v>0.0</v>
      </c>
      <c r="E4520" s="4"/>
      <c r="F4520" s="4"/>
      <c r="G4520" s="4"/>
      <c r="H4520" s="4"/>
      <c r="I4520" s="4"/>
      <c r="J4520" s="18"/>
      <c r="K4520" s="4"/>
      <c r="L4520" s="19"/>
      <c r="M4520" s="20"/>
    </row>
    <row r="4521">
      <c r="A4521" s="6"/>
      <c r="B4521" s="6"/>
      <c r="C4521" s="4"/>
      <c r="D4521" s="36">
        <v>0.0</v>
      </c>
      <c r="E4521" s="4"/>
      <c r="F4521" s="4"/>
      <c r="G4521" s="4"/>
      <c r="H4521" s="4"/>
      <c r="I4521" s="4"/>
      <c r="J4521" s="18"/>
      <c r="K4521" s="4"/>
      <c r="L4521" s="19"/>
      <c r="M4521" s="20"/>
    </row>
    <row r="4522">
      <c r="A4522" s="6"/>
      <c r="B4522" s="6"/>
      <c r="C4522" s="4"/>
      <c r="D4522" s="36">
        <v>0.0</v>
      </c>
      <c r="E4522" s="4"/>
      <c r="F4522" s="4"/>
      <c r="G4522" s="4"/>
      <c r="H4522" s="4"/>
      <c r="I4522" s="4"/>
      <c r="J4522" s="18"/>
      <c r="K4522" s="4"/>
      <c r="L4522" s="19"/>
      <c r="M4522" s="20"/>
    </row>
    <row r="4523">
      <c r="A4523" s="6"/>
      <c r="B4523" s="6"/>
      <c r="C4523" s="4"/>
      <c r="D4523" s="36">
        <v>0.0</v>
      </c>
      <c r="E4523" s="4"/>
      <c r="F4523" s="4"/>
      <c r="G4523" s="4"/>
      <c r="H4523" s="4"/>
      <c r="I4523" s="4"/>
      <c r="J4523" s="18"/>
      <c r="K4523" s="4"/>
      <c r="L4523" s="19"/>
      <c r="M4523" s="20"/>
    </row>
    <row r="4524">
      <c r="A4524" s="6"/>
      <c r="B4524" s="6"/>
      <c r="C4524" s="4"/>
      <c r="D4524" s="36">
        <v>0.0</v>
      </c>
      <c r="E4524" s="4"/>
      <c r="F4524" s="4"/>
      <c r="G4524" s="4"/>
      <c r="H4524" s="4"/>
      <c r="I4524" s="4"/>
      <c r="J4524" s="18"/>
      <c r="K4524" s="4"/>
      <c r="L4524" s="19"/>
      <c r="M4524" s="20"/>
    </row>
    <row r="4525">
      <c r="A4525" s="6"/>
      <c r="B4525" s="6"/>
      <c r="C4525" s="4"/>
      <c r="D4525" s="36">
        <v>0.0</v>
      </c>
      <c r="E4525" s="4"/>
      <c r="F4525" s="4"/>
      <c r="G4525" s="4"/>
      <c r="H4525" s="4"/>
      <c r="I4525" s="4"/>
      <c r="J4525" s="18"/>
      <c r="K4525" s="4"/>
      <c r="L4525" s="19"/>
      <c r="M4525" s="20"/>
    </row>
    <row r="4526">
      <c r="A4526" s="6"/>
      <c r="B4526" s="6"/>
      <c r="C4526" s="4"/>
      <c r="D4526" s="36">
        <v>0.0</v>
      </c>
      <c r="E4526" s="4"/>
      <c r="F4526" s="4"/>
      <c r="G4526" s="4"/>
      <c r="H4526" s="4"/>
      <c r="I4526" s="4"/>
      <c r="J4526" s="18"/>
      <c r="K4526" s="4"/>
      <c r="L4526" s="19"/>
      <c r="M4526" s="20"/>
    </row>
    <row r="4527">
      <c r="A4527" s="6"/>
      <c r="B4527" s="6"/>
      <c r="C4527" s="4"/>
      <c r="D4527" s="36">
        <v>0.0</v>
      </c>
      <c r="E4527" s="4"/>
      <c r="F4527" s="4"/>
      <c r="G4527" s="4"/>
      <c r="H4527" s="4"/>
      <c r="I4527" s="4"/>
      <c r="J4527" s="18"/>
      <c r="K4527" s="4"/>
      <c r="L4527" s="19"/>
      <c r="M4527" s="20"/>
    </row>
    <row r="4528">
      <c r="A4528" s="6"/>
      <c r="B4528" s="6"/>
      <c r="C4528" s="4"/>
      <c r="D4528" s="36">
        <v>0.0</v>
      </c>
      <c r="E4528" s="4"/>
      <c r="F4528" s="4"/>
      <c r="G4528" s="4"/>
      <c r="H4528" s="4"/>
      <c r="I4528" s="4"/>
      <c r="J4528" s="18"/>
      <c r="K4528" s="4"/>
      <c r="L4528" s="19"/>
      <c r="M4528" s="20"/>
    </row>
    <row r="4529">
      <c r="A4529" s="6"/>
      <c r="B4529" s="6"/>
      <c r="C4529" s="4"/>
      <c r="D4529" s="36">
        <v>0.0</v>
      </c>
      <c r="E4529" s="4"/>
      <c r="F4529" s="4"/>
      <c r="G4529" s="4"/>
      <c r="H4529" s="4"/>
      <c r="I4529" s="4"/>
      <c r="J4529" s="18"/>
      <c r="K4529" s="4"/>
      <c r="L4529" s="19"/>
      <c r="M4529" s="20"/>
    </row>
    <row r="4530">
      <c r="A4530" s="6"/>
      <c r="B4530" s="6"/>
      <c r="C4530" s="4"/>
      <c r="D4530" s="36">
        <v>0.0</v>
      </c>
      <c r="E4530" s="4"/>
      <c r="F4530" s="4"/>
      <c r="G4530" s="4"/>
      <c r="H4530" s="4"/>
      <c r="I4530" s="4"/>
      <c r="J4530" s="18"/>
      <c r="K4530" s="4"/>
      <c r="L4530" s="19"/>
      <c r="M4530" s="20"/>
    </row>
    <row r="4531">
      <c r="A4531" s="6"/>
      <c r="B4531" s="6"/>
      <c r="C4531" s="4"/>
      <c r="D4531" s="36">
        <v>0.0</v>
      </c>
      <c r="E4531" s="4"/>
      <c r="F4531" s="4"/>
      <c r="G4531" s="4"/>
      <c r="H4531" s="4"/>
      <c r="I4531" s="4"/>
      <c r="J4531" s="18"/>
      <c r="K4531" s="4"/>
      <c r="L4531" s="19"/>
      <c r="M4531" s="20"/>
    </row>
    <row r="4532">
      <c r="A4532" s="6"/>
      <c r="B4532" s="6"/>
      <c r="C4532" s="4"/>
      <c r="D4532" s="36">
        <v>0.0</v>
      </c>
      <c r="E4532" s="4"/>
      <c r="F4532" s="4"/>
      <c r="G4532" s="4"/>
      <c r="H4532" s="4"/>
      <c r="I4532" s="4"/>
      <c r="J4532" s="18"/>
      <c r="K4532" s="4"/>
      <c r="L4532" s="19"/>
      <c r="M4532" s="20"/>
    </row>
    <row r="4533">
      <c r="A4533" s="6"/>
      <c r="B4533" s="6"/>
      <c r="C4533" s="4"/>
      <c r="D4533" s="36">
        <v>0.0</v>
      </c>
      <c r="E4533" s="4"/>
      <c r="F4533" s="4"/>
      <c r="G4533" s="4"/>
      <c r="H4533" s="4"/>
      <c r="I4533" s="4"/>
      <c r="J4533" s="18"/>
      <c r="K4533" s="4"/>
      <c r="L4533" s="19"/>
      <c r="M4533" s="20"/>
    </row>
    <row r="4534">
      <c r="A4534" s="6"/>
      <c r="B4534" s="6"/>
      <c r="C4534" s="4"/>
      <c r="D4534" s="36">
        <v>0.0</v>
      </c>
      <c r="E4534" s="4"/>
      <c r="F4534" s="4"/>
      <c r="G4534" s="4"/>
      <c r="H4534" s="4"/>
      <c r="I4534" s="4"/>
      <c r="J4534" s="18"/>
      <c r="K4534" s="4"/>
      <c r="L4534" s="19"/>
      <c r="M4534" s="20"/>
    </row>
    <row r="4535">
      <c r="A4535" s="6"/>
      <c r="B4535" s="6"/>
      <c r="C4535" s="4"/>
      <c r="D4535" s="36">
        <v>0.0</v>
      </c>
      <c r="E4535" s="4"/>
      <c r="F4535" s="4"/>
      <c r="G4535" s="4"/>
      <c r="H4535" s="4"/>
      <c r="I4535" s="4"/>
      <c r="J4535" s="18"/>
      <c r="K4535" s="4"/>
      <c r="L4535" s="19"/>
      <c r="M4535" s="20"/>
    </row>
    <row r="4536">
      <c r="A4536" s="6"/>
      <c r="B4536" s="6"/>
      <c r="C4536" s="4"/>
      <c r="D4536" s="36">
        <v>0.0</v>
      </c>
      <c r="E4536" s="4"/>
      <c r="F4536" s="4"/>
      <c r="G4536" s="4"/>
      <c r="H4536" s="4"/>
      <c r="I4536" s="4"/>
      <c r="J4536" s="18"/>
      <c r="K4536" s="4"/>
      <c r="L4536" s="19"/>
      <c r="M4536" s="20"/>
    </row>
    <row r="4537">
      <c r="A4537" s="6"/>
      <c r="B4537" s="6"/>
      <c r="C4537" s="4"/>
      <c r="D4537" s="36">
        <v>0.0</v>
      </c>
      <c r="E4537" s="4"/>
      <c r="F4537" s="4"/>
      <c r="G4537" s="4"/>
      <c r="H4537" s="4"/>
      <c r="I4537" s="4"/>
      <c r="J4537" s="18"/>
      <c r="K4537" s="4"/>
      <c r="L4537" s="19"/>
      <c r="M4537" s="20"/>
    </row>
    <row r="4538">
      <c r="A4538" s="6"/>
      <c r="B4538" s="6"/>
      <c r="C4538" s="4"/>
      <c r="D4538" s="36">
        <v>0.0</v>
      </c>
      <c r="E4538" s="4"/>
      <c r="F4538" s="4"/>
      <c r="G4538" s="4"/>
      <c r="H4538" s="4"/>
      <c r="I4538" s="4"/>
      <c r="J4538" s="18"/>
      <c r="K4538" s="4"/>
      <c r="L4538" s="19"/>
      <c r="M4538" s="20"/>
    </row>
    <row r="4539">
      <c r="A4539" s="6"/>
      <c r="B4539" s="6"/>
      <c r="C4539" s="4"/>
      <c r="D4539" s="36">
        <v>0.0</v>
      </c>
      <c r="E4539" s="4"/>
      <c r="F4539" s="4"/>
      <c r="G4539" s="4"/>
      <c r="H4539" s="4"/>
      <c r="I4539" s="4"/>
      <c r="J4539" s="18"/>
      <c r="K4539" s="4"/>
      <c r="L4539" s="19"/>
      <c r="M4539" s="20"/>
    </row>
    <row r="4540">
      <c r="A4540" s="6"/>
      <c r="B4540" s="6"/>
      <c r="C4540" s="4"/>
      <c r="D4540" s="36">
        <v>0.0</v>
      </c>
      <c r="E4540" s="4"/>
      <c r="F4540" s="4"/>
      <c r="G4540" s="4"/>
      <c r="H4540" s="4"/>
      <c r="I4540" s="4"/>
      <c r="J4540" s="18"/>
      <c r="K4540" s="4"/>
      <c r="L4540" s="19"/>
      <c r="M4540" s="20"/>
    </row>
    <row r="4541">
      <c r="A4541" s="6"/>
      <c r="B4541" s="6"/>
      <c r="C4541" s="4"/>
      <c r="D4541" s="36">
        <v>0.0</v>
      </c>
      <c r="E4541" s="4"/>
      <c r="F4541" s="4"/>
      <c r="G4541" s="4"/>
      <c r="H4541" s="4"/>
      <c r="I4541" s="4"/>
      <c r="J4541" s="18"/>
      <c r="K4541" s="4"/>
      <c r="L4541" s="19"/>
      <c r="M4541" s="20"/>
    </row>
    <row r="4542">
      <c r="A4542" s="6"/>
      <c r="B4542" s="6"/>
      <c r="C4542" s="4"/>
      <c r="D4542" s="36">
        <v>0.0</v>
      </c>
      <c r="E4542" s="4"/>
      <c r="F4542" s="4"/>
      <c r="G4542" s="4"/>
      <c r="H4542" s="4"/>
      <c r="I4542" s="4"/>
      <c r="J4542" s="18"/>
      <c r="K4542" s="4"/>
      <c r="L4542" s="19"/>
      <c r="M4542" s="20"/>
    </row>
    <row r="4543">
      <c r="A4543" s="6"/>
      <c r="B4543" s="6"/>
      <c r="C4543" s="4"/>
      <c r="D4543" s="36">
        <v>0.0</v>
      </c>
      <c r="E4543" s="4"/>
      <c r="F4543" s="4"/>
      <c r="G4543" s="4"/>
      <c r="H4543" s="4"/>
      <c r="I4543" s="4"/>
      <c r="J4543" s="18"/>
      <c r="K4543" s="4"/>
      <c r="L4543" s="19"/>
      <c r="M4543" s="20"/>
    </row>
    <row r="4544">
      <c r="A4544" s="6"/>
      <c r="B4544" s="6"/>
      <c r="C4544" s="4"/>
      <c r="D4544" s="36">
        <v>0.0</v>
      </c>
      <c r="E4544" s="4"/>
      <c r="F4544" s="4"/>
      <c r="G4544" s="4"/>
      <c r="H4544" s="4"/>
      <c r="I4544" s="4"/>
      <c r="J4544" s="18"/>
      <c r="K4544" s="4"/>
      <c r="L4544" s="19"/>
      <c r="M4544" s="20"/>
    </row>
    <row r="4545">
      <c r="A4545" s="6"/>
      <c r="B4545" s="6"/>
      <c r="C4545" s="4"/>
      <c r="D4545" s="36">
        <v>0.0</v>
      </c>
      <c r="E4545" s="4"/>
      <c r="F4545" s="4"/>
      <c r="G4545" s="4"/>
      <c r="H4545" s="4"/>
      <c r="I4545" s="4"/>
      <c r="J4545" s="18"/>
      <c r="K4545" s="4"/>
      <c r="L4545" s="19"/>
      <c r="M4545" s="20"/>
    </row>
    <row r="4546">
      <c r="A4546" s="6"/>
      <c r="B4546" s="6"/>
      <c r="C4546" s="4"/>
      <c r="D4546" s="36">
        <v>0.0</v>
      </c>
      <c r="E4546" s="4"/>
      <c r="F4546" s="4"/>
      <c r="G4546" s="4"/>
      <c r="H4546" s="4"/>
      <c r="I4546" s="4"/>
      <c r="J4546" s="18"/>
      <c r="K4546" s="4"/>
      <c r="L4546" s="19"/>
      <c r="M4546" s="20"/>
    </row>
    <row r="4547">
      <c r="A4547" s="6"/>
      <c r="B4547" s="6"/>
      <c r="C4547" s="4"/>
      <c r="D4547" s="36">
        <v>0.0</v>
      </c>
      <c r="E4547" s="4"/>
      <c r="F4547" s="4"/>
      <c r="G4547" s="4"/>
      <c r="H4547" s="4"/>
      <c r="I4547" s="4"/>
      <c r="J4547" s="18"/>
      <c r="K4547" s="4"/>
      <c r="L4547" s="19"/>
      <c r="M4547" s="20"/>
    </row>
    <row r="4548">
      <c r="A4548" s="6"/>
      <c r="B4548" s="6"/>
      <c r="C4548" s="4"/>
      <c r="D4548" s="36">
        <v>0.0</v>
      </c>
      <c r="E4548" s="4"/>
      <c r="F4548" s="4"/>
      <c r="G4548" s="4"/>
      <c r="H4548" s="4"/>
      <c r="I4548" s="4"/>
      <c r="J4548" s="18"/>
      <c r="K4548" s="4"/>
      <c r="L4548" s="19"/>
      <c r="M4548" s="20"/>
    </row>
    <row r="4549">
      <c r="A4549" s="6"/>
      <c r="B4549" s="6"/>
      <c r="C4549" s="4"/>
      <c r="D4549" s="36">
        <v>0.0</v>
      </c>
      <c r="E4549" s="4"/>
      <c r="F4549" s="4"/>
      <c r="G4549" s="4"/>
      <c r="H4549" s="4"/>
      <c r="I4549" s="4"/>
      <c r="J4549" s="18"/>
      <c r="K4549" s="4"/>
      <c r="L4549" s="19"/>
      <c r="M4549" s="20"/>
    </row>
    <row r="4550">
      <c r="A4550" s="6"/>
      <c r="B4550" s="6"/>
      <c r="C4550" s="4"/>
      <c r="D4550" s="36">
        <v>0.0</v>
      </c>
      <c r="E4550" s="4"/>
      <c r="F4550" s="4"/>
      <c r="G4550" s="4"/>
      <c r="H4550" s="4"/>
      <c r="I4550" s="4"/>
      <c r="J4550" s="18"/>
      <c r="K4550" s="4"/>
      <c r="L4550" s="19"/>
      <c r="M4550" s="20"/>
    </row>
    <row r="4551">
      <c r="A4551" s="6"/>
      <c r="B4551" s="6"/>
      <c r="C4551" s="4"/>
      <c r="D4551" s="36">
        <v>0.0</v>
      </c>
      <c r="E4551" s="4"/>
      <c r="F4551" s="4"/>
      <c r="G4551" s="4"/>
      <c r="H4551" s="4"/>
      <c r="I4551" s="4"/>
      <c r="J4551" s="18"/>
      <c r="K4551" s="4"/>
      <c r="L4551" s="19"/>
      <c r="M4551" s="20"/>
    </row>
    <row r="4552">
      <c r="A4552" s="6"/>
      <c r="B4552" s="6"/>
      <c r="C4552" s="4"/>
      <c r="D4552" s="36">
        <v>0.0</v>
      </c>
      <c r="E4552" s="4"/>
      <c r="F4552" s="4"/>
      <c r="G4552" s="4"/>
      <c r="H4552" s="4"/>
      <c r="I4552" s="4"/>
      <c r="J4552" s="18"/>
      <c r="K4552" s="4"/>
      <c r="L4552" s="19"/>
      <c r="M4552" s="20"/>
    </row>
    <row r="4553">
      <c r="A4553" s="6"/>
      <c r="B4553" s="6"/>
      <c r="C4553" s="4"/>
      <c r="D4553" s="36">
        <v>0.0</v>
      </c>
      <c r="E4553" s="4"/>
      <c r="F4553" s="4"/>
      <c r="G4553" s="4"/>
      <c r="H4553" s="4"/>
      <c r="I4553" s="4"/>
      <c r="J4553" s="18"/>
      <c r="K4553" s="4"/>
      <c r="L4553" s="19"/>
      <c r="M4553" s="20"/>
    </row>
    <row r="4554">
      <c r="A4554" s="6"/>
      <c r="B4554" s="6"/>
      <c r="C4554" s="4"/>
      <c r="D4554" s="36">
        <v>0.0</v>
      </c>
      <c r="E4554" s="4"/>
      <c r="F4554" s="4"/>
      <c r="G4554" s="4"/>
      <c r="H4554" s="4"/>
      <c r="I4554" s="4"/>
      <c r="J4554" s="18"/>
      <c r="K4554" s="4"/>
      <c r="L4554" s="19"/>
      <c r="M4554" s="20"/>
    </row>
    <row r="4555">
      <c r="A4555" s="6"/>
      <c r="B4555" s="6"/>
      <c r="C4555" s="4"/>
      <c r="D4555" s="36">
        <v>0.0</v>
      </c>
      <c r="E4555" s="4"/>
      <c r="F4555" s="4"/>
      <c r="G4555" s="4"/>
      <c r="H4555" s="4"/>
      <c r="I4555" s="4"/>
      <c r="J4555" s="18"/>
      <c r="K4555" s="4"/>
      <c r="L4555" s="19"/>
      <c r="M4555" s="20"/>
    </row>
    <row r="4556">
      <c r="A4556" s="6"/>
      <c r="B4556" s="6"/>
      <c r="C4556" s="4"/>
      <c r="D4556" s="36">
        <v>0.0</v>
      </c>
      <c r="E4556" s="4"/>
      <c r="F4556" s="4"/>
      <c r="G4556" s="4"/>
      <c r="H4556" s="4"/>
      <c r="I4556" s="4"/>
      <c r="J4556" s="18"/>
      <c r="K4556" s="4"/>
      <c r="L4556" s="19"/>
      <c r="M4556" s="20"/>
    </row>
    <row r="4557">
      <c r="A4557" s="6"/>
      <c r="B4557" s="6"/>
      <c r="C4557" s="4"/>
      <c r="D4557" s="36">
        <v>0.0</v>
      </c>
      <c r="E4557" s="4"/>
      <c r="F4557" s="4"/>
      <c r="G4557" s="4"/>
      <c r="H4557" s="4"/>
      <c r="I4557" s="4"/>
      <c r="J4557" s="18"/>
      <c r="K4557" s="4"/>
      <c r="L4557" s="19"/>
      <c r="M4557" s="20"/>
    </row>
    <row r="4558">
      <c r="A4558" s="6"/>
      <c r="B4558" s="6"/>
      <c r="C4558" s="4"/>
      <c r="D4558" s="36">
        <v>0.0</v>
      </c>
      <c r="E4558" s="4"/>
      <c r="F4558" s="4"/>
      <c r="G4558" s="4"/>
      <c r="H4558" s="4"/>
      <c r="I4558" s="4"/>
      <c r="J4558" s="18"/>
      <c r="K4558" s="4"/>
      <c r="L4558" s="19"/>
      <c r="M4558" s="20"/>
    </row>
    <row r="4559">
      <c r="A4559" s="6"/>
      <c r="B4559" s="6"/>
      <c r="C4559" s="4"/>
      <c r="D4559" s="36">
        <v>0.0</v>
      </c>
      <c r="E4559" s="4"/>
      <c r="F4559" s="4"/>
      <c r="G4559" s="4"/>
      <c r="H4559" s="4"/>
      <c r="I4559" s="4"/>
      <c r="J4559" s="18"/>
      <c r="K4559" s="4"/>
      <c r="L4559" s="19"/>
      <c r="M4559" s="20"/>
    </row>
    <row r="4560">
      <c r="A4560" s="6"/>
      <c r="B4560" s="6"/>
      <c r="C4560" s="4"/>
      <c r="D4560" s="36">
        <v>0.0</v>
      </c>
      <c r="E4560" s="4"/>
      <c r="F4560" s="4"/>
      <c r="G4560" s="4"/>
      <c r="H4560" s="4"/>
      <c r="I4560" s="4"/>
      <c r="J4560" s="18"/>
      <c r="K4560" s="4"/>
      <c r="L4560" s="19"/>
      <c r="M4560" s="20"/>
    </row>
    <row r="4561">
      <c r="A4561" s="6"/>
      <c r="B4561" s="6"/>
      <c r="C4561" s="4"/>
      <c r="D4561" s="36">
        <v>0.0</v>
      </c>
      <c r="E4561" s="4"/>
      <c r="F4561" s="4"/>
      <c r="G4561" s="4"/>
      <c r="H4561" s="4"/>
      <c r="I4561" s="4"/>
      <c r="J4561" s="18"/>
      <c r="K4561" s="4"/>
      <c r="L4561" s="19"/>
      <c r="M4561" s="20"/>
    </row>
    <row r="4562">
      <c r="A4562" s="6"/>
      <c r="B4562" s="6"/>
      <c r="C4562" s="4"/>
      <c r="D4562" s="36">
        <v>0.0</v>
      </c>
      <c r="E4562" s="4"/>
      <c r="F4562" s="4"/>
      <c r="G4562" s="4"/>
      <c r="H4562" s="4"/>
      <c r="I4562" s="4"/>
      <c r="J4562" s="18"/>
      <c r="K4562" s="4"/>
      <c r="L4562" s="19"/>
      <c r="M4562" s="20"/>
    </row>
    <row r="4563">
      <c r="A4563" s="6"/>
      <c r="B4563" s="6"/>
      <c r="C4563" s="4"/>
      <c r="D4563" s="36">
        <v>0.0</v>
      </c>
      <c r="E4563" s="4"/>
      <c r="F4563" s="4"/>
      <c r="G4563" s="4"/>
      <c r="H4563" s="4"/>
      <c r="I4563" s="4"/>
      <c r="J4563" s="18"/>
      <c r="K4563" s="4"/>
      <c r="L4563" s="19"/>
      <c r="M4563" s="20"/>
    </row>
    <row r="4564">
      <c r="A4564" s="6"/>
      <c r="B4564" s="6"/>
      <c r="C4564" s="4"/>
      <c r="D4564" s="36">
        <v>0.0</v>
      </c>
      <c r="E4564" s="4"/>
      <c r="F4564" s="4"/>
      <c r="G4564" s="4"/>
      <c r="H4564" s="4"/>
      <c r="I4564" s="4"/>
      <c r="J4564" s="18"/>
      <c r="K4564" s="4"/>
      <c r="L4564" s="19"/>
      <c r="M4564" s="20"/>
    </row>
    <row r="4565">
      <c r="A4565" s="6"/>
      <c r="B4565" s="6"/>
      <c r="C4565" s="4"/>
      <c r="D4565" s="36">
        <v>0.0</v>
      </c>
      <c r="E4565" s="4"/>
      <c r="F4565" s="4"/>
      <c r="G4565" s="4"/>
      <c r="H4565" s="4"/>
      <c r="I4565" s="4"/>
      <c r="J4565" s="18"/>
      <c r="K4565" s="4"/>
      <c r="L4565" s="19"/>
      <c r="M4565" s="20"/>
    </row>
    <row r="4566">
      <c r="A4566" s="6"/>
      <c r="B4566" s="6"/>
      <c r="C4566" s="4"/>
      <c r="D4566" s="36">
        <v>0.0</v>
      </c>
      <c r="E4566" s="4"/>
      <c r="F4566" s="4"/>
      <c r="G4566" s="4"/>
      <c r="H4566" s="4"/>
      <c r="I4566" s="4"/>
      <c r="J4566" s="18"/>
      <c r="K4566" s="4"/>
      <c r="L4566" s="19"/>
      <c r="M4566" s="20"/>
    </row>
    <row r="4567">
      <c r="A4567" s="6"/>
      <c r="B4567" s="6"/>
      <c r="C4567" s="4"/>
      <c r="D4567" s="36">
        <v>0.0</v>
      </c>
      <c r="E4567" s="4"/>
      <c r="F4567" s="4"/>
      <c r="G4567" s="4"/>
      <c r="H4567" s="4"/>
      <c r="I4567" s="4"/>
      <c r="J4567" s="18"/>
      <c r="K4567" s="4"/>
      <c r="L4567" s="19"/>
      <c r="M4567" s="20"/>
    </row>
    <row r="4568">
      <c r="A4568" s="6"/>
      <c r="B4568" s="6"/>
      <c r="C4568" s="4"/>
      <c r="D4568" s="36">
        <v>0.0</v>
      </c>
      <c r="E4568" s="4"/>
      <c r="F4568" s="4"/>
      <c r="G4568" s="4"/>
      <c r="H4568" s="4"/>
      <c r="I4568" s="4"/>
      <c r="J4568" s="18"/>
      <c r="K4568" s="4"/>
      <c r="L4568" s="19"/>
      <c r="M4568" s="20"/>
    </row>
    <row r="4569">
      <c r="A4569" s="6"/>
      <c r="B4569" s="6"/>
      <c r="C4569" s="4"/>
      <c r="D4569" s="36">
        <v>0.0</v>
      </c>
      <c r="E4569" s="4"/>
      <c r="F4569" s="4"/>
      <c r="G4569" s="4"/>
      <c r="H4569" s="4"/>
      <c r="I4569" s="4"/>
      <c r="J4569" s="18"/>
      <c r="K4569" s="4"/>
      <c r="L4569" s="19"/>
      <c r="M4569" s="20"/>
    </row>
    <row r="4570">
      <c r="A4570" s="6"/>
      <c r="B4570" s="6"/>
      <c r="C4570" s="4"/>
      <c r="D4570" s="36">
        <v>0.0</v>
      </c>
      <c r="E4570" s="4"/>
      <c r="F4570" s="4"/>
      <c r="G4570" s="4"/>
      <c r="H4570" s="4"/>
      <c r="I4570" s="4"/>
      <c r="J4570" s="18"/>
      <c r="K4570" s="4"/>
      <c r="L4570" s="19"/>
      <c r="M4570" s="20"/>
    </row>
    <row r="4571">
      <c r="A4571" s="6"/>
      <c r="B4571" s="6"/>
      <c r="C4571" s="4"/>
      <c r="D4571" s="36">
        <v>0.0</v>
      </c>
      <c r="E4571" s="4"/>
      <c r="F4571" s="4"/>
      <c r="G4571" s="4"/>
      <c r="H4571" s="4"/>
      <c r="I4571" s="4"/>
      <c r="J4571" s="18"/>
      <c r="K4571" s="4"/>
      <c r="L4571" s="19"/>
      <c r="M4571" s="20"/>
    </row>
    <row r="4572">
      <c r="A4572" s="6"/>
      <c r="B4572" s="6"/>
      <c r="C4572" s="4"/>
      <c r="D4572" s="36">
        <v>0.0</v>
      </c>
      <c r="E4572" s="4"/>
      <c r="F4572" s="4"/>
      <c r="G4572" s="4"/>
      <c r="H4572" s="4"/>
      <c r="I4572" s="4"/>
      <c r="J4572" s="18"/>
      <c r="K4572" s="4"/>
      <c r="L4572" s="19"/>
      <c r="M4572" s="20"/>
    </row>
    <row r="4573">
      <c r="A4573" s="6"/>
      <c r="B4573" s="6"/>
      <c r="C4573" s="4"/>
      <c r="D4573" s="36">
        <v>0.0</v>
      </c>
      <c r="E4573" s="4"/>
      <c r="F4573" s="4"/>
      <c r="G4573" s="4"/>
      <c r="H4573" s="4"/>
      <c r="I4573" s="4"/>
      <c r="J4573" s="18"/>
      <c r="K4573" s="4"/>
      <c r="L4573" s="19"/>
      <c r="M4573" s="20"/>
    </row>
    <row r="4574">
      <c r="A4574" s="6"/>
      <c r="B4574" s="6"/>
      <c r="C4574" s="4"/>
      <c r="D4574" s="36">
        <v>0.0</v>
      </c>
      <c r="E4574" s="4"/>
      <c r="F4574" s="4"/>
      <c r="G4574" s="4"/>
      <c r="H4574" s="4"/>
      <c r="I4574" s="4"/>
      <c r="J4574" s="18"/>
      <c r="K4574" s="4"/>
      <c r="L4574" s="19"/>
      <c r="M4574" s="20"/>
    </row>
    <row r="4575">
      <c r="A4575" s="6"/>
      <c r="B4575" s="6"/>
      <c r="C4575" s="4"/>
      <c r="D4575" s="36">
        <v>0.0</v>
      </c>
      <c r="E4575" s="4"/>
      <c r="F4575" s="4"/>
      <c r="G4575" s="4"/>
      <c r="H4575" s="4"/>
      <c r="I4575" s="4"/>
      <c r="J4575" s="18"/>
      <c r="K4575" s="4"/>
      <c r="L4575" s="19"/>
      <c r="M4575" s="20"/>
    </row>
    <row r="4576">
      <c r="A4576" s="6"/>
      <c r="B4576" s="6"/>
      <c r="C4576" s="4"/>
      <c r="D4576" s="36">
        <v>0.0</v>
      </c>
      <c r="E4576" s="4"/>
      <c r="F4576" s="4"/>
      <c r="G4576" s="4"/>
      <c r="H4576" s="4"/>
      <c r="I4576" s="4"/>
      <c r="J4576" s="18"/>
      <c r="K4576" s="4"/>
      <c r="L4576" s="19"/>
      <c r="M4576" s="20"/>
    </row>
    <row r="4577">
      <c r="A4577" s="6"/>
      <c r="B4577" s="6"/>
      <c r="C4577" s="4"/>
      <c r="D4577" s="36">
        <v>0.0</v>
      </c>
      <c r="E4577" s="4"/>
      <c r="F4577" s="4"/>
      <c r="G4577" s="4"/>
      <c r="H4577" s="4"/>
      <c r="I4577" s="4"/>
      <c r="J4577" s="18"/>
      <c r="K4577" s="4"/>
      <c r="L4577" s="19"/>
      <c r="M4577" s="20"/>
    </row>
    <row r="4578">
      <c r="A4578" s="6"/>
      <c r="B4578" s="6"/>
      <c r="C4578" s="4"/>
      <c r="D4578" s="36">
        <v>0.0</v>
      </c>
      <c r="E4578" s="4"/>
      <c r="F4578" s="4"/>
      <c r="G4578" s="4"/>
      <c r="H4578" s="4"/>
      <c r="I4578" s="4"/>
      <c r="J4578" s="18"/>
      <c r="K4578" s="4"/>
      <c r="L4578" s="19"/>
      <c r="M4578" s="20"/>
    </row>
    <row r="4579">
      <c r="A4579" s="6"/>
      <c r="B4579" s="6"/>
      <c r="C4579" s="4"/>
      <c r="D4579" s="36">
        <v>0.0</v>
      </c>
      <c r="E4579" s="4"/>
      <c r="F4579" s="4"/>
      <c r="G4579" s="4"/>
      <c r="H4579" s="4"/>
      <c r="I4579" s="4"/>
      <c r="J4579" s="18"/>
      <c r="K4579" s="4"/>
      <c r="L4579" s="19"/>
      <c r="M4579" s="20"/>
    </row>
    <row r="4580">
      <c r="A4580" s="6"/>
      <c r="B4580" s="6"/>
      <c r="C4580" s="4"/>
      <c r="D4580" s="36">
        <v>0.0</v>
      </c>
      <c r="E4580" s="4"/>
      <c r="F4580" s="4"/>
      <c r="G4580" s="4"/>
      <c r="H4580" s="4"/>
      <c r="I4580" s="4"/>
      <c r="J4580" s="18"/>
      <c r="K4580" s="4"/>
      <c r="L4580" s="19"/>
      <c r="M4580" s="20"/>
    </row>
    <row r="4581">
      <c r="A4581" s="6"/>
      <c r="B4581" s="6"/>
      <c r="C4581" s="4"/>
      <c r="D4581" s="36">
        <v>0.0</v>
      </c>
      <c r="E4581" s="4"/>
      <c r="F4581" s="4"/>
      <c r="G4581" s="4"/>
      <c r="H4581" s="4"/>
      <c r="I4581" s="4"/>
      <c r="J4581" s="18"/>
      <c r="K4581" s="4"/>
      <c r="L4581" s="19"/>
      <c r="M4581" s="20"/>
    </row>
    <row r="4582">
      <c r="A4582" s="6"/>
      <c r="B4582" s="6"/>
      <c r="C4582" s="4"/>
      <c r="D4582" s="36">
        <v>0.0</v>
      </c>
      <c r="E4582" s="4"/>
      <c r="F4582" s="4"/>
      <c r="G4582" s="4"/>
      <c r="H4582" s="4"/>
      <c r="I4582" s="4"/>
      <c r="J4582" s="18"/>
      <c r="K4582" s="4"/>
      <c r="L4582" s="19"/>
      <c r="M4582" s="20"/>
    </row>
    <row r="4583">
      <c r="A4583" s="6"/>
      <c r="B4583" s="6"/>
      <c r="C4583" s="4"/>
      <c r="D4583" s="36">
        <v>0.0</v>
      </c>
      <c r="E4583" s="4"/>
      <c r="F4583" s="4"/>
      <c r="G4583" s="4"/>
      <c r="H4583" s="4"/>
      <c r="I4583" s="4"/>
      <c r="J4583" s="18"/>
      <c r="K4583" s="4"/>
      <c r="L4583" s="19"/>
      <c r="M4583" s="20"/>
    </row>
    <row r="4584">
      <c r="A4584" s="6"/>
      <c r="B4584" s="6"/>
      <c r="C4584" s="4"/>
      <c r="D4584" s="36">
        <v>0.0</v>
      </c>
      <c r="E4584" s="4"/>
      <c r="F4584" s="4"/>
      <c r="G4584" s="4"/>
      <c r="H4584" s="4"/>
      <c r="I4584" s="4"/>
      <c r="J4584" s="18"/>
      <c r="K4584" s="4"/>
      <c r="L4584" s="19"/>
      <c r="M4584" s="20"/>
    </row>
    <row r="4585">
      <c r="A4585" s="6"/>
      <c r="B4585" s="6"/>
      <c r="C4585" s="4"/>
      <c r="D4585" s="36">
        <v>0.0</v>
      </c>
      <c r="E4585" s="4"/>
      <c r="F4585" s="4"/>
      <c r="G4585" s="4"/>
      <c r="H4585" s="4"/>
      <c r="I4585" s="4"/>
      <c r="J4585" s="18"/>
      <c r="K4585" s="4"/>
      <c r="L4585" s="19"/>
      <c r="M4585" s="20"/>
    </row>
    <row r="4586">
      <c r="A4586" s="6"/>
      <c r="B4586" s="6"/>
      <c r="C4586" s="4"/>
      <c r="D4586" s="36">
        <v>0.0</v>
      </c>
      <c r="E4586" s="4"/>
      <c r="F4586" s="4"/>
      <c r="G4586" s="4"/>
      <c r="H4586" s="4"/>
      <c r="I4586" s="4"/>
      <c r="J4586" s="18"/>
      <c r="K4586" s="4"/>
      <c r="L4586" s="19"/>
      <c r="M4586" s="20"/>
    </row>
    <row r="4587">
      <c r="A4587" s="6"/>
      <c r="B4587" s="6"/>
      <c r="C4587" s="4"/>
      <c r="D4587" s="36">
        <v>0.0</v>
      </c>
      <c r="E4587" s="4"/>
      <c r="F4587" s="4"/>
      <c r="G4587" s="4"/>
      <c r="H4587" s="4"/>
      <c r="I4587" s="4"/>
      <c r="J4587" s="18"/>
      <c r="K4587" s="4"/>
      <c r="L4587" s="19"/>
      <c r="M4587" s="20"/>
    </row>
    <row r="4588">
      <c r="A4588" s="6"/>
      <c r="B4588" s="6"/>
      <c r="C4588" s="4"/>
      <c r="D4588" s="36">
        <v>0.0</v>
      </c>
      <c r="E4588" s="4"/>
      <c r="F4588" s="4"/>
      <c r="G4588" s="4"/>
      <c r="H4588" s="4"/>
      <c r="I4588" s="4"/>
      <c r="J4588" s="18"/>
      <c r="K4588" s="4"/>
      <c r="L4588" s="19"/>
      <c r="M4588" s="20"/>
    </row>
    <row r="4589">
      <c r="A4589" s="6"/>
      <c r="B4589" s="6"/>
      <c r="C4589" s="4"/>
      <c r="D4589" s="36">
        <v>0.0</v>
      </c>
      <c r="E4589" s="4"/>
      <c r="F4589" s="4"/>
      <c r="G4589" s="4"/>
      <c r="H4589" s="4"/>
      <c r="I4589" s="4"/>
      <c r="J4589" s="18"/>
      <c r="K4589" s="4"/>
      <c r="L4589" s="19"/>
      <c r="M4589" s="20"/>
    </row>
    <row r="4590">
      <c r="A4590" s="6"/>
      <c r="B4590" s="6"/>
      <c r="C4590" s="4"/>
      <c r="D4590" s="36">
        <v>0.0</v>
      </c>
      <c r="E4590" s="4"/>
      <c r="F4590" s="4"/>
      <c r="G4590" s="4"/>
      <c r="H4590" s="4"/>
      <c r="I4590" s="4"/>
      <c r="J4590" s="18"/>
      <c r="K4590" s="4"/>
      <c r="L4590" s="19"/>
      <c r="M4590" s="20"/>
    </row>
    <row r="4591">
      <c r="A4591" s="6"/>
      <c r="B4591" s="6"/>
      <c r="C4591" s="4"/>
      <c r="D4591" s="36">
        <v>0.0</v>
      </c>
      <c r="E4591" s="4"/>
      <c r="F4591" s="4"/>
      <c r="G4591" s="4"/>
      <c r="H4591" s="4"/>
      <c r="I4591" s="4"/>
      <c r="J4591" s="18"/>
      <c r="K4591" s="4"/>
      <c r="L4591" s="19"/>
      <c r="M4591" s="20"/>
    </row>
    <row r="4592">
      <c r="A4592" s="6"/>
      <c r="B4592" s="6"/>
      <c r="C4592" s="4"/>
      <c r="D4592" s="36">
        <v>0.0</v>
      </c>
      <c r="E4592" s="4"/>
      <c r="F4592" s="4"/>
      <c r="G4592" s="4"/>
      <c r="H4592" s="4"/>
      <c r="I4592" s="4"/>
      <c r="J4592" s="18"/>
      <c r="K4592" s="4"/>
      <c r="L4592" s="19"/>
      <c r="M4592" s="20"/>
    </row>
    <row r="4593">
      <c r="A4593" s="6"/>
      <c r="B4593" s="6"/>
      <c r="C4593" s="4"/>
      <c r="D4593" s="36">
        <v>0.0</v>
      </c>
      <c r="E4593" s="4"/>
      <c r="F4593" s="4"/>
      <c r="G4593" s="4"/>
      <c r="H4593" s="4"/>
      <c r="I4593" s="4"/>
      <c r="J4593" s="18"/>
      <c r="K4593" s="4"/>
      <c r="L4593" s="19"/>
      <c r="M4593" s="20"/>
    </row>
    <row r="4594">
      <c r="A4594" s="6"/>
      <c r="B4594" s="6"/>
      <c r="C4594" s="4"/>
      <c r="D4594" s="36">
        <v>0.0</v>
      </c>
      <c r="E4594" s="4"/>
      <c r="F4594" s="4"/>
      <c r="G4594" s="4"/>
      <c r="H4594" s="4"/>
      <c r="I4594" s="4"/>
      <c r="J4594" s="18"/>
      <c r="K4594" s="4"/>
      <c r="L4594" s="19"/>
      <c r="M4594" s="20"/>
    </row>
    <row r="4595">
      <c r="A4595" s="6"/>
      <c r="B4595" s="6"/>
      <c r="C4595" s="4"/>
      <c r="D4595" s="36">
        <v>0.0</v>
      </c>
      <c r="E4595" s="4"/>
      <c r="F4595" s="4"/>
      <c r="G4595" s="4"/>
      <c r="H4595" s="4"/>
      <c r="I4595" s="4"/>
      <c r="J4595" s="18"/>
      <c r="K4595" s="4"/>
      <c r="L4595" s="19"/>
      <c r="M4595" s="20"/>
    </row>
    <row r="4596">
      <c r="A4596" s="6"/>
      <c r="B4596" s="6"/>
      <c r="C4596" s="4"/>
      <c r="D4596" s="36">
        <v>0.0</v>
      </c>
      <c r="E4596" s="4"/>
      <c r="F4596" s="4"/>
      <c r="G4596" s="4"/>
      <c r="H4596" s="4"/>
      <c r="I4596" s="4"/>
      <c r="J4596" s="18"/>
      <c r="K4596" s="4"/>
      <c r="L4596" s="19"/>
      <c r="M4596" s="20"/>
    </row>
    <row r="4597">
      <c r="A4597" s="6"/>
      <c r="B4597" s="6"/>
      <c r="C4597" s="4"/>
      <c r="D4597" s="36">
        <v>0.0</v>
      </c>
      <c r="E4597" s="4"/>
      <c r="F4597" s="4"/>
      <c r="G4597" s="4"/>
      <c r="H4597" s="4"/>
      <c r="I4597" s="4"/>
      <c r="J4597" s="18"/>
      <c r="K4597" s="4"/>
      <c r="L4597" s="19"/>
      <c r="M4597" s="20"/>
    </row>
    <row r="4598">
      <c r="A4598" s="6"/>
      <c r="B4598" s="6"/>
      <c r="C4598" s="4"/>
      <c r="D4598" s="36">
        <v>0.0</v>
      </c>
      <c r="E4598" s="4"/>
      <c r="F4598" s="4"/>
      <c r="G4598" s="4"/>
      <c r="H4598" s="4"/>
      <c r="I4598" s="4"/>
      <c r="J4598" s="18"/>
      <c r="K4598" s="4"/>
      <c r="L4598" s="19"/>
      <c r="M4598" s="20"/>
    </row>
    <row r="4599">
      <c r="A4599" s="6"/>
      <c r="B4599" s="6"/>
      <c r="C4599" s="4"/>
      <c r="D4599" s="36">
        <v>0.0</v>
      </c>
      <c r="E4599" s="4"/>
      <c r="F4599" s="4"/>
      <c r="G4599" s="4"/>
      <c r="H4599" s="4"/>
      <c r="I4599" s="4"/>
      <c r="J4599" s="18"/>
      <c r="K4599" s="4"/>
      <c r="L4599" s="19"/>
      <c r="M4599" s="20"/>
    </row>
    <row r="4600">
      <c r="A4600" s="6"/>
      <c r="B4600" s="6"/>
      <c r="C4600" s="4"/>
      <c r="D4600" s="36">
        <v>0.0</v>
      </c>
      <c r="E4600" s="4"/>
      <c r="F4600" s="4"/>
      <c r="G4600" s="4"/>
      <c r="H4600" s="4"/>
      <c r="I4600" s="4"/>
      <c r="J4600" s="18"/>
      <c r="K4600" s="4"/>
      <c r="L4600" s="19"/>
      <c r="M4600" s="20"/>
    </row>
    <row r="4601">
      <c r="A4601" s="6"/>
      <c r="B4601" s="6"/>
      <c r="C4601" s="4"/>
      <c r="D4601" s="36">
        <v>0.0</v>
      </c>
      <c r="E4601" s="4"/>
      <c r="F4601" s="4"/>
      <c r="G4601" s="4"/>
      <c r="H4601" s="4"/>
      <c r="I4601" s="4"/>
      <c r="J4601" s="18"/>
      <c r="K4601" s="4"/>
      <c r="L4601" s="19"/>
      <c r="M4601" s="20"/>
    </row>
    <row r="4602">
      <c r="A4602" s="6"/>
      <c r="B4602" s="6"/>
      <c r="C4602" s="4"/>
      <c r="D4602" s="36">
        <v>0.0</v>
      </c>
      <c r="E4602" s="4"/>
      <c r="F4602" s="4"/>
      <c r="G4602" s="4"/>
      <c r="H4602" s="4"/>
      <c r="I4602" s="4"/>
      <c r="J4602" s="18"/>
      <c r="K4602" s="4"/>
      <c r="L4602" s="19"/>
      <c r="M4602" s="20"/>
    </row>
    <row r="4603">
      <c r="A4603" s="6"/>
      <c r="B4603" s="6"/>
      <c r="C4603" s="4"/>
      <c r="D4603" s="36">
        <v>0.0</v>
      </c>
      <c r="E4603" s="4"/>
      <c r="F4603" s="4"/>
      <c r="G4603" s="4"/>
      <c r="H4603" s="4"/>
      <c r="I4603" s="4"/>
      <c r="J4603" s="18"/>
      <c r="K4603" s="4"/>
      <c r="L4603" s="19"/>
      <c r="M4603" s="20"/>
    </row>
    <row r="4604">
      <c r="A4604" s="6"/>
      <c r="B4604" s="6"/>
      <c r="C4604" s="4"/>
      <c r="D4604" s="36">
        <v>0.0</v>
      </c>
      <c r="E4604" s="4"/>
      <c r="F4604" s="4"/>
      <c r="G4604" s="4"/>
      <c r="H4604" s="4"/>
      <c r="I4604" s="4"/>
      <c r="J4604" s="18"/>
      <c r="K4604" s="4"/>
      <c r="L4604" s="19"/>
      <c r="M4604" s="20"/>
    </row>
    <row r="4605">
      <c r="A4605" s="6"/>
      <c r="B4605" s="6"/>
      <c r="C4605" s="4"/>
      <c r="D4605" s="36">
        <v>0.0</v>
      </c>
      <c r="E4605" s="4"/>
      <c r="F4605" s="4"/>
      <c r="G4605" s="4"/>
      <c r="H4605" s="4"/>
      <c r="I4605" s="4"/>
      <c r="J4605" s="18"/>
      <c r="K4605" s="4"/>
      <c r="L4605" s="19"/>
      <c r="M4605" s="20"/>
    </row>
    <row r="4606">
      <c r="A4606" s="6"/>
      <c r="B4606" s="6"/>
      <c r="C4606" s="4"/>
      <c r="D4606" s="36">
        <v>0.0</v>
      </c>
      <c r="E4606" s="4"/>
      <c r="F4606" s="4"/>
      <c r="G4606" s="4"/>
      <c r="H4606" s="4"/>
      <c r="I4606" s="4"/>
      <c r="J4606" s="18"/>
      <c r="K4606" s="4"/>
      <c r="L4606" s="19"/>
      <c r="M4606" s="20"/>
    </row>
    <row r="4607">
      <c r="A4607" s="6"/>
      <c r="B4607" s="6"/>
      <c r="C4607" s="4"/>
      <c r="D4607" s="36">
        <v>0.0</v>
      </c>
      <c r="E4607" s="4"/>
      <c r="F4607" s="4"/>
      <c r="G4607" s="4"/>
      <c r="H4607" s="4"/>
      <c r="I4607" s="4"/>
      <c r="J4607" s="18"/>
      <c r="K4607" s="4"/>
      <c r="L4607" s="19"/>
      <c r="M4607" s="20"/>
    </row>
    <row r="4608">
      <c r="A4608" s="6"/>
      <c r="B4608" s="6"/>
      <c r="C4608" s="4"/>
      <c r="D4608" s="36">
        <v>0.0</v>
      </c>
      <c r="E4608" s="4"/>
      <c r="F4608" s="4"/>
      <c r="G4608" s="4"/>
      <c r="H4608" s="4"/>
      <c r="I4608" s="4"/>
      <c r="J4608" s="18"/>
      <c r="K4608" s="4"/>
      <c r="L4608" s="19"/>
      <c r="M4608" s="20"/>
    </row>
    <row r="4609">
      <c r="A4609" s="6"/>
      <c r="B4609" s="6"/>
      <c r="C4609" s="4"/>
      <c r="D4609" s="36">
        <v>0.0</v>
      </c>
      <c r="E4609" s="4"/>
      <c r="F4609" s="4"/>
      <c r="G4609" s="4"/>
      <c r="H4609" s="4"/>
      <c r="I4609" s="4"/>
      <c r="J4609" s="18"/>
      <c r="K4609" s="4"/>
      <c r="L4609" s="19"/>
      <c r="M4609" s="20"/>
    </row>
    <row r="4610">
      <c r="A4610" s="6"/>
      <c r="B4610" s="6"/>
      <c r="C4610" s="4"/>
      <c r="D4610" s="36">
        <v>0.0</v>
      </c>
      <c r="E4610" s="4"/>
      <c r="F4610" s="4"/>
      <c r="G4610" s="4"/>
      <c r="H4610" s="4"/>
      <c r="I4610" s="4"/>
      <c r="J4610" s="18"/>
      <c r="K4610" s="4"/>
      <c r="L4610" s="19"/>
      <c r="M4610" s="20"/>
    </row>
    <row r="4611">
      <c r="A4611" s="6"/>
      <c r="B4611" s="6"/>
      <c r="C4611" s="4"/>
      <c r="D4611" s="36">
        <v>0.0</v>
      </c>
      <c r="E4611" s="4"/>
      <c r="F4611" s="4"/>
      <c r="G4611" s="4"/>
      <c r="H4611" s="4"/>
      <c r="I4611" s="4"/>
      <c r="J4611" s="18"/>
      <c r="K4611" s="4"/>
      <c r="L4611" s="19"/>
      <c r="M4611" s="20"/>
    </row>
    <row r="4612">
      <c r="A4612" s="6"/>
      <c r="B4612" s="6"/>
      <c r="C4612" s="4"/>
      <c r="D4612" s="36">
        <v>0.0</v>
      </c>
      <c r="E4612" s="4"/>
      <c r="F4612" s="4"/>
      <c r="G4612" s="4"/>
      <c r="H4612" s="4"/>
      <c r="I4612" s="4"/>
      <c r="J4612" s="18"/>
      <c r="K4612" s="4"/>
      <c r="L4612" s="19"/>
      <c r="M4612" s="20"/>
    </row>
    <row r="4613">
      <c r="A4613" s="6"/>
      <c r="B4613" s="6"/>
      <c r="C4613" s="4"/>
      <c r="D4613" s="36">
        <v>0.0</v>
      </c>
      <c r="E4613" s="4"/>
      <c r="F4613" s="4"/>
      <c r="G4613" s="4"/>
      <c r="H4613" s="4"/>
      <c r="I4613" s="4"/>
      <c r="J4613" s="18"/>
      <c r="K4613" s="4"/>
      <c r="L4613" s="19"/>
      <c r="M4613" s="20"/>
    </row>
    <row r="4614">
      <c r="A4614" s="6"/>
      <c r="B4614" s="6"/>
      <c r="C4614" s="4"/>
      <c r="D4614" s="36">
        <v>0.0</v>
      </c>
      <c r="E4614" s="4"/>
      <c r="F4614" s="4"/>
      <c r="G4614" s="4"/>
      <c r="H4614" s="4"/>
      <c r="I4614" s="4"/>
      <c r="J4614" s="18"/>
      <c r="K4614" s="4"/>
      <c r="L4614" s="19"/>
      <c r="M4614" s="20"/>
    </row>
    <row r="4615">
      <c r="A4615" s="6"/>
      <c r="B4615" s="6"/>
      <c r="C4615" s="4"/>
      <c r="D4615" s="36">
        <v>0.0</v>
      </c>
      <c r="E4615" s="4"/>
      <c r="F4615" s="4"/>
      <c r="G4615" s="4"/>
      <c r="H4615" s="4"/>
      <c r="I4615" s="4"/>
      <c r="J4615" s="18"/>
      <c r="K4615" s="4"/>
      <c r="L4615" s="19"/>
      <c r="M4615" s="20"/>
    </row>
    <row r="4616">
      <c r="A4616" s="6"/>
      <c r="B4616" s="6"/>
      <c r="C4616" s="4"/>
      <c r="D4616" s="36">
        <v>0.0</v>
      </c>
      <c r="E4616" s="4"/>
      <c r="F4616" s="4"/>
      <c r="G4616" s="4"/>
      <c r="H4616" s="4"/>
      <c r="I4616" s="4"/>
      <c r="J4616" s="18"/>
      <c r="K4616" s="4"/>
      <c r="L4616" s="19"/>
      <c r="M4616" s="20"/>
    </row>
    <row r="4617">
      <c r="A4617" s="6"/>
      <c r="B4617" s="6"/>
      <c r="C4617" s="4"/>
      <c r="D4617" s="36">
        <v>0.0</v>
      </c>
      <c r="E4617" s="4"/>
      <c r="F4617" s="4"/>
      <c r="G4617" s="4"/>
      <c r="H4617" s="4"/>
      <c r="I4617" s="4"/>
      <c r="J4617" s="18"/>
      <c r="K4617" s="4"/>
      <c r="L4617" s="19"/>
      <c r="M4617" s="20"/>
    </row>
    <row r="4618">
      <c r="A4618" s="6"/>
      <c r="B4618" s="6"/>
      <c r="C4618" s="4"/>
      <c r="D4618" s="36">
        <v>0.0</v>
      </c>
      <c r="E4618" s="4"/>
      <c r="F4618" s="4"/>
      <c r="G4618" s="4"/>
      <c r="H4618" s="4"/>
      <c r="I4618" s="4"/>
      <c r="J4618" s="18"/>
      <c r="K4618" s="4"/>
      <c r="L4618" s="19"/>
      <c r="M4618" s="20"/>
    </row>
    <row r="4619">
      <c r="A4619" s="6"/>
      <c r="B4619" s="6"/>
      <c r="C4619" s="4"/>
      <c r="D4619" s="36">
        <v>0.0</v>
      </c>
      <c r="E4619" s="4"/>
      <c r="F4619" s="4"/>
      <c r="G4619" s="4"/>
      <c r="H4619" s="4"/>
      <c r="I4619" s="4"/>
      <c r="J4619" s="18"/>
      <c r="K4619" s="4"/>
      <c r="L4619" s="19"/>
      <c r="M4619" s="20"/>
    </row>
    <row r="4620">
      <c r="A4620" s="6"/>
      <c r="B4620" s="6"/>
      <c r="C4620" s="4"/>
      <c r="D4620" s="36">
        <v>0.0</v>
      </c>
      <c r="E4620" s="4"/>
      <c r="F4620" s="4"/>
      <c r="G4620" s="4"/>
      <c r="H4620" s="4"/>
      <c r="I4620" s="4"/>
      <c r="J4620" s="18"/>
      <c r="K4620" s="4"/>
      <c r="L4620" s="19"/>
      <c r="M4620" s="20"/>
    </row>
    <row r="4621">
      <c r="A4621" s="6"/>
      <c r="B4621" s="6"/>
      <c r="C4621" s="4"/>
      <c r="D4621" s="36">
        <v>0.0</v>
      </c>
      <c r="E4621" s="4"/>
      <c r="F4621" s="4"/>
      <c r="G4621" s="4"/>
      <c r="H4621" s="4"/>
      <c r="I4621" s="4"/>
      <c r="J4621" s="18"/>
      <c r="K4621" s="4"/>
      <c r="L4621" s="19"/>
      <c r="M4621" s="20"/>
    </row>
    <row r="4622">
      <c r="A4622" s="6"/>
      <c r="B4622" s="6"/>
      <c r="C4622" s="4"/>
      <c r="D4622" s="36">
        <v>0.0</v>
      </c>
      <c r="E4622" s="4"/>
      <c r="F4622" s="4"/>
      <c r="G4622" s="4"/>
      <c r="H4622" s="4"/>
      <c r="I4622" s="4"/>
      <c r="J4622" s="18"/>
      <c r="K4622" s="4"/>
      <c r="L4622" s="19"/>
      <c r="M4622" s="20"/>
    </row>
    <row r="4623">
      <c r="A4623" s="6"/>
      <c r="B4623" s="6"/>
      <c r="C4623" s="4"/>
      <c r="D4623" s="36">
        <v>0.0</v>
      </c>
      <c r="E4623" s="4"/>
      <c r="F4623" s="4"/>
      <c r="G4623" s="4"/>
      <c r="H4623" s="4"/>
      <c r="I4623" s="4"/>
      <c r="J4623" s="18"/>
      <c r="K4623" s="4"/>
      <c r="L4623" s="19"/>
      <c r="M4623" s="20"/>
    </row>
    <row r="4624">
      <c r="A4624" s="6"/>
      <c r="B4624" s="6"/>
      <c r="C4624" s="4"/>
      <c r="D4624" s="36">
        <v>0.0</v>
      </c>
      <c r="E4624" s="4"/>
      <c r="F4624" s="4"/>
      <c r="G4624" s="4"/>
      <c r="H4624" s="4"/>
      <c r="I4624" s="4"/>
      <c r="J4624" s="18"/>
      <c r="K4624" s="4"/>
      <c r="L4624" s="19"/>
      <c r="M4624" s="20"/>
    </row>
    <row r="4625">
      <c r="A4625" s="6"/>
      <c r="B4625" s="6"/>
      <c r="C4625" s="4"/>
      <c r="D4625" s="36">
        <v>0.0</v>
      </c>
      <c r="E4625" s="4"/>
      <c r="F4625" s="4"/>
      <c r="G4625" s="4"/>
      <c r="H4625" s="4"/>
      <c r="I4625" s="4"/>
      <c r="J4625" s="18"/>
      <c r="K4625" s="4"/>
      <c r="L4625" s="19"/>
      <c r="M4625" s="20"/>
    </row>
    <row r="4626">
      <c r="A4626" s="6"/>
      <c r="B4626" s="6"/>
      <c r="C4626" s="4"/>
      <c r="D4626" s="36">
        <v>0.0</v>
      </c>
      <c r="E4626" s="4"/>
      <c r="F4626" s="4"/>
      <c r="G4626" s="4"/>
      <c r="H4626" s="4"/>
      <c r="I4626" s="4"/>
      <c r="J4626" s="18"/>
      <c r="K4626" s="4"/>
      <c r="L4626" s="19"/>
      <c r="M4626" s="20"/>
    </row>
    <row r="4627">
      <c r="A4627" s="6"/>
      <c r="B4627" s="6"/>
      <c r="C4627" s="4"/>
      <c r="D4627" s="36">
        <v>0.0</v>
      </c>
      <c r="E4627" s="4"/>
      <c r="F4627" s="4"/>
      <c r="G4627" s="4"/>
      <c r="H4627" s="4"/>
      <c r="I4627" s="4"/>
      <c r="J4627" s="18"/>
      <c r="K4627" s="4"/>
      <c r="L4627" s="19"/>
      <c r="M4627" s="20"/>
    </row>
    <row r="4628">
      <c r="A4628" s="6"/>
      <c r="B4628" s="6"/>
      <c r="C4628" s="4"/>
      <c r="D4628" s="36">
        <v>0.0</v>
      </c>
      <c r="E4628" s="4"/>
      <c r="F4628" s="4"/>
      <c r="G4628" s="4"/>
      <c r="H4628" s="4"/>
      <c r="I4628" s="4"/>
      <c r="J4628" s="18"/>
      <c r="K4628" s="4"/>
      <c r="L4628" s="19"/>
      <c r="M4628" s="20"/>
    </row>
    <row r="4629">
      <c r="A4629" s="6"/>
      <c r="B4629" s="6"/>
      <c r="C4629" s="4"/>
      <c r="D4629" s="36">
        <v>0.0</v>
      </c>
      <c r="E4629" s="4"/>
      <c r="F4629" s="4"/>
      <c r="G4629" s="4"/>
      <c r="H4629" s="4"/>
      <c r="I4629" s="4"/>
      <c r="J4629" s="18"/>
      <c r="K4629" s="4"/>
      <c r="L4629" s="19"/>
      <c r="M4629" s="20"/>
    </row>
    <row r="4630">
      <c r="A4630" s="6"/>
      <c r="B4630" s="6"/>
      <c r="C4630" s="4"/>
      <c r="D4630" s="36">
        <v>0.0</v>
      </c>
      <c r="E4630" s="4"/>
      <c r="F4630" s="4"/>
      <c r="G4630" s="4"/>
      <c r="H4630" s="4"/>
      <c r="I4630" s="4"/>
      <c r="J4630" s="18"/>
      <c r="K4630" s="4"/>
      <c r="L4630" s="19"/>
      <c r="M4630" s="20"/>
    </row>
    <row r="4631">
      <c r="A4631" s="6"/>
      <c r="B4631" s="6"/>
      <c r="C4631" s="4"/>
      <c r="D4631" s="36">
        <v>0.0</v>
      </c>
      <c r="E4631" s="4"/>
      <c r="F4631" s="4"/>
      <c r="G4631" s="4"/>
      <c r="H4631" s="4"/>
      <c r="I4631" s="4"/>
      <c r="J4631" s="18"/>
      <c r="K4631" s="4"/>
      <c r="L4631" s="19"/>
      <c r="M4631" s="20"/>
    </row>
    <row r="4632">
      <c r="A4632" s="6"/>
      <c r="B4632" s="6"/>
      <c r="C4632" s="4"/>
      <c r="D4632" s="36">
        <v>0.0</v>
      </c>
      <c r="E4632" s="4"/>
      <c r="F4632" s="4"/>
      <c r="G4632" s="4"/>
      <c r="H4632" s="4"/>
      <c r="I4632" s="4"/>
      <c r="J4632" s="18"/>
      <c r="K4632" s="4"/>
      <c r="L4632" s="19"/>
      <c r="M4632" s="20"/>
    </row>
    <row r="4633">
      <c r="A4633" s="6"/>
      <c r="B4633" s="6"/>
      <c r="C4633" s="4"/>
      <c r="D4633" s="36">
        <v>0.0</v>
      </c>
      <c r="E4633" s="4"/>
      <c r="F4633" s="4"/>
      <c r="G4633" s="4"/>
      <c r="H4633" s="4"/>
      <c r="I4633" s="4"/>
      <c r="J4633" s="18"/>
      <c r="K4633" s="4"/>
      <c r="L4633" s="19"/>
      <c r="M4633" s="20"/>
    </row>
    <row r="4634">
      <c r="A4634" s="6"/>
      <c r="B4634" s="6"/>
      <c r="C4634" s="4"/>
      <c r="D4634" s="36">
        <v>0.0</v>
      </c>
      <c r="E4634" s="4"/>
      <c r="F4634" s="4"/>
      <c r="G4634" s="4"/>
      <c r="H4634" s="4"/>
      <c r="I4634" s="4"/>
      <c r="J4634" s="18"/>
      <c r="K4634" s="4"/>
      <c r="L4634" s="19"/>
      <c r="M4634" s="20"/>
    </row>
    <row r="4635">
      <c r="A4635" s="6"/>
      <c r="B4635" s="6"/>
      <c r="C4635" s="4"/>
      <c r="D4635" s="36">
        <v>0.0</v>
      </c>
      <c r="E4635" s="4"/>
      <c r="F4635" s="4"/>
      <c r="G4635" s="4"/>
      <c r="H4635" s="4"/>
      <c r="I4635" s="4"/>
      <c r="J4635" s="18"/>
      <c r="K4635" s="4"/>
      <c r="L4635" s="19"/>
      <c r="M4635" s="20"/>
    </row>
    <row r="4636">
      <c r="A4636" s="6"/>
      <c r="B4636" s="6"/>
      <c r="C4636" s="4"/>
      <c r="D4636" s="36">
        <v>0.0</v>
      </c>
      <c r="E4636" s="4"/>
      <c r="F4636" s="4"/>
      <c r="G4636" s="4"/>
      <c r="H4636" s="4"/>
      <c r="I4636" s="4"/>
      <c r="J4636" s="18"/>
      <c r="K4636" s="4"/>
      <c r="L4636" s="19"/>
      <c r="M4636" s="20"/>
    </row>
    <row r="4637">
      <c r="A4637" s="6"/>
      <c r="B4637" s="6"/>
      <c r="C4637" s="4"/>
      <c r="D4637" s="36">
        <v>0.0</v>
      </c>
      <c r="E4637" s="4"/>
      <c r="F4637" s="4"/>
      <c r="G4637" s="4"/>
      <c r="H4637" s="4"/>
      <c r="I4637" s="4"/>
      <c r="J4637" s="18"/>
      <c r="K4637" s="4"/>
      <c r="L4637" s="19"/>
      <c r="M4637" s="20"/>
    </row>
    <row r="4638">
      <c r="A4638" s="6"/>
      <c r="B4638" s="6"/>
      <c r="C4638" s="4"/>
      <c r="D4638" s="36">
        <v>0.0</v>
      </c>
      <c r="E4638" s="4"/>
      <c r="F4638" s="4"/>
      <c r="G4638" s="4"/>
      <c r="H4638" s="4"/>
      <c r="I4638" s="4"/>
      <c r="J4638" s="18"/>
      <c r="K4638" s="4"/>
      <c r="L4638" s="19"/>
      <c r="M4638" s="20"/>
    </row>
    <row r="4639">
      <c r="A4639" s="6"/>
      <c r="B4639" s="6"/>
      <c r="C4639" s="4"/>
      <c r="D4639" s="36">
        <v>0.0</v>
      </c>
      <c r="E4639" s="4"/>
      <c r="F4639" s="4"/>
      <c r="G4639" s="4"/>
      <c r="H4639" s="4"/>
      <c r="I4639" s="4"/>
      <c r="J4639" s="18"/>
      <c r="K4639" s="4"/>
      <c r="L4639" s="19"/>
      <c r="M4639" s="20"/>
    </row>
    <row r="4640">
      <c r="A4640" s="6"/>
      <c r="B4640" s="6"/>
      <c r="C4640" s="4"/>
      <c r="D4640" s="36">
        <v>0.0</v>
      </c>
      <c r="E4640" s="4"/>
      <c r="F4640" s="4"/>
      <c r="G4640" s="4"/>
      <c r="H4640" s="4"/>
      <c r="I4640" s="4"/>
      <c r="J4640" s="18"/>
      <c r="K4640" s="4"/>
      <c r="L4640" s="19"/>
      <c r="M4640" s="20"/>
    </row>
    <row r="4641">
      <c r="A4641" s="6"/>
      <c r="B4641" s="6"/>
      <c r="C4641" s="4"/>
      <c r="D4641" s="36">
        <v>0.0</v>
      </c>
      <c r="E4641" s="4"/>
      <c r="F4641" s="4"/>
      <c r="G4641" s="4"/>
      <c r="H4641" s="4"/>
      <c r="I4641" s="4"/>
      <c r="J4641" s="18"/>
      <c r="K4641" s="4"/>
      <c r="L4641" s="19"/>
      <c r="M4641" s="20"/>
    </row>
    <row r="4642">
      <c r="A4642" s="6"/>
      <c r="B4642" s="6"/>
      <c r="C4642" s="4"/>
      <c r="D4642" s="36">
        <v>0.0</v>
      </c>
      <c r="E4642" s="4"/>
      <c r="F4642" s="4"/>
      <c r="G4642" s="4"/>
      <c r="H4642" s="4"/>
      <c r="I4642" s="4"/>
      <c r="J4642" s="18"/>
      <c r="K4642" s="4"/>
      <c r="L4642" s="19"/>
      <c r="M4642" s="20"/>
    </row>
    <row r="4643">
      <c r="A4643" s="6"/>
      <c r="B4643" s="6"/>
      <c r="C4643" s="4"/>
      <c r="D4643" s="36">
        <v>0.0</v>
      </c>
      <c r="E4643" s="4"/>
      <c r="F4643" s="4"/>
      <c r="G4643" s="4"/>
      <c r="H4643" s="4"/>
      <c r="I4643" s="4"/>
      <c r="J4643" s="18"/>
      <c r="K4643" s="4"/>
      <c r="L4643" s="19"/>
      <c r="M4643" s="20"/>
    </row>
    <row r="4644">
      <c r="A4644" s="6"/>
      <c r="B4644" s="6"/>
      <c r="C4644" s="4"/>
      <c r="D4644" s="36">
        <v>0.0</v>
      </c>
      <c r="E4644" s="4"/>
      <c r="F4644" s="4"/>
      <c r="G4644" s="4"/>
      <c r="H4644" s="4"/>
      <c r="I4644" s="4"/>
      <c r="J4644" s="18"/>
      <c r="K4644" s="4"/>
      <c r="L4644" s="19"/>
      <c r="M4644" s="20"/>
    </row>
    <row r="4645">
      <c r="A4645" s="6"/>
      <c r="B4645" s="6"/>
      <c r="C4645" s="4"/>
      <c r="D4645" s="36">
        <v>0.0</v>
      </c>
      <c r="E4645" s="4"/>
      <c r="F4645" s="4"/>
      <c r="G4645" s="4"/>
      <c r="H4645" s="4"/>
      <c r="I4645" s="4"/>
      <c r="J4645" s="18"/>
      <c r="K4645" s="4"/>
      <c r="L4645" s="19"/>
      <c r="M4645" s="20"/>
    </row>
    <row r="4646">
      <c r="A4646" s="6"/>
      <c r="B4646" s="6"/>
      <c r="C4646" s="4"/>
      <c r="D4646" s="36">
        <v>0.0</v>
      </c>
      <c r="E4646" s="4"/>
      <c r="F4646" s="4"/>
      <c r="G4646" s="4"/>
      <c r="H4646" s="4"/>
      <c r="I4646" s="4"/>
      <c r="J4646" s="18"/>
      <c r="K4646" s="4"/>
      <c r="L4646" s="19"/>
      <c r="M4646" s="20"/>
    </row>
    <row r="4647">
      <c r="A4647" s="6"/>
      <c r="B4647" s="6"/>
      <c r="C4647" s="4"/>
      <c r="D4647" s="36">
        <v>0.0</v>
      </c>
      <c r="E4647" s="4"/>
      <c r="F4647" s="4"/>
      <c r="G4647" s="4"/>
      <c r="H4647" s="4"/>
      <c r="I4647" s="4"/>
      <c r="J4647" s="18"/>
      <c r="K4647" s="4"/>
      <c r="L4647" s="19"/>
      <c r="M4647" s="20"/>
    </row>
    <row r="4648">
      <c r="A4648" s="6"/>
      <c r="B4648" s="6"/>
      <c r="C4648" s="4"/>
      <c r="D4648" s="36">
        <v>0.0</v>
      </c>
      <c r="E4648" s="4"/>
      <c r="F4648" s="4"/>
      <c r="G4648" s="4"/>
      <c r="H4648" s="4"/>
      <c r="I4648" s="4"/>
      <c r="J4648" s="18"/>
      <c r="K4648" s="4"/>
      <c r="L4648" s="19"/>
      <c r="M4648" s="20"/>
    </row>
    <row r="4649">
      <c r="A4649" s="6"/>
      <c r="B4649" s="6"/>
      <c r="C4649" s="4"/>
      <c r="D4649" s="36">
        <v>0.0</v>
      </c>
      <c r="E4649" s="4"/>
      <c r="F4649" s="4"/>
      <c r="G4649" s="4"/>
      <c r="H4649" s="4"/>
      <c r="I4649" s="4"/>
      <c r="J4649" s="18"/>
      <c r="K4649" s="4"/>
      <c r="L4649" s="19"/>
      <c r="M4649" s="20"/>
    </row>
    <row r="4650">
      <c r="A4650" s="6"/>
      <c r="B4650" s="6"/>
      <c r="C4650" s="4"/>
      <c r="D4650" s="36">
        <v>0.0</v>
      </c>
      <c r="E4650" s="4"/>
      <c r="F4650" s="4"/>
      <c r="G4650" s="4"/>
      <c r="H4650" s="4"/>
      <c r="I4650" s="4"/>
      <c r="J4650" s="18"/>
      <c r="K4650" s="4"/>
      <c r="L4650" s="19"/>
      <c r="M4650" s="20"/>
    </row>
    <row r="4651">
      <c r="A4651" s="6"/>
      <c r="B4651" s="6"/>
      <c r="C4651" s="4"/>
      <c r="D4651" s="36">
        <v>0.0</v>
      </c>
      <c r="E4651" s="4"/>
      <c r="F4651" s="4"/>
      <c r="G4651" s="4"/>
      <c r="H4651" s="4"/>
      <c r="I4651" s="4"/>
      <c r="J4651" s="18"/>
      <c r="K4651" s="4"/>
      <c r="L4651" s="19"/>
      <c r="M4651" s="20"/>
    </row>
    <row r="4652">
      <c r="A4652" s="6"/>
      <c r="B4652" s="6"/>
      <c r="C4652" s="4"/>
      <c r="D4652" s="36">
        <v>0.0</v>
      </c>
      <c r="E4652" s="4"/>
      <c r="F4652" s="4"/>
      <c r="G4652" s="4"/>
      <c r="H4652" s="4"/>
      <c r="I4652" s="4"/>
      <c r="J4652" s="18"/>
      <c r="K4652" s="4"/>
      <c r="L4652" s="19"/>
      <c r="M4652" s="20"/>
    </row>
    <row r="4653">
      <c r="A4653" s="6"/>
      <c r="B4653" s="6"/>
      <c r="C4653" s="4"/>
      <c r="D4653" s="36">
        <v>0.0</v>
      </c>
      <c r="E4653" s="4"/>
      <c r="F4653" s="4"/>
      <c r="G4653" s="4"/>
      <c r="H4653" s="4"/>
      <c r="I4653" s="4"/>
      <c r="J4653" s="18"/>
      <c r="K4653" s="4"/>
      <c r="L4653" s="19"/>
      <c r="M4653" s="20"/>
    </row>
    <row r="4654">
      <c r="A4654" s="6"/>
      <c r="B4654" s="6"/>
      <c r="C4654" s="4"/>
      <c r="D4654" s="36">
        <v>0.0</v>
      </c>
      <c r="E4654" s="4"/>
      <c r="F4654" s="4"/>
      <c r="G4654" s="4"/>
      <c r="H4654" s="4"/>
      <c r="I4654" s="4"/>
      <c r="J4654" s="18"/>
      <c r="K4654" s="4"/>
      <c r="L4654" s="19"/>
      <c r="M4654" s="20"/>
    </row>
    <row r="4655">
      <c r="A4655" s="6"/>
      <c r="B4655" s="6"/>
      <c r="C4655" s="4"/>
      <c r="D4655" s="36">
        <v>0.0</v>
      </c>
      <c r="E4655" s="4"/>
      <c r="F4655" s="4"/>
      <c r="G4655" s="4"/>
      <c r="H4655" s="4"/>
      <c r="I4655" s="4"/>
      <c r="J4655" s="18"/>
      <c r="K4655" s="4"/>
      <c r="L4655" s="19"/>
      <c r="M4655" s="20"/>
    </row>
    <row r="4656">
      <c r="A4656" s="6"/>
      <c r="B4656" s="6"/>
      <c r="C4656" s="4"/>
      <c r="D4656" s="36">
        <v>0.0</v>
      </c>
      <c r="E4656" s="4"/>
      <c r="F4656" s="4"/>
      <c r="G4656" s="4"/>
      <c r="H4656" s="4"/>
      <c r="I4656" s="4"/>
      <c r="J4656" s="18"/>
      <c r="K4656" s="4"/>
      <c r="L4656" s="19"/>
      <c r="M4656" s="20"/>
    </row>
    <row r="4657">
      <c r="A4657" s="6"/>
      <c r="B4657" s="6"/>
      <c r="C4657" s="4"/>
      <c r="D4657" s="36">
        <v>0.0</v>
      </c>
      <c r="E4657" s="4"/>
      <c r="F4657" s="4"/>
      <c r="G4657" s="4"/>
      <c r="H4657" s="4"/>
      <c r="I4657" s="4"/>
      <c r="J4657" s="18"/>
      <c r="K4657" s="4"/>
      <c r="L4657" s="19"/>
      <c r="M4657" s="20"/>
    </row>
    <row r="4658">
      <c r="A4658" s="6"/>
      <c r="B4658" s="6"/>
      <c r="C4658" s="4"/>
      <c r="D4658" s="36">
        <v>0.0</v>
      </c>
      <c r="E4658" s="4"/>
      <c r="F4658" s="4"/>
      <c r="G4658" s="4"/>
      <c r="H4658" s="4"/>
      <c r="I4658" s="4"/>
      <c r="J4658" s="18"/>
      <c r="K4658" s="4"/>
      <c r="L4658" s="19"/>
      <c r="M4658" s="20"/>
    </row>
    <row r="4659">
      <c r="A4659" s="6"/>
      <c r="B4659" s="6"/>
      <c r="C4659" s="4"/>
      <c r="D4659" s="36">
        <v>0.0</v>
      </c>
      <c r="E4659" s="4"/>
      <c r="F4659" s="4"/>
      <c r="G4659" s="4"/>
      <c r="H4659" s="4"/>
      <c r="I4659" s="4"/>
      <c r="J4659" s="18"/>
      <c r="K4659" s="4"/>
      <c r="L4659" s="19"/>
      <c r="M4659" s="20"/>
    </row>
    <row r="4660">
      <c r="A4660" s="6"/>
      <c r="B4660" s="6"/>
      <c r="C4660" s="4"/>
      <c r="D4660" s="36">
        <v>0.0</v>
      </c>
      <c r="E4660" s="4"/>
      <c r="F4660" s="4"/>
      <c r="G4660" s="4"/>
      <c r="H4660" s="4"/>
      <c r="I4660" s="4"/>
      <c r="J4660" s="18"/>
      <c r="K4660" s="4"/>
      <c r="L4660" s="19"/>
      <c r="M4660" s="20"/>
    </row>
    <row r="4661">
      <c r="A4661" s="6"/>
      <c r="B4661" s="6"/>
      <c r="C4661" s="4"/>
      <c r="D4661" s="36">
        <v>0.0</v>
      </c>
      <c r="E4661" s="4"/>
      <c r="F4661" s="4"/>
      <c r="G4661" s="4"/>
      <c r="H4661" s="4"/>
      <c r="I4661" s="4"/>
      <c r="J4661" s="18"/>
      <c r="K4661" s="4"/>
      <c r="L4661" s="19"/>
      <c r="M4661" s="20"/>
    </row>
    <row r="4662">
      <c r="A4662" s="6"/>
      <c r="B4662" s="6"/>
      <c r="C4662" s="4"/>
      <c r="D4662" s="36">
        <v>0.0</v>
      </c>
      <c r="E4662" s="4"/>
      <c r="F4662" s="4"/>
      <c r="G4662" s="4"/>
      <c r="H4662" s="4"/>
      <c r="I4662" s="4"/>
      <c r="J4662" s="18"/>
      <c r="K4662" s="4"/>
      <c r="L4662" s="19"/>
      <c r="M4662" s="20"/>
    </row>
    <row r="4663">
      <c r="A4663" s="6"/>
      <c r="B4663" s="6"/>
      <c r="C4663" s="4"/>
      <c r="D4663" s="36">
        <v>0.0</v>
      </c>
      <c r="E4663" s="4"/>
      <c r="F4663" s="4"/>
      <c r="G4663" s="4"/>
      <c r="H4663" s="4"/>
      <c r="I4663" s="4"/>
      <c r="J4663" s="18"/>
      <c r="K4663" s="4"/>
      <c r="L4663" s="19"/>
      <c r="M4663" s="20"/>
    </row>
    <row r="4664">
      <c r="A4664" s="6"/>
      <c r="B4664" s="6"/>
      <c r="C4664" s="4"/>
      <c r="D4664" s="36">
        <v>0.0</v>
      </c>
      <c r="E4664" s="4"/>
      <c r="F4664" s="4"/>
      <c r="G4664" s="4"/>
      <c r="H4664" s="4"/>
      <c r="I4664" s="4"/>
      <c r="J4664" s="18"/>
      <c r="K4664" s="4"/>
      <c r="L4664" s="19"/>
      <c r="M4664" s="20"/>
    </row>
    <row r="4665">
      <c r="A4665" s="6"/>
      <c r="B4665" s="6"/>
      <c r="C4665" s="4"/>
      <c r="D4665" s="36">
        <v>0.0</v>
      </c>
      <c r="E4665" s="4"/>
      <c r="F4665" s="4"/>
      <c r="G4665" s="4"/>
      <c r="H4665" s="4"/>
      <c r="I4665" s="4"/>
      <c r="J4665" s="18"/>
      <c r="K4665" s="4"/>
      <c r="L4665" s="19"/>
      <c r="M4665" s="20"/>
    </row>
    <row r="4666">
      <c r="A4666" s="6"/>
      <c r="B4666" s="6"/>
      <c r="C4666" s="4"/>
      <c r="D4666" s="36">
        <v>0.0</v>
      </c>
      <c r="E4666" s="4"/>
      <c r="F4666" s="4"/>
      <c r="G4666" s="4"/>
      <c r="H4666" s="4"/>
      <c r="I4666" s="4"/>
      <c r="J4666" s="18"/>
      <c r="K4666" s="4"/>
      <c r="L4666" s="19"/>
      <c r="M4666" s="20"/>
    </row>
    <row r="4667">
      <c r="A4667" s="6"/>
      <c r="B4667" s="6"/>
      <c r="C4667" s="4"/>
      <c r="D4667" s="36">
        <v>0.0</v>
      </c>
      <c r="E4667" s="4"/>
      <c r="F4667" s="4"/>
      <c r="G4667" s="4"/>
      <c r="H4667" s="4"/>
      <c r="I4667" s="4"/>
      <c r="J4667" s="18"/>
      <c r="K4667" s="4"/>
      <c r="L4667" s="19"/>
      <c r="M4667" s="20"/>
    </row>
    <row r="4668">
      <c r="A4668" s="6"/>
      <c r="B4668" s="6"/>
      <c r="C4668" s="4"/>
      <c r="D4668" s="36">
        <v>0.0</v>
      </c>
      <c r="E4668" s="4"/>
      <c r="F4668" s="4"/>
      <c r="G4668" s="4"/>
      <c r="H4668" s="4"/>
      <c r="I4668" s="4"/>
      <c r="J4668" s="18"/>
      <c r="K4668" s="4"/>
      <c r="L4668" s="19"/>
      <c r="M4668" s="20"/>
    </row>
    <row r="4669">
      <c r="A4669" s="6"/>
      <c r="B4669" s="6"/>
      <c r="C4669" s="4"/>
      <c r="D4669" s="36">
        <v>0.0</v>
      </c>
      <c r="E4669" s="4"/>
      <c r="F4669" s="4"/>
      <c r="G4669" s="4"/>
      <c r="H4669" s="4"/>
      <c r="I4669" s="4"/>
      <c r="J4669" s="18"/>
      <c r="K4669" s="4"/>
      <c r="L4669" s="19"/>
      <c r="M4669" s="20"/>
    </row>
    <row r="4670">
      <c r="A4670" s="6"/>
      <c r="B4670" s="6"/>
      <c r="C4670" s="4"/>
      <c r="D4670" s="36">
        <v>0.0</v>
      </c>
      <c r="E4670" s="4"/>
      <c r="F4670" s="4"/>
      <c r="G4670" s="4"/>
      <c r="H4670" s="4"/>
      <c r="I4670" s="4"/>
      <c r="J4670" s="18"/>
      <c r="K4670" s="4"/>
      <c r="L4670" s="19"/>
      <c r="M4670" s="20"/>
    </row>
    <row r="4671">
      <c r="A4671" s="6"/>
      <c r="B4671" s="6"/>
      <c r="C4671" s="4"/>
      <c r="D4671" s="36">
        <v>0.0</v>
      </c>
      <c r="E4671" s="4"/>
      <c r="F4671" s="4"/>
      <c r="G4671" s="4"/>
      <c r="H4671" s="4"/>
      <c r="I4671" s="4"/>
      <c r="J4671" s="18"/>
      <c r="K4671" s="4"/>
      <c r="L4671" s="19"/>
      <c r="M4671" s="20"/>
    </row>
    <row r="4672">
      <c r="A4672" s="6"/>
      <c r="B4672" s="6"/>
      <c r="C4672" s="4"/>
      <c r="D4672" s="36">
        <v>0.0</v>
      </c>
      <c r="E4672" s="4"/>
      <c r="F4672" s="4"/>
      <c r="G4672" s="4"/>
      <c r="H4672" s="4"/>
      <c r="I4672" s="4"/>
      <c r="J4672" s="18"/>
      <c r="K4672" s="4"/>
      <c r="L4672" s="19"/>
      <c r="M4672" s="20"/>
    </row>
    <row r="4673">
      <c r="A4673" s="6"/>
      <c r="B4673" s="6"/>
      <c r="C4673" s="4"/>
      <c r="D4673" s="36">
        <v>0.0</v>
      </c>
      <c r="E4673" s="4"/>
      <c r="F4673" s="4"/>
      <c r="G4673" s="4"/>
      <c r="H4673" s="4"/>
      <c r="I4673" s="4"/>
      <c r="J4673" s="18"/>
      <c r="K4673" s="4"/>
      <c r="L4673" s="19"/>
      <c r="M4673" s="20"/>
    </row>
    <row r="4674">
      <c r="A4674" s="6"/>
      <c r="B4674" s="6"/>
      <c r="C4674" s="4"/>
      <c r="D4674" s="36">
        <v>0.0</v>
      </c>
      <c r="E4674" s="4"/>
      <c r="F4674" s="4"/>
      <c r="G4674" s="4"/>
      <c r="H4674" s="4"/>
      <c r="I4674" s="4"/>
      <c r="J4674" s="18"/>
      <c r="K4674" s="4"/>
      <c r="L4674" s="19"/>
      <c r="M4674" s="20"/>
    </row>
    <row r="4675">
      <c r="A4675" s="6"/>
      <c r="B4675" s="6"/>
      <c r="C4675" s="4"/>
      <c r="D4675" s="36">
        <v>0.0</v>
      </c>
      <c r="E4675" s="4"/>
      <c r="F4675" s="4"/>
      <c r="G4675" s="4"/>
      <c r="H4675" s="4"/>
      <c r="I4675" s="4"/>
      <c r="J4675" s="18"/>
      <c r="K4675" s="4"/>
      <c r="L4675" s="19"/>
      <c r="M4675" s="20"/>
    </row>
    <row r="4676">
      <c r="A4676" s="6"/>
      <c r="B4676" s="6"/>
      <c r="C4676" s="4"/>
      <c r="D4676" s="36">
        <v>0.0</v>
      </c>
      <c r="E4676" s="4"/>
      <c r="F4676" s="4"/>
      <c r="G4676" s="4"/>
      <c r="H4676" s="4"/>
      <c r="I4676" s="4"/>
      <c r="J4676" s="18"/>
      <c r="K4676" s="4"/>
      <c r="L4676" s="19"/>
      <c r="M4676" s="20"/>
    </row>
    <row r="4677">
      <c r="A4677" s="6"/>
      <c r="B4677" s="6"/>
      <c r="C4677" s="4"/>
      <c r="D4677" s="36">
        <v>0.0</v>
      </c>
      <c r="E4677" s="4"/>
      <c r="F4677" s="4"/>
      <c r="G4677" s="4"/>
      <c r="H4677" s="4"/>
      <c r="I4677" s="4"/>
      <c r="J4677" s="18"/>
      <c r="K4677" s="4"/>
      <c r="L4677" s="19"/>
      <c r="M4677" s="20"/>
    </row>
    <row r="4678">
      <c r="A4678" s="6"/>
      <c r="B4678" s="6"/>
      <c r="C4678" s="4"/>
      <c r="D4678" s="36">
        <v>0.0</v>
      </c>
      <c r="E4678" s="4"/>
      <c r="F4678" s="4"/>
      <c r="G4678" s="4"/>
      <c r="H4678" s="4"/>
      <c r="I4678" s="4"/>
      <c r="J4678" s="18"/>
      <c r="K4678" s="4"/>
      <c r="L4678" s="19"/>
      <c r="M4678" s="20"/>
    </row>
    <row r="4679">
      <c r="A4679" s="6"/>
      <c r="B4679" s="6"/>
      <c r="C4679" s="4"/>
      <c r="D4679" s="36">
        <v>0.0</v>
      </c>
      <c r="E4679" s="4"/>
      <c r="F4679" s="4"/>
      <c r="G4679" s="4"/>
      <c r="H4679" s="4"/>
      <c r="I4679" s="4"/>
      <c r="J4679" s="18"/>
      <c r="K4679" s="4"/>
      <c r="L4679" s="19"/>
      <c r="M4679" s="20"/>
    </row>
    <row r="4680">
      <c r="A4680" s="6"/>
      <c r="B4680" s="6"/>
      <c r="C4680" s="4"/>
      <c r="D4680" s="36">
        <v>0.0</v>
      </c>
      <c r="E4680" s="4"/>
      <c r="F4680" s="4"/>
      <c r="G4680" s="4"/>
      <c r="H4680" s="4"/>
      <c r="I4680" s="4"/>
      <c r="J4680" s="18"/>
      <c r="K4680" s="4"/>
      <c r="L4680" s="19"/>
      <c r="M4680" s="20"/>
    </row>
    <row r="4681">
      <c r="A4681" s="6"/>
      <c r="B4681" s="6"/>
      <c r="C4681" s="4"/>
      <c r="D4681" s="36">
        <v>0.0</v>
      </c>
      <c r="E4681" s="4"/>
      <c r="F4681" s="4"/>
      <c r="G4681" s="4"/>
      <c r="H4681" s="4"/>
      <c r="I4681" s="4"/>
      <c r="J4681" s="18"/>
      <c r="K4681" s="4"/>
      <c r="L4681" s="19"/>
      <c r="M4681" s="20"/>
    </row>
    <row r="4682">
      <c r="A4682" s="6"/>
      <c r="B4682" s="6"/>
      <c r="C4682" s="4"/>
      <c r="D4682" s="36">
        <v>0.0</v>
      </c>
      <c r="E4682" s="4"/>
      <c r="F4682" s="4"/>
      <c r="G4682" s="4"/>
      <c r="H4682" s="4"/>
      <c r="I4682" s="4"/>
      <c r="J4682" s="18"/>
      <c r="K4682" s="4"/>
      <c r="L4682" s="19"/>
      <c r="M4682" s="20"/>
    </row>
    <row r="4683">
      <c r="A4683" s="6"/>
      <c r="B4683" s="6"/>
      <c r="C4683" s="4"/>
      <c r="D4683" s="36">
        <v>0.0</v>
      </c>
      <c r="E4683" s="4"/>
      <c r="F4683" s="4"/>
      <c r="G4683" s="4"/>
      <c r="H4683" s="4"/>
      <c r="I4683" s="4"/>
      <c r="J4683" s="18"/>
      <c r="K4683" s="4"/>
      <c r="L4683" s="19"/>
      <c r="M4683" s="20"/>
    </row>
    <row r="4684">
      <c r="A4684" s="6"/>
      <c r="B4684" s="6"/>
      <c r="C4684" s="4"/>
      <c r="D4684" s="36">
        <v>0.0</v>
      </c>
      <c r="E4684" s="4"/>
      <c r="F4684" s="4"/>
      <c r="G4684" s="4"/>
      <c r="H4684" s="4"/>
      <c r="I4684" s="4"/>
      <c r="J4684" s="18"/>
      <c r="K4684" s="4"/>
      <c r="L4684" s="19"/>
      <c r="M4684" s="20"/>
    </row>
    <row r="4685">
      <c r="A4685" s="6"/>
      <c r="B4685" s="6"/>
      <c r="C4685" s="4"/>
      <c r="D4685" s="36">
        <v>0.0</v>
      </c>
      <c r="E4685" s="4"/>
      <c r="F4685" s="4"/>
      <c r="G4685" s="4"/>
      <c r="H4685" s="4"/>
      <c r="I4685" s="4"/>
      <c r="J4685" s="18"/>
      <c r="K4685" s="4"/>
      <c r="L4685" s="19"/>
      <c r="M4685" s="20"/>
    </row>
    <row r="4686">
      <c r="A4686" s="6"/>
      <c r="B4686" s="6"/>
      <c r="C4686" s="4"/>
      <c r="D4686" s="36">
        <v>0.0</v>
      </c>
      <c r="E4686" s="4"/>
      <c r="F4686" s="4"/>
      <c r="G4686" s="4"/>
      <c r="H4686" s="4"/>
      <c r="I4686" s="4"/>
      <c r="J4686" s="18"/>
      <c r="K4686" s="4"/>
      <c r="L4686" s="19"/>
      <c r="M4686" s="20"/>
    </row>
    <row r="4687">
      <c r="A4687" s="6"/>
      <c r="B4687" s="6"/>
      <c r="C4687" s="4"/>
      <c r="D4687" s="36">
        <v>0.0</v>
      </c>
      <c r="E4687" s="4"/>
      <c r="F4687" s="4"/>
      <c r="G4687" s="4"/>
      <c r="H4687" s="4"/>
      <c r="I4687" s="4"/>
      <c r="J4687" s="18"/>
      <c r="K4687" s="4"/>
      <c r="L4687" s="19"/>
      <c r="M4687" s="20"/>
    </row>
    <row r="4688">
      <c r="A4688" s="6"/>
      <c r="B4688" s="6"/>
      <c r="C4688" s="4"/>
      <c r="D4688" s="36">
        <v>0.0</v>
      </c>
      <c r="E4688" s="4"/>
      <c r="F4688" s="4"/>
      <c r="G4688" s="4"/>
      <c r="H4688" s="4"/>
      <c r="I4688" s="4"/>
      <c r="J4688" s="18"/>
      <c r="K4688" s="4"/>
      <c r="L4688" s="19"/>
      <c r="M4688" s="20"/>
    </row>
    <row r="4689">
      <c r="A4689" s="6"/>
      <c r="B4689" s="6"/>
      <c r="C4689" s="4"/>
      <c r="D4689" s="36">
        <v>0.0</v>
      </c>
      <c r="E4689" s="4"/>
      <c r="F4689" s="4"/>
      <c r="G4689" s="4"/>
      <c r="H4689" s="4"/>
      <c r="I4689" s="4"/>
      <c r="J4689" s="18"/>
      <c r="K4689" s="4"/>
      <c r="L4689" s="19"/>
      <c r="M4689" s="20"/>
    </row>
    <row r="4690">
      <c r="A4690" s="6"/>
      <c r="B4690" s="6"/>
      <c r="C4690" s="4"/>
      <c r="D4690" s="36">
        <v>0.0</v>
      </c>
      <c r="E4690" s="4"/>
      <c r="F4690" s="4"/>
      <c r="G4690" s="4"/>
      <c r="H4690" s="4"/>
      <c r="I4690" s="4"/>
      <c r="J4690" s="18"/>
      <c r="K4690" s="4"/>
      <c r="L4690" s="19"/>
      <c r="M4690" s="20"/>
    </row>
    <row r="4691">
      <c r="A4691" s="6"/>
      <c r="B4691" s="6"/>
      <c r="C4691" s="4"/>
      <c r="D4691" s="36">
        <v>0.0</v>
      </c>
      <c r="E4691" s="4"/>
      <c r="F4691" s="4"/>
      <c r="G4691" s="4"/>
      <c r="H4691" s="4"/>
      <c r="I4691" s="4"/>
      <c r="J4691" s="18"/>
      <c r="K4691" s="4"/>
      <c r="L4691" s="19"/>
      <c r="M4691" s="20"/>
    </row>
    <row r="4692">
      <c r="A4692" s="6"/>
      <c r="B4692" s="6"/>
      <c r="C4692" s="4"/>
      <c r="D4692" s="36">
        <v>0.0</v>
      </c>
      <c r="E4692" s="4"/>
      <c r="F4692" s="4"/>
      <c r="G4692" s="4"/>
      <c r="H4692" s="4"/>
      <c r="I4692" s="4"/>
      <c r="J4692" s="18"/>
      <c r="K4692" s="4"/>
      <c r="L4692" s="19"/>
      <c r="M4692" s="20"/>
    </row>
    <row r="4693">
      <c r="A4693" s="6"/>
      <c r="B4693" s="6"/>
      <c r="C4693" s="4"/>
      <c r="D4693" s="36">
        <v>0.0</v>
      </c>
      <c r="E4693" s="4"/>
      <c r="F4693" s="4"/>
      <c r="G4693" s="4"/>
      <c r="H4693" s="4"/>
      <c r="I4693" s="4"/>
      <c r="J4693" s="18"/>
      <c r="K4693" s="4"/>
      <c r="L4693" s="19"/>
      <c r="M4693" s="20"/>
    </row>
    <row r="4694">
      <c r="A4694" s="6"/>
      <c r="B4694" s="6"/>
      <c r="C4694" s="4"/>
      <c r="D4694" s="36">
        <v>0.0</v>
      </c>
      <c r="E4694" s="4"/>
      <c r="F4694" s="4"/>
      <c r="G4694" s="4"/>
      <c r="H4694" s="4"/>
      <c r="I4694" s="4"/>
      <c r="J4694" s="18"/>
      <c r="K4694" s="4"/>
      <c r="L4694" s="19"/>
      <c r="M4694" s="20"/>
    </row>
    <row r="4695">
      <c r="A4695" s="6"/>
      <c r="B4695" s="6"/>
      <c r="C4695" s="4"/>
      <c r="D4695" s="36">
        <v>0.0</v>
      </c>
      <c r="E4695" s="4"/>
      <c r="F4695" s="4"/>
      <c r="G4695" s="4"/>
      <c r="H4695" s="4"/>
      <c r="I4695" s="4"/>
      <c r="J4695" s="18"/>
      <c r="K4695" s="4"/>
      <c r="L4695" s="19"/>
      <c r="M4695" s="20"/>
    </row>
    <row r="4696">
      <c r="A4696" s="6"/>
      <c r="B4696" s="6"/>
      <c r="C4696" s="4"/>
      <c r="D4696" s="36">
        <v>0.0</v>
      </c>
      <c r="E4696" s="4"/>
      <c r="F4696" s="4"/>
      <c r="G4696" s="4"/>
      <c r="H4696" s="4"/>
      <c r="I4696" s="4"/>
      <c r="J4696" s="18"/>
      <c r="K4696" s="4"/>
      <c r="L4696" s="19"/>
      <c r="M4696" s="20"/>
    </row>
    <row r="4697">
      <c r="A4697" s="6"/>
      <c r="B4697" s="6"/>
      <c r="C4697" s="4"/>
      <c r="D4697" s="36">
        <v>0.0</v>
      </c>
      <c r="E4697" s="4"/>
      <c r="F4697" s="4"/>
      <c r="G4697" s="4"/>
      <c r="H4697" s="4"/>
      <c r="I4697" s="4"/>
      <c r="J4697" s="18"/>
      <c r="K4697" s="4"/>
      <c r="L4697" s="19"/>
      <c r="M4697" s="20"/>
    </row>
    <row r="4698">
      <c r="A4698" s="6"/>
      <c r="B4698" s="6"/>
      <c r="C4698" s="4"/>
      <c r="D4698" s="36">
        <v>0.0</v>
      </c>
      <c r="E4698" s="4"/>
      <c r="F4698" s="4"/>
      <c r="G4698" s="4"/>
      <c r="H4698" s="4"/>
      <c r="I4698" s="4"/>
      <c r="J4698" s="18"/>
      <c r="K4698" s="4"/>
      <c r="L4698" s="19"/>
      <c r="M4698" s="20"/>
    </row>
    <row r="4699">
      <c r="A4699" s="6"/>
      <c r="B4699" s="6"/>
      <c r="C4699" s="4"/>
      <c r="D4699" s="36">
        <v>0.0</v>
      </c>
      <c r="E4699" s="4"/>
      <c r="F4699" s="4"/>
      <c r="G4699" s="4"/>
      <c r="H4699" s="4"/>
      <c r="I4699" s="4"/>
      <c r="J4699" s="18"/>
      <c r="K4699" s="4"/>
      <c r="L4699" s="19"/>
      <c r="M4699" s="20"/>
    </row>
    <row r="4700">
      <c r="A4700" s="6"/>
      <c r="B4700" s="6"/>
      <c r="C4700" s="4"/>
      <c r="D4700" s="36">
        <v>0.0</v>
      </c>
      <c r="E4700" s="4"/>
      <c r="F4700" s="4"/>
      <c r="G4700" s="4"/>
      <c r="H4700" s="4"/>
      <c r="I4700" s="4"/>
      <c r="J4700" s="18"/>
      <c r="K4700" s="4"/>
      <c r="L4700" s="19"/>
      <c r="M4700" s="20"/>
    </row>
    <row r="4701">
      <c r="A4701" s="6"/>
      <c r="B4701" s="6"/>
      <c r="C4701" s="4"/>
      <c r="D4701" s="36">
        <v>0.0</v>
      </c>
      <c r="E4701" s="4"/>
      <c r="F4701" s="4"/>
      <c r="G4701" s="4"/>
      <c r="H4701" s="4"/>
      <c r="I4701" s="4"/>
      <c r="J4701" s="18"/>
      <c r="K4701" s="4"/>
      <c r="L4701" s="19"/>
      <c r="M4701" s="20"/>
    </row>
    <row r="4702">
      <c r="A4702" s="6"/>
      <c r="B4702" s="6"/>
      <c r="C4702" s="4"/>
      <c r="D4702" s="36">
        <v>0.0</v>
      </c>
      <c r="E4702" s="4"/>
      <c r="F4702" s="4"/>
      <c r="G4702" s="4"/>
      <c r="H4702" s="4"/>
      <c r="I4702" s="4"/>
      <c r="J4702" s="18"/>
      <c r="K4702" s="4"/>
      <c r="L4702" s="19"/>
      <c r="M4702" s="20"/>
    </row>
    <row r="4703">
      <c r="A4703" s="6"/>
      <c r="B4703" s="6"/>
      <c r="C4703" s="4"/>
      <c r="D4703" s="36">
        <v>0.0</v>
      </c>
      <c r="E4703" s="4"/>
      <c r="F4703" s="4"/>
      <c r="G4703" s="4"/>
      <c r="H4703" s="4"/>
      <c r="I4703" s="4"/>
      <c r="J4703" s="18"/>
      <c r="K4703" s="4"/>
      <c r="L4703" s="19"/>
      <c r="M4703" s="20"/>
    </row>
    <row r="4704">
      <c r="A4704" s="6"/>
      <c r="B4704" s="6"/>
      <c r="C4704" s="4"/>
      <c r="D4704" s="36">
        <v>0.0</v>
      </c>
      <c r="E4704" s="4"/>
      <c r="F4704" s="4"/>
      <c r="G4704" s="4"/>
      <c r="H4704" s="4"/>
      <c r="I4704" s="4"/>
      <c r="J4704" s="18"/>
      <c r="K4704" s="4"/>
      <c r="L4704" s="19"/>
      <c r="M4704" s="20"/>
    </row>
    <row r="4705">
      <c r="A4705" s="6"/>
      <c r="B4705" s="6"/>
      <c r="C4705" s="4"/>
      <c r="D4705" s="36">
        <v>0.0</v>
      </c>
      <c r="E4705" s="4"/>
      <c r="F4705" s="4"/>
      <c r="G4705" s="4"/>
      <c r="H4705" s="4"/>
      <c r="I4705" s="4"/>
      <c r="J4705" s="18"/>
      <c r="K4705" s="4"/>
      <c r="L4705" s="19"/>
      <c r="M4705" s="20"/>
    </row>
    <row r="4706">
      <c r="A4706" s="6"/>
      <c r="B4706" s="6"/>
      <c r="C4706" s="4"/>
      <c r="D4706" s="36">
        <v>0.0</v>
      </c>
      <c r="E4706" s="4"/>
      <c r="F4706" s="4"/>
      <c r="G4706" s="4"/>
      <c r="H4706" s="4"/>
      <c r="I4706" s="4"/>
      <c r="J4706" s="18"/>
      <c r="K4706" s="4"/>
      <c r="L4706" s="19"/>
      <c r="M4706" s="20"/>
    </row>
    <row r="4707">
      <c r="A4707" s="6"/>
      <c r="B4707" s="6"/>
      <c r="C4707" s="4"/>
      <c r="D4707" s="36">
        <v>0.0</v>
      </c>
      <c r="E4707" s="4"/>
      <c r="F4707" s="4"/>
      <c r="G4707" s="4"/>
      <c r="H4707" s="4"/>
      <c r="I4707" s="4"/>
      <c r="J4707" s="18"/>
      <c r="K4707" s="4"/>
      <c r="L4707" s="19"/>
      <c r="M4707" s="20"/>
    </row>
    <row r="4708">
      <c r="A4708" s="6"/>
      <c r="B4708" s="6"/>
      <c r="C4708" s="4"/>
      <c r="D4708" s="36">
        <v>0.0</v>
      </c>
      <c r="E4708" s="4"/>
      <c r="F4708" s="4"/>
      <c r="G4708" s="4"/>
      <c r="H4708" s="4"/>
      <c r="I4708" s="4"/>
      <c r="J4708" s="18"/>
      <c r="K4708" s="4"/>
      <c r="L4708" s="19"/>
      <c r="M4708" s="20"/>
    </row>
    <row r="4709">
      <c r="A4709" s="6"/>
      <c r="B4709" s="6"/>
      <c r="C4709" s="4"/>
      <c r="D4709" s="36">
        <v>0.0</v>
      </c>
      <c r="E4709" s="4"/>
      <c r="F4709" s="4"/>
      <c r="G4709" s="4"/>
      <c r="H4709" s="4"/>
      <c r="I4709" s="4"/>
      <c r="J4709" s="18"/>
      <c r="K4709" s="4"/>
      <c r="L4709" s="19"/>
      <c r="M4709" s="20"/>
    </row>
    <row r="4710">
      <c r="A4710" s="6"/>
      <c r="B4710" s="6"/>
      <c r="C4710" s="4"/>
      <c r="D4710" s="36">
        <v>0.0</v>
      </c>
      <c r="E4710" s="4"/>
      <c r="F4710" s="4"/>
      <c r="G4710" s="4"/>
      <c r="H4710" s="4"/>
      <c r="I4710" s="4"/>
      <c r="J4710" s="18"/>
      <c r="K4710" s="4"/>
      <c r="L4710" s="19"/>
      <c r="M4710" s="20"/>
    </row>
    <row r="4711">
      <c r="A4711" s="6"/>
      <c r="B4711" s="6"/>
      <c r="C4711" s="4"/>
      <c r="D4711" s="36">
        <v>0.0</v>
      </c>
      <c r="E4711" s="4"/>
      <c r="F4711" s="4"/>
      <c r="G4711" s="4"/>
      <c r="H4711" s="4"/>
      <c r="I4711" s="4"/>
      <c r="J4711" s="18"/>
      <c r="K4711" s="4"/>
      <c r="L4711" s="19"/>
      <c r="M4711" s="20"/>
    </row>
    <row r="4712">
      <c r="A4712" s="6"/>
      <c r="B4712" s="6"/>
      <c r="C4712" s="4"/>
      <c r="D4712" s="36">
        <v>0.0</v>
      </c>
      <c r="E4712" s="4"/>
      <c r="F4712" s="4"/>
      <c r="G4712" s="4"/>
      <c r="H4712" s="4"/>
      <c r="I4712" s="4"/>
      <c r="J4712" s="18"/>
      <c r="K4712" s="4"/>
      <c r="L4712" s="19"/>
      <c r="M4712" s="20"/>
    </row>
    <row r="4713">
      <c r="A4713" s="6"/>
      <c r="B4713" s="6"/>
      <c r="C4713" s="4"/>
      <c r="D4713" s="36">
        <v>0.0</v>
      </c>
      <c r="E4713" s="4"/>
      <c r="F4713" s="4"/>
      <c r="G4713" s="4"/>
      <c r="H4713" s="4"/>
      <c r="I4713" s="4"/>
      <c r="J4713" s="18"/>
      <c r="K4713" s="4"/>
      <c r="L4713" s="19"/>
      <c r="M4713" s="20"/>
    </row>
    <row r="4714">
      <c r="A4714" s="6"/>
      <c r="B4714" s="6"/>
      <c r="C4714" s="4"/>
      <c r="D4714" s="36">
        <v>0.0</v>
      </c>
      <c r="E4714" s="4"/>
      <c r="F4714" s="4"/>
      <c r="G4714" s="4"/>
      <c r="H4714" s="4"/>
      <c r="I4714" s="4"/>
      <c r="J4714" s="18"/>
      <c r="K4714" s="4"/>
      <c r="L4714" s="19"/>
      <c r="M4714" s="20"/>
    </row>
    <row r="4715">
      <c r="A4715" s="6"/>
      <c r="B4715" s="6"/>
      <c r="C4715" s="4"/>
      <c r="D4715" s="36">
        <v>0.0</v>
      </c>
      <c r="E4715" s="4"/>
      <c r="F4715" s="4"/>
      <c r="G4715" s="4"/>
      <c r="H4715" s="4"/>
      <c r="I4715" s="4"/>
      <c r="J4715" s="18"/>
      <c r="K4715" s="4"/>
      <c r="L4715" s="19"/>
      <c r="M4715" s="20"/>
    </row>
    <row r="4716">
      <c r="A4716" s="6"/>
      <c r="B4716" s="6"/>
      <c r="C4716" s="4"/>
      <c r="D4716" s="36">
        <v>0.0</v>
      </c>
      <c r="E4716" s="4"/>
      <c r="F4716" s="4"/>
      <c r="G4716" s="4"/>
      <c r="H4716" s="4"/>
      <c r="I4716" s="4"/>
      <c r="J4716" s="18"/>
      <c r="K4716" s="4"/>
      <c r="L4716" s="19"/>
      <c r="M4716" s="20"/>
    </row>
    <row r="4717">
      <c r="A4717" s="6"/>
      <c r="B4717" s="6"/>
      <c r="C4717" s="4"/>
      <c r="D4717" s="36">
        <v>0.0</v>
      </c>
      <c r="E4717" s="4"/>
      <c r="F4717" s="4"/>
      <c r="G4717" s="4"/>
      <c r="H4717" s="4"/>
      <c r="I4717" s="4"/>
      <c r="J4717" s="18"/>
      <c r="K4717" s="4"/>
      <c r="L4717" s="19"/>
      <c r="M4717" s="20"/>
    </row>
    <row r="4718">
      <c r="A4718" s="6"/>
      <c r="B4718" s="6"/>
      <c r="C4718" s="4"/>
      <c r="D4718" s="36">
        <v>0.0</v>
      </c>
      <c r="E4718" s="4"/>
      <c r="F4718" s="4"/>
      <c r="G4718" s="4"/>
      <c r="H4718" s="4"/>
      <c r="I4718" s="4"/>
      <c r="J4718" s="18"/>
      <c r="K4718" s="4"/>
      <c r="L4718" s="19"/>
      <c r="M4718" s="20"/>
    </row>
    <row r="4719">
      <c r="A4719" s="6"/>
      <c r="B4719" s="6"/>
      <c r="C4719" s="4"/>
      <c r="D4719" s="36">
        <v>0.0</v>
      </c>
      <c r="E4719" s="4"/>
      <c r="F4719" s="4"/>
      <c r="G4719" s="4"/>
      <c r="H4719" s="4"/>
      <c r="I4719" s="4"/>
      <c r="J4719" s="18"/>
      <c r="K4719" s="4"/>
      <c r="L4719" s="19"/>
      <c r="M4719" s="20"/>
    </row>
    <row r="4720">
      <c r="A4720" s="6"/>
      <c r="B4720" s="6"/>
      <c r="C4720" s="4"/>
      <c r="D4720" s="36">
        <v>0.0</v>
      </c>
      <c r="E4720" s="4"/>
      <c r="F4720" s="4"/>
      <c r="G4720" s="4"/>
      <c r="H4720" s="4"/>
      <c r="I4720" s="4"/>
      <c r="J4720" s="18"/>
      <c r="K4720" s="4"/>
      <c r="L4720" s="19"/>
      <c r="M4720" s="20"/>
    </row>
    <row r="4721">
      <c r="A4721" s="6"/>
      <c r="B4721" s="6"/>
      <c r="C4721" s="4"/>
      <c r="D4721" s="36">
        <v>0.0</v>
      </c>
      <c r="E4721" s="4"/>
      <c r="F4721" s="4"/>
      <c r="G4721" s="4"/>
      <c r="H4721" s="4"/>
      <c r="I4721" s="4"/>
      <c r="J4721" s="18"/>
      <c r="K4721" s="4"/>
      <c r="L4721" s="19"/>
      <c r="M4721" s="20"/>
    </row>
    <row r="4722">
      <c r="A4722" s="6"/>
      <c r="B4722" s="6"/>
      <c r="C4722" s="4"/>
      <c r="D4722" s="36">
        <v>0.0</v>
      </c>
      <c r="E4722" s="4"/>
      <c r="F4722" s="4"/>
      <c r="G4722" s="4"/>
      <c r="H4722" s="4"/>
      <c r="I4722" s="4"/>
      <c r="J4722" s="18"/>
      <c r="K4722" s="4"/>
      <c r="L4722" s="19"/>
      <c r="M4722" s="20"/>
    </row>
    <row r="4723">
      <c r="A4723" s="6"/>
      <c r="B4723" s="6"/>
      <c r="C4723" s="4"/>
      <c r="D4723" s="36">
        <v>0.0</v>
      </c>
      <c r="E4723" s="4"/>
      <c r="F4723" s="4"/>
      <c r="G4723" s="4"/>
      <c r="H4723" s="4"/>
      <c r="I4723" s="4"/>
      <c r="J4723" s="18"/>
      <c r="K4723" s="4"/>
      <c r="L4723" s="19"/>
      <c r="M4723" s="20"/>
    </row>
    <row r="4724">
      <c r="A4724" s="6"/>
      <c r="B4724" s="6"/>
      <c r="C4724" s="4"/>
      <c r="D4724" s="36">
        <v>0.0</v>
      </c>
      <c r="E4724" s="4"/>
      <c r="F4724" s="4"/>
      <c r="G4724" s="4"/>
      <c r="H4724" s="4"/>
      <c r="I4724" s="4"/>
      <c r="J4724" s="18"/>
      <c r="K4724" s="4"/>
      <c r="L4724" s="19"/>
      <c r="M4724" s="20"/>
    </row>
    <row r="4725">
      <c r="A4725" s="6"/>
      <c r="B4725" s="6"/>
      <c r="C4725" s="4"/>
      <c r="D4725" s="36">
        <v>0.0</v>
      </c>
      <c r="E4725" s="4"/>
      <c r="F4725" s="4"/>
      <c r="G4725" s="4"/>
      <c r="H4725" s="4"/>
      <c r="I4725" s="4"/>
      <c r="J4725" s="18"/>
      <c r="K4725" s="4"/>
      <c r="L4725" s="19"/>
      <c r="M4725" s="20"/>
    </row>
    <row r="4726">
      <c r="A4726" s="6"/>
      <c r="B4726" s="6"/>
      <c r="C4726" s="4"/>
      <c r="D4726" s="36">
        <v>0.0</v>
      </c>
      <c r="E4726" s="4"/>
      <c r="F4726" s="4"/>
      <c r="G4726" s="4"/>
      <c r="H4726" s="4"/>
      <c r="I4726" s="4"/>
      <c r="J4726" s="18"/>
      <c r="K4726" s="4"/>
      <c r="L4726" s="19"/>
      <c r="M4726" s="20"/>
    </row>
    <row r="4727">
      <c r="A4727" s="6"/>
      <c r="B4727" s="6"/>
      <c r="C4727" s="4"/>
      <c r="D4727" s="36">
        <v>0.0</v>
      </c>
      <c r="E4727" s="4"/>
      <c r="F4727" s="4"/>
      <c r="G4727" s="4"/>
      <c r="H4727" s="4"/>
      <c r="I4727" s="4"/>
      <c r="J4727" s="18"/>
      <c r="K4727" s="4"/>
      <c r="L4727" s="19"/>
      <c r="M4727" s="20"/>
    </row>
    <row r="4728">
      <c r="A4728" s="6"/>
      <c r="B4728" s="6"/>
      <c r="C4728" s="4"/>
      <c r="D4728" s="36">
        <v>0.0</v>
      </c>
      <c r="E4728" s="4"/>
      <c r="F4728" s="4"/>
      <c r="G4728" s="4"/>
      <c r="H4728" s="4"/>
      <c r="I4728" s="4"/>
      <c r="J4728" s="18"/>
      <c r="K4728" s="4"/>
      <c r="L4728" s="19"/>
      <c r="M4728" s="20"/>
    </row>
    <row r="4729">
      <c r="A4729" s="6"/>
      <c r="B4729" s="6"/>
      <c r="C4729" s="4"/>
      <c r="D4729" s="36">
        <v>0.0</v>
      </c>
      <c r="E4729" s="4"/>
      <c r="F4729" s="4"/>
      <c r="G4729" s="4"/>
      <c r="H4729" s="4"/>
      <c r="I4729" s="4"/>
      <c r="J4729" s="18"/>
      <c r="K4729" s="4"/>
      <c r="L4729" s="19"/>
      <c r="M4729" s="20"/>
    </row>
    <row r="4730">
      <c r="A4730" s="6"/>
      <c r="B4730" s="6"/>
      <c r="C4730" s="4"/>
      <c r="D4730" s="36">
        <v>0.0</v>
      </c>
      <c r="E4730" s="4"/>
      <c r="F4730" s="4"/>
      <c r="G4730" s="4"/>
      <c r="H4730" s="4"/>
      <c r="I4730" s="4"/>
      <c r="J4730" s="18"/>
      <c r="K4730" s="4"/>
      <c r="L4730" s="19"/>
      <c r="M4730" s="20"/>
    </row>
    <row r="4731">
      <c r="A4731" s="6"/>
      <c r="B4731" s="6"/>
      <c r="C4731" s="4"/>
      <c r="D4731" s="36">
        <v>0.0</v>
      </c>
      <c r="E4731" s="4"/>
      <c r="F4731" s="4"/>
      <c r="G4731" s="4"/>
      <c r="H4731" s="4"/>
      <c r="I4731" s="4"/>
      <c r="J4731" s="18"/>
      <c r="K4731" s="4"/>
      <c r="L4731" s="19"/>
      <c r="M4731" s="20"/>
    </row>
    <row r="4732">
      <c r="A4732" s="6"/>
      <c r="B4732" s="6"/>
      <c r="C4732" s="4"/>
      <c r="D4732" s="36">
        <v>0.0</v>
      </c>
      <c r="E4732" s="4"/>
      <c r="F4732" s="4"/>
      <c r="G4732" s="4"/>
      <c r="H4732" s="4"/>
      <c r="I4732" s="4"/>
      <c r="J4732" s="18"/>
      <c r="K4732" s="4"/>
      <c r="L4732" s="19"/>
      <c r="M4732" s="20"/>
    </row>
    <row r="4733">
      <c r="A4733" s="6"/>
      <c r="B4733" s="6"/>
      <c r="C4733" s="4"/>
      <c r="D4733" s="36">
        <v>0.0</v>
      </c>
      <c r="E4733" s="4"/>
      <c r="F4733" s="4"/>
      <c r="G4733" s="4"/>
      <c r="H4733" s="4"/>
      <c r="I4733" s="4"/>
      <c r="J4733" s="18"/>
      <c r="K4733" s="4"/>
      <c r="L4733" s="19"/>
      <c r="M4733" s="20"/>
    </row>
    <row r="4734">
      <c r="A4734" s="6"/>
      <c r="B4734" s="6"/>
      <c r="C4734" s="4"/>
      <c r="D4734" s="36">
        <v>0.0</v>
      </c>
      <c r="E4734" s="4"/>
      <c r="F4734" s="4"/>
      <c r="G4734" s="4"/>
      <c r="H4734" s="4"/>
      <c r="I4734" s="4"/>
      <c r="J4734" s="18"/>
      <c r="K4734" s="4"/>
      <c r="L4734" s="19"/>
      <c r="M4734" s="20"/>
    </row>
    <row r="4735">
      <c r="A4735" s="6"/>
      <c r="B4735" s="6"/>
      <c r="C4735" s="4"/>
      <c r="D4735" s="36">
        <v>0.0</v>
      </c>
      <c r="E4735" s="4"/>
      <c r="F4735" s="4"/>
      <c r="G4735" s="4"/>
      <c r="H4735" s="4"/>
      <c r="I4735" s="4"/>
      <c r="J4735" s="18"/>
      <c r="K4735" s="4"/>
      <c r="L4735" s="19"/>
      <c r="M4735" s="20"/>
    </row>
    <row r="4736">
      <c r="A4736" s="6"/>
      <c r="B4736" s="6"/>
      <c r="C4736" s="4"/>
      <c r="D4736" s="36">
        <v>0.0</v>
      </c>
      <c r="E4736" s="4"/>
      <c r="F4736" s="4"/>
      <c r="G4736" s="4"/>
      <c r="H4736" s="4"/>
      <c r="I4736" s="4"/>
      <c r="J4736" s="18"/>
      <c r="K4736" s="4"/>
      <c r="L4736" s="19"/>
      <c r="M4736" s="20"/>
    </row>
    <row r="4737">
      <c r="A4737" s="6"/>
      <c r="B4737" s="6"/>
      <c r="C4737" s="4"/>
      <c r="D4737" s="36">
        <v>0.0</v>
      </c>
      <c r="E4737" s="4"/>
      <c r="F4737" s="4"/>
      <c r="G4737" s="4"/>
      <c r="H4737" s="4"/>
      <c r="I4737" s="4"/>
      <c r="J4737" s="18"/>
      <c r="K4737" s="4"/>
      <c r="L4737" s="19"/>
      <c r="M4737" s="20"/>
    </row>
    <row r="4738">
      <c r="A4738" s="6"/>
      <c r="B4738" s="6"/>
      <c r="C4738" s="4"/>
      <c r="D4738" s="36">
        <v>0.0</v>
      </c>
      <c r="E4738" s="4"/>
      <c r="F4738" s="4"/>
      <c r="G4738" s="4"/>
      <c r="H4738" s="4"/>
      <c r="I4738" s="4"/>
      <c r="J4738" s="18"/>
      <c r="K4738" s="4"/>
      <c r="L4738" s="19"/>
      <c r="M4738" s="20"/>
    </row>
    <row r="4739">
      <c r="A4739" s="6"/>
      <c r="B4739" s="6"/>
      <c r="C4739" s="4"/>
      <c r="D4739" s="36">
        <v>0.0</v>
      </c>
      <c r="E4739" s="4"/>
      <c r="F4739" s="4"/>
      <c r="G4739" s="4"/>
      <c r="H4739" s="4"/>
      <c r="I4739" s="4"/>
      <c r="J4739" s="18"/>
      <c r="K4739" s="4"/>
      <c r="L4739" s="19"/>
      <c r="M4739" s="20"/>
    </row>
    <row r="4740">
      <c r="A4740" s="6"/>
      <c r="B4740" s="6"/>
      <c r="C4740" s="4"/>
      <c r="D4740" s="36">
        <v>0.0</v>
      </c>
      <c r="E4740" s="4"/>
      <c r="F4740" s="4"/>
      <c r="G4740" s="4"/>
      <c r="H4740" s="4"/>
      <c r="I4740" s="4"/>
      <c r="J4740" s="18"/>
      <c r="K4740" s="4"/>
      <c r="L4740" s="19"/>
      <c r="M4740" s="20"/>
    </row>
    <row r="4741">
      <c r="A4741" s="6"/>
      <c r="B4741" s="6"/>
      <c r="C4741" s="4"/>
      <c r="D4741" s="36">
        <v>0.0</v>
      </c>
      <c r="E4741" s="4"/>
      <c r="F4741" s="4"/>
      <c r="G4741" s="4"/>
      <c r="H4741" s="4"/>
      <c r="I4741" s="4"/>
      <c r="J4741" s="18"/>
      <c r="K4741" s="4"/>
      <c r="L4741" s="19"/>
      <c r="M4741" s="20"/>
    </row>
    <row r="4742">
      <c r="A4742" s="6"/>
      <c r="B4742" s="6"/>
      <c r="C4742" s="4"/>
      <c r="D4742" s="36">
        <v>0.0</v>
      </c>
      <c r="E4742" s="4"/>
      <c r="F4742" s="4"/>
      <c r="G4742" s="4"/>
      <c r="H4742" s="4"/>
      <c r="I4742" s="4"/>
      <c r="J4742" s="18"/>
      <c r="K4742" s="4"/>
      <c r="L4742" s="19"/>
      <c r="M4742" s="20"/>
    </row>
    <row r="4743">
      <c r="A4743" s="6"/>
      <c r="B4743" s="6"/>
      <c r="C4743" s="4"/>
      <c r="D4743" s="36">
        <v>0.0</v>
      </c>
      <c r="E4743" s="4"/>
      <c r="F4743" s="4"/>
      <c r="G4743" s="4"/>
      <c r="H4743" s="4"/>
      <c r="I4743" s="4"/>
      <c r="J4743" s="18"/>
      <c r="K4743" s="4"/>
      <c r="L4743" s="19"/>
      <c r="M4743" s="20"/>
    </row>
    <row r="4744">
      <c r="A4744" s="6"/>
      <c r="B4744" s="6"/>
      <c r="C4744" s="4"/>
      <c r="D4744" s="36">
        <v>0.0</v>
      </c>
      <c r="E4744" s="4"/>
      <c r="F4744" s="4"/>
      <c r="G4744" s="4"/>
      <c r="H4744" s="4"/>
      <c r="I4744" s="4"/>
      <c r="J4744" s="18"/>
      <c r="K4744" s="4"/>
      <c r="L4744" s="19"/>
      <c r="M4744" s="20"/>
    </row>
    <row r="4745">
      <c r="A4745" s="6"/>
      <c r="B4745" s="6"/>
      <c r="C4745" s="4"/>
      <c r="D4745" s="36">
        <v>0.0</v>
      </c>
      <c r="E4745" s="4"/>
      <c r="F4745" s="4"/>
      <c r="G4745" s="4"/>
      <c r="H4745" s="4"/>
      <c r="I4745" s="4"/>
      <c r="J4745" s="18"/>
      <c r="K4745" s="4"/>
      <c r="L4745" s="19"/>
      <c r="M4745" s="20"/>
    </row>
    <row r="4746">
      <c r="A4746" s="6"/>
      <c r="B4746" s="6"/>
      <c r="C4746" s="4"/>
      <c r="D4746" s="36">
        <v>0.0</v>
      </c>
      <c r="E4746" s="4"/>
      <c r="F4746" s="4"/>
      <c r="G4746" s="4"/>
      <c r="H4746" s="4"/>
      <c r="I4746" s="4"/>
      <c r="J4746" s="18"/>
      <c r="K4746" s="4"/>
      <c r="L4746" s="19"/>
      <c r="M4746" s="20"/>
    </row>
    <row r="4747">
      <c r="A4747" s="6"/>
      <c r="B4747" s="6"/>
      <c r="C4747" s="4"/>
      <c r="D4747" s="36">
        <v>0.0</v>
      </c>
      <c r="E4747" s="4"/>
      <c r="F4747" s="4"/>
      <c r="G4747" s="4"/>
      <c r="H4747" s="4"/>
      <c r="I4747" s="4"/>
      <c r="J4747" s="18"/>
      <c r="K4747" s="4"/>
      <c r="L4747" s="19"/>
      <c r="M4747" s="20"/>
    </row>
    <row r="4748">
      <c r="A4748" s="6"/>
      <c r="B4748" s="6"/>
      <c r="C4748" s="4"/>
      <c r="D4748" s="36">
        <v>0.0</v>
      </c>
      <c r="E4748" s="4"/>
      <c r="F4748" s="4"/>
      <c r="G4748" s="4"/>
      <c r="H4748" s="4"/>
      <c r="I4748" s="4"/>
      <c r="J4748" s="18"/>
      <c r="K4748" s="4"/>
      <c r="L4748" s="19"/>
      <c r="M4748" s="20"/>
    </row>
    <row r="4749">
      <c r="A4749" s="6"/>
      <c r="B4749" s="6"/>
      <c r="C4749" s="4"/>
      <c r="D4749" s="36">
        <v>0.0</v>
      </c>
      <c r="E4749" s="4"/>
      <c r="F4749" s="4"/>
      <c r="G4749" s="4"/>
      <c r="H4749" s="4"/>
      <c r="I4749" s="4"/>
      <c r="J4749" s="18"/>
      <c r="K4749" s="4"/>
      <c r="L4749" s="19"/>
      <c r="M4749" s="20"/>
    </row>
    <row r="4750">
      <c r="A4750" s="6"/>
      <c r="B4750" s="6"/>
      <c r="C4750" s="4"/>
      <c r="D4750" s="36">
        <v>0.0</v>
      </c>
      <c r="E4750" s="4"/>
      <c r="F4750" s="4"/>
      <c r="G4750" s="4"/>
      <c r="H4750" s="4"/>
      <c r="I4750" s="4"/>
      <c r="J4750" s="18"/>
      <c r="K4750" s="4"/>
      <c r="L4750" s="19"/>
      <c r="M4750" s="20"/>
    </row>
    <row r="4751">
      <c r="A4751" s="6"/>
      <c r="B4751" s="6"/>
      <c r="C4751" s="4"/>
      <c r="D4751" s="36">
        <v>0.0</v>
      </c>
      <c r="E4751" s="4"/>
      <c r="F4751" s="4"/>
      <c r="G4751" s="4"/>
      <c r="H4751" s="4"/>
      <c r="I4751" s="4"/>
      <c r="J4751" s="18"/>
      <c r="K4751" s="4"/>
      <c r="L4751" s="19"/>
      <c r="M4751" s="20"/>
    </row>
    <row r="4752">
      <c r="A4752" s="6"/>
      <c r="B4752" s="6"/>
      <c r="C4752" s="4"/>
      <c r="D4752" s="36">
        <v>0.0</v>
      </c>
      <c r="E4752" s="4"/>
      <c r="F4752" s="4"/>
      <c r="G4752" s="4"/>
      <c r="H4752" s="4"/>
      <c r="I4752" s="4"/>
      <c r="J4752" s="18"/>
      <c r="K4752" s="4"/>
      <c r="L4752" s="19"/>
      <c r="M4752" s="20"/>
    </row>
    <row r="4753">
      <c r="A4753" s="6"/>
      <c r="B4753" s="6"/>
      <c r="C4753" s="4"/>
      <c r="D4753" s="36">
        <v>0.0</v>
      </c>
      <c r="E4753" s="4"/>
      <c r="F4753" s="4"/>
      <c r="G4753" s="4"/>
      <c r="H4753" s="4"/>
      <c r="I4753" s="4"/>
      <c r="J4753" s="18"/>
      <c r="K4753" s="4"/>
      <c r="L4753" s="19"/>
      <c r="M4753" s="20"/>
    </row>
    <row r="4754">
      <c r="A4754" s="6"/>
      <c r="B4754" s="6"/>
      <c r="C4754" s="4"/>
      <c r="D4754" s="36">
        <v>0.0</v>
      </c>
      <c r="E4754" s="4"/>
      <c r="F4754" s="4"/>
      <c r="G4754" s="4"/>
      <c r="H4754" s="4"/>
      <c r="I4754" s="4"/>
      <c r="J4754" s="18"/>
      <c r="K4754" s="4"/>
      <c r="L4754" s="19"/>
      <c r="M4754" s="20"/>
    </row>
    <row r="4755">
      <c r="A4755" s="6"/>
      <c r="B4755" s="6"/>
      <c r="C4755" s="4"/>
      <c r="D4755" s="36">
        <v>0.0</v>
      </c>
      <c r="E4755" s="4"/>
      <c r="F4755" s="4"/>
      <c r="G4755" s="4"/>
      <c r="H4755" s="4"/>
      <c r="I4755" s="4"/>
      <c r="J4755" s="18"/>
      <c r="K4755" s="4"/>
      <c r="L4755" s="19"/>
      <c r="M4755" s="20"/>
    </row>
    <row r="4756">
      <c r="A4756" s="6"/>
      <c r="B4756" s="6"/>
      <c r="C4756" s="4"/>
      <c r="D4756" s="36">
        <v>0.0</v>
      </c>
      <c r="E4756" s="4"/>
      <c r="F4756" s="4"/>
      <c r="G4756" s="4"/>
      <c r="H4756" s="4"/>
      <c r="I4756" s="4"/>
      <c r="J4756" s="18"/>
      <c r="K4756" s="4"/>
      <c r="L4756" s="19"/>
      <c r="M4756" s="20"/>
    </row>
    <row r="4757">
      <c r="A4757" s="6"/>
      <c r="B4757" s="6"/>
      <c r="C4757" s="4"/>
      <c r="D4757" s="36">
        <v>0.0</v>
      </c>
      <c r="E4757" s="4"/>
      <c r="F4757" s="4"/>
      <c r="G4757" s="4"/>
      <c r="H4757" s="4"/>
      <c r="I4757" s="4"/>
      <c r="J4757" s="18"/>
      <c r="K4757" s="4"/>
      <c r="L4757" s="19"/>
      <c r="M4757" s="20"/>
    </row>
    <row r="4758">
      <c r="A4758" s="6"/>
      <c r="B4758" s="6"/>
      <c r="C4758" s="4"/>
      <c r="D4758" s="36">
        <v>0.0</v>
      </c>
      <c r="E4758" s="4"/>
      <c r="F4758" s="4"/>
      <c r="G4758" s="4"/>
      <c r="H4758" s="4"/>
      <c r="I4758" s="4"/>
      <c r="J4758" s="18"/>
      <c r="K4758" s="4"/>
      <c r="L4758" s="19"/>
      <c r="M4758" s="20"/>
    </row>
    <row r="4759">
      <c r="A4759" s="6"/>
      <c r="B4759" s="6"/>
      <c r="C4759" s="4"/>
      <c r="D4759" s="36">
        <v>0.0</v>
      </c>
      <c r="E4759" s="4"/>
      <c r="F4759" s="4"/>
      <c r="G4759" s="4"/>
      <c r="H4759" s="4"/>
      <c r="I4759" s="4"/>
      <c r="J4759" s="18"/>
      <c r="K4759" s="4"/>
      <c r="L4759" s="19"/>
      <c r="M4759" s="20"/>
    </row>
    <row r="4760">
      <c r="A4760" s="6"/>
      <c r="B4760" s="6"/>
      <c r="C4760" s="4"/>
      <c r="D4760" s="36">
        <v>0.0</v>
      </c>
      <c r="E4760" s="4"/>
      <c r="F4760" s="4"/>
      <c r="G4760" s="4"/>
      <c r="H4760" s="4"/>
      <c r="I4760" s="4"/>
      <c r="J4760" s="18"/>
      <c r="K4760" s="4"/>
      <c r="L4760" s="19"/>
      <c r="M4760" s="20"/>
    </row>
    <row r="4761">
      <c r="A4761" s="6"/>
      <c r="B4761" s="6"/>
      <c r="C4761" s="4"/>
      <c r="D4761" s="36">
        <v>0.0</v>
      </c>
      <c r="E4761" s="4"/>
      <c r="F4761" s="4"/>
      <c r="G4761" s="4"/>
      <c r="H4761" s="4"/>
      <c r="I4761" s="4"/>
      <c r="J4761" s="18"/>
      <c r="K4761" s="4"/>
      <c r="L4761" s="19"/>
      <c r="M4761" s="20"/>
    </row>
    <row r="4762">
      <c r="A4762" s="6"/>
      <c r="B4762" s="6"/>
      <c r="C4762" s="4"/>
      <c r="D4762" s="36">
        <v>0.0</v>
      </c>
      <c r="E4762" s="4"/>
      <c r="F4762" s="4"/>
      <c r="G4762" s="4"/>
      <c r="H4762" s="4"/>
      <c r="I4762" s="4"/>
      <c r="J4762" s="18"/>
      <c r="K4762" s="4"/>
      <c r="L4762" s="19"/>
      <c r="M4762" s="20"/>
    </row>
    <row r="4763">
      <c r="A4763" s="6"/>
      <c r="B4763" s="6"/>
      <c r="C4763" s="4"/>
      <c r="D4763" s="36">
        <v>0.0</v>
      </c>
      <c r="E4763" s="4"/>
      <c r="F4763" s="4"/>
      <c r="G4763" s="4"/>
      <c r="H4763" s="4"/>
      <c r="I4763" s="4"/>
      <c r="J4763" s="18"/>
      <c r="K4763" s="4"/>
      <c r="L4763" s="19"/>
      <c r="M4763" s="20"/>
    </row>
    <row r="4764">
      <c r="A4764" s="6"/>
      <c r="B4764" s="6"/>
      <c r="C4764" s="4"/>
      <c r="D4764" s="36">
        <v>0.0</v>
      </c>
      <c r="E4764" s="4"/>
      <c r="F4764" s="4"/>
      <c r="G4764" s="4"/>
      <c r="H4764" s="4"/>
      <c r="I4764" s="4"/>
      <c r="J4764" s="18"/>
      <c r="K4764" s="4"/>
      <c r="L4764" s="19"/>
      <c r="M4764" s="20"/>
    </row>
    <row r="4765">
      <c r="A4765" s="6"/>
      <c r="B4765" s="6"/>
      <c r="C4765" s="4"/>
      <c r="D4765" s="36">
        <v>0.0</v>
      </c>
      <c r="E4765" s="4"/>
      <c r="F4765" s="4"/>
      <c r="G4765" s="4"/>
      <c r="H4765" s="4"/>
      <c r="I4765" s="4"/>
      <c r="J4765" s="18"/>
      <c r="K4765" s="4"/>
      <c r="L4765" s="19"/>
      <c r="M4765" s="20"/>
    </row>
    <row r="4766">
      <c r="A4766" s="6"/>
      <c r="B4766" s="6"/>
      <c r="C4766" s="4"/>
      <c r="D4766" s="36">
        <v>0.0</v>
      </c>
      <c r="E4766" s="4"/>
      <c r="F4766" s="4"/>
      <c r="G4766" s="4"/>
      <c r="H4766" s="4"/>
      <c r="I4766" s="4"/>
      <c r="J4766" s="18"/>
      <c r="K4766" s="4"/>
      <c r="L4766" s="19"/>
      <c r="M4766" s="20"/>
    </row>
    <row r="4767">
      <c r="A4767" s="6"/>
      <c r="B4767" s="6"/>
      <c r="C4767" s="4"/>
      <c r="D4767" s="36">
        <v>0.0</v>
      </c>
      <c r="E4767" s="4"/>
      <c r="F4767" s="4"/>
      <c r="G4767" s="4"/>
      <c r="H4767" s="4"/>
      <c r="I4767" s="4"/>
      <c r="J4767" s="18"/>
      <c r="K4767" s="4"/>
      <c r="L4767" s="19"/>
      <c r="M4767" s="20"/>
    </row>
    <row r="4768">
      <c r="A4768" s="6"/>
      <c r="B4768" s="6"/>
      <c r="C4768" s="4"/>
      <c r="D4768" s="36">
        <v>0.0</v>
      </c>
      <c r="E4768" s="4"/>
      <c r="F4768" s="4"/>
      <c r="G4768" s="4"/>
      <c r="H4768" s="4"/>
      <c r="I4768" s="4"/>
      <c r="J4768" s="18"/>
      <c r="K4768" s="4"/>
      <c r="L4768" s="19"/>
      <c r="M4768" s="20"/>
    </row>
    <row r="4769">
      <c r="A4769" s="6"/>
      <c r="B4769" s="6"/>
      <c r="C4769" s="4"/>
      <c r="D4769" s="36">
        <v>0.0</v>
      </c>
      <c r="E4769" s="4"/>
      <c r="F4769" s="4"/>
      <c r="G4769" s="4"/>
      <c r="H4769" s="4"/>
      <c r="I4769" s="4"/>
      <c r="J4769" s="18"/>
      <c r="K4769" s="4"/>
      <c r="L4769" s="19"/>
      <c r="M4769" s="20"/>
    </row>
    <row r="4770">
      <c r="A4770" s="6"/>
      <c r="B4770" s="6"/>
      <c r="C4770" s="4"/>
      <c r="D4770" s="36">
        <v>0.0</v>
      </c>
      <c r="E4770" s="4"/>
      <c r="F4770" s="4"/>
      <c r="G4770" s="4"/>
      <c r="H4770" s="4"/>
      <c r="I4770" s="4"/>
      <c r="J4770" s="18"/>
      <c r="K4770" s="4"/>
      <c r="L4770" s="19"/>
      <c r="M4770" s="20"/>
    </row>
    <row r="4771">
      <c r="A4771" s="6"/>
      <c r="B4771" s="6"/>
      <c r="C4771" s="4"/>
      <c r="D4771" s="36">
        <v>0.0</v>
      </c>
      <c r="E4771" s="4"/>
      <c r="F4771" s="4"/>
      <c r="G4771" s="4"/>
      <c r="H4771" s="4"/>
      <c r="I4771" s="4"/>
      <c r="J4771" s="18"/>
      <c r="K4771" s="4"/>
      <c r="L4771" s="19"/>
      <c r="M4771" s="20"/>
    </row>
    <row r="4772">
      <c r="A4772" s="6"/>
      <c r="B4772" s="6"/>
      <c r="C4772" s="4"/>
      <c r="D4772" s="36">
        <v>0.0</v>
      </c>
      <c r="E4772" s="4"/>
      <c r="F4772" s="4"/>
      <c r="G4772" s="4"/>
      <c r="H4772" s="4"/>
      <c r="I4772" s="4"/>
      <c r="J4772" s="18"/>
      <c r="K4772" s="4"/>
      <c r="L4772" s="19"/>
      <c r="M4772" s="20"/>
    </row>
    <row r="4773">
      <c r="A4773" s="6"/>
      <c r="B4773" s="6"/>
      <c r="C4773" s="4"/>
      <c r="D4773" s="36">
        <v>0.0</v>
      </c>
      <c r="E4773" s="4"/>
      <c r="F4773" s="4"/>
      <c r="G4773" s="4"/>
      <c r="H4773" s="4"/>
      <c r="I4773" s="4"/>
      <c r="J4773" s="18"/>
      <c r="K4773" s="4"/>
      <c r="L4773" s="19"/>
      <c r="M4773" s="20"/>
    </row>
    <row r="4774">
      <c r="A4774" s="6"/>
      <c r="B4774" s="6"/>
      <c r="C4774" s="4"/>
      <c r="D4774" s="36">
        <v>0.0</v>
      </c>
      <c r="E4774" s="4"/>
      <c r="F4774" s="4"/>
      <c r="G4774" s="4"/>
      <c r="H4774" s="4"/>
      <c r="I4774" s="4"/>
      <c r="J4774" s="18"/>
      <c r="K4774" s="4"/>
      <c r="L4774" s="19"/>
      <c r="M4774" s="20"/>
    </row>
    <row r="4775">
      <c r="A4775" s="6"/>
      <c r="B4775" s="6"/>
      <c r="C4775" s="4"/>
      <c r="D4775" s="36">
        <v>0.0</v>
      </c>
      <c r="E4775" s="4"/>
      <c r="F4775" s="4"/>
      <c r="G4775" s="4"/>
      <c r="H4775" s="4"/>
      <c r="I4775" s="4"/>
      <c r="J4775" s="18"/>
      <c r="K4775" s="4"/>
      <c r="L4775" s="19"/>
      <c r="M4775" s="20"/>
    </row>
    <row r="4776">
      <c r="A4776" s="6"/>
      <c r="B4776" s="6"/>
      <c r="C4776" s="4"/>
      <c r="D4776" s="36">
        <v>0.0</v>
      </c>
      <c r="E4776" s="4"/>
      <c r="F4776" s="4"/>
      <c r="G4776" s="4"/>
      <c r="H4776" s="4"/>
      <c r="I4776" s="4"/>
      <c r="J4776" s="18"/>
      <c r="K4776" s="4"/>
      <c r="L4776" s="19"/>
      <c r="M4776" s="20"/>
    </row>
    <row r="4777">
      <c r="A4777" s="6"/>
      <c r="B4777" s="6"/>
      <c r="C4777" s="4"/>
      <c r="D4777" s="36">
        <v>0.0</v>
      </c>
      <c r="E4777" s="4"/>
      <c r="F4777" s="4"/>
      <c r="G4777" s="4"/>
      <c r="H4777" s="4"/>
      <c r="I4777" s="4"/>
      <c r="J4777" s="18"/>
      <c r="K4777" s="4"/>
      <c r="L4777" s="19"/>
      <c r="M4777" s="20"/>
    </row>
    <row r="4778">
      <c r="A4778" s="6"/>
      <c r="B4778" s="6"/>
      <c r="C4778" s="4"/>
      <c r="D4778" s="36">
        <v>0.0</v>
      </c>
      <c r="E4778" s="4"/>
      <c r="F4778" s="4"/>
      <c r="G4778" s="4"/>
      <c r="H4778" s="4"/>
      <c r="I4778" s="4"/>
      <c r="J4778" s="18"/>
      <c r="K4778" s="4"/>
      <c r="L4778" s="19"/>
      <c r="M4778" s="20"/>
    </row>
    <row r="4779">
      <c r="A4779" s="6"/>
      <c r="B4779" s="6"/>
      <c r="C4779" s="4"/>
      <c r="D4779" s="36">
        <v>0.0</v>
      </c>
      <c r="E4779" s="4"/>
      <c r="F4779" s="4"/>
      <c r="G4779" s="4"/>
      <c r="H4779" s="4"/>
      <c r="I4779" s="4"/>
      <c r="J4779" s="18"/>
      <c r="K4779" s="4"/>
      <c r="L4779" s="19"/>
      <c r="M4779" s="20"/>
    </row>
    <row r="4780">
      <c r="A4780" s="6"/>
      <c r="B4780" s="6"/>
      <c r="C4780" s="4"/>
      <c r="D4780" s="36">
        <v>0.0</v>
      </c>
      <c r="E4780" s="4"/>
      <c r="F4780" s="4"/>
      <c r="G4780" s="4"/>
      <c r="H4780" s="4"/>
      <c r="I4780" s="4"/>
      <c r="J4780" s="18"/>
      <c r="K4780" s="4"/>
      <c r="L4780" s="19"/>
      <c r="M4780" s="20"/>
    </row>
    <row r="4781">
      <c r="A4781" s="6"/>
      <c r="B4781" s="6"/>
      <c r="C4781" s="4"/>
      <c r="D4781" s="36">
        <v>0.0</v>
      </c>
      <c r="E4781" s="4"/>
      <c r="F4781" s="4"/>
      <c r="G4781" s="4"/>
      <c r="H4781" s="4"/>
      <c r="I4781" s="4"/>
      <c r="J4781" s="18"/>
      <c r="K4781" s="4"/>
      <c r="L4781" s="19"/>
      <c r="M4781" s="20"/>
    </row>
    <row r="4782">
      <c r="A4782" s="6"/>
      <c r="B4782" s="6"/>
      <c r="C4782" s="4"/>
      <c r="D4782" s="36">
        <v>0.0</v>
      </c>
      <c r="E4782" s="4"/>
      <c r="F4782" s="4"/>
      <c r="G4782" s="4"/>
      <c r="H4782" s="4"/>
      <c r="I4782" s="4"/>
      <c r="J4782" s="18"/>
      <c r="K4782" s="4"/>
      <c r="L4782" s="19"/>
      <c r="M4782" s="20"/>
    </row>
    <row r="4783">
      <c r="A4783" s="6"/>
      <c r="B4783" s="6"/>
      <c r="C4783" s="4"/>
      <c r="D4783" s="36">
        <v>0.0</v>
      </c>
      <c r="E4783" s="4"/>
      <c r="F4783" s="4"/>
      <c r="G4783" s="4"/>
      <c r="H4783" s="4"/>
      <c r="I4783" s="4"/>
      <c r="J4783" s="18"/>
      <c r="K4783" s="4"/>
      <c r="L4783" s="19"/>
      <c r="M4783" s="20"/>
    </row>
    <row r="4784">
      <c r="A4784" s="6"/>
      <c r="B4784" s="6"/>
      <c r="C4784" s="4"/>
      <c r="D4784" s="36">
        <v>0.0</v>
      </c>
      <c r="E4784" s="4"/>
      <c r="F4784" s="4"/>
      <c r="G4784" s="4"/>
      <c r="H4784" s="4"/>
      <c r="I4784" s="4"/>
      <c r="J4784" s="18"/>
      <c r="K4784" s="4"/>
      <c r="L4784" s="19"/>
      <c r="M4784" s="20"/>
    </row>
    <row r="4785">
      <c r="A4785" s="6"/>
      <c r="B4785" s="6"/>
      <c r="C4785" s="4"/>
      <c r="D4785" s="36">
        <v>0.0</v>
      </c>
      <c r="E4785" s="4"/>
      <c r="F4785" s="4"/>
      <c r="G4785" s="4"/>
      <c r="H4785" s="4"/>
      <c r="I4785" s="4"/>
      <c r="J4785" s="18"/>
      <c r="K4785" s="4"/>
      <c r="L4785" s="19"/>
      <c r="M4785" s="20"/>
    </row>
    <row r="4786">
      <c r="A4786" s="6"/>
      <c r="B4786" s="6"/>
      <c r="C4786" s="4"/>
      <c r="D4786" s="36">
        <v>0.0</v>
      </c>
      <c r="E4786" s="4"/>
      <c r="F4786" s="4"/>
      <c r="G4786" s="4"/>
      <c r="H4786" s="4"/>
      <c r="I4786" s="4"/>
      <c r="J4786" s="18"/>
      <c r="K4786" s="4"/>
      <c r="L4786" s="19"/>
      <c r="M4786" s="20"/>
    </row>
    <row r="4787">
      <c r="A4787" s="6"/>
      <c r="B4787" s="6"/>
      <c r="C4787" s="4"/>
      <c r="D4787" s="36">
        <v>0.0</v>
      </c>
      <c r="E4787" s="4"/>
      <c r="F4787" s="4"/>
      <c r="G4787" s="4"/>
      <c r="H4787" s="4"/>
      <c r="I4787" s="4"/>
      <c r="J4787" s="18"/>
      <c r="K4787" s="4"/>
      <c r="L4787" s="19"/>
      <c r="M4787" s="20"/>
    </row>
    <row r="4788">
      <c r="A4788" s="6"/>
      <c r="B4788" s="6"/>
      <c r="C4788" s="4"/>
      <c r="D4788" s="36">
        <v>0.0</v>
      </c>
      <c r="E4788" s="4"/>
      <c r="F4788" s="4"/>
      <c r="G4788" s="4"/>
      <c r="H4788" s="4"/>
      <c r="I4788" s="4"/>
      <c r="J4788" s="18"/>
      <c r="K4788" s="4"/>
      <c r="L4788" s="19"/>
      <c r="M4788" s="20"/>
    </row>
    <row r="4789">
      <c r="A4789" s="6"/>
      <c r="B4789" s="6"/>
      <c r="C4789" s="4"/>
      <c r="D4789" s="36">
        <v>0.0</v>
      </c>
      <c r="E4789" s="4"/>
      <c r="F4789" s="4"/>
      <c r="G4789" s="4"/>
      <c r="H4789" s="4"/>
      <c r="I4789" s="4"/>
      <c r="J4789" s="18"/>
      <c r="K4789" s="4"/>
      <c r="L4789" s="19"/>
      <c r="M4789" s="20"/>
    </row>
    <row r="4790">
      <c r="A4790" s="6"/>
      <c r="B4790" s="6"/>
      <c r="C4790" s="4"/>
      <c r="D4790" s="36">
        <v>0.0</v>
      </c>
      <c r="E4790" s="4"/>
      <c r="F4790" s="4"/>
      <c r="G4790" s="4"/>
      <c r="H4790" s="4"/>
      <c r="I4790" s="4"/>
      <c r="J4790" s="18"/>
      <c r="K4790" s="4"/>
      <c r="L4790" s="19"/>
      <c r="M4790" s="20"/>
    </row>
    <row r="4791">
      <c r="A4791" s="6"/>
      <c r="B4791" s="6"/>
      <c r="C4791" s="4"/>
      <c r="D4791" s="36">
        <v>0.0</v>
      </c>
      <c r="E4791" s="4"/>
      <c r="F4791" s="4"/>
      <c r="G4791" s="4"/>
      <c r="H4791" s="4"/>
      <c r="I4791" s="4"/>
      <c r="J4791" s="18"/>
      <c r="K4791" s="4"/>
      <c r="L4791" s="19"/>
      <c r="M4791" s="20"/>
    </row>
    <row r="4792">
      <c r="A4792" s="6"/>
      <c r="B4792" s="6"/>
      <c r="C4792" s="4"/>
      <c r="D4792" s="36">
        <v>0.0</v>
      </c>
      <c r="E4792" s="4"/>
      <c r="F4792" s="4"/>
      <c r="G4792" s="4"/>
      <c r="H4792" s="4"/>
      <c r="I4792" s="4"/>
      <c r="J4792" s="18"/>
      <c r="K4792" s="4"/>
      <c r="L4792" s="19"/>
      <c r="M4792" s="20"/>
    </row>
    <row r="4793">
      <c r="A4793" s="6"/>
      <c r="B4793" s="6"/>
      <c r="C4793" s="4"/>
      <c r="D4793" s="36">
        <v>0.0</v>
      </c>
      <c r="E4793" s="4"/>
      <c r="F4793" s="4"/>
      <c r="G4793" s="4"/>
      <c r="H4793" s="4"/>
      <c r="I4793" s="4"/>
      <c r="J4793" s="18"/>
      <c r="K4793" s="4"/>
      <c r="L4793" s="19"/>
      <c r="M4793" s="20"/>
    </row>
    <row r="4794">
      <c r="A4794" s="6"/>
      <c r="B4794" s="6"/>
      <c r="C4794" s="4"/>
      <c r="D4794" s="36">
        <v>0.0</v>
      </c>
      <c r="E4794" s="4"/>
      <c r="F4794" s="4"/>
      <c r="G4794" s="4"/>
      <c r="H4794" s="4"/>
      <c r="I4794" s="4"/>
      <c r="J4794" s="18"/>
      <c r="K4794" s="4"/>
      <c r="L4794" s="19"/>
      <c r="M4794" s="20"/>
    </row>
    <row r="4795">
      <c r="A4795" s="6"/>
      <c r="B4795" s="6"/>
      <c r="C4795" s="4"/>
      <c r="D4795" s="36">
        <v>0.0</v>
      </c>
      <c r="E4795" s="4"/>
      <c r="F4795" s="4"/>
      <c r="G4795" s="4"/>
      <c r="H4795" s="4"/>
      <c r="I4795" s="4"/>
      <c r="J4795" s="18"/>
      <c r="K4795" s="4"/>
      <c r="L4795" s="19"/>
      <c r="M4795" s="20"/>
    </row>
    <row r="4796">
      <c r="A4796" s="6"/>
      <c r="B4796" s="6"/>
      <c r="C4796" s="4"/>
      <c r="D4796" s="36">
        <v>0.0</v>
      </c>
      <c r="E4796" s="4"/>
      <c r="F4796" s="4"/>
      <c r="G4796" s="4"/>
      <c r="H4796" s="4"/>
      <c r="I4796" s="4"/>
      <c r="J4796" s="18"/>
      <c r="K4796" s="4"/>
      <c r="L4796" s="19"/>
      <c r="M4796" s="20"/>
    </row>
    <row r="4797">
      <c r="A4797" s="6"/>
      <c r="B4797" s="6"/>
      <c r="C4797" s="4"/>
      <c r="D4797" s="36">
        <v>0.0</v>
      </c>
      <c r="E4797" s="4"/>
      <c r="F4797" s="4"/>
      <c r="G4797" s="4"/>
      <c r="H4797" s="4"/>
      <c r="I4797" s="4"/>
      <c r="J4797" s="18"/>
      <c r="K4797" s="4"/>
      <c r="L4797" s="19"/>
      <c r="M4797" s="20"/>
    </row>
    <row r="4798">
      <c r="A4798" s="6"/>
      <c r="B4798" s="6"/>
      <c r="C4798" s="4"/>
      <c r="D4798" s="36">
        <v>0.0</v>
      </c>
      <c r="E4798" s="4"/>
      <c r="F4798" s="4"/>
      <c r="G4798" s="4"/>
      <c r="H4798" s="4"/>
      <c r="I4798" s="4"/>
      <c r="J4798" s="18"/>
      <c r="K4798" s="4"/>
      <c r="L4798" s="19"/>
      <c r="M4798" s="20"/>
    </row>
    <row r="4799">
      <c r="A4799" s="6"/>
      <c r="B4799" s="6"/>
      <c r="C4799" s="4"/>
      <c r="D4799" s="36">
        <v>0.0</v>
      </c>
      <c r="E4799" s="4"/>
      <c r="F4799" s="4"/>
      <c r="G4799" s="4"/>
      <c r="H4799" s="4"/>
      <c r="I4799" s="4"/>
      <c r="J4799" s="18"/>
      <c r="K4799" s="4"/>
      <c r="L4799" s="19"/>
      <c r="M4799" s="20"/>
    </row>
    <row r="4800">
      <c r="A4800" s="6"/>
      <c r="B4800" s="6"/>
      <c r="C4800" s="4"/>
      <c r="D4800" s="36">
        <v>0.0</v>
      </c>
      <c r="E4800" s="4"/>
      <c r="F4800" s="4"/>
      <c r="G4800" s="4"/>
      <c r="H4800" s="4"/>
      <c r="I4800" s="4"/>
      <c r="J4800" s="18"/>
      <c r="K4800" s="4"/>
      <c r="L4800" s="19"/>
      <c r="M4800" s="20"/>
    </row>
    <row r="4801">
      <c r="A4801" s="6"/>
      <c r="B4801" s="6"/>
      <c r="C4801" s="4"/>
      <c r="D4801" s="36">
        <v>0.0</v>
      </c>
      <c r="E4801" s="4"/>
      <c r="F4801" s="4"/>
      <c r="G4801" s="4"/>
      <c r="H4801" s="4"/>
      <c r="I4801" s="4"/>
      <c r="J4801" s="18"/>
      <c r="K4801" s="4"/>
      <c r="L4801" s="19"/>
      <c r="M4801" s="20"/>
    </row>
    <row r="4802">
      <c r="A4802" s="6"/>
      <c r="B4802" s="6"/>
      <c r="C4802" s="4"/>
      <c r="D4802" s="36">
        <v>0.0</v>
      </c>
      <c r="E4802" s="4"/>
      <c r="F4802" s="4"/>
      <c r="G4802" s="4"/>
      <c r="H4802" s="4"/>
      <c r="I4802" s="4"/>
      <c r="J4802" s="18"/>
      <c r="K4802" s="4"/>
      <c r="L4802" s="19"/>
      <c r="M4802" s="20"/>
    </row>
    <row r="4803">
      <c r="A4803" s="6"/>
      <c r="B4803" s="6"/>
      <c r="C4803" s="4"/>
      <c r="D4803" s="36">
        <v>0.0</v>
      </c>
      <c r="E4803" s="4"/>
      <c r="F4803" s="4"/>
      <c r="G4803" s="4"/>
      <c r="H4803" s="4"/>
      <c r="I4803" s="4"/>
      <c r="J4803" s="18"/>
      <c r="K4803" s="4"/>
      <c r="L4803" s="19"/>
      <c r="M4803" s="20"/>
    </row>
    <row r="4804">
      <c r="A4804" s="6"/>
      <c r="B4804" s="6"/>
      <c r="C4804" s="4"/>
      <c r="D4804" s="36">
        <v>0.0</v>
      </c>
      <c r="E4804" s="4"/>
      <c r="F4804" s="4"/>
      <c r="G4804" s="4"/>
      <c r="H4804" s="4"/>
      <c r="I4804" s="4"/>
      <c r="J4804" s="18"/>
      <c r="K4804" s="4"/>
      <c r="L4804" s="19"/>
      <c r="M4804" s="20"/>
    </row>
    <row r="4805">
      <c r="A4805" s="6"/>
      <c r="B4805" s="6"/>
      <c r="C4805" s="4"/>
      <c r="D4805" s="36">
        <v>0.0</v>
      </c>
      <c r="E4805" s="4"/>
      <c r="F4805" s="4"/>
      <c r="G4805" s="4"/>
      <c r="H4805" s="4"/>
      <c r="I4805" s="4"/>
      <c r="J4805" s="18"/>
      <c r="K4805" s="4"/>
      <c r="L4805" s="19"/>
      <c r="M4805" s="20"/>
    </row>
    <row r="4806">
      <c r="A4806" s="6"/>
      <c r="B4806" s="6"/>
      <c r="C4806" s="4"/>
      <c r="D4806" s="36">
        <v>0.0</v>
      </c>
      <c r="E4806" s="4"/>
      <c r="F4806" s="4"/>
      <c r="G4806" s="4"/>
      <c r="H4806" s="4"/>
      <c r="I4806" s="4"/>
      <c r="J4806" s="18"/>
      <c r="K4806" s="4"/>
      <c r="L4806" s="19"/>
      <c r="M4806" s="20"/>
    </row>
    <row r="4807">
      <c r="A4807" s="6"/>
      <c r="B4807" s="6"/>
      <c r="C4807" s="4"/>
      <c r="D4807" s="36">
        <v>0.0</v>
      </c>
      <c r="E4807" s="4"/>
      <c r="F4807" s="4"/>
      <c r="G4807" s="4"/>
      <c r="H4807" s="4"/>
      <c r="I4807" s="4"/>
      <c r="J4807" s="18"/>
      <c r="K4807" s="4"/>
      <c r="L4807" s="19"/>
      <c r="M4807" s="20"/>
    </row>
    <row r="4808">
      <c r="A4808" s="6"/>
      <c r="B4808" s="6"/>
      <c r="C4808" s="4"/>
      <c r="D4808" s="36">
        <v>0.0</v>
      </c>
      <c r="E4808" s="4"/>
      <c r="F4808" s="4"/>
      <c r="G4808" s="4"/>
      <c r="H4808" s="4"/>
      <c r="I4808" s="4"/>
      <c r="J4808" s="18"/>
      <c r="K4808" s="4"/>
      <c r="L4808" s="19"/>
      <c r="M4808" s="20"/>
    </row>
    <row r="4809">
      <c r="A4809" s="6"/>
      <c r="B4809" s="6"/>
      <c r="C4809" s="4"/>
      <c r="D4809" s="36">
        <v>0.0</v>
      </c>
      <c r="E4809" s="4"/>
      <c r="F4809" s="4"/>
      <c r="G4809" s="4"/>
      <c r="H4809" s="4"/>
      <c r="I4809" s="4"/>
      <c r="J4809" s="18"/>
      <c r="K4809" s="4"/>
      <c r="L4809" s="19"/>
      <c r="M4809" s="20"/>
    </row>
    <row r="4810">
      <c r="A4810" s="6"/>
      <c r="B4810" s="6"/>
      <c r="C4810" s="4"/>
      <c r="D4810" s="36">
        <v>0.0</v>
      </c>
      <c r="E4810" s="4"/>
      <c r="F4810" s="4"/>
      <c r="G4810" s="4"/>
      <c r="H4810" s="4"/>
      <c r="I4810" s="4"/>
      <c r="J4810" s="18"/>
      <c r="K4810" s="4"/>
      <c r="L4810" s="19"/>
      <c r="M4810" s="20"/>
    </row>
    <row r="4811">
      <c r="A4811" s="6"/>
      <c r="B4811" s="6"/>
      <c r="C4811" s="4"/>
      <c r="D4811" s="36">
        <v>0.0</v>
      </c>
      <c r="E4811" s="4"/>
      <c r="F4811" s="4"/>
      <c r="G4811" s="4"/>
      <c r="H4811" s="4"/>
      <c r="I4811" s="4"/>
      <c r="J4811" s="18"/>
      <c r="K4811" s="4"/>
      <c r="L4811" s="19"/>
      <c r="M4811" s="20"/>
    </row>
    <row r="4812">
      <c r="A4812" s="6"/>
      <c r="B4812" s="6"/>
      <c r="C4812" s="4"/>
      <c r="D4812" s="36">
        <v>0.0</v>
      </c>
      <c r="E4812" s="4"/>
      <c r="F4812" s="4"/>
      <c r="G4812" s="4"/>
      <c r="H4812" s="4"/>
      <c r="I4812" s="4"/>
      <c r="J4812" s="18"/>
      <c r="K4812" s="4"/>
      <c r="L4812" s="19"/>
      <c r="M4812" s="20"/>
    </row>
    <row r="4813">
      <c r="A4813" s="6"/>
      <c r="B4813" s="6"/>
      <c r="C4813" s="4"/>
      <c r="D4813" s="36">
        <v>0.0</v>
      </c>
      <c r="E4813" s="4"/>
      <c r="F4813" s="4"/>
      <c r="G4813" s="4"/>
      <c r="H4813" s="4"/>
      <c r="I4813" s="4"/>
      <c r="J4813" s="18"/>
      <c r="K4813" s="4"/>
      <c r="L4813" s="19"/>
      <c r="M4813" s="20"/>
    </row>
    <row r="4814">
      <c r="A4814" s="6"/>
      <c r="B4814" s="6"/>
      <c r="C4814" s="4"/>
      <c r="D4814" s="36">
        <v>0.0</v>
      </c>
      <c r="E4814" s="4"/>
      <c r="F4814" s="4"/>
      <c r="G4814" s="4"/>
      <c r="H4814" s="4"/>
      <c r="I4814" s="4"/>
      <c r="J4814" s="18"/>
      <c r="K4814" s="4"/>
      <c r="L4814" s="19"/>
      <c r="M4814" s="20"/>
    </row>
    <row r="4815">
      <c r="A4815" s="6"/>
      <c r="B4815" s="6"/>
      <c r="C4815" s="4"/>
      <c r="D4815" s="36">
        <v>0.0</v>
      </c>
      <c r="E4815" s="4"/>
      <c r="F4815" s="4"/>
      <c r="G4815" s="4"/>
      <c r="H4815" s="4"/>
      <c r="I4815" s="4"/>
      <c r="J4815" s="18"/>
      <c r="K4815" s="4"/>
      <c r="L4815" s="19"/>
      <c r="M4815" s="20"/>
    </row>
    <row r="4816">
      <c r="A4816" s="6"/>
      <c r="B4816" s="6"/>
      <c r="C4816" s="4"/>
      <c r="D4816" s="36">
        <v>0.0</v>
      </c>
      <c r="E4816" s="4"/>
      <c r="F4816" s="4"/>
      <c r="G4816" s="4"/>
      <c r="H4816" s="4"/>
      <c r="I4816" s="4"/>
      <c r="J4816" s="18"/>
      <c r="K4816" s="4"/>
      <c r="L4816" s="19"/>
      <c r="M4816" s="20"/>
    </row>
    <row r="4817">
      <c r="A4817" s="6"/>
      <c r="B4817" s="6"/>
      <c r="C4817" s="4"/>
      <c r="D4817" s="36">
        <v>0.0</v>
      </c>
      <c r="E4817" s="4"/>
      <c r="F4817" s="4"/>
      <c r="G4817" s="4"/>
      <c r="H4817" s="4"/>
      <c r="I4817" s="4"/>
      <c r="J4817" s="18"/>
      <c r="K4817" s="4"/>
      <c r="L4817" s="19"/>
      <c r="M4817" s="20"/>
    </row>
    <row r="4818">
      <c r="A4818" s="6"/>
      <c r="B4818" s="6"/>
      <c r="C4818" s="4"/>
      <c r="D4818" s="36">
        <v>0.0</v>
      </c>
      <c r="E4818" s="4"/>
      <c r="F4818" s="4"/>
      <c r="G4818" s="4"/>
      <c r="H4818" s="4"/>
      <c r="I4818" s="4"/>
      <c r="J4818" s="18"/>
      <c r="K4818" s="4"/>
      <c r="L4818" s="19"/>
      <c r="M4818" s="20"/>
    </row>
    <row r="4819">
      <c r="A4819" s="6"/>
      <c r="B4819" s="6"/>
      <c r="C4819" s="4"/>
      <c r="D4819" s="36">
        <v>0.0</v>
      </c>
      <c r="E4819" s="4"/>
      <c r="F4819" s="4"/>
      <c r="G4819" s="4"/>
      <c r="H4819" s="4"/>
      <c r="I4819" s="4"/>
      <c r="J4819" s="18"/>
      <c r="K4819" s="4"/>
      <c r="L4819" s="19"/>
      <c r="M4819" s="20"/>
    </row>
    <row r="4820">
      <c r="A4820" s="6"/>
      <c r="B4820" s="6"/>
      <c r="C4820" s="4"/>
      <c r="D4820" s="36">
        <v>0.0</v>
      </c>
      <c r="E4820" s="4"/>
      <c r="F4820" s="4"/>
      <c r="G4820" s="4"/>
      <c r="H4820" s="4"/>
      <c r="I4820" s="4"/>
      <c r="J4820" s="18"/>
      <c r="K4820" s="4"/>
      <c r="L4820" s="19"/>
      <c r="M4820" s="20"/>
    </row>
    <row r="4821">
      <c r="A4821" s="6"/>
      <c r="B4821" s="6"/>
      <c r="C4821" s="4"/>
      <c r="D4821" s="36">
        <v>0.0</v>
      </c>
      <c r="E4821" s="4"/>
      <c r="F4821" s="4"/>
      <c r="G4821" s="4"/>
      <c r="H4821" s="4"/>
      <c r="I4821" s="4"/>
      <c r="J4821" s="18"/>
      <c r="K4821" s="4"/>
      <c r="L4821" s="19"/>
      <c r="M4821" s="20"/>
    </row>
    <row r="4822">
      <c r="A4822" s="6"/>
      <c r="B4822" s="6"/>
      <c r="C4822" s="4"/>
      <c r="D4822" s="36">
        <v>0.0</v>
      </c>
      <c r="E4822" s="4"/>
      <c r="F4822" s="4"/>
      <c r="G4822" s="4"/>
      <c r="H4822" s="4"/>
      <c r="I4822" s="4"/>
      <c r="J4822" s="18"/>
      <c r="K4822" s="4"/>
      <c r="L4822" s="19"/>
      <c r="M4822" s="20"/>
    </row>
    <row r="4823">
      <c r="A4823" s="6"/>
      <c r="B4823" s="6"/>
      <c r="C4823" s="4"/>
      <c r="D4823" s="36">
        <v>0.0</v>
      </c>
      <c r="E4823" s="4"/>
      <c r="F4823" s="4"/>
      <c r="G4823" s="4"/>
      <c r="H4823" s="4"/>
      <c r="I4823" s="4"/>
      <c r="J4823" s="18"/>
      <c r="K4823" s="4"/>
      <c r="L4823" s="19"/>
      <c r="M4823" s="20"/>
    </row>
    <row r="4824">
      <c r="A4824" s="6"/>
      <c r="B4824" s="6"/>
      <c r="C4824" s="4"/>
      <c r="D4824" s="36">
        <v>0.0</v>
      </c>
      <c r="E4824" s="4"/>
      <c r="F4824" s="4"/>
      <c r="G4824" s="4"/>
      <c r="H4824" s="4"/>
      <c r="I4824" s="4"/>
      <c r="J4824" s="18"/>
      <c r="K4824" s="4"/>
      <c r="L4824" s="19"/>
      <c r="M4824" s="20"/>
    </row>
    <row r="4825">
      <c r="A4825" s="6"/>
      <c r="B4825" s="6"/>
      <c r="C4825" s="4"/>
      <c r="D4825" s="36">
        <v>0.0</v>
      </c>
      <c r="E4825" s="4"/>
      <c r="F4825" s="4"/>
      <c r="G4825" s="4"/>
      <c r="H4825" s="4"/>
      <c r="I4825" s="4"/>
      <c r="J4825" s="18"/>
      <c r="K4825" s="4"/>
      <c r="L4825" s="19"/>
      <c r="M4825" s="20"/>
    </row>
    <row r="4826">
      <c r="A4826" s="6"/>
      <c r="B4826" s="6"/>
      <c r="C4826" s="4"/>
      <c r="D4826" s="36">
        <v>0.0</v>
      </c>
      <c r="E4826" s="4"/>
      <c r="F4826" s="4"/>
      <c r="G4826" s="4"/>
      <c r="H4826" s="4"/>
      <c r="I4826" s="4"/>
      <c r="J4826" s="18"/>
      <c r="K4826" s="4"/>
      <c r="L4826" s="19"/>
      <c r="M4826" s="20"/>
    </row>
    <row r="4827">
      <c r="A4827" s="6"/>
      <c r="B4827" s="6"/>
      <c r="C4827" s="4"/>
      <c r="D4827" s="36">
        <v>0.0</v>
      </c>
      <c r="E4827" s="4"/>
      <c r="F4827" s="4"/>
      <c r="G4827" s="4"/>
      <c r="H4827" s="4"/>
      <c r="I4827" s="4"/>
      <c r="J4827" s="18"/>
      <c r="K4827" s="4"/>
      <c r="L4827" s="19"/>
      <c r="M4827" s="20"/>
    </row>
    <row r="4828">
      <c r="A4828" s="6"/>
      <c r="B4828" s="6"/>
      <c r="C4828" s="4"/>
      <c r="D4828" s="36">
        <v>0.0</v>
      </c>
      <c r="E4828" s="4"/>
      <c r="F4828" s="4"/>
      <c r="G4828" s="4"/>
      <c r="H4828" s="4"/>
      <c r="I4828" s="4"/>
      <c r="J4828" s="18"/>
      <c r="K4828" s="4"/>
      <c r="L4828" s="19"/>
      <c r="M4828" s="20"/>
    </row>
    <row r="4829">
      <c r="A4829" s="6"/>
      <c r="B4829" s="6"/>
      <c r="C4829" s="4"/>
      <c r="D4829" s="36">
        <v>0.0</v>
      </c>
      <c r="E4829" s="4"/>
      <c r="F4829" s="4"/>
      <c r="G4829" s="4"/>
      <c r="H4829" s="4"/>
      <c r="I4829" s="4"/>
      <c r="J4829" s="18"/>
      <c r="K4829" s="4"/>
      <c r="L4829" s="19"/>
      <c r="M4829" s="20"/>
    </row>
    <row r="4830">
      <c r="A4830" s="6"/>
      <c r="B4830" s="6"/>
      <c r="C4830" s="4"/>
      <c r="D4830" s="36">
        <v>0.0</v>
      </c>
      <c r="E4830" s="4"/>
      <c r="F4830" s="4"/>
      <c r="G4830" s="4"/>
      <c r="H4830" s="4"/>
      <c r="I4830" s="4"/>
      <c r="J4830" s="18"/>
      <c r="K4830" s="4"/>
      <c r="L4830" s="19"/>
      <c r="M4830" s="20"/>
    </row>
    <row r="4831">
      <c r="A4831" s="6"/>
      <c r="B4831" s="6"/>
      <c r="C4831" s="4"/>
      <c r="D4831" s="36">
        <v>0.0</v>
      </c>
      <c r="E4831" s="4"/>
      <c r="F4831" s="4"/>
      <c r="G4831" s="4"/>
      <c r="H4831" s="4"/>
      <c r="I4831" s="4"/>
      <c r="J4831" s="18"/>
      <c r="K4831" s="4"/>
      <c r="L4831" s="19"/>
      <c r="M4831" s="20"/>
    </row>
    <row r="4832">
      <c r="A4832" s="6"/>
      <c r="B4832" s="6"/>
      <c r="C4832" s="4"/>
      <c r="D4832" s="36">
        <v>0.0</v>
      </c>
      <c r="E4832" s="4"/>
      <c r="F4832" s="4"/>
      <c r="G4832" s="4"/>
      <c r="H4832" s="4"/>
      <c r="I4832" s="4"/>
      <c r="J4832" s="18"/>
      <c r="K4832" s="4"/>
      <c r="L4832" s="19"/>
      <c r="M4832" s="20"/>
    </row>
    <row r="4833">
      <c r="A4833" s="6"/>
      <c r="B4833" s="6"/>
      <c r="C4833" s="4"/>
      <c r="D4833" s="36">
        <v>0.0</v>
      </c>
      <c r="E4833" s="4"/>
      <c r="F4833" s="4"/>
      <c r="G4833" s="4"/>
      <c r="H4833" s="4"/>
      <c r="I4833" s="4"/>
      <c r="J4833" s="18"/>
      <c r="K4833" s="4"/>
      <c r="L4833" s="19"/>
      <c r="M4833" s="20"/>
    </row>
    <row r="4834">
      <c r="A4834" s="6"/>
      <c r="B4834" s="6"/>
      <c r="C4834" s="4"/>
      <c r="D4834" s="36">
        <v>0.0</v>
      </c>
      <c r="E4834" s="4"/>
      <c r="F4834" s="4"/>
      <c r="G4834" s="4"/>
      <c r="H4834" s="4"/>
      <c r="I4834" s="4"/>
      <c r="J4834" s="18"/>
      <c r="K4834" s="4"/>
      <c r="L4834" s="19"/>
      <c r="M4834" s="20"/>
    </row>
    <row r="4835">
      <c r="A4835" s="6"/>
      <c r="B4835" s="6"/>
      <c r="C4835" s="4"/>
      <c r="D4835" s="36">
        <v>0.0</v>
      </c>
      <c r="E4835" s="4"/>
      <c r="F4835" s="4"/>
      <c r="G4835" s="4"/>
      <c r="H4835" s="4"/>
      <c r="I4835" s="4"/>
      <c r="J4835" s="18"/>
      <c r="K4835" s="4"/>
      <c r="L4835" s="19"/>
      <c r="M4835" s="20"/>
    </row>
    <row r="4836">
      <c r="A4836" s="6"/>
      <c r="B4836" s="6"/>
      <c r="C4836" s="4"/>
      <c r="D4836" s="36">
        <v>0.0</v>
      </c>
      <c r="E4836" s="4"/>
      <c r="F4836" s="4"/>
      <c r="G4836" s="4"/>
      <c r="H4836" s="4"/>
      <c r="I4836" s="4"/>
      <c r="J4836" s="18"/>
      <c r="K4836" s="4"/>
      <c r="L4836" s="19"/>
      <c r="M4836" s="20"/>
    </row>
    <row r="4837">
      <c r="A4837" s="6"/>
      <c r="B4837" s="6"/>
      <c r="C4837" s="4"/>
      <c r="D4837" s="36">
        <v>0.0</v>
      </c>
      <c r="E4837" s="4"/>
      <c r="F4837" s="4"/>
      <c r="G4837" s="4"/>
      <c r="H4837" s="4"/>
      <c r="I4837" s="4"/>
      <c r="J4837" s="18"/>
      <c r="K4837" s="4"/>
      <c r="L4837" s="19"/>
      <c r="M4837" s="20"/>
    </row>
    <row r="4838">
      <c r="A4838" s="6"/>
      <c r="B4838" s="6"/>
      <c r="C4838" s="4"/>
      <c r="D4838" s="36">
        <v>0.0</v>
      </c>
      <c r="E4838" s="4"/>
      <c r="F4838" s="4"/>
      <c r="G4838" s="4"/>
      <c r="H4838" s="4"/>
      <c r="I4838" s="4"/>
      <c r="J4838" s="18"/>
      <c r="K4838" s="4"/>
      <c r="L4838" s="19"/>
      <c r="M4838" s="20"/>
    </row>
    <row r="4839">
      <c r="A4839" s="6"/>
      <c r="B4839" s="6"/>
      <c r="C4839" s="4"/>
      <c r="D4839" s="36">
        <v>0.0</v>
      </c>
      <c r="E4839" s="4"/>
      <c r="F4839" s="4"/>
      <c r="G4839" s="4"/>
      <c r="H4839" s="4"/>
      <c r="I4839" s="4"/>
      <c r="J4839" s="18"/>
      <c r="K4839" s="4"/>
      <c r="L4839" s="19"/>
      <c r="M4839" s="20"/>
    </row>
    <row r="4840">
      <c r="A4840" s="6"/>
      <c r="B4840" s="6"/>
      <c r="C4840" s="4"/>
      <c r="D4840" s="36">
        <v>0.0</v>
      </c>
      <c r="E4840" s="4"/>
      <c r="F4840" s="4"/>
      <c r="G4840" s="4"/>
      <c r="H4840" s="4"/>
      <c r="I4840" s="4"/>
      <c r="J4840" s="18"/>
      <c r="K4840" s="4"/>
      <c r="L4840" s="19"/>
      <c r="M4840" s="20"/>
    </row>
    <row r="4841">
      <c r="A4841" s="6"/>
      <c r="B4841" s="6"/>
      <c r="C4841" s="4"/>
      <c r="D4841" s="36">
        <v>0.0</v>
      </c>
      <c r="E4841" s="4"/>
      <c r="F4841" s="4"/>
      <c r="G4841" s="4"/>
      <c r="H4841" s="4"/>
      <c r="I4841" s="4"/>
      <c r="J4841" s="18"/>
      <c r="K4841" s="4"/>
      <c r="L4841" s="19"/>
      <c r="M4841" s="20"/>
    </row>
    <row r="4842">
      <c r="A4842" s="6"/>
      <c r="B4842" s="6"/>
      <c r="C4842" s="4"/>
      <c r="D4842" s="36">
        <v>0.0</v>
      </c>
      <c r="E4842" s="4"/>
      <c r="F4842" s="4"/>
      <c r="G4842" s="4"/>
      <c r="H4842" s="4"/>
      <c r="I4842" s="4"/>
      <c r="J4842" s="18"/>
      <c r="K4842" s="4"/>
      <c r="L4842" s="19"/>
      <c r="M4842" s="20"/>
    </row>
    <row r="4843">
      <c r="A4843" s="6"/>
      <c r="B4843" s="6"/>
      <c r="C4843" s="4"/>
      <c r="D4843" s="36">
        <v>0.0</v>
      </c>
      <c r="E4843" s="4"/>
      <c r="F4843" s="4"/>
      <c r="G4843" s="4"/>
      <c r="H4843" s="4"/>
      <c r="I4843" s="4"/>
      <c r="J4843" s="18"/>
      <c r="K4843" s="4"/>
      <c r="L4843" s="19"/>
      <c r="M4843" s="20"/>
    </row>
    <row r="4844">
      <c r="A4844" s="6"/>
      <c r="B4844" s="6"/>
      <c r="C4844" s="4"/>
      <c r="D4844" s="36">
        <v>0.0</v>
      </c>
      <c r="E4844" s="4"/>
      <c r="F4844" s="4"/>
      <c r="G4844" s="4"/>
      <c r="H4844" s="4"/>
      <c r="I4844" s="4"/>
      <c r="J4844" s="18"/>
      <c r="K4844" s="4"/>
      <c r="L4844" s="19"/>
      <c r="M4844" s="20"/>
    </row>
    <row r="4845">
      <c r="A4845" s="6"/>
      <c r="B4845" s="6"/>
      <c r="C4845" s="4"/>
      <c r="D4845" s="36">
        <v>0.0</v>
      </c>
      <c r="E4845" s="4"/>
      <c r="F4845" s="4"/>
      <c r="G4845" s="4"/>
      <c r="H4845" s="4"/>
      <c r="I4845" s="4"/>
      <c r="J4845" s="18"/>
      <c r="K4845" s="4"/>
      <c r="L4845" s="19"/>
      <c r="M4845" s="20"/>
    </row>
    <row r="4846">
      <c r="A4846" s="6"/>
      <c r="B4846" s="6"/>
      <c r="C4846" s="4"/>
      <c r="D4846" s="36">
        <v>0.0</v>
      </c>
      <c r="E4846" s="4"/>
      <c r="F4846" s="4"/>
      <c r="G4846" s="4"/>
      <c r="H4846" s="4"/>
      <c r="I4846" s="4"/>
      <c r="J4846" s="18"/>
      <c r="K4846" s="4"/>
      <c r="L4846" s="19"/>
      <c r="M4846" s="20"/>
    </row>
    <row r="4847">
      <c r="A4847" s="6"/>
      <c r="B4847" s="6"/>
      <c r="C4847" s="4"/>
      <c r="D4847" s="36">
        <v>0.0</v>
      </c>
      <c r="E4847" s="4"/>
      <c r="F4847" s="4"/>
      <c r="G4847" s="4"/>
      <c r="H4847" s="4"/>
      <c r="I4847" s="4"/>
      <c r="J4847" s="18"/>
      <c r="K4847" s="4"/>
      <c r="L4847" s="19"/>
      <c r="M4847" s="20"/>
    </row>
    <row r="4848">
      <c r="A4848" s="6"/>
      <c r="B4848" s="6"/>
      <c r="C4848" s="4"/>
      <c r="D4848" s="36">
        <v>0.0</v>
      </c>
      <c r="E4848" s="4"/>
      <c r="F4848" s="4"/>
      <c r="G4848" s="4"/>
      <c r="H4848" s="4"/>
      <c r="I4848" s="4"/>
      <c r="J4848" s="18"/>
      <c r="K4848" s="4"/>
      <c r="L4848" s="19"/>
      <c r="M4848" s="20"/>
    </row>
    <row r="4849">
      <c r="A4849" s="6"/>
      <c r="B4849" s="6"/>
      <c r="C4849" s="4"/>
      <c r="D4849" s="36">
        <v>0.0</v>
      </c>
      <c r="E4849" s="4"/>
      <c r="F4849" s="4"/>
      <c r="G4849" s="4"/>
      <c r="H4849" s="4"/>
      <c r="I4849" s="4"/>
      <c r="J4849" s="18"/>
      <c r="K4849" s="4"/>
      <c r="L4849" s="19"/>
      <c r="M4849" s="20"/>
    </row>
    <row r="4850">
      <c r="A4850" s="6"/>
      <c r="B4850" s="6"/>
      <c r="C4850" s="4"/>
      <c r="D4850" s="36">
        <v>0.0</v>
      </c>
      <c r="E4850" s="4"/>
      <c r="F4850" s="4"/>
      <c r="G4850" s="4"/>
      <c r="H4850" s="4"/>
      <c r="I4850" s="4"/>
      <c r="J4850" s="18"/>
      <c r="K4850" s="4"/>
      <c r="L4850" s="19"/>
      <c r="M4850" s="20"/>
    </row>
    <row r="4851">
      <c r="A4851" s="6"/>
      <c r="B4851" s="6"/>
      <c r="C4851" s="4"/>
      <c r="D4851" s="36">
        <v>0.0</v>
      </c>
      <c r="E4851" s="4"/>
      <c r="F4851" s="4"/>
      <c r="G4851" s="4"/>
      <c r="H4851" s="4"/>
      <c r="I4851" s="4"/>
      <c r="J4851" s="18"/>
      <c r="K4851" s="4"/>
      <c r="L4851" s="19"/>
      <c r="M4851" s="20"/>
    </row>
    <row r="4852">
      <c r="A4852" s="6"/>
      <c r="B4852" s="6"/>
      <c r="C4852" s="4"/>
      <c r="D4852" s="36">
        <v>0.0</v>
      </c>
      <c r="E4852" s="4"/>
      <c r="F4852" s="4"/>
      <c r="G4852" s="4"/>
      <c r="H4852" s="4"/>
      <c r="I4852" s="4"/>
      <c r="J4852" s="18"/>
      <c r="K4852" s="4"/>
      <c r="L4852" s="19"/>
      <c r="M4852" s="20"/>
    </row>
    <row r="4853">
      <c r="A4853" s="6"/>
      <c r="B4853" s="6"/>
      <c r="C4853" s="4"/>
      <c r="D4853" s="36">
        <v>0.0</v>
      </c>
      <c r="E4853" s="4"/>
      <c r="F4853" s="4"/>
      <c r="G4853" s="4"/>
      <c r="H4853" s="4"/>
      <c r="I4853" s="4"/>
      <c r="J4853" s="18"/>
      <c r="K4853" s="4"/>
      <c r="L4853" s="19"/>
      <c r="M4853" s="20"/>
    </row>
    <row r="4854">
      <c r="A4854" s="6"/>
      <c r="B4854" s="6"/>
      <c r="C4854" s="4"/>
      <c r="D4854" s="36">
        <v>0.0</v>
      </c>
      <c r="E4854" s="4"/>
      <c r="F4854" s="4"/>
      <c r="G4854" s="4"/>
      <c r="H4854" s="4"/>
      <c r="I4854" s="4"/>
      <c r="J4854" s="18"/>
      <c r="K4854" s="4"/>
      <c r="L4854" s="19"/>
      <c r="M4854" s="20"/>
    </row>
    <row r="4855">
      <c r="A4855" s="6"/>
      <c r="B4855" s="6"/>
      <c r="C4855" s="4"/>
      <c r="D4855" s="36">
        <v>0.0</v>
      </c>
      <c r="E4855" s="4"/>
      <c r="F4855" s="4"/>
      <c r="G4855" s="4"/>
      <c r="H4855" s="4"/>
      <c r="I4855" s="4"/>
      <c r="J4855" s="18"/>
      <c r="K4855" s="4"/>
      <c r="L4855" s="19"/>
      <c r="M4855" s="20"/>
    </row>
    <row r="4856">
      <c r="A4856" s="6"/>
      <c r="B4856" s="6"/>
      <c r="C4856" s="4"/>
      <c r="D4856" s="36">
        <v>0.0</v>
      </c>
      <c r="E4856" s="4"/>
      <c r="F4856" s="4"/>
      <c r="G4856" s="4"/>
      <c r="H4856" s="4"/>
      <c r="I4856" s="4"/>
      <c r="J4856" s="18"/>
      <c r="K4856" s="4"/>
      <c r="L4856" s="19"/>
      <c r="M4856" s="20"/>
    </row>
    <row r="4857">
      <c r="A4857" s="6"/>
      <c r="B4857" s="6"/>
      <c r="C4857" s="4"/>
      <c r="D4857" s="36">
        <v>0.0</v>
      </c>
      <c r="E4857" s="4"/>
      <c r="F4857" s="4"/>
      <c r="G4857" s="4"/>
      <c r="H4857" s="4"/>
      <c r="I4857" s="4"/>
      <c r="J4857" s="18"/>
      <c r="K4857" s="4"/>
      <c r="L4857" s="19"/>
      <c r="M4857" s="20"/>
    </row>
    <row r="4858">
      <c r="A4858" s="6"/>
      <c r="B4858" s="6"/>
      <c r="C4858" s="4"/>
      <c r="D4858" s="36">
        <v>0.0</v>
      </c>
      <c r="E4858" s="4"/>
      <c r="F4858" s="4"/>
      <c r="G4858" s="4"/>
      <c r="H4858" s="4"/>
      <c r="I4858" s="4"/>
      <c r="J4858" s="18"/>
      <c r="K4858" s="4"/>
      <c r="L4858" s="19"/>
      <c r="M4858" s="20"/>
    </row>
    <row r="4859">
      <c r="A4859" s="6"/>
      <c r="B4859" s="6"/>
      <c r="C4859" s="4"/>
      <c r="D4859" s="36">
        <v>0.0</v>
      </c>
      <c r="E4859" s="4"/>
      <c r="F4859" s="4"/>
      <c r="G4859" s="4"/>
      <c r="H4859" s="4"/>
      <c r="I4859" s="4"/>
      <c r="J4859" s="18"/>
      <c r="K4859" s="4"/>
      <c r="L4859" s="19"/>
      <c r="M4859" s="20"/>
    </row>
    <row r="4860">
      <c r="A4860" s="6"/>
      <c r="B4860" s="6"/>
      <c r="C4860" s="4"/>
      <c r="D4860" s="36">
        <v>0.0</v>
      </c>
      <c r="E4860" s="4"/>
      <c r="F4860" s="4"/>
      <c r="G4860" s="4"/>
      <c r="H4860" s="4"/>
      <c r="I4860" s="4"/>
      <c r="J4860" s="18"/>
      <c r="K4860" s="4"/>
      <c r="L4860" s="19"/>
      <c r="M4860" s="20"/>
    </row>
    <row r="4861">
      <c r="A4861" s="6"/>
      <c r="B4861" s="6"/>
      <c r="C4861" s="4"/>
      <c r="D4861" s="36">
        <v>0.0</v>
      </c>
      <c r="E4861" s="4"/>
      <c r="F4861" s="4"/>
      <c r="G4861" s="4"/>
      <c r="H4861" s="4"/>
      <c r="I4861" s="4"/>
      <c r="J4861" s="18"/>
      <c r="K4861" s="4"/>
      <c r="L4861" s="19"/>
      <c r="M4861" s="20"/>
    </row>
    <row r="4862">
      <c r="A4862" s="6"/>
      <c r="B4862" s="6"/>
      <c r="C4862" s="4"/>
      <c r="D4862" s="36">
        <v>0.0</v>
      </c>
      <c r="E4862" s="4"/>
      <c r="F4862" s="4"/>
      <c r="G4862" s="4"/>
      <c r="H4862" s="4"/>
      <c r="I4862" s="4"/>
      <c r="J4862" s="18"/>
      <c r="K4862" s="4"/>
      <c r="L4862" s="19"/>
      <c r="M4862" s="20"/>
    </row>
    <row r="4863">
      <c r="A4863" s="6"/>
      <c r="B4863" s="6"/>
      <c r="C4863" s="4"/>
      <c r="D4863" s="36">
        <v>0.0</v>
      </c>
      <c r="E4863" s="4"/>
      <c r="F4863" s="4"/>
      <c r="G4863" s="4"/>
      <c r="H4863" s="4"/>
      <c r="I4863" s="4"/>
      <c r="J4863" s="18"/>
      <c r="K4863" s="4"/>
      <c r="L4863" s="19"/>
      <c r="M4863" s="20"/>
    </row>
    <row r="4864">
      <c r="A4864" s="6"/>
      <c r="B4864" s="6"/>
      <c r="C4864" s="4"/>
      <c r="D4864" s="36">
        <v>0.0</v>
      </c>
      <c r="E4864" s="4"/>
      <c r="F4864" s="4"/>
      <c r="G4864" s="4"/>
      <c r="H4864" s="4"/>
      <c r="I4864" s="4"/>
      <c r="J4864" s="18"/>
      <c r="K4864" s="4"/>
      <c r="L4864" s="19"/>
      <c r="M4864" s="20"/>
    </row>
    <row r="4865">
      <c r="A4865" s="6"/>
      <c r="B4865" s="6"/>
      <c r="C4865" s="4"/>
      <c r="D4865" s="36">
        <v>0.0</v>
      </c>
      <c r="E4865" s="4"/>
      <c r="F4865" s="4"/>
      <c r="G4865" s="4"/>
      <c r="H4865" s="4"/>
      <c r="I4865" s="4"/>
      <c r="J4865" s="18"/>
      <c r="K4865" s="4"/>
      <c r="L4865" s="19"/>
      <c r="M4865" s="20"/>
    </row>
    <row r="4866">
      <c r="A4866" s="6"/>
      <c r="B4866" s="6"/>
      <c r="C4866" s="4"/>
      <c r="D4866" s="36">
        <v>0.0</v>
      </c>
      <c r="E4866" s="4"/>
      <c r="F4866" s="4"/>
      <c r="G4866" s="4"/>
      <c r="H4866" s="4"/>
      <c r="I4866" s="4"/>
      <c r="J4866" s="18"/>
      <c r="K4866" s="4"/>
      <c r="L4866" s="19"/>
      <c r="M4866" s="20"/>
    </row>
    <row r="4867">
      <c r="A4867" s="6"/>
      <c r="B4867" s="6"/>
      <c r="C4867" s="4"/>
      <c r="D4867" s="36">
        <v>0.0</v>
      </c>
      <c r="E4867" s="4"/>
      <c r="F4867" s="4"/>
      <c r="G4867" s="4"/>
      <c r="H4867" s="4"/>
      <c r="I4867" s="4"/>
      <c r="J4867" s="18"/>
      <c r="K4867" s="4"/>
      <c r="L4867" s="19"/>
      <c r="M4867" s="20"/>
    </row>
    <row r="4868">
      <c r="A4868" s="6"/>
      <c r="B4868" s="6"/>
      <c r="C4868" s="4"/>
      <c r="D4868" s="36">
        <v>0.0</v>
      </c>
      <c r="E4868" s="4"/>
      <c r="F4868" s="4"/>
      <c r="G4868" s="4"/>
      <c r="H4868" s="4"/>
      <c r="I4868" s="4"/>
      <c r="J4868" s="18"/>
      <c r="K4868" s="4"/>
      <c r="L4868" s="19"/>
      <c r="M4868" s="20"/>
    </row>
    <row r="4869">
      <c r="A4869" s="6"/>
      <c r="B4869" s="6"/>
      <c r="C4869" s="4"/>
      <c r="D4869" s="36">
        <v>0.0</v>
      </c>
      <c r="E4869" s="4"/>
      <c r="F4869" s="4"/>
      <c r="G4869" s="4"/>
      <c r="H4869" s="4"/>
      <c r="I4869" s="4"/>
      <c r="J4869" s="18"/>
      <c r="K4869" s="4"/>
      <c r="L4869" s="19"/>
      <c r="M4869" s="20"/>
    </row>
    <row r="4870">
      <c r="A4870" s="6"/>
      <c r="B4870" s="6"/>
      <c r="C4870" s="4"/>
      <c r="D4870" s="36">
        <v>0.0</v>
      </c>
      <c r="E4870" s="4"/>
      <c r="F4870" s="4"/>
      <c r="G4870" s="4"/>
      <c r="H4870" s="4"/>
      <c r="I4870" s="4"/>
      <c r="J4870" s="18"/>
      <c r="K4870" s="4"/>
      <c r="L4870" s="19"/>
      <c r="M4870" s="20"/>
    </row>
    <row r="4871">
      <c r="A4871" s="6"/>
      <c r="B4871" s="6"/>
      <c r="C4871" s="4"/>
      <c r="D4871" s="36">
        <v>0.0</v>
      </c>
      <c r="E4871" s="4"/>
      <c r="F4871" s="4"/>
      <c r="G4871" s="4"/>
      <c r="H4871" s="4"/>
      <c r="I4871" s="4"/>
      <c r="J4871" s="18"/>
      <c r="K4871" s="4"/>
      <c r="L4871" s="19"/>
      <c r="M4871" s="20"/>
    </row>
    <row r="4872">
      <c r="A4872" s="6"/>
      <c r="B4872" s="6"/>
      <c r="C4872" s="4"/>
      <c r="D4872" s="36">
        <v>0.0</v>
      </c>
      <c r="E4872" s="4"/>
      <c r="F4872" s="4"/>
      <c r="G4872" s="4"/>
      <c r="H4872" s="4"/>
      <c r="I4872" s="4"/>
      <c r="J4872" s="18"/>
      <c r="K4872" s="4"/>
      <c r="L4872" s="19"/>
      <c r="M4872" s="20"/>
    </row>
    <row r="4873">
      <c r="A4873" s="6"/>
      <c r="B4873" s="6"/>
      <c r="C4873" s="4"/>
      <c r="D4873" s="36">
        <v>0.0</v>
      </c>
      <c r="E4873" s="4"/>
      <c r="F4873" s="4"/>
      <c r="G4873" s="4"/>
      <c r="H4873" s="4"/>
      <c r="I4873" s="4"/>
      <c r="J4873" s="18"/>
      <c r="K4873" s="4"/>
      <c r="L4873" s="19"/>
      <c r="M4873" s="20"/>
    </row>
    <row r="4874">
      <c r="A4874" s="6"/>
      <c r="B4874" s="6"/>
      <c r="C4874" s="4"/>
      <c r="D4874" s="36">
        <v>0.0</v>
      </c>
      <c r="E4874" s="4"/>
      <c r="F4874" s="4"/>
      <c r="G4874" s="4"/>
      <c r="H4874" s="4"/>
      <c r="I4874" s="4"/>
      <c r="J4874" s="18"/>
      <c r="K4874" s="4"/>
      <c r="L4874" s="19"/>
      <c r="M4874" s="20"/>
    </row>
    <row r="4875">
      <c r="A4875" s="6"/>
      <c r="B4875" s="6"/>
      <c r="C4875" s="4"/>
      <c r="D4875" s="36">
        <v>0.0</v>
      </c>
      <c r="E4875" s="4"/>
      <c r="F4875" s="4"/>
      <c r="G4875" s="4"/>
      <c r="H4875" s="4"/>
      <c r="I4875" s="4"/>
      <c r="J4875" s="18"/>
      <c r="K4875" s="4"/>
      <c r="L4875" s="19"/>
      <c r="M4875" s="20"/>
    </row>
    <row r="4876">
      <c r="A4876" s="6"/>
      <c r="B4876" s="6"/>
      <c r="C4876" s="4"/>
      <c r="D4876" s="36">
        <v>0.0</v>
      </c>
      <c r="E4876" s="4"/>
      <c r="F4876" s="4"/>
      <c r="G4876" s="4"/>
      <c r="H4876" s="4"/>
      <c r="I4876" s="4"/>
      <c r="J4876" s="18"/>
      <c r="K4876" s="4"/>
      <c r="L4876" s="19"/>
      <c r="M4876" s="20"/>
    </row>
    <row r="4877">
      <c r="A4877" s="6"/>
      <c r="B4877" s="6"/>
      <c r="C4877" s="4"/>
      <c r="D4877" s="36">
        <v>0.0</v>
      </c>
      <c r="E4877" s="4"/>
      <c r="F4877" s="4"/>
      <c r="G4877" s="4"/>
      <c r="H4877" s="4"/>
      <c r="I4877" s="4"/>
      <c r="J4877" s="18"/>
      <c r="K4877" s="4"/>
      <c r="L4877" s="19"/>
      <c r="M4877" s="20"/>
    </row>
    <row r="4878">
      <c r="A4878" s="6"/>
      <c r="B4878" s="6"/>
      <c r="C4878" s="4"/>
      <c r="D4878" s="36">
        <v>0.0</v>
      </c>
      <c r="E4878" s="4"/>
      <c r="F4878" s="4"/>
      <c r="G4878" s="4"/>
      <c r="H4878" s="4"/>
      <c r="I4878" s="4"/>
      <c r="J4878" s="18"/>
      <c r="K4878" s="4"/>
      <c r="L4878" s="19"/>
      <c r="M4878" s="20"/>
    </row>
    <row r="4879">
      <c r="A4879" s="6"/>
      <c r="B4879" s="6"/>
      <c r="C4879" s="4"/>
      <c r="D4879" s="36">
        <v>0.0</v>
      </c>
      <c r="E4879" s="4"/>
      <c r="F4879" s="4"/>
      <c r="G4879" s="4"/>
      <c r="H4879" s="4"/>
      <c r="I4879" s="4"/>
      <c r="J4879" s="18"/>
      <c r="K4879" s="4"/>
      <c r="L4879" s="19"/>
      <c r="M4879" s="20"/>
    </row>
    <row r="4880">
      <c r="A4880" s="6"/>
      <c r="B4880" s="6"/>
      <c r="C4880" s="4"/>
      <c r="D4880" s="36">
        <v>0.0</v>
      </c>
      <c r="E4880" s="4"/>
      <c r="F4880" s="4"/>
      <c r="G4880" s="4"/>
      <c r="H4880" s="4"/>
      <c r="I4880" s="4"/>
      <c r="J4880" s="18"/>
      <c r="K4880" s="4"/>
      <c r="L4880" s="19"/>
      <c r="M4880" s="20"/>
    </row>
    <row r="4881">
      <c r="A4881" s="6"/>
      <c r="B4881" s="6"/>
      <c r="C4881" s="4"/>
      <c r="D4881" s="36">
        <v>0.0</v>
      </c>
      <c r="E4881" s="4"/>
      <c r="F4881" s="4"/>
      <c r="G4881" s="4"/>
      <c r="H4881" s="4"/>
      <c r="I4881" s="4"/>
      <c r="J4881" s="18"/>
      <c r="K4881" s="4"/>
      <c r="L4881" s="19"/>
      <c r="M4881" s="20"/>
    </row>
    <row r="4882">
      <c r="A4882" s="6"/>
      <c r="B4882" s="6"/>
      <c r="C4882" s="4"/>
      <c r="D4882" s="36">
        <v>0.0</v>
      </c>
      <c r="E4882" s="4"/>
      <c r="F4882" s="4"/>
      <c r="G4882" s="4"/>
      <c r="H4882" s="4"/>
      <c r="I4882" s="4"/>
      <c r="J4882" s="18"/>
      <c r="K4882" s="4"/>
      <c r="L4882" s="19"/>
      <c r="M4882" s="20"/>
    </row>
    <row r="4883">
      <c r="A4883" s="6"/>
      <c r="B4883" s="6"/>
      <c r="C4883" s="4"/>
      <c r="D4883" s="36">
        <v>0.0</v>
      </c>
      <c r="E4883" s="4"/>
      <c r="F4883" s="4"/>
      <c r="G4883" s="4"/>
      <c r="H4883" s="4"/>
      <c r="I4883" s="4"/>
      <c r="J4883" s="18"/>
      <c r="K4883" s="4"/>
      <c r="L4883" s="19"/>
      <c r="M4883" s="20"/>
    </row>
    <row r="4884">
      <c r="A4884" s="6"/>
      <c r="B4884" s="6"/>
      <c r="C4884" s="4"/>
      <c r="D4884" s="36">
        <v>0.0</v>
      </c>
      <c r="E4884" s="4"/>
      <c r="F4884" s="4"/>
      <c r="G4884" s="4"/>
      <c r="H4884" s="4"/>
      <c r="I4884" s="4"/>
      <c r="J4884" s="18"/>
      <c r="K4884" s="4"/>
      <c r="L4884" s="19"/>
      <c r="M4884" s="20"/>
    </row>
    <row r="4885">
      <c r="A4885" s="6"/>
      <c r="B4885" s="6"/>
      <c r="C4885" s="4"/>
      <c r="D4885" s="36">
        <v>0.0</v>
      </c>
      <c r="E4885" s="4"/>
      <c r="F4885" s="4"/>
      <c r="G4885" s="4"/>
      <c r="H4885" s="4"/>
      <c r="I4885" s="4"/>
      <c r="J4885" s="18"/>
      <c r="K4885" s="4"/>
      <c r="L4885" s="19"/>
      <c r="M4885" s="20"/>
    </row>
    <row r="4886">
      <c r="A4886" s="6"/>
      <c r="B4886" s="6"/>
      <c r="C4886" s="4"/>
      <c r="D4886" s="36">
        <v>0.0</v>
      </c>
      <c r="E4886" s="4"/>
      <c r="F4886" s="4"/>
      <c r="G4886" s="4"/>
      <c r="H4886" s="4"/>
      <c r="I4886" s="4"/>
      <c r="J4886" s="18"/>
      <c r="K4886" s="4"/>
      <c r="L4886" s="19"/>
      <c r="M4886" s="20"/>
    </row>
    <row r="4887">
      <c r="A4887" s="6"/>
      <c r="B4887" s="6"/>
      <c r="C4887" s="4"/>
      <c r="D4887" s="36">
        <v>0.0</v>
      </c>
      <c r="E4887" s="4"/>
      <c r="F4887" s="4"/>
      <c r="G4887" s="4"/>
      <c r="H4887" s="4"/>
      <c r="I4887" s="4"/>
      <c r="J4887" s="18"/>
      <c r="K4887" s="4"/>
      <c r="L4887" s="19"/>
      <c r="M4887" s="20"/>
    </row>
    <row r="4888">
      <c r="A4888" s="6"/>
      <c r="B4888" s="6"/>
      <c r="C4888" s="4"/>
      <c r="D4888" s="36">
        <v>0.0</v>
      </c>
      <c r="E4888" s="4"/>
      <c r="F4888" s="4"/>
      <c r="G4888" s="4"/>
      <c r="H4888" s="4"/>
      <c r="I4888" s="4"/>
      <c r="J4888" s="18"/>
      <c r="K4888" s="4"/>
      <c r="L4888" s="19"/>
      <c r="M4888" s="20"/>
    </row>
    <row r="4889">
      <c r="A4889" s="6"/>
      <c r="B4889" s="6"/>
      <c r="C4889" s="4"/>
      <c r="D4889" s="36">
        <v>0.0</v>
      </c>
      <c r="E4889" s="4"/>
      <c r="F4889" s="4"/>
      <c r="G4889" s="4"/>
      <c r="H4889" s="4"/>
      <c r="I4889" s="4"/>
      <c r="J4889" s="18"/>
      <c r="K4889" s="4"/>
      <c r="L4889" s="19"/>
      <c r="M4889" s="20"/>
    </row>
    <row r="4890">
      <c r="A4890" s="6"/>
      <c r="B4890" s="6"/>
      <c r="C4890" s="4"/>
      <c r="D4890" s="36">
        <v>0.0</v>
      </c>
      <c r="E4890" s="4"/>
      <c r="F4890" s="4"/>
      <c r="G4890" s="4"/>
      <c r="H4890" s="4"/>
      <c r="I4890" s="4"/>
      <c r="J4890" s="18"/>
      <c r="K4890" s="4"/>
      <c r="L4890" s="19"/>
      <c r="M4890" s="20"/>
    </row>
    <row r="4891">
      <c r="A4891" s="6"/>
      <c r="B4891" s="6"/>
      <c r="C4891" s="4"/>
      <c r="D4891" s="36">
        <v>0.0</v>
      </c>
      <c r="E4891" s="4"/>
      <c r="F4891" s="4"/>
      <c r="G4891" s="4"/>
      <c r="H4891" s="4"/>
      <c r="I4891" s="4"/>
      <c r="J4891" s="18"/>
      <c r="K4891" s="4"/>
      <c r="L4891" s="19"/>
      <c r="M4891" s="20"/>
    </row>
    <row r="4892">
      <c r="A4892" s="6"/>
      <c r="B4892" s="6"/>
      <c r="C4892" s="4"/>
      <c r="D4892" s="36">
        <v>0.0</v>
      </c>
      <c r="E4892" s="4"/>
      <c r="F4892" s="4"/>
      <c r="G4892" s="4"/>
      <c r="H4892" s="4"/>
      <c r="I4892" s="4"/>
      <c r="J4892" s="18"/>
      <c r="K4892" s="4"/>
      <c r="L4892" s="19"/>
      <c r="M4892" s="20"/>
    </row>
    <row r="4893">
      <c r="A4893" s="6"/>
      <c r="B4893" s="6"/>
      <c r="C4893" s="4"/>
      <c r="D4893" s="36">
        <v>0.0</v>
      </c>
      <c r="E4893" s="4"/>
      <c r="F4893" s="4"/>
      <c r="G4893" s="4"/>
      <c r="H4893" s="4"/>
      <c r="I4893" s="4"/>
      <c r="J4893" s="18"/>
      <c r="K4893" s="4"/>
      <c r="L4893" s="19"/>
      <c r="M4893" s="20"/>
    </row>
    <row r="4894">
      <c r="A4894" s="6"/>
      <c r="B4894" s="6"/>
      <c r="C4894" s="4"/>
      <c r="D4894" s="36">
        <v>0.0</v>
      </c>
      <c r="E4894" s="4"/>
      <c r="F4894" s="4"/>
      <c r="G4894" s="4"/>
      <c r="H4894" s="4"/>
      <c r="I4894" s="4"/>
      <c r="J4894" s="18"/>
      <c r="K4894" s="4"/>
      <c r="L4894" s="19"/>
      <c r="M4894" s="20"/>
    </row>
    <row r="4895">
      <c r="A4895" s="6"/>
      <c r="B4895" s="6"/>
      <c r="C4895" s="4"/>
      <c r="D4895" s="36">
        <v>0.0</v>
      </c>
      <c r="E4895" s="4"/>
      <c r="F4895" s="4"/>
      <c r="G4895" s="4"/>
      <c r="H4895" s="4"/>
      <c r="I4895" s="4"/>
      <c r="J4895" s="18"/>
      <c r="K4895" s="4"/>
      <c r="L4895" s="19"/>
      <c r="M4895" s="20"/>
    </row>
    <row r="4896">
      <c r="A4896" s="6"/>
      <c r="B4896" s="6"/>
      <c r="C4896" s="4"/>
      <c r="D4896" s="36">
        <v>0.0</v>
      </c>
      <c r="E4896" s="4"/>
      <c r="F4896" s="4"/>
      <c r="G4896" s="4"/>
      <c r="H4896" s="4"/>
      <c r="I4896" s="4"/>
      <c r="J4896" s="18"/>
      <c r="K4896" s="4"/>
      <c r="L4896" s="19"/>
      <c r="M4896" s="20"/>
    </row>
    <row r="4897">
      <c r="A4897" s="6"/>
      <c r="B4897" s="6"/>
      <c r="C4897" s="4"/>
      <c r="D4897" s="36">
        <v>0.0</v>
      </c>
      <c r="E4897" s="4"/>
      <c r="F4897" s="4"/>
      <c r="G4897" s="4"/>
      <c r="H4897" s="4"/>
      <c r="I4897" s="4"/>
      <c r="J4897" s="18"/>
      <c r="K4897" s="4"/>
      <c r="L4897" s="19"/>
      <c r="M4897" s="20"/>
    </row>
    <row r="4898">
      <c r="A4898" s="6"/>
      <c r="B4898" s="6"/>
      <c r="C4898" s="4"/>
      <c r="D4898" s="36">
        <v>0.0</v>
      </c>
      <c r="E4898" s="4"/>
      <c r="F4898" s="4"/>
      <c r="G4898" s="4"/>
      <c r="H4898" s="4"/>
      <c r="I4898" s="4"/>
      <c r="J4898" s="18"/>
      <c r="K4898" s="4"/>
      <c r="L4898" s="19"/>
      <c r="M4898" s="20"/>
    </row>
    <row r="4899">
      <c r="A4899" s="6"/>
      <c r="B4899" s="6"/>
      <c r="C4899" s="4"/>
      <c r="D4899" s="36">
        <v>0.0</v>
      </c>
      <c r="E4899" s="4"/>
      <c r="F4899" s="4"/>
      <c r="G4899" s="4"/>
      <c r="H4899" s="4"/>
      <c r="I4899" s="4"/>
      <c r="J4899" s="18"/>
      <c r="K4899" s="4"/>
      <c r="L4899" s="19"/>
      <c r="M4899" s="20"/>
    </row>
    <row r="4900">
      <c r="A4900" s="6"/>
      <c r="B4900" s="6"/>
      <c r="C4900" s="4"/>
      <c r="D4900" s="36">
        <v>0.0</v>
      </c>
      <c r="E4900" s="4"/>
      <c r="F4900" s="4"/>
      <c r="G4900" s="4"/>
      <c r="H4900" s="4"/>
      <c r="I4900" s="4"/>
      <c r="J4900" s="18"/>
      <c r="K4900" s="4"/>
      <c r="L4900" s="19"/>
      <c r="M4900" s="20"/>
    </row>
    <row r="4901">
      <c r="A4901" s="6"/>
      <c r="B4901" s="6"/>
      <c r="C4901" s="4"/>
      <c r="D4901" s="36">
        <v>0.0</v>
      </c>
      <c r="E4901" s="4"/>
      <c r="F4901" s="4"/>
      <c r="G4901" s="4"/>
      <c r="H4901" s="4"/>
      <c r="I4901" s="4"/>
      <c r="J4901" s="18"/>
      <c r="K4901" s="4"/>
      <c r="L4901" s="19"/>
      <c r="M4901" s="20"/>
    </row>
    <row r="4902">
      <c r="A4902" s="6"/>
      <c r="B4902" s="6"/>
      <c r="C4902" s="4"/>
      <c r="D4902" s="36">
        <v>0.0</v>
      </c>
      <c r="E4902" s="4"/>
      <c r="F4902" s="4"/>
      <c r="G4902" s="4"/>
      <c r="H4902" s="4"/>
      <c r="I4902" s="4"/>
      <c r="J4902" s="18"/>
      <c r="K4902" s="4"/>
      <c r="L4902" s="19"/>
      <c r="M4902" s="20"/>
    </row>
    <row r="4903">
      <c r="A4903" s="6"/>
      <c r="B4903" s="6"/>
      <c r="C4903" s="4"/>
      <c r="D4903" s="36">
        <v>0.0</v>
      </c>
      <c r="E4903" s="4"/>
      <c r="F4903" s="4"/>
      <c r="G4903" s="4"/>
      <c r="H4903" s="4"/>
      <c r="I4903" s="4"/>
      <c r="J4903" s="18"/>
      <c r="K4903" s="4"/>
      <c r="L4903" s="19"/>
      <c r="M4903" s="20"/>
    </row>
    <row r="4904">
      <c r="A4904" s="6"/>
      <c r="B4904" s="6"/>
      <c r="C4904" s="4"/>
      <c r="D4904" s="36">
        <v>0.0</v>
      </c>
      <c r="E4904" s="4"/>
      <c r="F4904" s="4"/>
      <c r="G4904" s="4"/>
      <c r="H4904" s="4"/>
      <c r="I4904" s="4"/>
      <c r="J4904" s="18"/>
      <c r="K4904" s="4"/>
      <c r="L4904" s="19"/>
      <c r="M4904" s="20"/>
    </row>
    <row r="4905">
      <c r="A4905" s="6"/>
      <c r="B4905" s="6"/>
      <c r="C4905" s="4"/>
      <c r="D4905" s="36">
        <v>0.0</v>
      </c>
      <c r="E4905" s="4"/>
      <c r="F4905" s="4"/>
      <c r="G4905" s="4"/>
      <c r="H4905" s="4"/>
      <c r="I4905" s="4"/>
      <c r="J4905" s="18"/>
      <c r="K4905" s="4"/>
      <c r="L4905" s="19"/>
      <c r="M4905" s="20"/>
    </row>
    <row r="4906">
      <c r="A4906" s="6"/>
      <c r="B4906" s="6"/>
      <c r="C4906" s="4"/>
      <c r="D4906" s="36">
        <v>0.0</v>
      </c>
      <c r="E4906" s="4"/>
      <c r="F4906" s="4"/>
      <c r="G4906" s="4"/>
      <c r="H4906" s="4"/>
      <c r="I4906" s="4"/>
      <c r="J4906" s="18"/>
      <c r="K4906" s="4"/>
      <c r="L4906" s="19"/>
      <c r="M4906" s="20"/>
    </row>
    <row r="4907">
      <c r="A4907" s="6"/>
      <c r="B4907" s="6"/>
      <c r="C4907" s="4"/>
      <c r="D4907" s="36">
        <v>0.0</v>
      </c>
      <c r="E4907" s="4"/>
      <c r="F4907" s="4"/>
      <c r="G4907" s="4"/>
      <c r="H4907" s="4"/>
      <c r="I4907" s="4"/>
      <c r="J4907" s="18"/>
      <c r="K4907" s="4"/>
      <c r="L4907" s="19"/>
      <c r="M4907" s="20"/>
    </row>
    <row r="4908">
      <c r="A4908" s="6"/>
      <c r="B4908" s="6"/>
      <c r="C4908" s="4"/>
      <c r="D4908" s="36">
        <v>0.0</v>
      </c>
      <c r="E4908" s="4"/>
      <c r="F4908" s="4"/>
      <c r="G4908" s="4"/>
      <c r="H4908" s="4"/>
      <c r="I4908" s="4"/>
      <c r="J4908" s="18"/>
      <c r="K4908" s="4"/>
      <c r="L4908" s="19"/>
      <c r="M4908" s="20"/>
    </row>
    <row r="4909">
      <c r="A4909" s="6"/>
      <c r="B4909" s="6"/>
      <c r="C4909" s="4"/>
      <c r="D4909" s="36">
        <v>0.0</v>
      </c>
      <c r="E4909" s="4"/>
      <c r="F4909" s="4"/>
      <c r="G4909" s="4"/>
      <c r="H4909" s="4"/>
      <c r="I4909" s="4"/>
      <c r="J4909" s="18"/>
      <c r="K4909" s="4"/>
      <c r="L4909" s="19"/>
      <c r="M4909" s="20"/>
    </row>
    <row r="4910">
      <c r="A4910" s="6"/>
      <c r="B4910" s="6"/>
      <c r="C4910" s="4"/>
      <c r="D4910" s="36">
        <v>0.0</v>
      </c>
      <c r="E4910" s="4"/>
      <c r="F4910" s="4"/>
      <c r="G4910" s="4"/>
      <c r="H4910" s="4"/>
      <c r="I4910" s="4"/>
      <c r="J4910" s="18"/>
      <c r="K4910" s="4"/>
      <c r="L4910" s="19"/>
      <c r="M4910" s="20"/>
    </row>
    <row r="4911">
      <c r="A4911" s="6"/>
      <c r="B4911" s="6"/>
      <c r="C4911" s="4"/>
      <c r="D4911" s="36">
        <v>0.0</v>
      </c>
      <c r="E4911" s="4"/>
      <c r="F4911" s="4"/>
      <c r="G4911" s="4"/>
      <c r="H4911" s="4"/>
      <c r="I4911" s="4"/>
      <c r="J4911" s="18"/>
      <c r="K4911" s="4"/>
      <c r="L4911" s="19"/>
      <c r="M4911" s="20"/>
    </row>
    <row r="4912">
      <c r="A4912" s="6"/>
      <c r="B4912" s="6"/>
      <c r="C4912" s="4"/>
      <c r="D4912" s="36">
        <v>0.0</v>
      </c>
      <c r="E4912" s="4"/>
      <c r="F4912" s="4"/>
      <c r="G4912" s="4"/>
      <c r="H4912" s="4"/>
      <c r="I4912" s="4"/>
      <c r="J4912" s="18"/>
      <c r="K4912" s="4"/>
      <c r="L4912" s="19"/>
      <c r="M4912" s="20"/>
    </row>
    <row r="4913">
      <c r="A4913" s="6"/>
      <c r="B4913" s="6"/>
      <c r="C4913" s="4"/>
      <c r="D4913" s="36">
        <v>0.0</v>
      </c>
      <c r="E4913" s="4"/>
      <c r="F4913" s="4"/>
      <c r="G4913" s="4"/>
      <c r="H4913" s="4"/>
      <c r="I4913" s="4"/>
      <c r="J4913" s="18"/>
      <c r="K4913" s="4"/>
      <c r="L4913" s="19"/>
      <c r="M4913" s="20"/>
    </row>
    <row r="4914">
      <c r="A4914" s="6"/>
      <c r="B4914" s="6"/>
      <c r="C4914" s="4"/>
      <c r="D4914" s="36">
        <v>0.0</v>
      </c>
      <c r="E4914" s="4"/>
      <c r="F4914" s="4"/>
      <c r="G4914" s="4"/>
      <c r="H4914" s="4"/>
      <c r="I4914" s="4"/>
      <c r="J4914" s="18"/>
      <c r="K4914" s="4"/>
      <c r="L4914" s="19"/>
      <c r="M4914" s="20"/>
    </row>
    <row r="4915">
      <c r="A4915" s="6"/>
      <c r="B4915" s="6"/>
      <c r="C4915" s="4"/>
      <c r="D4915" s="36">
        <v>0.0</v>
      </c>
      <c r="E4915" s="4"/>
      <c r="F4915" s="4"/>
      <c r="G4915" s="4"/>
      <c r="H4915" s="4"/>
      <c r="I4915" s="4"/>
      <c r="J4915" s="18"/>
      <c r="K4915" s="4"/>
      <c r="L4915" s="19"/>
      <c r="M4915" s="20"/>
    </row>
    <row r="4916">
      <c r="A4916" s="6"/>
      <c r="B4916" s="6"/>
      <c r="C4916" s="4"/>
      <c r="D4916" s="36">
        <v>0.0</v>
      </c>
      <c r="E4916" s="4"/>
      <c r="F4916" s="4"/>
      <c r="G4916" s="4"/>
      <c r="H4916" s="4"/>
      <c r="I4916" s="4"/>
      <c r="J4916" s="18"/>
      <c r="K4916" s="4"/>
      <c r="L4916" s="19"/>
      <c r="M4916" s="20"/>
    </row>
    <row r="4917">
      <c r="A4917" s="6"/>
      <c r="B4917" s="6"/>
      <c r="C4917" s="4"/>
      <c r="D4917" s="36">
        <v>0.0</v>
      </c>
      <c r="E4917" s="4"/>
      <c r="F4917" s="4"/>
      <c r="G4917" s="4"/>
      <c r="H4917" s="4"/>
      <c r="I4917" s="4"/>
      <c r="J4917" s="18"/>
      <c r="K4917" s="4"/>
      <c r="L4917" s="19"/>
      <c r="M4917" s="20"/>
    </row>
    <row r="4918">
      <c r="A4918" s="6"/>
      <c r="B4918" s="6"/>
      <c r="C4918" s="4"/>
      <c r="D4918" s="36">
        <v>0.0</v>
      </c>
      <c r="E4918" s="4"/>
      <c r="F4918" s="4"/>
      <c r="G4918" s="4"/>
      <c r="H4918" s="4"/>
      <c r="I4918" s="4"/>
      <c r="J4918" s="18"/>
      <c r="K4918" s="4"/>
      <c r="L4918" s="19"/>
      <c r="M4918" s="20"/>
    </row>
    <row r="4919">
      <c r="A4919" s="6"/>
      <c r="B4919" s="6"/>
      <c r="C4919" s="4"/>
      <c r="D4919" s="36">
        <v>0.0</v>
      </c>
      <c r="E4919" s="4"/>
      <c r="F4919" s="4"/>
      <c r="G4919" s="4"/>
      <c r="H4919" s="4"/>
      <c r="I4919" s="4"/>
      <c r="J4919" s="18"/>
      <c r="K4919" s="4"/>
      <c r="L4919" s="19"/>
      <c r="M4919" s="20"/>
    </row>
    <row r="4920">
      <c r="A4920" s="6"/>
      <c r="B4920" s="6"/>
      <c r="C4920" s="4"/>
      <c r="D4920" s="36">
        <v>0.0</v>
      </c>
      <c r="E4920" s="4"/>
      <c r="F4920" s="4"/>
      <c r="G4920" s="4"/>
      <c r="H4920" s="4"/>
      <c r="I4920" s="4"/>
      <c r="J4920" s="18"/>
      <c r="K4920" s="4"/>
      <c r="L4920" s="19"/>
      <c r="M4920" s="20"/>
    </row>
    <row r="4921">
      <c r="A4921" s="6"/>
      <c r="B4921" s="6"/>
      <c r="C4921" s="4"/>
      <c r="D4921" s="36">
        <v>0.0</v>
      </c>
      <c r="E4921" s="4"/>
      <c r="F4921" s="4"/>
      <c r="G4921" s="4"/>
      <c r="H4921" s="4"/>
      <c r="I4921" s="4"/>
      <c r="J4921" s="18"/>
      <c r="K4921" s="4"/>
      <c r="L4921" s="19"/>
      <c r="M4921" s="20"/>
    </row>
    <row r="4922">
      <c r="A4922" s="6"/>
      <c r="B4922" s="6"/>
      <c r="C4922" s="4"/>
      <c r="D4922" s="36">
        <v>0.0</v>
      </c>
      <c r="E4922" s="4"/>
      <c r="F4922" s="4"/>
      <c r="G4922" s="4"/>
      <c r="H4922" s="4"/>
      <c r="I4922" s="4"/>
      <c r="J4922" s="18"/>
      <c r="K4922" s="4"/>
      <c r="L4922" s="19"/>
      <c r="M4922" s="20"/>
    </row>
    <row r="4923">
      <c r="A4923" s="6"/>
      <c r="B4923" s="6"/>
      <c r="C4923" s="4"/>
      <c r="D4923" s="36">
        <v>0.0</v>
      </c>
      <c r="E4923" s="4"/>
      <c r="F4923" s="4"/>
      <c r="G4923" s="4"/>
      <c r="H4923" s="4"/>
      <c r="I4923" s="4"/>
      <c r="J4923" s="18"/>
      <c r="K4923" s="4"/>
      <c r="L4923" s="19"/>
      <c r="M4923" s="20"/>
    </row>
    <row r="4924">
      <c r="A4924" s="6"/>
      <c r="B4924" s="6"/>
      <c r="C4924" s="4"/>
      <c r="D4924" s="36">
        <v>0.0</v>
      </c>
      <c r="E4924" s="4"/>
      <c r="F4924" s="4"/>
      <c r="G4924" s="4"/>
      <c r="H4924" s="4"/>
      <c r="I4924" s="4"/>
      <c r="J4924" s="18"/>
      <c r="K4924" s="4"/>
      <c r="L4924" s="19"/>
      <c r="M4924" s="20"/>
    </row>
    <row r="4925">
      <c r="A4925" s="6"/>
      <c r="B4925" s="6"/>
      <c r="C4925" s="4"/>
      <c r="D4925" s="36">
        <v>0.0</v>
      </c>
      <c r="E4925" s="4"/>
      <c r="F4925" s="4"/>
      <c r="G4925" s="4"/>
      <c r="H4925" s="4"/>
      <c r="I4925" s="4"/>
      <c r="J4925" s="18"/>
      <c r="K4925" s="4"/>
      <c r="L4925" s="19"/>
      <c r="M4925" s="20"/>
    </row>
    <row r="4926">
      <c r="A4926" s="6"/>
      <c r="B4926" s="6"/>
      <c r="C4926" s="4"/>
      <c r="D4926" s="36">
        <v>0.0</v>
      </c>
      <c r="E4926" s="4"/>
      <c r="F4926" s="4"/>
      <c r="G4926" s="4"/>
      <c r="H4926" s="4"/>
      <c r="I4926" s="4"/>
      <c r="J4926" s="18"/>
      <c r="K4926" s="4"/>
      <c r="L4926" s="19"/>
      <c r="M4926" s="20"/>
    </row>
    <row r="4927">
      <c r="A4927" s="6"/>
      <c r="B4927" s="6"/>
      <c r="C4927" s="4"/>
      <c r="D4927" s="36">
        <v>0.0</v>
      </c>
      <c r="E4927" s="4"/>
      <c r="F4927" s="4"/>
      <c r="G4927" s="4"/>
      <c r="H4927" s="4"/>
      <c r="I4927" s="4"/>
      <c r="J4927" s="18"/>
      <c r="K4927" s="4"/>
      <c r="L4927" s="19"/>
      <c r="M4927" s="20"/>
    </row>
    <row r="4928">
      <c r="A4928" s="6"/>
      <c r="B4928" s="6"/>
      <c r="C4928" s="4"/>
      <c r="D4928" s="36">
        <v>0.0</v>
      </c>
      <c r="E4928" s="4"/>
      <c r="F4928" s="4"/>
      <c r="G4928" s="4"/>
      <c r="H4928" s="4"/>
      <c r="I4928" s="4"/>
      <c r="J4928" s="18"/>
      <c r="K4928" s="4"/>
      <c r="L4928" s="19"/>
      <c r="M4928" s="20"/>
    </row>
    <row r="4929">
      <c r="A4929" s="6"/>
      <c r="B4929" s="6"/>
      <c r="C4929" s="4"/>
      <c r="D4929" s="36">
        <v>0.0</v>
      </c>
      <c r="E4929" s="4"/>
      <c r="F4929" s="4"/>
      <c r="G4929" s="4"/>
      <c r="H4929" s="4"/>
      <c r="I4929" s="4"/>
      <c r="J4929" s="18"/>
      <c r="K4929" s="4"/>
      <c r="L4929" s="19"/>
      <c r="M4929" s="20"/>
    </row>
    <row r="4930">
      <c r="A4930" s="6"/>
      <c r="B4930" s="6"/>
      <c r="C4930" s="4"/>
      <c r="D4930" s="36">
        <v>0.0</v>
      </c>
      <c r="E4930" s="4"/>
      <c r="F4930" s="4"/>
      <c r="G4930" s="4"/>
      <c r="H4930" s="4"/>
      <c r="I4930" s="4"/>
      <c r="J4930" s="18"/>
      <c r="K4930" s="4"/>
      <c r="L4930" s="19"/>
      <c r="M4930" s="20"/>
    </row>
    <row r="4931">
      <c r="A4931" s="6"/>
      <c r="B4931" s="6"/>
      <c r="C4931" s="4"/>
      <c r="D4931" s="36">
        <v>0.0</v>
      </c>
      <c r="E4931" s="4"/>
      <c r="F4931" s="4"/>
      <c r="G4931" s="4"/>
      <c r="H4931" s="4"/>
      <c r="I4931" s="4"/>
      <c r="J4931" s="18"/>
      <c r="K4931" s="4"/>
      <c r="L4931" s="19"/>
      <c r="M4931" s="20"/>
    </row>
    <row r="4932">
      <c r="A4932" s="6"/>
      <c r="B4932" s="6"/>
      <c r="C4932" s="4"/>
      <c r="D4932" s="36">
        <v>0.0</v>
      </c>
      <c r="E4932" s="4"/>
      <c r="F4932" s="4"/>
      <c r="G4932" s="4"/>
      <c r="H4932" s="4"/>
      <c r="I4932" s="4"/>
      <c r="J4932" s="18"/>
      <c r="K4932" s="4"/>
      <c r="L4932" s="19"/>
      <c r="M4932" s="20"/>
    </row>
    <row r="4933">
      <c r="A4933" s="6"/>
      <c r="B4933" s="6"/>
      <c r="C4933" s="4"/>
      <c r="D4933" s="36">
        <v>0.0</v>
      </c>
      <c r="E4933" s="4"/>
      <c r="F4933" s="4"/>
      <c r="G4933" s="4"/>
      <c r="H4933" s="4"/>
      <c r="I4933" s="4"/>
      <c r="J4933" s="18"/>
      <c r="K4933" s="4"/>
      <c r="L4933" s="19"/>
      <c r="M4933" s="20"/>
    </row>
    <row r="4934">
      <c r="A4934" s="6"/>
      <c r="B4934" s="6"/>
      <c r="C4934" s="4"/>
      <c r="D4934" s="36">
        <v>0.0</v>
      </c>
      <c r="E4934" s="4"/>
      <c r="F4934" s="4"/>
      <c r="G4934" s="4"/>
      <c r="H4934" s="4"/>
      <c r="I4934" s="4"/>
      <c r="J4934" s="18"/>
      <c r="K4934" s="4"/>
      <c r="L4934" s="19"/>
      <c r="M4934" s="20"/>
    </row>
    <row r="4935">
      <c r="A4935" s="6"/>
      <c r="B4935" s="6"/>
      <c r="C4935" s="4"/>
      <c r="D4935" s="36">
        <v>0.0</v>
      </c>
      <c r="E4935" s="4"/>
      <c r="F4935" s="4"/>
      <c r="G4935" s="4"/>
      <c r="H4935" s="4"/>
      <c r="I4935" s="4"/>
      <c r="J4935" s="18"/>
      <c r="K4935" s="4"/>
      <c r="L4935" s="19"/>
      <c r="M4935" s="20"/>
    </row>
    <row r="4936">
      <c r="A4936" s="6"/>
      <c r="B4936" s="6"/>
      <c r="C4936" s="4"/>
      <c r="D4936" s="36">
        <v>0.0</v>
      </c>
      <c r="E4936" s="4"/>
      <c r="F4936" s="4"/>
      <c r="G4936" s="4"/>
      <c r="H4936" s="4"/>
      <c r="I4936" s="4"/>
      <c r="J4936" s="18"/>
      <c r="K4936" s="4"/>
      <c r="L4936" s="19"/>
      <c r="M4936" s="20"/>
    </row>
    <row r="4937">
      <c r="A4937" s="6"/>
      <c r="B4937" s="6"/>
      <c r="C4937" s="4"/>
      <c r="D4937" s="36">
        <v>0.0</v>
      </c>
      <c r="E4937" s="4"/>
      <c r="F4937" s="4"/>
      <c r="G4937" s="4"/>
      <c r="H4937" s="4"/>
      <c r="I4937" s="4"/>
      <c r="J4937" s="18"/>
      <c r="K4937" s="4"/>
      <c r="L4937" s="19"/>
      <c r="M4937" s="20"/>
    </row>
    <row r="4938">
      <c r="A4938" s="6"/>
      <c r="B4938" s="6"/>
      <c r="C4938" s="4"/>
      <c r="D4938" s="36">
        <v>0.0</v>
      </c>
      <c r="E4938" s="4"/>
      <c r="F4938" s="4"/>
      <c r="G4938" s="4"/>
      <c r="H4938" s="4"/>
      <c r="I4938" s="4"/>
      <c r="J4938" s="18"/>
      <c r="K4938" s="4"/>
      <c r="L4938" s="19"/>
      <c r="M4938" s="20"/>
    </row>
    <row r="4939">
      <c r="A4939" s="6"/>
      <c r="B4939" s="6"/>
      <c r="C4939" s="4"/>
      <c r="D4939" s="36">
        <v>0.0</v>
      </c>
      <c r="E4939" s="4"/>
      <c r="F4939" s="4"/>
      <c r="G4939" s="4"/>
      <c r="H4939" s="4"/>
      <c r="I4939" s="4"/>
      <c r="J4939" s="18"/>
      <c r="K4939" s="4"/>
      <c r="L4939" s="19"/>
      <c r="M4939" s="20"/>
    </row>
    <row r="4940">
      <c r="A4940" s="6"/>
      <c r="B4940" s="6"/>
      <c r="C4940" s="4"/>
      <c r="D4940" s="36">
        <v>0.0</v>
      </c>
      <c r="E4940" s="4"/>
      <c r="F4940" s="4"/>
      <c r="G4940" s="4"/>
      <c r="H4940" s="4"/>
      <c r="I4940" s="4"/>
      <c r="J4940" s="18"/>
      <c r="K4940" s="4"/>
      <c r="L4940" s="19"/>
      <c r="M4940" s="20"/>
    </row>
    <row r="4941">
      <c r="A4941" s="6"/>
      <c r="B4941" s="6"/>
      <c r="C4941" s="4"/>
      <c r="D4941" s="36">
        <v>0.0</v>
      </c>
      <c r="E4941" s="4"/>
      <c r="F4941" s="4"/>
      <c r="G4941" s="4"/>
      <c r="H4941" s="4"/>
      <c r="I4941" s="4"/>
      <c r="J4941" s="18"/>
      <c r="K4941" s="4"/>
      <c r="L4941" s="19"/>
      <c r="M4941" s="20"/>
    </row>
    <row r="4942">
      <c r="A4942" s="6"/>
      <c r="B4942" s="6"/>
      <c r="C4942" s="4"/>
      <c r="D4942" s="36">
        <v>0.0</v>
      </c>
      <c r="E4942" s="4"/>
      <c r="F4942" s="4"/>
      <c r="G4942" s="4"/>
      <c r="H4942" s="4"/>
      <c r="I4942" s="4"/>
      <c r="J4942" s="18"/>
      <c r="K4942" s="4"/>
      <c r="L4942" s="19"/>
      <c r="M4942" s="20"/>
    </row>
    <row r="4943">
      <c r="A4943" s="6"/>
      <c r="B4943" s="6"/>
      <c r="C4943" s="4"/>
      <c r="D4943" s="36">
        <v>0.0</v>
      </c>
      <c r="E4943" s="4"/>
      <c r="F4943" s="4"/>
      <c r="G4943" s="4"/>
      <c r="H4943" s="4"/>
      <c r="I4943" s="4"/>
      <c r="J4943" s="18"/>
      <c r="K4943" s="4"/>
      <c r="L4943" s="19"/>
      <c r="M4943" s="20"/>
    </row>
    <row r="4944">
      <c r="A4944" s="6"/>
      <c r="B4944" s="6"/>
      <c r="C4944" s="4"/>
      <c r="D4944" s="36">
        <v>0.0</v>
      </c>
      <c r="E4944" s="4"/>
      <c r="F4944" s="4"/>
      <c r="G4944" s="4"/>
      <c r="H4944" s="4"/>
      <c r="I4944" s="4"/>
      <c r="J4944" s="18"/>
      <c r="K4944" s="4"/>
      <c r="L4944" s="19"/>
      <c r="M4944" s="20"/>
    </row>
    <row r="4945">
      <c r="A4945" s="6"/>
      <c r="B4945" s="6"/>
      <c r="C4945" s="4"/>
      <c r="D4945" s="36">
        <v>0.0</v>
      </c>
      <c r="E4945" s="4"/>
      <c r="F4945" s="4"/>
      <c r="G4945" s="4"/>
      <c r="H4945" s="4"/>
      <c r="I4945" s="4"/>
      <c r="J4945" s="18"/>
      <c r="K4945" s="4"/>
      <c r="L4945" s="19"/>
      <c r="M4945" s="20"/>
    </row>
    <row r="4946">
      <c r="A4946" s="6"/>
      <c r="B4946" s="6"/>
      <c r="C4946" s="4"/>
      <c r="D4946" s="36">
        <v>0.0</v>
      </c>
      <c r="E4946" s="4"/>
      <c r="F4946" s="4"/>
      <c r="G4946" s="4"/>
      <c r="H4946" s="4"/>
      <c r="I4946" s="4"/>
      <c r="J4946" s="18"/>
      <c r="K4946" s="4"/>
      <c r="L4946" s="19"/>
      <c r="M4946" s="20"/>
    </row>
    <row r="4947">
      <c r="A4947" s="6"/>
      <c r="B4947" s="6"/>
      <c r="C4947" s="4"/>
      <c r="D4947" s="36">
        <v>0.0</v>
      </c>
      <c r="E4947" s="4"/>
      <c r="F4947" s="4"/>
      <c r="G4947" s="4"/>
      <c r="H4947" s="4"/>
      <c r="I4947" s="4"/>
      <c r="J4947" s="18"/>
      <c r="K4947" s="4"/>
      <c r="L4947" s="19"/>
      <c r="M4947" s="20"/>
    </row>
    <row r="4948">
      <c r="A4948" s="6"/>
      <c r="B4948" s="6"/>
      <c r="C4948" s="4"/>
      <c r="D4948" s="36">
        <v>0.0</v>
      </c>
      <c r="E4948" s="4"/>
      <c r="F4948" s="4"/>
      <c r="G4948" s="4"/>
      <c r="H4948" s="4"/>
      <c r="I4948" s="4"/>
      <c r="J4948" s="18"/>
      <c r="K4948" s="4"/>
      <c r="L4948" s="19"/>
      <c r="M4948" s="20"/>
    </row>
    <row r="4949">
      <c r="A4949" s="6"/>
      <c r="B4949" s="6"/>
      <c r="C4949" s="4"/>
      <c r="D4949" s="36">
        <v>0.0</v>
      </c>
      <c r="E4949" s="4"/>
      <c r="F4949" s="4"/>
      <c r="G4949" s="4"/>
      <c r="H4949" s="4"/>
      <c r="I4949" s="4"/>
      <c r="J4949" s="18"/>
      <c r="K4949" s="4"/>
      <c r="L4949" s="19"/>
      <c r="M4949" s="20"/>
    </row>
    <row r="4950">
      <c r="A4950" s="6"/>
      <c r="B4950" s="6"/>
      <c r="C4950" s="4"/>
      <c r="D4950" s="36">
        <v>0.0</v>
      </c>
      <c r="E4950" s="4"/>
      <c r="F4950" s="4"/>
      <c r="G4950" s="4"/>
      <c r="H4950" s="4"/>
      <c r="I4950" s="4"/>
      <c r="J4950" s="18"/>
      <c r="K4950" s="4"/>
      <c r="L4950" s="19"/>
      <c r="M4950" s="20"/>
    </row>
    <row r="4951">
      <c r="A4951" s="6"/>
      <c r="B4951" s="6"/>
      <c r="C4951" s="4"/>
      <c r="D4951" s="36">
        <v>0.0</v>
      </c>
      <c r="E4951" s="4"/>
      <c r="F4951" s="4"/>
      <c r="G4951" s="4"/>
      <c r="H4951" s="4"/>
      <c r="I4951" s="4"/>
      <c r="J4951" s="18"/>
      <c r="K4951" s="4"/>
      <c r="L4951" s="19"/>
      <c r="M4951" s="20"/>
    </row>
    <row r="4952">
      <c r="A4952" s="6"/>
      <c r="B4952" s="6"/>
      <c r="C4952" s="4"/>
      <c r="D4952" s="36">
        <v>0.0</v>
      </c>
      <c r="E4952" s="4"/>
      <c r="F4952" s="4"/>
      <c r="G4952" s="4"/>
      <c r="H4952" s="4"/>
      <c r="I4952" s="4"/>
      <c r="J4952" s="18"/>
      <c r="K4952" s="4"/>
      <c r="L4952" s="19"/>
      <c r="M4952" s="20"/>
    </row>
    <row r="4953">
      <c r="A4953" s="6"/>
      <c r="B4953" s="6"/>
      <c r="C4953" s="4"/>
      <c r="D4953" s="36">
        <v>0.0</v>
      </c>
      <c r="E4953" s="4"/>
      <c r="F4953" s="4"/>
      <c r="G4953" s="4"/>
      <c r="H4953" s="4"/>
      <c r="I4953" s="4"/>
      <c r="J4953" s="18"/>
      <c r="K4953" s="4"/>
      <c r="L4953" s="19"/>
      <c r="M4953" s="20"/>
    </row>
    <row r="4954">
      <c r="A4954" s="6"/>
      <c r="B4954" s="6"/>
      <c r="C4954" s="4"/>
      <c r="D4954" s="36">
        <v>0.0</v>
      </c>
      <c r="E4954" s="4"/>
      <c r="F4954" s="4"/>
      <c r="G4954" s="4"/>
      <c r="H4954" s="4"/>
      <c r="I4954" s="4"/>
      <c r="J4954" s="18"/>
      <c r="K4954" s="4"/>
      <c r="L4954" s="19"/>
      <c r="M4954" s="20"/>
    </row>
    <row r="4955">
      <c r="A4955" s="6"/>
      <c r="B4955" s="6"/>
      <c r="C4955" s="4"/>
      <c r="D4955" s="36">
        <v>0.0</v>
      </c>
      <c r="E4955" s="4"/>
      <c r="F4955" s="4"/>
      <c r="G4955" s="4"/>
      <c r="H4955" s="4"/>
      <c r="I4955" s="4"/>
      <c r="J4955" s="18"/>
      <c r="K4955" s="4"/>
      <c r="L4955" s="19"/>
      <c r="M4955" s="20"/>
    </row>
    <row r="4956">
      <c r="A4956" s="6"/>
      <c r="B4956" s="6"/>
      <c r="C4956" s="4"/>
      <c r="D4956" s="36">
        <v>0.0</v>
      </c>
      <c r="E4956" s="4"/>
      <c r="F4956" s="4"/>
      <c r="G4956" s="4"/>
      <c r="H4956" s="4"/>
      <c r="I4956" s="4"/>
      <c r="J4956" s="18"/>
      <c r="K4956" s="4"/>
      <c r="L4956" s="19"/>
      <c r="M4956" s="20"/>
    </row>
    <row r="4957">
      <c r="A4957" s="6"/>
      <c r="B4957" s="6"/>
      <c r="C4957" s="4"/>
      <c r="D4957" s="36">
        <v>0.0</v>
      </c>
      <c r="E4957" s="4"/>
      <c r="F4957" s="4"/>
      <c r="G4957" s="4"/>
      <c r="H4957" s="4"/>
      <c r="I4957" s="4"/>
      <c r="J4957" s="18"/>
      <c r="K4957" s="4"/>
      <c r="L4957" s="19"/>
      <c r="M4957" s="20"/>
    </row>
    <row r="4958">
      <c r="A4958" s="6"/>
      <c r="B4958" s="6"/>
      <c r="C4958" s="4"/>
      <c r="D4958" s="36">
        <v>0.0</v>
      </c>
      <c r="E4958" s="4"/>
      <c r="F4958" s="4"/>
      <c r="G4958" s="4"/>
      <c r="H4958" s="4"/>
      <c r="I4958" s="4"/>
      <c r="J4958" s="18"/>
      <c r="K4958" s="4"/>
      <c r="L4958" s="19"/>
      <c r="M4958" s="20"/>
    </row>
    <row r="4959">
      <c r="A4959" s="6"/>
      <c r="B4959" s="6"/>
      <c r="C4959" s="4"/>
      <c r="D4959" s="36">
        <v>0.0</v>
      </c>
      <c r="E4959" s="4"/>
      <c r="F4959" s="4"/>
      <c r="G4959" s="4"/>
      <c r="H4959" s="4"/>
      <c r="I4959" s="4"/>
      <c r="J4959" s="18"/>
      <c r="K4959" s="4"/>
      <c r="L4959" s="19"/>
      <c r="M4959" s="20"/>
    </row>
    <row r="4960">
      <c r="A4960" s="6"/>
      <c r="B4960" s="6"/>
      <c r="C4960" s="4"/>
      <c r="D4960" s="36">
        <v>0.0</v>
      </c>
      <c r="E4960" s="4"/>
      <c r="F4960" s="4"/>
      <c r="G4960" s="4"/>
      <c r="H4960" s="4"/>
      <c r="I4960" s="4"/>
      <c r="J4960" s="18"/>
      <c r="K4960" s="4"/>
      <c r="L4960" s="19"/>
      <c r="M4960" s="20"/>
    </row>
    <row r="4961">
      <c r="A4961" s="6"/>
      <c r="B4961" s="6"/>
      <c r="C4961" s="4"/>
      <c r="D4961" s="36">
        <v>0.0</v>
      </c>
      <c r="E4961" s="4"/>
      <c r="F4961" s="4"/>
      <c r="G4961" s="4"/>
      <c r="H4961" s="4"/>
      <c r="I4961" s="4"/>
      <c r="J4961" s="18"/>
      <c r="K4961" s="4"/>
      <c r="L4961" s="19"/>
      <c r="M4961" s="20"/>
    </row>
    <row r="4962">
      <c r="A4962" s="6"/>
      <c r="B4962" s="6"/>
      <c r="C4962" s="4"/>
      <c r="D4962" s="36">
        <v>0.0</v>
      </c>
      <c r="E4962" s="4"/>
      <c r="F4962" s="4"/>
      <c r="G4962" s="4"/>
      <c r="H4962" s="4"/>
      <c r="I4962" s="4"/>
      <c r="J4962" s="18"/>
      <c r="K4962" s="4"/>
      <c r="L4962" s="19"/>
      <c r="M4962" s="20"/>
    </row>
    <row r="4963">
      <c r="A4963" s="6"/>
      <c r="B4963" s="6"/>
      <c r="C4963" s="4"/>
      <c r="D4963" s="36">
        <v>0.0</v>
      </c>
      <c r="E4963" s="4"/>
      <c r="F4963" s="4"/>
      <c r="G4963" s="4"/>
      <c r="H4963" s="4"/>
      <c r="I4963" s="4"/>
      <c r="J4963" s="18"/>
      <c r="K4963" s="4"/>
      <c r="L4963" s="19"/>
      <c r="M4963" s="20"/>
    </row>
    <row r="4964">
      <c r="A4964" s="6"/>
      <c r="B4964" s="6"/>
      <c r="C4964" s="4"/>
      <c r="D4964" s="36">
        <v>0.0</v>
      </c>
      <c r="E4964" s="4"/>
      <c r="F4964" s="4"/>
      <c r="G4964" s="4"/>
      <c r="H4964" s="4"/>
      <c r="I4964" s="4"/>
      <c r="J4964" s="18"/>
      <c r="K4964" s="4"/>
      <c r="L4964" s="19"/>
      <c r="M4964" s="20"/>
    </row>
    <row r="4965">
      <c r="A4965" s="6"/>
      <c r="B4965" s="6"/>
      <c r="C4965" s="4"/>
      <c r="D4965" s="36">
        <v>0.0</v>
      </c>
      <c r="E4965" s="4"/>
      <c r="F4965" s="4"/>
      <c r="G4965" s="4"/>
      <c r="H4965" s="4"/>
      <c r="I4965" s="4"/>
      <c r="J4965" s="18"/>
      <c r="K4965" s="4"/>
      <c r="L4965" s="19"/>
      <c r="M4965" s="20"/>
    </row>
    <row r="4966">
      <c r="A4966" s="6"/>
      <c r="B4966" s="6"/>
      <c r="C4966" s="4"/>
      <c r="D4966" s="36">
        <v>0.0</v>
      </c>
      <c r="E4966" s="4"/>
      <c r="F4966" s="4"/>
      <c r="G4966" s="4"/>
      <c r="H4966" s="4"/>
      <c r="I4966" s="4"/>
      <c r="J4966" s="18"/>
      <c r="K4966" s="4"/>
      <c r="L4966" s="19"/>
      <c r="M4966" s="20"/>
    </row>
    <row r="4967">
      <c r="A4967" s="6"/>
      <c r="B4967" s="6"/>
      <c r="C4967" s="4"/>
      <c r="D4967" s="36">
        <v>0.0</v>
      </c>
      <c r="E4967" s="4"/>
      <c r="F4967" s="4"/>
      <c r="G4967" s="4"/>
      <c r="H4967" s="4"/>
      <c r="I4967" s="4"/>
      <c r="J4967" s="18"/>
      <c r="K4967" s="4"/>
      <c r="L4967" s="19"/>
      <c r="M4967" s="20"/>
    </row>
    <row r="4968">
      <c r="A4968" s="6"/>
      <c r="B4968" s="6"/>
      <c r="C4968" s="4"/>
      <c r="D4968" s="36">
        <v>0.0</v>
      </c>
      <c r="E4968" s="4"/>
      <c r="F4968" s="4"/>
      <c r="G4968" s="4"/>
      <c r="H4968" s="4"/>
      <c r="I4968" s="4"/>
      <c r="J4968" s="18"/>
      <c r="K4968" s="4"/>
      <c r="L4968" s="19"/>
      <c r="M4968" s="20"/>
    </row>
    <row r="4969">
      <c r="A4969" s="6"/>
      <c r="B4969" s="6"/>
      <c r="C4969" s="4"/>
      <c r="D4969" s="36">
        <v>0.0</v>
      </c>
      <c r="E4969" s="4"/>
      <c r="F4969" s="4"/>
      <c r="G4969" s="4"/>
      <c r="H4969" s="4"/>
      <c r="I4969" s="4"/>
      <c r="J4969" s="18"/>
      <c r="K4969" s="4"/>
      <c r="L4969" s="19"/>
      <c r="M4969" s="20"/>
    </row>
    <row r="4970">
      <c r="A4970" s="6"/>
      <c r="B4970" s="6"/>
      <c r="C4970" s="4"/>
      <c r="D4970" s="36">
        <v>0.0</v>
      </c>
      <c r="E4970" s="4"/>
      <c r="F4970" s="4"/>
      <c r="G4970" s="4"/>
      <c r="H4970" s="4"/>
      <c r="I4970" s="4"/>
      <c r="J4970" s="18"/>
      <c r="K4970" s="4"/>
      <c r="L4970" s="19"/>
      <c r="M4970" s="20"/>
    </row>
    <row r="4971">
      <c r="A4971" s="6"/>
      <c r="B4971" s="6"/>
      <c r="C4971" s="4"/>
      <c r="D4971" s="36">
        <v>0.0</v>
      </c>
      <c r="E4971" s="4"/>
      <c r="F4971" s="4"/>
      <c r="G4971" s="4"/>
      <c r="H4971" s="4"/>
      <c r="I4971" s="4"/>
      <c r="J4971" s="18"/>
      <c r="K4971" s="4"/>
      <c r="L4971" s="19"/>
      <c r="M4971" s="20"/>
    </row>
    <row r="4972">
      <c r="A4972" s="6"/>
      <c r="B4972" s="6"/>
      <c r="C4972" s="4"/>
      <c r="D4972" s="36">
        <v>0.0</v>
      </c>
      <c r="E4972" s="4"/>
      <c r="F4972" s="4"/>
      <c r="G4972" s="4"/>
      <c r="H4972" s="4"/>
      <c r="I4972" s="4"/>
      <c r="J4972" s="18"/>
      <c r="K4972" s="4"/>
      <c r="L4972" s="19"/>
      <c r="M4972" s="20"/>
    </row>
    <row r="4973">
      <c r="A4973" s="6"/>
      <c r="B4973" s="6"/>
      <c r="C4973" s="4"/>
      <c r="D4973" s="36">
        <v>0.0</v>
      </c>
      <c r="E4973" s="4"/>
      <c r="F4973" s="4"/>
      <c r="G4973" s="4"/>
      <c r="H4973" s="4"/>
      <c r="I4973" s="4"/>
      <c r="J4973" s="18"/>
      <c r="K4973" s="4"/>
      <c r="L4973" s="19"/>
      <c r="M4973" s="20"/>
    </row>
    <row r="4974">
      <c r="A4974" s="6"/>
      <c r="B4974" s="6"/>
      <c r="C4974" s="4"/>
      <c r="D4974" s="36">
        <v>0.0</v>
      </c>
      <c r="E4974" s="4"/>
      <c r="F4974" s="4"/>
      <c r="G4974" s="4"/>
      <c r="H4974" s="4"/>
      <c r="I4974" s="4"/>
      <c r="J4974" s="18"/>
      <c r="K4974" s="4"/>
      <c r="L4974" s="19"/>
      <c r="M4974" s="20"/>
    </row>
    <row r="4975">
      <c r="A4975" s="6"/>
      <c r="B4975" s="6"/>
      <c r="C4975" s="4"/>
      <c r="D4975" s="36">
        <v>0.0</v>
      </c>
      <c r="E4975" s="4"/>
      <c r="F4975" s="4"/>
      <c r="G4975" s="4"/>
      <c r="H4975" s="4"/>
      <c r="I4975" s="4"/>
      <c r="J4975" s="18"/>
      <c r="K4975" s="4"/>
      <c r="L4975" s="19"/>
      <c r="M4975" s="20"/>
    </row>
    <row r="4976">
      <c r="A4976" s="6"/>
      <c r="B4976" s="6"/>
      <c r="C4976" s="4"/>
      <c r="D4976" s="36">
        <v>0.0</v>
      </c>
      <c r="E4976" s="4"/>
      <c r="F4976" s="4"/>
      <c r="G4976" s="4"/>
      <c r="H4976" s="4"/>
      <c r="I4976" s="4"/>
      <c r="J4976" s="18"/>
      <c r="K4976" s="4"/>
      <c r="L4976" s="19"/>
      <c r="M4976" s="20"/>
    </row>
    <row r="4977">
      <c r="A4977" s="6"/>
      <c r="B4977" s="6"/>
      <c r="C4977" s="4"/>
      <c r="D4977" s="36">
        <v>0.0</v>
      </c>
      <c r="E4977" s="4"/>
      <c r="F4977" s="4"/>
      <c r="G4977" s="4"/>
      <c r="H4977" s="4"/>
      <c r="I4977" s="4"/>
      <c r="J4977" s="18"/>
      <c r="K4977" s="4"/>
      <c r="L4977" s="19"/>
      <c r="M4977" s="20"/>
    </row>
    <row r="4978">
      <c r="A4978" s="6"/>
      <c r="B4978" s="6"/>
      <c r="C4978" s="4"/>
      <c r="D4978" s="36">
        <v>0.0</v>
      </c>
      <c r="E4978" s="4"/>
      <c r="F4978" s="4"/>
      <c r="G4978" s="4"/>
      <c r="H4978" s="4"/>
      <c r="I4978" s="4"/>
      <c r="J4978" s="18"/>
      <c r="K4978" s="4"/>
      <c r="L4978" s="19"/>
      <c r="M4978" s="20"/>
    </row>
    <row r="4979">
      <c r="A4979" s="6"/>
      <c r="B4979" s="6"/>
      <c r="C4979" s="4"/>
      <c r="D4979" s="36">
        <v>0.0</v>
      </c>
      <c r="E4979" s="4"/>
      <c r="F4979" s="4"/>
      <c r="G4979" s="4"/>
      <c r="H4979" s="4"/>
      <c r="I4979" s="4"/>
      <c r="J4979" s="18"/>
      <c r="K4979" s="4"/>
      <c r="L4979" s="19"/>
      <c r="M4979" s="20"/>
    </row>
    <row r="4980">
      <c r="A4980" s="6"/>
      <c r="B4980" s="6"/>
      <c r="C4980" s="4"/>
      <c r="D4980" s="36">
        <v>0.0</v>
      </c>
      <c r="E4980" s="4"/>
      <c r="F4980" s="4"/>
      <c r="G4980" s="4"/>
      <c r="H4980" s="4"/>
      <c r="I4980" s="4"/>
      <c r="J4980" s="18"/>
      <c r="K4980" s="4"/>
      <c r="L4980" s="19"/>
      <c r="M4980" s="20"/>
    </row>
    <row r="4981">
      <c r="A4981" s="6"/>
      <c r="B4981" s="6"/>
      <c r="C4981" s="4"/>
      <c r="D4981" s="36">
        <v>0.0</v>
      </c>
      <c r="E4981" s="4"/>
      <c r="F4981" s="4"/>
      <c r="G4981" s="4"/>
      <c r="H4981" s="4"/>
      <c r="I4981" s="4"/>
      <c r="J4981" s="18"/>
      <c r="K4981" s="4"/>
      <c r="L4981" s="19"/>
      <c r="M4981" s="20"/>
    </row>
    <row r="4982">
      <c r="A4982" s="6"/>
      <c r="B4982" s="6"/>
      <c r="C4982" s="4"/>
      <c r="D4982" s="36">
        <v>0.0</v>
      </c>
      <c r="E4982" s="4"/>
      <c r="F4982" s="4"/>
      <c r="G4982" s="4"/>
      <c r="H4982" s="4"/>
      <c r="I4982" s="4"/>
      <c r="J4982" s="18"/>
      <c r="K4982" s="4"/>
      <c r="L4982" s="19"/>
      <c r="M4982" s="20"/>
    </row>
    <row r="4983">
      <c r="A4983" s="6"/>
      <c r="B4983" s="6"/>
      <c r="C4983" s="4"/>
      <c r="D4983" s="36">
        <v>0.0</v>
      </c>
      <c r="E4983" s="4"/>
      <c r="F4983" s="4"/>
      <c r="G4983" s="4"/>
      <c r="H4983" s="4"/>
      <c r="I4983" s="4"/>
      <c r="J4983" s="18"/>
      <c r="K4983" s="4"/>
      <c r="L4983" s="19"/>
      <c r="M4983" s="20"/>
    </row>
    <row r="4984">
      <c r="A4984" s="6"/>
      <c r="B4984" s="6"/>
      <c r="C4984" s="4"/>
      <c r="D4984" s="36">
        <v>0.0</v>
      </c>
      <c r="E4984" s="4"/>
      <c r="F4984" s="4"/>
      <c r="G4984" s="4"/>
      <c r="H4984" s="4"/>
      <c r="I4984" s="4"/>
      <c r="J4984" s="18"/>
      <c r="K4984" s="4"/>
      <c r="L4984" s="19"/>
      <c r="M4984" s="20"/>
    </row>
    <row r="4985">
      <c r="A4985" s="6"/>
      <c r="B4985" s="6"/>
      <c r="C4985" s="4"/>
      <c r="D4985" s="36">
        <v>0.0</v>
      </c>
      <c r="E4985" s="4"/>
      <c r="F4985" s="4"/>
      <c r="G4985" s="4"/>
      <c r="H4985" s="4"/>
      <c r="I4985" s="4"/>
      <c r="J4985" s="18"/>
      <c r="K4985" s="4"/>
      <c r="L4985" s="19"/>
      <c r="M4985" s="20"/>
    </row>
    <row r="4986">
      <c r="A4986" s="6"/>
      <c r="B4986" s="6"/>
      <c r="C4986" s="4"/>
      <c r="D4986" s="36">
        <v>0.0</v>
      </c>
      <c r="E4986" s="4"/>
      <c r="F4986" s="4"/>
      <c r="G4986" s="4"/>
      <c r="H4986" s="4"/>
      <c r="I4986" s="4"/>
      <c r="J4986" s="18"/>
      <c r="K4986" s="4"/>
      <c r="L4986" s="19"/>
      <c r="M4986" s="20"/>
    </row>
    <row r="4987">
      <c r="A4987" s="6"/>
      <c r="B4987" s="6"/>
      <c r="C4987" s="4"/>
      <c r="D4987" s="36">
        <v>0.0</v>
      </c>
      <c r="E4987" s="4"/>
      <c r="F4987" s="4"/>
      <c r="G4987" s="4"/>
      <c r="H4987" s="4"/>
      <c r="I4987" s="4"/>
      <c r="J4987" s="18"/>
      <c r="K4987" s="4"/>
      <c r="L4987" s="19"/>
      <c r="M4987" s="20"/>
    </row>
    <row r="4988">
      <c r="A4988" s="6"/>
      <c r="B4988" s="6"/>
      <c r="C4988" s="4"/>
      <c r="D4988" s="36">
        <v>0.0</v>
      </c>
      <c r="E4988" s="4"/>
      <c r="F4988" s="4"/>
      <c r="G4988" s="4"/>
      <c r="H4988" s="4"/>
      <c r="I4988" s="4"/>
      <c r="J4988" s="18"/>
      <c r="K4988" s="4"/>
      <c r="L4988" s="19"/>
      <c r="M4988" s="20"/>
    </row>
    <row r="4989">
      <c r="A4989" s="6"/>
      <c r="B4989" s="6"/>
      <c r="C4989" s="4"/>
      <c r="D4989" s="36">
        <v>0.0</v>
      </c>
      <c r="E4989" s="4"/>
      <c r="F4989" s="4"/>
      <c r="G4989" s="4"/>
      <c r="H4989" s="4"/>
      <c r="I4989" s="4"/>
      <c r="J4989" s="18"/>
      <c r="K4989" s="4"/>
      <c r="L4989" s="19"/>
      <c r="M4989" s="20"/>
    </row>
    <row r="4990">
      <c r="A4990" s="6"/>
      <c r="B4990" s="6"/>
      <c r="C4990" s="4"/>
      <c r="D4990" s="36">
        <v>0.0</v>
      </c>
      <c r="E4990" s="4"/>
      <c r="F4990" s="4"/>
      <c r="G4990" s="4"/>
      <c r="H4990" s="4"/>
      <c r="I4990" s="4"/>
      <c r="J4990" s="18"/>
      <c r="K4990" s="4"/>
      <c r="L4990" s="19"/>
      <c r="M4990" s="20"/>
    </row>
    <row r="4991">
      <c r="A4991" s="6"/>
      <c r="B4991" s="6"/>
      <c r="C4991" s="4"/>
      <c r="D4991" s="36">
        <v>0.0</v>
      </c>
      <c r="E4991" s="4"/>
      <c r="F4991" s="4"/>
      <c r="G4991" s="4"/>
      <c r="H4991" s="4"/>
      <c r="I4991" s="4"/>
      <c r="J4991" s="18"/>
      <c r="K4991" s="4"/>
      <c r="L4991" s="19"/>
      <c r="M4991" s="20"/>
    </row>
    <row r="4992">
      <c r="A4992" s="6"/>
      <c r="B4992" s="6"/>
      <c r="C4992" s="4"/>
      <c r="D4992" s="36">
        <v>0.0</v>
      </c>
      <c r="E4992" s="4"/>
      <c r="F4992" s="4"/>
      <c r="G4992" s="4"/>
      <c r="H4992" s="4"/>
      <c r="I4992" s="4"/>
      <c r="J4992" s="18"/>
      <c r="K4992" s="4"/>
      <c r="L4992" s="19"/>
      <c r="M4992" s="20"/>
    </row>
    <row r="4993">
      <c r="A4993" s="6"/>
      <c r="B4993" s="6"/>
      <c r="C4993" s="4"/>
      <c r="D4993" s="36">
        <v>0.0</v>
      </c>
      <c r="E4993" s="4"/>
      <c r="F4993" s="4"/>
      <c r="G4993" s="4"/>
      <c r="H4993" s="4"/>
      <c r="I4993" s="4"/>
      <c r="J4993" s="18"/>
      <c r="K4993" s="4"/>
      <c r="L4993" s="19"/>
      <c r="M4993" s="20"/>
    </row>
    <row r="4994">
      <c r="A4994" s="6"/>
      <c r="B4994" s="6"/>
      <c r="C4994" s="4"/>
      <c r="D4994" s="36">
        <v>0.0</v>
      </c>
      <c r="E4994" s="4"/>
      <c r="F4994" s="4"/>
      <c r="G4994" s="4"/>
      <c r="H4994" s="4"/>
      <c r="I4994" s="4"/>
      <c r="J4994" s="18"/>
      <c r="K4994" s="4"/>
      <c r="L4994" s="19"/>
      <c r="M4994" s="20"/>
    </row>
    <row r="4995">
      <c r="A4995" s="6"/>
      <c r="B4995" s="6"/>
      <c r="C4995" s="4"/>
      <c r="D4995" s="36">
        <v>0.0</v>
      </c>
      <c r="E4995" s="4"/>
      <c r="F4995" s="4"/>
      <c r="G4995" s="4"/>
      <c r="H4995" s="4"/>
      <c r="I4995" s="4"/>
      <c r="J4995" s="18"/>
      <c r="K4995" s="4"/>
      <c r="L4995" s="19"/>
      <c r="M4995" s="20"/>
    </row>
    <row r="4996">
      <c r="A4996" s="6"/>
      <c r="B4996" s="6"/>
      <c r="C4996" s="4"/>
      <c r="D4996" s="36">
        <v>0.0</v>
      </c>
      <c r="E4996" s="4"/>
      <c r="F4996" s="4"/>
      <c r="G4996" s="4"/>
      <c r="H4996" s="4"/>
      <c r="I4996" s="4"/>
      <c r="J4996" s="18"/>
      <c r="K4996" s="4"/>
      <c r="L4996" s="19"/>
      <c r="M4996" s="20"/>
    </row>
    <row r="4997">
      <c r="A4997" s="6"/>
      <c r="B4997" s="6"/>
      <c r="C4997" s="4"/>
      <c r="D4997" s="36">
        <v>0.0</v>
      </c>
      <c r="E4997" s="4"/>
      <c r="F4997" s="4"/>
      <c r="G4997" s="4"/>
      <c r="H4997" s="4"/>
      <c r="I4997" s="4"/>
      <c r="J4997" s="18"/>
      <c r="K4997" s="4"/>
      <c r="L4997" s="19"/>
      <c r="M4997" s="20"/>
    </row>
    <row r="4998">
      <c r="A4998" s="6"/>
      <c r="B4998" s="6"/>
      <c r="C4998" s="4"/>
      <c r="D4998" s="36">
        <v>0.0</v>
      </c>
      <c r="E4998" s="4"/>
      <c r="F4998" s="4"/>
      <c r="G4998" s="4"/>
      <c r="H4998" s="4"/>
      <c r="I4998" s="4"/>
      <c r="J4998" s="18"/>
      <c r="K4998" s="4"/>
      <c r="L4998" s="19"/>
      <c r="M4998" s="20"/>
    </row>
    <row r="4999">
      <c r="A4999" s="6"/>
      <c r="B4999" s="6"/>
      <c r="C4999" s="4"/>
      <c r="D4999" s="36">
        <v>0.0</v>
      </c>
      <c r="E4999" s="4"/>
      <c r="F4999" s="4"/>
      <c r="G4999" s="4"/>
      <c r="H4999" s="4"/>
      <c r="I4999" s="4"/>
      <c r="J4999" s="18"/>
      <c r="K4999" s="4"/>
      <c r="L4999" s="19"/>
      <c r="M4999" s="20"/>
    </row>
    <row r="5000">
      <c r="A5000" s="6"/>
      <c r="B5000" s="6"/>
      <c r="C5000" s="4"/>
      <c r="D5000" s="36">
        <v>0.0</v>
      </c>
      <c r="E5000" s="4"/>
      <c r="F5000" s="4"/>
      <c r="G5000" s="4"/>
      <c r="H5000" s="4"/>
      <c r="I5000" s="4"/>
      <c r="J5000" s="18"/>
      <c r="K5000" s="4"/>
      <c r="L5000" s="19"/>
      <c r="M5000" s="20"/>
    </row>
    <row r="5001">
      <c r="A5001" s="6"/>
      <c r="B5001" s="6"/>
      <c r="C5001" s="6"/>
      <c r="D5001" s="6"/>
      <c r="E5001" s="6"/>
      <c r="F5001" s="4"/>
      <c r="G5001" s="4"/>
      <c r="H5001" s="4"/>
      <c r="I5001" s="4"/>
      <c r="J5001" s="18"/>
      <c r="K5001" s="4"/>
      <c r="L5001" s="19"/>
      <c r="M5001" s="20"/>
    </row>
    <row r="5002">
      <c r="A5002" s="6"/>
      <c r="B5002" s="6"/>
      <c r="C5002" s="6"/>
      <c r="D5002" s="6"/>
      <c r="E5002" s="6"/>
      <c r="F5002" s="4"/>
      <c r="G5002" s="4"/>
      <c r="H5002" s="4"/>
      <c r="I5002" s="4"/>
      <c r="J5002" s="18"/>
      <c r="K5002" s="4"/>
      <c r="L5002" s="19"/>
      <c r="M5002" s="20"/>
    </row>
    <row r="5003">
      <c r="A5003" s="6"/>
      <c r="B5003" s="6"/>
      <c r="C5003" s="6"/>
      <c r="D5003" s="6"/>
      <c r="E5003" s="6"/>
      <c r="F5003" s="4"/>
      <c r="G5003" s="4"/>
      <c r="H5003" s="4"/>
      <c r="I5003" s="4"/>
      <c r="J5003" s="18"/>
      <c r="K5003" s="4"/>
      <c r="L5003" s="19"/>
      <c r="M5003" s="20"/>
    </row>
    <row r="5004">
      <c r="A5004" s="6"/>
      <c r="B5004" s="6"/>
      <c r="C5004" s="6"/>
      <c r="D5004" s="6"/>
      <c r="E5004" s="6"/>
      <c r="F5004" s="4"/>
      <c r="G5004" s="4"/>
      <c r="H5004" s="4"/>
      <c r="I5004" s="4"/>
      <c r="J5004" s="18"/>
      <c r="K5004" s="4"/>
      <c r="L5004" s="19"/>
      <c r="M5004" s="20"/>
    </row>
    <row r="5005">
      <c r="A5005" s="6"/>
      <c r="B5005" s="6"/>
      <c r="C5005" s="6"/>
      <c r="D5005" s="6"/>
      <c r="E5005" s="6"/>
      <c r="F5005" s="4"/>
      <c r="G5005" s="4"/>
      <c r="H5005" s="4"/>
      <c r="I5005" s="4"/>
      <c r="J5005" s="18"/>
      <c r="K5005" s="4"/>
      <c r="L5005" s="19"/>
      <c r="M5005" s="20"/>
    </row>
    <row r="5006">
      <c r="A5006" s="6"/>
      <c r="B5006" s="6"/>
      <c r="C5006" s="6"/>
      <c r="D5006" s="6"/>
      <c r="E5006" s="6"/>
      <c r="F5006" s="4"/>
      <c r="G5006" s="4"/>
      <c r="H5006" s="4"/>
      <c r="I5006" s="4"/>
      <c r="J5006" s="18"/>
      <c r="K5006" s="4"/>
      <c r="L5006" s="19"/>
      <c r="M5006" s="20"/>
    </row>
    <row r="5007">
      <c r="A5007" s="6"/>
      <c r="B5007" s="6"/>
      <c r="C5007" s="6"/>
      <c r="D5007" s="6"/>
      <c r="E5007" s="6"/>
      <c r="F5007" s="4"/>
      <c r="G5007" s="4"/>
      <c r="H5007" s="4"/>
      <c r="I5007" s="4"/>
      <c r="J5007" s="18"/>
      <c r="K5007" s="4"/>
      <c r="L5007" s="19"/>
      <c r="M5007" s="20"/>
    </row>
    <row r="5008">
      <c r="A5008" s="6"/>
      <c r="B5008" s="6"/>
      <c r="C5008" s="6"/>
      <c r="D5008" s="6"/>
      <c r="E5008" s="6"/>
      <c r="F5008" s="4"/>
      <c r="G5008" s="4"/>
      <c r="H5008" s="4"/>
      <c r="I5008" s="4"/>
      <c r="J5008" s="18"/>
      <c r="K5008" s="4"/>
      <c r="L5008" s="19"/>
      <c r="M5008" s="20"/>
    </row>
    <row r="5009">
      <c r="A5009" s="6"/>
      <c r="B5009" s="6"/>
      <c r="C5009" s="6"/>
      <c r="D5009" s="6"/>
      <c r="E5009" s="6"/>
      <c r="F5009" s="4"/>
      <c r="G5009" s="4"/>
      <c r="H5009" s="4"/>
      <c r="I5009" s="4"/>
      <c r="J5009" s="18"/>
      <c r="K5009" s="4"/>
      <c r="L5009" s="19"/>
      <c r="M5009" s="20"/>
    </row>
    <row r="5010">
      <c r="A5010" s="6"/>
      <c r="B5010" s="6"/>
      <c r="C5010" s="6"/>
      <c r="D5010" s="6"/>
      <c r="E5010" s="6"/>
      <c r="F5010" s="4"/>
      <c r="G5010" s="4"/>
      <c r="H5010" s="4"/>
      <c r="I5010" s="4"/>
      <c r="J5010" s="18"/>
      <c r="K5010" s="4"/>
      <c r="L5010" s="19"/>
      <c r="M5010" s="20"/>
    </row>
    <row r="5011">
      <c r="A5011" s="6"/>
      <c r="B5011" s="6"/>
      <c r="C5011" s="6"/>
      <c r="D5011" s="6"/>
      <c r="E5011" s="6"/>
      <c r="F5011" s="4"/>
      <c r="G5011" s="4"/>
      <c r="H5011" s="4"/>
      <c r="I5011" s="4"/>
      <c r="J5011" s="18"/>
      <c r="K5011" s="4"/>
      <c r="L5011" s="19"/>
      <c r="M5011" s="20"/>
    </row>
    <row r="5012">
      <c r="A5012" s="6"/>
      <c r="B5012" s="6"/>
      <c r="C5012" s="6"/>
      <c r="D5012" s="6"/>
      <c r="E5012" s="6"/>
      <c r="F5012" s="4"/>
      <c r="G5012" s="4"/>
      <c r="H5012" s="4"/>
      <c r="I5012" s="4"/>
      <c r="J5012" s="18"/>
      <c r="K5012" s="4"/>
      <c r="L5012" s="19"/>
      <c r="M5012" s="20"/>
    </row>
    <row r="5013">
      <c r="A5013" s="6"/>
      <c r="B5013" s="6"/>
      <c r="C5013" s="6"/>
      <c r="D5013" s="6"/>
      <c r="E5013" s="6"/>
      <c r="F5013" s="4"/>
      <c r="G5013" s="4"/>
      <c r="H5013" s="4"/>
      <c r="I5013" s="4"/>
      <c r="J5013" s="18"/>
      <c r="K5013" s="4"/>
      <c r="L5013" s="19"/>
      <c r="M5013" s="20"/>
    </row>
    <row r="5014">
      <c r="A5014" s="6"/>
      <c r="B5014" s="6"/>
      <c r="C5014" s="6"/>
      <c r="D5014" s="6"/>
      <c r="E5014" s="6"/>
      <c r="F5014" s="4"/>
      <c r="G5014" s="4"/>
      <c r="H5014" s="4"/>
      <c r="I5014" s="4"/>
      <c r="J5014" s="18"/>
      <c r="K5014" s="4"/>
      <c r="L5014" s="19"/>
      <c r="M5014" s="20"/>
    </row>
    <row r="5015">
      <c r="A5015" s="6"/>
      <c r="B5015" s="6"/>
      <c r="C5015" s="6"/>
      <c r="D5015" s="6"/>
      <c r="E5015" s="6"/>
      <c r="F5015" s="4"/>
      <c r="G5015" s="4"/>
      <c r="H5015" s="4"/>
      <c r="I5015" s="4"/>
      <c r="J5015" s="18"/>
      <c r="K5015" s="4"/>
      <c r="L5015" s="19"/>
      <c r="M5015" s="20"/>
    </row>
    <row r="5016">
      <c r="A5016" s="6"/>
      <c r="B5016" s="6"/>
      <c r="C5016" s="6"/>
      <c r="D5016" s="6"/>
      <c r="E5016" s="6"/>
      <c r="F5016" s="4"/>
      <c r="G5016" s="4"/>
      <c r="H5016" s="4"/>
      <c r="I5016" s="4"/>
      <c r="J5016" s="18"/>
      <c r="K5016" s="4"/>
      <c r="L5016" s="19"/>
      <c r="M5016" s="20"/>
    </row>
    <row r="5017">
      <c r="A5017" s="6"/>
      <c r="B5017" s="6"/>
      <c r="C5017" s="6"/>
      <c r="D5017" s="6"/>
      <c r="E5017" s="6"/>
      <c r="F5017" s="4"/>
      <c r="G5017" s="4"/>
      <c r="H5017" s="4"/>
      <c r="I5017" s="4"/>
      <c r="J5017" s="18"/>
      <c r="K5017" s="4"/>
      <c r="L5017" s="19"/>
      <c r="M5017" s="20"/>
    </row>
    <row r="5018">
      <c r="A5018" s="6"/>
      <c r="B5018" s="6"/>
      <c r="C5018" s="6"/>
      <c r="D5018" s="6"/>
      <c r="E5018" s="6"/>
      <c r="F5018" s="4"/>
      <c r="G5018" s="4"/>
      <c r="H5018" s="4"/>
      <c r="I5018" s="4"/>
      <c r="J5018" s="18"/>
      <c r="K5018" s="4"/>
      <c r="L5018" s="19"/>
      <c r="M5018" s="20"/>
    </row>
    <row r="5019">
      <c r="A5019" s="6"/>
      <c r="B5019" s="6"/>
      <c r="C5019" s="6"/>
      <c r="D5019" s="6"/>
      <c r="E5019" s="6"/>
      <c r="F5019" s="4"/>
      <c r="G5019" s="4"/>
      <c r="H5019" s="4"/>
      <c r="I5019" s="4"/>
      <c r="J5019" s="18"/>
      <c r="K5019" s="4"/>
      <c r="L5019" s="19"/>
      <c r="M5019" s="20"/>
    </row>
    <row r="5020">
      <c r="A5020" s="6"/>
      <c r="B5020" s="6"/>
      <c r="C5020" s="6"/>
      <c r="D5020" s="6"/>
      <c r="E5020" s="6"/>
      <c r="F5020" s="4"/>
      <c r="G5020" s="4"/>
      <c r="H5020" s="4"/>
      <c r="I5020" s="4"/>
      <c r="J5020" s="18"/>
      <c r="K5020" s="4"/>
      <c r="L5020" s="19"/>
      <c r="M5020" s="20"/>
    </row>
    <row r="5021">
      <c r="A5021" s="6"/>
      <c r="B5021" s="6"/>
      <c r="C5021" s="6"/>
      <c r="D5021" s="6"/>
      <c r="E5021" s="6"/>
      <c r="F5021" s="4"/>
      <c r="G5021" s="4"/>
      <c r="H5021" s="4"/>
      <c r="I5021" s="4"/>
      <c r="J5021" s="18"/>
      <c r="K5021" s="4"/>
      <c r="L5021" s="19"/>
      <c r="M5021" s="20"/>
    </row>
    <row r="5022">
      <c r="A5022" s="6"/>
      <c r="B5022" s="6"/>
      <c r="C5022" s="6"/>
      <c r="D5022" s="6"/>
      <c r="E5022" s="6"/>
      <c r="F5022" s="4"/>
      <c r="G5022" s="4"/>
      <c r="H5022" s="4"/>
      <c r="I5022" s="4"/>
      <c r="J5022" s="18"/>
      <c r="K5022" s="4"/>
      <c r="L5022" s="19"/>
      <c r="M5022" s="20"/>
    </row>
    <row r="5023">
      <c r="A5023" s="6"/>
      <c r="B5023" s="6"/>
      <c r="C5023" s="6"/>
      <c r="D5023" s="6"/>
      <c r="E5023" s="6"/>
      <c r="F5023" s="4"/>
      <c r="G5023" s="4"/>
      <c r="H5023" s="4"/>
      <c r="I5023" s="4"/>
      <c r="J5023" s="18"/>
      <c r="K5023" s="4"/>
      <c r="L5023" s="19"/>
      <c r="M5023" s="20"/>
    </row>
    <row r="5024">
      <c r="A5024" s="6"/>
      <c r="B5024" s="6"/>
      <c r="C5024" s="6"/>
      <c r="D5024" s="6"/>
      <c r="E5024" s="6"/>
      <c r="F5024" s="4"/>
      <c r="G5024" s="4"/>
      <c r="H5024" s="4"/>
      <c r="I5024" s="4"/>
      <c r="J5024" s="18"/>
      <c r="K5024" s="4"/>
      <c r="L5024" s="19"/>
      <c r="M5024" s="20"/>
    </row>
    <row r="5025">
      <c r="A5025" s="6"/>
      <c r="B5025" s="6"/>
      <c r="C5025" s="6"/>
      <c r="D5025" s="6"/>
      <c r="E5025" s="6"/>
      <c r="F5025" s="4"/>
      <c r="G5025" s="4"/>
      <c r="H5025" s="4"/>
      <c r="I5025" s="4"/>
      <c r="J5025" s="18"/>
      <c r="K5025" s="4"/>
      <c r="L5025" s="19"/>
      <c r="M5025" s="20"/>
    </row>
    <row r="5026">
      <c r="A5026" s="6"/>
      <c r="B5026" s="6"/>
      <c r="C5026" s="6"/>
      <c r="D5026" s="6"/>
      <c r="E5026" s="6"/>
      <c r="F5026" s="4"/>
      <c r="G5026" s="4"/>
      <c r="H5026" s="4"/>
      <c r="I5026" s="4"/>
      <c r="J5026" s="18"/>
      <c r="K5026" s="4"/>
      <c r="L5026" s="19"/>
      <c r="M5026" s="20"/>
    </row>
    <row r="5027">
      <c r="A5027" s="6"/>
      <c r="B5027" s="6"/>
      <c r="C5027" s="6"/>
      <c r="D5027" s="6"/>
      <c r="E5027" s="6"/>
      <c r="F5027" s="4"/>
      <c r="G5027" s="4"/>
      <c r="H5027" s="4"/>
      <c r="I5027" s="4"/>
      <c r="J5027" s="18"/>
      <c r="K5027" s="4"/>
      <c r="L5027" s="19"/>
      <c r="M5027" s="20"/>
    </row>
    <row r="5028">
      <c r="A5028" s="6"/>
      <c r="B5028" s="6"/>
      <c r="C5028" s="6"/>
      <c r="D5028" s="6"/>
      <c r="E5028" s="6"/>
      <c r="F5028" s="4"/>
      <c r="G5028" s="4"/>
      <c r="H5028" s="4"/>
      <c r="I5028" s="4"/>
      <c r="J5028" s="18"/>
      <c r="K5028" s="4"/>
      <c r="L5028" s="19"/>
      <c r="M5028" s="20"/>
    </row>
    <row r="5029">
      <c r="A5029" s="6"/>
      <c r="B5029" s="6"/>
      <c r="C5029" s="6"/>
      <c r="D5029" s="6"/>
      <c r="E5029" s="6"/>
      <c r="F5029" s="4"/>
      <c r="G5029" s="4"/>
      <c r="H5029" s="4"/>
      <c r="I5029" s="4"/>
      <c r="J5029" s="18"/>
      <c r="K5029" s="4"/>
      <c r="L5029" s="19"/>
      <c r="M5029" s="20"/>
    </row>
    <row r="5030">
      <c r="A5030" s="6"/>
      <c r="B5030" s="6"/>
      <c r="C5030" s="6"/>
      <c r="D5030" s="6"/>
      <c r="E5030" s="6"/>
      <c r="F5030" s="4"/>
      <c r="G5030" s="4"/>
      <c r="H5030" s="4"/>
      <c r="I5030" s="4"/>
      <c r="J5030" s="18"/>
      <c r="K5030" s="4"/>
      <c r="L5030" s="19"/>
      <c r="M5030" s="20"/>
    </row>
    <row r="5031">
      <c r="A5031" s="6"/>
      <c r="B5031" s="6"/>
      <c r="C5031" s="6"/>
      <c r="D5031" s="6"/>
      <c r="E5031" s="6"/>
      <c r="F5031" s="4"/>
      <c r="G5031" s="4"/>
      <c r="H5031" s="4"/>
      <c r="I5031" s="4"/>
      <c r="J5031" s="18"/>
      <c r="K5031" s="4"/>
      <c r="L5031" s="19"/>
      <c r="M5031" s="20"/>
    </row>
    <row r="5032">
      <c r="A5032" s="6"/>
      <c r="B5032" s="6"/>
      <c r="C5032" s="6"/>
      <c r="D5032" s="6"/>
      <c r="E5032" s="6"/>
      <c r="F5032" s="4"/>
      <c r="G5032" s="4"/>
      <c r="H5032" s="4"/>
      <c r="I5032" s="4"/>
      <c r="J5032" s="18"/>
      <c r="K5032" s="4"/>
      <c r="L5032" s="19"/>
      <c r="M5032" s="20"/>
    </row>
    <row r="5033">
      <c r="A5033" s="6"/>
      <c r="B5033" s="6"/>
      <c r="C5033" s="6"/>
      <c r="D5033" s="6"/>
      <c r="E5033" s="6"/>
      <c r="F5033" s="4"/>
      <c r="G5033" s="4"/>
      <c r="H5033" s="4"/>
      <c r="I5033" s="4"/>
      <c r="J5033" s="18"/>
      <c r="K5033" s="4"/>
      <c r="L5033" s="19"/>
      <c r="M5033" s="20"/>
    </row>
    <row r="5034">
      <c r="A5034" s="6"/>
      <c r="B5034" s="6"/>
      <c r="C5034" s="6"/>
      <c r="D5034" s="6"/>
      <c r="E5034" s="6"/>
      <c r="F5034" s="4"/>
      <c r="G5034" s="4"/>
      <c r="H5034" s="4"/>
      <c r="I5034" s="4"/>
      <c r="J5034" s="18"/>
      <c r="K5034" s="4"/>
      <c r="L5034" s="19"/>
      <c r="M5034" s="20"/>
    </row>
    <row r="5035">
      <c r="A5035" s="6"/>
      <c r="B5035" s="6"/>
      <c r="C5035" s="6"/>
      <c r="D5035" s="6"/>
      <c r="E5035" s="6"/>
      <c r="F5035" s="4"/>
      <c r="G5035" s="4"/>
      <c r="H5035" s="4"/>
      <c r="I5035" s="4"/>
      <c r="J5035" s="18"/>
      <c r="K5035" s="4"/>
      <c r="L5035" s="19"/>
      <c r="M5035" s="20"/>
    </row>
    <row r="5036">
      <c r="A5036" s="6"/>
      <c r="B5036" s="6"/>
      <c r="C5036" s="6"/>
      <c r="D5036" s="6"/>
      <c r="E5036" s="6"/>
      <c r="F5036" s="4"/>
      <c r="G5036" s="4"/>
      <c r="H5036" s="4"/>
      <c r="I5036" s="4"/>
      <c r="J5036" s="18"/>
      <c r="K5036" s="4"/>
      <c r="L5036" s="19"/>
      <c r="M5036" s="20"/>
    </row>
    <row r="5037">
      <c r="A5037" s="6"/>
      <c r="B5037" s="6"/>
      <c r="C5037" s="6"/>
      <c r="D5037" s="6"/>
      <c r="E5037" s="6"/>
      <c r="F5037" s="4"/>
      <c r="G5037" s="4"/>
      <c r="H5037" s="4"/>
      <c r="I5037" s="4"/>
      <c r="J5037" s="18"/>
      <c r="K5037" s="4"/>
      <c r="L5037" s="19"/>
      <c r="M5037" s="20"/>
    </row>
    <row r="5038">
      <c r="A5038" s="6"/>
      <c r="B5038" s="6"/>
      <c r="C5038" s="6"/>
      <c r="D5038" s="6"/>
      <c r="E5038" s="6"/>
      <c r="F5038" s="4"/>
      <c r="G5038" s="4"/>
      <c r="H5038" s="4"/>
      <c r="I5038" s="4"/>
      <c r="J5038" s="18"/>
      <c r="K5038" s="4"/>
      <c r="L5038" s="19"/>
      <c r="M5038" s="20"/>
    </row>
    <row r="5039">
      <c r="A5039" s="6"/>
      <c r="B5039" s="6"/>
      <c r="C5039" s="6"/>
      <c r="D5039" s="6"/>
      <c r="E5039" s="6"/>
      <c r="F5039" s="4"/>
      <c r="G5039" s="4"/>
      <c r="H5039" s="4"/>
      <c r="I5039" s="4"/>
      <c r="J5039" s="18"/>
      <c r="K5039" s="4"/>
      <c r="L5039" s="19"/>
      <c r="M5039" s="20"/>
    </row>
    <row r="5040">
      <c r="A5040" s="6"/>
      <c r="B5040" s="6"/>
      <c r="C5040" s="6"/>
      <c r="D5040" s="6"/>
      <c r="E5040" s="6"/>
      <c r="F5040" s="4"/>
      <c r="G5040" s="4"/>
      <c r="H5040" s="4"/>
      <c r="I5040" s="4"/>
      <c r="J5040" s="18"/>
      <c r="K5040" s="4"/>
      <c r="L5040" s="19"/>
      <c r="M5040" s="20"/>
    </row>
    <row r="5041">
      <c r="A5041" s="6"/>
      <c r="B5041" s="6"/>
      <c r="C5041" s="6"/>
      <c r="D5041" s="6"/>
      <c r="E5041" s="6"/>
      <c r="F5041" s="4"/>
      <c r="G5041" s="4"/>
      <c r="H5041" s="4"/>
      <c r="I5041" s="4"/>
      <c r="J5041" s="18"/>
      <c r="K5041" s="4"/>
      <c r="L5041" s="19"/>
      <c r="M5041" s="20"/>
    </row>
    <row r="5042">
      <c r="A5042" s="6"/>
      <c r="B5042" s="6"/>
      <c r="C5042" s="6"/>
      <c r="D5042" s="6"/>
      <c r="E5042" s="6"/>
      <c r="F5042" s="4"/>
      <c r="G5042" s="4"/>
      <c r="H5042" s="4"/>
      <c r="I5042" s="4"/>
      <c r="J5042" s="18"/>
      <c r="K5042" s="4"/>
      <c r="L5042" s="19"/>
      <c r="M5042" s="20"/>
    </row>
    <row r="5043">
      <c r="A5043" s="6"/>
      <c r="B5043" s="6"/>
      <c r="C5043" s="6"/>
      <c r="D5043" s="6"/>
      <c r="E5043" s="6"/>
      <c r="F5043" s="4"/>
      <c r="G5043" s="4"/>
      <c r="H5043" s="4"/>
      <c r="I5043" s="4"/>
      <c r="J5043" s="18"/>
      <c r="K5043" s="4"/>
      <c r="L5043" s="19"/>
      <c r="M5043" s="20"/>
    </row>
    <row r="5044">
      <c r="A5044" s="6"/>
      <c r="B5044" s="6"/>
      <c r="C5044" s="6"/>
      <c r="D5044" s="6"/>
      <c r="E5044" s="6"/>
      <c r="F5044" s="4"/>
      <c r="G5044" s="4"/>
      <c r="H5044" s="4"/>
      <c r="I5044" s="4"/>
      <c r="J5044" s="18"/>
      <c r="K5044" s="4"/>
      <c r="L5044" s="19"/>
      <c r="M5044" s="20"/>
    </row>
    <row r="5045">
      <c r="A5045" s="6"/>
      <c r="B5045" s="6"/>
      <c r="C5045" s="6"/>
      <c r="D5045" s="6"/>
      <c r="E5045" s="6"/>
      <c r="F5045" s="4"/>
      <c r="G5045" s="4"/>
      <c r="H5045" s="4"/>
      <c r="I5045" s="4"/>
      <c r="J5045" s="18"/>
      <c r="K5045" s="4"/>
      <c r="L5045" s="19"/>
      <c r="M5045" s="20"/>
    </row>
    <row r="5046">
      <c r="A5046" s="6"/>
      <c r="B5046" s="6"/>
      <c r="C5046" s="6"/>
      <c r="D5046" s="6"/>
      <c r="E5046" s="6"/>
      <c r="F5046" s="4"/>
      <c r="G5046" s="4"/>
      <c r="H5046" s="4"/>
      <c r="I5046" s="4"/>
      <c r="J5046" s="18"/>
      <c r="K5046" s="4"/>
      <c r="L5046" s="19"/>
      <c r="M5046" s="20"/>
    </row>
    <row r="5047">
      <c r="A5047" s="6"/>
      <c r="B5047" s="6"/>
      <c r="C5047" s="6"/>
      <c r="D5047" s="6"/>
      <c r="E5047" s="6"/>
      <c r="F5047" s="4"/>
      <c r="G5047" s="4"/>
      <c r="H5047" s="4"/>
      <c r="I5047" s="4"/>
      <c r="J5047" s="18"/>
      <c r="K5047" s="4"/>
      <c r="L5047" s="19"/>
      <c r="M5047" s="20"/>
    </row>
    <row r="5048">
      <c r="A5048" s="6"/>
      <c r="B5048" s="6"/>
      <c r="C5048" s="6"/>
      <c r="D5048" s="6"/>
      <c r="E5048" s="6"/>
      <c r="F5048" s="4"/>
      <c r="G5048" s="4"/>
      <c r="H5048" s="4"/>
      <c r="I5048" s="4"/>
      <c r="J5048" s="18"/>
      <c r="K5048" s="4"/>
      <c r="L5048" s="19"/>
      <c r="M5048" s="20"/>
    </row>
    <row r="5049">
      <c r="A5049" s="6"/>
      <c r="B5049" s="6"/>
      <c r="C5049" s="6"/>
      <c r="D5049" s="6"/>
      <c r="E5049" s="6"/>
      <c r="F5049" s="4"/>
      <c r="G5049" s="4"/>
      <c r="H5049" s="4"/>
      <c r="I5049" s="4"/>
      <c r="J5049" s="18"/>
      <c r="K5049" s="4"/>
      <c r="L5049" s="19"/>
      <c r="M5049" s="20"/>
    </row>
    <row r="5050">
      <c r="A5050" s="6"/>
      <c r="B5050" s="6"/>
      <c r="C5050" s="6"/>
      <c r="D5050" s="6"/>
      <c r="E5050" s="6"/>
      <c r="F5050" s="4"/>
      <c r="G5050" s="4"/>
      <c r="H5050" s="4"/>
      <c r="I5050" s="4"/>
      <c r="J5050" s="18"/>
      <c r="K5050" s="4"/>
      <c r="L5050" s="19"/>
      <c r="M5050" s="20"/>
    </row>
    <row r="5051">
      <c r="A5051" s="6"/>
      <c r="B5051" s="6"/>
      <c r="C5051" s="6"/>
      <c r="D5051" s="6"/>
      <c r="E5051" s="6"/>
      <c r="F5051" s="4"/>
      <c r="G5051" s="4"/>
      <c r="H5051" s="4"/>
      <c r="I5051" s="4"/>
      <c r="J5051" s="18"/>
      <c r="K5051" s="4"/>
      <c r="L5051" s="19"/>
      <c r="M5051" s="20"/>
    </row>
    <row r="5052">
      <c r="A5052" s="6"/>
      <c r="B5052" s="6"/>
      <c r="C5052" s="6"/>
      <c r="D5052" s="6"/>
      <c r="E5052" s="6"/>
      <c r="F5052" s="4"/>
      <c r="G5052" s="4"/>
      <c r="H5052" s="4"/>
      <c r="I5052" s="4"/>
      <c r="J5052" s="18"/>
      <c r="K5052" s="4"/>
      <c r="L5052" s="19"/>
      <c r="M5052" s="20"/>
    </row>
    <row r="5053">
      <c r="A5053" s="6"/>
      <c r="B5053" s="6"/>
      <c r="C5053" s="6"/>
      <c r="D5053" s="6"/>
      <c r="E5053" s="6"/>
      <c r="F5053" s="4"/>
      <c r="G5053" s="4"/>
      <c r="H5053" s="4"/>
      <c r="I5053" s="4"/>
      <c r="J5053" s="18"/>
      <c r="K5053" s="4"/>
      <c r="L5053" s="19"/>
      <c r="M5053" s="20"/>
    </row>
    <row r="5054">
      <c r="A5054" s="6"/>
      <c r="B5054" s="6"/>
      <c r="C5054" s="6"/>
      <c r="D5054" s="6"/>
      <c r="E5054" s="6"/>
      <c r="F5054" s="4"/>
      <c r="G5054" s="4"/>
      <c r="H5054" s="4"/>
      <c r="I5054" s="4"/>
      <c r="J5054" s="18"/>
      <c r="K5054" s="4"/>
      <c r="L5054" s="19"/>
      <c r="M5054" s="20"/>
    </row>
    <row r="5055">
      <c r="A5055" s="6"/>
      <c r="B5055" s="6"/>
      <c r="C5055" s="6"/>
      <c r="D5055" s="6"/>
      <c r="E5055" s="6"/>
      <c r="F5055" s="4"/>
      <c r="G5055" s="4"/>
      <c r="H5055" s="4"/>
      <c r="I5055" s="4"/>
      <c r="J5055" s="18"/>
      <c r="K5055" s="4"/>
      <c r="L5055" s="19"/>
      <c r="M5055" s="20"/>
    </row>
    <row r="5056">
      <c r="A5056" s="6"/>
      <c r="B5056" s="6"/>
      <c r="C5056" s="6"/>
      <c r="D5056" s="6"/>
      <c r="E5056" s="6"/>
      <c r="F5056" s="4"/>
      <c r="G5056" s="4"/>
      <c r="H5056" s="4"/>
      <c r="I5056" s="4"/>
      <c r="J5056" s="18"/>
      <c r="K5056" s="4"/>
      <c r="L5056" s="19"/>
      <c r="M5056" s="20"/>
    </row>
    <row r="5057">
      <c r="A5057" s="6"/>
      <c r="B5057" s="6"/>
      <c r="C5057" s="6"/>
      <c r="D5057" s="6"/>
      <c r="E5057" s="6"/>
      <c r="F5057" s="4"/>
      <c r="G5057" s="4"/>
      <c r="H5057" s="4"/>
      <c r="I5057" s="4"/>
      <c r="J5057" s="18"/>
      <c r="K5057" s="4"/>
      <c r="L5057" s="19"/>
      <c r="M5057" s="20"/>
    </row>
    <row r="5058">
      <c r="A5058" s="6"/>
      <c r="B5058" s="6"/>
      <c r="C5058" s="6"/>
      <c r="D5058" s="6"/>
      <c r="E5058" s="6"/>
      <c r="F5058" s="4"/>
      <c r="G5058" s="4"/>
      <c r="H5058" s="4"/>
      <c r="I5058" s="4"/>
      <c r="J5058" s="18"/>
      <c r="K5058" s="4"/>
      <c r="L5058" s="19"/>
      <c r="M5058" s="20"/>
    </row>
    <row r="5059">
      <c r="A5059" s="6"/>
      <c r="B5059" s="6"/>
      <c r="C5059" s="6"/>
      <c r="D5059" s="6"/>
      <c r="E5059" s="6"/>
      <c r="F5059" s="4"/>
      <c r="G5059" s="4"/>
      <c r="H5059" s="4"/>
      <c r="I5059" s="4"/>
      <c r="J5059" s="18"/>
      <c r="K5059" s="4"/>
      <c r="L5059" s="19"/>
      <c r="M5059" s="20"/>
    </row>
    <row r="5060">
      <c r="A5060" s="6"/>
      <c r="B5060" s="6"/>
      <c r="C5060" s="6"/>
      <c r="D5060" s="6"/>
      <c r="E5060" s="6"/>
      <c r="F5060" s="4"/>
      <c r="G5060" s="4"/>
      <c r="H5060" s="4"/>
      <c r="I5060" s="4"/>
      <c r="J5060" s="18"/>
      <c r="K5060" s="4"/>
      <c r="L5060" s="19"/>
      <c r="M5060" s="20"/>
    </row>
    <row r="5061">
      <c r="A5061" s="6"/>
      <c r="B5061" s="6"/>
      <c r="C5061" s="6"/>
      <c r="D5061" s="6"/>
      <c r="E5061" s="6"/>
      <c r="F5061" s="4"/>
      <c r="G5061" s="4"/>
      <c r="H5061" s="4"/>
      <c r="I5061" s="4"/>
      <c r="J5061" s="18"/>
      <c r="K5061" s="4"/>
      <c r="L5061" s="19"/>
      <c r="M5061" s="20"/>
    </row>
    <row r="5062">
      <c r="A5062" s="6"/>
      <c r="B5062" s="6"/>
      <c r="C5062" s="6"/>
      <c r="D5062" s="6"/>
      <c r="E5062" s="6"/>
      <c r="F5062" s="4"/>
      <c r="G5062" s="4"/>
      <c r="H5062" s="4"/>
      <c r="I5062" s="4"/>
      <c r="J5062" s="18"/>
      <c r="K5062" s="4"/>
      <c r="L5062" s="19"/>
      <c r="M5062" s="20"/>
    </row>
    <row r="5063">
      <c r="A5063" s="6"/>
      <c r="B5063" s="6"/>
      <c r="C5063" s="6"/>
      <c r="D5063" s="6"/>
      <c r="E5063" s="6"/>
      <c r="F5063" s="4"/>
      <c r="G5063" s="4"/>
      <c r="H5063" s="4"/>
      <c r="I5063" s="4"/>
      <c r="J5063" s="18"/>
      <c r="K5063" s="4"/>
      <c r="L5063" s="19"/>
      <c r="M5063" s="20"/>
    </row>
    <row r="5064">
      <c r="A5064" s="6"/>
      <c r="B5064" s="6"/>
      <c r="C5064" s="6"/>
      <c r="D5064" s="6"/>
      <c r="E5064" s="6"/>
      <c r="F5064" s="4"/>
      <c r="G5064" s="4"/>
      <c r="H5064" s="4"/>
      <c r="I5064" s="4"/>
      <c r="J5064" s="18"/>
      <c r="K5064" s="4"/>
      <c r="L5064" s="19"/>
      <c r="M5064" s="20"/>
    </row>
    <row r="5065">
      <c r="A5065" s="6"/>
      <c r="B5065" s="6"/>
      <c r="C5065" s="6"/>
      <c r="D5065" s="6"/>
      <c r="E5065" s="6"/>
      <c r="F5065" s="4"/>
      <c r="G5065" s="4"/>
      <c r="H5065" s="4"/>
      <c r="I5065" s="4"/>
      <c r="J5065" s="18"/>
      <c r="K5065" s="4"/>
      <c r="L5065" s="19"/>
      <c r="M5065" s="20"/>
    </row>
    <row r="5066">
      <c r="A5066" s="6"/>
      <c r="B5066" s="6"/>
      <c r="C5066" s="6"/>
      <c r="D5066" s="6"/>
      <c r="E5066" s="6"/>
      <c r="F5066" s="4"/>
      <c r="G5066" s="4"/>
      <c r="H5066" s="4"/>
      <c r="I5066" s="4"/>
      <c r="J5066" s="18"/>
      <c r="K5066" s="4"/>
      <c r="L5066" s="19"/>
      <c r="M5066" s="20"/>
    </row>
    <row r="5067">
      <c r="A5067" s="6"/>
      <c r="B5067" s="6"/>
      <c r="C5067" s="6"/>
      <c r="D5067" s="6"/>
      <c r="E5067" s="6"/>
      <c r="F5067" s="4"/>
      <c r="G5067" s="4"/>
      <c r="H5067" s="4"/>
      <c r="I5067" s="4"/>
      <c r="J5067" s="18"/>
      <c r="K5067" s="4"/>
      <c r="L5067" s="19"/>
      <c r="M5067" s="20"/>
    </row>
    <row r="5068">
      <c r="A5068" s="6"/>
      <c r="B5068" s="6"/>
      <c r="C5068" s="6"/>
      <c r="D5068" s="6"/>
      <c r="E5068" s="6"/>
      <c r="F5068" s="4"/>
      <c r="G5068" s="4"/>
      <c r="H5068" s="4"/>
      <c r="I5068" s="4"/>
      <c r="J5068" s="18"/>
      <c r="K5068" s="4"/>
      <c r="L5068" s="19"/>
      <c r="M5068" s="20"/>
    </row>
    <row r="5069">
      <c r="A5069" s="6"/>
      <c r="B5069" s="6"/>
      <c r="C5069" s="6"/>
      <c r="D5069" s="6"/>
      <c r="E5069" s="6"/>
      <c r="F5069" s="4"/>
      <c r="G5069" s="4"/>
      <c r="H5069" s="4"/>
      <c r="I5069" s="4"/>
      <c r="J5069" s="18"/>
      <c r="K5069" s="4"/>
      <c r="L5069" s="19"/>
      <c r="M5069" s="20"/>
    </row>
    <row r="5070">
      <c r="A5070" s="6"/>
      <c r="B5070" s="6"/>
      <c r="C5070" s="6"/>
      <c r="D5070" s="6"/>
      <c r="E5070" s="6"/>
      <c r="F5070" s="4"/>
      <c r="G5070" s="4"/>
      <c r="H5070" s="4"/>
      <c r="I5070" s="4"/>
      <c r="J5070" s="18"/>
      <c r="K5070" s="4"/>
      <c r="L5070" s="19"/>
      <c r="M5070" s="20"/>
    </row>
    <row r="5071">
      <c r="A5071" s="6"/>
      <c r="B5071" s="6"/>
      <c r="C5071" s="6"/>
      <c r="D5071" s="6"/>
      <c r="E5071" s="6"/>
      <c r="F5071" s="4"/>
      <c r="G5071" s="4"/>
      <c r="H5071" s="4"/>
      <c r="I5071" s="4"/>
      <c r="J5071" s="18"/>
      <c r="K5071" s="4"/>
      <c r="L5071" s="19"/>
      <c r="M5071" s="20"/>
    </row>
    <row r="5072">
      <c r="A5072" s="6"/>
      <c r="B5072" s="6"/>
      <c r="C5072" s="6"/>
      <c r="D5072" s="6"/>
      <c r="E5072" s="6"/>
      <c r="F5072" s="4"/>
      <c r="G5072" s="4"/>
      <c r="H5072" s="4"/>
      <c r="I5072" s="4"/>
      <c r="J5072" s="18"/>
      <c r="K5072" s="4"/>
      <c r="L5072" s="19"/>
      <c r="M5072" s="20"/>
    </row>
    <row r="5073">
      <c r="A5073" s="6"/>
      <c r="B5073" s="6"/>
      <c r="C5073" s="6"/>
      <c r="D5073" s="6"/>
      <c r="E5073" s="6"/>
      <c r="F5073" s="4"/>
      <c r="G5073" s="4"/>
      <c r="H5073" s="4"/>
      <c r="I5073" s="4"/>
      <c r="J5073" s="18"/>
      <c r="K5073" s="4"/>
      <c r="L5073" s="19"/>
      <c r="M5073" s="20"/>
    </row>
    <row r="5074">
      <c r="A5074" s="6"/>
      <c r="B5074" s="6"/>
      <c r="C5074" s="6"/>
      <c r="D5074" s="6"/>
      <c r="E5074" s="6"/>
      <c r="F5074" s="4"/>
      <c r="G5074" s="4"/>
      <c r="H5074" s="4"/>
      <c r="I5074" s="4"/>
      <c r="J5074" s="18"/>
      <c r="K5074" s="4"/>
      <c r="L5074" s="19"/>
      <c r="M5074" s="20"/>
    </row>
    <row r="5075">
      <c r="A5075" s="6"/>
      <c r="B5075" s="6"/>
      <c r="C5075" s="6"/>
      <c r="D5075" s="6"/>
      <c r="E5075" s="6"/>
      <c r="F5075" s="4"/>
      <c r="G5075" s="4"/>
      <c r="H5075" s="4"/>
      <c r="I5075" s="4"/>
      <c r="J5075" s="18"/>
      <c r="K5075" s="4"/>
      <c r="L5075" s="19"/>
      <c r="M5075" s="20"/>
    </row>
    <row r="5076">
      <c r="A5076" s="6"/>
      <c r="B5076" s="6"/>
      <c r="C5076" s="6"/>
      <c r="D5076" s="6"/>
      <c r="E5076" s="6"/>
      <c r="F5076" s="4"/>
      <c r="G5076" s="4"/>
      <c r="H5076" s="4"/>
      <c r="I5076" s="4"/>
      <c r="J5076" s="18"/>
      <c r="K5076" s="4"/>
      <c r="L5076" s="19"/>
      <c r="M5076" s="20"/>
    </row>
    <row r="5077">
      <c r="A5077" s="6"/>
      <c r="B5077" s="6"/>
      <c r="C5077" s="6"/>
      <c r="D5077" s="6"/>
      <c r="E5077" s="6"/>
      <c r="F5077" s="4"/>
      <c r="G5077" s="4"/>
      <c r="H5077" s="4"/>
      <c r="I5077" s="4"/>
      <c r="J5077" s="18"/>
      <c r="K5077" s="4"/>
      <c r="L5077" s="19"/>
      <c r="M5077" s="20"/>
    </row>
    <row r="5078">
      <c r="A5078" s="6"/>
      <c r="B5078" s="6"/>
      <c r="C5078" s="6"/>
      <c r="D5078" s="6"/>
      <c r="E5078" s="6"/>
      <c r="F5078" s="4"/>
      <c r="G5078" s="4"/>
      <c r="H5078" s="4"/>
      <c r="I5078" s="4"/>
      <c r="J5078" s="18"/>
      <c r="K5078" s="4"/>
      <c r="L5078" s="19"/>
      <c r="M5078" s="20"/>
    </row>
    <row r="5079">
      <c r="A5079" s="6"/>
      <c r="B5079" s="6"/>
      <c r="C5079" s="6"/>
      <c r="D5079" s="6"/>
      <c r="E5079" s="6"/>
      <c r="F5079" s="4"/>
      <c r="G5079" s="4"/>
      <c r="H5079" s="4"/>
      <c r="I5079" s="4"/>
      <c r="J5079" s="18"/>
      <c r="K5079" s="4"/>
      <c r="L5079" s="19"/>
      <c r="M5079" s="20"/>
    </row>
    <row r="5080">
      <c r="A5080" s="6"/>
      <c r="B5080" s="6"/>
      <c r="C5080" s="6"/>
      <c r="D5080" s="6"/>
      <c r="E5080" s="6"/>
      <c r="F5080" s="4"/>
      <c r="G5080" s="4"/>
      <c r="H5080" s="4"/>
      <c r="I5080" s="4"/>
      <c r="J5080" s="18"/>
      <c r="K5080" s="4"/>
      <c r="L5080" s="19"/>
      <c r="M5080" s="20"/>
    </row>
    <row r="5081">
      <c r="A5081" s="6"/>
      <c r="B5081" s="6"/>
      <c r="C5081" s="6"/>
      <c r="D5081" s="6"/>
      <c r="E5081" s="6"/>
      <c r="F5081" s="4"/>
      <c r="G5081" s="4"/>
      <c r="H5081" s="4"/>
      <c r="I5081" s="4"/>
      <c r="J5081" s="18"/>
      <c r="K5081" s="4"/>
      <c r="L5081" s="19"/>
      <c r="M5081" s="20"/>
    </row>
    <row r="5082">
      <c r="A5082" s="6"/>
      <c r="B5082" s="6"/>
      <c r="C5082" s="6"/>
      <c r="D5082" s="6"/>
      <c r="E5082" s="6"/>
      <c r="F5082" s="4"/>
      <c r="G5082" s="4"/>
      <c r="H5082" s="4"/>
      <c r="I5082" s="4"/>
      <c r="J5082" s="18"/>
      <c r="K5082" s="4"/>
      <c r="L5082" s="19"/>
      <c r="M5082" s="20"/>
    </row>
    <row r="5083">
      <c r="A5083" s="6"/>
      <c r="B5083" s="6"/>
      <c r="C5083" s="6"/>
      <c r="D5083" s="6"/>
      <c r="E5083" s="6"/>
      <c r="F5083" s="4"/>
      <c r="G5083" s="4"/>
      <c r="H5083" s="4"/>
      <c r="I5083" s="4"/>
      <c r="J5083" s="18"/>
      <c r="K5083" s="4"/>
      <c r="L5083" s="19"/>
      <c r="M5083" s="20"/>
    </row>
    <row r="5084">
      <c r="A5084" s="6"/>
      <c r="B5084" s="6"/>
      <c r="C5084" s="6"/>
      <c r="D5084" s="6"/>
      <c r="E5084" s="6"/>
      <c r="F5084" s="4"/>
      <c r="G5084" s="4"/>
      <c r="H5084" s="4"/>
      <c r="I5084" s="4"/>
      <c r="J5084" s="18"/>
      <c r="K5084" s="4"/>
      <c r="L5084" s="19"/>
      <c r="M5084" s="20"/>
    </row>
    <row r="5085">
      <c r="A5085" s="6"/>
      <c r="B5085" s="6"/>
      <c r="C5085" s="6"/>
      <c r="D5085" s="6"/>
      <c r="E5085" s="6"/>
      <c r="F5085" s="4"/>
      <c r="G5085" s="4"/>
      <c r="H5085" s="4"/>
      <c r="I5085" s="4"/>
      <c r="J5085" s="18"/>
      <c r="K5085" s="4"/>
      <c r="L5085" s="19"/>
      <c r="M5085" s="20"/>
    </row>
    <row r="5086">
      <c r="A5086" s="6"/>
      <c r="B5086" s="6"/>
      <c r="C5086" s="6"/>
      <c r="D5086" s="6"/>
      <c r="E5086" s="6"/>
      <c r="F5086" s="4"/>
      <c r="G5086" s="4"/>
      <c r="H5086" s="4"/>
      <c r="I5086" s="4"/>
      <c r="J5086" s="18"/>
      <c r="K5086" s="4"/>
      <c r="L5086" s="19"/>
      <c r="M5086" s="20"/>
    </row>
    <row r="5087">
      <c r="A5087" s="6"/>
      <c r="B5087" s="6"/>
      <c r="C5087" s="6"/>
      <c r="D5087" s="6"/>
      <c r="E5087" s="6"/>
      <c r="F5087" s="4"/>
      <c r="G5087" s="4"/>
      <c r="H5087" s="4"/>
      <c r="I5087" s="4"/>
      <c r="J5087" s="18"/>
      <c r="K5087" s="4"/>
      <c r="L5087" s="19"/>
      <c r="M5087" s="20"/>
    </row>
    <row r="5088">
      <c r="A5088" s="6"/>
      <c r="B5088" s="6"/>
      <c r="C5088" s="6"/>
      <c r="D5088" s="6"/>
      <c r="E5088" s="6"/>
      <c r="F5088" s="4"/>
      <c r="G5088" s="4"/>
      <c r="H5088" s="4"/>
      <c r="I5088" s="4"/>
      <c r="J5088" s="18"/>
      <c r="K5088" s="4"/>
      <c r="L5088" s="19"/>
      <c r="M5088" s="20"/>
    </row>
    <row r="5089">
      <c r="A5089" s="6"/>
      <c r="B5089" s="6"/>
      <c r="C5089" s="6"/>
      <c r="D5089" s="6"/>
      <c r="E5089" s="6"/>
      <c r="F5089" s="4"/>
      <c r="G5089" s="4"/>
      <c r="H5089" s="4"/>
      <c r="I5089" s="4"/>
      <c r="J5089" s="18"/>
      <c r="K5089" s="4"/>
      <c r="L5089" s="19"/>
      <c r="M5089" s="20"/>
    </row>
    <row r="5090">
      <c r="A5090" s="6"/>
      <c r="B5090" s="6"/>
      <c r="C5090" s="6"/>
      <c r="D5090" s="6"/>
      <c r="E5090" s="6"/>
      <c r="F5090" s="4"/>
      <c r="G5090" s="4"/>
      <c r="H5090" s="4"/>
      <c r="I5090" s="4"/>
      <c r="J5090" s="18"/>
      <c r="K5090" s="4"/>
      <c r="L5090" s="19"/>
      <c r="M5090" s="20"/>
    </row>
    <row r="5091">
      <c r="A5091" s="6"/>
      <c r="B5091" s="6"/>
      <c r="C5091" s="6"/>
      <c r="D5091" s="6"/>
      <c r="E5091" s="6"/>
      <c r="F5091" s="4"/>
      <c r="G5091" s="4"/>
      <c r="H5091" s="4"/>
      <c r="I5091" s="4"/>
      <c r="J5091" s="18"/>
      <c r="K5091" s="4"/>
      <c r="L5091" s="19"/>
      <c r="M5091" s="20"/>
    </row>
    <row r="5092">
      <c r="A5092" s="6"/>
      <c r="B5092" s="6"/>
      <c r="C5092" s="6"/>
      <c r="D5092" s="6"/>
      <c r="E5092" s="6"/>
      <c r="F5092" s="4"/>
      <c r="G5092" s="4"/>
      <c r="H5092" s="4"/>
      <c r="I5092" s="4"/>
      <c r="J5092" s="18"/>
      <c r="K5092" s="4"/>
      <c r="L5092" s="19"/>
      <c r="M5092" s="20"/>
    </row>
    <row r="5093">
      <c r="A5093" s="6"/>
      <c r="B5093" s="6"/>
      <c r="C5093" s="6"/>
      <c r="D5093" s="6"/>
      <c r="E5093" s="6"/>
      <c r="F5093" s="4"/>
      <c r="G5093" s="4"/>
      <c r="H5093" s="4"/>
      <c r="I5093" s="4"/>
      <c r="J5093" s="18"/>
      <c r="K5093" s="4"/>
      <c r="L5093" s="19"/>
      <c r="M5093" s="20"/>
    </row>
    <row r="5094">
      <c r="A5094" s="6"/>
      <c r="B5094" s="6"/>
      <c r="C5094" s="6"/>
      <c r="D5094" s="6"/>
      <c r="E5094" s="6"/>
      <c r="F5094" s="4"/>
      <c r="G5094" s="4"/>
      <c r="H5094" s="4"/>
      <c r="I5094" s="4"/>
      <c r="J5094" s="18"/>
      <c r="K5094" s="4"/>
      <c r="L5094" s="19"/>
      <c r="M5094" s="20"/>
    </row>
    <row r="5095">
      <c r="A5095" s="6"/>
      <c r="B5095" s="6"/>
      <c r="C5095" s="6"/>
      <c r="D5095" s="6"/>
      <c r="E5095" s="6"/>
      <c r="F5095" s="4"/>
      <c r="G5095" s="4"/>
      <c r="H5095" s="4"/>
      <c r="I5095" s="4"/>
      <c r="J5095" s="18"/>
      <c r="K5095" s="4"/>
      <c r="L5095" s="19"/>
      <c r="M5095" s="20"/>
    </row>
    <row r="5096">
      <c r="A5096" s="6"/>
      <c r="B5096" s="6"/>
      <c r="C5096" s="6"/>
      <c r="D5096" s="6"/>
      <c r="E5096" s="6"/>
      <c r="F5096" s="4"/>
      <c r="G5096" s="4"/>
      <c r="H5096" s="4"/>
      <c r="I5096" s="4"/>
      <c r="J5096" s="18"/>
      <c r="K5096" s="4"/>
      <c r="L5096" s="19"/>
      <c r="M5096" s="20"/>
    </row>
    <row r="5097">
      <c r="A5097" s="6"/>
      <c r="B5097" s="6"/>
      <c r="C5097" s="6"/>
      <c r="D5097" s="6"/>
      <c r="E5097" s="6"/>
      <c r="F5097" s="4"/>
      <c r="G5097" s="4"/>
      <c r="H5097" s="4"/>
      <c r="I5097" s="4"/>
      <c r="J5097" s="18"/>
      <c r="K5097" s="4"/>
      <c r="L5097" s="19"/>
      <c r="M5097" s="20"/>
    </row>
    <row r="5098">
      <c r="A5098" s="6"/>
      <c r="B5098" s="6"/>
      <c r="C5098" s="6"/>
      <c r="D5098" s="6"/>
      <c r="E5098" s="6"/>
      <c r="F5098" s="4"/>
      <c r="G5098" s="4"/>
      <c r="H5098" s="4"/>
      <c r="I5098" s="4"/>
      <c r="J5098" s="18"/>
      <c r="K5098" s="4"/>
      <c r="L5098" s="19"/>
      <c r="M5098" s="20"/>
    </row>
    <row r="5099">
      <c r="A5099" s="6"/>
      <c r="B5099" s="6"/>
      <c r="C5099" s="6"/>
      <c r="D5099" s="6"/>
      <c r="E5099" s="6"/>
      <c r="F5099" s="4"/>
      <c r="G5099" s="4"/>
      <c r="H5099" s="4"/>
      <c r="I5099" s="4"/>
      <c r="J5099" s="18"/>
      <c r="K5099" s="4"/>
      <c r="L5099" s="19"/>
      <c r="M5099" s="20"/>
    </row>
    <row r="5100">
      <c r="A5100" s="6"/>
      <c r="B5100" s="6"/>
      <c r="C5100" s="6"/>
      <c r="D5100" s="6"/>
      <c r="E5100" s="6"/>
      <c r="F5100" s="4"/>
      <c r="G5100" s="4"/>
      <c r="H5100" s="4"/>
      <c r="I5100" s="4"/>
      <c r="J5100" s="18"/>
      <c r="K5100" s="4"/>
      <c r="L5100" s="19"/>
      <c r="M5100" s="20"/>
    </row>
    <row r="5101">
      <c r="A5101" s="6"/>
      <c r="B5101" s="6"/>
      <c r="C5101" s="6"/>
      <c r="D5101" s="6"/>
      <c r="E5101" s="6"/>
      <c r="F5101" s="4"/>
      <c r="G5101" s="4"/>
      <c r="H5101" s="4"/>
      <c r="I5101" s="4"/>
      <c r="J5101" s="18"/>
      <c r="K5101" s="4"/>
      <c r="L5101" s="19"/>
      <c r="M5101" s="20"/>
    </row>
    <row r="5102">
      <c r="A5102" s="6"/>
      <c r="B5102" s="6"/>
      <c r="C5102" s="6"/>
      <c r="D5102" s="6"/>
      <c r="E5102" s="6"/>
      <c r="F5102" s="4"/>
      <c r="G5102" s="4"/>
      <c r="H5102" s="4"/>
      <c r="I5102" s="4"/>
      <c r="J5102" s="18"/>
      <c r="K5102" s="4"/>
      <c r="L5102" s="19"/>
      <c r="M5102" s="20"/>
    </row>
    <row r="5103">
      <c r="A5103" s="6"/>
      <c r="B5103" s="6"/>
      <c r="C5103" s="6"/>
      <c r="D5103" s="6"/>
      <c r="E5103" s="6"/>
      <c r="F5103" s="4"/>
      <c r="G5103" s="4"/>
      <c r="H5103" s="4"/>
      <c r="I5103" s="4"/>
      <c r="J5103" s="18"/>
      <c r="K5103" s="4"/>
      <c r="L5103" s="19"/>
      <c r="M5103" s="20"/>
    </row>
    <row r="5104">
      <c r="A5104" s="6"/>
      <c r="B5104" s="6"/>
      <c r="C5104" s="6"/>
      <c r="D5104" s="6"/>
      <c r="E5104" s="6"/>
      <c r="F5104" s="4"/>
      <c r="G5104" s="4"/>
      <c r="H5104" s="4"/>
      <c r="I5104" s="4"/>
      <c r="J5104" s="18"/>
      <c r="K5104" s="4"/>
      <c r="L5104" s="19"/>
      <c r="M5104" s="20"/>
    </row>
    <row r="5105">
      <c r="A5105" s="6"/>
      <c r="B5105" s="6"/>
      <c r="C5105" s="6"/>
      <c r="D5105" s="6"/>
      <c r="E5105" s="6"/>
      <c r="F5105" s="4"/>
      <c r="G5105" s="4"/>
      <c r="H5105" s="4"/>
      <c r="I5105" s="4"/>
      <c r="J5105" s="18"/>
      <c r="K5105" s="4"/>
      <c r="L5105" s="19"/>
      <c r="M5105" s="20"/>
    </row>
    <row r="5106">
      <c r="A5106" s="6"/>
      <c r="B5106" s="6"/>
      <c r="C5106" s="6"/>
      <c r="D5106" s="6"/>
      <c r="E5106" s="6"/>
      <c r="F5106" s="4"/>
      <c r="G5106" s="4"/>
      <c r="H5106" s="4"/>
      <c r="I5106" s="4"/>
      <c r="J5106" s="18"/>
      <c r="K5106" s="4"/>
      <c r="L5106" s="19"/>
      <c r="M5106" s="20"/>
    </row>
    <row r="5107">
      <c r="A5107" s="6"/>
      <c r="B5107" s="6"/>
      <c r="C5107" s="6"/>
      <c r="D5107" s="6"/>
      <c r="E5107" s="6"/>
      <c r="F5107" s="4"/>
      <c r="G5107" s="4"/>
      <c r="H5107" s="4"/>
      <c r="I5107" s="4"/>
      <c r="J5107" s="18"/>
      <c r="K5107" s="4"/>
      <c r="L5107" s="19"/>
      <c r="M5107" s="20"/>
    </row>
    <row r="5108">
      <c r="A5108" s="6"/>
      <c r="B5108" s="6"/>
      <c r="C5108" s="6"/>
      <c r="D5108" s="6"/>
      <c r="E5108" s="6"/>
      <c r="F5108" s="4"/>
      <c r="G5108" s="4"/>
      <c r="H5108" s="4"/>
      <c r="I5108" s="4"/>
      <c r="J5108" s="18"/>
      <c r="K5108" s="4"/>
      <c r="L5108" s="19"/>
      <c r="M5108" s="20"/>
    </row>
    <row r="5109">
      <c r="A5109" s="6"/>
      <c r="B5109" s="6"/>
      <c r="C5109" s="6"/>
      <c r="D5109" s="6"/>
      <c r="E5109" s="6"/>
      <c r="F5109" s="4"/>
      <c r="G5109" s="4"/>
      <c r="H5109" s="4"/>
      <c r="I5109" s="4"/>
      <c r="J5109" s="18"/>
      <c r="K5109" s="4"/>
      <c r="L5109" s="19"/>
      <c r="M5109" s="20"/>
    </row>
    <row r="5110">
      <c r="A5110" s="6"/>
      <c r="B5110" s="6"/>
      <c r="C5110" s="6"/>
      <c r="D5110" s="6"/>
      <c r="E5110" s="6"/>
      <c r="F5110" s="4"/>
      <c r="G5110" s="4"/>
      <c r="H5110" s="4"/>
      <c r="I5110" s="4"/>
      <c r="J5110" s="18"/>
      <c r="K5110" s="4"/>
      <c r="L5110" s="19"/>
      <c r="M5110" s="20"/>
    </row>
    <row r="5111">
      <c r="A5111" s="6"/>
      <c r="B5111" s="6"/>
      <c r="C5111" s="6"/>
      <c r="D5111" s="6"/>
      <c r="E5111" s="6"/>
      <c r="F5111" s="4"/>
      <c r="G5111" s="4"/>
      <c r="H5111" s="4"/>
      <c r="I5111" s="4"/>
      <c r="J5111" s="18"/>
      <c r="K5111" s="4"/>
      <c r="L5111" s="19"/>
      <c r="M5111" s="20"/>
    </row>
    <row r="5112">
      <c r="A5112" s="6"/>
      <c r="B5112" s="6"/>
      <c r="C5112" s="6"/>
      <c r="D5112" s="6"/>
      <c r="E5112" s="6"/>
      <c r="F5112" s="4"/>
      <c r="G5112" s="4"/>
      <c r="H5112" s="4"/>
      <c r="I5112" s="4"/>
      <c r="J5112" s="18"/>
      <c r="K5112" s="4"/>
      <c r="L5112" s="19"/>
      <c r="M5112" s="20"/>
    </row>
    <row r="5113">
      <c r="A5113" s="6"/>
      <c r="B5113" s="6"/>
      <c r="C5113" s="6"/>
      <c r="D5113" s="6"/>
      <c r="E5113" s="6"/>
      <c r="F5113" s="4"/>
      <c r="G5113" s="4"/>
      <c r="H5113" s="4"/>
      <c r="I5113" s="4"/>
      <c r="J5113" s="18"/>
      <c r="K5113" s="4"/>
      <c r="L5113" s="19"/>
      <c r="M5113" s="20"/>
    </row>
    <row r="5114">
      <c r="A5114" s="6"/>
      <c r="B5114" s="6"/>
      <c r="C5114" s="6"/>
      <c r="D5114" s="6"/>
      <c r="E5114" s="6"/>
      <c r="F5114" s="4"/>
      <c r="G5114" s="4"/>
      <c r="H5114" s="4"/>
      <c r="I5114" s="4"/>
      <c r="J5114" s="18"/>
      <c r="K5114" s="4"/>
      <c r="L5114" s="19"/>
      <c r="M5114" s="20"/>
    </row>
    <row r="5115">
      <c r="A5115" s="6"/>
      <c r="B5115" s="6"/>
      <c r="C5115" s="6"/>
      <c r="D5115" s="6"/>
      <c r="E5115" s="6"/>
      <c r="F5115" s="4"/>
      <c r="G5115" s="4"/>
      <c r="H5115" s="4"/>
      <c r="I5115" s="4"/>
      <c r="J5115" s="18"/>
      <c r="K5115" s="4"/>
      <c r="L5115" s="19"/>
      <c r="M5115" s="20"/>
    </row>
    <row r="5116">
      <c r="A5116" s="6"/>
      <c r="B5116" s="6"/>
      <c r="C5116" s="6"/>
      <c r="D5116" s="6"/>
      <c r="E5116" s="6"/>
      <c r="F5116" s="4"/>
      <c r="G5116" s="4"/>
      <c r="H5116" s="4"/>
      <c r="I5116" s="4"/>
      <c r="J5116" s="18"/>
      <c r="K5116" s="4"/>
      <c r="L5116" s="19"/>
      <c r="M5116" s="20"/>
    </row>
    <row r="5117">
      <c r="A5117" s="6"/>
      <c r="B5117" s="6"/>
      <c r="C5117" s="6"/>
      <c r="D5117" s="6"/>
      <c r="E5117" s="6"/>
      <c r="F5117" s="4"/>
      <c r="G5117" s="4"/>
      <c r="H5117" s="4"/>
      <c r="I5117" s="4"/>
      <c r="J5117" s="18"/>
      <c r="K5117" s="4"/>
      <c r="L5117" s="19"/>
      <c r="M5117" s="20"/>
    </row>
    <row r="5118">
      <c r="A5118" s="6"/>
      <c r="B5118" s="6"/>
      <c r="C5118" s="6"/>
      <c r="D5118" s="6"/>
      <c r="E5118" s="6"/>
      <c r="F5118" s="4"/>
      <c r="G5118" s="4"/>
      <c r="H5118" s="4"/>
      <c r="I5118" s="4"/>
      <c r="J5118" s="18"/>
      <c r="K5118" s="4"/>
      <c r="L5118" s="19"/>
      <c r="M5118" s="20"/>
    </row>
    <row r="5119">
      <c r="A5119" s="6"/>
      <c r="B5119" s="6"/>
      <c r="C5119" s="6"/>
      <c r="D5119" s="6"/>
      <c r="E5119" s="6"/>
      <c r="F5119" s="4"/>
      <c r="G5119" s="4"/>
      <c r="H5119" s="4"/>
      <c r="I5119" s="4"/>
      <c r="J5119" s="18"/>
      <c r="K5119" s="4"/>
      <c r="L5119" s="19"/>
      <c r="M5119" s="20"/>
    </row>
    <row r="5120">
      <c r="A5120" s="6"/>
      <c r="B5120" s="6"/>
      <c r="C5120" s="6"/>
      <c r="D5120" s="6"/>
      <c r="E5120" s="6"/>
      <c r="F5120" s="4"/>
      <c r="G5120" s="4"/>
      <c r="H5120" s="4"/>
      <c r="I5120" s="4"/>
      <c r="J5120" s="18"/>
      <c r="K5120" s="4"/>
      <c r="L5120" s="19"/>
      <c r="M5120" s="20"/>
    </row>
    <row r="5121">
      <c r="A5121" s="6"/>
      <c r="B5121" s="6"/>
      <c r="C5121" s="6"/>
      <c r="D5121" s="6"/>
      <c r="E5121" s="6"/>
      <c r="F5121" s="4"/>
      <c r="G5121" s="4"/>
      <c r="H5121" s="4"/>
      <c r="I5121" s="4"/>
      <c r="J5121" s="18"/>
      <c r="K5121" s="4"/>
      <c r="L5121" s="19"/>
      <c r="M5121" s="20"/>
    </row>
    <row r="5122">
      <c r="A5122" s="6"/>
      <c r="B5122" s="6"/>
      <c r="C5122" s="6"/>
      <c r="D5122" s="6"/>
      <c r="E5122" s="6"/>
      <c r="F5122" s="4"/>
      <c r="G5122" s="4"/>
      <c r="H5122" s="4"/>
      <c r="I5122" s="4"/>
      <c r="J5122" s="18"/>
      <c r="K5122" s="4"/>
      <c r="L5122" s="19"/>
      <c r="M5122" s="20"/>
    </row>
    <row r="5123">
      <c r="A5123" s="6"/>
      <c r="B5123" s="6"/>
      <c r="C5123" s="6"/>
      <c r="D5123" s="6"/>
      <c r="E5123" s="6"/>
      <c r="F5123" s="4"/>
      <c r="G5123" s="4"/>
      <c r="H5123" s="4"/>
      <c r="I5123" s="4"/>
      <c r="J5123" s="18"/>
      <c r="K5123" s="4"/>
      <c r="L5123" s="19"/>
      <c r="M5123" s="20"/>
    </row>
    <row r="5124">
      <c r="A5124" s="6"/>
      <c r="B5124" s="6"/>
      <c r="C5124" s="6"/>
      <c r="D5124" s="6"/>
      <c r="E5124" s="6"/>
      <c r="F5124" s="4"/>
      <c r="G5124" s="4"/>
      <c r="H5124" s="4"/>
      <c r="I5124" s="4"/>
      <c r="J5124" s="18"/>
      <c r="K5124" s="4"/>
      <c r="L5124" s="19"/>
      <c r="M5124" s="20"/>
    </row>
    <row r="5125">
      <c r="A5125" s="6"/>
      <c r="B5125" s="6"/>
      <c r="C5125" s="6"/>
      <c r="D5125" s="6"/>
      <c r="E5125" s="6"/>
      <c r="F5125" s="4"/>
      <c r="G5125" s="4"/>
      <c r="H5125" s="4"/>
      <c r="I5125" s="4"/>
      <c r="J5125" s="18"/>
      <c r="K5125" s="4"/>
      <c r="L5125" s="19"/>
      <c r="M5125" s="20"/>
    </row>
    <row r="5126">
      <c r="A5126" s="6"/>
      <c r="B5126" s="6"/>
      <c r="C5126" s="6"/>
      <c r="D5126" s="6"/>
      <c r="E5126" s="6"/>
      <c r="F5126" s="4"/>
      <c r="G5126" s="4"/>
      <c r="H5126" s="4"/>
      <c r="I5126" s="4"/>
      <c r="J5126" s="18"/>
      <c r="K5126" s="4"/>
      <c r="L5126" s="19"/>
      <c r="M5126" s="20"/>
    </row>
    <row r="5127">
      <c r="A5127" s="6"/>
      <c r="B5127" s="6"/>
      <c r="C5127" s="6"/>
      <c r="D5127" s="6"/>
      <c r="E5127" s="6"/>
      <c r="F5127" s="4"/>
      <c r="G5127" s="4"/>
      <c r="H5127" s="4"/>
      <c r="I5127" s="4"/>
      <c r="J5127" s="18"/>
      <c r="K5127" s="4"/>
      <c r="L5127" s="19"/>
      <c r="M5127" s="20"/>
    </row>
    <row r="5128">
      <c r="A5128" s="6"/>
      <c r="B5128" s="6"/>
      <c r="C5128" s="6"/>
      <c r="D5128" s="6"/>
      <c r="E5128" s="6"/>
      <c r="F5128" s="4"/>
      <c r="G5128" s="4"/>
      <c r="H5128" s="4"/>
      <c r="I5128" s="4"/>
      <c r="J5128" s="18"/>
      <c r="K5128" s="4"/>
      <c r="L5128" s="19"/>
      <c r="M5128" s="20"/>
    </row>
    <row r="5129">
      <c r="A5129" s="6"/>
      <c r="B5129" s="6"/>
      <c r="C5129" s="6"/>
      <c r="D5129" s="6"/>
      <c r="E5129" s="6"/>
      <c r="F5129" s="4"/>
      <c r="G5129" s="4"/>
      <c r="H5129" s="4"/>
      <c r="I5129" s="4"/>
      <c r="J5129" s="18"/>
      <c r="K5129" s="4"/>
      <c r="L5129" s="19"/>
      <c r="M5129" s="20"/>
    </row>
    <row r="5130">
      <c r="A5130" s="6"/>
      <c r="B5130" s="6"/>
      <c r="C5130" s="6"/>
      <c r="D5130" s="6"/>
      <c r="E5130" s="6"/>
      <c r="F5130" s="4"/>
      <c r="G5130" s="4"/>
      <c r="H5130" s="4"/>
      <c r="I5130" s="4"/>
      <c r="J5130" s="18"/>
      <c r="K5130" s="4"/>
      <c r="L5130" s="19"/>
      <c r="M5130" s="20"/>
    </row>
    <row r="5131">
      <c r="A5131" s="6"/>
      <c r="B5131" s="6"/>
      <c r="C5131" s="6"/>
      <c r="D5131" s="6"/>
      <c r="E5131" s="6"/>
      <c r="F5131" s="4"/>
      <c r="G5131" s="4"/>
      <c r="H5131" s="4"/>
      <c r="I5131" s="4"/>
      <c r="J5131" s="18"/>
      <c r="K5131" s="4"/>
      <c r="L5131" s="19"/>
      <c r="M5131" s="20"/>
    </row>
    <row r="5132">
      <c r="A5132" s="6"/>
      <c r="B5132" s="6"/>
      <c r="C5132" s="6"/>
      <c r="D5132" s="6"/>
      <c r="E5132" s="6"/>
      <c r="F5132" s="4"/>
      <c r="G5132" s="4"/>
      <c r="H5132" s="4"/>
      <c r="I5132" s="4"/>
      <c r="J5132" s="18"/>
      <c r="K5132" s="4"/>
      <c r="L5132" s="19"/>
      <c r="M5132" s="20"/>
    </row>
    <row r="5133">
      <c r="A5133" s="6"/>
      <c r="B5133" s="6"/>
      <c r="C5133" s="6"/>
      <c r="D5133" s="6"/>
      <c r="E5133" s="6"/>
      <c r="F5133" s="4"/>
      <c r="G5133" s="4"/>
      <c r="H5133" s="4"/>
      <c r="I5133" s="4"/>
      <c r="J5133" s="18"/>
      <c r="K5133" s="4"/>
      <c r="L5133" s="19"/>
      <c r="M5133" s="20"/>
    </row>
    <row r="5134">
      <c r="A5134" s="6"/>
      <c r="B5134" s="6"/>
      <c r="C5134" s="6"/>
      <c r="D5134" s="6"/>
      <c r="E5134" s="6"/>
      <c r="F5134" s="4"/>
      <c r="G5134" s="4"/>
      <c r="H5134" s="4"/>
      <c r="I5134" s="4"/>
      <c r="J5134" s="18"/>
      <c r="K5134" s="4"/>
      <c r="L5134" s="19"/>
      <c r="M5134" s="20"/>
    </row>
    <row r="5135">
      <c r="A5135" s="6"/>
      <c r="B5135" s="6"/>
      <c r="C5135" s="6"/>
      <c r="D5135" s="6"/>
      <c r="E5135" s="6"/>
      <c r="F5135" s="4"/>
      <c r="G5135" s="4"/>
      <c r="H5135" s="4"/>
      <c r="I5135" s="4"/>
      <c r="J5135" s="18"/>
      <c r="K5135" s="4"/>
      <c r="L5135" s="19"/>
      <c r="M5135" s="20"/>
    </row>
    <row r="5136">
      <c r="A5136" s="6"/>
      <c r="B5136" s="6"/>
      <c r="C5136" s="6"/>
      <c r="D5136" s="6"/>
      <c r="E5136" s="6"/>
      <c r="F5136" s="4"/>
      <c r="G5136" s="4"/>
      <c r="H5136" s="4"/>
      <c r="I5136" s="4"/>
      <c r="J5136" s="18"/>
      <c r="K5136" s="4"/>
      <c r="L5136" s="19"/>
      <c r="M5136" s="20"/>
    </row>
    <row r="5137">
      <c r="A5137" s="6"/>
      <c r="B5137" s="6"/>
      <c r="C5137" s="6"/>
      <c r="D5137" s="6"/>
      <c r="E5137" s="6"/>
      <c r="F5137" s="4"/>
      <c r="G5137" s="4"/>
      <c r="H5137" s="4"/>
      <c r="I5137" s="4"/>
      <c r="J5137" s="18"/>
      <c r="K5137" s="4"/>
      <c r="L5137" s="19"/>
      <c r="M5137" s="20"/>
    </row>
    <row r="5138">
      <c r="A5138" s="6"/>
      <c r="B5138" s="6"/>
      <c r="C5138" s="6"/>
      <c r="D5138" s="6"/>
      <c r="E5138" s="6"/>
      <c r="F5138" s="4"/>
      <c r="G5138" s="4"/>
      <c r="H5138" s="4"/>
      <c r="I5138" s="4"/>
      <c r="J5138" s="18"/>
      <c r="K5138" s="4"/>
      <c r="L5138" s="19"/>
      <c r="M5138" s="20"/>
    </row>
    <row r="5139">
      <c r="A5139" s="6"/>
      <c r="B5139" s="6"/>
      <c r="C5139" s="6"/>
      <c r="D5139" s="6"/>
      <c r="E5139" s="6"/>
      <c r="F5139" s="4"/>
      <c r="G5139" s="4"/>
      <c r="H5139" s="4"/>
      <c r="I5139" s="4"/>
      <c r="J5139" s="18"/>
      <c r="K5139" s="4"/>
      <c r="L5139" s="19"/>
      <c r="M5139" s="20"/>
    </row>
    <row r="5140">
      <c r="A5140" s="6"/>
      <c r="B5140" s="6"/>
      <c r="C5140" s="6"/>
      <c r="D5140" s="6"/>
      <c r="E5140" s="6"/>
      <c r="F5140" s="4"/>
      <c r="G5140" s="4"/>
      <c r="H5140" s="4"/>
      <c r="I5140" s="4"/>
      <c r="J5140" s="18"/>
      <c r="K5140" s="4"/>
      <c r="L5140" s="19"/>
      <c r="M5140" s="20"/>
    </row>
    <row r="5141">
      <c r="A5141" s="6"/>
      <c r="B5141" s="6"/>
      <c r="C5141" s="6"/>
      <c r="D5141" s="6"/>
      <c r="E5141" s="6"/>
      <c r="F5141" s="4"/>
      <c r="G5141" s="4"/>
      <c r="H5141" s="4"/>
      <c r="I5141" s="4"/>
      <c r="J5141" s="18"/>
      <c r="K5141" s="4"/>
      <c r="L5141" s="19"/>
      <c r="M5141" s="20"/>
    </row>
    <row r="5142">
      <c r="A5142" s="6"/>
      <c r="B5142" s="6"/>
      <c r="C5142" s="6"/>
      <c r="D5142" s="6"/>
      <c r="E5142" s="6"/>
      <c r="F5142" s="4"/>
      <c r="G5142" s="4"/>
      <c r="H5142" s="4"/>
      <c r="I5142" s="4"/>
      <c r="J5142" s="18"/>
      <c r="K5142" s="4"/>
      <c r="L5142" s="19"/>
      <c r="M5142" s="20"/>
    </row>
    <row r="5143">
      <c r="A5143" s="6"/>
      <c r="B5143" s="6"/>
      <c r="C5143" s="6"/>
      <c r="D5143" s="6"/>
      <c r="E5143" s="6"/>
      <c r="F5143" s="4"/>
      <c r="G5143" s="4"/>
      <c r="H5143" s="4"/>
      <c r="I5143" s="4"/>
      <c r="J5143" s="18"/>
      <c r="K5143" s="4"/>
      <c r="L5143" s="19"/>
      <c r="M5143" s="20"/>
    </row>
    <row r="5144">
      <c r="A5144" s="6"/>
      <c r="B5144" s="6"/>
      <c r="C5144" s="6"/>
      <c r="D5144" s="6"/>
      <c r="E5144" s="6"/>
      <c r="F5144" s="4"/>
      <c r="G5144" s="4"/>
      <c r="H5144" s="4"/>
      <c r="I5144" s="4"/>
      <c r="J5144" s="18"/>
      <c r="K5144" s="4"/>
      <c r="L5144" s="19"/>
      <c r="M5144" s="20"/>
    </row>
    <row r="5145">
      <c r="A5145" s="6"/>
      <c r="B5145" s="6"/>
      <c r="C5145" s="6"/>
      <c r="D5145" s="6"/>
      <c r="E5145" s="6"/>
      <c r="F5145" s="4"/>
      <c r="G5145" s="4"/>
      <c r="H5145" s="4"/>
      <c r="I5145" s="4"/>
      <c r="J5145" s="18"/>
      <c r="K5145" s="4"/>
      <c r="L5145" s="19"/>
      <c r="M5145" s="20"/>
    </row>
    <row r="5146">
      <c r="A5146" s="6"/>
      <c r="B5146" s="6"/>
      <c r="C5146" s="6"/>
      <c r="D5146" s="6"/>
      <c r="E5146" s="6"/>
      <c r="F5146" s="4"/>
      <c r="G5146" s="4"/>
      <c r="H5146" s="4"/>
      <c r="I5146" s="4"/>
      <c r="J5146" s="18"/>
      <c r="K5146" s="4"/>
      <c r="L5146" s="19"/>
      <c r="M5146" s="20"/>
    </row>
    <row r="5147">
      <c r="A5147" s="6"/>
      <c r="B5147" s="6"/>
      <c r="C5147" s="6"/>
      <c r="D5147" s="6"/>
      <c r="E5147" s="6"/>
      <c r="F5147" s="4"/>
      <c r="G5147" s="4"/>
      <c r="H5147" s="4"/>
      <c r="I5147" s="4"/>
      <c r="J5147" s="18"/>
      <c r="K5147" s="4"/>
      <c r="L5147" s="19"/>
      <c r="M5147" s="20"/>
    </row>
    <row r="5148">
      <c r="A5148" s="6"/>
      <c r="B5148" s="6"/>
      <c r="C5148" s="6"/>
      <c r="D5148" s="6"/>
      <c r="E5148" s="6"/>
      <c r="F5148" s="4"/>
      <c r="G5148" s="4"/>
      <c r="H5148" s="4"/>
      <c r="I5148" s="4"/>
      <c r="J5148" s="18"/>
      <c r="K5148" s="4"/>
      <c r="L5148" s="19"/>
      <c r="M5148" s="20"/>
    </row>
    <row r="5149">
      <c r="A5149" s="6"/>
      <c r="B5149" s="6"/>
      <c r="C5149" s="6"/>
      <c r="D5149" s="6"/>
      <c r="E5149" s="6"/>
      <c r="F5149" s="4"/>
      <c r="G5149" s="4"/>
      <c r="H5149" s="4"/>
      <c r="I5149" s="4"/>
      <c r="J5149" s="18"/>
      <c r="K5149" s="4"/>
      <c r="L5149" s="19"/>
      <c r="M5149" s="20"/>
    </row>
    <row r="5150">
      <c r="A5150" s="6"/>
      <c r="B5150" s="6"/>
      <c r="C5150" s="6"/>
      <c r="D5150" s="6"/>
      <c r="E5150" s="6"/>
      <c r="F5150" s="4"/>
      <c r="G5150" s="4"/>
      <c r="H5150" s="4"/>
      <c r="I5150" s="4"/>
      <c r="J5150" s="18"/>
      <c r="K5150" s="4"/>
      <c r="L5150" s="19"/>
      <c r="M5150" s="20"/>
    </row>
    <row r="5151">
      <c r="A5151" s="6"/>
      <c r="B5151" s="6"/>
      <c r="C5151" s="6"/>
      <c r="D5151" s="6"/>
      <c r="E5151" s="6"/>
      <c r="F5151" s="4"/>
      <c r="G5151" s="4"/>
      <c r="H5151" s="4"/>
      <c r="I5151" s="4"/>
      <c r="J5151" s="18"/>
      <c r="K5151" s="4"/>
      <c r="L5151" s="19"/>
      <c r="M5151" s="20"/>
    </row>
    <row r="5152">
      <c r="A5152" s="6"/>
      <c r="B5152" s="6"/>
      <c r="C5152" s="6"/>
      <c r="D5152" s="6"/>
      <c r="E5152" s="6"/>
      <c r="F5152" s="4"/>
      <c r="G5152" s="4"/>
      <c r="H5152" s="4"/>
      <c r="I5152" s="4"/>
      <c r="J5152" s="18"/>
      <c r="K5152" s="4"/>
      <c r="L5152" s="19"/>
      <c r="M5152" s="20"/>
    </row>
    <row r="5153">
      <c r="A5153" s="6"/>
      <c r="B5153" s="6"/>
      <c r="C5153" s="6"/>
      <c r="D5153" s="6"/>
      <c r="E5153" s="6"/>
      <c r="F5153" s="4"/>
      <c r="G5153" s="4"/>
      <c r="H5153" s="4"/>
      <c r="I5153" s="4"/>
      <c r="J5153" s="18"/>
      <c r="K5153" s="4"/>
      <c r="L5153" s="19"/>
      <c r="M5153" s="20"/>
    </row>
    <row r="5154">
      <c r="A5154" s="6"/>
      <c r="B5154" s="6"/>
      <c r="C5154" s="6"/>
      <c r="D5154" s="6"/>
      <c r="E5154" s="6"/>
      <c r="F5154" s="4"/>
      <c r="G5154" s="4"/>
      <c r="H5154" s="4"/>
      <c r="I5154" s="4"/>
      <c r="J5154" s="18"/>
      <c r="K5154" s="4"/>
      <c r="L5154" s="19"/>
      <c r="M5154" s="20"/>
    </row>
    <row r="5155">
      <c r="A5155" s="6"/>
      <c r="B5155" s="6"/>
      <c r="C5155" s="6"/>
      <c r="D5155" s="6"/>
      <c r="E5155" s="6"/>
      <c r="F5155" s="4"/>
      <c r="G5155" s="4"/>
      <c r="H5155" s="4"/>
      <c r="I5155" s="4"/>
      <c r="J5155" s="18"/>
      <c r="K5155" s="4"/>
      <c r="L5155" s="19"/>
      <c r="M5155" s="20"/>
    </row>
    <row r="5156">
      <c r="A5156" s="6"/>
      <c r="B5156" s="6"/>
      <c r="C5156" s="6"/>
      <c r="D5156" s="6"/>
      <c r="E5156" s="6"/>
      <c r="F5156" s="4"/>
      <c r="G5156" s="4"/>
      <c r="H5156" s="4"/>
      <c r="I5156" s="4"/>
      <c r="J5156" s="18"/>
      <c r="K5156" s="4"/>
      <c r="L5156" s="19"/>
      <c r="M5156" s="20"/>
    </row>
    <row r="5157">
      <c r="A5157" s="6"/>
      <c r="B5157" s="6"/>
      <c r="C5157" s="6"/>
      <c r="D5157" s="6"/>
      <c r="E5157" s="6"/>
      <c r="F5157" s="4"/>
      <c r="G5157" s="4"/>
      <c r="H5157" s="4"/>
      <c r="I5157" s="4"/>
      <c r="J5157" s="18"/>
      <c r="K5157" s="4"/>
      <c r="L5157" s="19"/>
      <c r="M5157" s="20"/>
    </row>
    <row r="5158">
      <c r="A5158" s="6"/>
      <c r="B5158" s="6"/>
      <c r="C5158" s="6"/>
      <c r="D5158" s="6"/>
      <c r="E5158" s="6"/>
      <c r="F5158" s="4"/>
      <c r="G5158" s="4"/>
      <c r="H5158" s="4"/>
      <c r="I5158" s="4"/>
      <c r="J5158" s="18"/>
      <c r="K5158" s="4"/>
      <c r="L5158" s="19"/>
      <c r="M5158" s="20"/>
    </row>
    <row r="5159">
      <c r="A5159" s="6"/>
      <c r="B5159" s="6"/>
      <c r="C5159" s="6"/>
      <c r="D5159" s="6"/>
      <c r="E5159" s="6"/>
      <c r="F5159" s="4"/>
      <c r="G5159" s="4"/>
      <c r="H5159" s="4"/>
      <c r="I5159" s="4"/>
      <c r="J5159" s="18"/>
      <c r="K5159" s="4"/>
      <c r="L5159" s="19"/>
      <c r="M5159" s="20"/>
    </row>
    <row r="5160">
      <c r="A5160" s="6"/>
      <c r="B5160" s="6"/>
      <c r="C5160" s="6"/>
      <c r="D5160" s="6"/>
      <c r="E5160" s="6"/>
      <c r="F5160" s="4"/>
      <c r="G5160" s="4"/>
      <c r="H5160" s="4"/>
      <c r="I5160" s="4"/>
      <c r="J5160" s="18"/>
      <c r="K5160" s="4"/>
      <c r="L5160" s="19"/>
      <c r="M5160" s="20"/>
    </row>
    <row r="5161">
      <c r="A5161" s="6"/>
      <c r="B5161" s="6"/>
      <c r="C5161" s="6"/>
      <c r="D5161" s="6"/>
      <c r="E5161" s="6"/>
      <c r="F5161" s="4"/>
      <c r="G5161" s="4"/>
      <c r="H5161" s="4"/>
      <c r="I5161" s="4"/>
      <c r="J5161" s="18"/>
      <c r="K5161" s="4"/>
      <c r="L5161" s="19"/>
      <c r="M5161" s="20"/>
    </row>
    <row r="5162">
      <c r="A5162" s="6"/>
      <c r="B5162" s="6"/>
      <c r="C5162" s="6"/>
      <c r="D5162" s="6"/>
      <c r="E5162" s="6"/>
      <c r="F5162" s="4"/>
      <c r="G5162" s="4"/>
      <c r="H5162" s="4"/>
      <c r="I5162" s="4"/>
      <c r="J5162" s="18"/>
      <c r="K5162" s="4"/>
      <c r="L5162" s="19"/>
      <c r="M5162" s="20"/>
    </row>
    <row r="5163">
      <c r="A5163" s="6"/>
      <c r="B5163" s="6"/>
      <c r="C5163" s="6"/>
      <c r="D5163" s="6"/>
      <c r="E5163" s="6"/>
      <c r="F5163" s="4"/>
      <c r="G5163" s="4"/>
      <c r="H5163" s="4"/>
      <c r="I5163" s="4"/>
      <c r="J5163" s="18"/>
      <c r="K5163" s="4"/>
      <c r="L5163" s="19"/>
      <c r="M5163" s="20"/>
    </row>
    <row r="5164">
      <c r="A5164" s="6"/>
      <c r="B5164" s="6"/>
      <c r="C5164" s="6"/>
      <c r="D5164" s="6"/>
      <c r="E5164" s="6"/>
      <c r="F5164" s="4"/>
      <c r="G5164" s="4"/>
      <c r="H5164" s="4"/>
      <c r="I5164" s="4"/>
      <c r="J5164" s="18"/>
      <c r="K5164" s="4"/>
      <c r="L5164" s="19"/>
      <c r="M5164" s="20"/>
    </row>
    <row r="5165">
      <c r="A5165" s="6"/>
      <c r="B5165" s="6"/>
      <c r="C5165" s="6"/>
      <c r="D5165" s="6"/>
      <c r="E5165" s="6"/>
      <c r="F5165" s="4"/>
      <c r="G5165" s="4"/>
      <c r="H5165" s="4"/>
      <c r="I5165" s="4"/>
      <c r="J5165" s="18"/>
      <c r="K5165" s="4"/>
      <c r="L5165" s="19"/>
      <c r="M5165" s="20"/>
    </row>
    <row r="5166">
      <c r="A5166" s="6"/>
      <c r="B5166" s="6"/>
      <c r="C5166" s="6"/>
      <c r="D5166" s="6"/>
      <c r="E5166" s="6"/>
      <c r="F5166" s="4"/>
      <c r="G5166" s="4"/>
      <c r="H5166" s="4"/>
      <c r="I5166" s="4"/>
      <c r="J5166" s="18"/>
      <c r="K5166" s="4"/>
      <c r="L5166" s="19"/>
      <c r="M5166" s="20"/>
    </row>
    <row r="5167">
      <c r="A5167" s="6"/>
      <c r="B5167" s="6"/>
      <c r="C5167" s="6"/>
      <c r="D5167" s="6"/>
      <c r="E5167" s="6"/>
      <c r="F5167" s="4"/>
      <c r="G5167" s="4"/>
      <c r="H5167" s="4"/>
      <c r="I5167" s="4"/>
      <c r="J5167" s="18"/>
      <c r="K5167" s="4"/>
      <c r="L5167" s="19"/>
      <c r="M5167" s="20"/>
    </row>
    <row r="5168">
      <c r="A5168" s="6"/>
      <c r="B5168" s="6"/>
      <c r="C5168" s="6"/>
      <c r="D5168" s="6"/>
      <c r="E5168" s="6"/>
      <c r="F5168" s="4"/>
      <c r="G5168" s="4"/>
      <c r="H5168" s="4"/>
      <c r="I5168" s="4"/>
      <c r="J5168" s="18"/>
      <c r="K5168" s="4"/>
      <c r="L5168" s="19"/>
      <c r="M5168" s="20"/>
    </row>
    <row r="5169">
      <c r="A5169" s="6"/>
      <c r="B5169" s="6"/>
      <c r="C5169" s="6"/>
      <c r="D5169" s="6"/>
      <c r="E5169" s="6"/>
      <c r="F5169" s="4"/>
      <c r="G5169" s="4"/>
      <c r="H5169" s="4"/>
      <c r="I5169" s="4"/>
      <c r="J5169" s="18"/>
      <c r="K5169" s="4"/>
      <c r="L5169" s="19"/>
      <c r="M5169" s="20"/>
    </row>
    <row r="5170">
      <c r="A5170" s="6"/>
      <c r="B5170" s="6"/>
      <c r="C5170" s="6"/>
      <c r="D5170" s="6"/>
      <c r="E5170" s="6"/>
      <c r="F5170" s="4"/>
      <c r="G5170" s="4"/>
      <c r="H5170" s="4"/>
      <c r="I5170" s="4"/>
      <c r="J5170" s="18"/>
      <c r="K5170" s="4"/>
      <c r="L5170" s="19"/>
      <c r="M5170" s="20"/>
    </row>
    <row r="5171">
      <c r="A5171" s="6"/>
      <c r="B5171" s="6"/>
      <c r="C5171" s="6"/>
      <c r="D5171" s="6"/>
      <c r="E5171" s="6"/>
      <c r="F5171" s="4"/>
      <c r="G5171" s="4"/>
      <c r="H5171" s="4"/>
      <c r="I5171" s="4"/>
      <c r="J5171" s="18"/>
      <c r="K5171" s="4"/>
      <c r="L5171" s="19"/>
      <c r="M5171" s="20"/>
    </row>
    <row r="5172">
      <c r="A5172" s="6"/>
      <c r="B5172" s="6"/>
      <c r="C5172" s="6"/>
      <c r="D5172" s="6"/>
      <c r="E5172" s="6"/>
      <c r="F5172" s="4"/>
      <c r="G5172" s="4"/>
      <c r="H5172" s="4"/>
      <c r="I5172" s="4"/>
      <c r="J5172" s="18"/>
      <c r="K5172" s="4"/>
      <c r="L5172" s="19"/>
      <c r="M5172" s="20"/>
    </row>
    <row r="5173">
      <c r="A5173" s="6"/>
      <c r="B5173" s="6"/>
      <c r="C5173" s="6"/>
      <c r="D5173" s="6"/>
      <c r="E5173" s="6"/>
      <c r="F5173" s="4"/>
      <c r="G5173" s="4"/>
      <c r="H5173" s="4"/>
      <c r="I5173" s="4"/>
      <c r="J5173" s="18"/>
      <c r="K5173" s="4"/>
      <c r="L5173" s="19"/>
      <c r="M5173" s="20"/>
    </row>
    <row r="5174">
      <c r="A5174" s="6"/>
      <c r="B5174" s="6"/>
      <c r="C5174" s="6"/>
      <c r="D5174" s="6"/>
      <c r="E5174" s="6"/>
      <c r="F5174" s="4"/>
      <c r="G5174" s="4"/>
      <c r="H5174" s="4"/>
      <c r="I5174" s="4"/>
      <c r="J5174" s="18"/>
      <c r="K5174" s="4"/>
      <c r="L5174" s="19"/>
      <c r="M5174" s="20"/>
    </row>
    <row r="5175">
      <c r="A5175" s="6"/>
      <c r="B5175" s="6"/>
      <c r="C5175" s="6"/>
      <c r="D5175" s="6"/>
      <c r="E5175" s="6"/>
      <c r="F5175" s="4"/>
      <c r="G5175" s="4"/>
      <c r="H5175" s="4"/>
      <c r="I5175" s="4"/>
      <c r="J5175" s="18"/>
      <c r="K5175" s="4"/>
      <c r="L5175" s="19"/>
      <c r="M5175" s="20"/>
    </row>
    <row r="5176">
      <c r="A5176" s="6"/>
      <c r="B5176" s="6"/>
      <c r="C5176" s="6"/>
      <c r="D5176" s="6"/>
      <c r="E5176" s="6"/>
      <c r="F5176" s="4"/>
      <c r="G5176" s="4"/>
      <c r="H5176" s="4"/>
      <c r="I5176" s="4"/>
      <c r="J5176" s="18"/>
      <c r="K5176" s="4"/>
      <c r="L5176" s="19"/>
      <c r="M5176" s="20"/>
    </row>
    <row r="5177">
      <c r="A5177" s="6"/>
      <c r="B5177" s="6"/>
      <c r="C5177" s="6"/>
      <c r="D5177" s="6"/>
      <c r="E5177" s="6"/>
      <c r="F5177" s="4"/>
      <c r="G5177" s="4"/>
      <c r="H5177" s="4"/>
      <c r="I5177" s="4"/>
      <c r="J5177" s="18"/>
      <c r="K5177" s="4"/>
      <c r="L5177" s="19"/>
      <c r="M5177" s="20"/>
    </row>
    <row r="5178">
      <c r="A5178" s="6"/>
      <c r="B5178" s="6"/>
      <c r="C5178" s="6"/>
      <c r="D5178" s="6"/>
      <c r="E5178" s="6"/>
      <c r="F5178" s="4"/>
      <c r="G5178" s="4"/>
      <c r="H5178" s="4"/>
      <c r="I5178" s="4"/>
      <c r="J5178" s="18"/>
      <c r="K5178" s="4"/>
      <c r="L5178" s="19"/>
      <c r="M5178" s="20"/>
    </row>
    <row r="5179">
      <c r="A5179" s="6"/>
      <c r="B5179" s="6"/>
      <c r="C5179" s="6"/>
      <c r="D5179" s="6"/>
      <c r="E5179" s="6"/>
      <c r="F5179" s="4"/>
      <c r="G5179" s="4"/>
      <c r="H5179" s="4"/>
      <c r="I5179" s="4"/>
      <c r="J5179" s="18"/>
      <c r="K5179" s="4"/>
      <c r="L5179" s="19"/>
      <c r="M5179" s="20"/>
    </row>
    <row r="5180">
      <c r="A5180" s="6"/>
      <c r="B5180" s="6"/>
      <c r="C5180" s="6"/>
      <c r="D5180" s="6"/>
      <c r="E5180" s="6"/>
      <c r="F5180" s="4"/>
      <c r="G5180" s="4"/>
      <c r="H5180" s="4"/>
      <c r="I5180" s="4"/>
      <c r="J5180" s="18"/>
      <c r="K5180" s="4"/>
      <c r="L5180" s="19"/>
      <c r="M5180" s="20"/>
    </row>
    <row r="5181">
      <c r="A5181" s="6"/>
      <c r="B5181" s="6"/>
      <c r="C5181" s="6"/>
      <c r="D5181" s="6"/>
      <c r="E5181" s="6"/>
      <c r="F5181" s="4"/>
      <c r="G5181" s="4"/>
      <c r="H5181" s="4"/>
      <c r="I5181" s="4"/>
      <c r="J5181" s="18"/>
      <c r="K5181" s="4"/>
      <c r="L5181" s="19"/>
      <c r="M5181" s="20"/>
    </row>
    <row r="5182">
      <c r="A5182" s="6"/>
      <c r="B5182" s="6"/>
      <c r="C5182" s="6"/>
      <c r="D5182" s="6"/>
      <c r="E5182" s="6"/>
      <c r="F5182" s="4"/>
      <c r="G5182" s="4"/>
      <c r="H5182" s="4"/>
      <c r="I5182" s="4"/>
      <c r="J5182" s="18"/>
      <c r="K5182" s="4"/>
      <c r="L5182" s="19"/>
      <c r="M5182" s="20"/>
    </row>
    <row r="5183">
      <c r="A5183" s="6"/>
      <c r="B5183" s="6"/>
      <c r="C5183" s="6"/>
      <c r="D5183" s="6"/>
      <c r="E5183" s="6"/>
      <c r="F5183" s="4"/>
      <c r="G5183" s="4"/>
      <c r="H5183" s="4"/>
      <c r="I5183" s="4"/>
      <c r="J5183" s="18"/>
      <c r="K5183" s="4"/>
      <c r="L5183" s="19"/>
      <c r="M5183" s="20"/>
    </row>
    <row r="5184">
      <c r="A5184" s="6"/>
      <c r="B5184" s="6"/>
      <c r="C5184" s="6"/>
      <c r="D5184" s="6"/>
      <c r="E5184" s="6"/>
      <c r="F5184" s="4"/>
      <c r="G5184" s="4"/>
      <c r="H5184" s="4"/>
      <c r="I5184" s="4"/>
      <c r="J5184" s="18"/>
      <c r="K5184" s="4"/>
      <c r="L5184" s="19"/>
      <c r="M5184" s="20"/>
    </row>
    <row r="5185">
      <c r="A5185" s="6"/>
      <c r="B5185" s="6"/>
      <c r="C5185" s="6"/>
      <c r="D5185" s="6"/>
      <c r="E5185" s="6"/>
      <c r="F5185" s="4"/>
      <c r="G5185" s="4"/>
      <c r="H5185" s="4"/>
      <c r="I5185" s="4"/>
      <c r="J5185" s="18"/>
      <c r="K5185" s="4"/>
      <c r="L5185" s="19"/>
      <c r="M5185" s="20"/>
    </row>
    <row r="5186">
      <c r="A5186" s="6"/>
      <c r="B5186" s="6"/>
      <c r="C5186" s="6"/>
      <c r="D5186" s="6"/>
      <c r="E5186" s="6"/>
      <c r="F5186" s="4"/>
      <c r="G5186" s="4"/>
      <c r="H5186" s="4"/>
      <c r="I5186" s="4"/>
      <c r="J5186" s="18"/>
      <c r="K5186" s="4"/>
      <c r="L5186" s="19"/>
      <c r="M5186" s="20"/>
    </row>
    <row r="5187">
      <c r="A5187" s="6"/>
      <c r="B5187" s="6"/>
      <c r="C5187" s="6"/>
      <c r="D5187" s="6"/>
      <c r="E5187" s="6"/>
      <c r="F5187" s="4"/>
      <c r="G5187" s="4"/>
      <c r="H5187" s="4"/>
      <c r="I5187" s="4"/>
      <c r="J5187" s="18"/>
      <c r="K5187" s="4"/>
      <c r="L5187" s="19"/>
      <c r="M5187" s="20"/>
    </row>
    <row r="5188">
      <c r="A5188" s="6"/>
      <c r="B5188" s="6"/>
      <c r="C5188" s="6"/>
      <c r="D5188" s="6"/>
      <c r="E5188" s="6"/>
      <c r="F5188" s="4"/>
      <c r="G5188" s="4"/>
      <c r="H5188" s="4"/>
      <c r="I5188" s="4"/>
      <c r="J5188" s="18"/>
      <c r="K5188" s="4"/>
      <c r="L5188" s="19"/>
      <c r="M5188" s="20"/>
    </row>
    <row r="5189">
      <c r="A5189" s="6"/>
      <c r="B5189" s="6"/>
      <c r="C5189" s="6"/>
      <c r="D5189" s="6"/>
      <c r="E5189" s="6"/>
      <c r="F5189" s="4"/>
      <c r="G5189" s="4"/>
      <c r="H5189" s="4"/>
      <c r="I5189" s="4"/>
      <c r="J5189" s="18"/>
      <c r="K5189" s="4"/>
      <c r="L5189" s="19"/>
      <c r="M5189" s="20"/>
    </row>
    <row r="5190">
      <c r="A5190" s="6"/>
      <c r="B5190" s="6"/>
      <c r="C5190" s="6"/>
      <c r="D5190" s="6"/>
      <c r="E5190" s="6"/>
      <c r="F5190" s="4"/>
      <c r="G5190" s="4"/>
      <c r="H5190" s="4"/>
      <c r="I5190" s="4"/>
      <c r="J5190" s="18"/>
      <c r="K5190" s="4"/>
      <c r="L5190" s="19"/>
      <c r="M5190" s="20"/>
    </row>
    <row r="5191">
      <c r="A5191" s="6"/>
      <c r="B5191" s="6"/>
      <c r="C5191" s="6"/>
      <c r="D5191" s="6"/>
      <c r="E5191" s="6"/>
      <c r="F5191" s="4"/>
      <c r="G5191" s="4"/>
      <c r="H5191" s="4"/>
      <c r="I5191" s="4"/>
      <c r="J5191" s="18"/>
      <c r="K5191" s="4"/>
      <c r="L5191" s="19"/>
      <c r="M5191" s="20"/>
    </row>
    <row r="5192">
      <c r="A5192" s="6"/>
      <c r="B5192" s="6"/>
      <c r="C5192" s="6"/>
      <c r="D5192" s="6"/>
      <c r="E5192" s="6"/>
      <c r="F5192" s="4"/>
      <c r="G5192" s="4"/>
      <c r="H5192" s="4"/>
      <c r="I5192" s="4"/>
      <c r="J5192" s="18"/>
      <c r="K5192" s="4"/>
      <c r="L5192" s="19"/>
      <c r="M5192" s="20"/>
    </row>
    <row r="5193">
      <c r="A5193" s="6"/>
      <c r="B5193" s="6"/>
      <c r="C5193" s="6"/>
      <c r="D5193" s="6"/>
      <c r="E5193" s="6"/>
      <c r="F5193" s="4"/>
      <c r="G5193" s="4"/>
      <c r="H5193" s="4"/>
      <c r="I5193" s="4"/>
      <c r="J5193" s="18"/>
      <c r="K5193" s="4"/>
      <c r="L5193" s="19"/>
      <c r="M5193" s="20"/>
    </row>
    <row r="5194">
      <c r="A5194" s="6"/>
      <c r="B5194" s="6"/>
      <c r="C5194" s="6"/>
      <c r="D5194" s="6"/>
      <c r="E5194" s="6"/>
      <c r="F5194" s="4"/>
      <c r="G5194" s="4"/>
      <c r="H5194" s="4"/>
      <c r="I5194" s="4"/>
      <c r="J5194" s="18"/>
      <c r="K5194" s="4"/>
      <c r="L5194" s="19"/>
      <c r="M5194" s="20"/>
    </row>
    <row r="5195">
      <c r="A5195" s="6"/>
      <c r="B5195" s="6"/>
      <c r="C5195" s="6"/>
      <c r="D5195" s="6"/>
      <c r="E5195" s="6"/>
      <c r="F5195" s="4"/>
      <c r="G5195" s="4"/>
      <c r="H5195" s="4"/>
      <c r="I5195" s="4"/>
      <c r="J5195" s="18"/>
      <c r="K5195" s="4"/>
      <c r="L5195" s="19"/>
      <c r="M5195" s="20"/>
    </row>
    <row r="5196">
      <c r="A5196" s="6"/>
      <c r="B5196" s="6"/>
      <c r="C5196" s="6"/>
      <c r="D5196" s="6"/>
      <c r="E5196" s="6"/>
      <c r="F5196" s="4"/>
      <c r="G5196" s="4"/>
      <c r="H5196" s="4"/>
      <c r="I5196" s="4"/>
      <c r="J5196" s="18"/>
      <c r="K5196" s="4"/>
      <c r="L5196" s="19"/>
      <c r="M5196" s="2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0.29"/>
    <col customWidth="1" min="4" max="4" width="45.57"/>
    <col customWidth="1" min="5" max="5" width="56.14"/>
    <col customWidth="1" min="6" max="6" width="8.71"/>
    <col customWidth="1" min="7" max="7" width="32.86"/>
    <col customWidth="1" min="8" max="26" width="8.71"/>
  </cols>
  <sheetData>
    <row r="1" ht="14.25" customHeight="1">
      <c r="A1" s="1" t="s">
        <v>0</v>
      </c>
      <c r="B1" s="2" t="s">
        <v>1</v>
      </c>
      <c r="C1" s="39" t="s">
        <v>2</v>
      </c>
      <c r="D1" s="40" t="s">
        <v>3</v>
      </c>
      <c r="E1" s="41"/>
    </row>
    <row r="2" ht="14.25" customHeight="1">
      <c r="A2" s="4" t="s">
        <v>9043</v>
      </c>
      <c r="B2" s="4" t="s">
        <v>1218</v>
      </c>
      <c r="C2" s="20">
        <v>2.24000554E8</v>
      </c>
      <c r="D2" s="42">
        <f t="array" ref="D2:D1000">C2:C1000/10^6</f>
        <v>224.000554</v>
      </c>
      <c r="E2" s="43"/>
      <c r="F2" s="32">
        <f t="array" ref="F2:F1000">E2:E1000/10^18</f>
        <v>0</v>
      </c>
      <c r="G2" s="44"/>
      <c r="I2" s="44"/>
    </row>
    <row r="3" ht="14.25" customHeight="1">
      <c r="A3" s="4" t="s">
        <v>9043</v>
      </c>
      <c r="B3" s="4" t="s">
        <v>3190</v>
      </c>
      <c r="C3" s="20">
        <v>2.2400055E7</v>
      </c>
      <c r="D3" s="42">
        <v>22.400055</v>
      </c>
      <c r="E3" s="45"/>
      <c r="F3" s="32">
        <v>0.0</v>
      </c>
      <c r="G3" s="45"/>
      <c r="I3" s="45"/>
    </row>
    <row r="4" ht="14.25" customHeight="1">
      <c r="A4" s="4" t="s">
        <v>9043</v>
      </c>
      <c r="B4" s="4" t="s">
        <v>8952</v>
      </c>
      <c r="C4" s="20">
        <v>2.24000554E8</v>
      </c>
      <c r="D4" s="42">
        <v>224.000554</v>
      </c>
      <c r="E4" s="45"/>
      <c r="F4" s="32">
        <v>0.0</v>
      </c>
    </row>
    <row r="5" ht="14.25" customHeight="1">
      <c r="A5" s="4" t="s">
        <v>9043</v>
      </c>
      <c r="B5" s="4" t="s">
        <v>6587</v>
      </c>
      <c r="C5" s="20">
        <v>4.5457118E7</v>
      </c>
      <c r="D5" s="42">
        <v>45.457118</v>
      </c>
      <c r="E5" s="45"/>
      <c r="F5" s="32">
        <v>0.0</v>
      </c>
    </row>
    <row r="6" ht="14.25" customHeight="1">
      <c r="A6" s="4" t="s">
        <v>9043</v>
      </c>
      <c r="B6" s="4" t="s">
        <v>1091</v>
      </c>
      <c r="C6" s="20">
        <v>2.24000554E8</v>
      </c>
      <c r="D6" s="42">
        <v>224.000554</v>
      </c>
      <c r="E6" s="45"/>
      <c r="F6" s="32">
        <v>0.0</v>
      </c>
    </row>
    <row r="7" ht="14.25" customHeight="1">
      <c r="A7" s="4" t="s">
        <v>9043</v>
      </c>
      <c r="B7" s="4" t="s">
        <v>8953</v>
      </c>
      <c r="C7" s="20">
        <v>3.8981056E7</v>
      </c>
      <c r="D7" s="42">
        <v>38.981056</v>
      </c>
      <c r="E7" s="45"/>
      <c r="F7" s="32">
        <v>0.0</v>
      </c>
    </row>
    <row r="8" ht="14.25" customHeight="1">
      <c r="A8" s="4" t="s">
        <v>9043</v>
      </c>
      <c r="B8" s="4" t="s">
        <v>2112</v>
      </c>
      <c r="C8" s="20">
        <v>1.16139411E8</v>
      </c>
      <c r="D8" s="42">
        <v>116.139411</v>
      </c>
      <c r="E8" s="45"/>
      <c r="F8" s="32">
        <v>0.0</v>
      </c>
    </row>
    <row r="9" ht="14.25" customHeight="1">
      <c r="A9" s="4" t="s">
        <v>9043</v>
      </c>
      <c r="B9" s="4" t="s">
        <v>8643</v>
      </c>
      <c r="C9" s="20">
        <v>1.19085493E8</v>
      </c>
      <c r="D9" s="42">
        <v>119.085493</v>
      </c>
      <c r="E9" s="45"/>
      <c r="F9" s="32">
        <v>0.0</v>
      </c>
    </row>
    <row r="10" ht="14.25" customHeight="1">
      <c r="A10" s="4" t="s">
        <v>9043</v>
      </c>
      <c r="B10" s="4" t="s">
        <v>6764</v>
      </c>
      <c r="C10" s="20">
        <v>6.8699196E7</v>
      </c>
      <c r="D10" s="42">
        <v>68.699196</v>
      </c>
      <c r="E10" s="45"/>
      <c r="F10" s="32">
        <v>0.0</v>
      </c>
    </row>
    <row r="11" ht="14.25" customHeight="1">
      <c r="A11" s="4" t="s">
        <v>9043</v>
      </c>
      <c r="B11" s="4" t="s">
        <v>8954</v>
      </c>
      <c r="C11" s="20">
        <v>2.24000554E8</v>
      </c>
      <c r="D11" s="42">
        <v>224.000554</v>
      </c>
      <c r="E11" s="45"/>
      <c r="F11" s="32">
        <v>0.0</v>
      </c>
    </row>
    <row r="12" ht="14.25" customHeight="1">
      <c r="A12" s="4" t="s">
        <v>9043</v>
      </c>
      <c r="B12" s="4" t="s">
        <v>8955</v>
      </c>
      <c r="C12" s="20">
        <v>1.72929876E8</v>
      </c>
      <c r="D12" s="42">
        <v>172.929876</v>
      </c>
      <c r="E12" s="45"/>
      <c r="F12" s="32">
        <v>0.0</v>
      </c>
    </row>
    <row r="13" ht="14.25" customHeight="1">
      <c r="A13" s="4" t="s">
        <v>9043</v>
      </c>
      <c r="B13" s="4" t="s">
        <v>8956</v>
      </c>
      <c r="C13" s="20">
        <v>2.24000554E8</v>
      </c>
      <c r="D13" s="42">
        <v>224.000554</v>
      </c>
      <c r="E13" s="45"/>
      <c r="F13" s="32">
        <v>0.0</v>
      </c>
    </row>
    <row r="14" ht="14.25" customHeight="1">
      <c r="A14" s="4" t="s">
        <v>9043</v>
      </c>
      <c r="B14" s="4" t="s">
        <v>6175</v>
      </c>
      <c r="C14" s="20">
        <v>4.1794396E7</v>
      </c>
      <c r="D14" s="42">
        <v>41.794396</v>
      </c>
      <c r="E14" s="45"/>
      <c r="F14" s="32">
        <v>0.0</v>
      </c>
    </row>
    <row r="15" ht="14.25" customHeight="1">
      <c r="A15" s="4" t="s">
        <v>9043</v>
      </c>
      <c r="B15" s="4" t="s">
        <v>7610</v>
      </c>
      <c r="C15" s="20">
        <v>2.24000554E8</v>
      </c>
      <c r="D15" s="42">
        <v>224.000554</v>
      </c>
      <c r="E15" s="45"/>
      <c r="F15" s="32">
        <v>0.0</v>
      </c>
    </row>
    <row r="16" ht="14.25" customHeight="1">
      <c r="A16" s="4" t="s">
        <v>9043</v>
      </c>
      <c r="B16" s="4" t="s">
        <v>699</v>
      </c>
      <c r="C16" s="20">
        <v>5.4752166E7</v>
      </c>
      <c r="D16" s="42">
        <v>54.752166</v>
      </c>
      <c r="E16" s="45"/>
      <c r="F16" s="32">
        <v>0.0</v>
      </c>
    </row>
    <row r="17" ht="14.25" customHeight="1">
      <c r="A17" s="4" t="s">
        <v>9043</v>
      </c>
      <c r="B17" s="4" t="s">
        <v>8957</v>
      </c>
      <c r="C17" s="20">
        <v>2.24000554E8</v>
      </c>
      <c r="D17" s="42">
        <v>224.000554</v>
      </c>
      <c r="E17" s="45"/>
      <c r="F17" s="32">
        <v>0.0</v>
      </c>
    </row>
    <row r="18" ht="14.25" customHeight="1">
      <c r="A18" s="4" t="s">
        <v>9043</v>
      </c>
      <c r="B18" s="4" t="s">
        <v>5565</v>
      </c>
      <c r="C18" s="20">
        <v>1.15079091E8</v>
      </c>
      <c r="D18" s="42">
        <v>115.079091</v>
      </c>
      <c r="E18" s="45"/>
      <c r="F18" s="32">
        <v>0.0</v>
      </c>
    </row>
    <row r="19" ht="14.25" customHeight="1">
      <c r="A19" s="4" t="s">
        <v>9043</v>
      </c>
      <c r="B19" s="4" t="s">
        <v>8591</v>
      </c>
      <c r="C19" s="20">
        <v>2.24000554E8</v>
      </c>
      <c r="D19" s="42">
        <v>224.000554</v>
      </c>
      <c r="E19" s="45"/>
      <c r="F19" s="32">
        <v>0.0</v>
      </c>
    </row>
    <row r="20" ht="14.25" customHeight="1">
      <c r="A20" s="4" t="s">
        <v>9043</v>
      </c>
      <c r="B20" s="4" t="s">
        <v>817</v>
      </c>
      <c r="C20" s="20">
        <v>2.24000554E8</v>
      </c>
      <c r="D20" s="42">
        <v>224.000554</v>
      </c>
      <c r="E20" s="45"/>
      <c r="F20" s="32">
        <v>0.0</v>
      </c>
    </row>
    <row r="21" ht="14.25" customHeight="1">
      <c r="A21" s="4" t="s">
        <v>9043</v>
      </c>
      <c r="B21" s="4" t="s">
        <v>2914</v>
      </c>
      <c r="C21" s="20">
        <v>4.577125E7</v>
      </c>
      <c r="D21" s="42">
        <v>45.77125</v>
      </c>
      <c r="E21" s="45"/>
      <c r="F21" s="32">
        <v>0.0</v>
      </c>
    </row>
    <row r="22" ht="14.25" customHeight="1">
      <c r="A22" s="4" t="s">
        <v>9043</v>
      </c>
      <c r="B22" s="4" t="s">
        <v>8600</v>
      </c>
      <c r="C22" s="20">
        <v>2.163113E7</v>
      </c>
      <c r="D22" s="42">
        <v>21.63113</v>
      </c>
      <c r="E22" s="45"/>
      <c r="F22" s="32">
        <v>0.0</v>
      </c>
    </row>
    <row r="23" ht="14.25" customHeight="1">
      <c r="A23" s="4" t="s">
        <v>9043</v>
      </c>
      <c r="B23" s="4" t="s">
        <v>390</v>
      </c>
      <c r="C23" s="20">
        <v>8.370905E7</v>
      </c>
      <c r="D23" s="42">
        <v>83.70905</v>
      </c>
      <c r="E23" s="45"/>
      <c r="F23" s="32">
        <v>0.0</v>
      </c>
    </row>
    <row r="24" ht="14.25" customHeight="1">
      <c r="A24" s="4" t="s">
        <v>9043</v>
      </c>
      <c r="B24" s="4" t="s">
        <v>1240</v>
      </c>
      <c r="C24" s="20">
        <v>7.7742162E7</v>
      </c>
      <c r="D24" s="42">
        <v>77.742162</v>
      </c>
      <c r="E24" s="45"/>
      <c r="F24" s="32">
        <v>0.0</v>
      </c>
    </row>
    <row r="25" ht="14.25" customHeight="1">
      <c r="A25" s="4" t="s">
        <v>9043</v>
      </c>
      <c r="B25" s="4" t="s">
        <v>373</v>
      </c>
      <c r="C25" s="20">
        <v>2.24000554E8</v>
      </c>
      <c r="D25" s="42">
        <v>224.000554</v>
      </c>
      <c r="E25" s="45"/>
      <c r="F25" s="32">
        <v>0.0</v>
      </c>
    </row>
    <row r="26" ht="14.25" customHeight="1">
      <c r="A26" s="4" t="s">
        <v>9043</v>
      </c>
      <c r="B26" s="4" t="s">
        <v>8958</v>
      </c>
      <c r="C26" s="20">
        <v>2.16525408E8</v>
      </c>
      <c r="D26" s="42">
        <v>216.525408</v>
      </c>
      <c r="E26" s="45"/>
      <c r="F26" s="32">
        <v>0.0</v>
      </c>
    </row>
    <row r="27" ht="14.25" customHeight="1">
      <c r="A27" s="4" t="s">
        <v>9043</v>
      </c>
      <c r="B27" s="4" t="s">
        <v>8959</v>
      </c>
      <c r="C27" s="20">
        <v>1.70900389E8</v>
      </c>
      <c r="D27" s="42">
        <v>170.900389</v>
      </c>
      <c r="E27" s="45"/>
      <c r="F27" s="32">
        <v>0.0</v>
      </c>
    </row>
    <row r="28" ht="14.25" customHeight="1">
      <c r="A28" s="4" t="s">
        <v>9043</v>
      </c>
      <c r="B28" s="4" t="s">
        <v>1739</v>
      </c>
      <c r="C28" s="20">
        <v>2.24000554E8</v>
      </c>
      <c r="D28" s="42">
        <v>224.000554</v>
      </c>
      <c r="E28" s="45"/>
      <c r="F28" s="32">
        <v>0.0</v>
      </c>
    </row>
    <row r="29" ht="14.25" customHeight="1">
      <c r="A29" s="4" t="s">
        <v>9043</v>
      </c>
      <c r="B29" s="4" t="s">
        <v>2225</v>
      </c>
      <c r="C29" s="20">
        <v>2.24000554E8</v>
      </c>
      <c r="D29" s="42">
        <v>224.000554</v>
      </c>
      <c r="E29" s="45"/>
      <c r="F29" s="32">
        <v>0.0</v>
      </c>
    </row>
    <row r="30" ht="14.25" customHeight="1">
      <c r="A30" s="4" t="s">
        <v>9043</v>
      </c>
      <c r="B30" s="4" t="s">
        <v>8521</v>
      </c>
      <c r="C30" s="20">
        <v>2.24000554E8</v>
      </c>
      <c r="D30" s="42">
        <v>224.000554</v>
      </c>
      <c r="E30" s="45"/>
      <c r="F30" s="32">
        <v>0.0</v>
      </c>
    </row>
    <row r="31" ht="14.25" customHeight="1">
      <c r="A31" s="4" t="s">
        <v>9043</v>
      </c>
      <c r="B31" s="4" t="s">
        <v>6088</v>
      </c>
      <c r="C31" s="20">
        <v>5.6000138E7</v>
      </c>
      <c r="D31" s="42">
        <v>56.000138</v>
      </c>
      <c r="E31" s="45"/>
      <c r="F31" s="32">
        <v>0.0</v>
      </c>
    </row>
    <row r="32" ht="14.25" customHeight="1">
      <c r="A32" s="4" t="s">
        <v>9043</v>
      </c>
      <c r="B32" s="4" t="s">
        <v>8960</v>
      </c>
      <c r="C32" s="20">
        <v>1.67788955E8</v>
      </c>
      <c r="D32" s="42">
        <v>167.788955</v>
      </c>
      <c r="E32" s="45"/>
      <c r="F32" s="32">
        <v>0.0</v>
      </c>
    </row>
    <row r="33" ht="14.25" customHeight="1">
      <c r="A33" s="4" t="s">
        <v>9043</v>
      </c>
      <c r="B33" s="4" t="s">
        <v>8961</v>
      </c>
      <c r="C33" s="20">
        <v>2.01366418E8</v>
      </c>
      <c r="D33" s="42">
        <v>201.366418</v>
      </c>
      <c r="E33" s="45"/>
      <c r="F33" s="32">
        <v>0.0</v>
      </c>
    </row>
    <row r="34" ht="14.25" customHeight="1">
      <c r="A34" s="4" t="s">
        <v>9043</v>
      </c>
      <c r="B34" s="4" t="s">
        <v>8962</v>
      </c>
      <c r="C34" s="20">
        <v>2.00630974E8</v>
      </c>
      <c r="D34" s="42">
        <v>200.630974</v>
      </c>
      <c r="E34" s="45"/>
      <c r="F34" s="32">
        <v>0.0</v>
      </c>
    </row>
    <row r="35" ht="14.25" customHeight="1">
      <c r="A35" s="4" t="s">
        <v>9043</v>
      </c>
      <c r="B35" s="4" t="s">
        <v>8874</v>
      </c>
      <c r="C35" s="20">
        <v>1.67664414E8</v>
      </c>
      <c r="D35" s="42">
        <v>167.664414</v>
      </c>
      <c r="E35" s="45"/>
      <c r="F35" s="32">
        <v>0.0</v>
      </c>
    </row>
    <row r="36" ht="14.25" customHeight="1">
      <c r="A36" s="4" t="s">
        <v>9043</v>
      </c>
      <c r="B36" s="4" t="s">
        <v>8963</v>
      </c>
      <c r="C36" s="20">
        <v>8.2879176E7</v>
      </c>
      <c r="D36" s="42">
        <v>82.879176</v>
      </c>
      <c r="E36" s="45"/>
      <c r="F36" s="32">
        <v>0.0</v>
      </c>
    </row>
    <row r="37" ht="14.25" customHeight="1">
      <c r="A37" s="4" t="s">
        <v>9043</v>
      </c>
      <c r="B37" s="4" t="s">
        <v>8964</v>
      </c>
      <c r="C37" s="20">
        <v>6.8506963E7</v>
      </c>
      <c r="D37" s="42">
        <v>68.506963</v>
      </c>
      <c r="E37" s="45"/>
      <c r="F37" s="32">
        <v>0.0</v>
      </c>
    </row>
    <row r="38" ht="14.25" customHeight="1">
      <c r="A38" s="4" t="s">
        <v>9043</v>
      </c>
      <c r="B38" s="4" t="s">
        <v>4202</v>
      </c>
      <c r="C38" s="20">
        <v>2.24000554E8</v>
      </c>
      <c r="D38" s="42">
        <v>224.000554</v>
      </c>
      <c r="E38" s="45"/>
      <c r="F38" s="32">
        <v>0.0</v>
      </c>
    </row>
    <row r="39" ht="14.25" customHeight="1">
      <c r="A39" s="4" t="s">
        <v>9043</v>
      </c>
      <c r="B39" s="4" t="s">
        <v>3843</v>
      </c>
      <c r="C39" s="20">
        <v>1.12404531E8</v>
      </c>
      <c r="D39" s="42">
        <v>112.404531</v>
      </c>
      <c r="E39" s="45"/>
      <c r="F39" s="32">
        <v>0.0</v>
      </c>
    </row>
    <row r="40" ht="14.25" customHeight="1">
      <c r="A40" s="4" t="s">
        <v>9043</v>
      </c>
      <c r="B40" s="4" t="s">
        <v>501</v>
      </c>
      <c r="C40" s="20">
        <v>2.24000554E8</v>
      </c>
      <c r="D40" s="42">
        <v>224.000554</v>
      </c>
      <c r="E40" s="45"/>
      <c r="F40" s="32">
        <v>0.0</v>
      </c>
    </row>
    <row r="41" ht="14.25" customHeight="1">
      <c r="A41" s="4" t="s">
        <v>9043</v>
      </c>
      <c r="B41" s="4" t="s">
        <v>8965</v>
      </c>
      <c r="C41" s="20">
        <v>3.8785412E7</v>
      </c>
      <c r="D41" s="42">
        <v>38.785412</v>
      </c>
      <c r="E41" s="45"/>
      <c r="F41" s="32">
        <v>0.0</v>
      </c>
    </row>
    <row r="42" ht="14.25" customHeight="1">
      <c r="A42" s="4" t="s">
        <v>9043</v>
      </c>
      <c r="B42" s="4" t="s">
        <v>8966</v>
      </c>
      <c r="C42" s="20">
        <v>2.24000554E8</v>
      </c>
      <c r="D42" s="42">
        <v>224.000554</v>
      </c>
      <c r="E42" s="45"/>
      <c r="F42" s="32">
        <v>0.0</v>
      </c>
    </row>
    <row r="43" ht="14.25" customHeight="1">
      <c r="A43" s="4" t="s">
        <v>9043</v>
      </c>
      <c r="B43" s="4" t="s">
        <v>6981</v>
      </c>
      <c r="C43" s="20">
        <v>2.24000554E8</v>
      </c>
      <c r="D43" s="42">
        <v>224.000554</v>
      </c>
      <c r="E43" s="45"/>
      <c r="F43" s="32">
        <v>0.0</v>
      </c>
    </row>
    <row r="44" ht="14.25" customHeight="1">
      <c r="A44" s="4" t="s">
        <v>9043</v>
      </c>
      <c r="B44" s="4" t="s">
        <v>1631</v>
      </c>
      <c r="C44" s="20">
        <v>1.80827681E8</v>
      </c>
      <c r="D44" s="42">
        <v>180.827681</v>
      </c>
      <c r="E44" s="45"/>
      <c r="F44" s="32">
        <v>0.0</v>
      </c>
    </row>
    <row r="45" ht="14.25" customHeight="1">
      <c r="A45" s="4" t="s">
        <v>9043</v>
      </c>
      <c r="B45" s="4" t="s">
        <v>1189</v>
      </c>
      <c r="C45" s="20">
        <v>1.77200227E8</v>
      </c>
      <c r="D45" s="42">
        <v>177.200227</v>
      </c>
      <c r="E45" s="45"/>
      <c r="F45" s="32">
        <v>0.0</v>
      </c>
    </row>
    <row r="46" ht="14.25" customHeight="1">
      <c r="A46" s="4" t="s">
        <v>9043</v>
      </c>
      <c r="B46" s="4" t="s">
        <v>6325</v>
      </c>
      <c r="C46" s="20">
        <v>2.24000554E8</v>
      </c>
      <c r="D46" s="42">
        <v>224.000554</v>
      </c>
      <c r="E46" s="45"/>
      <c r="F46" s="32">
        <v>0.0</v>
      </c>
    </row>
    <row r="47" ht="14.25" customHeight="1">
      <c r="A47" s="4" t="s">
        <v>9043</v>
      </c>
      <c r="B47" s="4" t="s">
        <v>346</v>
      </c>
      <c r="C47" s="20">
        <v>1.6933613E8</v>
      </c>
      <c r="D47" s="42">
        <v>169.33613</v>
      </c>
      <c r="E47" s="45"/>
      <c r="F47" s="32">
        <v>0.0</v>
      </c>
    </row>
    <row r="48" ht="14.25" customHeight="1">
      <c r="A48" s="4" t="s">
        <v>9043</v>
      </c>
      <c r="B48" s="4" t="s">
        <v>8670</v>
      </c>
      <c r="C48" s="20">
        <v>1.12017661E8</v>
      </c>
      <c r="D48" s="42">
        <v>112.017661</v>
      </c>
      <c r="E48" s="45"/>
      <c r="F48" s="32">
        <v>0.0</v>
      </c>
    </row>
    <row r="49" ht="14.25" customHeight="1">
      <c r="A49" s="4" t="s">
        <v>9043</v>
      </c>
      <c r="B49" s="4" t="s">
        <v>5752</v>
      </c>
      <c r="C49" s="20">
        <v>1.34400332E8</v>
      </c>
      <c r="D49" s="42">
        <v>134.400332</v>
      </c>
      <c r="E49" s="45"/>
      <c r="F49" s="32">
        <v>0.0</v>
      </c>
    </row>
    <row r="50" ht="14.25" customHeight="1">
      <c r="A50" s="4" t="s">
        <v>9043</v>
      </c>
      <c r="B50" s="4" t="s">
        <v>8967</v>
      </c>
      <c r="C50" s="20">
        <v>2.13063305E8</v>
      </c>
      <c r="D50" s="42">
        <v>213.063305</v>
      </c>
      <c r="E50" s="45"/>
      <c r="F50" s="32">
        <v>0.0</v>
      </c>
    </row>
    <row r="51" ht="14.25" customHeight="1">
      <c r="A51" s="4" t="s">
        <v>9043</v>
      </c>
      <c r="B51" s="4" t="s">
        <v>3338</v>
      </c>
      <c r="C51" s="20">
        <v>1.34436021E8</v>
      </c>
      <c r="D51" s="42">
        <v>134.436021</v>
      </c>
      <c r="E51" s="45"/>
      <c r="F51" s="32">
        <v>0.0</v>
      </c>
    </row>
    <row r="52" ht="14.25" customHeight="1">
      <c r="A52" s="4" t="s">
        <v>9043</v>
      </c>
      <c r="B52" s="4" t="s">
        <v>8968</v>
      </c>
      <c r="C52" s="20">
        <v>2.24000554E8</v>
      </c>
      <c r="D52" s="42">
        <v>224.000554</v>
      </c>
      <c r="E52" s="45"/>
      <c r="F52" s="32">
        <v>0.0</v>
      </c>
    </row>
    <row r="53" ht="14.25" customHeight="1">
      <c r="A53" s="4" t="s">
        <v>9043</v>
      </c>
      <c r="B53" s="4" t="s">
        <v>8969</v>
      </c>
      <c r="C53" s="20">
        <v>2.24000554E8</v>
      </c>
      <c r="D53" s="42">
        <v>224.000554</v>
      </c>
      <c r="E53" s="45"/>
      <c r="F53" s="32">
        <v>0.0</v>
      </c>
    </row>
    <row r="54" ht="14.25" customHeight="1">
      <c r="A54" s="4" t="s">
        <v>9043</v>
      </c>
      <c r="B54" s="4" t="s">
        <v>8970</v>
      </c>
      <c r="C54" s="20">
        <v>2.24000554E8</v>
      </c>
      <c r="D54" s="42">
        <v>224.000554</v>
      </c>
      <c r="E54" s="45"/>
      <c r="F54" s="32">
        <v>0.0</v>
      </c>
    </row>
    <row r="55" ht="14.25" customHeight="1">
      <c r="A55" s="4" t="s">
        <v>9043</v>
      </c>
      <c r="B55" s="4" t="s">
        <v>8971</v>
      </c>
      <c r="C55" s="20">
        <v>1.63479754E8</v>
      </c>
      <c r="D55" s="42">
        <v>163.479754</v>
      </c>
      <c r="E55" s="45"/>
      <c r="F55" s="32">
        <v>0.0</v>
      </c>
    </row>
    <row r="56" ht="14.25" customHeight="1">
      <c r="A56" s="4" t="s">
        <v>9043</v>
      </c>
      <c r="B56" s="4" t="s">
        <v>8606</v>
      </c>
      <c r="C56" s="20">
        <v>1.94208849E8</v>
      </c>
      <c r="D56" s="42">
        <v>194.208849</v>
      </c>
      <c r="E56" s="45"/>
      <c r="F56" s="32">
        <v>0.0</v>
      </c>
    </row>
    <row r="57" ht="14.25" customHeight="1">
      <c r="A57" s="4" t="s">
        <v>9043</v>
      </c>
      <c r="B57" s="4" t="s">
        <v>1656</v>
      </c>
      <c r="C57" s="20">
        <v>2.24000554E8</v>
      </c>
      <c r="D57" s="42">
        <v>224.000554</v>
      </c>
      <c r="E57" s="45"/>
      <c r="F57" s="32">
        <v>0.0</v>
      </c>
    </row>
    <row r="58" ht="14.25" customHeight="1">
      <c r="A58" s="4" t="s">
        <v>9043</v>
      </c>
      <c r="B58" s="4" t="s">
        <v>1514</v>
      </c>
      <c r="C58" s="20">
        <v>1.12235927E8</v>
      </c>
      <c r="D58" s="42">
        <v>112.235927</v>
      </c>
      <c r="E58" s="45"/>
      <c r="F58" s="32">
        <v>0.0</v>
      </c>
    </row>
    <row r="59" ht="14.25" customHeight="1">
      <c r="A59" s="4" t="s">
        <v>9043</v>
      </c>
      <c r="B59" s="4" t="s">
        <v>8511</v>
      </c>
      <c r="C59" s="20">
        <v>1.33273049E8</v>
      </c>
      <c r="D59" s="42">
        <v>133.273049</v>
      </c>
      <c r="E59" s="45"/>
      <c r="F59" s="32">
        <v>0.0</v>
      </c>
    </row>
    <row r="60" ht="14.25" customHeight="1">
      <c r="A60" s="4" t="s">
        <v>9043</v>
      </c>
      <c r="B60" s="4" t="s">
        <v>784</v>
      </c>
      <c r="C60" s="20">
        <v>2.24000554E8</v>
      </c>
      <c r="D60" s="42">
        <v>224.000554</v>
      </c>
      <c r="E60" s="45"/>
      <c r="F60" s="32">
        <v>0.0</v>
      </c>
    </row>
    <row r="61" ht="14.25" customHeight="1">
      <c r="A61" s="4" t="s">
        <v>9043</v>
      </c>
      <c r="B61" s="4" t="s">
        <v>8972</v>
      </c>
      <c r="C61" s="20">
        <v>3.4065935E7</v>
      </c>
      <c r="D61" s="42">
        <v>34.065935</v>
      </c>
      <c r="E61" s="45"/>
      <c r="F61" s="32">
        <v>0.0</v>
      </c>
    </row>
    <row r="62" ht="14.25" customHeight="1">
      <c r="A62" s="4" t="s">
        <v>9043</v>
      </c>
      <c r="B62" s="4" t="s">
        <v>8973</v>
      </c>
      <c r="C62" s="20">
        <v>1.16076808E8</v>
      </c>
      <c r="D62" s="42">
        <v>116.076808</v>
      </c>
      <c r="E62" s="45"/>
      <c r="F62" s="32">
        <v>0.0</v>
      </c>
    </row>
    <row r="63" ht="14.25" customHeight="1">
      <c r="A63" s="4" t="s">
        <v>9043</v>
      </c>
      <c r="B63" s="4" t="s">
        <v>1101</v>
      </c>
      <c r="C63" s="20">
        <v>3.3731462E7</v>
      </c>
      <c r="D63" s="42">
        <v>33.731462</v>
      </c>
      <c r="E63" s="45"/>
      <c r="F63" s="32">
        <v>0.0</v>
      </c>
    </row>
    <row r="64" ht="14.25" customHeight="1">
      <c r="A64" s="4" t="s">
        <v>9043</v>
      </c>
      <c r="B64" s="4" t="s">
        <v>8974</v>
      </c>
      <c r="C64" s="20">
        <v>2.24000554E8</v>
      </c>
      <c r="D64" s="42">
        <v>224.000554</v>
      </c>
      <c r="E64" s="45"/>
      <c r="F64" s="32">
        <v>0.0</v>
      </c>
    </row>
    <row r="65" ht="14.25" customHeight="1">
      <c r="A65" s="4" t="s">
        <v>9043</v>
      </c>
      <c r="B65" s="4" t="s">
        <v>8975</v>
      </c>
      <c r="C65" s="20">
        <v>8.463452E7</v>
      </c>
      <c r="D65" s="42">
        <v>84.63452</v>
      </c>
      <c r="E65" s="45"/>
      <c r="F65" s="32">
        <v>0.0</v>
      </c>
    </row>
    <row r="66" ht="14.25" customHeight="1">
      <c r="A66" s="4" t="s">
        <v>9043</v>
      </c>
      <c r="B66" s="4" t="s">
        <v>8976</v>
      </c>
      <c r="C66" s="20">
        <v>2.24000554E8</v>
      </c>
      <c r="D66" s="42">
        <v>224.000554</v>
      </c>
      <c r="E66" s="45"/>
      <c r="F66" s="32">
        <v>0.0</v>
      </c>
    </row>
    <row r="67" ht="14.25" customHeight="1">
      <c r="A67" s="4" t="s">
        <v>9043</v>
      </c>
      <c r="B67" s="4" t="s">
        <v>1183</v>
      </c>
      <c r="C67" s="20">
        <v>7.3472181E7</v>
      </c>
      <c r="D67" s="42">
        <v>73.472181</v>
      </c>
      <c r="E67" s="45"/>
      <c r="F67" s="32">
        <v>0.0</v>
      </c>
    </row>
    <row r="68" ht="14.25" customHeight="1">
      <c r="A68" s="4" t="s">
        <v>9043</v>
      </c>
      <c r="B68" s="4" t="s">
        <v>185</v>
      </c>
      <c r="C68" s="20">
        <v>2.24000554E8</v>
      </c>
      <c r="D68" s="42">
        <v>224.000554</v>
      </c>
      <c r="E68" s="45"/>
      <c r="F68" s="32">
        <v>0.0</v>
      </c>
    </row>
    <row r="69" ht="14.25" customHeight="1">
      <c r="A69" s="4" t="s">
        <v>9043</v>
      </c>
      <c r="B69" s="4" t="s">
        <v>1628</v>
      </c>
      <c r="C69" s="20">
        <v>7.7443529E7</v>
      </c>
      <c r="D69" s="42">
        <v>77.443529</v>
      </c>
      <c r="E69" s="45"/>
      <c r="F69" s="32">
        <v>0.0</v>
      </c>
    </row>
    <row r="70" ht="14.25" customHeight="1">
      <c r="A70" s="4" t="s">
        <v>9043</v>
      </c>
      <c r="B70" s="4" t="s">
        <v>8706</v>
      </c>
      <c r="C70" s="20">
        <v>3.7064314E7</v>
      </c>
      <c r="D70" s="42">
        <v>37.064314</v>
      </c>
      <c r="E70" s="45"/>
      <c r="F70" s="32">
        <v>0.0</v>
      </c>
    </row>
    <row r="71" ht="14.25" customHeight="1">
      <c r="A71" s="4" t="s">
        <v>9043</v>
      </c>
      <c r="B71" s="4" t="s">
        <v>8977</v>
      </c>
      <c r="C71" s="20">
        <v>1.0800287E8</v>
      </c>
      <c r="D71" s="42">
        <v>108.00287</v>
      </c>
      <c r="E71" s="45"/>
      <c r="F71" s="32">
        <v>0.0</v>
      </c>
    </row>
    <row r="72" ht="14.25" customHeight="1">
      <c r="A72" s="4" t="s">
        <v>9043</v>
      </c>
      <c r="B72" s="4" t="s">
        <v>5105</v>
      </c>
      <c r="C72" s="20">
        <v>2.24000554E8</v>
      </c>
      <c r="D72" s="42">
        <v>224.000554</v>
      </c>
      <c r="E72" s="45"/>
      <c r="F72" s="32">
        <v>0.0</v>
      </c>
    </row>
    <row r="73" ht="14.25" customHeight="1">
      <c r="A73" s="4" t="s">
        <v>9043</v>
      </c>
      <c r="B73" s="4" t="s">
        <v>8978</v>
      </c>
      <c r="C73" s="20">
        <v>5.7295901E7</v>
      </c>
      <c r="D73" s="42">
        <v>57.295901</v>
      </c>
      <c r="E73" s="45"/>
      <c r="F73" s="32">
        <v>0.0</v>
      </c>
    </row>
    <row r="74" ht="14.25" customHeight="1">
      <c r="A74" s="4" t="s">
        <v>9043</v>
      </c>
      <c r="B74" s="4" t="s">
        <v>8649</v>
      </c>
      <c r="C74" s="20">
        <v>2.24000554E8</v>
      </c>
      <c r="D74" s="42">
        <v>224.000554</v>
      </c>
      <c r="E74" s="45"/>
      <c r="F74" s="32">
        <v>0.0</v>
      </c>
    </row>
    <row r="75" ht="14.25" customHeight="1">
      <c r="A75" s="4" t="s">
        <v>9043</v>
      </c>
      <c r="B75" s="4" t="s">
        <v>8083</v>
      </c>
      <c r="C75" s="20">
        <v>1.12118443E8</v>
      </c>
      <c r="D75" s="42">
        <v>112.118443</v>
      </c>
      <c r="E75" s="45"/>
      <c r="F75" s="32">
        <v>0.0</v>
      </c>
    </row>
    <row r="76" ht="14.25" customHeight="1">
      <c r="A76" s="4" t="s">
        <v>9043</v>
      </c>
      <c r="B76" s="4" t="s">
        <v>8979</v>
      </c>
      <c r="C76" s="20">
        <v>6.7628957E7</v>
      </c>
      <c r="D76" s="42">
        <v>67.628957</v>
      </c>
      <c r="E76" s="45"/>
      <c r="F76" s="32">
        <v>0.0</v>
      </c>
    </row>
    <row r="77" ht="14.25" customHeight="1">
      <c r="A77" s="4" t="s">
        <v>9043</v>
      </c>
      <c r="B77" s="4" t="s">
        <v>1621</v>
      </c>
      <c r="C77" s="20">
        <v>2.24000554E8</v>
      </c>
      <c r="D77" s="42">
        <v>224.000554</v>
      </c>
      <c r="E77" s="45"/>
      <c r="F77" s="32">
        <v>0.0</v>
      </c>
    </row>
    <row r="78" ht="14.25" customHeight="1">
      <c r="A78" s="4" t="s">
        <v>9043</v>
      </c>
      <c r="B78" s="4" t="s">
        <v>8980</v>
      </c>
      <c r="C78" s="20">
        <v>5.6062858E7</v>
      </c>
      <c r="D78" s="42">
        <v>56.062858</v>
      </c>
      <c r="E78" s="45"/>
      <c r="F78" s="32">
        <v>0.0</v>
      </c>
    </row>
    <row r="79" ht="14.25" customHeight="1">
      <c r="A79" s="4" t="s">
        <v>9043</v>
      </c>
      <c r="B79" s="4" t="s">
        <v>8981</v>
      </c>
      <c r="C79" s="20">
        <v>2.24000554E8</v>
      </c>
      <c r="D79" s="42">
        <v>224.000554</v>
      </c>
      <c r="E79" s="45"/>
      <c r="F79" s="32">
        <v>0.0</v>
      </c>
    </row>
    <row r="80" ht="14.25" customHeight="1">
      <c r="A80" s="4" t="s">
        <v>9043</v>
      </c>
      <c r="B80" s="4" t="s">
        <v>8982</v>
      </c>
      <c r="C80" s="20">
        <v>3.5646147E7</v>
      </c>
      <c r="D80" s="42">
        <v>35.646147</v>
      </c>
      <c r="E80" s="45"/>
      <c r="F80" s="32">
        <v>0.0</v>
      </c>
    </row>
    <row r="81" ht="14.25" customHeight="1">
      <c r="A81" s="4" t="s">
        <v>9043</v>
      </c>
      <c r="B81" s="4" t="s">
        <v>8983</v>
      </c>
      <c r="C81" s="20">
        <v>2.00554357E8</v>
      </c>
      <c r="D81" s="42">
        <v>200.554357</v>
      </c>
      <c r="E81" s="45"/>
      <c r="F81" s="32">
        <v>0.0</v>
      </c>
    </row>
    <row r="82" ht="14.25" customHeight="1">
      <c r="A82" s="4" t="s">
        <v>9043</v>
      </c>
      <c r="B82" s="4" t="s">
        <v>7744</v>
      </c>
      <c r="C82" s="20">
        <v>8388203.0</v>
      </c>
      <c r="D82" s="42">
        <v>8.388203</v>
      </c>
      <c r="E82" s="45"/>
      <c r="F82" s="32">
        <v>0.0</v>
      </c>
    </row>
    <row r="83" ht="14.25" customHeight="1">
      <c r="A83" s="4" t="s">
        <v>9043</v>
      </c>
      <c r="B83" s="4" t="s">
        <v>8984</v>
      </c>
      <c r="C83" s="20">
        <v>3.4932571E7</v>
      </c>
      <c r="D83" s="42">
        <v>34.932571</v>
      </c>
      <c r="E83" s="45"/>
      <c r="F83" s="32">
        <v>0.0</v>
      </c>
    </row>
    <row r="84" ht="14.25" customHeight="1">
      <c r="A84" s="4" t="s">
        <v>9043</v>
      </c>
      <c r="B84" s="4" t="s">
        <v>5717</v>
      </c>
      <c r="C84" s="20">
        <v>4.5873793E7</v>
      </c>
      <c r="D84" s="42">
        <v>45.873793</v>
      </c>
      <c r="E84" s="45"/>
      <c r="F84" s="32">
        <v>0.0</v>
      </c>
    </row>
    <row r="85" ht="14.25" customHeight="1">
      <c r="A85" s="4" t="s">
        <v>9043</v>
      </c>
      <c r="B85" s="4" t="s">
        <v>1774</v>
      </c>
      <c r="C85" s="20">
        <v>2.24000554E8</v>
      </c>
      <c r="D85" s="42">
        <v>224.000554</v>
      </c>
      <c r="E85" s="45"/>
      <c r="F85" s="32">
        <v>0.0</v>
      </c>
    </row>
    <row r="86" ht="14.25" customHeight="1">
      <c r="A86" s="4" t="s">
        <v>9043</v>
      </c>
      <c r="B86" s="4" t="s">
        <v>239</v>
      </c>
      <c r="C86" s="20">
        <v>1.00381043E8</v>
      </c>
      <c r="D86" s="42">
        <v>100.381043</v>
      </c>
      <c r="E86" s="45"/>
      <c r="F86" s="32">
        <v>0.0</v>
      </c>
    </row>
    <row r="87" ht="14.25" customHeight="1">
      <c r="A87" s="4" t="s">
        <v>9043</v>
      </c>
      <c r="B87" s="4" t="s">
        <v>8985</v>
      </c>
      <c r="C87" s="20">
        <v>7.902421E7</v>
      </c>
      <c r="D87" s="42">
        <v>79.02421</v>
      </c>
      <c r="E87" s="45"/>
      <c r="F87" s="32">
        <v>0.0</v>
      </c>
    </row>
    <row r="88" ht="14.25" customHeight="1">
      <c r="A88" s="4" t="s">
        <v>9043</v>
      </c>
      <c r="B88" s="4" t="s">
        <v>7052</v>
      </c>
      <c r="C88" s="20">
        <v>1.0102016E8</v>
      </c>
      <c r="D88" s="42">
        <v>101.02016</v>
      </c>
      <c r="E88" s="45"/>
      <c r="F88" s="32">
        <v>0.0</v>
      </c>
    </row>
    <row r="89" ht="14.25" customHeight="1">
      <c r="A89" s="4" t="s">
        <v>9043</v>
      </c>
      <c r="B89" s="4" t="s">
        <v>6891</v>
      </c>
      <c r="C89" s="20">
        <v>7.7799311E7</v>
      </c>
      <c r="D89" s="42">
        <v>77.799311</v>
      </c>
      <c r="E89" s="45"/>
      <c r="F89" s="32">
        <v>0.0</v>
      </c>
    </row>
    <row r="90" ht="14.25" customHeight="1">
      <c r="A90" s="4" t="s">
        <v>9043</v>
      </c>
      <c r="B90" s="4" t="s">
        <v>8986</v>
      </c>
      <c r="C90" s="20">
        <v>4.24521E7</v>
      </c>
      <c r="D90" s="42">
        <v>42.4521</v>
      </c>
      <c r="E90" s="45"/>
      <c r="F90" s="32">
        <v>0.0</v>
      </c>
    </row>
    <row r="91" ht="14.25" customHeight="1">
      <c r="A91" s="4" t="s">
        <v>9043</v>
      </c>
      <c r="B91" s="4" t="s">
        <v>8907</v>
      </c>
      <c r="C91" s="20">
        <v>2.24000554E8</v>
      </c>
      <c r="D91" s="42">
        <v>224.000554</v>
      </c>
      <c r="E91" s="45"/>
      <c r="F91" s="32">
        <v>0.0</v>
      </c>
    </row>
    <row r="92" ht="14.25" customHeight="1">
      <c r="A92" s="4" t="s">
        <v>9043</v>
      </c>
      <c r="B92" s="4" t="s">
        <v>8987</v>
      </c>
      <c r="C92" s="20">
        <v>1.25108423E8</v>
      </c>
      <c r="D92" s="42">
        <v>125.108423</v>
      </c>
      <c r="E92" s="45"/>
      <c r="F92" s="32">
        <v>0.0</v>
      </c>
    </row>
    <row r="93" ht="14.25" customHeight="1">
      <c r="A93" s="4" t="s">
        <v>9043</v>
      </c>
      <c r="B93" s="4" t="s">
        <v>8988</v>
      </c>
      <c r="C93" s="20">
        <v>6.7231877E7</v>
      </c>
      <c r="D93" s="42">
        <v>67.231877</v>
      </c>
      <c r="E93" s="45"/>
      <c r="F93" s="32">
        <v>0.0</v>
      </c>
    </row>
    <row r="94" ht="14.25" customHeight="1">
      <c r="A94" s="4" t="s">
        <v>9043</v>
      </c>
      <c r="B94" s="4" t="s">
        <v>8989</v>
      </c>
      <c r="C94" s="20">
        <v>6.3728157E7</v>
      </c>
      <c r="D94" s="42">
        <v>63.728157</v>
      </c>
      <c r="E94" s="45"/>
      <c r="F94" s="32">
        <v>0.0</v>
      </c>
    </row>
    <row r="95" ht="14.25" customHeight="1">
      <c r="A95" s="4" t="s">
        <v>9043</v>
      </c>
      <c r="B95" s="4" t="s">
        <v>2806</v>
      </c>
      <c r="C95" s="20">
        <v>2.24000554E8</v>
      </c>
      <c r="D95" s="42">
        <v>224.000554</v>
      </c>
      <c r="E95" s="45"/>
      <c r="F95" s="32">
        <v>0.0</v>
      </c>
    </row>
    <row r="96" ht="14.25" customHeight="1">
      <c r="A96" s="4" t="s">
        <v>9043</v>
      </c>
      <c r="B96" s="4" t="s">
        <v>5940</v>
      </c>
      <c r="C96" s="20">
        <v>1.19101352E8</v>
      </c>
      <c r="D96" s="42">
        <v>119.101352</v>
      </c>
      <c r="E96" s="45"/>
      <c r="F96" s="32">
        <v>0.0</v>
      </c>
    </row>
    <row r="97" ht="14.25" customHeight="1">
      <c r="A97" s="4" t="s">
        <v>9043</v>
      </c>
      <c r="B97" s="4" t="s">
        <v>8990</v>
      </c>
      <c r="C97" s="20">
        <v>2.24000554E8</v>
      </c>
      <c r="D97" s="42">
        <v>224.000554</v>
      </c>
      <c r="E97" s="45"/>
      <c r="F97" s="32">
        <v>0.0</v>
      </c>
    </row>
    <row r="98" ht="14.25" customHeight="1">
      <c r="A98" s="4" t="s">
        <v>9043</v>
      </c>
      <c r="B98" s="4" t="s">
        <v>1667</v>
      </c>
      <c r="C98" s="20">
        <v>2.24000554E8</v>
      </c>
      <c r="D98" s="42">
        <v>224.000554</v>
      </c>
      <c r="E98" s="45"/>
      <c r="F98" s="32">
        <v>0.0</v>
      </c>
    </row>
    <row r="99" ht="14.25" customHeight="1">
      <c r="A99" s="4" t="s">
        <v>9043</v>
      </c>
      <c r="B99" s="4" t="s">
        <v>6009</v>
      </c>
      <c r="C99" s="20">
        <v>1.79200443E8</v>
      </c>
      <c r="D99" s="42">
        <v>179.200443</v>
      </c>
      <c r="E99" s="45"/>
      <c r="F99" s="32">
        <v>0.0</v>
      </c>
    </row>
    <row r="100" ht="14.25" customHeight="1">
      <c r="A100" s="4" t="s">
        <v>9043</v>
      </c>
      <c r="B100" s="4" t="s">
        <v>8991</v>
      </c>
      <c r="C100" s="20">
        <v>6.0592248E7</v>
      </c>
      <c r="D100" s="42">
        <v>60.592248</v>
      </c>
      <c r="E100" s="45"/>
      <c r="F100" s="32">
        <v>0.0</v>
      </c>
    </row>
    <row r="101" ht="14.25" customHeight="1">
      <c r="A101" s="4" t="s">
        <v>9043</v>
      </c>
      <c r="B101" s="4" t="s">
        <v>952</v>
      </c>
      <c r="C101" s="20">
        <v>2.24000554E8</v>
      </c>
      <c r="D101" s="42">
        <v>224.000554</v>
      </c>
      <c r="E101" s="45"/>
      <c r="F101" s="32">
        <v>0.0</v>
      </c>
    </row>
    <row r="102" ht="14.25" customHeight="1">
      <c r="A102" s="4" t="s">
        <v>9043</v>
      </c>
      <c r="B102" s="4" t="s">
        <v>587</v>
      </c>
      <c r="C102" s="20">
        <v>5.9411432E7</v>
      </c>
      <c r="D102" s="42">
        <v>59.411432</v>
      </c>
      <c r="E102" s="45"/>
      <c r="F102" s="32">
        <v>0.0</v>
      </c>
    </row>
    <row r="103" ht="14.25" customHeight="1">
      <c r="A103" s="4" t="s">
        <v>9043</v>
      </c>
      <c r="B103" s="4" t="s">
        <v>7073</v>
      </c>
      <c r="C103" s="20">
        <v>3.3600083E7</v>
      </c>
      <c r="D103" s="42">
        <v>33.600083</v>
      </c>
      <c r="E103" s="45"/>
      <c r="F103" s="32">
        <v>0.0</v>
      </c>
    </row>
    <row r="104" ht="14.25" customHeight="1">
      <c r="A104" s="4" t="s">
        <v>9043</v>
      </c>
      <c r="B104" s="4" t="s">
        <v>8992</v>
      </c>
      <c r="C104" s="20">
        <v>2.21807826E8</v>
      </c>
      <c r="D104" s="42">
        <v>221.807826</v>
      </c>
      <c r="E104" s="45"/>
      <c r="F104" s="32">
        <v>0.0</v>
      </c>
    </row>
    <row r="105" ht="14.25" customHeight="1">
      <c r="A105" s="4" t="s">
        <v>9043</v>
      </c>
      <c r="B105" s="4" t="s">
        <v>3887</v>
      </c>
      <c r="C105" s="20">
        <v>1.9824049E8</v>
      </c>
      <c r="D105" s="42">
        <v>198.24049</v>
      </c>
      <c r="E105" s="45"/>
      <c r="F105" s="32">
        <v>0.0</v>
      </c>
    </row>
    <row r="106" ht="14.25" customHeight="1">
      <c r="A106" s="4" t="s">
        <v>9043</v>
      </c>
      <c r="B106" s="4" t="s">
        <v>6220</v>
      </c>
      <c r="C106" s="20">
        <v>1.00824873E8</v>
      </c>
      <c r="D106" s="42">
        <v>100.824873</v>
      </c>
      <c r="E106" s="45"/>
      <c r="F106" s="32">
        <v>0.0</v>
      </c>
    </row>
    <row r="107" ht="14.25" customHeight="1">
      <c r="A107" s="4" t="s">
        <v>9043</v>
      </c>
      <c r="B107" s="4" t="s">
        <v>8645</v>
      </c>
      <c r="C107" s="20">
        <v>5.6980653E7</v>
      </c>
      <c r="D107" s="42">
        <v>56.980653</v>
      </c>
      <c r="E107" s="45"/>
      <c r="F107" s="32">
        <v>0.0</v>
      </c>
    </row>
    <row r="108" ht="14.25" customHeight="1">
      <c r="A108" s="4" t="s">
        <v>9043</v>
      </c>
      <c r="B108" s="4" t="s">
        <v>7491</v>
      </c>
      <c r="C108" s="20">
        <v>6.555443E7</v>
      </c>
      <c r="D108" s="42">
        <v>65.55443</v>
      </c>
      <c r="E108" s="45"/>
      <c r="F108" s="32">
        <v>0.0</v>
      </c>
    </row>
    <row r="109" ht="14.25" customHeight="1">
      <c r="A109" s="4" t="s">
        <v>9043</v>
      </c>
      <c r="B109" s="4" t="s">
        <v>8547</v>
      </c>
      <c r="C109" s="20">
        <v>2.24000554E8</v>
      </c>
      <c r="D109" s="42">
        <v>224.000554</v>
      </c>
      <c r="E109" s="45"/>
      <c r="F109" s="32">
        <v>0.0</v>
      </c>
    </row>
    <row r="110" ht="14.25" customHeight="1">
      <c r="A110" s="4" t="s">
        <v>9043</v>
      </c>
      <c r="B110" s="4" t="s">
        <v>8993</v>
      </c>
      <c r="C110" s="20">
        <v>6.3324264E7</v>
      </c>
      <c r="D110" s="42">
        <v>63.324264</v>
      </c>
      <c r="E110" s="45"/>
      <c r="F110" s="32">
        <v>0.0</v>
      </c>
    </row>
    <row r="111" ht="14.25" customHeight="1">
      <c r="A111" s="4" t="s">
        <v>9043</v>
      </c>
      <c r="B111" s="4" t="s">
        <v>8994</v>
      </c>
      <c r="C111" s="20">
        <v>1.12094163E8</v>
      </c>
      <c r="D111" s="42">
        <v>112.094163</v>
      </c>
      <c r="E111" s="45"/>
      <c r="F111" s="32">
        <v>0.0</v>
      </c>
    </row>
    <row r="112" ht="14.25" customHeight="1">
      <c r="A112" s="4" t="s">
        <v>9043</v>
      </c>
      <c r="B112" s="4" t="s">
        <v>683</v>
      </c>
      <c r="C112" s="20">
        <v>2.19120592E8</v>
      </c>
      <c r="D112" s="42">
        <v>219.120592</v>
      </c>
      <c r="E112" s="45"/>
      <c r="F112" s="32">
        <v>0.0</v>
      </c>
    </row>
    <row r="113" ht="14.25" customHeight="1">
      <c r="A113" s="4" t="s">
        <v>9043</v>
      </c>
      <c r="B113" s="4" t="s">
        <v>8995</v>
      </c>
      <c r="C113" s="20">
        <v>5.6017514E7</v>
      </c>
      <c r="D113" s="42">
        <v>56.017514</v>
      </c>
      <c r="E113" s="45"/>
      <c r="F113" s="32">
        <v>0.0</v>
      </c>
    </row>
    <row r="114" ht="14.25" customHeight="1">
      <c r="A114" s="4" t="s">
        <v>9043</v>
      </c>
      <c r="B114" s="4" t="s">
        <v>8996</v>
      </c>
      <c r="C114" s="20">
        <v>2.24000554E8</v>
      </c>
      <c r="D114" s="42">
        <v>224.000554</v>
      </c>
      <c r="E114" s="45"/>
      <c r="F114" s="32">
        <v>0.0</v>
      </c>
    </row>
    <row r="115" ht="14.25" customHeight="1">
      <c r="A115" s="4" t="s">
        <v>9043</v>
      </c>
      <c r="B115" s="4" t="s">
        <v>2762</v>
      </c>
      <c r="C115" s="20">
        <v>1.04744523E8</v>
      </c>
      <c r="D115" s="42">
        <v>104.744523</v>
      </c>
      <c r="E115" s="45"/>
      <c r="F115" s="32">
        <v>0.0</v>
      </c>
    </row>
    <row r="116" ht="14.25" customHeight="1">
      <c r="A116" s="4" t="s">
        <v>9043</v>
      </c>
      <c r="B116" s="4" t="s">
        <v>8997</v>
      </c>
      <c r="C116" s="20">
        <v>2.24000554E8</v>
      </c>
      <c r="D116" s="42">
        <v>224.000554</v>
      </c>
      <c r="E116" s="45"/>
      <c r="F116" s="32">
        <v>0.0</v>
      </c>
    </row>
    <row r="117" ht="14.25" customHeight="1">
      <c r="A117" s="4" t="s">
        <v>9043</v>
      </c>
      <c r="B117" s="4" t="s">
        <v>8998</v>
      </c>
      <c r="C117" s="20">
        <v>2.24000554E8</v>
      </c>
      <c r="D117" s="42">
        <v>224.000554</v>
      </c>
      <c r="E117" s="45"/>
      <c r="F117" s="32">
        <v>0.0</v>
      </c>
    </row>
    <row r="118" ht="14.25" customHeight="1">
      <c r="A118" s="4" t="s">
        <v>9043</v>
      </c>
      <c r="B118" s="4" t="s">
        <v>5124</v>
      </c>
      <c r="C118" s="20">
        <v>3.0597206E7</v>
      </c>
      <c r="D118" s="42">
        <v>30.597206</v>
      </c>
      <c r="E118" s="45"/>
      <c r="F118" s="32">
        <v>0.0</v>
      </c>
    </row>
    <row r="119" ht="14.25" customHeight="1">
      <c r="A119" s="4" t="s">
        <v>9043</v>
      </c>
      <c r="B119" s="4" t="s">
        <v>8999</v>
      </c>
      <c r="C119" s="20">
        <v>2.24000554E8</v>
      </c>
      <c r="D119" s="42">
        <v>224.000554</v>
      </c>
      <c r="E119" s="45"/>
      <c r="F119" s="32">
        <v>0.0</v>
      </c>
    </row>
    <row r="120" ht="14.25" customHeight="1">
      <c r="A120" s="4" t="s">
        <v>9043</v>
      </c>
      <c r="B120" s="4" t="s">
        <v>8694</v>
      </c>
      <c r="C120" s="20">
        <v>2.01442182E8</v>
      </c>
      <c r="D120" s="42">
        <v>201.442182</v>
      </c>
      <c r="E120" s="45"/>
      <c r="F120" s="32">
        <v>0.0</v>
      </c>
    </row>
    <row r="121" ht="14.25" customHeight="1">
      <c r="A121" s="4" t="s">
        <v>9043</v>
      </c>
      <c r="B121" s="4" t="s">
        <v>8698</v>
      </c>
      <c r="C121" s="20">
        <v>2.24000554E8</v>
      </c>
      <c r="D121" s="42">
        <v>224.000554</v>
      </c>
      <c r="E121" s="45"/>
      <c r="F121" s="32">
        <v>0.0</v>
      </c>
    </row>
    <row r="122" ht="14.25" customHeight="1">
      <c r="A122" s="4" t="s">
        <v>9043</v>
      </c>
      <c r="B122" s="4" t="s">
        <v>966</v>
      </c>
      <c r="C122" s="20">
        <v>2.24000554E8</v>
      </c>
      <c r="D122" s="42">
        <v>224.000554</v>
      </c>
      <c r="E122" s="45"/>
      <c r="F122" s="32">
        <v>0.0</v>
      </c>
    </row>
    <row r="123" ht="14.25" customHeight="1">
      <c r="A123" s="4" t="s">
        <v>9043</v>
      </c>
      <c r="B123" s="4" t="s">
        <v>1066</v>
      </c>
      <c r="C123" s="20">
        <v>3.3603133E7</v>
      </c>
      <c r="D123" s="42">
        <v>33.603133</v>
      </c>
      <c r="E123" s="45"/>
      <c r="F123" s="32">
        <v>0.0</v>
      </c>
    </row>
    <row r="124" ht="14.25" customHeight="1">
      <c r="A124" s="4" t="s">
        <v>9043</v>
      </c>
      <c r="B124" s="4" t="s">
        <v>1154</v>
      </c>
      <c r="C124" s="20">
        <v>9.7846778E7</v>
      </c>
      <c r="D124" s="42">
        <v>97.846778</v>
      </c>
      <c r="E124" s="45"/>
      <c r="F124" s="32">
        <v>0.0</v>
      </c>
    </row>
    <row r="125" ht="14.25" customHeight="1">
      <c r="A125" s="4" t="s">
        <v>9043</v>
      </c>
      <c r="B125" s="4" t="s">
        <v>367</v>
      </c>
      <c r="C125" s="20">
        <v>2.24000554E8</v>
      </c>
      <c r="D125" s="42">
        <v>224.000554</v>
      </c>
      <c r="E125" s="45"/>
      <c r="F125" s="32">
        <v>0.0</v>
      </c>
    </row>
    <row r="126" ht="14.25" customHeight="1">
      <c r="A126" s="4" t="s">
        <v>9043</v>
      </c>
      <c r="B126" s="4" t="s">
        <v>9000</v>
      </c>
      <c r="C126" s="20">
        <v>9.6778499E7</v>
      </c>
      <c r="D126" s="42">
        <v>96.778499</v>
      </c>
      <c r="E126" s="45"/>
      <c r="F126" s="32">
        <v>0.0</v>
      </c>
    </row>
    <row r="127" ht="14.25" customHeight="1">
      <c r="A127" s="4" t="s">
        <v>9043</v>
      </c>
      <c r="B127" s="4" t="s">
        <v>9001</v>
      </c>
      <c r="C127" s="20">
        <v>7.7806694E7</v>
      </c>
      <c r="D127" s="42">
        <v>77.806694</v>
      </c>
      <c r="E127" s="45"/>
      <c r="F127" s="32">
        <v>0.0</v>
      </c>
    </row>
    <row r="128" ht="14.25" customHeight="1">
      <c r="A128" s="4" t="s">
        <v>9043</v>
      </c>
      <c r="B128" s="4" t="s">
        <v>8701</v>
      </c>
      <c r="C128" s="20">
        <v>2.24000554E8</v>
      </c>
      <c r="D128" s="42">
        <v>224.000554</v>
      </c>
      <c r="E128" s="45"/>
      <c r="F128" s="32">
        <v>0.0</v>
      </c>
    </row>
    <row r="129" ht="14.25" customHeight="1">
      <c r="A129" s="4" t="s">
        <v>9043</v>
      </c>
      <c r="B129" s="4" t="s">
        <v>7910</v>
      </c>
      <c r="C129" s="20">
        <v>6.7443487E7</v>
      </c>
      <c r="D129" s="42">
        <v>67.443487</v>
      </c>
      <c r="E129" s="45"/>
      <c r="F129" s="32">
        <v>0.0</v>
      </c>
    </row>
    <row r="130" ht="14.25" customHeight="1">
      <c r="A130" s="4" t="s">
        <v>9043</v>
      </c>
      <c r="B130" s="4" t="s">
        <v>977</v>
      </c>
      <c r="C130" s="20">
        <v>2.24000554E8</v>
      </c>
      <c r="D130" s="42">
        <v>224.000554</v>
      </c>
      <c r="E130" s="45"/>
      <c r="F130" s="32">
        <v>0.0</v>
      </c>
    </row>
    <row r="131" ht="14.25" customHeight="1">
      <c r="A131" s="4" t="s">
        <v>9043</v>
      </c>
      <c r="B131" s="4" t="s">
        <v>1524</v>
      </c>
      <c r="C131" s="20">
        <v>1.45825412E8</v>
      </c>
      <c r="D131" s="42">
        <v>145.825412</v>
      </c>
      <c r="E131" s="45"/>
      <c r="F131" s="32">
        <v>0.0</v>
      </c>
    </row>
    <row r="132" ht="14.25" customHeight="1">
      <c r="A132" s="4" t="s">
        <v>9043</v>
      </c>
      <c r="B132" s="4" t="s">
        <v>5479</v>
      </c>
      <c r="C132" s="20">
        <v>3.3600083E7</v>
      </c>
      <c r="D132" s="42">
        <v>33.600083</v>
      </c>
      <c r="E132" s="45"/>
      <c r="F132" s="32">
        <v>0.0</v>
      </c>
    </row>
    <row r="133" ht="14.25" customHeight="1">
      <c r="A133" s="4" t="s">
        <v>9043</v>
      </c>
      <c r="B133" s="4" t="s">
        <v>6717</v>
      </c>
      <c r="C133" s="20">
        <v>6.3111148E7</v>
      </c>
      <c r="D133" s="42">
        <v>63.111148</v>
      </c>
      <c r="E133" s="45"/>
      <c r="F133" s="32">
        <v>0.0</v>
      </c>
    </row>
    <row r="134" ht="14.25" customHeight="1">
      <c r="A134" s="4" t="s">
        <v>9043</v>
      </c>
      <c r="B134" s="4" t="s">
        <v>2156</v>
      </c>
      <c r="C134" s="20">
        <v>7.4898184E7</v>
      </c>
      <c r="D134" s="42">
        <v>74.898184</v>
      </c>
      <c r="E134" s="45"/>
      <c r="F134" s="32">
        <v>0.0</v>
      </c>
    </row>
    <row r="135" ht="14.25" customHeight="1">
      <c r="A135" s="4" t="s">
        <v>9043</v>
      </c>
      <c r="B135" s="4" t="s">
        <v>9002</v>
      </c>
      <c r="C135" s="20">
        <v>5.2019485E7</v>
      </c>
      <c r="D135" s="42">
        <v>52.019485</v>
      </c>
      <c r="E135" s="45"/>
      <c r="F135" s="32">
        <v>0.0</v>
      </c>
    </row>
    <row r="136" ht="14.25" customHeight="1">
      <c r="A136" s="4" t="s">
        <v>9043</v>
      </c>
      <c r="B136" s="4" t="s">
        <v>9003</v>
      </c>
      <c r="C136" s="20">
        <v>2.5241133E7</v>
      </c>
      <c r="D136" s="42">
        <v>25.241133</v>
      </c>
      <c r="E136" s="45"/>
      <c r="F136" s="32">
        <v>0.0</v>
      </c>
    </row>
    <row r="137" ht="14.25" customHeight="1">
      <c r="A137" s="4" t="s">
        <v>9043</v>
      </c>
      <c r="B137" s="4" t="s">
        <v>8630</v>
      </c>
      <c r="C137" s="20">
        <v>8.9600221E7</v>
      </c>
      <c r="D137" s="42">
        <v>89.600221</v>
      </c>
      <c r="E137" s="45"/>
      <c r="F137" s="32">
        <v>0.0</v>
      </c>
    </row>
    <row r="138" ht="14.25" customHeight="1">
      <c r="A138" s="4" t="s">
        <v>9043</v>
      </c>
      <c r="B138" s="4" t="s">
        <v>1495</v>
      </c>
      <c r="C138" s="20">
        <v>9.7888495E7</v>
      </c>
      <c r="D138" s="42">
        <v>97.888495</v>
      </c>
      <c r="E138" s="45"/>
      <c r="F138" s="32">
        <v>0.0</v>
      </c>
    </row>
    <row r="139" ht="14.25" customHeight="1">
      <c r="A139" s="4" t="s">
        <v>9043</v>
      </c>
      <c r="B139" s="4" t="s">
        <v>135</v>
      </c>
      <c r="C139" s="20">
        <v>2.24000554E8</v>
      </c>
      <c r="D139" s="42">
        <v>224.000554</v>
      </c>
      <c r="E139" s="45"/>
      <c r="F139" s="32">
        <v>0.0</v>
      </c>
    </row>
    <row r="140" ht="14.25" customHeight="1">
      <c r="A140" s="4" t="s">
        <v>9043</v>
      </c>
      <c r="B140" s="4" t="s">
        <v>9004</v>
      </c>
      <c r="C140" s="20">
        <v>1.35039302E8</v>
      </c>
      <c r="D140" s="42">
        <v>135.039302</v>
      </c>
      <c r="E140" s="45"/>
      <c r="F140" s="32">
        <v>0.0</v>
      </c>
    </row>
    <row r="141" ht="14.25" customHeight="1">
      <c r="A141" s="4" t="s">
        <v>9043</v>
      </c>
      <c r="B141" s="4" t="s">
        <v>9005</v>
      </c>
      <c r="C141" s="20">
        <v>2.24000554E8</v>
      </c>
      <c r="D141" s="42">
        <v>224.000554</v>
      </c>
      <c r="E141" s="45"/>
      <c r="F141" s="32">
        <v>0.0</v>
      </c>
    </row>
    <row r="142" ht="14.25" customHeight="1">
      <c r="A142" s="4" t="s">
        <v>9043</v>
      </c>
      <c r="B142" s="4" t="s">
        <v>9006</v>
      </c>
      <c r="C142" s="20">
        <v>1.2087151E8</v>
      </c>
      <c r="D142" s="42">
        <v>120.87151</v>
      </c>
      <c r="E142" s="45"/>
      <c r="F142" s="32">
        <v>0.0</v>
      </c>
    </row>
    <row r="143" ht="14.25" customHeight="1">
      <c r="A143" s="4" t="s">
        <v>9043</v>
      </c>
      <c r="B143" s="4" t="s">
        <v>9007</v>
      </c>
      <c r="C143" s="20">
        <v>3.3152532E7</v>
      </c>
      <c r="D143" s="42">
        <v>33.152532</v>
      </c>
      <c r="E143" s="45"/>
      <c r="F143" s="32">
        <v>0.0</v>
      </c>
    </row>
    <row r="144" ht="14.25" customHeight="1">
      <c r="A144" s="4" t="s">
        <v>9043</v>
      </c>
      <c r="B144" s="4" t="s">
        <v>9008</v>
      </c>
      <c r="C144" s="20">
        <v>2.24000554E8</v>
      </c>
      <c r="D144" s="42">
        <v>224.000554</v>
      </c>
      <c r="E144" s="45"/>
      <c r="F144" s="32">
        <v>0.0</v>
      </c>
    </row>
    <row r="145" ht="14.25" customHeight="1">
      <c r="A145" s="4" t="s">
        <v>9043</v>
      </c>
      <c r="B145" s="4" t="s">
        <v>475</v>
      </c>
      <c r="C145" s="20">
        <v>7.9277098E7</v>
      </c>
      <c r="D145" s="42">
        <v>79.277098</v>
      </c>
      <c r="E145" s="45"/>
      <c r="F145" s="32">
        <v>0.0</v>
      </c>
    </row>
    <row r="146" ht="14.25" customHeight="1">
      <c r="A146" s="4" t="s">
        <v>9043</v>
      </c>
      <c r="B146" s="4" t="s">
        <v>3239</v>
      </c>
      <c r="C146" s="20">
        <v>3.734686E7</v>
      </c>
      <c r="D146" s="42">
        <v>37.34686</v>
      </c>
      <c r="E146" s="45"/>
      <c r="F146" s="32">
        <v>0.0</v>
      </c>
    </row>
    <row r="147" ht="14.25" customHeight="1">
      <c r="A147" s="4" t="s">
        <v>9043</v>
      </c>
      <c r="B147" s="4" t="s">
        <v>31</v>
      </c>
      <c r="C147" s="20">
        <v>1.43391666E8</v>
      </c>
      <c r="D147" s="42">
        <v>143.391666</v>
      </c>
      <c r="E147" s="45"/>
      <c r="F147" s="32">
        <v>0.0</v>
      </c>
    </row>
    <row r="148" ht="14.25" customHeight="1">
      <c r="A148" s="4" t="s">
        <v>9043</v>
      </c>
      <c r="B148" s="4" t="s">
        <v>1639</v>
      </c>
      <c r="C148" s="20">
        <v>1.9468765E8</v>
      </c>
      <c r="D148" s="42">
        <v>194.68765</v>
      </c>
      <c r="E148" s="45"/>
      <c r="F148" s="32">
        <v>0.0</v>
      </c>
    </row>
    <row r="149" ht="14.25" customHeight="1">
      <c r="A149" s="4" t="s">
        <v>9043</v>
      </c>
      <c r="B149" s="4" t="s">
        <v>534</v>
      </c>
      <c r="C149" s="20">
        <v>2.00402386E8</v>
      </c>
      <c r="D149" s="42">
        <v>200.402386</v>
      </c>
      <c r="E149" s="45"/>
      <c r="F149" s="32">
        <v>0.0</v>
      </c>
    </row>
    <row r="150" ht="14.25" customHeight="1">
      <c r="A150" s="4" t="s">
        <v>9043</v>
      </c>
      <c r="B150" s="4" t="s">
        <v>1121</v>
      </c>
      <c r="C150" s="20">
        <v>2.24000554E8</v>
      </c>
      <c r="D150" s="42">
        <v>224.000554</v>
      </c>
      <c r="E150" s="45"/>
      <c r="F150" s="32">
        <v>0.0</v>
      </c>
    </row>
    <row r="151" ht="14.25" customHeight="1">
      <c r="A151" s="4" t="s">
        <v>9043</v>
      </c>
      <c r="B151" s="4" t="s">
        <v>554</v>
      </c>
      <c r="C151" s="20">
        <v>1.11386574E8</v>
      </c>
      <c r="D151" s="42">
        <v>111.386574</v>
      </c>
      <c r="E151" s="45"/>
      <c r="F151" s="32">
        <v>0.0</v>
      </c>
    </row>
    <row r="152" ht="14.25" customHeight="1">
      <c r="A152" s="4" t="s">
        <v>9043</v>
      </c>
      <c r="B152" s="4" t="s">
        <v>929</v>
      </c>
      <c r="C152" s="20">
        <v>9.2199412E7</v>
      </c>
      <c r="D152" s="42">
        <v>92.199412</v>
      </c>
      <c r="E152" s="45"/>
      <c r="F152" s="32">
        <v>0.0</v>
      </c>
    </row>
    <row r="153" ht="14.25" customHeight="1">
      <c r="A153" s="4" t="s">
        <v>9043</v>
      </c>
      <c r="B153" s="4" t="s">
        <v>338</v>
      </c>
      <c r="C153" s="20">
        <v>3.5191984E7</v>
      </c>
      <c r="D153" s="42">
        <v>35.191984</v>
      </c>
      <c r="E153" s="45"/>
      <c r="F153" s="32">
        <v>0.0</v>
      </c>
    </row>
    <row r="154" ht="14.25" customHeight="1">
      <c r="A154" s="4" t="s">
        <v>9043</v>
      </c>
      <c r="B154" s="4" t="s">
        <v>9009</v>
      </c>
      <c r="C154" s="20">
        <v>2.20476437E8</v>
      </c>
      <c r="D154" s="42">
        <v>220.476437</v>
      </c>
      <c r="E154" s="45"/>
      <c r="F154" s="32">
        <v>0.0</v>
      </c>
    </row>
    <row r="155" ht="14.25" customHeight="1">
      <c r="A155" s="4" t="s">
        <v>9043</v>
      </c>
      <c r="B155" s="4" t="s">
        <v>5818</v>
      </c>
      <c r="C155" s="20">
        <v>8.2665564E7</v>
      </c>
      <c r="D155" s="42">
        <v>82.665564</v>
      </c>
      <c r="E155" s="45"/>
      <c r="F155" s="32">
        <v>0.0</v>
      </c>
    </row>
    <row r="156" ht="14.25" customHeight="1">
      <c r="A156" s="4" t="s">
        <v>9043</v>
      </c>
      <c r="B156" s="4" t="s">
        <v>8685</v>
      </c>
      <c r="C156" s="20">
        <v>7.1133114E7</v>
      </c>
      <c r="D156" s="42">
        <v>71.133114</v>
      </c>
      <c r="E156" s="45"/>
      <c r="F156" s="32">
        <v>0.0</v>
      </c>
    </row>
    <row r="157" ht="14.25" customHeight="1">
      <c r="A157" s="4" t="s">
        <v>9043</v>
      </c>
      <c r="B157" s="4" t="s">
        <v>9010</v>
      </c>
      <c r="C157" s="20">
        <v>2.24000554E8</v>
      </c>
      <c r="D157" s="42">
        <v>224.000554</v>
      </c>
      <c r="E157" s="45"/>
      <c r="F157" s="32">
        <v>0.0</v>
      </c>
    </row>
    <row r="158" ht="14.25" customHeight="1">
      <c r="A158" s="4" t="s">
        <v>9043</v>
      </c>
      <c r="B158" s="4" t="s">
        <v>673</v>
      </c>
      <c r="C158" s="20">
        <v>2.24000554E8</v>
      </c>
      <c r="D158" s="42">
        <v>224.000554</v>
      </c>
      <c r="E158" s="45"/>
      <c r="F158" s="32">
        <v>0.0</v>
      </c>
    </row>
    <row r="159" ht="14.25" customHeight="1">
      <c r="A159" s="4" t="s">
        <v>9043</v>
      </c>
      <c r="B159" s="4" t="s">
        <v>4576</v>
      </c>
      <c r="C159" s="20">
        <v>2.24000554E8</v>
      </c>
      <c r="D159" s="42">
        <v>224.000554</v>
      </c>
      <c r="E159" s="45"/>
      <c r="F159" s="32">
        <v>0.0</v>
      </c>
    </row>
    <row r="160" ht="14.25" customHeight="1">
      <c r="A160" s="4" t="s">
        <v>9043</v>
      </c>
      <c r="B160" s="4" t="s">
        <v>2981</v>
      </c>
      <c r="C160" s="20">
        <v>1.9897044E8</v>
      </c>
      <c r="D160" s="42">
        <v>198.97044</v>
      </c>
      <c r="E160" s="45"/>
      <c r="F160" s="32">
        <v>0.0</v>
      </c>
    </row>
    <row r="161" ht="14.25" customHeight="1">
      <c r="A161" s="4" t="s">
        <v>9043</v>
      </c>
      <c r="B161" s="4" t="s">
        <v>834</v>
      </c>
      <c r="C161" s="20">
        <v>9.174141E7</v>
      </c>
      <c r="D161" s="42">
        <v>91.74141</v>
      </c>
      <c r="E161" s="45"/>
      <c r="F161" s="32">
        <v>0.0</v>
      </c>
    </row>
    <row r="162" ht="14.25" customHeight="1">
      <c r="A162" s="4" t="s">
        <v>9043</v>
      </c>
      <c r="B162" s="4" t="s">
        <v>9011</v>
      </c>
      <c r="C162" s="20">
        <v>2.24000554E8</v>
      </c>
      <c r="D162" s="42">
        <v>224.000554</v>
      </c>
      <c r="E162" s="45"/>
      <c r="F162" s="32">
        <v>0.0</v>
      </c>
    </row>
    <row r="163" ht="14.25" customHeight="1">
      <c r="A163" s="4" t="s">
        <v>9043</v>
      </c>
      <c r="B163" s="4" t="s">
        <v>9012</v>
      </c>
      <c r="C163" s="20">
        <v>1.1135972E7</v>
      </c>
      <c r="D163" s="42">
        <v>11.135972</v>
      </c>
      <c r="E163" s="45"/>
      <c r="F163" s="32">
        <v>0.0</v>
      </c>
    </row>
    <row r="164" ht="14.25" customHeight="1">
      <c r="A164" s="4" t="s">
        <v>9043</v>
      </c>
      <c r="B164" s="4" t="s">
        <v>8640</v>
      </c>
      <c r="C164" s="20">
        <v>4.4060319E7</v>
      </c>
      <c r="D164" s="42">
        <v>44.060319</v>
      </c>
      <c r="E164" s="45"/>
      <c r="F164" s="32">
        <v>0.0</v>
      </c>
    </row>
    <row r="165" ht="14.25" customHeight="1">
      <c r="A165" s="4" t="s">
        <v>9043</v>
      </c>
      <c r="B165" s="4" t="s">
        <v>1241</v>
      </c>
      <c r="C165" s="20">
        <v>2.24000554E8</v>
      </c>
      <c r="D165" s="42">
        <v>224.000554</v>
      </c>
      <c r="E165" s="45"/>
      <c r="F165" s="32">
        <v>0.0</v>
      </c>
    </row>
    <row r="166" ht="14.25" customHeight="1">
      <c r="A166" s="4" t="s">
        <v>9043</v>
      </c>
      <c r="B166" s="4" t="s">
        <v>9013</v>
      </c>
      <c r="C166" s="20">
        <v>2.24000554E8</v>
      </c>
      <c r="D166" s="42">
        <v>224.000554</v>
      </c>
      <c r="E166" s="45"/>
      <c r="F166" s="32">
        <v>0.0</v>
      </c>
    </row>
    <row r="167" ht="14.25" customHeight="1">
      <c r="A167" s="4" t="s">
        <v>9043</v>
      </c>
      <c r="B167" s="4" t="s">
        <v>8726</v>
      </c>
      <c r="C167" s="20">
        <v>6.8568753E7</v>
      </c>
      <c r="D167" s="42">
        <v>68.568753</v>
      </c>
      <c r="E167" s="45"/>
      <c r="F167" s="32">
        <v>0.0</v>
      </c>
    </row>
    <row r="168" ht="14.25" customHeight="1">
      <c r="A168" s="4" t="s">
        <v>9043</v>
      </c>
      <c r="B168" s="4" t="s">
        <v>9014</v>
      </c>
      <c r="C168" s="20">
        <v>5.6449098E7</v>
      </c>
      <c r="D168" s="42">
        <v>56.449098</v>
      </c>
      <c r="E168" s="45"/>
      <c r="F168" s="32">
        <v>0.0</v>
      </c>
    </row>
    <row r="169" ht="14.25" customHeight="1">
      <c r="A169" s="4" t="s">
        <v>9043</v>
      </c>
      <c r="B169" s="4" t="s">
        <v>7066</v>
      </c>
      <c r="C169" s="20">
        <v>3.3609926E7</v>
      </c>
      <c r="D169" s="42">
        <v>33.609926</v>
      </c>
      <c r="E169" s="45"/>
      <c r="F169" s="32">
        <v>0.0</v>
      </c>
    </row>
    <row r="170" ht="14.25" customHeight="1">
      <c r="A170" s="4" t="s">
        <v>9043</v>
      </c>
      <c r="B170" s="4" t="s">
        <v>5278</v>
      </c>
      <c r="C170" s="20">
        <v>1.02928114E8</v>
      </c>
      <c r="D170" s="42">
        <v>102.928114</v>
      </c>
      <c r="E170" s="45"/>
      <c r="F170" s="32">
        <v>0.0</v>
      </c>
    </row>
    <row r="171" ht="14.25" customHeight="1">
      <c r="A171" s="4" t="s">
        <v>9043</v>
      </c>
      <c r="B171" s="4" t="s">
        <v>107</v>
      </c>
      <c r="C171" s="20">
        <v>7.697804E7</v>
      </c>
      <c r="D171" s="42">
        <v>76.97804</v>
      </c>
      <c r="E171" s="45"/>
      <c r="F171" s="32">
        <v>0.0</v>
      </c>
    </row>
    <row r="172" ht="14.25" customHeight="1">
      <c r="A172" s="4" t="s">
        <v>9043</v>
      </c>
      <c r="B172" s="4" t="s">
        <v>8321</v>
      </c>
      <c r="C172" s="20">
        <v>5.6000138E7</v>
      </c>
      <c r="D172" s="42">
        <v>56.000138</v>
      </c>
      <c r="E172" s="45"/>
      <c r="F172" s="32">
        <v>0.0</v>
      </c>
    </row>
    <row r="173" ht="14.25" customHeight="1">
      <c r="A173" s="4" t="s">
        <v>9043</v>
      </c>
      <c r="B173" s="4" t="s">
        <v>9015</v>
      </c>
      <c r="C173" s="20">
        <v>2.24000554E8</v>
      </c>
      <c r="D173" s="42">
        <v>224.000554</v>
      </c>
      <c r="E173" s="45"/>
      <c r="F173" s="32">
        <v>0.0</v>
      </c>
    </row>
    <row r="174" ht="14.25" customHeight="1">
      <c r="A174" s="4" t="s">
        <v>9043</v>
      </c>
      <c r="B174" s="4" t="s">
        <v>7465</v>
      </c>
      <c r="C174" s="20">
        <v>2.24000554E8</v>
      </c>
      <c r="D174" s="42">
        <v>224.000554</v>
      </c>
      <c r="E174" s="45"/>
      <c r="F174" s="32">
        <v>0.0</v>
      </c>
    </row>
    <row r="175" ht="14.25" customHeight="1">
      <c r="A175" s="4" t="s">
        <v>9043</v>
      </c>
      <c r="B175" s="4" t="s">
        <v>9016</v>
      </c>
      <c r="C175" s="20">
        <v>1.50080371E8</v>
      </c>
      <c r="D175" s="42">
        <v>150.080371</v>
      </c>
      <c r="E175" s="45"/>
      <c r="F175" s="32">
        <v>0.0</v>
      </c>
    </row>
    <row r="176" ht="14.25" customHeight="1">
      <c r="A176" s="4" t="s">
        <v>9043</v>
      </c>
      <c r="B176" s="4" t="s">
        <v>485</v>
      </c>
      <c r="C176" s="20">
        <v>2.24000554E8</v>
      </c>
      <c r="D176" s="42">
        <v>224.000554</v>
      </c>
      <c r="E176" s="45"/>
      <c r="F176" s="32">
        <v>0.0</v>
      </c>
    </row>
    <row r="177" ht="14.25" customHeight="1">
      <c r="A177" s="4" t="s">
        <v>9043</v>
      </c>
      <c r="B177" s="4" t="s">
        <v>8581</v>
      </c>
      <c r="C177" s="20">
        <v>5.6084471E7</v>
      </c>
      <c r="D177" s="42">
        <v>56.084471</v>
      </c>
      <c r="E177" s="45"/>
      <c r="F177" s="32">
        <v>0.0</v>
      </c>
    </row>
    <row r="178" ht="14.25" customHeight="1">
      <c r="A178" s="4" t="s">
        <v>9043</v>
      </c>
      <c r="B178" s="4" t="s">
        <v>675</v>
      </c>
      <c r="C178" s="20">
        <v>1.22848917E8</v>
      </c>
      <c r="D178" s="42">
        <v>122.848917</v>
      </c>
      <c r="E178" s="45"/>
      <c r="F178" s="32">
        <v>0.0</v>
      </c>
    </row>
    <row r="179" ht="14.25" customHeight="1">
      <c r="A179" s="4" t="s">
        <v>9043</v>
      </c>
      <c r="B179" s="4" t="s">
        <v>3626</v>
      </c>
      <c r="C179" s="20">
        <v>5.9076001E7</v>
      </c>
      <c r="D179" s="42">
        <v>59.076001</v>
      </c>
      <c r="E179" s="45"/>
      <c r="F179" s="32">
        <v>0.0</v>
      </c>
    </row>
    <row r="180" ht="14.25" customHeight="1">
      <c r="A180" s="4" t="s">
        <v>9043</v>
      </c>
      <c r="B180" s="4" t="s">
        <v>1283</v>
      </c>
      <c r="C180" s="20">
        <v>2.24000554E8</v>
      </c>
      <c r="D180" s="42">
        <v>224.000554</v>
      </c>
      <c r="E180" s="45"/>
      <c r="F180" s="32">
        <v>0.0</v>
      </c>
    </row>
    <row r="181" ht="14.25" customHeight="1">
      <c r="A181" s="4" t="s">
        <v>9043</v>
      </c>
      <c r="B181" s="4" t="s">
        <v>6761</v>
      </c>
      <c r="C181" s="20">
        <v>2.7229322E7</v>
      </c>
      <c r="D181" s="42">
        <v>27.229322</v>
      </c>
      <c r="E181" s="45"/>
      <c r="F181" s="32">
        <v>0.0</v>
      </c>
    </row>
    <row r="182" ht="14.25" customHeight="1">
      <c r="A182" s="4" t="s">
        <v>9043</v>
      </c>
      <c r="B182" s="4" t="s">
        <v>9017</v>
      </c>
      <c r="C182" s="20">
        <v>1.00811449E8</v>
      </c>
      <c r="D182" s="42">
        <v>100.811449</v>
      </c>
      <c r="E182" s="45"/>
      <c r="F182" s="32">
        <v>0.0</v>
      </c>
    </row>
    <row r="183" ht="14.25" customHeight="1">
      <c r="A183" s="4" t="s">
        <v>9043</v>
      </c>
      <c r="B183" s="4" t="s">
        <v>8453</v>
      </c>
      <c r="C183" s="20">
        <v>2.24000554E8</v>
      </c>
      <c r="D183" s="42">
        <v>224.000554</v>
      </c>
      <c r="E183" s="45"/>
      <c r="F183" s="32">
        <v>0.0</v>
      </c>
    </row>
    <row r="184" ht="14.25" customHeight="1">
      <c r="A184" s="4" t="s">
        <v>9043</v>
      </c>
      <c r="B184" s="4" t="s">
        <v>3737</v>
      </c>
      <c r="C184" s="20">
        <v>6.8127717E7</v>
      </c>
      <c r="D184" s="42">
        <v>68.127717</v>
      </c>
      <c r="E184" s="45"/>
      <c r="F184" s="32">
        <v>0.0</v>
      </c>
    </row>
    <row r="185" ht="14.25" customHeight="1">
      <c r="A185" s="4" t="s">
        <v>9043</v>
      </c>
      <c r="B185" s="4" t="s">
        <v>9018</v>
      </c>
      <c r="C185" s="20">
        <v>2.24000554E8</v>
      </c>
      <c r="D185" s="42">
        <v>224.000554</v>
      </c>
      <c r="E185" s="45"/>
      <c r="F185" s="32">
        <v>0.0</v>
      </c>
    </row>
    <row r="186" ht="14.25" customHeight="1">
      <c r="A186" s="4" t="s">
        <v>9043</v>
      </c>
      <c r="B186" s="4" t="s">
        <v>9019</v>
      </c>
      <c r="C186" s="20">
        <v>2.24000554E8</v>
      </c>
      <c r="D186" s="42">
        <v>224.000554</v>
      </c>
      <c r="E186" s="45"/>
      <c r="F186" s="32">
        <v>0.0</v>
      </c>
    </row>
    <row r="187" ht="14.25" customHeight="1">
      <c r="A187" s="4" t="s">
        <v>9043</v>
      </c>
      <c r="B187" s="4" t="s">
        <v>9020</v>
      </c>
      <c r="C187" s="20">
        <v>2.24000554E8</v>
      </c>
      <c r="D187" s="42">
        <v>224.000554</v>
      </c>
      <c r="E187" s="45"/>
      <c r="F187" s="32">
        <v>0.0</v>
      </c>
    </row>
    <row r="188" ht="14.25" customHeight="1">
      <c r="A188" s="4" t="s">
        <v>9043</v>
      </c>
      <c r="B188" s="4" t="s">
        <v>9021</v>
      </c>
      <c r="C188" s="20">
        <v>2.24000554E8</v>
      </c>
      <c r="D188" s="42">
        <v>224.000554</v>
      </c>
      <c r="E188" s="45"/>
      <c r="F188" s="32">
        <v>0.0</v>
      </c>
    </row>
    <row r="189" ht="14.25" customHeight="1">
      <c r="A189" s="4" t="s">
        <v>9043</v>
      </c>
      <c r="B189" s="4" t="s">
        <v>8753</v>
      </c>
      <c r="C189" s="20">
        <v>9.8457607E7</v>
      </c>
      <c r="D189" s="42">
        <v>98.457607</v>
      </c>
      <c r="E189" s="45"/>
      <c r="F189" s="32">
        <v>0.0</v>
      </c>
    </row>
    <row r="190" ht="14.25" customHeight="1">
      <c r="A190" s="4" t="s">
        <v>9043</v>
      </c>
      <c r="B190" s="4" t="s">
        <v>6172</v>
      </c>
      <c r="C190" s="20">
        <v>2.24000554E8</v>
      </c>
      <c r="D190" s="42">
        <v>224.000554</v>
      </c>
      <c r="E190" s="45"/>
      <c r="F190" s="32">
        <v>0.0</v>
      </c>
    </row>
    <row r="191" ht="14.25" customHeight="1">
      <c r="A191" s="4" t="s">
        <v>9043</v>
      </c>
      <c r="B191" s="4" t="s">
        <v>2999</v>
      </c>
      <c r="C191" s="20">
        <v>2.17171556E8</v>
      </c>
      <c r="D191" s="42">
        <v>217.171556</v>
      </c>
      <c r="E191" s="45"/>
      <c r="F191" s="32">
        <v>0.0</v>
      </c>
    </row>
    <row r="192" ht="14.25" customHeight="1">
      <c r="A192" s="4" t="s">
        <v>9043</v>
      </c>
      <c r="B192" s="4" t="s">
        <v>9022</v>
      </c>
      <c r="C192" s="20">
        <v>9.7642988E7</v>
      </c>
      <c r="D192" s="42">
        <v>97.642988</v>
      </c>
      <c r="E192" s="45"/>
      <c r="F192" s="32">
        <v>0.0</v>
      </c>
    </row>
    <row r="193" ht="14.25" customHeight="1">
      <c r="A193" s="4" t="s">
        <v>9043</v>
      </c>
      <c r="B193" s="4" t="s">
        <v>5958</v>
      </c>
      <c r="C193" s="20">
        <v>6.3346504E7</v>
      </c>
      <c r="D193" s="42">
        <v>63.346504</v>
      </c>
      <c r="E193" s="45"/>
      <c r="F193" s="32">
        <v>0.0</v>
      </c>
    </row>
    <row r="194" ht="14.25" customHeight="1">
      <c r="A194" s="4" t="s">
        <v>9043</v>
      </c>
      <c r="B194" s="4" t="s">
        <v>8716</v>
      </c>
      <c r="C194" s="20">
        <v>2.24000554E8</v>
      </c>
      <c r="D194" s="42">
        <v>224.000554</v>
      </c>
      <c r="E194" s="45"/>
      <c r="F194" s="32">
        <v>0.0</v>
      </c>
    </row>
    <row r="195" ht="14.25" customHeight="1">
      <c r="A195" s="4" t="s">
        <v>9043</v>
      </c>
      <c r="B195" s="4" t="s">
        <v>1576</v>
      </c>
      <c r="C195" s="20">
        <v>2.24000554E8</v>
      </c>
      <c r="D195" s="42">
        <v>224.000554</v>
      </c>
      <c r="E195" s="45"/>
      <c r="F195" s="32">
        <v>0.0</v>
      </c>
    </row>
    <row r="196" ht="14.25" customHeight="1">
      <c r="A196" s="4" t="s">
        <v>9043</v>
      </c>
      <c r="B196" s="4" t="s">
        <v>9023</v>
      </c>
      <c r="C196" s="20">
        <v>3.3663225E7</v>
      </c>
      <c r="D196" s="42">
        <v>33.663225</v>
      </c>
      <c r="E196" s="45"/>
      <c r="F196" s="32">
        <v>0.0</v>
      </c>
    </row>
    <row r="197" ht="14.25" customHeight="1">
      <c r="A197" s="4" t="s">
        <v>9043</v>
      </c>
      <c r="B197" s="4" t="s">
        <v>613</v>
      </c>
      <c r="C197" s="20">
        <v>2.24000554E8</v>
      </c>
      <c r="D197" s="42">
        <v>224.000554</v>
      </c>
      <c r="E197" s="45"/>
      <c r="F197" s="32">
        <v>0.0</v>
      </c>
    </row>
    <row r="198" ht="14.25" customHeight="1">
      <c r="A198" s="4" t="s">
        <v>9043</v>
      </c>
      <c r="B198" s="4" t="s">
        <v>3261</v>
      </c>
      <c r="C198" s="20">
        <v>1.13708904E8</v>
      </c>
      <c r="D198" s="42">
        <v>113.708904</v>
      </c>
      <c r="E198" s="45"/>
      <c r="F198" s="32">
        <v>0.0</v>
      </c>
    </row>
    <row r="199" ht="14.25" customHeight="1">
      <c r="A199" s="4" t="s">
        <v>9043</v>
      </c>
      <c r="B199" s="4" t="s">
        <v>9024</v>
      </c>
      <c r="C199" s="20">
        <v>2.24000554E8</v>
      </c>
      <c r="D199" s="42">
        <v>224.000554</v>
      </c>
      <c r="E199" s="45"/>
      <c r="F199" s="32">
        <v>0.0</v>
      </c>
    </row>
    <row r="200" ht="14.25" customHeight="1">
      <c r="A200" s="4" t="s">
        <v>9043</v>
      </c>
      <c r="B200" s="4" t="s">
        <v>8587</v>
      </c>
      <c r="C200" s="20">
        <v>3.7038088E7</v>
      </c>
      <c r="D200" s="42">
        <v>37.038088</v>
      </c>
      <c r="E200" s="45"/>
      <c r="F200" s="32">
        <v>0.0</v>
      </c>
    </row>
    <row r="201" ht="14.25" customHeight="1">
      <c r="A201" s="4" t="s">
        <v>9043</v>
      </c>
      <c r="B201" s="4" t="s">
        <v>8535</v>
      </c>
      <c r="C201" s="20">
        <v>1.36921075E8</v>
      </c>
      <c r="D201" s="42">
        <v>136.921075</v>
      </c>
      <c r="E201" s="45"/>
      <c r="F201" s="32">
        <v>0.0</v>
      </c>
    </row>
    <row r="202" ht="14.25" customHeight="1">
      <c r="A202" s="4" t="s">
        <v>9044</v>
      </c>
      <c r="B202" s="4" t="s">
        <v>9009</v>
      </c>
      <c r="C202" s="20">
        <v>4.56878902E8</v>
      </c>
      <c r="D202" s="42">
        <v>456.878902</v>
      </c>
      <c r="E202" s="45"/>
      <c r="F202" s="32">
        <v>0.0</v>
      </c>
    </row>
    <row r="203" ht="14.25" customHeight="1">
      <c r="A203" s="4" t="s">
        <v>9044</v>
      </c>
      <c r="B203" s="4" t="s">
        <v>367</v>
      </c>
      <c r="C203" s="20">
        <v>4.65107548E8</v>
      </c>
      <c r="D203" s="42">
        <v>465.107548</v>
      </c>
      <c r="E203" s="45"/>
      <c r="F203" s="32">
        <v>0.0</v>
      </c>
    </row>
    <row r="204" ht="14.25" customHeight="1">
      <c r="A204" s="4" t="s">
        <v>9044</v>
      </c>
      <c r="B204" s="4" t="s">
        <v>8701</v>
      </c>
      <c r="C204" s="20">
        <v>4.65107548E8</v>
      </c>
      <c r="D204" s="42">
        <v>465.107548</v>
      </c>
      <c r="E204" s="45"/>
      <c r="F204" s="32">
        <v>0.0</v>
      </c>
    </row>
    <row r="205" ht="14.25" customHeight="1">
      <c r="A205" s="4" t="s">
        <v>9044</v>
      </c>
      <c r="B205" s="4" t="s">
        <v>9025</v>
      </c>
      <c r="C205" s="20">
        <v>2.54587279E8</v>
      </c>
      <c r="D205" s="42">
        <v>254.587279</v>
      </c>
      <c r="E205" s="45"/>
      <c r="F205" s="32">
        <v>0.0</v>
      </c>
    </row>
    <row r="206" ht="14.25" customHeight="1">
      <c r="A206" s="4" t="s">
        <v>9044</v>
      </c>
      <c r="B206" s="4" t="s">
        <v>2806</v>
      </c>
      <c r="C206" s="20">
        <v>4.65107548E8</v>
      </c>
      <c r="D206" s="42">
        <v>465.107548</v>
      </c>
      <c r="E206" s="45"/>
      <c r="F206" s="32">
        <v>0.0</v>
      </c>
    </row>
    <row r="207" ht="14.25" customHeight="1">
      <c r="A207" s="4" t="s">
        <v>9044</v>
      </c>
      <c r="B207" s="4" t="s">
        <v>8970</v>
      </c>
      <c r="C207" s="20">
        <v>4.65107548E8</v>
      </c>
      <c r="D207" s="42">
        <v>465.107548</v>
      </c>
      <c r="E207" s="45"/>
      <c r="F207" s="32">
        <v>0.0</v>
      </c>
    </row>
    <row r="208" ht="14.25" customHeight="1">
      <c r="A208" s="4" t="s">
        <v>9044</v>
      </c>
      <c r="B208" s="4" t="s">
        <v>9018</v>
      </c>
      <c r="C208" s="20">
        <v>4.65107548E8</v>
      </c>
      <c r="D208" s="42">
        <v>465.107548</v>
      </c>
      <c r="E208" s="45"/>
      <c r="F208" s="32">
        <v>0.0</v>
      </c>
    </row>
    <row r="209" ht="14.25" customHeight="1">
      <c r="A209" s="4" t="s">
        <v>9044</v>
      </c>
      <c r="B209" s="4" t="s">
        <v>9026</v>
      </c>
      <c r="C209" s="20">
        <v>3.905928E8</v>
      </c>
      <c r="D209" s="42">
        <v>390.5928</v>
      </c>
      <c r="E209" s="45"/>
      <c r="F209" s="32">
        <v>0.0</v>
      </c>
    </row>
    <row r="210" ht="14.25" customHeight="1">
      <c r="A210" s="4" t="s">
        <v>9044</v>
      </c>
      <c r="B210" s="4" t="s">
        <v>1713</v>
      </c>
      <c r="C210" s="20">
        <v>4.22224632E8</v>
      </c>
      <c r="D210" s="42">
        <v>422.224632</v>
      </c>
      <c r="E210" s="45"/>
      <c r="F210" s="32">
        <v>0.0</v>
      </c>
    </row>
    <row r="211" ht="14.25" customHeight="1">
      <c r="A211" s="4" t="s">
        <v>9044</v>
      </c>
      <c r="B211" s="4" t="s">
        <v>1091</v>
      </c>
      <c r="C211" s="20">
        <v>4.65107548E8</v>
      </c>
      <c r="D211" s="42">
        <v>465.107548</v>
      </c>
      <c r="E211" s="45"/>
      <c r="F211" s="32">
        <v>0.0</v>
      </c>
    </row>
    <row r="212" ht="14.25" customHeight="1">
      <c r="A212" s="4" t="s">
        <v>9044</v>
      </c>
      <c r="B212" s="4" t="s">
        <v>9020</v>
      </c>
      <c r="C212" s="20">
        <v>4.65107548E8</v>
      </c>
      <c r="D212" s="42">
        <v>465.107548</v>
      </c>
      <c r="E212" s="45"/>
      <c r="F212" s="32">
        <v>0.0</v>
      </c>
    </row>
    <row r="213" ht="14.25" customHeight="1">
      <c r="A213" s="4" t="s">
        <v>9044</v>
      </c>
      <c r="B213" s="4" t="s">
        <v>8521</v>
      </c>
      <c r="C213" s="20">
        <v>4.65107548E8</v>
      </c>
      <c r="D213" s="42">
        <v>465.107548</v>
      </c>
      <c r="E213" s="45"/>
      <c r="F213" s="32">
        <v>0.0</v>
      </c>
    </row>
    <row r="214" ht="14.25" customHeight="1">
      <c r="A214" s="4" t="s">
        <v>9044</v>
      </c>
      <c r="B214" s="4" t="s">
        <v>9027</v>
      </c>
      <c r="C214" s="20">
        <v>4.1059719E8</v>
      </c>
      <c r="D214" s="42">
        <v>410.59719</v>
      </c>
      <c r="E214" s="45"/>
      <c r="F214" s="32">
        <v>0.0</v>
      </c>
    </row>
    <row r="215" ht="14.25" customHeight="1">
      <c r="A215" s="4" t="s">
        <v>9044</v>
      </c>
      <c r="B215" s="4" t="s">
        <v>8601</v>
      </c>
      <c r="C215" s="20">
        <v>4.65107548E8</v>
      </c>
      <c r="D215" s="42">
        <v>465.107548</v>
      </c>
      <c r="E215" s="45"/>
      <c r="F215" s="32">
        <v>0.0</v>
      </c>
    </row>
    <row r="216" ht="14.25" customHeight="1">
      <c r="A216" s="4" t="s">
        <v>9044</v>
      </c>
      <c r="B216" s="4" t="s">
        <v>1576</v>
      </c>
      <c r="C216" s="20">
        <v>4.65107548E8</v>
      </c>
      <c r="D216" s="42">
        <v>465.107548</v>
      </c>
      <c r="E216" s="45"/>
      <c r="F216" s="32">
        <v>0.0</v>
      </c>
    </row>
    <row r="217" ht="14.25" customHeight="1">
      <c r="A217" s="4" t="s">
        <v>9044</v>
      </c>
      <c r="B217" s="4" t="s">
        <v>534</v>
      </c>
      <c r="C217" s="20">
        <v>4.156531E8</v>
      </c>
      <c r="D217" s="42">
        <v>415.6531</v>
      </c>
      <c r="E217" s="45"/>
      <c r="F217" s="32">
        <v>0.0</v>
      </c>
    </row>
    <row r="218" ht="14.25" customHeight="1">
      <c r="A218" s="4" t="s">
        <v>9044</v>
      </c>
      <c r="B218" s="4" t="s">
        <v>8716</v>
      </c>
      <c r="C218" s="20">
        <v>4.65107548E8</v>
      </c>
      <c r="D218" s="42">
        <v>465.107548</v>
      </c>
      <c r="E218" s="45"/>
      <c r="F218" s="32">
        <v>0.0</v>
      </c>
    </row>
    <row r="219" ht="14.25" customHeight="1">
      <c r="A219" s="4" t="s">
        <v>9044</v>
      </c>
      <c r="B219" s="4" t="s">
        <v>9028</v>
      </c>
      <c r="C219" s="20">
        <v>4.65107548E8</v>
      </c>
      <c r="D219" s="42">
        <v>465.107548</v>
      </c>
      <c r="E219" s="45"/>
      <c r="F219" s="32">
        <v>0.0</v>
      </c>
    </row>
    <row r="220" ht="14.25" customHeight="1">
      <c r="A220" s="4" t="s">
        <v>9044</v>
      </c>
      <c r="B220" s="4" t="s">
        <v>8992</v>
      </c>
      <c r="C220" s="20">
        <v>4.598133E8</v>
      </c>
      <c r="D220" s="42">
        <v>459.8133</v>
      </c>
      <c r="E220" s="45"/>
      <c r="F220" s="32">
        <v>0.0</v>
      </c>
    </row>
    <row r="221" ht="14.25" customHeight="1">
      <c r="A221" s="4" t="s">
        <v>9044</v>
      </c>
      <c r="B221" s="4" t="s">
        <v>8952</v>
      </c>
      <c r="C221" s="20">
        <v>4.65107548E8</v>
      </c>
      <c r="D221" s="42">
        <v>465.107548</v>
      </c>
      <c r="E221" s="45"/>
      <c r="F221" s="32">
        <v>0.0</v>
      </c>
    </row>
    <row r="222" ht="14.25" customHeight="1">
      <c r="A222" s="4" t="s">
        <v>9044</v>
      </c>
      <c r="B222" s="4" t="s">
        <v>9029</v>
      </c>
      <c r="C222" s="20">
        <v>3.36051326E8</v>
      </c>
      <c r="D222" s="42">
        <v>336.051326</v>
      </c>
      <c r="E222" s="45"/>
      <c r="F222" s="32">
        <v>0.0</v>
      </c>
    </row>
    <row r="223" ht="14.25" customHeight="1">
      <c r="A223" s="4" t="s">
        <v>9044</v>
      </c>
      <c r="B223" s="4" t="s">
        <v>8957</v>
      </c>
      <c r="C223" s="20">
        <v>4.6544253E7</v>
      </c>
      <c r="D223" s="42">
        <v>46.544253</v>
      </c>
      <c r="E223" s="45"/>
      <c r="F223" s="32">
        <v>0.0</v>
      </c>
    </row>
    <row r="224" ht="14.25" customHeight="1">
      <c r="A224" s="4" t="s">
        <v>9044</v>
      </c>
      <c r="B224" s="4" t="s">
        <v>1667</v>
      </c>
      <c r="C224" s="20">
        <v>4.65107548E8</v>
      </c>
      <c r="D224" s="42">
        <v>465.107548</v>
      </c>
      <c r="E224" s="45"/>
      <c r="F224" s="32">
        <v>0.0</v>
      </c>
    </row>
    <row r="225" ht="14.25" customHeight="1">
      <c r="A225" s="4" t="s">
        <v>9044</v>
      </c>
      <c r="B225" s="4" t="s">
        <v>8586</v>
      </c>
      <c r="C225" s="20">
        <v>3.72086038E8</v>
      </c>
      <c r="D225" s="42">
        <v>372.086038</v>
      </c>
      <c r="E225" s="45"/>
      <c r="F225" s="32">
        <v>0.0</v>
      </c>
    </row>
    <row r="226" ht="14.25" customHeight="1">
      <c r="A226" s="4" t="s">
        <v>9044</v>
      </c>
      <c r="B226" s="4" t="s">
        <v>9030</v>
      </c>
      <c r="C226" s="20">
        <v>5.7022185E7</v>
      </c>
      <c r="D226" s="42">
        <v>57.022185</v>
      </c>
      <c r="E226" s="45"/>
      <c r="F226" s="32">
        <v>0.0</v>
      </c>
    </row>
    <row r="227" ht="14.25" customHeight="1">
      <c r="A227" s="4" t="s">
        <v>9044</v>
      </c>
      <c r="B227" s="4" t="s">
        <v>239</v>
      </c>
      <c r="C227" s="20">
        <v>2.06211514E8</v>
      </c>
      <c r="D227" s="42">
        <v>206.211514</v>
      </c>
      <c r="E227" s="45"/>
      <c r="F227" s="32">
        <v>0.0</v>
      </c>
    </row>
    <row r="228" ht="14.25" customHeight="1">
      <c r="A228" s="4" t="s">
        <v>9044</v>
      </c>
      <c r="B228" s="4" t="s">
        <v>9021</v>
      </c>
      <c r="C228" s="20">
        <v>3.17230751E8</v>
      </c>
      <c r="D228" s="42">
        <v>317.230751</v>
      </c>
      <c r="E228" s="45"/>
      <c r="F228" s="32">
        <v>0.0</v>
      </c>
    </row>
    <row r="229" ht="14.25" customHeight="1">
      <c r="A229" s="4" t="s">
        <v>9044</v>
      </c>
      <c r="B229" s="4" t="s">
        <v>683</v>
      </c>
      <c r="C229" s="20">
        <v>4.65107548E8</v>
      </c>
      <c r="D229" s="42">
        <v>465.107548</v>
      </c>
      <c r="E229" s="45"/>
      <c r="F229" s="32">
        <v>0.0</v>
      </c>
    </row>
    <row r="230" ht="14.25" customHeight="1">
      <c r="A230" s="4" t="s">
        <v>9044</v>
      </c>
      <c r="B230" s="4" t="s">
        <v>1218</v>
      </c>
      <c r="C230" s="20">
        <v>4.65107548E8</v>
      </c>
      <c r="D230" s="42">
        <v>465.107548</v>
      </c>
      <c r="E230" s="45"/>
      <c r="F230" s="32">
        <v>0.0</v>
      </c>
    </row>
    <row r="231" ht="14.25" customHeight="1">
      <c r="A231" s="4" t="s">
        <v>9044</v>
      </c>
      <c r="B231" s="4" t="s">
        <v>5105</v>
      </c>
      <c r="C231" s="20">
        <v>1.37423352E8</v>
      </c>
      <c r="D231" s="42">
        <v>137.423352</v>
      </c>
      <c r="E231" s="45"/>
      <c r="F231" s="32">
        <v>0.0</v>
      </c>
    </row>
    <row r="232" ht="14.25" customHeight="1">
      <c r="A232" s="4" t="s">
        <v>9044</v>
      </c>
      <c r="B232" s="4" t="s">
        <v>8715</v>
      </c>
      <c r="C232" s="20">
        <v>2.81948195E8</v>
      </c>
      <c r="D232" s="42">
        <v>281.948195</v>
      </c>
      <c r="E232" s="45"/>
      <c r="F232" s="32">
        <v>0.0</v>
      </c>
    </row>
    <row r="233" ht="14.25" customHeight="1">
      <c r="A233" s="4" t="s">
        <v>9044</v>
      </c>
      <c r="B233" s="4" t="s">
        <v>8999</v>
      </c>
      <c r="C233" s="20">
        <v>4.65107548E8</v>
      </c>
      <c r="D233" s="42">
        <v>465.107548</v>
      </c>
      <c r="E233" s="45"/>
      <c r="F233" s="32">
        <v>0.0</v>
      </c>
    </row>
    <row r="234" ht="14.25" customHeight="1">
      <c r="A234" s="4" t="s">
        <v>9044</v>
      </c>
      <c r="B234" s="4" t="s">
        <v>107</v>
      </c>
      <c r="C234" s="20">
        <v>1.59614393E8</v>
      </c>
      <c r="D234" s="42">
        <v>159.614393</v>
      </c>
      <c r="E234" s="45"/>
      <c r="F234" s="32">
        <v>0.0</v>
      </c>
    </row>
    <row r="235" ht="14.25" customHeight="1">
      <c r="A235" s="4" t="s">
        <v>9044</v>
      </c>
      <c r="B235" s="4" t="s">
        <v>4576</v>
      </c>
      <c r="C235" s="20">
        <v>2.04965001E8</v>
      </c>
      <c r="D235" s="42">
        <v>204.965001</v>
      </c>
      <c r="E235" s="45"/>
      <c r="F235" s="32">
        <v>0.0</v>
      </c>
    </row>
    <row r="236" ht="14.25" customHeight="1">
      <c r="A236" s="4" t="s">
        <v>9044</v>
      </c>
      <c r="B236" s="4" t="s">
        <v>8547</v>
      </c>
      <c r="C236" s="20">
        <v>4.65107548E8</v>
      </c>
      <c r="D236" s="42">
        <v>465.107548</v>
      </c>
      <c r="E236" s="45"/>
      <c r="F236" s="32">
        <v>0.0</v>
      </c>
    </row>
    <row r="237" ht="14.25" customHeight="1">
      <c r="A237" s="4" t="s">
        <v>9044</v>
      </c>
      <c r="B237" s="4" t="s">
        <v>784</v>
      </c>
      <c r="C237" s="20">
        <v>4.59022734E8</v>
      </c>
      <c r="D237" s="42">
        <v>459.022734</v>
      </c>
      <c r="E237" s="45"/>
      <c r="F237" s="32">
        <v>0.0</v>
      </c>
    </row>
    <row r="238" ht="14.25" customHeight="1">
      <c r="A238" s="4" t="s">
        <v>9044</v>
      </c>
      <c r="B238" s="4" t="s">
        <v>9024</v>
      </c>
      <c r="C238" s="20">
        <v>4.65107548E8</v>
      </c>
      <c r="D238" s="42">
        <v>465.107548</v>
      </c>
      <c r="E238" s="45"/>
      <c r="F238" s="32">
        <v>0.0</v>
      </c>
    </row>
    <row r="239" ht="14.25" customHeight="1">
      <c r="A239" s="4" t="s">
        <v>9044</v>
      </c>
      <c r="B239" s="4" t="s">
        <v>1125</v>
      </c>
      <c r="C239" s="20">
        <v>4.65107548E8</v>
      </c>
      <c r="D239" s="42">
        <v>465.107548</v>
      </c>
      <c r="E239" s="45"/>
      <c r="F239" s="32">
        <v>0.0</v>
      </c>
    </row>
    <row r="240" ht="14.25" customHeight="1">
      <c r="A240" s="4" t="s">
        <v>9044</v>
      </c>
      <c r="B240" s="4" t="s">
        <v>8606</v>
      </c>
      <c r="C240" s="20">
        <v>3.99170734E8</v>
      </c>
      <c r="D240" s="42">
        <v>399.170734</v>
      </c>
      <c r="E240" s="45"/>
      <c r="F240" s="32">
        <v>0.0</v>
      </c>
    </row>
    <row r="241" ht="14.25" customHeight="1">
      <c r="A241" s="4" t="s">
        <v>9044</v>
      </c>
      <c r="B241" s="4" t="s">
        <v>9015</v>
      </c>
      <c r="C241" s="20">
        <v>4.65107548E8</v>
      </c>
      <c r="D241" s="42">
        <v>465.107548</v>
      </c>
      <c r="E241" s="45"/>
      <c r="F241" s="32">
        <v>0.0</v>
      </c>
    </row>
    <row r="242" ht="14.25" customHeight="1">
      <c r="A242" s="4" t="s">
        <v>9044</v>
      </c>
      <c r="B242" s="4" t="s">
        <v>952</v>
      </c>
      <c r="C242" s="20">
        <v>4.65107548E8</v>
      </c>
      <c r="D242" s="42">
        <v>465.107548</v>
      </c>
      <c r="E242" s="45"/>
      <c r="F242" s="32">
        <v>0.0</v>
      </c>
    </row>
    <row r="243" ht="14.25" customHeight="1">
      <c r="A243" s="4" t="s">
        <v>9044</v>
      </c>
      <c r="B243" s="4" t="s">
        <v>9031</v>
      </c>
      <c r="C243" s="20">
        <v>2.15632454E8</v>
      </c>
      <c r="D243" s="42">
        <v>215.632454</v>
      </c>
      <c r="E243" s="45"/>
      <c r="F243" s="32">
        <v>0.0</v>
      </c>
    </row>
    <row r="244" ht="14.25" customHeight="1">
      <c r="A244" s="4" t="s">
        <v>9044</v>
      </c>
      <c r="B244" s="4" t="s">
        <v>9005</v>
      </c>
      <c r="C244" s="20">
        <v>4.65107548E8</v>
      </c>
      <c r="D244" s="42">
        <v>465.107548</v>
      </c>
      <c r="E244" s="45"/>
      <c r="F244" s="32">
        <v>0.0</v>
      </c>
    </row>
    <row r="245" ht="14.25" customHeight="1">
      <c r="A245" s="4" t="s">
        <v>9044</v>
      </c>
      <c r="B245" s="4" t="s">
        <v>8517</v>
      </c>
      <c r="C245" s="20">
        <v>4.65107548E8</v>
      </c>
      <c r="D245" s="42">
        <v>465.107548</v>
      </c>
      <c r="E245" s="45"/>
      <c r="F245" s="32">
        <v>0.0</v>
      </c>
    </row>
    <row r="246" ht="14.25" customHeight="1">
      <c r="A246" s="4" t="s">
        <v>9044</v>
      </c>
      <c r="B246" s="4" t="s">
        <v>4202</v>
      </c>
      <c r="C246" s="20">
        <v>3.62086082E8</v>
      </c>
      <c r="D246" s="42">
        <v>362.086082</v>
      </c>
      <c r="E246" s="45"/>
      <c r="F246" s="32">
        <v>0.0</v>
      </c>
    </row>
    <row r="247" ht="14.25" customHeight="1">
      <c r="A247" s="4" t="s">
        <v>9044</v>
      </c>
      <c r="B247" s="4" t="s">
        <v>475</v>
      </c>
      <c r="C247" s="20">
        <v>1.63876272E8</v>
      </c>
      <c r="D247" s="42">
        <v>163.876272</v>
      </c>
      <c r="E247" s="45"/>
      <c r="F247" s="32">
        <v>0.0</v>
      </c>
    </row>
    <row r="248" ht="14.25" customHeight="1">
      <c r="A248" s="4" t="s">
        <v>9044</v>
      </c>
      <c r="B248" s="4" t="s">
        <v>1541</v>
      </c>
      <c r="C248" s="20">
        <v>2.71808851E8</v>
      </c>
      <c r="D248" s="42">
        <v>271.808851</v>
      </c>
      <c r="E248" s="45"/>
      <c r="F248" s="32">
        <v>0.0</v>
      </c>
    </row>
    <row r="249" ht="14.25" customHeight="1">
      <c r="A249" s="4" t="s">
        <v>9044</v>
      </c>
      <c r="B249" s="4" t="s">
        <v>453</v>
      </c>
      <c r="C249" s="20">
        <v>4.45759074E8</v>
      </c>
      <c r="D249" s="42">
        <v>445.759074</v>
      </c>
      <c r="E249" s="45"/>
      <c r="F249" s="32">
        <v>0.0</v>
      </c>
    </row>
    <row r="250" ht="14.25" customHeight="1">
      <c r="A250" s="4" t="s">
        <v>9044</v>
      </c>
      <c r="B250" s="4" t="s">
        <v>8968</v>
      </c>
      <c r="C250" s="20">
        <v>4.65107548E8</v>
      </c>
      <c r="D250" s="42">
        <v>465.107548</v>
      </c>
      <c r="E250" s="45"/>
      <c r="F250" s="32">
        <v>0.0</v>
      </c>
    </row>
    <row r="251" ht="14.25" customHeight="1">
      <c r="A251" s="4" t="s">
        <v>9044</v>
      </c>
      <c r="B251" s="4" t="s">
        <v>817</v>
      </c>
      <c r="C251" s="20">
        <v>9397637.0</v>
      </c>
      <c r="D251" s="42">
        <v>9.397637</v>
      </c>
      <c r="E251" s="45"/>
      <c r="F251" s="32">
        <v>0.0</v>
      </c>
    </row>
    <row r="252" ht="14.25" customHeight="1">
      <c r="A252" s="4" t="s">
        <v>9044</v>
      </c>
      <c r="B252" s="4" t="s">
        <v>664</v>
      </c>
      <c r="C252" s="20">
        <v>3.48830661E8</v>
      </c>
      <c r="D252" s="42">
        <v>348.830661</v>
      </c>
      <c r="E252" s="45"/>
      <c r="F252" s="32">
        <v>0.0</v>
      </c>
    </row>
    <row r="253" ht="14.25" customHeight="1">
      <c r="A253" s="4" t="s">
        <v>9044</v>
      </c>
      <c r="B253" s="4" t="s">
        <v>8971</v>
      </c>
      <c r="C253" s="20">
        <v>3.376232E8</v>
      </c>
      <c r="D253" s="42">
        <v>337.6232</v>
      </c>
      <c r="E253" s="45"/>
      <c r="F253" s="32">
        <v>0.0</v>
      </c>
    </row>
    <row r="254" ht="14.25" customHeight="1">
      <c r="A254" s="4" t="s">
        <v>9044</v>
      </c>
      <c r="B254" s="4" t="s">
        <v>9032</v>
      </c>
      <c r="C254" s="20">
        <v>2.75367602E8</v>
      </c>
      <c r="D254" s="42">
        <v>275.367602</v>
      </c>
      <c r="E254" s="45"/>
      <c r="F254" s="32">
        <v>0.0</v>
      </c>
    </row>
    <row r="255" ht="14.25" customHeight="1">
      <c r="A255" s="4" t="s">
        <v>9044</v>
      </c>
      <c r="B255" s="4" t="s">
        <v>977</v>
      </c>
      <c r="C255" s="20">
        <v>3.72086038E8</v>
      </c>
      <c r="D255" s="42">
        <v>372.086038</v>
      </c>
      <c r="E255" s="45"/>
      <c r="F255" s="32">
        <v>0.0</v>
      </c>
    </row>
    <row r="256" ht="14.25" customHeight="1">
      <c r="A256" s="4" t="s">
        <v>9044</v>
      </c>
      <c r="B256" s="4" t="s">
        <v>1774</v>
      </c>
      <c r="C256" s="20">
        <v>4.65107548E8</v>
      </c>
      <c r="D256" s="42">
        <v>465.107548</v>
      </c>
      <c r="E256" s="45"/>
      <c r="F256" s="32">
        <v>0.0</v>
      </c>
    </row>
    <row r="257" ht="14.25" customHeight="1">
      <c r="A257" s="4" t="s">
        <v>9044</v>
      </c>
      <c r="B257" s="4" t="s">
        <v>9033</v>
      </c>
      <c r="C257" s="20">
        <v>4.65107548E8</v>
      </c>
      <c r="D257" s="42">
        <v>465.107548</v>
      </c>
      <c r="E257" s="45"/>
      <c r="F257" s="32">
        <v>0.0</v>
      </c>
    </row>
    <row r="258" ht="14.25" customHeight="1">
      <c r="A258" s="4" t="s">
        <v>9044</v>
      </c>
      <c r="B258" s="4" t="s">
        <v>8525</v>
      </c>
      <c r="C258" s="20">
        <v>4.65107548E8</v>
      </c>
      <c r="D258" s="42">
        <v>465.107548</v>
      </c>
      <c r="E258" s="45"/>
      <c r="F258" s="32">
        <v>0.0</v>
      </c>
    </row>
    <row r="259" ht="14.25" customHeight="1">
      <c r="A259" s="4" t="s">
        <v>9044</v>
      </c>
      <c r="B259" s="4" t="s">
        <v>8976</v>
      </c>
      <c r="C259" s="20">
        <v>4.65107548E8</v>
      </c>
      <c r="D259" s="42">
        <v>465.107548</v>
      </c>
      <c r="E259" s="45"/>
      <c r="F259" s="32">
        <v>0.0</v>
      </c>
    </row>
    <row r="260" ht="14.25" customHeight="1">
      <c r="A260" s="4" t="s">
        <v>9044</v>
      </c>
      <c r="B260" s="4" t="s">
        <v>8966</v>
      </c>
      <c r="C260" s="20">
        <v>4.19650808E8</v>
      </c>
      <c r="D260" s="42">
        <v>419.650808</v>
      </c>
      <c r="E260" s="45"/>
      <c r="F260" s="32">
        <v>0.0</v>
      </c>
    </row>
    <row r="261" ht="14.25" customHeight="1">
      <c r="A261" s="4" t="s">
        <v>9044</v>
      </c>
      <c r="B261" s="4" t="s">
        <v>9034</v>
      </c>
      <c r="C261" s="20">
        <v>3.32198729E8</v>
      </c>
      <c r="D261" s="42">
        <v>332.198729</v>
      </c>
      <c r="E261" s="45"/>
      <c r="F261" s="32">
        <v>0.0</v>
      </c>
    </row>
    <row r="262" ht="14.25" customHeight="1">
      <c r="A262" s="4" t="s">
        <v>9044</v>
      </c>
      <c r="B262" s="4" t="s">
        <v>1656</v>
      </c>
      <c r="C262" s="20">
        <v>4.65107548E8</v>
      </c>
      <c r="D262" s="42">
        <v>465.107548</v>
      </c>
      <c r="E262" s="45"/>
      <c r="F262" s="32">
        <v>0.0</v>
      </c>
    </row>
    <row r="263" ht="14.25" customHeight="1">
      <c r="A263" s="4" t="s">
        <v>9044</v>
      </c>
      <c r="B263" s="4" t="s">
        <v>8534</v>
      </c>
      <c r="C263" s="20">
        <v>1.99045014E8</v>
      </c>
      <c r="D263" s="42">
        <v>199.045014</v>
      </c>
      <c r="E263" s="45"/>
      <c r="F263" s="32">
        <v>0.0</v>
      </c>
    </row>
    <row r="264" ht="14.25" customHeight="1">
      <c r="A264" s="4" t="s">
        <v>9044</v>
      </c>
      <c r="B264" s="4" t="s">
        <v>8512</v>
      </c>
      <c r="C264" s="20">
        <v>3.81799772E8</v>
      </c>
      <c r="D264" s="42">
        <v>381.799772</v>
      </c>
      <c r="E264" s="45"/>
      <c r="F264" s="32">
        <v>0.0</v>
      </c>
    </row>
    <row r="265" ht="14.25" customHeight="1">
      <c r="A265" s="4" t="s">
        <v>9044</v>
      </c>
      <c r="B265" s="4" t="s">
        <v>8907</v>
      </c>
      <c r="C265" s="20">
        <v>4.65107548E8</v>
      </c>
      <c r="D265" s="42">
        <v>465.107548</v>
      </c>
      <c r="E265" s="45"/>
      <c r="F265" s="32">
        <v>0.0</v>
      </c>
    </row>
    <row r="266" ht="14.25" customHeight="1">
      <c r="A266" s="4" t="s">
        <v>9044</v>
      </c>
      <c r="B266" s="4" t="s">
        <v>1493</v>
      </c>
      <c r="C266" s="20">
        <v>2.33390967E8</v>
      </c>
      <c r="D266" s="42">
        <v>233.390967</v>
      </c>
      <c r="E266" s="45"/>
      <c r="F266" s="32">
        <v>0.0</v>
      </c>
    </row>
    <row r="267" ht="14.25" customHeight="1">
      <c r="A267" s="4" t="s">
        <v>9044</v>
      </c>
      <c r="B267" s="4" t="s">
        <v>9035</v>
      </c>
      <c r="C267" s="20">
        <v>2.65566147E8</v>
      </c>
      <c r="D267" s="42">
        <v>265.566147</v>
      </c>
      <c r="E267" s="45"/>
      <c r="F267" s="32">
        <v>0.0</v>
      </c>
    </row>
    <row r="268" ht="14.25" customHeight="1">
      <c r="A268" s="4" t="s">
        <v>9044</v>
      </c>
      <c r="B268" s="4" t="s">
        <v>8996</v>
      </c>
      <c r="C268" s="20">
        <v>4.65107548E8</v>
      </c>
      <c r="D268" s="42">
        <v>465.107548</v>
      </c>
      <c r="E268" s="45"/>
      <c r="F268" s="32">
        <v>0.0</v>
      </c>
    </row>
    <row r="269" ht="14.25" customHeight="1">
      <c r="A269" s="4" t="s">
        <v>9044</v>
      </c>
      <c r="B269" s="4" t="s">
        <v>613</v>
      </c>
      <c r="C269" s="20">
        <v>4.65107548E8</v>
      </c>
      <c r="D269" s="42">
        <v>465.107548</v>
      </c>
      <c r="E269" s="45"/>
      <c r="F269" s="32">
        <v>0.0</v>
      </c>
    </row>
    <row r="270" ht="14.25" customHeight="1">
      <c r="A270" s="4" t="s">
        <v>9044</v>
      </c>
      <c r="B270" s="4" t="s">
        <v>8962</v>
      </c>
      <c r="C270" s="20">
        <v>4.12722041E8</v>
      </c>
      <c r="D270" s="42">
        <v>412.722041</v>
      </c>
      <c r="E270" s="45"/>
      <c r="F270" s="32">
        <v>0.0</v>
      </c>
    </row>
    <row r="271" ht="14.25" customHeight="1">
      <c r="A271" s="4" t="s">
        <v>9044</v>
      </c>
      <c r="B271" s="4" t="s">
        <v>1121</v>
      </c>
      <c r="C271" s="20">
        <v>3.62199322E8</v>
      </c>
      <c r="D271" s="42">
        <v>362.199322</v>
      </c>
      <c r="E271" s="45"/>
      <c r="F271" s="32">
        <v>0.0</v>
      </c>
    </row>
    <row r="272" ht="14.25" customHeight="1">
      <c r="A272" s="4" t="s">
        <v>9044</v>
      </c>
      <c r="B272" s="4" t="s">
        <v>4068</v>
      </c>
      <c r="C272" s="20">
        <v>4.65107548E8</v>
      </c>
      <c r="D272" s="42">
        <v>465.107548</v>
      </c>
      <c r="E272" s="45"/>
      <c r="F272" s="32">
        <v>0.0</v>
      </c>
    </row>
    <row r="273" ht="14.25" customHeight="1">
      <c r="A273" s="4" t="s">
        <v>9044</v>
      </c>
      <c r="B273" s="4" t="s">
        <v>9036</v>
      </c>
      <c r="C273" s="20">
        <v>4.46080851E8</v>
      </c>
      <c r="D273" s="42">
        <v>446.080851</v>
      </c>
      <c r="E273" s="45"/>
      <c r="F273" s="32">
        <v>0.0</v>
      </c>
    </row>
    <row r="274" ht="14.25" customHeight="1">
      <c r="A274" s="4" t="s">
        <v>9044</v>
      </c>
      <c r="B274" s="4" t="s">
        <v>9037</v>
      </c>
      <c r="C274" s="20">
        <v>4.65107548E8</v>
      </c>
      <c r="D274" s="42">
        <v>465.107548</v>
      </c>
      <c r="E274" s="45"/>
      <c r="F274" s="32">
        <v>0.0</v>
      </c>
    </row>
    <row r="275" ht="14.25" customHeight="1">
      <c r="A275" s="4" t="s">
        <v>9044</v>
      </c>
      <c r="B275" s="4" t="s">
        <v>8981</v>
      </c>
      <c r="C275" s="20">
        <v>1.68640638E8</v>
      </c>
      <c r="D275" s="42">
        <v>168.640638</v>
      </c>
      <c r="E275" s="45"/>
      <c r="F275" s="32">
        <v>0.0</v>
      </c>
    </row>
    <row r="276" ht="14.25" customHeight="1">
      <c r="A276" s="4" t="s">
        <v>9044</v>
      </c>
      <c r="B276" s="4" t="s">
        <v>8998</v>
      </c>
      <c r="C276" s="20">
        <v>4.65107548E8</v>
      </c>
      <c r="D276" s="42">
        <v>465.107548</v>
      </c>
      <c r="E276" s="45"/>
      <c r="F276" s="32">
        <v>0.0</v>
      </c>
    </row>
    <row r="277" ht="14.25" customHeight="1">
      <c r="A277" s="4" t="s">
        <v>9044</v>
      </c>
      <c r="B277" s="4" t="s">
        <v>9038</v>
      </c>
      <c r="C277" s="20">
        <v>3.97215336E8</v>
      </c>
      <c r="D277" s="42">
        <v>397.215336</v>
      </c>
      <c r="E277" s="45"/>
      <c r="F277" s="32">
        <v>0.0</v>
      </c>
    </row>
    <row r="278" ht="14.25" customHeight="1">
      <c r="A278" s="4" t="s">
        <v>9044</v>
      </c>
      <c r="B278" s="4" t="s">
        <v>8974</v>
      </c>
      <c r="C278" s="20">
        <v>4.65107548E8</v>
      </c>
      <c r="D278" s="42">
        <v>465.107548</v>
      </c>
      <c r="E278" s="45"/>
      <c r="F278" s="32">
        <v>0.0</v>
      </c>
    </row>
    <row r="279" ht="14.25" customHeight="1">
      <c r="A279" s="4" t="s">
        <v>9044</v>
      </c>
      <c r="B279" s="4" t="s">
        <v>135</v>
      </c>
      <c r="C279" s="20">
        <v>4.65107548E8</v>
      </c>
      <c r="D279" s="42">
        <v>465.107548</v>
      </c>
      <c r="E279" s="45"/>
      <c r="F279" s="32">
        <v>0.0</v>
      </c>
    </row>
    <row r="280" ht="14.25" customHeight="1">
      <c r="A280" s="4" t="s">
        <v>9045</v>
      </c>
      <c r="B280" s="4" t="s">
        <v>8976</v>
      </c>
      <c r="C280" s="20">
        <v>1.7718498E8</v>
      </c>
      <c r="D280" s="42">
        <v>177.18498</v>
      </c>
      <c r="E280" s="45"/>
      <c r="F280" s="32">
        <v>0.0</v>
      </c>
    </row>
    <row r="281" ht="14.25" customHeight="1">
      <c r="A281" s="4" t="s">
        <v>9045</v>
      </c>
      <c r="B281" s="4" t="s">
        <v>8907</v>
      </c>
      <c r="C281" s="20">
        <v>5.09136905E8</v>
      </c>
      <c r="D281" s="42">
        <v>509.136905</v>
      </c>
      <c r="E281" s="45"/>
      <c r="F281" s="32">
        <v>0.0</v>
      </c>
    </row>
    <row r="282" ht="14.25" customHeight="1">
      <c r="A282" s="4" t="s">
        <v>9045</v>
      </c>
      <c r="B282" s="4" t="s">
        <v>1656</v>
      </c>
      <c r="C282" s="20">
        <v>2.42749342E8</v>
      </c>
      <c r="D282" s="42">
        <v>242.749342</v>
      </c>
      <c r="E282" s="45"/>
      <c r="F282" s="32">
        <v>0.0</v>
      </c>
    </row>
    <row r="283" ht="14.25" customHeight="1">
      <c r="A283" s="4" t="s">
        <v>9045</v>
      </c>
      <c r="B283" s="4" t="s">
        <v>8547</v>
      </c>
      <c r="C283" s="20">
        <v>1.668567045E9</v>
      </c>
      <c r="D283" s="42">
        <v>1668.567045</v>
      </c>
      <c r="E283" s="45"/>
      <c r="F283" s="32">
        <v>0.0</v>
      </c>
    </row>
    <row r="284" ht="14.25" customHeight="1">
      <c r="A284" s="4" t="s">
        <v>9045</v>
      </c>
      <c r="B284" s="4" t="s">
        <v>4068</v>
      </c>
      <c r="C284" s="20">
        <v>6.790009E8</v>
      </c>
      <c r="D284" s="42">
        <v>679.0009</v>
      </c>
      <c r="E284" s="45"/>
      <c r="F284" s="32">
        <v>0.0</v>
      </c>
    </row>
    <row r="285" ht="14.25" customHeight="1">
      <c r="A285" s="4" t="s">
        <v>9045</v>
      </c>
      <c r="B285" s="4" t="s">
        <v>8992</v>
      </c>
      <c r="C285" s="20">
        <v>1.929956464E9</v>
      </c>
      <c r="D285" s="42">
        <v>1929.956464</v>
      </c>
      <c r="E285" s="45"/>
      <c r="F285" s="32">
        <v>0.0</v>
      </c>
    </row>
    <row r="286" ht="14.25" customHeight="1">
      <c r="A286" s="4" t="s">
        <v>9045</v>
      </c>
      <c r="B286" s="4" t="s">
        <v>489</v>
      </c>
      <c r="C286" s="20">
        <v>6733403.0</v>
      </c>
      <c r="D286" s="42">
        <v>6.733403</v>
      </c>
      <c r="E286" s="45"/>
      <c r="F286" s="32">
        <v>0.0</v>
      </c>
    </row>
    <row r="287" ht="14.25" customHeight="1">
      <c r="A287" s="4" t="s">
        <v>9045</v>
      </c>
      <c r="B287" s="4" t="s">
        <v>135</v>
      </c>
      <c r="C287" s="20">
        <v>2.93502544E8</v>
      </c>
      <c r="D287" s="42">
        <v>293.502544</v>
      </c>
      <c r="E287" s="45"/>
      <c r="F287" s="32">
        <v>0.0</v>
      </c>
    </row>
    <row r="288" ht="14.25" customHeight="1">
      <c r="A288" s="4" t="s">
        <v>9045</v>
      </c>
      <c r="B288" s="4" t="s">
        <v>1576</v>
      </c>
      <c r="C288" s="20">
        <v>5.341282276E9</v>
      </c>
      <c r="D288" s="42">
        <v>5341.282276</v>
      </c>
      <c r="E288" s="45"/>
      <c r="F288" s="32">
        <v>0.0</v>
      </c>
    </row>
    <row r="289" ht="14.25" customHeight="1">
      <c r="A289" s="4" t="s">
        <v>9045</v>
      </c>
      <c r="B289" s="4" t="s">
        <v>8962</v>
      </c>
      <c r="C289" s="20">
        <v>4.3792855E7</v>
      </c>
      <c r="D289" s="42">
        <v>43.792855</v>
      </c>
      <c r="E289" s="45"/>
      <c r="F289" s="32">
        <v>0.0</v>
      </c>
    </row>
    <row r="290" ht="14.25" customHeight="1">
      <c r="A290" s="4" t="s">
        <v>9045</v>
      </c>
      <c r="B290" s="4" t="s">
        <v>8996</v>
      </c>
      <c r="C290" s="20">
        <v>6.2929006E8</v>
      </c>
      <c r="D290" s="42">
        <v>629.29006</v>
      </c>
      <c r="E290" s="45"/>
      <c r="F290" s="32">
        <v>0.0</v>
      </c>
    </row>
    <row r="291" ht="14.25" customHeight="1">
      <c r="A291" s="4" t="s">
        <v>9045</v>
      </c>
      <c r="B291" s="4" t="s">
        <v>8624</v>
      </c>
      <c r="C291" s="20">
        <v>3.3522185E7</v>
      </c>
      <c r="D291" s="42">
        <v>33.522185</v>
      </c>
      <c r="E291" s="45"/>
      <c r="F291" s="32">
        <v>0.0</v>
      </c>
    </row>
    <row r="292" ht="14.25" customHeight="1">
      <c r="A292" s="4" t="s">
        <v>9045</v>
      </c>
      <c r="B292" s="4" t="s">
        <v>9039</v>
      </c>
      <c r="C292" s="20">
        <v>1.4883134E7</v>
      </c>
      <c r="D292" s="42">
        <v>14.883134</v>
      </c>
      <c r="E292" s="45"/>
      <c r="F292" s="32">
        <v>0.0</v>
      </c>
    </row>
    <row r="293" ht="14.25" customHeight="1">
      <c r="A293" s="4" t="s">
        <v>9045</v>
      </c>
      <c r="B293" s="4" t="s">
        <v>8716</v>
      </c>
      <c r="C293" s="20">
        <v>6.6195975E8</v>
      </c>
      <c r="D293" s="42">
        <v>661.95975</v>
      </c>
      <c r="E293" s="45"/>
      <c r="F293" s="32">
        <v>0.0</v>
      </c>
    </row>
    <row r="294" ht="14.25" customHeight="1">
      <c r="A294" s="4" t="s">
        <v>9045</v>
      </c>
      <c r="B294" s="4" t="s">
        <v>1667</v>
      </c>
      <c r="C294" s="20">
        <v>7.66888581E8</v>
      </c>
      <c r="D294" s="42">
        <v>766.888581</v>
      </c>
      <c r="E294" s="45"/>
      <c r="F294" s="32">
        <v>0.0</v>
      </c>
    </row>
    <row r="295" ht="14.25" customHeight="1">
      <c r="A295" s="4" t="s">
        <v>9045</v>
      </c>
      <c r="B295" s="4" t="s">
        <v>738</v>
      </c>
      <c r="C295" s="20">
        <v>1.4535571E7</v>
      </c>
      <c r="D295" s="42">
        <v>14.535571</v>
      </c>
      <c r="E295" s="45"/>
      <c r="F295" s="32">
        <v>0.0</v>
      </c>
    </row>
    <row r="296" ht="14.25" customHeight="1">
      <c r="A296" s="4" t="s">
        <v>9045</v>
      </c>
      <c r="B296" s="4" t="s">
        <v>1774</v>
      </c>
      <c r="C296" s="20">
        <v>1.7720169E9</v>
      </c>
      <c r="D296" s="42">
        <v>1772.0169</v>
      </c>
      <c r="E296" s="45"/>
      <c r="F296" s="32">
        <v>0.0</v>
      </c>
    </row>
    <row r="297" ht="14.25" customHeight="1">
      <c r="A297" s="4" t="s">
        <v>9045</v>
      </c>
      <c r="B297" s="4" t="s">
        <v>8971</v>
      </c>
      <c r="C297" s="20">
        <v>1.066750888E9</v>
      </c>
      <c r="D297" s="42">
        <v>1066.750888</v>
      </c>
      <c r="E297" s="45"/>
      <c r="F297" s="32">
        <v>0.0</v>
      </c>
    </row>
    <row r="298" ht="14.25" customHeight="1">
      <c r="A298" s="4" t="s">
        <v>9045</v>
      </c>
      <c r="B298" s="4" t="s">
        <v>8970</v>
      </c>
      <c r="C298" s="20">
        <v>1.2912199E8</v>
      </c>
      <c r="D298" s="42">
        <v>129.12199</v>
      </c>
      <c r="E298" s="45"/>
      <c r="F298" s="32">
        <v>0.0</v>
      </c>
    </row>
    <row r="299" ht="14.25" customHeight="1">
      <c r="A299" s="4" t="s">
        <v>9045</v>
      </c>
      <c r="B299" s="4" t="s">
        <v>9009</v>
      </c>
      <c r="C299" s="20">
        <v>9.01186675E8</v>
      </c>
      <c r="D299" s="42">
        <v>901.186675</v>
      </c>
      <c r="E299" s="45"/>
      <c r="F299" s="32">
        <v>0.0</v>
      </c>
    </row>
    <row r="300" ht="14.25" customHeight="1">
      <c r="A300" s="4" t="s">
        <v>9045</v>
      </c>
      <c r="B300" s="4" t="s">
        <v>952</v>
      </c>
      <c r="C300" s="20">
        <v>5.2242748E8</v>
      </c>
      <c r="D300" s="42">
        <v>522.42748</v>
      </c>
      <c r="E300" s="45"/>
      <c r="F300" s="32">
        <v>0.0</v>
      </c>
    </row>
    <row r="301" ht="14.25" customHeight="1">
      <c r="A301" s="4" t="s">
        <v>9045</v>
      </c>
      <c r="B301" s="4" t="s">
        <v>8999</v>
      </c>
      <c r="C301" s="20">
        <v>6.4560995E7</v>
      </c>
      <c r="D301" s="42">
        <v>64.560995</v>
      </c>
      <c r="E301" s="45"/>
      <c r="F301" s="32">
        <v>0.0</v>
      </c>
    </row>
    <row r="302" ht="14.25" customHeight="1">
      <c r="A302" s="4" t="s">
        <v>9045</v>
      </c>
      <c r="B302" s="4" t="s">
        <v>8601</v>
      </c>
      <c r="C302" s="20">
        <v>4.1037551E8</v>
      </c>
      <c r="D302" s="42">
        <v>410.37551</v>
      </c>
      <c r="E302" s="45"/>
      <c r="F302" s="32">
        <v>0.0</v>
      </c>
    </row>
    <row r="303" ht="14.25" customHeight="1">
      <c r="A303" s="4" t="s">
        <v>9045</v>
      </c>
      <c r="B303" s="4" t="s">
        <v>9001</v>
      </c>
      <c r="C303" s="20">
        <v>4.3912313E7</v>
      </c>
      <c r="D303" s="42">
        <v>43.912313</v>
      </c>
      <c r="E303" s="45"/>
      <c r="F303" s="32">
        <v>0.0</v>
      </c>
    </row>
    <row r="304" ht="14.25" customHeight="1">
      <c r="A304" s="4" t="s">
        <v>9045</v>
      </c>
      <c r="B304" s="4" t="s">
        <v>417</v>
      </c>
      <c r="C304" s="20">
        <v>1.82703243E8</v>
      </c>
      <c r="D304" s="42">
        <v>182.703243</v>
      </c>
      <c r="E304" s="45"/>
      <c r="F304" s="32">
        <v>0.0</v>
      </c>
    </row>
    <row r="305" ht="14.25" customHeight="1">
      <c r="A305" s="4" t="s">
        <v>9045</v>
      </c>
      <c r="B305" s="4" t="s">
        <v>1218</v>
      </c>
      <c r="C305" s="20">
        <v>8.4723498E7</v>
      </c>
      <c r="D305" s="42">
        <v>84.723498</v>
      </c>
      <c r="E305" s="45"/>
      <c r="F305" s="32">
        <v>0.0</v>
      </c>
    </row>
    <row r="306" ht="14.25" customHeight="1">
      <c r="A306" s="4" t="s">
        <v>9045</v>
      </c>
      <c r="B306" s="4" t="s">
        <v>8606</v>
      </c>
      <c r="C306" s="20">
        <v>2.587100754E9</v>
      </c>
      <c r="D306" s="42">
        <v>2587.100754</v>
      </c>
      <c r="E306" s="45"/>
      <c r="F306" s="32">
        <v>0.0</v>
      </c>
    </row>
    <row r="307" ht="14.25" customHeight="1">
      <c r="A307" s="4" t="s">
        <v>9045</v>
      </c>
      <c r="B307" s="4" t="s">
        <v>8974</v>
      </c>
      <c r="C307" s="20">
        <v>5.36062856E8</v>
      </c>
      <c r="D307" s="42">
        <v>536.062856</v>
      </c>
      <c r="E307" s="45"/>
      <c r="F307" s="32">
        <v>0.0</v>
      </c>
    </row>
    <row r="308" ht="14.25" customHeight="1">
      <c r="A308" s="4" t="s">
        <v>9045</v>
      </c>
      <c r="B308" s="4" t="s">
        <v>8998</v>
      </c>
      <c r="C308" s="20">
        <v>8.52205138E8</v>
      </c>
      <c r="D308" s="42">
        <v>852.205138</v>
      </c>
      <c r="E308" s="45"/>
      <c r="F308" s="32">
        <v>0.0</v>
      </c>
    </row>
    <row r="309" ht="14.25" customHeight="1">
      <c r="A309" s="4" t="s">
        <v>9045</v>
      </c>
      <c r="B309" s="4" t="s">
        <v>8952</v>
      </c>
      <c r="C309" s="20">
        <v>5.81066818E8</v>
      </c>
      <c r="D309" s="42">
        <v>581.066818</v>
      </c>
      <c r="E309" s="45"/>
      <c r="F309" s="32">
        <v>0.0</v>
      </c>
    </row>
    <row r="310" ht="14.25" customHeight="1">
      <c r="A310" s="4" t="s">
        <v>9045</v>
      </c>
      <c r="B310" s="4" t="s">
        <v>9040</v>
      </c>
      <c r="C310" s="20">
        <v>3.8736597E7</v>
      </c>
      <c r="D310" s="42">
        <v>38.736597</v>
      </c>
      <c r="E310" s="45"/>
      <c r="F310" s="32">
        <v>0.0</v>
      </c>
    </row>
    <row r="311" ht="14.25" customHeight="1">
      <c r="A311" s="4" t="s">
        <v>9045</v>
      </c>
      <c r="B311" s="4" t="s">
        <v>1091</v>
      </c>
      <c r="C311" s="20">
        <v>6.917952E7</v>
      </c>
      <c r="D311" s="42">
        <v>69.17952</v>
      </c>
      <c r="E311" s="45"/>
      <c r="F311" s="32">
        <v>0.0</v>
      </c>
    </row>
    <row r="312" ht="14.25" customHeight="1">
      <c r="A312" s="4" t="s">
        <v>9045</v>
      </c>
      <c r="B312" s="4" t="s">
        <v>1344</v>
      </c>
      <c r="C312" s="20">
        <v>3.00432616E8</v>
      </c>
      <c r="D312" s="42">
        <v>300.432616</v>
      </c>
      <c r="E312" s="45"/>
      <c r="F312" s="32">
        <v>0.0</v>
      </c>
    </row>
    <row r="313" ht="14.25" customHeight="1">
      <c r="A313" s="4" t="s">
        <v>9045</v>
      </c>
      <c r="B313" s="4" t="s">
        <v>475</v>
      </c>
      <c r="C313" s="20">
        <v>2.06864764E8</v>
      </c>
      <c r="D313" s="42">
        <v>206.864764</v>
      </c>
      <c r="E313" s="45"/>
      <c r="F313" s="32">
        <v>0.0</v>
      </c>
    </row>
    <row r="314" ht="14.25" customHeight="1">
      <c r="A314" s="4" t="s">
        <v>9045</v>
      </c>
      <c r="B314" s="4" t="s">
        <v>8517</v>
      </c>
      <c r="C314" s="20">
        <v>3.073769025E9</v>
      </c>
      <c r="D314" s="42">
        <v>3073.769025</v>
      </c>
      <c r="E314" s="45"/>
      <c r="F314" s="32">
        <v>0.0</v>
      </c>
    </row>
    <row r="315" ht="14.25" customHeight="1">
      <c r="A315" s="4" t="s">
        <v>9045</v>
      </c>
      <c r="B315" s="4" t="s">
        <v>9041</v>
      </c>
      <c r="C315" s="20">
        <v>4.29568148E8</v>
      </c>
      <c r="D315" s="42">
        <v>429.568148</v>
      </c>
      <c r="E315" s="45"/>
      <c r="F315" s="32">
        <v>0.0</v>
      </c>
    </row>
    <row r="316" ht="14.25" customHeight="1">
      <c r="A316" s="4" t="s">
        <v>9045</v>
      </c>
      <c r="B316" s="4" t="s">
        <v>9034</v>
      </c>
      <c r="C316" s="20">
        <v>1.89236143E8</v>
      </c>
      <c r="D316" s="42">
        <v>189.236143</v>
      </c>
      <c r="E316" s="45"/>
      <c r="F316" s="32">
        <v>0.0</v>
      </c>
    </row>
    <row r="317" ht="14.25" customHeight="1">
      <c r="A317" s="4" t="s">
        <v>9045</v>
      </c>
      <c r="B317" s="4" t="s">
        <v>9018</v>
      </c>
      <c r="C317" s="20">
        <v>1.24076704E8</v>
      </c>
      <c r="D317" s="42">
        <v>124.076704</v>
      </c>
      <c r="E317" s="45"/>
      <c r="F317" s="32">
        <v>0.0</v>
      </c>
    </row>
    <row r="318" ht="14.25" customHeight="1">
      <c r="A318" s="4" t="s">
        <v>9045</v>
      </c>
      <c r="B318" s="4" t="s">
        <v>534</v>
      </c>
      <c r="C318" s="20">
        <v>6.70648126E8</v>
      </c>
      <c r="D318" s="42">
        <v>670.648126</v>
      </c>
      <c r="E318" s="45"/>
      <c r="F318" s="32">
        <v>0.0</v>
      </c>
    </row>
    <row r="319" ht="14.25" customHeight="1">
      <c r="A319" s="4" t="s">
        <v>9045</v>
      </c>
      <c r="B319" s="4" t="s">
        <v>8701</v>
      </c>
      <c r="C319" s="20">
        <v>1.65276148E8</v>
      </c>
      <c r="D319" s="42">
        <v>165.276148</v>
      </c>
      <c r="E319" s="45"/>
      <c r="F319" s="32">
        <v>0.0</v>
      </c>
    </row>
    <row r="320" ht="14.25" customHeight="1">
      <c r="A320" s="4" t="s">
        <v>9045</v>
      </c>
      <c r="B320" s="4" t="s">
        <v>8968</v>
      </c>
      <c r="C320" s="20">
        <v>3.38302229E8</v>
      </c>
      <c r="D320" s="42">
        <v>338.302229</v>
      </c>
      <c r="E320" s="45"/>
      <c r="F320" s="32">
        <v>0.0</v>
      </c>
    </row>
    <row r="321" ht="14.25" customHeight="1">
      <c r="A321" s="4" t="s">
        <v>9045</v>
      </c>
      <c r="B321" s="4" t="s">
        <v>683</v>
      </c>
      <c r="C321" s="20">
        <v>8.189662E7</v>
      </c>
      <c r="D321" s="42">
        <v>81.89662</v>
      </c>
      <c r="E321" s="45"/>
      <c r="F321" s="32">
        <v>0.0</v>
      </c>
    </row>
    <row r="322" ht="14.25" customHeight="1">
      <c r="A322" s="4" t="s">
        <v>9045</v>
      </c>
      <c r="B322" s="4" t="s">
        <v>9042</v>
      </c>
      <c r="C322" s="20">
        <v>1.549463888E9</v>
      </c>
      <c r="D322" s="42">
        <v>1549.463888</v>
      </c>
      <c r="E322" s="45"/>
      <c r="F322" s="32">
        <v>0.0</v>
      </c>
    </row>
    <row r="323" ht="14.25" customHeight="1">
      <c r="A323" s="4"/>
      <c r="B323" s="4"/>
      <c r="C323" s="20"/>
      <c r="D323" s="42">
        <v>0.0</v>
      </c>
      <c r="E323" s="45"/>
      <c r="F323" s="32">
        <v>0.0</v>
      </c>
    </row>
    <row r="324" ht="14.25" customHeight="1">
      <c r="A324" s="4"/>
      <c r="B324" s="4"/>
      <c r="C324" s="20"/>
      <c r="D324" s="42">
        <v>0.0</v>
      </c>
      <c r="E324" s="45"/>
      <c r="F324" s="32">
        <v>0.0</v>
      </c>
    </row>
    <row r="325" ht="14.25" customHeight="1">
      <c r="A325" s="4"/>
      <c r="B325" s="4"/>
      <c r="C325" s="20"/>
      <c r="D325" s="42">
        <v>0.0</v>
      </c>
      <c r="E325" s="45"/>
      <c r="F325" s="32">
        <v>0.0</v>
      </c>
    </row>
    <row r="326" ht="14.25" customHeight="1">
      <c r="A326" s="4"/>
      <c r="B326" s="4"/>
      <c r="C326" s="20"/>
      <c r="D326" s="42">
        <v>0.0</v>
      </c>
      <c r="E326" s="45"/>
      <c r="F326" s="32">
        <v>0.0</v>
      </c>
    </row>
    <row r="327" ht="14.25" customHeight="1">
      <c r="A327" s="4"/>
      <c r="B327" s="4"/>
      <c r="C327" s="20"/>
      <c r="D327" s="42">
        <v>0.0</v>
      </c>
      <c r="E327" s="45"/>
      <c r="F327" s="32">
        <v>0.0</v>
      </c>
    </row>
    <row r="328" ht="14.25" customHeight="1">
      <c r="A328" s="4"/>
      <c r="B328" s="4"/>
      <c r="C328" s="20"/>
      <c r="D328" s="42">
        <v>0.0</v>
      </c>
      <c r="E328" s="45"/>
      <c r="F328" s="32">
        <v>0.0</v>
      </c>
    </row>
    <row r="329" ht="14.25" customHeight="1">
      <c r="A329" s="4"/>
      <c r="B329" s="4"/>
      <c r="C329" s="20"/>
      <c r="D329" s="42">
        <v>0.0</v>
      </c>
      <c r="E329" s="45"/>
      <c r="F329" s="32">
        <v>0.0</v>
      </c>
    </row>
    <row r="330" ht="14.25" customHeight="1">
      <c r="A330" s="4"/>
      <c r="B330" s="4"/>
      <c r="C330" s="20"/>
      <c r="D330" s="42">
        <v>0.0</v>
      </c>
      <c r="E330" s="45"/>
      <c r="F330" s="32">
        <v>0.0</v>
      </c>
    </row>
    <row r="331" ht="14.25" customHeight="1">
      <c r="A331" s="4"/>
      <c r="B331" s="4"/>
      <c r="C331" s="20"/>
      <c r="D331" s="42">
        <v>0.0</v>
      </c>
      <c r="E331" s="45"/>
      <c r="F331" s="32">
        <v>0.0</v>
      </c>
    </row>
    <row r="332" ht="14.25" customHeight="1">
      <c r="A332" s="4"/>
      <c r="B332" s="4"/>
      <c r="C332" s="20"/>
      <c r="D332" s="42">
        <v>0.0</v>
      </c>
      <c r="E332" s="45"/>
      <c r="F332" s="32">
        <v>0.0</v>
      </c>
    </row>
    <row r="333" ht="14.25" customHeight="1">
      <c r="A333" s="4"/>
      <c r="B333" s="4"/>
      <c r="C333" s="20"/>
      <c r="D333" s="42">
        <v>0.0</v>
      </c>
      <c r="E333" s="45"/>
      <c r="F333" s="32">
        <v>0.0</v>
      </c>
    </row>
    <row r="334" ht="14.25" customHeight="1">
      <c r="A334" s="4"/>
      <c r="B334" s="4"/>
      <c r="C334" s="20"/>
      <c r="D334" s="42">
        <v>0.0</v>
      </c>
      <c r="E334" s="45"/>
      <c r="F334" s="32">
        <v>0.0</v>
      </c>
    </row>
    <row r="335" ht="14.25" customHeight="1">
      <c r="A335" s="4"/>
      <c r="B335" s="4"/>
      <c r="C335" s="20"/>
      <c r="D335" s="42">
        <v>0.0</v>
      </c>
      <c r="E335" s="45"/>
      <c r="F335" s="32">
        <v>0.0</v>
      </c>
    </row>
    <row r="336" ht="14.25" customHeight="1">
      <c r="A336" s="4"/>
      <c r="B336" s="4"/>
      <c r="C336" s="20"/>
      <c r="D336" s="42">
        <v>0.0</v>
      </c>
      <c r="E336" s="45"/>
      <c r="F336" s="32">
        <v>0.0</v>
      </c>
    </row>
    <row r="337" ht="14.25" customHeight="1">
      <c r="A337" s="4"/>
      <c r="B337" s="4"/>
      <c r="C337" s="20"/>
      <c r="D337" s="42">
        <v>0.0</v>
      </c>
      <c r="E337" s="45"/>
      <c r="F337" s="32">
        <v>0.0</v>
      </c>
    </row>
    <row r="338" ht="14.25" customHeight="1">
      <c r="A338" s="4"/>
      <c r="B338" s="4"/>
      <c r="C338" s="20"/>
      <c r="D338" s="42">
        <v>0.0</v>
      </c>
      <c r="E338" s="45"/>
      <c r="F338" s="32">
        <v>0.0</v>
      </c>
    </row>
    <row r="339" ht="14.25" customHeight="1">
      <c r="A339" s="4"/>
      <c r="B339" s="4"/>
      <c r="C339" s="20"/>
      <c r="D339" s="42">
        <v>0.0</v>
      </c>
      <c r="E339" s="45"/>
      <c r="F339" s="32">
        <v>0.0</v>
      </c>
    </row>
    <row r="340" ht="14.25" customHeight="1">
      <c r="A340" s="4"/>
      <c r="B340" s="4"/>
      <c r="C340" s="20"/>
      <c r="D340" s="42">
        <v>0.0</v>
      </c>
      <c r="E340" s="45"/>
      <c r="F340" s="32">
        <v>0.0</v>
      </c>
    </row>
    <row r="341" ht="14.25" customHeight="1">
      <c r="A341" s="4"/>
      <c r="B341" s="4"/>
      <c r="C341" s="20"/>
      <c r="D341" s="42">
        <v>0.0</v>
      </c>
      <c r="E341" s="45"/>
      <c r="F341" s="32">
        <v>0.0</v>
      </c>
    </row>
    <row r="342" ht="14.25" customHeight="1">
      <c r="A342" s="4"/>
      <c r="B342" s="4"/>
      <c r="C342" s="20"/>
      <c r="D342" s="42">
        <v>0.0</v>
      </c>
      <c r="E342" s="45"/>
      <c r="F342" s="32">
        <v>0.0</v>
      </c>
    </row>
    <row r="343" ht="14.25" customHeight="1">
      <c r="A343" s="4"/>
      <c r="B343" s="4"/>
      <c r="C343" s="20"/>
      <c r="D343" s="42">
        <v>0.0</v>
      </c>
      <c r="E343" s="45"/>
      <c r="F343" s="32">
        <v>0.0</v>
      </c>
    </row>
    <row r="344" ht="14.25" customHeight="1">
      <c r="A344" s="4"/>
      <c r="B344" s="4"/>
      <c r="C344" s="20"/>
      <c r="D344" s="42">
        <v>0.0</v>
      </c>
      <c r="E344" s="45"/>
      <c r="F344" s="32">
        <v>0.0</v>
      </c>
    </row>
    <row r="345" ht="14.25" customHeight="1">
      <c r="A345" s="4"/>
      <c r="B345" s="4"/>
      <c r="C345" s="20"/>
      <c r="D345" s="42">
        <v>0.0</v>
      </c>
      <c r="E345" s="45"/>
      <c r="F345" s="32">
        <v>0.0</v>
      </c>
    </row>
    <row r="346" ht="14.25" customHeight="1">
      <c r="A346" s="4"/>
      <c r="B346" s="4"/>
      <c r="C346" s="20"/>
      <c r="D346" s="42">
        <v>0.0</v>
      </c>
      <c r="E346" s="45"/>
      <c r="F346" s="32">
        <v>0.0</v>
      </c>
    </row>
    <row r="347" ht="14.25" customHeight="1">
      <c r="A347" s="4"/>
      <c r="B347" s="4"/>
      <c r="C347" s="20"/>
      <c r="D347" s="42">
        <v>0.0</v>
      </c>
      <c r="E347" s="45"/>
      <c r="F347" s="32">
        <v>0.0</v>
      </c>
    </row>
    <row r="348" ht="14.25" customHeight="1">
      <c r="A348" s="4"/>
      <c r="B348" s="4"/>
      <c r="C348" s="20"/>
      <c r="D348" s="42">
        <v>0.0</v>
      </c>
      <c r="E348" s="45"/>
      <c r="F348" s="32">
        <v>0.0</v>
      </c>
    </row>
    <row r="349" ht="14.25" customHeight="1">
      <c r="A349" s="4"/>
      <c r="B349" s="4"/>
      <c r="C349" s="20"/>
      <c r="D349" s="42">
        <v>0.0</v>
      </c>
      <c r="E349" s="45"/>
      <c r="F349" s="32">
        <v>0.0</v>
      </c>
    </row>
    <row r="350" ht="14.25" customHeight="1">
      <c r="A350" s="4"/>
      <c r="B350" s="4"/>
      <c r="C350" s="20"/>
      <c r="D350" s="42">
        <v>0.0</v>
      </c>
      <c r="E350" s="45"/>
      <c r="F350" s="32">
        <v>0.0</v>
      </c>
    </row>
    <row r="351" ht="14.25" customHeight="1">
      <c r="A351" s="4"/>
      <c r="B351" s="4"/>
      <c r="C351" s="20"/>
      <c r="D351" s="42">
        <v>0.0</v>
      </c>
      <c r="E351" s="45"/>
      <c r="F351" s="32">
        <v>0.0</v>
      </c>
    </row>
    <row r="352" ht="14.25" customHeight="1">
      <c r="A352" s="4"/>
      <c r="B352" s="4"/>
      <c r="C352" s="20"/>
      <c r="D352" s="42">
        <v>0.0</v>
      </c>
      <c r="E352" s="45"/>
      <c r="F352" s="32">
        <v>0.0</v>
      </c>
    </row>
    <row r="353" ht="14.25" customHeight="1">
      <c r="A353" s="4"/>
      <c r="B353" s="4"/>
      <c r="C353" s="20"/>
      <c r="D353" s="42">
        <v>0.0</v>
      </c>
      <c r="E353" s="45"/>
      <c r="F353" s="32">
        <v>0.0</v>
      </c>
    </row>
    <row r="354" ht="14.25" customHeight="1">
      <c r="A354" s="4"/>
      <c r="B354" s="4"/>
      <c r="C354" s="20"/>
      <c r="D354" s="42">
        <v>0.0</v>
      </c>
      <c r="E354" s="45"/>
      <c r="F354" s="32">
        <v>0.0</v>
      </c>
    </row>
    <row r="355" ht="14.25" customHeight="1">
      <c r="A355" s="4"/>
      <c r="B355" s="4"/>
      <c r="C355" s="20"/>
      <c r="D355" s="42">
        <v>0.0</v>
      </c>
      <c r="E355" s="45"/>
      <c r="F355" s="32">
        <v>0.0</v>
      </c>
    </row>
    <row r="356" ht="14.25" customHeight="1">
      <c r="A356" s="4"/>
      <c r="B356" s="4"/>
      <c r="C356" s="20"/>
      <c r="D356" s="42">
        <v>0.0</v>
      </c>
      <c r="E356" s="45"/>
      <c r="F356" s="32">
        <v>0.0</v>
      </c>
    </row>
    <row r="357" ht="14.25" customHeight="1">
      <c r="A357" s="4"/>
      <c r="B357" s="4"/>
      <c r="C357" s="20"/>
      <c r="D357" s="42">
        <v>0.0</v>
      </c>
      <c r="E357" s="45"/>
      <c r="F357" s="32">
        <v>0.0</v>
      </c>
    </row>
    <row r="358" ht="14.25" customHeight="1">
      <c r="A358" s="4"/>
      <c r="B358" s="4"/>
      <c r="C358" s="20"/>
      <c r="D358" s="42">
        <v>0.0</v>
      </c>
      <c r="E358" s="45"/>
      <c r="F358" s="32">
        <v>0.0</v>
      </c>
    </row>
    <row r="359" ht="14.25" customHeight="1">
      <c r="A359" s="4"/>
      <c r="B359" s="4"/>
      <c r="C359" s="20"/>
      <c r="D359" s="42">
        <v>0.0</v>
      </c>
      <c r="E359" s="45"/>
      <c r="F359" s="32">
        <v>0.0</v>
      </c>
    </row>
    <row r="360" ht="14.25" customHeight="1">
      <c r="A360" s="4"/>
      <c r="B360" s="4"/>
      <c r="C360" s="20"/>
      <c r="D360" s="42">
        <v>0.0</v>
      </c>
      <c r="E360" s="45"/>
      <c r="F360" s="32">
        <v>0.0</v>
      </c>
    </row>
    <row r="361" ht="14.25" customHeight="1">
      <c r="A361" s="4"/>
      <c r="B361" s="4"/>
      <c r="C361" s="20"/>
      <c r="D361" s="42">
        <v>0.0</v>
      </c>
      <c r="E361" s="45"/>
      <c r="F361" s="32">
        <v>0.0</v>
      </c>
    </row>
    <row r="362" ht="14.25" customHeight="1">
      <c r="A362" s="4"/>
      <c r="B362" s="4"/>
      <c r="C362" s="20"/>
      <c r="D362" s="42">
        <v>0.0</v>
      </c>
      <c r="E362" s="45"/>
      <c r="F362" s="32">
        <v>0.0</v>
      </c>
    </row>
    <row r="363" ht="14.25" customHeight="1">
      <c r="A363" s="4"/>
      <c r="B363" s="4"/>
      <c r="C363" s="20"/>
      <c r="D363" s="42">
        <v>0.0</v>
      </c>
      <c r="E363" s="45"/>
      <c r="F363" s="32">
        <v>0.0</v>
      </c>
    </row>
    <row r="364" ht="14.25" customHeight="1">
      <c r="A364" s="4"/>
      <c r="B364" s="4"/>
      <c r="C364" s="20"/>
      <c r="D364" s="42">
        <v>0.0</v>
      </c>
      <c r="E364" s="45"/>
      <c r="F364" s="32">
        <v>0.0</v>
      </c>
    </row>
    <row r="365" ht="14.25" customHeight="1">
      <c r="A365" s="4"/>
      <c r="B365" s="4"/>
      <c r="C365" s="20"/>
      <c r="D365" s="42">
        <v>0.0</v>
      </c>
      <c r="E365" s="45"/>
      <c r="F365" s="32">
        <v>0.0</v>
      </c>
    </row>
    <row r="366" ht="14.25" customHeight="1">
      <c r="A366" s="4"/>
      <c r="B366" s="4"/>
      <c r="C366" s="20"/>
      <c r="D366" s="42">
        <v>0.0</v>
      </c>
      <c r="E366" s="45"/>
      <c r="F366" s="32">
        <v>0.0</v>
      </c>
    </row>
    <row r="367" ht="14.25" customHeight="1">
      <c r="A367" s="4"/>
      <c r="B367" s="4"/>
      <c r="C367" s="20"/>
      <c r="D367" s="42">
        <v>0.0</v>
      </c>
      <c r="E367" s="45"/>
      <c r="F367" s="32">
        <v>0.0</v>
      </c>
    </row>
    <row r="368" ht="14.25" customHeight="1">
      <c r="A368" s="4"/>
      <c r="B368" s="4"/>
      <c r="C368" s="20"/>
      <c r="D368" s="42">
        <v>0.0</v>
      </c>
      <c r="E368" s="45"/>
      <c r="F368" s="32">
        <v>0.0</v>
      </c>
    </row>
    <row r="369" ht="14.25" customHeight="1">
      <c r="A369" s="4"/>
      <c r="B369" s="4"/>
      <c r="C369" s="20"/>
      <c r="D369" s="42">
        <v>0.0</v>
      </c>
      <c r="E369" s="45"/>
      <c r="F369" s="32">
        <v>0.0</v>
      </c>
    </row>
    <row r="370" ht="14.25" customHeight="1">
      <c r="A370" s="4"/>
      <c r="B370" s="4"/>
      <c r="C370" s="20"/>
      <c r="D370" s="42">
        <v>0.0</v>
      </c>
      <c r="E370" s="45"/>
      <c r="F370" s="32">
        <v>0.0</v>
      </c>
    </row>
    <row r="371" ht="14.25" customHeight="1">
      <c r="A371" s="4"/>
      <c r="B371" s="4"/>
      <c r="C371" s="20"/>
      <c r="D371" s="42">
        <v>0.0</v>
      </c>
      <c r="E371" s="45"/>
      <c r="F371" s="32">
        <v>0.0</v>
      </c>
    </row>
    <row r="372" ht="14.25" customHeight="1">
      <c r="A372" s="4"/>
      <c r="B372" s="4"/>
      <c r="C372" s="20"/>
      <c r="D372" s="42">
        <v>0.0</v>
      </c>
      <c r="E372" s="45"/>
      <c r="F372" s="32">
        <v>0.0</v>
      </c>
    </row>
    <row r="373" ht="14.25" customHeight="1">
      <c r="A373" s="4"/>
      <c r="B373" s="4"/>
      <c r="C373" s="20"/>
      <c r="D373" s="42">
        <v>0.0</v>
      </c>
      <c r="E373" s="45"/>
      <c r="F373" s="32">
        <v>0.0</v>
      </c>
    </row>
    <row r="374" ht="14.25" customHeight="1">
      <c r="A374" s="4"/>
      <c r="B374" s="4"/>
      <c r="C374" s="20"/>
      <c r="D374" s="42">
        <v>0.0</v>
      </c>
      <c r="E374" s="45"/>
      <c r="F374" s="32">
        <v>0.0</v>
      </c>
    </row>
    <row r="375" ht="14.25" customHeight="1">
      <c r="A375" s="4"/>
      <c r="B375" s="4"/>
      <c r="C375" s="20"/>
      <c r="D375" s="42">
        <v>0.0</v>
      </c>
      <c r="E375" s="45"/>
      <c r="F375" s="32">
        <v>0.0</v>
      </c>
    </row>
    <row r="376" ht="14.25" customHeight="1">
      <c r="A376" s="4"/>
      <c r="B376" s="4"/>
      <c r="C376" s="20"/>
      <c r="D376" s="42">
        <v>0.0</v>
      </c>
      <c r="E376" s="45"/>
      <c r="F376" s="32">
        <v>0.0</v>
      </c>
    </row>
    <row r="377" ht="14.25" customHeight="1">
      <c r="A377" s="4"/>
      <c r="B377" s="4"/>
      <c r="C377" s="20"/>
      <c r="D377" s="42">
        <v>0.0</v>
      </c>
      <c r="E377" s="45"/>
      <c r="F377" s="32">
        <v>0.0</v>
      </c>
    </row>
    <row r="378" ht="14.25" customHeight="1">
      <c r="A378" s="4"/>
      <c r="B378" s="4"/>
      <c r="C378" s="20"/>
      <c r="D378" s="42">
        <v>0.0</v>
      </c>
      <c r="E378" s="45"/>
      <c r="F378" s="32">
        <v>0.0</v>
      </c>
    </row>
    <row r="379" ht="14.25" customHeight="1">
      <c r="A379" s="4"/>
      <c r="B379" s="4"/>
      <c r="C379" s="20"/>
      <c r="D379" s="42">
        <v>0.0</v>
      </c>
      <c r="E379" s="45"/>
      <c r="F379" s="32">
        <v>0.0</v>
      </c>
    </row>
    <row r="380" ht="14.25" customHeight="1">
      <c r="A380" s="4"/>
      <c r="B380" s="4"/>
      <c r="C380" s="20"/>
      <c r="D380" s="42">
        <v>0.0</v>
      </c>
      <c r="E380" s="45"/>
      <c r="F380" s="32">
        <v>0.0</v>
      </c>
    </row>
    <row r="381" ht="14.25" customHeight="1">
      <c r="A381" s="4"/>
      <c r="B381" s="4"/>
      <c r="C381" s="20"/>
      <c r="D381" s="42">
        <v>0.0</v>
      </c>
      <c r="E381" s="45"/>
      <c r="F381" s="32">
        <v>0.0</v>
      </c>
    </row>
    <row r="382" ht="14.25" customHeight="1">
      <c r="A382" s="4"/>
      <c r="B382" s="4"/>
      <c r="C382" s="20"/>
      <c r="D382" s="42">
        <v>0.0</v>
      </c>
      <c r="E382" s="45"/>
      <c r="F382" s="32">
        <v>0.0</v>
      </c>
    </row>
    <row r="383" ht="14.25" customHeight="1">
      <c r="A383" s="4"/>
      <c r="B383" s="4"/>
      <c r="C383" s="20"/>
      <c r="D383" s="42">
        <v>0.0</v>
      </c>
      <c r="E383" s="45"/>
      <c r="F383" s="32">
        <v>0.0</v>
      </c>
    </row>
    <row r="384" ht="14.25" customHeight="1">
      <c r="A384" s="4"/>
      <c r="B384" s="4"/>
      <c r="C384" s="20"/>
      <c r="D384" s="42">
        <v>0.0</v>
      </c>
      <c r="E384" s="45"/>
      <c r="F384" s="32">
        <v>0.0</v>
      </c>
    </row>
    <row r="385" ht="14.25" customHeight="1">
      <c r="A385" s="4"/>
      <c r="B385" s="4"/>
      <c r="C385" s="20"/>
      <c r="D385" s="42">
        <v>0.0</v>
      </c>
      <c r="E385" s="45"/>
      <c r="F385" s="32">
        <v>0.0</v>
      </c>
    </row>
    <row r="386" ht="14.25" customHeight="1">
      <c r="A386" s="4"/>
      <c r="B386" s="4"/>
      <c r="C386" s="20"/>
      <c r="D386" s="42">
        <v>0.0</v>
      </c>
      <c r="E386" s="45"/>
      <c r="F386" s="32">
        <v>0.0</v>
      </c>
    </row>
    <row r="387" ht="14.25" customHeight="1">
      <c r="A387" s="4"/>
      <c r="B387" s="4"/>
      <c r="C387" s="20"/>
      <c r="D387" s="42">
        <v>0.0</v>
      </c>
      <c r="E387" s="45"/>
      <c r="F387" s="32">
        <v>0.0</v>
      </c>
    </row>
    <row r="388" ht="14.25" customHeight="1">
      <c r="A388" s="4"/>
      <c r="B388" s="4"/>
      <c r="C388" s="20"/>
      <c r="D388" s="42">
        <v>0.0</v>
      </c>
      <c r="E388" s="45"/>
      <c r="F388" s="32">
        <v>0.0</v>
      </c>
    </row>
    <row r="389" ht="14.25" customHeight="1">
      <c r="A389" s="4"/>
      <c r="B389" s="4"/>
      <c r="C389" s="20"/>
      <c r="D389" s="42">
        <v>0.0</v>
      </c>
      <c r="E389" s="45"/>
      <c r="F389" s="32">
        <v>0.0</v>
      </c>
    </row>
    <row r="390" ht="14.25" customHeight="1">
      <c r="A390" s="4"/>
      <c r="B390" s="4"/>
      <c r="C390" s="20"/>
      <c r="D390" s="42">
        <v>0.0</v>
      </c>
      <c r="E390" s="45"/>
      <c r="F390" s="32">
        <v>0.0</v>
      </c>
    </row>
    <row r="391" ht="14.25" customHeight="1">
      <c r="A391" s="4"/>
      <c r="B391" s="4"/>
      <c r="C391" s="20"/>
      <c r="D391" s="42">
        <v>0.0</v>
      </c>
      <c r="E391" s="45"/>
      <c r="F391" s="32">
        <v>0.0</v>
      </c>
    </row>
    <row r="392" ht="14.25" customHeight="1">
      <c r="A392" s="4"/>
      <c r="B392" s="4"/>
      <c r="C392" s="20"/>
      <c r="D392" s="42">
        <v>0.0</v>
      </c>
      <c r="E392" s="45"/>
      <c r="F392" s="32">
        <v>0.0</v>
      </c>
    </row>
    <row r="393" ht="14.25" customHeight="1">
      <c r="A393" s="4"/>
      <c r="B393" s="4"/>
      <c r="C393" s="20"/>
      <c r="D393" s="42">
        <v>0.0</v>
      </c>
      <c r="E393" s="45"/>
      <c r="F393" s="32">
        <v>0.0</v>
      </c>
    </row>
    <row r="394" ht="14.25" customHeight="1">
      <c r="A394" s="4"/>
      <c r="B394" s="4"/>
      <c r="C394" s="20"/>
      <c r="D394" s="42">
        <v>0.0</v>
      </c>
      <c r="E394" s="45"/>
      <c r="F394" s="32">
        <v>0.0</v>
      </c>
    </row>
    <row r="395" ht="14.25" customHeight="1">
      <c r="A395" s="4"/>
      <c r="B395" s="4"/>
      <c r="C395" s="20"/>
      <c r="D395" s="42">
        <v>0.0</v>
      </c>
      <c r="E395" s="45"/>
      <c r="F395" s="32">
        <v>0.0</v>
      </c>
    </row>
    <row r="396" ht="14.25" customHeight="1">
      <c r="A396" s="4"/>
      <c r="B396" s="4"/>
      <c r="C396" s="20"/>
      <c r="D396" s="42">
        <v>0.0</v>
      </c>
      <c r="E396" s="45"/>
      <c r="F396" s="32">
        <v>0.0</v>
      </c>
    </row>
    <row r="397" ht="14.25" customHeight="1">
      <c r="A397" s="4"/>
      <c r="B397" s="4"/>
      <c r="C397" s="20"/>
      <c r="D397" s="42">
        <v>0.0</v>
      </c>
      <c r="E397" s="45"/>
      <c r="F397" s="32">
        <v>0.0</v>
      </c>
    </row>
    <row r="398" ht="14.25" customHeight="1">
      <c r="A398" s="4"/>
      <c r="B398" s="4"/>
      <c r="C398" s="20"/>
      <c r="D398" s="42">
        <v>0.0</v>
      </c>
      <c r="E398" s="45"/>
      <c r="F398" s="32">
        <v>0.0</v>
      </c>
    </row>
    <row r="399" ht="14.25" customHeight="1">
      <c r="A399" s="4"/>
      <c r="B399" s="4"/>
      <c r="C399" s="20"/>
      <c r="D399" s="42">
        <v>0.0</v>
      </c>
      <c r="E399" s="45"/>
      <c r="F399" s="32">
        <v>0.0</v>
      </c>
    </row>
    <row r="400" ht="14.25" customHeight="1">
      <c r="A400" s="4"/>
      <c r="B400" s="4"/>
      <c r="C400" s="20"/>
      <c r="D400" s="42">
        <v>0.0</v>
      </c>
      <c r="E400" s="45"/>
      <c r="F400" s="32">
        <v>0.0</v>
      </c>
    </row>
    <row r="401" ht="14.25" customHeight="1">
      <c r="A401" s="4"/>
      <c r="B401" s="4"/>
      <c r="C401" s="20"/>
      <c r="D401" s="42">
        <v>0.0</v>
      </c>
      <c r="E401" s="45"/>
      <c r="F401" s="32">
        <v>0.0</v>
      </c>
    </row>
    <row r="402" ht="14.25" customHeight="1">
      <c r="A402" s="4"/>
      <c r="B402" s="4"/>
      <c r="C402" s="20"/>
      <c r="D402" s="42">
        <v>0.0</v>
      </c>
      <c r="E402" s="45"/>
      <c r="F402" s="32">
        <v>0.0</v>
      </c>
    </row>
    <row r="403" ht="14.25" customHeight="1">
      <c r="A403" s="4"/>
      <c r="B403" s="4"/>
      <c r="C403" s="20"/>
      <c r="D403" s="42">
        <v>0.0</v>
      </c>
      <c r="E403" s="45"/>
      <c r="F403" s="32">
        <v>0.0</v>
      </c>
    </row>
    <row r="404" ht="14.25" customHeight="1">
      <c r="A404" s="4"/>
      <c r="B404" s="4"/>
      <c r="C404" s="20"/>
      <c r="D404" s="42">
        <v>0.0</v>
      </c>
      <c r="E404" s="45"/>
      <c r="F404" s="32">
        <v>0.0</v>
      </c>
    </row>
    <row r="405" ht="14.25" customHeight="1">
      <c r="A405" s="4"/>
      <c r="B405" s="4"/>
      <c r="C405" s="20"/>
      <c r="D405" s="42">
        <v>0.0</v>
      </c>
      <c r="E405" s="45"/>
      <c r="F405" s="32">
        <v>0.0</v>
      </c>
    </row>
    <row r="406" ht="14.25" customHeight="1">
      <c r="A406" s="4"/>
      <c r="B406" s="4"/>
      <c r="C406" s="20"/>
      <c r="D406" s="42">
        <v>0.0</v>
      </c>
      <c r="E406" s="45"/>
      <c r="F406" s="32">
        <v>0.0</v>
      </c>
    </row>
    <row r="407" ht="14.25" customHeight="1">
      <c r="A407" s="4"/>
      <c r="B407" s="4"/>
      <c r="C407" s="20"/>
      <c r="D407" s="42">
        <v>0.0</v>
      </c>
      <c r="E407" s="45"/>
      <c r="F407" s="32">
        <v>0.0</v>
      </c>
    </row>
    <row r="408" ht="14.25" customHeight="1">
      <c r="A408" s="4"/>
      <c r="B408" s="4"/>
      <c r="C408" s="20"/>
      <c r="D408" s="42">
        <v>0.0</v>
      </c>
      <c r="E408" s="45"/>
      <c r="F408" s="32">
        <v>0.0</v>
      </c>
    </row>
    <row r="409" ht="14.25" customHeight="1">
      <c r="A409" s="4"/>
      <c r="B409" s="4"/>
      <c r="C409" s="20"/>
      <c r="D409" s="42">
        <v>0.0</v>
      </c>
      <c r="E409" s="45"/>
      <c r="F409" s="32">
        <v>0.0</v>
      </c>
    </row>
    <row r="410" ht="14.25" customHeight="1">
      <c r="A410" s="4"/>
      <c r="B410" s="4"/>
      <c r="C410" s="20"/>
      <c r="D410" s="42">
        <v>0.0</v>
      </c>
      <c r="E410" s="45"/>
      <c r="F410" s="32">
        <v>0.0</v>
      </c>
    </row>
    <row r="411" ht="14.25" customHeight="1">
      <c r="A411" s="4"/>
      <c r="B411" s="4"/>
      <c r="C411" s="20"/>
      <c r="D411" s="42">
        <v>0.0</v>
      </c>
      <c r="E411" s="45"/>
      <c r="F411" s="32">
        <v>0.0</v>
      </c>
    </row>
    <row r="412" ht="14.25" customHeight="1">
      <c r="A412" s="4"/>
      <c r="B412" s="4"/>
      <c r="C412" s="20"/>
      <c r="D412" s="42">
        <v>0.0</v>
      </c>
      <c r="E412" s="45"/>
      <c r="F412" s="32">
        <v>0.0</v>
      </c>
    </row>
    <row r="413" ht="14.25" customHeight="1">
      <c r="A413" s="4"/>
      <c r="B413" s="4"/>
      <c r="C413" s="20"/>
      <c r="D413" s="42">
        <v>0.0</v>
      </c>
      <c r="E413" s="45"/>
      <c r="F413" s="32">
        <v>0.0</v>
      </c>
    </row>
    <row r="414" ht="14.25" customHeight="1">
      <c r="A414" s="4"/>
      <c r="B414" s="4"/>
      <c r="C414" s="20"/>
      <c r="D414" s="42">
        <v>0.0</v>
      </c>
      <c r="E414" s="45"/>
      <c r="F414" s="32">
        <v>0.0</v>
      </c>
    </row>
    <row r="415" ht="14.25" customHeight="1">
      <c r="A415" s="4"/>
      <c r="B415" s="4"/>
      <c r="C415" s="20"/>
      <c r="D415" s="42">
        <v>0.0</v>
      </c>
      <c r="E415" s="45"/>
      <c r="F415" s="32">
        <v>0.0</v>
      </c>
    </row>
    <row r="416" ht="14.25" customHeight="1">
      <c r="A416" s="4"/>
      <c r="B416" s="4"/>
      <c r="C416" s="20"/>
      <c r="D416" s="42">
        <v>0.0</v>
      </c>
      <c r="E416" s="45"/>
      <c r="F416" s="32">
        <v>0.0</v>
      </c>
    </row>
    <row r="417" ht="14.25" customHeight="1">
      <c r="A417" s="4"/>
      <c r="B417" s="4"/>
      <c r="C417" s="20"/>
      <c r="D417" s="42">
        <v>0.0</v>
      </c>
      <c r="E417" s="45"/>
      <c r="F417" s="32">
        <v>0.0</v>
      </c>
    </row>
    <row r="418" ht="14.25" customHeight="1">
      <c r="A418" s="4"/>
      <c r="B418" s="4"/>
      <c r="C418" s="20"/>
      <c r="D418" s="42">
        <v>0.0</v>
      </c>
      <c r="E418" s="45"/>
      <c r="F418" s="32">
        <v>0.0</v>
      </c>
    </row>
    <row r="419" ht="14.25" customHeight="1">
      <c r="A419" s="4"/>
      <c r="B419" s="4"/>
      <c r="C419" s="20"/>
      <c r="D419" s="42">
        <v>0.0</v>
      </c>
      <c r="E419" s="45"/>
      <c r="F419" s="32">
        <v>0.0</v>
      </c>
    </row>
    <row r="420" ht="14.25" customHeight="1">
      <c r="A420" s="4"/>
      <c r="B420" s="4"/>
      <c r="C420" s="20"/>
      <c r="D420" s="42">
        <v>0.0</v>
      </c>
      <c r="E420" s="45"/>
      <c r="F420" s="32">
        <v>0.0</v>
      </c>
    </row>
    <row r="421" ht="14.25" customHeight="1">
      <c r="A421" s="4"/>
      <c r="B421" s="4"/>
      <c r="C421" s="20"/>
      <c r="D421" s="42">
        <v>0.0</v>
      </c>
      <c r="E421" s="45"/>
      <c r="F421" s="32">
        <v>0.0</v>
      </c>
    </row>
    <row r="422" ht="14.25" customHeight="1">
      <c r="A422" s="4"/>
      <c r="B422" s="4"/>
      <c r="C422" s="20"/>
      <c r="D422" s="42">
        <v>0.0</v>
      </c>
      <c r="E422" s="45"/>
      <c r="F422" s="32">
        <v>0.0</v>
      </c>
    </row>
    <row r="423" ht="14.25" customHeight="1">
      <c r="A423" s="4"/>
      <c r="B423" s="4"/>
      <c r="C423" s="20"/>
      <c r="D423" s="42">
        <v>0.0</v>
      </c>
      <c r="E423" s="45"/>
      <c r="F423" s="32">
        <v>0.0</v>
      </c>
    </row>
    <row r="424" ht="14.25" customHeight="1">
      <c r="A424" s="4"/>
      <c r="B424" s="4"/>
      <c r="C424" s="20"/>
      <c r="D424" s="42">
        <v>0.0</v>
      </c>
      <c r="E424" s="45"/>
      <c r="F424" s="32">
        <v>0.0</v>
      </c>
    </row>
    <row r="425" ht="14.25" customHeight="1">
      <c r="A425" s="4"/>
      <c r="B425" s="4"/>
      <c r="C425" s="20"/>
      <c r="D425" s="42">
        <v>0.0</v>
      </c>
      <c r="E425" s="45"/>
      <c r="F425" s="32">
        <v>0.0</v>
      </c>
    </row>
    <row r="426" ht="14.25" customHeight="1">
      <c r="A426" s="4"/>
      <c r="B426" s="4"/>
      <c r="C426" s="20"/>
      <c r="D426" s="42">
        <v>0.0</v>
      </c>
      <c r="E426" s="45"/>
      <c r="F426" s="32">
        <v>0.0</v>
      </c>
    </row>
    <row r="427" ht="14.25" customHeight="1">
      <c r="A427" s="4"/>
      <c r="B427" s="4"/>
      <c r="C427" s="20"/>
      <c r="D427" s="42">
        <v>0.0</v>
      </c>
      <c r="E427" s="45"/>
      <c r="F427" s="32">
        <v>0.0</v>
      </c>
    </row>
    <row r="428" ht="14.25" customHeight="1">
      <c r="A428" s="4"/>
      <c r="B428" s="4"/>
      <c r="C428" s="20"/>
      <c r="D428" s="42">
        <v>0.0</v>
      </c>
      <c r="E428" s="45"/>
      <c r="F428" s="32">
        <v>0.0</v>
      </c>
    </row>
    <row r="429" ht="14.25" customHeight="1">
      <c r="A429" s="4"/>
      <c r="B429" s="4"/>
      <c r="C429" s="20"/>
      <c r="D429" s="42">
        <v>0.0</v>
      </c>
      <c r="E429" s="45"/>
      <c r="F429" s="32">
        <v>0.0</v>
      </c>
    </row>
    <row r="430" ht="14.25" customHeight="1">
      <c r="A430" s="4"/>
      <c r="B430" s="4"/>
      <c r="C430" s="20"/>
      <c r="D430" s="42">
        <v>0.0</v>
      </c>
      <c r="E430" s="45"/>
      <c r="F430" s="32">
        <v>0.0</v>
      </c>
    </row>
    <row r="431" ht="14.25" customHeight="1">
      <c r="A431" s="4"/>
      <c r="B431" s="4"/>
      <c r="C431" s="20"/>
      <c r="D431" s="42">
        <v>0.0</v>
      </c>
      <c r="E431" s="45"/>
      <c r="F431" s="32">
        <v>0.0</v>
      </c>
    </row>
    <row r="432" ht="14.25" customHeight="1">
      <c r="A432" s="4"/>
      <c r="B432" s="4"/>
      <c r="C432" s="20"/>
      <c r="D432" s="42">
        <v>0.0</v>
      </c>
      <c r="E432" s="45"/>
      <c r="F432" s="32">
        <v>0.0</v>
      </c>
    </row>
    <row r="433" ht="14.25" customHeight="1">
      <c r="A433" s="4"/>
      <c r="B433" s="4"/>
      <c r="C433" s="20"/>
      <c r="D433" s="42">
        <v>0.0</v>
      </c>
      <c r="E433" s="45"/>
      <c r="F433" s="32">
        <v>0.0</v>
      </c>
    </row>
    <row r="434" ht="14.25" customHeight="1">
      <c r="A434" s="4"/>
      <c r="B434" s="4"/>
      <c r="C434" s="20"/>
      <c r="D434" s="42">
        <v>0.0</v>
      </c>
      <c r="E434" s="45"/>
      <c r="F434" s="32">
        <v>0.0</v>
      </c>
    </row>
    <row r="435" ht="14.25" customHeight="1">
      <c r="A435" s="4"/>
      <c r="B435" s="4"/>
      <c r="C435" s="20"/>
      <c r="D435" s="42">
        <v>0.0</v>
      </c>
      <c r="E435" s="45"/>
      <c r="F435" s="32">
        <v>0.0</v>
      </c>
    </row>
    <row r="436" ht="14.25" customHeight="1">
      <c r="A436" s="4"/>
      <c r="B436" s="4"/>
      <c r="C436" s="20"/>
      <c r="D436" s="42">
        <v>0.0</v>
      </c>
      <c r="E436" s="45"/>
      <c r="F436" s="32">
        <v>0.0</v>
      </c>
    </row>
    <row r="437" ht="14.25" customHeight="1">
      <c r="A437" s="4"/>
      <c r="B437" s="4"/>
      <c r="C437" s="20"/>
      <c r="D437" s="42">
        <v>0.0</v>
      </c>
      <c r="E437" s="45"/>
      <c r="F437" s="32">
        <v>0.0</v>
      </c>
    </row>
    <row r="438" ht="14.25" customHeight="1">
      <c r="A438" s="4"/>
      <c r="B438" s="4"/>
      <c r="C438" s="20"/>
      <c r="D438" s="42">
        <v>0.0</v>
      </c>
      <c r="E438" s="45"/>
      <c r="F438" s="32">
        <v>0.0</v>
      </c>
    </row>
    <row r="439" ht="14.25" customHeight="1">
      <c r="A439" s="4"/>
      <c r="B439" s="4"/>
      <c r="C439" s="20"/>
      <c r="D439" s="42">
        <v>0.0</v>
      </c>
      <c r="E439" s="45"/>
      <c r="F439" s="32">
        <v>0.0</v>
      </c>
    </row>
    <row r="440" ht="14.25" customHeight="1">
      <c r="A440" s="4"/>
      <c r="B440" s="4"/>
      <c r="C440" s="20"/>
      <c r="D440" s="42">
        <v>0.0</v>
      </c>
      <c r="E440" s="45"/>
      <c r="F440" s="32">
        <v>0.0</v>
      </c>
    </row>
    <row r="441" ht="14.25" customHeight="1">
      <c r="A441" s="4"/>
      <c r="B441" s="4"/>
      <c r="C441" s="20"/>
      <c r="D441" s="42">
        <v>0.0</v>
      </c>
      <c r="E441" s="45"/>
      <c r="F441" s="32">
        <v>0.0</v>
      </c>
    </row>
    <row r="442" ht="14.25" customHeight="1">
      <c r="A442" s="4"/>
      <c r="B442" s="4"/>
      <c r="C442" s="20"/>
      <c r="D442" s="42">
        <v>0.0</v>
      </c>
      <c r="E442" s="45"/>
      <c r="F442" s="32">
        <v>0.0</v>
      </c>
    </row>
    <row r="443" ht="14.25" customHeight="1">
      <c r="A443" s="4"/>
      <c r="B443" s="4"/>
      <c r="C443" s="20"/>
      <c r="D443" s="42">
        <v>0.0</v>
      </c>
      <c r="E443" s="45"/>
      <c r="F443" s="32">
        <v>0.0</v>
      </c>
    </row>
    <row r="444" ht="14.25" customHeight="1">
      <c r="A444" s="4"/>
      <c r="B444" s="4"/>
      <c r="C444" s="20"/>
      <c r="D444" s="42">
        <v>0.0</v>
      </c>
      <c r="E444" s="45"/>
      <c r="F444" s="32">
        <v>0.0</v>
      </c>
    </row>
    <row r="445" ht="14.25" customHeight="1">
      <c r="A445" s="4"/>
      <c r="B445" s="4"/>
      <c r="C445" s="20"/>
      <c r="D445" s="42">
        <v>0.0</v>
      </c>
      <c r="E445" s="45"/>
      <c r="F445" s="32">
        <v>0.0</v>
      </c>
    </row>
    <row r="446" ht="14.25" customHeight="1">
      <c r="A446" s="4"/>
      <c r="B446" s="4"/>
      <c r="C446" s="20"/>
      <c r="D446" s="42">
        <v>0.0</v>
      </c>
      <c r="E446" s="45"/>
      <c r="F446" s="32">
        <v>0.0</v>
      </c>
    </row>
    <row r="447" ht="14.25" customHeight="1">
      <c r="A447" s="4"/>
      <c r="B447" s="4"/>
      <c r="C447" s="20"/>
      <c r="D447" s="42">
        <v>0.0</v>
      </c>
      <c r="E447" s="45"/>
      <c r="F447" s="32">
        <v>0.0</v>
      </c>
    </row>
    <row r="448" ht="14.25" customHeight="1">
      <c r="A448" s="4"/>
      <c r="B448" s="4"/>
      <c r="C448" s="20"/>
      <c r="D448" s="42">
        <v>0.0</v>
      </c>
      <c r="E448" s="45"/>
      <c r="F448" s="32">
        <v>0.0</v>
      </c>
    </row>
    <row r="449" ht="14.25" customHeight="1">
      <c r="A449" s="4"/>
      <c r="B449" s="4"/>
      <c r="C449" s="20"/>
      <c r="D449" s="42">
        <v>0.0</v>
      </c>
      <c r="E449" s="45"/>
      <c r="F449" s="32">
        <v>0.0</v>
      </c>
    </row>
    <row r="450" ht="14.25" customHeight="1">
      <c r="A450" s="4"/>
      <c r="B450" s="4"/>
      <c r="C450" s="20"/>
      <c r="D450" s="42">
        <v>0.0</v>
      </c>
      <c r="E450" s="45"/>
      <c r="F450" s="32">
        <v>0.0</v>
      </c>
    </row>
    <row r="451" ht="14.25" customHeight="1">
      <c r="A451" s="4"/>
      <c r="B451" s="4"/>
      <c r="C451" s="20"/>
      <c r="D451" s="42">
        <v>0.0</v>
      </c>
      <c r="E451" s="45"/>
      <c r="F451" s="32">
        <v>0.0</v>
      </c>
    </row>
    <row r="452" ht="14.25" customHeight="1">
      <c r="A452" s="4"/>
      <c r="B452" s="4"/>
      <c r="C452" s="20"/>
      <c r="D452" s="42">
        <v>0.0</v>
      </c>
      <c r="E452" s="45"/>
      <c r="F452" s="32">
        <v>0.0</v>
      </c>
    </row>
    <row r="453" ht="14.25" customHeight="1">
      <c r="A453" s="4"/>
      <c r="B453" s="4"/>
      <c r="C453" s="20"/>
      <c r="D453" s="42">
        <v>0.0</v>
      </c>
      <c r="E453" s="45"/>
      <c r="F453" s="32">
        <v>0.0</v>
      </c>
    </row>
    <row r="454" ht="14.25" customHeight="1">
      <c r="A454" s="4"/>
      <c r="B454" s="4"/>
      <c r="C454" s="20"/>
      <c r="D454" s="42">
        <v>0.0</v>
      </c>
      <c r="E454" s="45"/>
      <c r="F454" s="32">
        <v>0.0</v>
      </c>
    </row>
    <row r="455" ht="14.25" customHeight="1">
      <c r="A455" s="4"/>
      <c r="B455" s="4"/>
      <c r="C455" s="20"/>
      <c r="D455" s="42">
        <v>0.0</v>
      </c>
      <c r="E455" s="45"/>
      <c r="F455" s="32">
        <v>0.0</v>
      </c>
    </row>
    <row r="456" ht="14.25" customHeight="1">
      <c r="A456" s="4"/>
      <c r="B456" s="4"/>
      <c r="C456" s="20"/>
      <c r="D456" s="42">
        <v>0.0</v>
      </c>
      <c r="E456" s="45"/>
      <c r="F456" s="32">
        <v>0.0</v>
      </c>
    </row>
    <row r="457" ht="14.25" customHeight="1">
      <c r="A457" s="4"/>
      <c r="B457" s="4"/>
      <c r="C457" s="20"/>
      <c r="D457" s="42">
        <v>0.0</v>
      </c>
      <c r="E457" s="45"/>
      <c r="F457" s="32">
        <v>0.0</v>
      </c>
    </row>
    <row r="458" ht="14.25" customHeight="1">
      <c r="A458" s="4"/>
      <c r="B458" s="4"/>
      <c r="C458" s="20"/>
      <c r="D458" s="42">
        <v>0.0</v>
      </c>
      <c r="E458" s="45"/>
      <c r="F458" s="32">
        <v>0.0</v>
      </c>
    </row>
    <row r="459" ht="14.25" customHeight="1">
      <c r="A459" s="4"/>
      <c r="B459" s="4"/>
      <c r="C459" s="20"/>
      <c r="D459" s="42">
        <v>0.0</v>
      </c>
      <c r="E459" s="45"/>
      <c r="F459" s="32">
        <v>0.0</v>
      </c>
    </row>
    <row r="460" ht="14.25" customHeight="1">
      <c r="A460" s="4"/>
      <c r="B460" s="4"/>
      <c r="C460" s="20"/>
      <c r="D460" s="42">
        <v>0.0</v>
      </c>
      <c r="E460" s="45"/>
      <c r="F460" s="32">
        <v>0.0</v>
      </c>
    </row>
    <row r="461" ht="14.25" customHeight="1">
      <c r="A461" s="4"/>
      <c r="B461" s="4"/>
      <c r="C461" s="20"/>
      <c r="D461" s="42">
        <v>0.0</v>
      </c>
      <c r="E461" s="45"/>
      <c r="F461" s="32">
        <v>0.0</v>
      </c>
    </row>
    <row r="462" ht="14.25" customHeight="1">
      <c r="A462" s="4"/>
      <c r="B462" s="4"/>
      <c r="C462" s="20"/>
      <c r="D462" s="42">
        <v>0.0</v>
      </c>
      <c r="E462" s="45"/>
      <c r="F462" s="32">
        <v>0.0</v>
      </c>
    </row>
    <row r="463" ht="14.25" customHeight="1">
      <c r="A463" s="4"/>
      <c r="B463" s="4"/>
      <c r="C463" s="20"/>
      <c r="D463" s="42">
        <v>0.0</v>
      </c>
      <c r="E463" s="45"/>
      <c r="F463" s="32">
        <v>0.0</v>
      </c>
    </row>
    <row r="464" ht="14.25" customHeight="1">
      <c r="A464" s="4"/>
      <c r="B464" s="4"/>
      <c r="C464" s="20"/>
      <c r="D464" s="42">
        <v>0.0</v>
      </c>
      <c r="E464" s="45"/>
      <c r="F464" s="32">
        <v>0.0</v>
      </c>
    </row>
    <row r="465" ht="14.25" customHeight="1">
      <c r="A465" s="4"/>
      <c r="B465" s="4"/>
      <c r="C465" s="20"/>
      <c r="D465" s="42">
        <v>0.0</v>
      </c>
      <c r="E465" s="45"/>
      <c r="F465" s="32">
        <v>0.0</v>
      </c>
    </row>
    <row r="466" ht="14.25" customHeight="1">
      <c r="A466" s="4"/>
      <c r="B466" s="4"/>
      <c r="C466" s="20"/>
      <c r="D466" s="42">
        <v>0.0</v>
      </c>
      <c r="E466" s="45"/>
      <c r="F466" s="32">
        <v>0.0</v>
      </c>
    </row>
    <row r="467" ht="14.25" customHeight="1">
      <c r="A467" s="4"/>
      <c r="B467" s="4"/>
      <c r="C467" s="20"/>
      <c r="D467" s="42">
        <v>0.0</v>
      </c>
      <c r="E467" s="45"/>
      <c r="F467" s="32">
        <v>0.0</v>
      </c>
    </row>
    <row r="468" ht="14.25" customHeight="1">
      <c r="A468" s="4"/>
      <c r="B468" s="4"/>
      <c r="C468" s="20"/>
      <c r="D468" s="42">
        <v>0.0</v>
      </c>
      <c r="E468" s="45"/>
      <c r="F468" s="32">
        <v>0.0</v>
      </c>
    </row>
    <row r="469" ht="14.25" customHeight="1">
      <c r="A469" s="4"/>
      <c r="B469" s="4"/>
      <c r="C469" s="20"/>
      <c r="D469" s="42">
        <v>0.0</v>
      </c>
      <c r="E469" s="45"/>
      <c r="F469" s="32">
        <v>0.0</v>
      </c>
    </row>
    <row r="470" ht="14.25" customHeight="1">
      <c r="A470" s="4"/>
      <c r="B470" s="4"/>
      <c r="C470" s="20"/>
      <c r="D470" s="42">
        <v>0.0</v>
      </c>
      <c r="E470" s="45"/>
      <c r="F470" s="32">
        <v>0.0</v>
      </c>
    </row>
    <row r="471" ht="14.25" customHeight="1">
      <c r="A471" s="4"/>
      <c r="B471" s="4"/>
      <c r="C471" s="20"/>
      <c r="D471" s="42">
        <v>0.0</v>
      </c>
      <c r="E471" s="45"/>
      <c r="F471" s="32">
        <v>0.0</v>
      </c>
    </row>
    <row r="472" ht="14.25" customHeight="1">
      <c r="A472" s="4"/>
      <c r="B472" s="4"/>
      <c r="C472" s="20"/>
      <c r="D472" s="42">
        <v>0.0</v>
      </c>
      <c r="E472" s="45"/>
      <c r="F472" s="32">
        <v>0.0</v>
      </c>
    </row>
    <row r="473" ht="14.25" customHeight="1">
      <c r="A473" s="4"/>
      <c r="B473" s="4"/>
      <c r="C473" s="20"/>
      <c r="D473" s="42">
        <v>0.0</v>
      </c>
      <c r="E473" s="45"/>
      <c r="F473" s="32">
        <v>0.0</v>
      </c>
    </row>
    <row r="474" ht="14.25" customHeight="1">
      <c r="A474" s="4"/>
      <c r="B474" s="4"/>
      <c r="C474" s="20"/>
      <c r="D474" s="42">
        <v>0.0</v>
      </c>
      <c r="E474" s="45"/>
      <c r="F474" s="32">
        <v>0.0</v>
      </c>
    </row>
    <row r="475" ht="14.25" customHeight="1">
      <c r="A475" s="4"/>
      <c r="B475" s="4"/>
      <c r="C475" s="20"/>
      <c r="D475" s="42">
        <v>0.0</v>
      </c>
      <c r="E475" s="45"/>
      <c r="F475" s="32">
        <v>0.0</v>
      </c>
    </row>
    <row r="476" ht="14.25" customHeight="1">
      <c r="A476" s="4"/>
      <c r="B476" s="4"/>
      <c r="C476" s="20"/>
      <c r="D476" s="42">
        <v>0.0</v>
      </c>
      <c r="E476" s="45"/>
      <c r="F476" s="32">
        <v>0.0</v>
      </c>
    </row>
    <row r="477" ht="14.25" customHeight="1">
      <c r="A477" s="4"/>
      <c r="B477" s="4"/>
      <c r="C477" s="20"/>
      <c r="D477" s="42">
        <v>0.0</v>
      </c>
      <c r="E477" s="45"/>
      <c r="F477" s="32">
        <v>0.0</v>
      </c>
    </row>
    <row r="478" ht="14.25" customHeight="1">
      <c r="A478" s="4"/>
      <c r="B478" s="4"/>
      <c r="C478" s="20"/>
      <c r="D478" s="42">
        <v>0.0</v>
      </c>
      <c r="E478" s="45"/>
      <c r="F478" s="32">
        <v>0.0</v>
      </c>
    </row>
    <row r="479" ht="14.25" customHeight="1">
      <c r="A479" s="4"/>
      <c r="B479" s="4"/>
      <c r="C479" s="20"/>
      <c r="D479" s="42">
        <v>0.0</v>
      </c>
      <c r="E479" s="45"/>
      <c r="F479" s="32">
        <v>0.0</v>
      </c>
    </row>
    <row r="480" ht="14.25" customHeight="1">
      <c r="A480" s="4"/>
      <c r="B480" s="4"/>
      <c r="C480" s="20"/>
      <c r="D480" s="42">
        <v>0.0</v>
      </c>
      <c r="E480" s="45"/>
      <c r="F480" s="32">
        <v>0.0</v>
      </c>
    </row>
    <row r="481" ht="14.25" customHeight="1">
      <c r="A481" s="4"/>
      <c r="B481" s="4"/>
      <c r="C481" s="20"/>
      <c r="D481" s="42">
        <v>0.0</v>
      </c>
      <c r="E481" s="45"/>
      <c r="F481" s="32">
        <v>0.0</v>
      </c>
    </row>
    <row r="482" ht="14.25" customHeight="1">
      <c r="A482" s="4"/>
      <c r="B482" s="4"/>
      <c r="C482" s="20"/>
      <c r="D482" s="42">
        <v>0.0</v>
      </c>
      <c r="E482" s="45"/>
      <c r="F482" s="32">
        <v>0.0</v>
      </c>
    </row>
    <row r="483" ht="14.25" customHeight="1">
      <c r="A483" s="4"/>
      <c r="B483" s="4"/>
      <c r="C483" s="20"/>
      <c r="D483" s="42">
        <v>0.0</v>
      </c>
      <c r="E483" s="45"/>
      <c r="F483" s="32">
        <v>0.0</v>
      </c>
    </row>
    <row r="484" ht="14.25" customHeight="1">
      <c r="A484" s="4"/>
      <c r="B484" s="4"/>
      <c r="C484" s="20"/>
      <c r="D484" s="42">
        <v>0.0</v>
      </c>
      <c r="E484" s="45"/>
      <c r="F484" s="32">
        <v>0.0</v>
      </c>
    </row>
    <row r="485" ht="14.25" customHeight="1">
      <c r="A485" s="4"/>
      <c r="B485" s="4"/>
      <c r="C485" s="20"/>
      <c r="D485" s="42">
        <v>0.0</v>
      </c>
      <c r="E485" s="45"/>
      <c r="F485" s="32">
        <v>0.0</v>
      </c>
    </row>
    <row r="486" ht="14.25" customHeight="1">
      <c r="A486" s="4"/>
      <c r="B486" s="4"/>
      <c r="C486" s="20"/>
      <c r="D486" s="42">
        <v>0.0</v>
      </c>
      <c r="E486" s="45"/>
      <c r="F486" s="32">
        <v>0.0</v>
      </c>
    </row>
    <row r="487" ht="14.25" customHeight="1">
      <c r="A487" s="4"/>
      <c r="B487" s="4"/>
      <c r="C487" s="20"/>
      <c r="D487" s="42">
        <v>0.0</v>
      </c>
      <c r="E487" s="45"/>
      <c r="F487" s="32">
        <v>0.0</v>
      </c>
    </row>
    <row r="488" ht="14.25" customHeight="1">
      <c r="A488" s="4"/>
      <c r="B488" s="4"/>
      <c r="C488" s="20"/>
      <c r="D488" s="42">
        <v>0.0</v>
      </c>
      <c r="E488" s="45"/>
      <c r="F488" s="32">
        <v>0.0</v>
      </c>
    </row>
    <row r="489" ht="14.25" customHeight="1">
      <c r="A489" s="4"/>
      <c r="B489" s="4"/>
      <c r="C489" s="20"/>
      <c r="D489" s="42">
        <v>0.0</v>
      </c>
      <c r="E489" s="45"/>
      <c r="F489" s="32">
        <v>0.0</v>
      </c>
    </row>
    <row r="490" ht="14.25" customHeight="1">
      <c r="A490" s="4"/>
      <c r="B490" s="4"/>
      <c r="C490" s="20"/>
      <c r="D490" s="42">
        <v>0.0</v>
      </c>
      <c r="E490" s="45"/>
      <c r="F490" s="32">
        <v>0.0</v>
      </c>
    </row>
    <row r="491" ht="14.25" customHeight="1">
      <c r="A491" s="4"/>
      <c r="B491" s="4"/>
      <c r="C491" s="20"/>
      <c r="D491" s="42">
        <v>0.0</v>
      </c>
      <c r="E491" s="45"/>
      <c r="F491" s="32">
        <v>0.0</v>
      </c>
    </row>
    <row r="492" ht="14.25" customHeight="1">
      <c r="A492" s="4"/>
      <c r="B492" s="4"/>
      <c r="C492" s="20"/>
      <c r="D492" s="42">
        <v>0.0</v>
      </c>
      <c r="E492" s="45"/>
      <c r="F492" s="32">
        <v>0.0</v>
      </c>
    </row>
    <row r="493" ht="14.25" customHeight="1">
      <c r="A493" s="4"/>
      <c r="B493" s="4"/>
      <c r="C493" s="20"/>
      <c r="D493" s="42">
        <v>0.0</v>
      </c>
      <c r="E493" s="45"/>
      <c r="F493" s="32">
        <v>0.0</v>
      </c>
    </row>
    <row r="494" ht="14.25" customHeight="1">
      <c r="A494" s="4"/>
      <c r="B494" s="4"/>
      <c r="C494" s="20"/>
      <c r="D494" s="42">
        <v>0.0</v>
      </c>
      <c r="E494" s="45"/>
      <c r="F494" s="32">
        <v>0.0</v>
      </c>
    </row>
    <row r="495" ht="14.25" customHeight="1">
      <c r="A495" s="4"/>
      <c r="B495" s="4"/>
      <c r="C495" s="20"/>
      <c r="D495" s="42">
        <v>0.0</v>
      </c>
      <c r="E495" s="45"/>
      <c r="F495" s="32">
        <v>0.0</v>
      </c>
    </row>
    <row r="496" ht="14.25" customHeight="1">
      <c r="A496" s="4"/>
      <c r="B496" s="4"/>
      <c r="C496" s="20"/>
      <c r="D496" s="42">
        <v>0.0</v>
      </c>
      <c r="E496" s="45"/>
      <c r="F496" s="32">
        <v>0.0</v>
      </c>
    </row>
    <row r="497" ht="14.25" customHeight="1">
      <c r="A497" s="4"/>
      <c r="B497" s="4"/>
      <c r="C497" s="20"/>
      <c r="D497" s="42">
        <v>0.0</v>
      </c>
      <c r="E497" s="45"/>
      <c r="F497" s="32">
        <v>0.0</v>
      </c>
    </row>
    <row r="498" ht="14.25" customHeight="1">
      <c r="A498" s="4"/>
      <c r="B498" s="4"/>
      <c r="C498" s="20"/>
      <c r="D498" s="42">
        <v>0.0</v>
      </c>
      <c r="E498" s="45"/>
      <c r="F498" s="32">
        <v>0.0</v>
      </c>
    </row>
    <row r="499" ht="14.25" customHeight="1">
      <c r="A499" s="4"/>
      <c r="B499" s="4"/>
      <c r="C499" s="20"/>
      <c r="D499" s="42">
        <v>0.0</v>
      </c>
      <c r="E499" s="45"/>
      <c r="F499" s="32">
        <v>0.0</v>
      </c>
    </row>
    <row r="500" ht="14.25" customHeight="1">
      <c r="A500" s="4"/>
      <c r="B500" s="4"/>
      <c r="C500" s="20"/>
      <c r="D500" s="42">
        <v>0.0</v>
      </c>
      <c r="E500" s="45"/>
      <c r="F500" s="32">
        <v>0.0</v>
      </c>
    </row>
    <row r="501" ht="14.25" customHeight="1">
      <c r="A501" s="4"/>
      <c r="B501" s="4"/>
      <c r="C501" s="20"/>
      <c r="D501" s="42">
        <v>0.0</v>
      </c>
      <c r="E501" s="45"/>
      <c r="F501" s="32">
        <v>0.0</v>
      </c>
    </row>
    <row r="502" ht="14.25" customHeight="1">
      <c r="A502" s="4"/>
      <c r="B502" s="4"/>
      <c r="C502" s="20"/>
      <c r="D502" s="42">
        <v>0.0</v>
      </c>
      <c r="E502" s="45"/>
      <c r="F502" s="32">
        <v>0.0</v>
      </c>
    </row>
    <row r="503" ht="14.25" customHeight="1">
      <c r="A503" s="4"/>
      <c r="B503" s="4"/>
      <c r="C503" s="20"/>
      <c r="D503" s="42">
        <v>0.0</v>
      </c>
      <c r="E503" s="45"/>
      <c r="F503" s="32">
        <v>0.0</v>
      </c>
    </row>
    <row r="504" ht="14.25" customHeight="1">
      <c r="A504" s="4"/>
      <c r="B504" s="4"/>
      <c r="C504" s="20"/>
      <c r="D504" s="42">
        <v>0.0</v>
      </c>
      <c r="E504" s="45"/>
      <c r="F504" s="32">
        <v>0.0</v>
      </c>
    </row>
    <row r="505" ht="14.25" customHeight="1">
      <c r="A505" s="4"/>
      <c r="B505" s="4"/>
      <c r="C505" s="20"/>
      <c r="D505" s="42">
        <v>0.0</v>
      </c>
      <c r="E505" s="45"/>
      <c r="F505" s="32">
        <v>0.0</v>
      </c>
    </row>
    <row r="506" ht="14.25" customHeight="1">
      <c r="A506" s="4"/>
      <c r="B506" s="4"/>
      <c r="C506" s="20"/>
      <c r="D506" s="42">
        <v>0.0</v>
      </c>
      <c r="E506" s="45"/>
      <c r="F506" s="32">
        <v>0.0</v>
      </c>
    </row>
    <row r="507" ht="14.25" customHeight="1">
      <c r="A507" s="4"/>
      <c r="B507" s="4"/>
      <c r="C507" s="20"/>
      <c r="D507" s="42">
        <v>0.0</v>
      </c>
      <c r="E507" s="45"/>
      <c r="F507" s="32">
        <v>0.0</v>
      </c>
    </row>
    <row r="508" ht="14.25" customHeight="1">
      <c r="A508" s="4"/>
      <c r="B508" s="4"/>
      <c r="C508" s="20"/>
      <c r="D508" s="42">
        <v>0.0</v>
      </c>
      <c r="E508" s="45"/>
      <c r="F508" s="32">
        <v>0.0</v>
      </c>
    </row>
    <row r="509" ht="14.25" customHeight="1">
      <c r="A509" s="4"/>
      <c r="B509" s="4"/>
      <c r="C509" s="20"/>
      <c r="D509" s="42">
        <v>0.0</v>
      </c>
      <c r="E509" s="45"/>
      <c r="F509" s="32">
        <v>0.0</v>
      </c>
    </row>
    <row r="510" ht="14.25" customHeight="1">
      <c r="A510" s="4"/>
      <c r="B510" s="4"/>
      <c r="C510" s="20"/>
      <c r="D510" s="42">
        <v>0.0</v>
      </c>
      <c r="E510" s="45"/>
      <c r="F510" s="32">
        <v>0.0</v>
      </c>
    </row>
    <row r="511" ht="14.25" customHeight="1">
      <c r="A511" s="4"/>
      <c r="B511" s="4"/>
      <c r="C511" s="20"/>
      <c r="D511" s="42">
        <v>0.0</v>
      </c>
      <c r="E511" s="45"/>
      <c r="F511" s="32">
        <v>0.0</v>
      </c>
    </row>
    <row r="512" ht="14.25" customHeight="1">
      <c r="A512" s="4"/>
      <c r="B512" s="4"/>
      <c r="C512" s="20"/>
      <c r="D512" s="42">
        <v>0.0</v>
      </c>
      <c r="E512" s="45"/>
      <c r="F512" s="32">
        <v>0.0</v>
      </c>
    </row>
    <row r="513" ht="14.25" customHeight="1">
      <c r="A513" s="4"/>
      <c r="B513" s="4"/>
      <c r="C513" s="20"/>
      <c r="D513" s="42">
        <v>0.0</v>
      </c>
      <c r="E513" s="45"/>
      <c r="F513" s="32">
        <v>0.0</v>
      </c>
    </row>
    <row r="514" ht="14.25" customHeight="1">
      <c r="A514" s="4"/>
      <c r="B514" s="4"/>
      <c r="C514" s="20"/>
      <c r="D514" s="42">
        <v>0.0</v>
      </c>
      <c r="E514" s="45"/>
      <c r="F514" s="32">
        <v>0.0</v>
      </c>
    </row>
    <row r="515" ht="14.25" customHeight="1">
      <c r="A515" s="4"/>
      <c r="B515" s="4"/>
      <c r="C515" s="20"/>
      <c r="D515" s="42">
        <v>0.0</v>
      </c>
      <c r="E515" s="45"/>
      <c r="F515" s="32">
        <v>0.0</v>
      </c>
    </row>
    <row r="516" ht="14.25" customHeight="1">
      <c r="A516" s="4"/>
      <c r="B516" s="4"/>
      <c r="C516" s="20"/>
      <c r="D516" s="42">
        <v>0.0</v>
      </c>
      <c r="E516" s="45"/>
      <c r="F516" s="32">
        <v>0.0</v>
      </c>
    </row>
    <row r="517" ht="14.25" customHeight="1">
      <c r="A517" s="4"/>
      <c r="B517" s="4"/>
      <c r="C517" s="20"/>
      <c r="D517" s="42">
        <v>0.0</v>
      </c>
      <c r="E517" s="45"/>
      <c r="F517" s="32">
        <v>0.0</v>
      </c>
    </row>
    <row r="518" ht="14.25" customHeight="1">
      <c r="A518" s="4"/>
      <c r="B518" s="4"/>
      <c r="C518" s="20"/>
      <c r="D518" s="42">
        <v>0.0</v>
      </c>
      <c r="E518" s="45"/>
      <c r="F518" s="32">
        <v>0.0</v>
      </c>
    </row>
    <row r="519" ht="14.25" customHeight="1">
      <c r="A519" s="4"/>
      <c r="B519" s="4"/>
      <c r="C519" s="20"/>
      <c r="D519" s="42">
        <v>0.0</v>
      </c>
      <c r="E519" s="45"/>
      <c r="F519" s="32">
        <v>0.0</v>
      </c>
    </row>
    <row r="520" ht="14.25" customHeight="1">
      <c r="A520" s="4"/>
      <c r="B520" s="4"/>
      <c r="C520" s="20"/>
      <c r="D520" s="42">
        <v>0.0</v>
      </c>
      <c r="E520" s="45"/>
      <c r="F520" s="32">
        <v>0.0</v>
      </c>
    </row>
    <row r="521" ht="14.25" customHeight="1">
      <c r="A521" s="4"/>
      <c r="B521" s="4"/>
      <c r="C521" s="20"/>
      <c r="D521" s="42">
        <v>0.0</v>
      </c>
      <c r="E521" s="45"/>
      <c r="F521" s="32">
        <v>0.0</v>
      </c>
    </row>
    <row r="522" ht="14.25" customHeight="1">
      <c r="A522" s="4"/>
      <c r="B522" s="4"/>
      <c r="C522" s="20"/>
      <c r="D522" s="42">
        <v>0.0</v>
      </c>
      <c r="E522" s="45"/>
      <c r="F522" s="32">
        <v>0.0</v>
      </c>
    </row>
    <row r="523" ht="14.25" customHeight="1">
      <c r="A523" s="4"/>
      <c r="B523" s="4"/>
      <c r="C523" s="20"/>
      <c r="D523" s="42">
        <v>0.0</v>
      </c>
      <c r="E523" s="45"/>
      <c r="F523" s="32">
        <v>0.0</v>
      </c>
    </row>
    <row r="524" ht="14.25" customHeight="1">
      <c r="A524" s="4"/>
      <c r="B524" s="4"/>
      <c r="C524" s="20"/>
      <c r="D524" s="42">
        <v>0.0</v>
      </c>
      <c r="E524" s="45"/>
      <c r="F524" s="32">
        <v>0.0</v>
      </c>
    </row>
    <row r="525" ht="14.25" customHeight="1">
      <c r="A525" s="4"/>
      <c r="B525" s="4"/>
      <c r="C525" s="20"/>
      <c r="D525" s="42">
        <v>0.0</v>
      </c>
      <c r="E525" s="45"/>
      <c r="F525" s="32">
        <v>0.0</v>
      </c>
    </row>
    <row r="526" ht="14.25" customHeight="1">
      <c r="A526" s="4"/>
      <c r="B526" s="4"/>
      <c r="C526" s="20"/>
      <c r="D526" s="42">
        <v>0.0</v>
      </c>
      <c r="E526" s="45"/>
      <c r="F526" s="32">
        <v>0.0</v>
      </c>
    </row>
    <row r="527" ht="14.25" customHeight="1">
      <c r="A527" s="4"/>
      <c r="B527" s="4"/>
      <c r="C527" s="20"/>
      <c r="D527" s="42">
        <v>0.0</v>
      </c>
      <c r="E527" s="45"/>
      <c r="F527" s="32">
        <v>0.0</v>
      </c>
    </row>
    <row r="528" ht="14.25" customHeight="1">
      <c r="A528" s="4"/>
      <c r="B528" s="4"/>
      <c r="C528" s="20"/>
      <c r="D528" s="42">
        <v>0.0</v>
      </c>
      <c r="E528" s="45"/>
      <c r="F528" s="32">
        <v>0.0</v>
      </c>
    </row>
    <row r="529" ht="14.25" customHeight="1">
      <c r="A529" s="4"/>
      <c r="B529" s="4"/>
      <c r="C529" s="20"/>
      <c r="D529" s="42">
        <v>0.0</v>
      </c>
      <c r="E529" s="45"/>
      <c r="F529" s="32">
        <v>0.0</v>
      </c>
    </row>
    <row r="530" ht="14.25" customHeight="1">
      <c r="A530" s="4"/>
      <c r="B530" s="4"/>
      <c r="C530" s="20"/>
      <c r="D530" s="42">
        <v>0.0</v>
      </c>
      <c r="E530" s="45"/>
      <c r="F530" s="32">
        <v>0.0</v>
      </c>
    </row>
    <row r="531" ht="14.25" customHeight="1">
      <c r="A531" s="4"/>
      <c r="B531" s="4"/>
      <c r="C531" s="20"/>
      <c r="D531" s="42">
        <v>0.0</v>
      </c>
      <c r="E531" s="45"/>
      <c r="F531" s="32">
        <v>0.0</v>
      </c>
    </row>
    <row r="532" ht="14.25" customHeight="1">
      <c r="A532" s="4"/>
      <c r="B532" s="4"/>
      <c r="C532" s="20"/>
      <c r="D532" s="42">
        <v>0.0</v>
      </c>
      <c r="E532" s="45"/>
      <c r="F532" s="32">
        <v>0.0</v>
      </c>
    </row>
    <row r="533" ht="14.25" customHeight="1">
      <c r="A533" s="4"/>
      <c r="B533" s="4"/>
      <c r="C533" s="20"/>
      <c r="D533" s="42">
        <v>0.0</v>
      </c>
      <c r="E533" s="45"/>
      <c r="F533" s="32">
        <v>0.0</v>
      </c>
    </row>
    <row r="534" ht="14.25" customHeight="1">
      <c r="A534" s="4"/>
      <c r="B534" s="4"/>
      <c r="C534" s="20"/>
      <c r="D534" s="42">
        <v>0.0</v>
      </c>
      <c r="E534" s="45"/>
      <c r="F534" s="32">
        <v>0.0</v>
      </c>
    </row>
    <row r="535" ht="14.25" customHeight="1">
      <c r="A535" s="4"/>
      <c r="B535" s="4"/>
      <c r="C535" s="20"/>
      <c r="D535" s="42">
        <v>0.0</v>
      </c>
      <c r="E535" s="45"/>
      <c r="F535" s="32">
        <v>0.0</v>
      </c>
    </row>
    <row r="536" ht="14.25" customHeight="1">
      <c r="A536" s="4"/>
      <c r="B536" s="4"/>
      <c r="C536" s="20"/>
      <c r="D536" s="42">
        <v>0.0</v>
      </c>
      <c r="E536" s="45"/>
      <c r="F536" s="32">
        <v>0.0</v>
      </c>
    </row>
    <row r="537" ht="14.25" customHeight="1">
      <c r="A537" s="4"/>
      <c r="B537" s="4"/>
      <c r="C537" s="20"/>
      <c r="D537" s="42">
        <v>0.0</v>
      </c>
      <c r="E537" s="45"/>
      <c r="F537" s="32">
        <v>0.0</v>
      </c>
    </row>
    <row r="538" ht="14.25" customHeight="1">
      <c r="A538" s="4"/>
      <c r="B538" s="4"/>
      <c r="C538" s="20"/>
      <c r="D538" s="42">
        <v>0.0</v>
      </c>
      <c r="E538" s="45"/>
      <c r="F538" s="32">
        <v>0.0</v>
      </c>
    </row>
    <row r="539" ht="14.25" customHeight="1">
      <c r="A539" s="4"/>
      <c r="B539" s="4"/>
      <c r="C539" s="20"/>
      <c r="D539" s="42">
        <v>0.0</v>
      </c>
      <c r="E539" s="45"/>
      <c r="F539" s="32">
        <v>0.0</v>
      </c>
    </row>
    <row r="540" ht="14.25" customHeight="1">
      <c r="A540" s="4"/>
      <c r="B540" s="4"/>
      <c r="C540" s="20"/>
      <c r="D540" s="42">
        <v>0.0</v>
      </c>
      <c r="E540" s="45"/>
      <c r="F540" s="32">
        <v>0.0</v>
      </c>
    </row>
    <row r="541" ht="14.25" customHeight="1">
      <c r="A541" s="4"/>
      <c r="B541" s="4"/>
      <c r="C541" s="20"/>
      <c r="D541" s="42">
        <v>0.0</v>
      </c>
      <c r="E541" s="45"/>
      <c r="F541" s="32">
        <v>0.0</v>
      </c>
    </row>
    <row r="542" ht="14.25" customHeight="1">
      <c r="A542" s="4"/>
      <c r="B542" s="4"/>
      <c r="C542" s="20"/>
      <c r="D542" s="42">
        <v>0.0</v>
      </c>
      <c r="E542" s="45"/>
      <c r="F542" s="32">
        <v>0.0</v>
      </c>
    </row>
    <row r="543" ht="14.25" customHeight="1">
      <c r="A543" s="4"/>
      <c r="B543" s="4"/>
      <c r="C543" s="20"/>
      <c r="D543" s="42">
        <v>0.0</v>
      </c>
      <c r="E543" s="45"/>
      <c r="F543" s="32">
        <v>0.0</v>
      </c>
    </row>
    <row r="544" ht="14.25" customHeight="1">
      <c r="A544" s="4"/>
      <c r="B544" s="4"/>
      <c r="C544" s="20"/>
      <c r="D544" s="42">
        <v>0.0</v>
      </c>
      <c r="E544" s="45"/>
      <c r="F544" s="32">
        <v>0.0</v>
      </c>
    </row>
    <row r="545" ht="14.25" customHeight="1">
      <c r="A545" s="4"/>
      <c r="B545" s="4"/>
      <c r="C545" s="20"/>
      <c r="D545" s="42">
        <v>0.0</v>
      </c>
      <c r="E545" s="45"/>
      <c r="F545" s="32">
        <v>0.0</v>
      </c>
    </row>
    <row r="546" ht="14.25" customHeight="1">
      <c r="A546" s="4"/>
      <c r="B546" s="4"/>
      <c r="C546" s="20"/>
      <c r="D546" s="42">
        <v>0.0</v>
      </c>
      <c r="E546" s="45"/>
      <c r="F546" s="32">
        <v>0.0</v>
      </c>
    </row>
    <row r="547" ht="14.25" customHeight="1">
      <c r="A547" s="4"/>
      <c r="B547" s="4"/>
      <c r="C547" s="20"/>
      <c r="D547" s="42">
        <v>0.0</v>
      </c>
      <c r="E547" s="45"/>
      <c r="F547" s="32">
        <v>0.0</v>
      </c>
    </row>
    <row r="548" ht="14.25" customHeight="1">
      <c r="A548" s="4"/>
      <c r="B548" s="4"/>
      <c r="C548" s="20"/>
      <c r="D548" s="42">
        <v>0.0</v>
      </c>
      <c r="E548" s="45"/>
      <c r="F548" s="32">
        <v>0.0</v>
      </c>
    </row>
    <row r="549" ht="14.25" customHeight="1">
      <c r="A549" s="4"/>
      <c r="B549" s="4"/>
      <c r="C549" s="20"/>
      <c r="D549" s="42">
        <v>0.0</v>
      </c>
      <c r="E549" s="45"/>
      <c r="F549" s="32">
        <v>0.0</v>
      </c>
    </row>
    <row r="550" ht="14.25" customHeight="1">
      <c r="A550" s="4"/>
      <c r="B550" s="4"/>
      <c r="C550" s="20"/>
      <c r="D550" s="42">
        <v>0.0</v>
      </c>
      <c r="E550" s="45"/>
      <c r="F550" s="32">
        <v>0.0</v>
      </c>
    </row>
    <row r="551" ht="14.25" customHeight="1">
      <c r="A551" s="4"/>
      <c r="B551" s="4"/>
      <c r="C551" s="20"/>
      <c r="D551" s="42">
        <v>0.0</v>
      </c>
      <c r="E551" s="45"/>
      <c r="F551" s="32">
        <v>0.0</v>
      </c>
    </row>
    <row r="552" ht="14.25" customHeight="1">
      <c r="A552" s="4"/>
      <c r="B552" s="4"/>
      <c r="C552" s="20"/>
      <c r="D552" s="42">
        <v>0.0</v>
      </c>
      <c r="E552" s="45"/>
      <c r="F552" s="32">
        <v>0.0</v>
      </c>
    </row>
    <row r="553" ht="14.25" customHeight="1">
      <c r="A553" s="4"/>
      <c r="B553" s="4"/>
      <c r="C553" s="20"/>
      <c r="D553" s="42">
        <v>0.0</v>
      </c>
      <c r="E553" s="45"/>
      <c r="F553" s="32">
        <v>0.0</v>
      </c>
    </row>
    <row r="554" ht="14.25" customHeight="1">
      <c r="A554" s="4"/>
      <c r="B554" s="4"/>
      <c r="C554" s="20"/>
      <c r="D554" s="42">
        <v>0.0</v>
      </c>
      <c r="E554" s="45"/>
      <c r="F554" s="32">
        <v>0.0</v>
      </c>
    </row>
    <row r="555" ht="14.25" customHeight="1">
      <c r="A555" s="4"/>
      <c r="B555" s="4"/>
      <c r="C555" s="20"/>
      <c r="D555" s="42">
        <v>0.0</v>
      </c>
      <c r="E555" s="45"/>
      <c r="F555" s="32">
        <v>0.0</v>
      </c>
    </row>
    <row r="556" ht="14.25" customHeight="1">
      <c r="A556" s="4"/>
      <c r="B556" s="4"/>
      <c r="C556" s="20"/>
      <c r="D556" s="42">
        <v>0.0</v>
      </c>
      <c r="E556" s="45"/>
      <c r="F556" s="32">
        <v>0.0</v>
      </c>
    </row>
    <row r="557" ht="14.25" customHeight="1">
      <c r="A557" s="4"/>
      <c r="B557" s="4"/>
      <c r="C557" s="20"/>
      <c r="D557" s="42">
        <v>0.0</v>
      </c>
      <c r="E557" s="45"/>
      <c r="F557" s="32">
        <v>0.0</v>
      </c>
    </row>
    <row r="558" ht="14.25" customHeight="1">
      <c r="A558" s="4"/>
      <c r="B558" s="4"/>
      <c r="C558" s="20"/>
      <c r="D558" s="42">
        <v>0.0</v>
      </c>
      <c r="E558" s="45"/>
      <c r="F558" s="32">
        <v>0.0</v>
      </c>
    </row>
    <row r="559" ht="14.25" customHeight="1">
      <c r="A559" s="4"/>
      <c r="B559" s="4"/>
      <c r="C559" s="20"/>
      <c r="D559" s="42">
        <v>0.0</v>
      </c>
      <c r="E559" s="45"/>
      <c r="F559" s="32">
        <v>0.0</v>
      </c>
    </row>
    <row r="560" ht="14.25" customHeight="1">
      <c r="A560" s="4"/>
      <c r="B560" s="4"/>
      <c r="C560" s="20"/>
      <c r="D560" s="42">
        <v>0.0</v>
      </c>
      <c r="E560" s="45"/>
      <c r="F560" s="32">
        <v>0.0</v>
      </c>
    </row>
    <row r="561" ht="14.25" customHeight="1">
      <c r="A561" s="4"/>
      <c r="B561" s="4"/>
      <c r="C561" s="20"/>
      <c r="D561" s="42">
        <v>0.0</v>
      </c>
      <c r="E561" s="45"/>
      <c r="F561" s="32">
        <v>0.0</v>
      </c>
    </row>
    <row r="562" ht="14.25" customHeight="1">
      <c r="A562" s="4"/>
      <c r="B562" s="4"/>
      <c r="C562" s="20"/>
      <c r="D562" s="42">
        <v>0.0</v>
      </c>
      <c r="E562" s="45"/>
      <c r="F562" s="32">
        <v>0.0</v>
      </c>
    </row>
    <row r="563" ht="14.25" customHeight="1">
      <c r="A563" s="4"/>
      <c r="B563" s="4"/>
      <c r="C563" s="20"/>
      <c r="D563" s="42">
        <v>0.0</v>
      </c>
      <c r="E563" s="45"/>
      <c r="F563" s="32">
        <v>0.0</v>
      </c>
    </row>
    <row r="564" ht="14.25" customHeight="1">
      <c r="A564" s="4"/>
      <c r="B564" s="4"/>
      <c r="C564" s="20"/>
      <c r="D564" s="42">
        <v>0.0</v>
      </c>
      <c r="E564" s="45"/>
      <c r="F564" s="32">
        <v>0.0</v>
      </c>
    </row>
    <row r="565" ht="14.25" customHeight="1">
      <c r="A565" s="4"/>
      <c r="B565" s="4"/>
      <c r="C565" s="20"/>
      <c r="D565" s="42">
        <v>0.0</v>
      </c>
      <c r="E565" s="45"/>
      <c r="F565" s="32">
        <v>0.0</v>
      </c>
    </row>
    <row r="566" ht="14.25" customHeight="1">
      <c r="A566" s="4"/>
      <c r="B566" s="4"/>
      <c r="C566" s="20"/>
      <c r="D566" s="42">
        <v>0.0</v>
      </c>
      <c r="E566" s="45"/>
      <c r="F566" s="32">
        <v>0.0</v>
      </c>
    </row>
    <row r="567" ht="14.25" customHeight="1">
      <c r="A567" s="4"/>
      <c r="B567" s="4"/>
      <c r="C567" s="20"/>
      <c r="D567" s="42">
        <v>0.0</v>
      </c>
      <c r="E567" s="45"/>
      <c r="F567" s="32">
        <v>0.0</v>
      </c>
    </row>
    <row r="568" ht="14.25" customHeight="1">
      <c r="A568" s="4"/>
      <c r="B568" s="4"/>
      <c r="C568" s="20"/>
      <c r="D568" s="42">
        <v>0.0</v>
      </c>
      <c r="E568" s="45"/>
      <c r="F568" s="32">
        <v>0.0</v>
      </c>
    </row>
    <row r="569" ht="14.25" customHeight="1">
      <c r="A569" s="4"/>
      <c r="B569" s="4"/>
      <c r="C569" s="20"/>
      <c r="D569" s="42">
        <v>0.0</v>
      </c>
      <c r="E569" s="45"/>
      <c r="F569" s="32">
        <v>0.0</v>
      </c>
    </row>
    <row r="570" ht="14.25" customHeight="1">
      <c r="A570" s="4"/>
      <c r="B570" s="4"/>
      <c r="C570" s="20"/>
      <c r="D570" s="42">
        <v>0.0</v>
      </c>
      <c r="E570" s="45"/>
      <c r="F570" s="32">
        <v>0.0</v>
      </c>
    </row>
    <row r="571" ht="14.25" customHeight="1">
      <c r="A571" s="4"/>
      <c r="B571" s="4"/>
      <c r="C571" s="20"/>
      <c r="D571" s="42">
        <v>0.0</v>
      </c>
      <c r="E571" s="45"/>
      <c r="F571" s="32">
        <v>0.0</v>
      </c>
    </row>
    <row r="572" ht="14.25" customHeight="1">
      <c r="A572" s="4"/>
      <c r="B572" s="4"/>
      <c r="C572" s="20"/>
      <c r="D572" s="42">
        <v>0.0</v>
      </c>
      <c r="E572" s="45"/>
      <c r="F572" s="32">
        <v>0.0</v>
      </c>
    </row>
    <row r="573" ht="14.25" customHeight="1">
      <c r="A573" s="4"/>
      <c r="B573" s="4"/>
      <c r="C573" s="20"/>
      <c r="D573" s="42">
        <v>0.0</v>
      </c>
      <c r="E573" s="45"/>
      <c r="F573" s="32">
        <v>0.0</v>
      </c>
    </row>
    <row r="574" ht="14.25" customHeight="1">
      <c r="A574" s="4"/>
      <c r="B574" s="4"/>
      <c r="C574" s="20"/>
      <c r="D574" s="42">
        <v>0.0</v>
      </c>
      <c r="E574" s="45"/>
      <c r="F574" s="32">
        <v>0.0</v>
      </c>
    </row>
    <row r="575" ht="14.25" customHeight="1">
      <c r="A575" s="4"/>
      <c r="B575" s="4"/>
      <c r="C575" s="20"/>
      <c r="D575" s="42">
        <v>0.0</v>
      </c>
      <c r="E575" s="45"/>
      <c r="F575" s="32">
        <v>0.0</v>
      </c>
    </row>
    <row r="576" ht="14.25" customHeight="1">
      <c r="A576" s="4"/>
      <c r="B576" s="4"/>
      <c r="C576" s="20"/>
      <c r="D576" s="42">
        <v>0.0</v>
      </c>
      <c r="E576" s="45"/>
      <c r="F576" s="32">
        <v>0.0</v>
      </c>
    </row>
    <row r="577" ht="14.25" customHeight="1">
      <c r="A577" s="4"/>
      <c r="B577" s="4"/>
      <c r="C577" s="20"/>
      <c r="D577" s="42">
        <v>0.0</v>
      </c>
      <c r="E577" s="45"/>
      <c r="F577" s="32">
        <v>0.0</v>
      </c>
    </row>
    <row r="578" ht="14.25" customHeight="1">
      <c r="A578" s="4"/>
      <c r="B578" s="4"/>
      <c r="C578" s="20"/>
      <c r="D578" s="42">
        <v>0.0</v>
      </c>
      <c r="E578" s="45"/>
      <c r="F578" s="32">
        <v>0.0</v>
      </c>
    </row>
    <row r="579" ht="14.25" customHeight="1">
      <c r="A579" s="4"/>
      <c r="B579" s="4"/>
      <c r="C579" s="20"/>
      <c r="D579" s="42">
        <v>0.0</v>
      </c>
      <c r="E579" s="45"/>
      <c r="F579" s="32">
        <v>0.0</v>
      </c>
    </row>
    <row r="580" ht="14.25" customHeight="1">
      <c r="A580" s="4"/>
      <c r="B580" s="4"/>
      <c r="C580" s="20"/>
      <c r="D580" s="42">
        <v>0.0</v>
      </c>
      <c r="E580" s="45"/>
      <c r="F580" s="32">
        <v>0.0</v>
      </c>
    </row>
    <row r="581" ht="14.25" customHeight="1">
      <c r="A581" s="4"/>
      <c r="B581" s="4"/>
      <c r="C581" s="20"/>
      <c r="D581" s="42">
        <v>0.0</v>
      </c>
      <c r="E581" s="45"/>
      <c r="F581" s="32">
        <v>0.0</v>
      </c>
    </row>
    <row r="582" ht="14.25" customHeight="1">
      <c r="A582" s="4"/>
      <c r="B582" s="4"/>
      <c r="C582" s="20"/>
      <c r="D582" s="42">
        <v>0.0</v>
      </c>
      <c r="E582" s="45"/>
      <c r="F582" s="32">
        <v>0.0</v>
      </c>
    </row>
    <row r="583" ht="14.25" customHeight="1">
      <c r="A583" s="4"/>
      <c r="B583" s="4"/>
      <c r="C583" s="20"/>
      <c r="D583" s="42">
        <v>0.0</v>
      </c>
      <c r="E583" s="45"/>
      <c r="F583" s="32">
        <v>0.0</v>
      </c>
    </row>
    <row r="584" ht="14.25" customHeight="1">
      <c r="A584" s="4"/>
      <c r="B584" s="4"/>
      <c r="C584" s="20"/>
      <c r="D584" s="42">
        <v>0.0</v>
      </c>
      <c r="E584" s="45"/>
      <c r="F584" s="32">
        <v>0.0</v>
      </c>
    </row>
    <row r="585" ht="14.25" customHeight="1">
      <c r="A585" s="4"/>
      <c r="B585" s="4"/>
      <c r="C585" s="20"/>
      <c r="D585" s="42">
        <v>0.0</v>
      </c>
      <c r="E585" s="45"/>
      <c r="F585" s="32">
        <v>0.0</v>
      </c>
    </row>
    <row r="586" ht="14.25" customHeight="1">
      <c r="A586" s="4"/>
      <c r="B586" s="4"/>
      <c r="C586" s="20"/>
      <c r="D586" s="42">
        <v>0.0</v>
      </c>
      <c r="E586" s="45"/>
      <c r="F586" s="32">
        <v>0.0</v>
      </c>
    </row>
    <row r="587" ht="14.25" customHeight="1">
      <c r="A587" s="4"/>
      <c r="B587" s="4"/>
      <c r="C587" s="20"/>
      <c r="D587" s="42">
        <v>0.0</v>
      </c>
      <c r="E587" s="45"/>
      <c r="F587" s="32">
        <v>0.0</v>
      </c>
    </row>
    <row r="588" ht="14.25" customHeight="1">
      <c r="A588" s="4"/>
      <c r="B588" s="4"/>
      <c r="C588" s="20"/>
      <c r="D588" s="42">
        <v>0.0</v>
      </c>
      <c r="E588" s="45"/>
      <c r="F588" s="32">
        <v>0.0</v>
      </c>
    </row>
    <row r="589" ht="14.25" customHeight="1">
      <c r="A589" s="4"/>
      <c r="B589" s="4"/>
      <c r="C589" s="20"/>
      <c r="D589" s="42">
        <v>0.0</v>
      </c>
      <c r="E589" s="45"/>
      <c r="F589" s="32">
        <v>0.0</v>
      </c>
    </row>
    <row r="590" ht="14.25" customHeight="1">
      <c r="A590" s="4"/>
      <c r="B590" s="4"/>
      <c r="C590" s="20"/>
      <c r="D590" s="42">
        <v>0.0</v>
      </c>
      <c r="E590" s="45"/>
      <c r="F590" s="32">
        <v>0.0</v>
      </c>
    </row>
    <row r="591" ht="14.25" customHeight="1">
      <c r="A591" s="4"/>
      <c r="B591" s="4"/>
      <c r="C591" s="20"/>
      <c r="D591" s="42">
        <v>0.0</v>
      </c>
      <c r="E591" s="45"/>
      <c r="F591" s="32">
        <v>0.0</v>
      </c>
    </row>
    <row r="592" ht="14.25" customHeight="1">
      <c r="A592" s="4"/>
      <c r="B592" s="4"/>
      <c r="C592" s="20"/>
      <c r="D592" s="42">
        <v>0.0</v>
      </c>
      <c r="E592" s="45"/>
      <c r="F592" s="32">
        <v>0.0</v>
      </c>
    </row>
    <row r="593" ht="14.25" customHeight="1">
      <c r="A593" s="4"/>
      <c r="B593" s="4"/>
      <c r="C593" s="20"/>
      <c r="D593" s="42">
        <v>0.0</v>
      </c>
      <c r="E593" s="45"/>
      <c r="F593" s="32">
        <v>0.0</v>
      </c>
    </row>
    <row r="594" ht="14.25" customHeight="1">
      <c r="A594" s="4"/>
      <c r="B594" s="4"/>
      <c r="C594" s="20"/>
      <c r="D594" s="42">
        <v>0.0</v>
      </c>
      <c r="E594" s="45"/>
      <c r="F594" s="32">
        <v>0.0</v>
      </c>
    </row>
    <row r="595" ht="14.25" customHeight="1">
      <c r="A595" s="4"/>
      <c r="B595" s="4"/>
      <c r="C595" s="20"/>
      <c r="D595" s="42">
        <v>0.0</v>
      </c>
      <c r="E595" s="45"/>
      <c r="F595" s="32">
        <v>0.0</v>
      </c>
    </row>
    <row r="596" ht="14.25" customHeight="1">
      <c r="A596" s="4"/>
      <c r="B596" s="4"/>
      <c r="C596" s="20"/>
      <c r="D596" s="42">
        <v>0.0</v>
      </c>
      <c r="E596" s="45"/>
      <c r="F596" s="32">
        <v>0.0</v>
      </c>
    </row>
    <row r="597" ht="14.25" customHeight="1">
      <c r="A597" s="4"/>
      <c r="B597" s="4"/>
      <c r="C597" s="20"/>
      <c r="D597" s="42">
        <v>0.0</v>
      </c>
      <c r="E597" s="45"/>
      <c r="F597" s="32">
        <v>0.0</v>
      </c>
    </row>
    <row r="598" ht="14.25" customHeight="1">
      <c r="A598" s="4"/>
      <c r="B598" s="4"/>
      <c r="C598" s="20"/>
      <c r="D598" s="42">
        <v>0.0</v>
      </c>
      <c r="E598" s="45"/>
      <c r="F598" s="32">
        <v>0.0</v>
      </c>
    </row>
    <row r="599" ht="14.25" customHeight="1">
      <c r="A599" s="4"/>
      <c r="B599" s="4"/>
      <c r="C599" s="20"/>
      <c r="D599" s="42">
        <v>0.0</v>
      </c>
      <c r="E599" s="45"/>
      <c r="F599" s="32">
        <v>0.0</v>
      </c>
    </row>
    <row r="600" ht="14.25" customHeight="1">
      <c r="A600" s="4"/>
      <c r="B600" s="4"/>
      <c r="C600" s="20"/>
      <c r="D600" s="42">
        <v>0.0</v>
      </c>
      <c r="E600" s="45"/>
      <c r="F600" s="32">
        <v>0.0</v>
      </c>
    </row>
    <row r="601" ht="14.25" customHeight="1">
      <c r="A601" s="4"/>
      <c r="B601" s="4"/>
      <c r="C601" s="20"/>
      <c r="D601" s="42">
        <v>0.0</v>
      </c>
      <c r="E601" s="45"/>
      <c r="F601" s="32">
        <v>0.0</v>
      </c>
    </row>
    <row r="602" ht="14.25" customHeight="1">
      <c r="A602" s="4"/>
      <c r="B602" s="4"/>
      <c r="C602" s="20"/>
      <c r="D602" s="42">
        <v>0.0</v>
      </c>
      <c r="E602" s="45"/>
      <c r="F602" s="32">
        <v>0.0</v>
      </c>
    </row>
    <row r="603" ht="14.25" customHeight="1">
      <c r="A603" s="4"/>
      <c r="B603" s="4"/>
      <c r="C603" s="20"/>
      <c r="D603" s="42">
        <v>0.0</v>
      </c>
      <c r="E603" s="45"/>
      <c r="F603" s="32">
        <v>0.0</v>
      </c>
    </row>
    <row r="604" ht="14.25" customHeight="1">
      <c r="A604" s="4"/>
      <c r="B604" s="4"/>
      <c r="C604" s="20"/>
      <c r="D604" s="42">
        <v>0.0</v>
      </c>
      <c r="E604" s="45"/>
      <c r="F604" s="32">
        <v>0.0</v>
      </c>
    </row>
    <row r="605" ht="14.25" customHeight="1">
      <c r="A605" s="4"/>
      <c r="B605" s="4"/>
      <c r="C605" s="20"/>
      <c r="D605" s="42">
        <v>0.0</v>
      </c>
      <c r="E605" s="45"/>
      <c r="F605" s="32">
        <v>0.0</v>
      </c>
    </row>
    <row r="606" ht="14.25" customHeight="1">
      <c r="A606" s="4"/>
      <c r="B606" s="4"/>
      <c r="C606" s="20"/>
      <c r="D606" s="42">
        <v>0.0</v>
      </c>
      <c r="E606" s="45"/>
      <c r="F606" s="32">
        <v>0.0</v>
      </c>
    </row>
    <row r="607" ht="14.25" customHeight="1">
      <c r="A607" s="4"/>
      <c r="B607" s="4"/>
      <c r="C607" s="20"/>
      <c r="D607" s="42">
        <v>0.0</v>
      </c>
      <c r="E607" s="45"/>
      <c r="F607" s="32">
        <v>0.0</v>
      </c>
    </row>
    <row r="608" ht="14.25" customHeight="1">
      <c r="A608" s="4"/>
      <c r="B608" s="4"/>
      <c r="C608" s="20"/>
      <c r="D608" s="42">
        <v>0.0</v>
      </c>
      <c r="E608" s="45"/>
      <c r="F608" s="32">
        <v>0.0</v>
      </c>
    </row>
    <row r="609" ht="14.25" customHeight="1">
      <c r="A609" s="4"/>
      <c r="B609" s="4"/>
      <c r="C609" s="20"/>
      <c r="D609" s="42">
        <v>0.0</v>
      </c>
      <c r="E609" s="45"/>
      <c r="F609" s="32">
        <v>0.0</v>
      </c>
    </row>
    <row r="610" ht="14.25" customHeight="1">
      <c r="A610" s="4"/>
      <c r="B610" s="4"/>
      <c r="C610" s="20"/>
      <c r="D610" s="42">
        <v>0.0</v>
      </c>
      <c r="E610" s="45"/>
      <c r="F610" s="32">
        <v>0.0</v>
      </c>
    </row>
    <row r="611" ht="14.25" customHeight="1">
      <c r="A611" s="4"/>
      <c r="B611" s="4"/>
      <c r="C611" s="20"/>
      <c r="D611" s="42">
        <v>0.0</v>
      </c>
      <c r="E611" s="45"/>
      <c r="F611" s="32">
        <v>0.0</v>
      </c>
    </row>
    <row r="612" ht="14.25" customHeight="1">
      <c r="A612" s="4"/>
      <c r="B612" s="4"/>
      <c r="C612" s="20"/>
      <c r="D612" s="42">
        <v>0.0</v>
      </c>
      <c r="E612" s="45"/>
      <c r="F612" s="32">
        <v>0.0</v>
      </c>
    </row>
    <row r="613" ht="14.25" customHeight="1">
      <c r="A613" s="4"/>
      <c r="B613" s="4"/>
      <c r="C613" s="20"/>
      <c r="D613" s="42">
        <v>0.0</v>
      </c>
      <c r="E613" s="45"/>
      <c r="F613" s="32">
        <v>0.0</v>
      </c>
    </row>
    <row r="614" ht="14.25" customHeight="1">
      <c r="A614" s="4"/>
      <c r="B614" s="4"/>
      <c r="C614" s="20"/>
      <c r="D614" s="42">
        <v>0.0</v>
      </c>
      <c r="E614" s="45"/>
      <c r="F614" s="32">
        <v>0.0</v>
      </c>
    </row>
    <row r="615" ht="14.25" customHeight="1">
      <c r="A615" s="4"/>
      <c r="B615" s="4"/>
      <c r="C615" s="20"/>
      <c r="D615" s="42">
        <v>0.0</v>
      </c>
      <c r="E615" s="45"/>
      <c r="F615" s="32">
        <v>0.0</v>
      </c>
    </row>
    <row r="616" ht="14.25" customHeight="1">
      <c r="A616" s="4"/>
      <c r="B616" s="4"/>
      <c r="C616" s="20"/>
      <c r="D616" s="42">
        <v>0.0</v>
      </c>
      <c r="E616" s="45"/>
      <c r="F616" s="32">
        <v>0.0</v>
      </c>
    </row>
    <row r="617" ht="14.25" customHeight="1">
      <c r="A617" s="4"/>
      <c r="B617" s="4"/>
      <c r="C617" s="20"/>
      <c r="D617" s="42">
        <v>0.0</v>
      </c>
      <c r="E617" s="45"/>
      <c r="F617" s="32">
        <v>0.0</v>
      </c>
    </row>
    <row r="618" ht="14.25" customHeight="1">
      <c r="A618" s="4"/>
      <c r="B618" s="4"/>
      <c r="C618" s="20"/>
      <c r="D618" s="42">
        <v>0.0</v>
      </c>
      <c r="E618" s="45"/>
      <c r="F618" s="32">
        <v>0.0</v>
      </c>
    </row>
    <row r="619" ht="14.25" customHeight="1">
      <c r="A619" s="4"/>
      <c r="B619" s="4"/>
      <c r="C619" s="20"/>
      <c r="D619" s="42">
        <v>0.0</v>
      </c>
      <c r="E619" s="45"/>
      <c r="F619" s="32">
        <v>0.0</v>
      </c>
    </row>
    <row r="620" ht="14.25" customHeight="1">
      <c r="A620" s="4"/>
      <c r="B620" s="4"/>
      <c r="C620" s="20"/>
      <c r="D620" s="42">
        <v>0.0</v>
      </c>
      <c r="E620" s="45"/>
      <c r="F620" s="32">
        <v>0.0</v>
      </c>
    </row>
    <row r="621" ht="14.25" customHeight="1">
      <c r="A621" s="4"/>
      <c r="B621" s="4"/>
      <c r="C621" s="20"/>
      <c r="D621" s="42">
        <v>0.0</v>
      </c>
      <c r="E621" s="45"/>
      <c r="F621" s="32">
        <v>0.0</v>
      </c>
    </row>
    <row r="622" ht="14.25" customHeight="1">
      <c r="A622" s="4"/>
      <c r="B622" s="4"/>
      <c r="C622" s="20"/>
      <c r="D622" s="42">
        <v>0.0</v>
      </c>
      <c r="E622" s="45"/>
      <c r="F622" s="32">
        <v>0.0</v>
      </c>
    </row>
    <row r="623" ht="14.25" customHeight="1">
      <c r="A623" s="4"/>
      <c r="B623" s="4"/>
      <c r="C623" s="20"/>
      <c r="D623" s="42">
        <v>0.0</v>
      </c>
      <c r="E623" s="45"/>
      <c r="F623" s="32">
        <v>0.0</v>
      </c>
    </row>
    <row r="624" ht="14.25" customHeight="1">
      <c r="A624" s="4"/>
      <c r="B624" s="4"/>
      <c r="C624" s="20"/>
      <c r="D624" s="42">
        <v>0.0</v>
      </c>
      <c r="E624" s="45"/>
      <c r="F624" s="32">
        <v>0.0</v>
      </c>
    </row>
    <row r="625" ht="14.25" customHeight="1">
      <c r="A625" s="4"/>
      <c r="B625" s="4"/>
      <c r="C625" s="20"/>
      <c r="D625" s="42">
        <v>0.0</v>
      </c>
      <c r="E625" s="45"/>
      <c r="F625" s="32">
        <v>0.0</v>
      </c>
    </row>
    <row r="626" ht="14.25" customHeight="1">
      <c r="A626" s="4"/>
      <c r="B626" s="4"/>
      <c r="C626" s="20"/>
      <c r="D626" s="42">
        <v>0.0</v>
      </c>
      <c r="E626" s="45"/>
      <c r="F626" s="32">
        <v>0.0</v>
      </c>
    </row>
    <row r="627" ht="14.25" customHeight="1">
      <c r="A627" s="4"/>
      <c r="B627" s="4"/>
      <c r="C627" s="20"/>
      <c r="D627" s="42">
        <v>0.0</v>
      </c>
      <c r="E627" s="45"/>
      <c r="F627" s="32">
        <v>0.0</v>
      </c>
    </row>
    <row r="628" ht="14.25" customHeight="1">
      <c r="A628" s="4"/>
      <c r="B628" s="4"/>
      <c r="C628" s="20"/>
      <c r="D628" s="42">
        <v>0.0</v>
      </c>
      <c r="E628" s="45"/>
      <c r="F628" s="32">
        <v>0.0</v>
      </c>
    </row>
    <row r="629" ht="14.25" customHeight="1">
      <c r="A629" s="4"/>
      <c r="B629" s="4"/>
      <c r="C629" s="20"/>
      <c r="D629" s="42">
        <v>0.0</v>
      </c>
      <c r="E629" s="45"/>
      <c r="F629" s="32">
        <v>0.0</v>
      </c>
    </row>
    <row r="630" ht="14.25" customHeight="1">
      <c r="A630" s="4"/>
      <c r="B630" s="4"/>
      <c r="C630" s="20"/>
      <c r="D630" s="42">
        <v>0.0</v>
      </c>
      <c r="E630" s="45"/>
      <c r="F630" s="32">
        <v>0.0</v>
      </c>
    </row>
    <row r="631" ht="14.25" customHeight="1">
      <c r="A631" s="4"/>
      <c r="B631" s="4"/>
      <c r="C631" s="20"/>
      <c r="D631" s="42">
        <v>0.0</v>
      </c>
      <c r="E631" s="45"/>
      <c r="F631" s="32">
        <v>0.0</v>
      </c>
    </row>
    <row r="632" ht="14.25" customHeight="1">
      <c r="A632" s="4"/>
      <c r="B632" s="4"/>
      <c r="C632" s="20"/>
      <c r="D632" s="42">
        <v>0.0</v>
      </c>
      <c r="E632" s="45"/>
      <c r="F632" s="32">
        <v>0.0</v>
      </c>
    </row>
    <row r="633" ht="14.25" customHeight="1">
      <c r="A633" s="4"/>
      <c r="B633" s="4"/>
      <c r="C633" s="20"/>
      <c r="D633" s="42">
        <v>0.0</v>
      </c>
      <c r="E633" s="45"/>
      <c r="F633" s="32">
        <v>0.0</v>
      </c>
    </row>
    <row r="634" ht="14.25" customHeight="1">
      <c r="A634" s="4"/>
      <c r="B634" s="4"/>
      <c r="C634" s="20"/>
      <c r="D634" s="42">
        <v>0.0</v>
      </c>
      <c r="E634" s="45"/>
      <c r="F634" s="32">
        <v>0.0</v>
      </c>
    </row>
    <row r="635" ht="14.25" customHeight="1">
      <c r="A635" s="4"/>
      <c r="B635" s="4"/>
      <c r="C635" s="20"/>
      <c r="D635" s="42">
        <v>0.0</v>
      </c>
      <c r="E635" s="45"/>
      <c r="F635" s="32">
        <v>0.0</v>
      </c>
    </row>
    <row r="636" ht="14.25" customHeight="1">
      <c r="A636" s="4"/>
      <c r="B636" s="4"/>
      <c r="C636" s="20"/>
      <c r="D636" s="42">
        <v>0.0</v>
      </c>
      <c r="E636" s="45"/>
      <c r="F636" s="32">
        <v>0.0</v>
      </c>
    </row>
    <row r="637" ht="14.25" customHeight="1">
      <c r="A637" s="4"/>
      <c r="B637" s="4"/>
      <c r="C637" s="20"/>
      <c r="D637" s="42">
        <v>0.0</v>
      </c>
      <c r="E637" s="45"/>
      <c r="F637" s="32">
        <v>0.0</v>
      </c>
    </row>
    <row r="638" ht="14.25" customHeight="1">
      <c r="A638" s="4"/>
      <c r="B638" s="4"/>
      <c r="C638" s="20"/>
      <c r="D638" s="42">
        <v>0.0</v>
      </c>
      <c r="E638" s="45"/>
      <c r="F638" s="32">
        <v>0.0</v>
      </c>
    </row>
    <row r="639" ht="14.25" customHeight="1">
      <c r="A639" s="4"/>
      <c r="B639" s="4"/>
      <c r="C639" s="20"/>
      <c r="D639" s="42">
        <v>0.0</v>
      </c>
      <c r="E639" s="45"/>
      <c r="F639" s="32">
        <v>0.0</v>
      </c>
    </row>
    <row r="640" ht="14.25" customHeight="1">
      <c r="A640" s="4"/>
      <c r="B640" s="4"/>
      <c r="C640" s="20"/>
      <c r="D640" s="42">
        <v>0.0</v>
      </c>
      <c r="E640" s="45"/>
      <c r="F640" s="32">
        <v>0.0</v>
      </c>
    </row>
    <row r="641" ht="14.25" customHeight="1">
      <c r="A641" s="4"/>
      <c r="B641" s="4"/>
      <c r="C641" s="20"/>
      <c r="D641" s="42">
        <v>0.0</v>
      </c>
      <c r="E641" s="45"/>
      <c r="F641" s="32">
        <v>0.0</v>
      </c>
    </row>
    <row r="642" ht="14.25" customHeight="1">
      <c r="A642" s="4"/>
      <c r="B642" s="4"/>
      <c r="C642" s="20"/>
      <c r="D642" s="42">
        <v>0.0</v>
      </c>
      <c r="E642" s="45"/>
      <c r="F642" s="32">
        <v>0.0</v>
      </c>
    </row>
    <row r="643" ht="14.25" customHeight="1">
      <c r="A643" s="4"/>
      <c r="B643" s="4"/>
      <c r="C643" s="20"/>
      <c r="D643" s="42">
        <v>0.0</v>
      </c>
      <c r="E643" s="45"/>
      <c r="F643" s="32">
        <v>0.0</v>
      </c>
    </row>
    <row r="644" ht="14.25" customHeight="1">
      <c r="A644" s="4"/>
      <c r="B644" s="4"/>
      <c r="C644" s="20"/>
      <c r="D644" s="42">
        <v>0.0</v>
      </c>
      <c r="E644" s="45"/>
      <c r="F644" s="32">
        <v>0.0</v>
      </c>
    </row>
    <row r="645" ht="14.25" customHeight="1">
      <c r="A645" s="4"/>
      <c r="B645" s="4"/>
      <c r="C645" s="20"/>
      <c r="D645" s="42">
        <v>0.0</v>
      </c>
      <c r="E645" s="45"/>
      <c r="F645" s="32">
        <v>0.0</v>
      </c>
    </row>
    <row r="646" ht="14.25" customHeight="1">
      <c r="A646" s="4"/>
      <c r="B646" s="4"/>
      <c r="C646" s="20"/>
      <c r="D646" s="42">
        <v>0.0</v>
      </c>
      <c r="E646" s="45"/>
      <c r="F646" s="32">
        <v>0.0</v>
      </c>
    </row>
    <row r="647" ht="14.25" customHeight="1">
      <c r="A647" s="4"/>
      <c r="B647" s="4"/>
      <c r="C647" s="20"/>
      <c r="D647" s="42">
        <v>0.0</v>
      </c>
      <c r="E647" s="45"/>
      <c r="F647" s="32">
        <v>0.0</v>
      </c>
    </row>
    <row r="648" ht="14.25" customHeight="1">
      <c r="A648" s="4"/>
      <c r="B648" s="4"/>
      <c r="C648" s="20"/>
      <c r="D648" s="42">
        <v>0.0</v>
      </c>
      <c r="E648" s="45"/>
      <c r="F648" s="32">
        <v>0.0</v>
      </c>
    </row>
    <row r="649" ht="14.25" customHeight="1">
      <c r="A649" s="4"/>
      <c r="B649" s="4"/>
      <c r="C649" s="20"/>
      <c r="D649" s="42">
        <v>0.0</v>
      </c>
      <c r="E649" s="45"/>
      <c r="F649" s="32">
        <v>0.0</v>
      </c>
    </row>
    <row r="650" ht="14.25" customHeight="1">
      <c r="A650" s="4"/>
      <c r="B650" s="4"/>
      <c r="C650" s="20"/>
      <c r="D650" s="42">
        <v>0.0</v>
      </c>
      <c r="E650" s="45"/>
      <c r="F650" s="32">
        <v>0.0</v>
      </c>
    </row>
    <row r="651" ht="14.25" customHeight="1">
      <c r="A651" s="4"/>
      <c r="B651" s="4"/>
      <c r="C651" s="20"/>
      <c r="D651" s="42">
        <v>0.0</v>
      </c>
      <c r="E651" s="45"/>
      <c r="F651" s="32">
        <v>0.0</v>
      </c>
    </row>
    <row r="652" ht="14.25" customHeight="1">
      <c r="A652" s="4"/>
      <c r="B652" s="4"/>
      <c r="C652" s="20"/>
      <c r="D652" s="42">
        <v>0.0</v>
      </c>
      <c r="E652" s="45"/>
      <c r="F652" s="32">
        <v>0.0</v>
      </c>
    </row>
    <row r="653" ht="14.25" customHeight="1">
      <c r="A653" s="4"/>
      <c r="B653" s="4"/>
      <c r="C653" s="20"/>
      <c r="D653" s="42">
        <v>0.0</v>
      </c>
      <c r="E653" s="45"/>
      <c r="F653" s="32">
        <v>0.0</v>
      </c>
    </row>
    <row r="654" ht="14.25" customHeight="1">
      <c r="A654" s="4"/>
      <c r="B654" s="4"/>
      <c r="C654" s="20"/>
      <c r="D654" s="42">
        <v>0.0</v>
      </c>
      <c r="E654" s="45"/>
      <c r="F654" s="32">
        <v>0.0</v>
      </c>
    </row>
    <row r="655" ht="14.25" customHeight="1">
      <c r="A655" s="4"/>
      <c r="B655" s="4"/>
      <c r="C655" s="20"/>
      <c r="D655" s="42">
        <v>0.0</v>
      </c>
      <c r="E655" s="45"/>
      <c r="F655" s="32">
        <v>0.0</v>
      </c>
    </row>
    <row r="656" ht="14.25" customHeight="1">
      <c r="A656" s="4"/>
      <c r="B656" s="4"/>
      <c r="C656" s="20"/>
      <c r="D656" s="42">
        <v>0.0</v>
      </c>
      <c r="E656" s="45"/>
      <c r="F656" s="32">
        <v>0.0</v>
      </c>
    </row>
    <row r="657" ht="14.25" customHeight="1">
      <c r="A657" s="4"/>
      <c r="B657" s="4"/>
      <c r="C657" s="20"/>
      <c r="D657" s="42">
        <v>0.0</v>
      </c>
      <c r="E657" s="45"/>
      <c r="F657" s="32">
        <v>0.0</v>
      </c>
    </row>
    <row r="658" ht="14.25" customHeight="1">
      <c r="A658" s="4"/>
      <c r="B658" s="4"/>
      <c r="C658" s="20"/>
      <c r="D658" s="42">
        <v>0.0</v>
      </c>
      <c r="E658" s="45"/>
      <c r="F658" s="32">
        <v>0.0</v>
      </c>
    </row>
    <row r="659" ht="14.25" customHeight="1">
      <c r="A659" s="4"/>
      <c r="B659" s="4"/>
      <c r="C659" s="20"/>
      <c r="D659" s="42">
        <v>0.0</v>
      </c>
      <c r="E659" s="45"/>
      <c r="F659" s="32">
        <v>0.0</v>
      </c>
    </row>
    <row r="660" ht="14.25" customHeight="1">
      <c r="A660" s="4"/>
      <c r="B660" s="4"/>
      <c r="C660" s="20"/>
      <c r="D660" s="42">
        <v>0.0</v>
      </c>
      <c r="E660" s="45"/>
      <c r="F660" s="32">
        <v>0.0</v>
      </c>
    </row>
    <row r="661" ht="14.25" customHeight="1">
      <c r="A661" s="4"/>
      <c r="B661" s="4"/>
      <c r="C661" s="20"/>
      <c r="D661" s="42">
        <v>0.0</v>
      </c>
      <c r="E661" s="45"/>
      <c r="F661" s="32">
        <v>0.0</v>
      </c>
    </row>
    <row r="662" ht="14.25" customHeight="1">
      <c r="A662" s="4"/>
      <c r="B662" s="4"/>
      <c r="C662" s="20"/>
      <c r="D662" s="42">
        <v>0.0</v>
      </c>
      <c r="E662" s="45"/>
      <c r="F662" s="32">
        <v>0.0</v>
      </c>
    </row>
    <row r="663" ht="14.25" customHeight="1">
      <c r="A663" s="4"/>
      <c r="B663" s="4"/>
      <c r="C663" s="20"/>
      <c r="D663" s="42">
        <v>0.0</v>
      </c>
      <c r="E663" s="45"/>
      <c r="F663" s="32">
        <v>0.0</v>
      </c>
    </row>
    <row r="664" ht="14.25" customHeight="1">
      <c r="A664" s="4"/>
      <c r="B664" s="4"/>
      <c r="C664" s="20"/>
      <c r="D664" s="42">
        <v>0.0</v>
      </c>
      <c r="E664" s="45"/>
      <c r="F664" s="32">
        <v>0.0</v>
      </c>
    </row>
    <row r="665" ht="14.25" customHeight="1">
      <c r="A665" s="4"/>
      <c r="B665" s="4"/>
      <c r="C665" s="20"/>
      <c r="D665" s="42">
        <v>0.0</v>
      </c>
      <c r="E665" s="45"/>
      <c r="F665" s="32">
        <v>0.0</v>
      </c>
    </row>
    <row r="666" ht="14.25" customHeight="1">
      <c r="A666" s="4"/>
      <c r="B666" s="4"/>
      <c r="C666" s="20"/>
      <c r="D666" s="42">
        <v>0.0</v>
      </c>
      <c r="E666" s="45"/>
      <c r="F666" s="32">
        <v>0.0</v>
      </c>
    </row>
    <row r="667" ht="14.25" customHeight="1">
      <c r="A667" s="4"/>
      <c r="B667" s="4"/>
      <c r="C667" s="20"/>
      <c r="D667" s="42">
        <v>0.0</v>
      </c>
      <c r="E667" s="45"/>
      <c r="F667" s="32">
        <v>0.0</v>
      </c>
    </row>
    <row r="668" ht="14.25" customHeight="1">
      <c r="A668" s="4"/>
      <c r="B668" s="4"/>
      <c r="C668" s="20"/>
      <c r="D668" s="42">
        <v>0.0</v>
      </c>
      <c r="E668" s="45"/>
      <c r="F668" s="32">
        <v>0.0</v>
      </c>
    </row>
    <row r="669" ht="14.25" customHeight="1">
      <c r="A669" s="4"/>
      <c r="B669" s="4"/>
      <c r="C669" s="20"/>
      <c r="D669" s="42">
        <v>0.0</v>
      </c>
      <c r="E669" s="45"/>
      <c r="F669" s="32">
        <v>0.0</v>
      </c>
    </row>
    <row r="670" ht="14.25" customHeight="1">
      <c r="A670" s="4"/>
      <c r="B670" s="4"/>
      <c r="C670" s="20"/>
      <c r="D670" s="42">
        <v>0.0</v>
      </c>
      <c r="E670" s="45"/>
      <c r="F670" s="32">
        <v>0.0</v>
      </c>
    </row>
    <row r="671" ht="14.25" customHeight="1">
      <c r="A671" s="4"/>
      <c r="B671" s="4"/>
      <c r="C671" s="20"/>
      <c r="D671" s="42">
        <v>0.0</v>
      </c>
      <c r="E671" s="45"/>
      <c r="F671" s="32">
        <v>0.0</v>
      </c>
    </row>
    <row r="672" ht="14.25" customHeight="1">
      <c r="A672" s="4"/>
      <c r="B672" s="4"/>
      <c r="C672" s="20"/>
      <c r="D672" s="42">
        <v>0.0</v>
      </c>
      <c r="E672" s="45"/>
      <c r="F672" s="32">
        <v>0.0</v>
      </c>
    </row>
    <row r="673" ht="14.25" customHeight="1">
      <c r="A673" s="4"/>
      <c r="B673" s="4"/>
      <c r="C673" s="20"/>
      <c r="D673" s="42">
        <v>0.0</v>
      </c>
      <c r="E673" s="45"/>
      <c r="F673" s="32">
        <v>0.0</v>
      </c>
    </row>
    <row r="674" ht="14.25" customHeight="1">
      <c r="A674" s="4"/>
      <c r="B674" s="4"/>
      <c r="C674" s="20"/>
      <c r="D674" s="42">
        <v>0.0</v>
      </c>
      <c r="E674" s="45"/>
      <c r="F674" s="32">
        <v>0.0</v>
      </c>
    </row>
    <row r="675" ht="14.25" customHeight="1">
      <c r="A675" s="4"/>
      <c r="B675" s="4"/>
      <c r="C675" s="20"/>
      <c r="D675" s="42">
        <v>0.0</v>
      </c>
      <c r="E675" s="45"/>
      <c r="F675" s="32">
        <v>0.0</v>
      </c>
    </row>
    <row r="676" ht="14.25" customHeight="1">
      <c r="A676" s="4"/>
      <c r="B676" s="4"/>
      <c r="C676" s="20"/>
      <c r="D676" s="42">
        <v>0.0</v>
      </c>
      <c r="E676" s="45"/>
      <c r="F676" s="32">
        <v>0.0</v>
      </c>
    </row>
    <row r="677" ht="14.25" customHeight="1">
      <c r="A677" s="4"/>
      <c r="B677" s="4"/>
      <c r="C677" s="20"/>
      <c r="D677" s="42">
        <v>0.0</v>
      </c>
      <c r="E677" s="45"/>
      <c r="F677" s="32">
        <v>0.0</v>
      </c>
    </row>
    <row r="678" ht="14.25" customHeight="1">
      <c r="A678" s="4"/>
      <c r="B678" s="4"/>
      <c r="C678" s="20"/>
      <c r="D678" s="42">
        <v>0.0</v>
      </c>
      <c r="E678" s="45"/>
      <c r="F678" s="32">
        <v>0.0</v>
      </c>
    </row>
    <row r="679" ht="14.25" customHeight="1">
      <c r="A679" s="4"/>
      <c r="B679" s="4"/>
      <c r="C679" s="20"/>
      <c r="D679" s="42">
        <v>0.0</v>
      </c>
      <c r="E679" s="45"/>
      <c r="F679" s="32">
        <v>0.0</v>
      </c>
    </row>
    <row r="680" ht="14.25" customHeight="1">
      <c r="A680" s="4"/>
      <c r="B680" s="4"/>
      <c r="C680" s="20"/>
      <c r="D680" s="42">
        <v>0.0</v>
      </c>
      <c r="E680" s="45"/>
      <c r="F680" s="32">
        <v>0.0</v>
      </c>
    </row>
    <row r="681" ht="14.25" customHeight="1">
      <c r="A681" s="4"/>
      <c r="B681" s="4"/>
      <c r="C681" s="20"/>
      <c r="D681" s="42">
        <v>0.0</v>
      </c>
      <c r="E681" s="45"/>
      <c r="F681" s="32">
        <v>0.0</v>
      </c>
    </row>
    <row r="682" ht="14.25" customHeight="1">
      <c r="A682" s="4"/>
      <c r="B682" s="4"/>
      <c r="C682" s="20"/>
      <c r="D682" s="42">
        <v>0.0</v>
      </c>
      <c r="E682" s="45"/>
      <c r="F682" s="32">
        <v>0.0</v>
      </c>
    </row>
    <row r="683" ht="14.25" customHeight="1">
      <c r="A683" s="4"/>
      <c r="B683" s="4"/>
      <c r="C683" s="20"/>
      <c r="D683" s="42">
        <v>0.0</v>
      </c>
      <c r="E683" s="45"/>
      <c r="F683" s="32">
        <v>0.0</v>
      </c>
    </row>
    <row r="684" ht="14.25" customHeight="1">
      <c r="A684" s="4"/>
      <c r="B684" s="4"/>
      <c r="C684" s="20"/>
      <c r="D684" s="42">
        <v>0.0</v>
      </c>
      <c r="E684" s="45"/>
      <c r="F684" s="32">
        <v>0.0</v>
      </c>
    </row>
    <row r="685" ht="14.25" customHeight="1">
      <c r="A685" s="4"/>
      <c r="B685" s="4"/>
      <c r="C685" s="20"/>
      <c r="D685" s="42">
        <v>0.0</v>
      </c>
      <c r="E685" s="45"/>
      <c r="F685" s="32">
        <v>0.0</v>
      </c>
    </row>
    <row r="686" ht="14.25" customHeight="1">
      <c r="A686" s="4"/>
      <c r="B686" s="4"/>
      <c r="C686" s="20"/>
      <c r="D686" s="42">
        <v>0.0</v>
      </c>
      <c r="E686" s="45"/>
      <c r="F686" s="32">
        <v>0.0</v>
      </c>
    </row>
    <row r="687" ht="14.25" customHeight="1">
      <c r="A687" s="4"/>
      <c r="B687" s="4"/>
      <c r="C687" s="20"/>
      <c r="D687" s="42">
        <v>0.0</v>
      </c>
      <c r="E687" s="45"/>
      <c r="F687" s="32">
        <v>0.0</v>
      </c>
    </row>
    <row r="688" ht="14.25" customHeight="1">
      <c r="A688" s="4"/>
      <c r="B688" s="4"/>
      <c r="C688" s="20"/>
      <c r="D688" s="42">
        <v>0.0</v>
      </c>
      <c r="E688" s="45"/>
      <c r="F688" s="32">
        <v>0.0</v>
      </c>
    </row>
    <row r="689" ht="14.25" customHeight="1">
      <c r="A689" s="4"/>
      <c r="B689" s="4"/>
      <c r="C689" s="20"/>
      <c r="D689" s="42">
        <v>0.0</v>
      </c>
      <c r="E689" s="45"/>
      <c r="F689" s="32">
        <v>0.0</v>
      </c>
    </row>
    <row r="690" ht="14.25" customHeight="1">
      <c r="A690" s="4"/>
      <c r="B690" s="4"/>
      <c r="C690" s="20"/>
      <c r="D690" s="42">
        <v>0.0</v>
      </c>
      <c r="E690" s="45"/>
      <c r="F690" s="32">
        <v>0.0</v>
      </c>
    </row>
    <row r="691" ht="14.25" customHeight="1">
      <c r="A691" s="4"/>
      <c r="B691" s="4"/>
      <c r="C691" s="20"/>
      <c r="D691" s="42">
        <v>0.0</v>
      </c>
      <c r="E691" s="45"/>
      <c r="F691" s="32">
        <v>0.0</v>
      </c>
    </row>
    <row r="692" ht="14.25" customHeight="1">
      <c r="A692" s="4"/>
      <c r="B692" s="4"/>
      <c r="C692" s="20"/>
      <c r="D692" s="42">
        <v>0.0</v>
      </c>
      <c r="E692" s="45"/>
      <c r="F692" s="32">
        <v>0.0</v>
      </c>
    </row>
    <row r="693" ht="14.25" customHeight="1">
      <c r="A693" s="4"/>
      <c r="B693" s="4"/>
      <c r="C693" s="20"/>
      <c r="D693" s="42">
        <v>0.0</v>
      </c>
      <c r="E693" s="45"/>
      <c r="F693" s="32">
        <v>0.0</v>
      </c>
    </row>
    <row r="694" ht="14.25" customHeight="1">
      <c r="A694" s="4"/>
      <c r="B694" s="4"/>
      <c r="C694" s="20"/>
      <c r="D694" s="42">
        <v>0.0</v>
      </c>
      <c r="E694" s="45"/>
      <c r="F694" s="32">
        <v>0.0</v>
      </c>
    </row>
    <row r="695" ht="14.25" customHeight="1">
      <c r="A695" s="4"/>
      <c r="B695" s="4"/>
      <c r="C695" s="20"/>
      <c r="D695" s="42">
        <v>0.0</v>
      </c>
      <c r="E695" s="45"/>
      <c r="F695" s="32">
        <v>0.0</v>
      </c>
    </row>
    <row r="696" ht="14.25" customHeight="1">
      <c r="A696" s="4"/>
      <c r="B696" s="4"/>
      <c r="C696" s="20"/>
      <c r="D696" s="42">
        <v>0.0</v>
      </c>
      <c r="E696" s="45"/>
      <c r="F696" s="32">
        <v>0.0</v>
      </c>
    </row>
    <row r="697" ht="14.25" customHeight="1">
      <c r="A697" s="4"/>
      <c r="B697" s="4"/>
      <c r="C697" s="20"/>
      <c r="D697" s="42">
        <v>0.0</v>
      </c>
      <c r="E697" s="45"/>
      <c r="F697" s="32">
        <v>0.0</v>
      </c>
    </row>
    <row r="698" ht="14.25" customHeight="1">
      <c r="A698" s="4"/>
      <c r="B698" s="4"/>
      <c r="C698" s="20"/>
      <c r="D698" s="42">
        <v>0.0</v>
      </c>
      <c r="E698" s="45"/>
      <c r="F698" s="32">
        <v>0.0</v>
      </c>
    </row>
    <row r="699" ht="14.25" customHeight="1">
      <c r="A699" s="4"/>
      <c r="B699" s="4"/>
      <c r="C699" s="20"/>
      <c r="D699" s="42">
        <v>0.0</v>
      </c>
      <c r="E699" s="45"/>
      <c r="F699" s="32">
        <v>0.0</v>
      </c>
    </row>
    <row r="700" ht="14.25" customHeight="1">
      <c r="A700" s="4"/>
      <c r="B700" s="4"/>
      <c r="C700" s="20"/>
      <c r="D700" s="42">
        <v>0.0</v>
      </c>
      <c r="E700" s="45"/>
      <c r="F700" s="32">
        <v>0.0</v>
      </c>
    </row>
    <row r="701" ht="14.25" customHeight="1">
      <c r="A701" s="4"/>
      <c r="B701" s="4"/>
      <c r="C701" s="20"/>
      <c r="D701" s="42">
        <v>0.0</v>
      </c>
      <c r="E701" s="45"/>
      <c r="F701" s="32">
        <v>0.0</v>
      </c>
    </row>
    <row r="702" ht="14.25" customHeight="1">
      <c r="A702" s="4"/>
      <c r="B702" s="4"/>
      <c r="C702" s="20"/>
      <c r="D702" s="42">
        <v>0.0</v>
      </c>
      <c r="E702" s="45"/>
      <c r="F702" s="32">
        <v>0.0</v>
      </c>
    </row>
    <row r="703" ht="14.25" customHeight="1">
      <c r="A703" s="4"/>
      <c r="B703" s="4"/>
      <c r="C703" s="20"/>
      <c r="D703" s="42">
        <v>0.0</v>
      </c>
      <c r="E703" s="45"/>
      <c r="F703" s="32">
        <v>0.0</v>
      </c>
    </row>
    <row r="704" ht="14.25" customHeight="1">
      <c r="A704" s="4"/>
      <c r="B704" s="4"/>
      <c r="C704" s="20"/>
      <c r="D704" s="42">
        <v>0.0</v>
      </c>
      <c r="E704" s="45"/>
      <c r="F704" s="32">
        <v>0.0</v>
      </c>
    </row>
    <row r="705" ht="14.25" customHeight="1">
      <c r="A705" s="4"/>
      <c r="B705" s="4"/>
      <c r="C705" s="20"/>
      <c r="D705" s="42">
        <v>0.0</v>
      </c>
      <c r="E705" s="45"/>
      <c r="F705" s="32">
        <v>0.0</v>
      </c>
    </row>
    <row r="706" ht="14.25" customHeight="1">
      <c r="A706" s="4"/>
      <c r="B706" s="4"/>
      <c r="C706" s="20"/>
      <c r="D706" s="42">
        <v>0.0</v>
      </c>
      <c r="E706" s="45"/>
      <c r="F706" s="32">
        <v>0.0</v>
      </c>
    </row>
    <row r="707" ht="14.25" customHeight="1">
      <c r="A707" s="4"/>
      <c r="B707" s="4"/>
      <c r="C707" s="20"/>
      <c r="D707" s="42">
        <v>0.0</v>
      </c>
      <c r="E707" s="45"/>
      <c r="F707" s="32">
        <v>0.0</v>
      </c>
    </row>
    <row r="708" ht="14.25" customHeight="1">
      <c r="A708" s="4"/>
      <c r="B708" s="4"/>
      <c r="C708" s="20"/>
      <c r="D708" s="42">
        <v>0.0</v>
      </c>
      <c r="E708" s="45"/>
      <c r="F708" s="32">
        <v>0.0</v>
      </c>
    </row>
    <row r="709" ht="14.25" customHeight="1">
      <c r="A709" s="4"/>
      <c r="B709" s="4"/>
      <c r="C709" s="20"/>
      <c r="D709" s="42">
        <v>0.0</v>
      </c>
      <c r="E709" s="45"/>
      <c r="F709" s="32">
        <v>0.0</v>
      </c>
    </row>
    <row r="710" ht="14.25" customHeight="1">
      <c r="A710" s="4"/>
      <c r="B710" s="4"/>
      <c r="C710" s="20"/>
      <c r="D710" s="42">
        <v>0.0</v>
      </c>
      <c r="E710" s="45"/>
      <c r="F710" s="32">
        <v>0.0</v>
      </c>
    </row>
    <row r="711" ht="14.25" customHeight="1">
      <c r="A711" s="4"/>
      <c r="B711" s="4"/>
      <c r="C711" s="20"/>
      <c r="D711" s="42">
        <v>0.0</v>
      </c>
      <c r="E711" s="45"/>
      <c r="F711" s="32">
        <v>0.0</v>
      </c>
    </row>
    <row r="712" ht="14.25" customHeight="1">
      <c r="A712" s="4"/>
      <c r="B712" s="4"/>
      <c r="C712" s="20"/>
      <c r="D712" s="42">
        <v>0.0</v>
      </c>
      <c r="E712" s="45"/>
      <c r="F712" s="32">
        <v>0.0</v>
      </c>
    </row>
    <row r="713" ht="14.25" customHeight="1">
      <c r="A713" s="4"/>
      <c r="B713" s="4"/>
      <c r="C713" s="20"/>
      <c r="D713" s="42">
        <v>0.0</v>
      </c>
      <c r="E713" s="45"/>
      <c r="F713" s="32">
        <v>0.0</v>
      </c>
    </row>
    <row r="714" ht="14.25" customHeight="1">
      <c r="A714" s="4"/>
      <c r="B714" s="4"/>
      <c r="C714" s="20"/>
      <c r="D714" s="42">
        <v>0.0</v>
      </c>
      <c r="E714" s="45"/>
      <c r="F714" s="32">
        <v>0.0</v>
      </c>
    </row>
    <row r="715" ht="14.25" customHeight="1">
      <c r="A715" s="4"/>
      <c r="B715" s="4"/>
      <c r="C715" s="20"/>
      <c r="D715" s="42">
        <v>0.0</v>
      </c>
      <c r="E715" s="45"/>
      <c r="F715" s="32">
        <v>0.0</v>
      </c>
    </row>
    <row r="716" ht="14.25" customHeight="1">
      <c r="A716" s="4"/>
      <c r="B716" s="4"/>
      <c r="C716" s="20"/>
      <c r="D716" s="42">
        <v>0.0</v>
      </c>
      <c r="E716" s="45"/>
      <c r="F716" s="32">
        <v>0.0</v>
      </c>
    </row>
    <row r="717" ht="14.25" customHeight="1">
      <c r="A717" s="4"/>
      <c r="B717" s="4"/>
      <c r="C717" s="20"/>
      <c r="D717" s="42">
        <v>0.0</v>
      </c>
      <c r="E717" s="45"/>
      <c r="F717" s="32">
        <v>0.0</v>
      </c>
    </row>
    <row r="718" ht="14.25" customHeight="1">
      <c r="A718" s="4"/>
      <c r="B718" s="4"/>
      <c r="C718" s="20"/>
      <c r="D718" s="42">
        <v>0.0</v>
      </c>
      <c r="E718" s="45"/>
      <c r="F718" s="32">
        <v>0.0</v>
      </c>
    </row>
    <row r="719" ht="14.25" customHeight="1">
      <c r="A719" s="4"/>
      <c r="B719" s="4"/>
      <c r="C719" s="20"/>
      <c r="D719" s="42">
        <v>0.0</v>
      </c>
      <c r="E719" s="45"/>
      <c r="F719" s="32">
        <v>0.0</v>
      </c>
    </row>
    <row r="720" ht="14.25" customHeight="1">
      <c r="A720" s="4"/>
      <c r="B720" s="4"/>
      <c r="C720" s="20"/>
      <c r="D720" s="42">
        <v>0.0</v>
      </c>
      <c r="E720" s="45"/>
      <c r="F720" s="32">
        <v>0.0</v>
      </c>
    </row>
    <row r="721" ht="14.25" customHeight="1">
      <c r="A721" s="4"/>
      <c r="B721" s="4"/>
      <c r="C721" s="20"/>
      <c r="D721" s="42">
        <v>0.0</v>
      </c>
      <c r="E721" s="45"/>
      <c r="F721" s="32">
        <v>0.0</v>
      </c>
    </row>
    <row r="722" ht="14.25" customHeight="1">
      <c r="A722" s="4"/>
      <c r="B722" s="4"/>
      <c r="C722" s="20"/>
      <c r="D722" s="42">
        <v>0.0</v>
      </c>
      <c r="E722" s="45"/>
      <c r="F722" s="32">
        <v>0.0</v>
      </c>
    </row>
    <row r="723" ht="14.25" customHeight="1">
      <c r="A723" s="4"/>
      <c r="B723" s="4"/>
      <c r="C723" s="20"/>
      <c r="D723" s="42">
        <v>0.0</v>
      </c>
      <c r="E723" s="45"/>
      <c r="F723" s="32">
        <v>0.0</v>
      </c>
    </row>
    <row r="724" ht="14.25" customHeight="1">
      <c r="A724" s="4"/>
      <c r="B724" s="4"/>
      <c r="C724" s="20"/>
      <c r="D724" s="42">
        <v>0.0</v>
      </c>
      <c r="E724" s="45"/>
      <c r="F724" s="32">
        <v>0.0</v>
      </c>
    </row>
    <row r="725" ht="14.25" customHeight="1">
      <c r="A725" s="4"/>
      <c r="B725" s="4"/>
      <c r="C725" s="20"/>
      <c r="D725" s="42">
        <v>0.0</v>
      </c>
      <c r="E725" s="45"/>
      <c r="F725" s="32">
        <v>0.0</v>
      </c>
    </row>
    <row r="726" ht="14.25" customHeight="1">
      <c r="A726" s="4"/>
      <c r="B726" s="4"/>
      <c r="C726" s="20"/>
      <c r="D726" s="42">
        <v>0.0</v>
      </c>
      <c r="E726" s="45"/>
      <c r="F726" s="32">
        <v>0.0</v>
      </c>
    </row>
    <row r="727" ht="14.25" customHeight="1">
      <c r="A727" s="4"/>
      <c r="B727" s="4"/>
      <c r="C727" s="20"/>
      <c r="D727" s="42">
        <v>0.0</v>
      </c>
      <c r="E727" s="45"/>
      <c r="F727" s="32">
        <v>0.0</v>
      </c>
    </row>
    <row r="728" ht="14.25" customHeight="1">
      <c r="A728" s="4"/>
      <c r="B728" s="4"/>
      <c r="C728" s="20"/>
      <c r="D728" s="42">
        <v>0.0</v>
      </c>
      <c r="E728" s="45"/>
      <c r="F728" s="32">
        <v>0.0</v>
      </c>
    </row>
    <row r="729" ht="14.25" customHeight="1">
      <c r="A729" s="4"/>
      <c r="B729" s="4"/>
      <c r="C729" s="20"/>
      <c r="D729" s="42">
        <v>0.0</v>
      </c>
      <c r="E729" s="45"/>
      <c r="F729" s="32">
        <v>0.0</v>
      </c>
    </row>
    <row r="730" ht="14.25" customHeight="1">
      <c r="A730" s="4"/>
      <c r="B730" s="4"/>
      <c r="C730" s="20"/>
      <c r="D730" s="42">
        <v>0.0</v>
      </c>
      <c r="E730" s="45"/>
      <c r="F730" s="32">
        <v>0.0</v>
      </c>
    </row>
    <row r="731" ht="14.25" customHeight="1">
      <c r="A731" s="4"/>
      <c r="B731" s="4"/>
      <c r="C731" s="20"/>
      <c r="D731" s="42">
        <v>0.0</v>
      </c>
      <c r="E731" s="45"/>
      <c r="F731" s="32">
        <v>0.0</v>
      </c>
    </row>
    <row r="732" ht="14.25" customHeight="1">
      <c r="A732" s="4"/>
      <c r="B732" s="4"/>
      <c r="C732" s="20"/>
      <c r="D732" s="42">
        <v>0.0</v>
      </c>
      <c r="E732" s="45"/>
      <c r="F732" s="32">
        <v>0.0</v>
      </c>
    </row>
    <row r="733" ht="14.25" customHeight="1">
      <c r="A733" s="4"/>
      <c r="B733" s="4"/>
      <c r="C733" s="20"/>
      <c r="D733" s="42">
        <v>0.0</v>
      </c>
      <c r="E733" s="45"/>
      <c r="F733" s="32">
        <v>0.0</v>
      </c>
    </row>
    <row r="734" ht="14.25" customHeight="1">
      <c r="A734" s="4"/>
      <c r="B734" s="4"/>
      <c r="C734" s="20"/>
      <c r="D734" s="42">
        <v>0.0</v>
      </c>
      <c r="E734" s="45"/>
      <c r="F734" s="32">
        <v>0.0</v>
      </c>
    </row>
    <row r="735" ht="14.25" customHeight="1">
      <c r="A735" s="4"/>
      <c r="B735" s="4"/>
      <c r="C735" s="20"/>
      <c r="D735" s="42">
        <v>0.0</v>
      </c>
      <c r="E735" s="45"/>
      <c r="F735" s="32">
        <v>0.0</v>
      </c>
    </row>
    <row r="736" ht="14.25" customHeight="1">
      <c r="A736" s="4"/>
      <c r="B736" s="4"/>
      <c r="C736" s="20"/>
      <c r="D736" s="42">
        <v>0.0</v>
      </c>
      <c r="E736" s="45"/>
      <c r="F736" s="32">
        <v>0.0</v>
      </c>
    </row>
    <row r="737" ht="14.25" customHeight="1">
      <c r="A737" s="4"/>
      <c r="B737" s="4"/>
      <c r="C737" s="20"/>
      <c r="D737" s="42">
        <v>0.0</v>
      </c>
      <c r="E737" s="45"/>
      <c r="F737" s="32">
        <v>0.0</v>
      </c>
    </row>
    <row r="738" ht="14.25" customHeight="1">
      <c r="A738" s="4"/>
      <c r="B738" s="4"/>
      <c r="C738" s="20"/>
      <c r="D738" s="42">
        <v>0.0</v>
      </c>
      <c r="E738" s="45"/>
      <c r="F738" s="32">
        <v>0.0</v>
      </c>
    </row>
    <row r="739" ht="14.25" customHeight="1">
      <c r="A739" s="4"/>
      <c r="B739" s="4"/>
      <c r="C739" s="20"/>
      <c r="D739" s="42">
        <v>0.0</v>
      </c>
      <c r="E739" s="45"/>
      <c r="F739" s="32">
        <v>0.0</v>
      </c>
    </row>
    <row r="740" ht="14.25" customHeight="1">
      <c r="A740" s="4"/>
      <c r="B740" s="4"/>
      <c r="C740" s="20"/>
      <c r="D740" s="42">
        <v>0.0</v>
      </c>
      <c r="E740" s="45"/>
      <c r="F740" s="32">
        <v>0.0</v>
      </c>
    </row>
    <row r="741" ht="14.25" customHeight="1">
      <c r="A741" s="4"/>
      <c r="B741" s="4"/>
      <c r="C741" s="20"/>
      <c r="D741" s="42">
        <v>0.0</v>
      </c>
      <c r="E741" s="45"/>
      <c r="F741" s="32">
        <v>0.0</v>
      </c>
    </row>
    <row r="742" ht="14.25" customHeight="1">
      <c r="A742" s="4"/>
      <c r="B742" s="4"/>
      <c r="C742" s="20"/>
      <c r="D742" s="42">
        <v>0.0</v>
      </c>
      <c r="E742" s="45"/>
      <c r="F742" s="32">
        <v>0.0</v>
      </c>
    </row>
    <row r="743" ht="14.25" customHeight="1">
      <c r="A743" s="4"/>
      <c r="B743" s="4"/>
      <c r="C743" s="20"/>
      <c r="D743" s="42">
        <v>0.0</v>
      </c>
      <c r="E743" s="45"/>
      <c r="F743" s="32">
        <v>0.0</v>
      </c>
    </row>
    <row r="744" ht="14.25" customHeight="1">
      <c r="A744" s="4"/>
      <c r="B744" s="4"/>
      <c r="C744" s="20"/>
      <c r="D744" s="42">
        <v>0.0</v>
      </c>
      <c r="E744" s="45"/>
      <c r="F744" s="32">
        <v>0.0</v>
      </c>
    </row>
    <row r="745" ht="14.25" customHeight="1">
      <c r="A745" s="4"/>
      <c r="B745" s="4"/>
      <c r="C745" s="20"/>
      <c r="D745" s="42">
        <v>0.0</v>
      </c>
      <c r="E745" s="45"/>
      <c r="F745" s="32">
        <v>0.0</v>
      </c>
    </row>
    <row r="746" ht="14.25" customHeight="1">
      <c r="A746" s="4"/>
      <c r="B746" s="4"/>
      <c r="C746" s="20"/>
      <c r="D746" s="42">
        <v>0.0</v>
      </c>
      <c r="E746" s="45"/>
      <c r="F746" s="32">
        <v>0.0</v>
      </c>
    </row>
    <row r="747" ht="14.25" customHeight="1">
      <c r="A747" s="4"/>
      <c r="B747" s="4"/>
      <c r="C747" s="20"/>
      <c r="D747" s="42">
        <v>0.0</v>
      </c>
      <c r="E747" s="45"/>
      <c r="F747" s="32">
        <v>0.0</v>
      </c>
    </row>
    <row r="748" ht="14.25" customHeight="1">
      <c r="A748" s="4"/>
      <c r="B748" s="4"/>
      <c r="C748" s="20"/>
      <c r="D748" s="42">
        <v>0.0</v>
      </c>
      <c r="E748" s="45"/>
      <c r="F748" s="32">
        <v>0.0</v>
      </c>
    </row>
    <row r="749" ht="14.25" customHeight="1">
      <c r="A749" s="4"/>
      <c r="B749" s="4"/>
      <c r="C749" s="20"/>
      <c r="D749" s="42">
        <v>0.0</v>
      </c>
      <c r="E749" s="45"/>
      <c r="F749" s="32">
        <v>0.0</v>
      </c>
    </row>
    <row r="750" ht="14.25" customHeight="1">
      <c r="A750" s="4"/>
      <c r="B750" s="4"/>
      <c r="C750" s="20"/>
      <c r="D750" s="42">
        <v>0.0</v>
      </c>
      <c r="E750" s="45"/>
      <c r="F750" s="32">
        <v>0.0</v>
      </c>
    </row>
    <row r="751" ht="14.25" customHeight="1">
      <c r="A751" s="4"/>
      <c r="B751" s="4"/>
      <c r="C751" s="20"/>
      <c r="D751" s="42">
        <v>0.0</v>
      </c>
      <c r="E751" s="45"/>
      <c r="F751" s="32">
        <v>0.0</v>
      </c>
    </row>
    <row r="752" ht="14.25" customHeight="1">
      <c r="A752" s="4"/>
      <c r="B752" s="4"/>
      <c r="C752" s="20"/>
      <c r="D752" s="42">
        <v>0.0</v>
      </c>
      <c r="E752" s="45"/>
      <c r="F752" s="32">
        <v>0.0</v>
      </c>
    </row>
    <row r="753" ht="14.25" customHeight="1">
      <c r="A753" s="4"/>
      <c r="B753" s="4"/>
      <c r="C753" s="20"/>
      <c r="D753" s="42">
        <v>0.0</v>
      </c>
      <c r="E753" s="45"/>
      <c r="F753" s="32">
        <v>0.0</v>
      </c>
    </row>
    <row r="754" ht="14.25" customHeight="1">
      <c r="A754" s="4"/>
      <c r="B754" s="4"/>
      <c r="C754" s="20"/>
      <c r="D754" s="42">
        <v>0.0</v>
      </c>
      <c r="E754" s="45"/>
      <c r="F754" s="32">
        <v>0.0</v>
      </c>
    </row>
    <row r="755" ht="14.25" customHeight="1">
      <c r="A755" s="4"/>
      <c r="B755" s="4"/>
      <c r="C755" s="20"/>
      <c r="D755" s="42">
        <v>0.0</v>
      </c>
      <c r="E755" s="45"/>
      <c r="F755" s="32">
        <v>0.0</v>
      </c>
    </row>
    <row r="756" ht="14.25" customHeight="1">
      <c r="A756" s="4"/>
      <c r="B756" s="4"/>
      <c r="C756" s="20"/>
      <c r="D756" s="42">
        <v>0.0</v>
      </c>
      <c r="E756" s="45"/>
      <c r="F756" s="32">
        <v>0.0</v>
      </c>
    </row>
    <row r="757" ht="14.25" customHeight="1">
      <c r="A757" s="4"/>
      <c r="B757" s="4"/>
      <c r="C757" s="20"/>
      <c r="D757" s="42">
        <v>0.0</v>
      </c>
      <c r="E757" s="45"/>
      <c r="F757" s="32">
        <v>0.0</v>
      </c>
    </row>
    <row r="758" ht="14.25" customHeight="1">
      <c r="A758" s="4"/>
      <c r="B758" s="4"/>
      <c r="C758" s="20"/>
      <c r="D758" s="42">
        <v>0.0</v>
      </c>
      <c r="E758" s="45"/>
      <c r="F758" s="32">
        <v>0.0</v>
      </c>
    </row>
    <row r="759" ht="14.25" customHeight="1">
      <c r="A759" s="4"/>
      <c r="B759" s="4"/>
      <c r="C759" s="20"/>
      <c r="D759" s="42">
        <v>0.0</v>
      </c>
      <c r="E759" s="45"/>
      <c r="F759" s="32">
        <v>0.0</v>
      </c>
    </row>
    <row r="760" ht="14.25" customHeight="1">
      <c r="A760" s="4"/>
      <c r="B760" s="4"/>
      <c r="C760" s="20"/>
      <c r="D760" s="42">
        <v>0.0</v>
      </c>
      <c r="E760" s="45"/>
      <c r="F760" s="32">
        <v>0.0</v>
      </c>
    </row>
    <row r="761" ht="14.25" customHeight="1">
      <c r="A761" s="4"/>
      <c r="B761" s="4"/>
      <c r="C761" s="20"/>
      <c r="D761" s="42">
        <v>0.0</v>
      </c>
      <c r="E761" s="45"/>
      <c r="F761" s="32">
        <v>0.0</v>
      </c>
    </row>
    <row r="762" ht="14.25" customHeight="1">
      <c r="A762" s="4"/>
      <c r="B762" s="4"/>
      <c r="C762" s="20"/>
      <c r="D762" s="42">
        <v>0.0</v>
      </c>
      <c r="E762" s="45"/>
      <c r="F762" s="32">
        <v>0.0</v>
      </c>
    </row>
    <row r="763" ht="14.25" customHeight="1">
      <c r="A763" s="4"/>
      <c r="B763" s="4"/>
      <c r="C763" s="20"/>
      <c r="D763" s="42">
        <v>0.0</v>
      </c>
      <c r="E763" s="45"/>
      <c r="F763" s="32">
        <v>0.0</v>
      </c>
    </row>
    <row r="764" ht="14.25" customHeight="1">
      <c r="A764" s="4"/>
      <c r="B764" s="4"/>
      <c r="C764" s="20"/>
      <c r="D764" s="42">
        <v>0.0</v>
      </c>
      <c r="E764" s="45"/>
      <c r="F764" s="32">
        <v>0.0</v>
      </c>
    </row>
    <row r="765" ht="14.25" customHeight="1">
      <c r="A765" s="4"/>
      <c r="B765" s="4"/>
      <c r="C765" s="20"/>
      <c r="D765" s="42">
        <v>0.0</v>
      </c>
      <c r="E765" s="45"/>
      <c r="F765" s="32">
        <v>0.0</v>
      </c>
    </row>
    <row r="766" ht="14.25" customHeight="1">
      <c r="A766" s="4"/>
      <c r="B766" s="4"/>
      <c r="C766" s="20"/>
      <c r="D766" s="42">
        <v>0.0</v>
      </c>
      <c r="E766" s="45"/>
      <c r="F766" s="32">
        <v>0.0</v>
      </c>
    </row>
    <row r="767" ht="14.25" customHeight="1">
      <c r="A767" s="4"/>
      <c r="B767" s="4"/>
      <c r="C767" s="20"/>
      <c r="D767" s="42">
        <v>0.0</v>
      </c>
      <c r="E767" s="45"/>
      <c r="F767" s="32">
        <v>0.0</v>
      </c>
    </row>
    <row r="768" ht="14.25" customHeight="1">
      <c r="A768" s="4"/>
      <c r="B768" s="4"/>
      <c r="C768" s="20"/>
      <c r="D768" s="42">
        <v>0.0</v>
      </c>
      <c r="E768" s="45"/>
      <c r="F768" s="32">
        <v>0.0</v>
      </c>
    </row>
    <row r="769" ht="14.25" customHeight="1">
      <c r="A769" s="4"/>
      <c r="B769" s="4"/>
      <c r="C769" s="20"/>
      <c r="D769" s="42">
        <v>0.0</v>
      </c>
      <c r="E769" s="45"/>
      <c r="F769" s="32">
        <v>0.0</v>
      </c>
    </row>
    <row r="770" ht="14.25" customHeight="1">
      <c r="A770" s="4"/>
      <c r="B770" s="4"/>
      <c r="C770" s="20"/>
      <c r="D770" s="42">
        <v>0.0</v>
      </c>
      <c r="E770" s="45"/>
      <c r="F770" s="32">
        <v>0.0</v>
      </c>
    </row>
    <row r="771" ht="14.25" customHeight="1">
      <c r="A771" s="4"/>
      <c r="B771" s="4"/>
      <c r="C771" s="20"/>
      <c r="D771" s="42">
        <v>0.0</v>
      </c>
      <c r="E771" s="45"/>
      <c r="F771" s="32">
        <v>0.0</v>
      </c>
    </row>
    <row r="772" ht="14.25" customHeight="1">
      <c r="A772" s="4"/>
      <c r="B772" s="4"/>
      <c r="C772" s="20"/>
      <c r="D772" s="42">
        <v>0.0</v>
      </c>
      <c r="E772" s="45"/>
      <c r="F772" s="32">
        <v>0.0</v>
      </c>
    </row>
    <row r="773" ht="14.25" customHeight="1">
      <c r="A773" s="4"/>
      <c r="B773" s="4"/>
      <c r="C773" s="20"/>
      <c r="D773" s="42">
        <v>0.0</v>
      </c>
      <c r="E773" s="45"/>
      <c r="F773" s="32">
        <v>0.0</v>
      </c>
    </row>
    <row r="774" ht="14.25" customHeight="1">
      <c r="A774" s="4"/>
      <c r="B774" s="4"/>
      <c r="C774" s="20"/>
      <c r="D774" s="42">
        <v>0.0</v>
      </c>
      <c r="E774" s="45"/>
      <c r="F774" s="32">
        <v>0.0</v>
      </c>
    </row>
    <row r="775" ht="14.25" customHeight="1">
      <c r="A775" s="4"/>
      <c r="B775" s="4"/>
      <c r="C775" s="20"/>
      <c r="D775" s="42">
        <v>0.0</v>
      </c>
      <c r="E775" s="45"/>
      <c r="F775" s="32">
        <v>0.0</v>
      </c>
    </row>
    <row r="776" ht="14.25" customHeight="1">
      <c r="A776" s="4"/>
      <c r="B776" s="4"/>
      <c r="C776" s="20"/>
      <c r="D776" s="42">
        <v>0.0</v>
      </c>
      <c r="E776" s="45"/>
      <c r="F776" s="32">
        <v>0.0</v>
      </c>
    </row>
    <row r="777" ht="14.25" customHeight="1">
      <c r="A777" s="4"/>
      <c r="B777" s="4"/>
      <c r="C777" s="20"/>
      <c r="D777" s="42">
        <v>0.0</v>
      </c>
      <c r="E777" s="45"/>
      <c r="F777" s="32">
        <v>0.0</v>
      </c>
    </row>
    <row r="778" ht="14.25" customHeight="1">
      <c r="A778" s="4"/>
      <c r="B778" s="4"/>
      <c r="C778" s="20"/>
      <c r="D778" s="42">
        <v>0.0</v>
      </c>
      <c r="E778" s="45"/>
      <c r="F778" s="32">
        <v>0.0</v>
      </c>
    </row>
    <row r="779" ht="14.25" customHeight="1">
      <c r="A779" s="4"/>
      <c r="B779" s="4"/>
      <c r="C779" s="20"/>
      <c r="D779" s="42">
        <v>0.0</v>
      </c>
      <c r="E779" s="45"/>
      <c r="F779" s="32">
        <v>0.0</v>
      </c>
    </row>
    <row r="780" ht="14.25" customHeight="1">
      <c r="A780" s="4"/>
      <c r="B780" s="4"/>
      <c r="C780" s="20"/>
      <c r="D780" s="42">
        <v>0.0</v>
      </c>
      <c r="E780" s="45"/>
      <c r="F780" s="32">
        <v>0.0</v>
      </c>
    </row>
    <row r="781" ht="14.25" customHeight="1">
      <c r="A781" s="4"/>
      <c r="B781" s="4"/>
      <c r="C781" s="20"/>
      <c r="D781" s="42">
        <v>0.0</v>
      </c>
      <c r="E781" s="45"/>
      <c r="F781" s="32">
        <v>0.0</v>
      </c>
    </row>
    <row r="782" ht="14.25" customHeight="1">
      <c r="A782" s="4"/>
      <c r="B782" s="4"/>
      <c r="C782" s="20"/>
      <c r="D782" s="42">
        <v>0.0</v>
      </c>
      <c r="E782" s="45"/>
      <c r="F782" s="32">
        <v>0.0</v>
      </c>
    </row>
    <row r="783" ht="14.25" customHeight="1">
      <c r="A783" s="4"/>
      <c r="B783" s="4"/>
      <c r="C783" s="20"/>
      <c r="D783" s="42">
        <v>0.0</v>
      </c>
      <c r="E783" s="45"/>
      <c r="F783" s="32">
        <v>0.0</v>
      </c>
    </row>
    <row r="784" ht="14.25" customHeight="1">
      <c r="A784" s="4"/>
      <c r="B784" s="4"/>
      <c r="C784" s="20"/>
      <c r="D784" s="42">
        <v>0.0</v>
      </c>
      <c r="E784" s="45"/>
      <c r="F784" s="32">
        <v>0.0</v>
      </c>
    </row>
    <row r="785" ht="14.25" customHeight="1">
      <c r="A785" s="4"/>
      <c r="B785" s="4"/>
      <c r="C785" s="20"/>
      <c r="D785" s="42">
        <v>0.0</v>
      </c>
      <c r="E785" s="45"/>
      <c r="F785" s="32">
        <v>0.0</v>
      </c>
    </row>
    <row r="786" ht="14.25" customHeight="1">
      <c r="A786" s="4"/>
      <c r="B786" s="4"/>
      <c r="C786" s="20"/>
      <c r="D786" s="42">
        <v>0.0</v>
      </c>
      <c r="E786" s="45"/>
      <c r="F786" s="32">
        <v>0.0</v>
      </c>
    </row>
    <row r="787" ht="14.25" customHeight="1">
      <c r="A787" s="4"/>
      <c r="B787" s="4"/>
      <c r="C787" s="20"/>
      <c r="D787" s="42">
        <v>0.0</v>
      </c>
      <c r="E787" s="45"/>
      <c r="F787" s="32">
        <v>0.0</v>
      </c>
    </row>
    <row r="788" ht="14.25" customHeight="1">
      <c r="A788" s="4"/>
      <c r="B788" s="4"/>
      <c r="C788" s="20"/>
      <c r="D788" s="42">
        <v>0.0</v>
      </c>
      <c r="E788" s="45"/>
      <c r="F788" s="32">
        <v>0.0</v>
      </c>
    </row>
    <row r="789" ht="14.25" customHeight="1">
      <c r="A789" s="4"/>
      <c r="B789" s="4"/>
      <c r="C789" s="20"/>
      <c r="D789" s="42">
        <v>0.0</v>
      </c>
      <c r="E789" s="45"/>
      <c r="F789" s="32">
        <v>0.0</v>
      </c>
    </row>
    <row r="790" ht="14.25" customHeight="1">
      <c r="A790" s="4"/>
      <c r="B790" s="4"/>
      <c r="C790" s="20"/>
      <c r="D790" s="42">
        <v>0.0</v>
      </c>
      <c r="E790" s="45"/>
      <c r="F790" s="32">
        <v>0.0</v>
      </c>
    </row>
    <row r="791" ht="14.25" customHeight="1">
      <c r="A791" s="4"/>
      <c r="B791" s="4"/>
      <c r="C791" s="20"/>
      <c r="D791" s="42">
        <v>0.0</v>
      </c>
      <c r="E791" s="45"/>
      <c r="F791" s="32">
        <v>0.0</v>
      </c>
    </row>
    <row r="792" ht="14.25" customHeight="1">
      <c r="A792" s="4"/>
      <c r="B792" s="4"/>
      <c r="C792" s="20"/>
      <c r="D792" s="42">
        <v>0.0</v>
      </c>
      <c r="E792" s="45"/>
      <c r="F792" s="32">
        <v>0.0</v>
      </c>
    </row>
    <row r="793" ht="14.25" customHeight="1">
      <c r="A793" s="4"/>
      <c r="B793" s="4"/>
      <c r="C793" s="20"/>
      <c r="D793" s="42">
        <v>0.0</v>
      </c>
      <c r="E793" s="45"/>
      <c r="F793" s="32">
        <v>0.0</v>
      </c>
    </row>
    <row r="794" ht="14.25" customHeight="1">
      <c r="A794" s="4"/>
      <c r="B794" s="4"/>
      <c r="C794" s="20"/>
      <c r="D794" s="42">
        <v>0.0</v>
      </c>
      <c r="E794" s="45"/>
      <c r="F794" s="32">
        <v>0.0</v>
      </c>
    </row>
    <row r="795" ht="14.25" customHeight="1">
      <c r="A795" s="4"/>
      <c r="B795" s="4"/>
      <c r="C795" s="20"/>
      <c r="D795" s="42">
        <v>0.0</v>
      </c>
      <c r="E795" s="45"/>
      <c r="F795" s="32">
        <v>0.0</v>
      </c>
    </row>
    <row r="796" ht="14.25" customHeight="1">
      <c r="A796" s="4"/>
      <c r="B796" s="4"/>
      <c r="C796" s="20"/>
      <c r="D796" s="42">
        <v>0.0</v>
      </c>
      <c r="E796" s="45"/>
      <c r="F796" s="32">
        <v>0.0</v>
      </c>
    </row>
    <row r="797" ht="14.25" customHeight="1">
      <c r="A797" s="4"/>
      <c r="B797" s="4"/>
      <c r="C797" s="20"/>
      <c r="D797" s="42">
        <v>0.0</v>
      </c>
      <c r="E797" s="45"/>
      <c r="F797" s="32">
        <v>0.0</v>
      </c>
    </row>
    <row r="798" ht="14.25" customHeight="1">
      <c r="A798" s="4"/>
      <c r="B798" s="4"/>
      <c r="C798" s="20"/>
      <c r="D798" s="42">
        <v>0.0</v>
      </c>
      <c r="E798" s="45"/>
      <c r="F798" s="32">
        <v>0.0</v>
      </c>
    </row>
    <row r="799" ht="14.25" customHeight="1">
      <c r="A799" s="4"/>
      <c r="B799" s="4"/>
      <c r="C799" s="20"/>
      <c r="D799" s="42">
        <v>0.0</v>
      </c>
      <c r="E799" s="45"/>
      <c r="F799" s="32">
        <v>0.0</v>
      </c>
    </row>
    <row r="800" ht="14.25" customHeight="1">
      <c r="A800" s="4"/>
      <c r="B800" s="4"/>
      <c r="C800" s="20"/>
      <c r="D800" s="42">
        <v>0.0</v>
      </c>
      <c r="E800" s="45"/>
      <c r="F800" s="32">
        <v>0.0</v>
      </c>
    </row>
    <row r="801" ht="14.25" customHeight="1">
      <c r="A801" s="4"/>
      <c r="B801" s="4"/>
      <c r="C801" s="20"/>
      <c r="D801" s="42">
        <v>0.0</v>
      </c>
      <c r="E801" s="45"/>
      <c r="F801" s="32">
        <v>0.0</v>
      </c>
    </row>
    <row r="802" ht="14.25" customHeight="1">
      <c r="A802" s="4"/>
      <c r="B802" s="4"/>
      <c r="C802" s="20"/>
      <c r="D802" s="42">
        <v>0.0</v>
      </c>
      <c r="E802" s="45"/>
      <c r="F802" s="32">
        <v>0.0</v>
      </c>
    </row>
    <row r="803" ht="14.25" customHeight="1">
      <c r="A803" s="4"/>
      <c r="B803" s="4"/>
      <c r="C803" s="20"/>
      <c r="D803" s="42">
        <v>0.0</v>
      </c>
      <c r="E803" s="45"/>
      <c r="F803" s="32">
        <v>0.0</v>
      </c>
    </row>
    <row r="804" ht="14.25" customHeight="1">
      <c r="A804" s="4"/>
      <c r="B804" s="4"/>
      <c r="C804" s="20"/>
      <c r="D804" s="42">
        <v>0.0</v>
      </c>
      <c r="E804" s="45"/>
      <c r="F804" s="32">
        <v>0.0</v>
      </c>
    </row>
    <row r="805" ht="14.25" customHeight="1">
      <c r="A805" s="4"/>
      <c r="B805" s="4"/>
      <c r="C805" s="20"/>
      <c r="D805" s="42">
        <v>0.0</v>
      </c>
      <c r="E805" s="45"/>
      <c r="F805" s="32">
        <v>0.0</v>
      </c>
    </row>
    <row r="806" ht="14.25" customHeight="1">
      <c r="A806" s="4"/>
      <c r="B806" s="4"/>
      <c r="C806" s="20"/>
      <c r="D806" s="42">
        <v>0.0</v>
      </c>
      <c r="E806" s="45"/>
      <c r="F806" s="32">
        <v>0.0</v>
      </c>
    </row>
    <row r="807" ht="14.25" customHeight="1">
      <c r="A807" s="4"/>
      <c r="B807" s="4"/>
      <c r="C807" s="20"/>
      <c r="D807" s="42">
        <v>0.0</v>
      </c>
      <c r="E807" s="45"/>
      <c r="F807" s="32">
        <v>0.0</v>
      </c>
    </row>
    <row r="808" ht="14.25" customHeight="1">
      <c r="A808" s="4"/>
      <c r="B808" s="4"/>
      <c r="C808" s="20"/>
      <c r="D808" s="42">
        <v>0.0</v>
      </c>
      <c r="E808" s="45"/>
      <c r="F808" s="32">
        <v>0.0</v>
      </c>
    </row>
    <row r="809" ht="14.25" customHeight="1">
      <c r="A809" s="4"/>
      <c r="B809" s="4"/>
      <c r="C809" s="20"/>
      <c r="D809" s="42">
        <v>0.0</v>
      </c>
      <c r="E809" s="45"/>
      <c r="F809" s="32">
        <v>0.0</v>
      </c>
    </row>
    <row r="810" ht="14.25" customHeight="1">
      <c r="A810" s="4"/>
      <c r="B810" s="4"/>
      <c r="C810" s="20"/>
      <c r="D810" s="42">
        <v>0.0</v>
      </c>
      <c r="E810" s="45"/>
      <c r="F810" s="32">
        <v>0.0</v>
      </c>
    </row>
    <row r="811" ht="14.25" customHeight="1">
      <c r="A811" s="4"/>
      <c r="B811" s="4"/>
      <c r="C811" s="20"/>
      <c r="D811" s="42">
        <v>0.0</v>
      </c>
      <c r="E811" s="45"/>
      <c r="F811" s="32">
        <v>0.0</v>
      </c>
    </row>
    <row r="812" ht="14.25" customHeight="1">
      <c r="A812" s="4"/>
      <c r="B812" s="4"/>
      <c r="C812" s="20"/>
      <c r="D812" s="42">
        <v>0.0</v>
      </c>
      <c r="E812" s="45"/>
      <c r="F812" s="32">
        <v>0.0</v>
      </c>
    </row>
    <row r="813" ht="14.25" customHeight="1">
      <c r="A813" s="4"/>
      <c r="B813" s="4"/>
      <c r="C813" s="20"/>
      <c r="D813" s="42">
        <v>0.0</v>
      </c>
      <c r="E813" s="45"/>
      <c r="F813" s="32">
        <v>0.0</v>
      </c>
    </row>
    <row r="814" ht="14.25" customHeight="1">
      <c r="A814" s="4"/>
      <c r="B814" s="4"/>
      <c r="C814" s="20"/>
      <c r="D814" s="42">
        <v>0.0</v>
      </c>
      <c r="E814" s="45"/>
      <c r="F814" s="32">
        <v>0.0</v>
      </c>
    </row>
    <row r="815" ht="14.25" customHeight="1">
      <c r="A815" s="4"/>
      <c r="B815" s="4"/>
      <c r="C815" s="20"/>
      <c r="D815" s="42">
        <v>0.0</v>
      </c>
      <c r="E815" s="45"/>
      <c r="F815" s="32">
        <v>0.0</v>
      </c>
    </row>
    <row r="816" ht="14.25" customHeight="1">
      <c r="A816" s="4"/>
      <c r="B816" s="4"/>
      <c r="C816" s="20"/>
      <c r="D816" s="42">
        <v>0.0</v>
      </c>
      <c r="E816" s="45"/>
      <c r="F816" s="32">
        <v>0.0</v>
      </c>
    </row>
    <row r="817" ht="14.25" customHeight="1">
      <c r="A817" s="4"/>
      <c r="B817" s="4"/>
      <c r="C817" s="20"/>
      <c r="D817" s="42">
        <v>0.0</v>
      </c>
      <c r="E817" s="45"/>
      <c r="F817" s="32">
        <v>0.0</v>
      </c>
    </row>
    <row r="818" ht="14.25" customHeight="1">
      <c r="A818" s="4"/>
      <c r="B818" s="4"/>
      <c r="C818" s="20"/>
      <c r="D818" s="42">
        <v>0.0</v>
      </c>
      <c r="E818" s="45"/>
      <c r="F818" s="32">
        <v>0.0</v>
      </c>
    </row>
    <row r="819" ht="14.25" customHeight="1">
      <c r="A819" s="4"/>
      <c r="B819" s="4"/>
      <c r="C819" s="20"/>
      <c r="D819" s="42">
        <v>0.0</v>
      </c>
      <c r="E819" s="45"/>
      <c r="F819" s="32">
        <v>0.0</v>
      </c>
    </row>
    <row r="820" ht="14.25" customHeight="1">
      <c r="A820" s="4"/>
      <c r="B820" s="4"/>
      <c r="C820" s="20"/>
      <c r="D820" s="42">
        <v>0.0</v>
      </c>
      <c r="E820" s="45"/>
      <c r="F820" s="32">
        <v>0.0</v>
      </c>
    </row>
    <row r="821" ht="14.25" customHeight="1">
      <c r="A821" s="4"/>
      <c r="B821" s="4"/>
      <c r="C821" s="20"/>
      <c r="D821" s="42">
        <v>0.0</v>
      </c>
      <c r="E821" s="45"/>
      <c r="F821" s="32">
        <v>0.0</v>
      </c>
    </row>
    <row r="822" ht="14.25" customHeight="1">
      <c r="A822" s="4"/>
      <c r="B822" s="4"/>
      <c r="C822" s="20"/>
      <c r="D822" s="42">
        <v>0.0</v>
      </c>
      <c r="E822" s="45"/>
      <c r="F822" s="32">
        <v>0.0</v>
      </c>
    </row>
    <row r="823" ht="14.25" customHeight="1">
      <c r="A823" s="4"/>
      <c r="B823" s="4"/>
      <c r="C823" s="20"/>
      <c r="D823" s="42">
        <v>0.0</v>
      </c>
      <c r="E823" s="45"/>
      <c r="F823" s="32">
        <v>0.0</v>
      </c>
    </row>
    <row r="824" ht="14.25" customHeight="1">
      <c r="A824" s="4"/>
      <c r="B824" s="4"/>
      <c r="C824" s="20"/>
      <c r="D824" s="42">
        <v>0.0</v>
      </c>
      <c r="E824" s="45"/>
      <c r="F824" s="32">
        <v>0.0</v>
      </c>
    </row>
    <row r="825" ht="14.25" customHeight="1">
      <c r="A825" s="4"/>
      <c r="B825" s="4"/>
      <c r="C825" s="20"/>
      <c r="D825" s="42">
        <v>0.0</v>
      </c>
      <c r="E825" s="45"/>
      <c r="F825" s="32">
        <v>0.0</v>
      </c>
    </row>
    <row r="826" ht="14.25" customHeight="1">
      <c r="A826" s="4"/>
      <c r="B826" s="4"/>
      <c r="C826" s="20"/>
      <c r="D826" s="42">
        <v>0.0</v>
      </c>
      <c r="E826" s="45"/>
      <c r="F826" s="32">
        <v>0.0</v>
      </c>
    </row>
    <row r="827" ht="14.25" customHeight="1">
      <c r="A827" s="4"/>
      <c r="B827" s="4"/>
      <c r="C827" s="20"/>
      <c r="D827" s="42">
        <v>0.0</v>
      </c>
      <c r="E827" s="45"/>
      <c r="F827" s="32">
        <v>0.0</v>
      </c>
    </row>
    <row r="828" ht="14.25" customHeight="1">
      <c r="A828" s="4"/>
      <c r="B828" s="4"/>
      <c r="C828" s="20"/>
      <c r="D828" s="42">
        <v>0.0</v>
      </c>
      <c r="E828" s="45"/>
      <c r="F828" s="32">
        <v>0.0</v>
      </c>
    </row>
    <row r="829" ht="14.25" customHeight="1">
      <c r="A829" s="4"/>
      <c r="B829" s="4"/>
      <c r="C829" s="20"/>
      <c r="D829" s="42">
        <v>0.0</v>
      </c>
      <c r="E829" s="45"/>
      <c r="F829" s="32">
        <v>0.0</v>
      </c>
    </row>
    <row r="830" ht="14.25" customHeight="1">
      <c r="A830" s="4"/>
      <c r="B830" s="4"/>
      <c r="C830" s="20"/>
      <c r="D830" s="42">
        <v>0.0</v>
      </c>
      <c r="E830" s="45"/>
      <c r="F830" s="32">
        <v>0.0</v>
      </c>
    </row>
    <row r="831" ht="14.25" customHeight="1">
      <c r="A831" s="4"/>
      <c r="B831" s="4"/>
      <c r="C831" s="20"/>
      <c r="D831" s="42">
        <v>0.0</v>
      </c>
      <c r="E831" s="45"/>
      <c r="F831" s="32">
        <v>0.0</v>
      </c>
    </row>
    <row r="832" ht="14.25" customHeight="1">
      <c r="A832" s="4"/>
      <c r="B832" s="4"/>
      <c r="C832" s="20"/>
      <c r="D832" s="42">
        <v>0.0</v>
      </c>
      <c r="E832" s="45"/>
      <c r="F832" s="32">
        <v>0.0</v>
      </c>
    </row>
    <row r="833" ht="14.25" customHeight="1">
      <c r="A833" s="4"/>
      <c r="B833" s="4"/>
      <c r="C833" s="20"/>
      <c r="D833" s="42">
        <v>0.0</v>
      </c>
      <c r="E833" s="45"/>
      <c r="F833" s="32">
        <v>0.0</v>
      </c>
    </row>
    <row r="834" ht="14.25" customHeight="1">
      <c r="A834" s="4"/>
      <c r="B834" s="4"/>
      <c r="C834" s="20"/>
      <c r="D834" s="42">
        <v>0.0</v>
      </c>
      <c r="E834" s="45"/>
      <c r="F834" s="32">
        <v>0.0</v>
      </c>
    </row>
    <row r="835" ht="14.25" customHeight="1">
      <c r="A835" s="4"/>
      <c r="B835" s="4"/>
      <c r="C835" s="20"/>
      <c r="D835" s="42">
        <v>0.0</v>
      </c>
      <c r="E835" s="45"/>
      <c r="F835" s="32">
        <v>0.0</v>
      </c>
    </row>
    <row r="836" ht="14.25" customHeight="1">
      <c r="A836" s="4"/>
      <c r="B836" s="4"/>
      <c r="C836" s="20"/>
      <c r="D836" s="42">
        <v>0.0</v>
      </c>
      <c r="E836" s="45"/>
      <c r="F836" s="32">
        <v>0.0</v>
      </c>
    </row>
    <row r="837" ht="14.25" customHeight="1">
      <c r="A837" s="4"/>
      <c r="B837" s="4"/>
      <c r="C837" s="20"/>
      <c r="D837" s="42">
        <v>0.0</v>
      </c>
      <c r="E837" s="45"/>
      <c r="F837" s="32">
        <v>0.0</v>
      </c>
    </row>
    <row r="838" ht="14.25" customHeight="1">
      <c r="A838" s="4"/>
      <c r="B838" s="4"/>
      <c r="C838" s="20"/>
      <c r="D838" s="42">
        <v>0.0</v>
      </c>
      <c r="E838" s="45"/>
      <c r="F838" s="32">
        <v>0.0</v>
      </c>
    </row>
    <row r="839" ht="14.25" customHeight="1">
      <c r="A839" s="4"/>
      <c r="B839" s="4"/>
      <c r="C839" s="20"/>
      <c r="D839" s="42">
        <v>0.0</v>
      </c>
      <c r="E839" s="45"/>
      <c r="F839" s="32">
        <v>0.0</v>
      </c>
    </row>
    <row r="840" ht="14.25" customHeight="1">
      <c r="A840" s="4"/>
      <c r="B840" s="4"/>
      <c r="C840" s="20"/>
      <c r="D840" s="42">
        <v>0.0</v>
      </c>
      <c r="E840" s="45"/>
      <c r="F840" s="32">
        <v>0.0</v>
      </c>
    </row>
    <row r="841" ht="14.25" customHeight="1">
      <c r="A841" s="4"/>
      <c r="B841" s="4"/>
      <c r="C841" s="20"/>
      <c r="D841" s="42">
        <v>0.0</v>
      </c>
      <c r="E841" s="45"/>
      <c r="F841" s="32">
        <v>0.0</v>
      </c>
    </row>
    <row r="842" ht="14.25" customHeight="1">
      <c r="A842" s="4"/>
      <c r="B842" s="4"/>
      <c r="C842" s="20"/>
      <c r="D842" s="42">
        <v>0.0</v>
      </c>
      <c r="E842" s="45"/>
      <c r="F842" s="32">
        <v>0.0</v>
      </c>
    </row>
    <row r="843" ht="14.25" customHeight="1">
      <c r="A843" s="4"/>
      <c r="B843" s="4"/>
      <c r="C843" s="20"/>
      <c r="D843" s="42">
        <v>0.0</v>
      </c>
      <c r="E843" s="45"/>
      <c r="F843" s="32">
        <v>0.0</v>
      </c>
    </row>
    <row r="844" ht="14.25" customHeight="1">
      <c r="A844" s="4"/>
      <c r="B844" s="4"/>
      <c r="C844" s="20"/>
      <c r="D844" s="42">
        <v>0.0</v>
      </c>
      <c r="E844" s="45"/>
      <c r="F844" s="32">
        <v>0.0</v>
      </c>
    </row>
    <row r="845" ht="14.25" customHeight="1">
      <c r="A845" s="4"/>
      <c r="B845" s="4"/>
      <c r="C845" s="20"/>
      <c r="D845" s="42">
        <v>0.0</v>
      </c>
      <c r="E845" s="45"/>
      <c r="F845" s="32">
        <v>0.0</v>
      </c>
    </row>
    <row r="846" ht="14.25" customHeight="1">
      <c r="A846" s="4"/>
      <c r="B846" s="4"/>
      <c r="C846" s="20"/>
      <c r="D846" s="42">
        <v>0.0</v>
      </c>
      <c r="E846" s="45"/>
      <c r="F846" s="32">
        <v>0.0</v>
      </c>
    </row>
    <row r="847" ht="14.25" customHeight="1">
      <c r="A847" s="4"/>
      <c r="B847" s="4"/>
      <c r="C847" s="20"/>
      <c r="D847" s="42">
        <v>0.0</v>
      </c>
      <c r="E847" s="45"/>
      <c r="F847" s="32">
        <v>0.0</v>
      </c>
    </row>
    <row r="848" ht="14.25" customHeight="1">
      <c r="A848" s="4"/>
      <c r="B848" s="4"/>
      <c r="C848" s="20"/>
      <c r="D848" s="42">
        <v>0.0</v>
      </c>
      <c r="E848" s="45"/>
      <c r="F848" s="32">
        <v>0.0</v>
      </c>
    </row>
    <row r="849" ht="14.25" customHeight="1">
      <c r="A849" s="4"/>
      <c r="B849" s="4"/>
      <c r="C849" s="20"/>
      <c r="D849" s="42">
        <v>0.0</v>
      </c>
      <c r="E849" s="45"/>
      <c r="F849" s="32">
        <v>0.0</v>
      </c>
    </row>
    <row r="850" ht="14.25" customHeight="1">
      <c r="A850" s="4"/>
      <c r="B850" s="4"/>
      <c r="C850" s="20"/>
      <c r="D850" s="42">
        <v>0.0</v>
      </c>
      <c r="E850" s="45"/>
      <c r="F850" s="32">
        <v>0.0</v>
      </c>
    </row>
    <row r="851" ht="14.25" customHeight="1">
      <c r="A851" s="4"/>
      <c r="B851" s="4"/>
      <c r="C851" s="20"/>
      <c r="D851" s="42">
        <v>0.0</v>
      </c>
      <c r="E851" s="45"/>
      <c r="F851" s="32">
        <v>0.0</v>
      </c>
    </row>
    <row r="852" ht="14.25" customHeight="1">
      <c r="A852" s="4"/>
      <c r="B852" s="4"/>
      <c r="C852" s="20"/>
      <c r="D852" s="42">
        <v>0.0</v>
      </c>
      <c r="E852" s="45"/>
      <c r="F852" s="32">
        <v>0.0</v>
      </c>
    </row>
    <row r="853" ht="14.25" customHeight="1">
      <c r="A853" s="4"/>
      <c r="B853" s="4"/>
      <c r="C853" s="20"/>
      <c r="D853" s="42">
        <v>0.0</v>
      </c>
      <c r="E853" s="45"/>
      <c r="F853" s="32">
        <v>0.0</v>
      </c>
    </row>
    <row r="854" ht="14.25" customHeight="1">
      <c r="A854" s="4"/>
      <c r="B854" s="4"/>
      <c r="C854" s="20"/>
      <c r="D854" s="42">
        <v>0.0</v>
      </c>
      <c r="E854" s="45"/>
      <c r="F854" s="32">
        <v>0.0</v>
      </c>
    </row>
    <row r="855" ht="14.25" customHeight="1">
      <c r="A855" s="4"/>
      <c r="B855" s="4"/>
      <c r="C855" s="20"/>
      <c r="D855" s="42">
        <v>0.0</v>
      </c>
      <c r="E855" s="45"/>
      <c r="F855" s="32">
        <v>0.0</v>
      </c>
    </row>
    <row r="856" ht="14.25" customHeight="1">
      <c r="A856" s="4"/>
      <c r="B856" s="4"/>
      <c r="C856" s="20"/>
      <c r="D856" s="42">
        <v>0.0</v>
      </c>
      <c r="E856" s="45"/>
      <c r="F856" s="32">
        <v>0.0</v>
      </c>
    </row>
    <row r="857" ht="14.25" customHeight="1">
      <c r="A857" s="4"/>
      <c r="B857" s="4"/>
      <c r="C857" s="20"/>
      <c r="D857" s="42">
        <v>0.0</v>
      </c>
      <c r="E857" s="45"/>
      <c r="F857" s="32">
        <v>0.0</v>
      </c>
    </row>
    <row r="858" ht="14.25" customHeight="1">
      <c r="A858" s="4"/>
      <c r="B858" s="4"/>
      <c r="C858" s="20"/>
      <c r="D858" s="42">
        <v>0.0</v>
      </c>
      <c r="E858" s="45"/>
      <c r="F858" s="32">
        <v>0.0</v>
      </c>
    </row>
    <row r="859" ht="14.25" customHeight="1">
      <c r="A859" s="4"/>
      <c r="B859" s="4"/>
      <c r="C859" s="20"/>
      <c r="D859" s="42">
        <v>0.0</v>
      </c>
      <c r="E859" s="45"/>
      <c r="F859" s="32">
        <v>0.0</v>
      </c>
    </row>
    <row r="860" ht="14.25" customHeight="1">
      <c r="A860" s="4"/>
      <c r="B860" s="4"/>
      <c r="C860" s="20"/>
      <c r="D860" s="42">
        <v>0.0</v>
      </c>
      <c r="E860" s="45"/>
      <c r="F860" s="32">
        <v>0.0</v>
      </c>
    </row>
    <row r="861" ht="14.25" customHeight="1">
      <c r="A861" s="4"/>
      <c r="B861" s="4"/>
      <c r="C861" s="20"/>
      <c r="D861" s="42">
        <v>0.0</v>
      </c>
      <c r="E861" s="45"/>
      <c r="F861" s="32">
        <v>0.0</v>
      </c>
    </row>
    <row r="862" ht="14.25" customHeight="1">
      <c r="A862" s="4"/>
      <c r="B862" s="4"/>
      <c r="C862" s="20"/>
      <c r="D862" s="42">
        <v>0.0</v>
      </c>
      <c r="E862" s="45"/>
      <c r="F862" s="32">
        <v>0.0</v>
      </c>
    </row>
    <row r="863" ht="14.25" customHeight="1">
      <c r="A863" s="4"/>
      <c r="B863" s="4"/>
      <c r="C863" s="20"/>
      <c r="D863" s="42">
        <v>0.0</v>
      </c>
      <c r="E863" s="45"/>
      <c r="F863" s="32">
        <v>0.0</v>
      </c>
    </row>
    <row r="864" ht="14.25" customHeight="1">
      <c r="A864" s="4"/>
      <c r="B864" s="4"/>
      <c r="C864" s="20"/>
      <c r="D864" s="42">
        <v>0.0</v>
      </c>
      <c r="E864" s="45"/>
      <c r="F864" s="32">
        <v>0.0</v>
      </c>
    </row>
    <row r="865" ht="14.25" customHeight="1">
      <c r="A865" s="4"/>
      <c r="B865" s="4"/>
      <c r="C865" s="20"/>
      <c r="D865" s="42">
        <v>0.0</v>
      </c>
      <c r="E865" s="45"/>
      <c r="F865" s="32">
        <v>0.0</v>
      </c>
    </row>
    <row r="866" ht="14.25" customHeight="1">
      <c r="A866" s="4"/>
      <c r="B866" s="4"/>
      <c r="C866" s="20"/>
      <c r="D866" s="42">
        <v>0.0</v>
      </c>
      <c r="E866" s="45"/>
      <c r="F866" s="32">
        <v>0.0</v>
      </c>
    </row>
    <row r="867" ht="14.25" customHeight="1">
      <c r="A867" s="4"/>
      <c r="B867" s="4"/>
      <c r="C867" s="20"/>
      <c r="D867" s="42">
        <v>0.0</v>
      </c>
      <c r="E867" s="45"/>
      <c r="F867" s="32">
        <v>0.0</v>
      </c>
    </row>
    <row r="868" ht="14.25" customHeight="1">
      <c r="A868" s="4"/>
      <c r="B868" s="4"/>
      <c r="C868" s="20"/>
      <c r="D868" s="42">
        <v>0.0</v>
      </c>
      <c r="E868" s="45"/>
      <c r="F868" s="32">
        <v>0.0</v>
      </c>
    </row>
    <row r="869" ht="14.25" customHeight="1">
      <c r="A869" s="4"/>
      <c r="B869" s="4"/>
      <c r="C869" s="20"/>
      <c r="D869" s="42">
        <v>0.0</v>
      </c>
      <c r="E869" s="45"/>
      <c r="F869" s="32">
        <v>0.0</v>
      </c>
    </row>
    <row r="870" ht="14.25" customHeight="1">
      <c r="A870" s="4"/>
      <c r="B870" s="4"/>
      <c r="C870" s="20"/>
      <c r="D870" s="42">
        <v>0.0</v>
      </c>
      <c r="E870" s="45"/>
      <c r="F870" s="32">
        <v>0.0</v>
      </c>
    </row>
    <row r="871" ht="14.25" customHeight="1">
      <c r="A871" s="4"/>
      <c r="B871" s="4"/>
      <c r="C871" s="20"/>
      <c r="D871" s="42">
        <v>0.0</v>
      </c>
      <c r="E871" s="45"/>
      <c r="F871" s="32">
        <v>0.0</v>
      </c>
    </row>
    <row r="872" ht="14.25" customHeight="1">
      <c r="A872" s="4"/>
      <c r="B872" s="4"/>
      <c r="C872" s="20"/>
      <c r="D872" s="42">
        <v>0.0</v>
      </c>
      <c r="E872" s="45"/>
      <c r="F872" s="32">
        <v>0.0</v>
      </c>
    </row>
    <row r="873" ht="14.25" customHeight="1">
      <c r="A873" s="4"/>
      <c r="B873" s="4"/>
      <c r="C873" s="20"/>
      <c r="D873" s="42">
        <v>0.0</v>
      </c>
      <c r="E873" s="45"/>
      <c r="F873" s="32">
        <v>0.0</v>
      </c>
    </row>
    <row r="874" ht="14.25" customHeight="1">
      <c r="A874" s="4"/>
      <c r="B874" s="4"/>
      <c r="C874" s="20"/>
      <c r="D874" s="42">
        <v>0.0</v>
      </c>
      <c r="E874" s="45"/>
      <c r="F874" s="32">
        <v>0.0</v>
      </c>
    </row>
    <row r="875" ht="14.25" customHeight="1">
      <c r="A875" s="4"/>
      <c r="B875" s="4"/>
      <c r="C875" s="20"/>
      <c r="D875" s="42">
        <v>0.0</v>
      </c>
      <c r="E875" s="45"/>
      <c r="F875" s="32">
        <v>0.0</v>
      </c>
    </row>
    <row r="876" ht="14.25" customHeight="1">
      <c r="A876" s="4"/>
      <c r="B876" s="4"/>
      <c r="C876" s="20"/>
      <c r="D876" s="42">
        <v>0.0</v>
      </c>
      <c r="E876" s="45"/>
      <c r="F876" s="32">
        <v>0.0</v>
      </c>
    </row>
    <row r="877" ht="14.25" customHeight="1">
      <c r="A877" s="4"/>
      <c r="B877" s="4"/>
      <c r="C877" s="20"/>
      <c r="D877" s="42">
        <v>0.0</v>
      </c>
      <c r="E877" s="45"/>
      <c r="F877" s="32">
        <v>0.0</v>
      </c>
    </row>
    <row r="878" ht="14.25" customHeight="1">
      <c r="A878" s="4"/>
      <c r="B878" s="4"/>
      <c r="C878" s="20"/>
      <c r="D878" s="42">
        <v>0.0</v>
      </c>
      <c r="E878" s="45"/>
      <c r="F878" s="32">
        <v>0.0</v>
      </c>
    </row>
    <row r="879" ht="14.25" customHeight="1">
      <c r="A879" s="4"/>
      <c r="B879" s="4"/>
      <c r="C879" s="20"/>
      <c r="D879" s="42">
        <v>0.0</v>
      </c>
      <c r="E879" s="45"/>
      <c r="F879" s="32">
        <v>0.0</v>
      </c>
    </row>
    <row r="880" ht="14.25" customHeight="1">
      <c r="A880" s="4"/>
      <c r="B880" s="4"/>
      <c r="C880" s="20"/>
      <c r="D880" s="42">
        <v>0.0</v>
      </c>
      <c r="E880" s="45"/>
      <c r="F880" s="32">
        <v>0.0</v>
      </c>
    </row>
    <row r="881" ht="14.25" customHeight="1">
      <c r="A881" s="4"/>
      <c r="B881" s="4"/>
      <c r="C881" s="20"/>
      <c r="D881" s="42">
        <v>0.0</v>
      </c>
      <c r="E881" s="45"/>
      <c r="F881" s="32">
        <v>0.0</v>
      </c>
    </row>
    <row r="882" ht="14.25" customHeight="1">
      <c r="A882" s="4"/>
      <c r="B882" s="4"/>
      <c r="C882" s="20"/>
      <c r="D882" s="42">
        <v>0.0</v>
      </c>
      <c r="E882" s="45"/>
      <c r="F882" s="32">
        <v>0.0</v>
      </c>
    </row>
    <row r="883" ht="14.25" customHeight="1">
      <c r="A883" s="4"/>
      <c r="B883" s="4"/>
      <c r="C883" s="20"/>
      <c r="D883" s="42">
        <v>0.0</v>
      </c>
      <c r="E883" s="45"/>
      <c r="F883" s="32">
        <v>0.0</v>
      </c>
    </row>
    <row r="884" ht="14.25" customHeight="1">
      <c r="A884" s="4"/>
      <c r="B884" s="4"/>
      <c r="C884" s="20"/>
      <c r="D884" s="42">
        <v>0.0</v>
      </c>
      <c r="E884" s="45"/>
      <c r="F884" s="32">
        <v>0.0</v>
      </c>
    </row>
    <row r="885" ht="14.25" customHeight="1">
      <c r="A885" s="4"/>
      <c r="B885" s="4"/>
      <c r="C885" s="20"/>
      <c r="D885" s="42">
        <v>0.0</v>
      </c>
      <c r="E885" s="45"/>
      <c r="F885" s="32">
        <v>0.0</v>
      </c>
    </row>
    <row r="886" ht="14.25" customHeight="1">
      <c r="A886" s="4"/>
      <c r="B886" s="4"/>
      <c r="C886" s="20"/>
      <c r="D886" s="42">
        <v>0.0</v>
      </c>
      <c r="E886" s="45"/>
      <c r="F886" s="32">
        <v>0.0</v>
      </c>
    </row>
    <row r="887" ht="14.25" customHeight="1">
      <c r="A887" s="4"/>
      <c r="B887" s="4"/>
      <c r="C887" s="20"/>
      <c r="D887" s="42">
        <v>0.0</v>
      </c>
      <c r="E887" s="45"/>
      <c r="F887" s="32">
        <v>0.0</v>
      </c>
    </row>
    <row r="888" ht="14.25" customHeight="1">
      <c r="A888" s="4"/>
      <c r="B888" s="4"/>
      <c r="C888" s="20"/>
      <c r="D888" s="42">
        <v>0.0</v>
      </c>
      <c r="E888" s="45"/>
      <c r="F888" s="32">
        <v>0.0</v>
      </c>
    </row>
    <row r="889" ht="14.25" customHeight="1">
      <c r="A889" s="4"/>
      <c r="B889" s="4"/>
      <c r="C889" s="20"/>
      <c r="D889" s="42">
        <v>0.0</v>
      </c>
      <c r="E889" s="45"/>
      <c r="F889" s="32">
        <v>0.0</v>
      </c>
    </row>
    <row r="890" ht="14.25" customHeight="1">
      <c r="A890" s="4"/>
      <c r="B890" s="4"/>
      <c r="C890" s="20"/>
      <c r="D890" s="42">
        <v>0.0</v>
      </c>
      <c r="E890" s="45"/>
      <c r="F890" s="32">
        <v>0.0</v>
      </c>
    </row>
    <row r="891" ht="14.25" customHeight="1">
      <c r="A891" s="4"/>
      <c r="B891" s="4"/>
      <c r="C891" s="20"/>
      <c r="D891" s="42">
        <v>0.0</v>
      </c>
      <c r="E891" s="45"/>
      <c r="F891" s="32">
        <v>0.0</v>
      </c>
    </row>
    <row r="892" ht="14.25" customHeight="1">
      <c r="A892" s="4"/>
      <c r="B892" s="4"/>
      <c r="C892" s="20"/>
      <c r="D892" s="42">
        <v>0.0</v>
      </c>
      <c r="E892" s="45"/>
      <c r="F892" s="32">
        <v>0.0</v>
      </c>
    </row>
    <row r="893" ht="14.25" customHeight="1">
      <c r="A893" s="4"/>
      <c r="B893" s="4"/>
      <c r="C893" s="20"/>
      <c r="D893" s="42">
        <v>0.0</v>
      </c>
      <c r="E893" s="45"/>
      <c r="F893" s="32">
        <v>0.0</v>
      </c>
    </row>
    <row r="894" ht="14.25" customHeight="1">
      <c r="A894" s="4"/>
      <c r="B894" s="4"/>
      <c r="C894" s="20"/>
      <c r="D894" s="42">
        <v>0.0</v>
      </c>
      <c r="E894" s="45"/>
      <c r="F894" s="32">
        <v>0.0</v>
      </c>
    </row>
    <row r="895" ht="14.25" customHeight="1">
      <c r="A895" s="4"/>
      <c r="B895" s="4"/>
      <c r="C895" s="20"/>
      <c r="D895" s="42">
        <v>0.0</v>
      </c>
      <c r="E895" s="45"/>
      <c r="F895" s="32">
        <v>0.0</v>
      </c>
    </row>
    <row r="896" ht="14.25" customHeight="1">
      <c r="A896" s="4"/>
      <c r="B896" s="4"/>
      <c r="C896" s="20"/>
      <c r="D896" s="42">
        <v>0.0</v>
      </c>
      <c r="E896" s="45"/>
      <c r="F896" s="32">
        <v>0.0</v>
      </c>
    </row>
    <row r="897" ht="14.25" customHeight="1">
      <c r="A897" s="4"/>
      <c r="B897" s="4"/>
      <c r="C897" s="20"/>
      <c r="D897" s="42">
        <v>0.0</v>
      </c>
      <c r="E897" s="45"/>
      <c r="F897" s="32">
        <v>0.0</v>
      </c>
    </row>
    <row r="898" ht="14.25" customHeight="1">
      <c r="A898" s="4"/>
      <c r="B898" s="4"/>
      <c r="C898" s="20"/>
      <c r="D898" s="42">
        <v>0.0</v>
      </c>
      <c r="E898" s="45"/>
      <c r="F898" s="32">
        <v>0.0</v>
      </c>
    </row>
    <row r="899" ht="14.25" customHeight="1">
      <c r="A899" s="4"/>
      <c r="B899" s="4"/>
      <c r="C899" s="20"/>
      <c r="D899" s="42">
        <v>0.0</v>
      </c>
      <c r="E899" s="45"/>
      <c r="F899" s="32">
        <v>0.0</v>
      </c>
    </row>
    <row r="900" ht="14.25" customHeight="1">
      <c r="A900" s="4"/>
      <c r="B900" s="4"/>
      <c r="C900" s="20"/>
      <c r="D900" s="42">
        <v>0.0</v>
      </c>
      <c r="E900" s="45"/>
      <c r="F900" s="32">
        <v>0.0</v>
      </c>
    </row>
    <row r="901" ht="14.25" customHeight="1">
      <c r="A901" s="4"/>
      <c r="B901" s="4"/>
      <c r="C901" s="20"/>
      <c r="D901" s="42">
        <v>0.0</v>
      </c>
      <c r="E901" s="45"/>
      <c r="F901" s="32">
        <v>0.0</v>
      </c>
    </row>
    <row r="902" ht="14.25" customHeight="1">
      <c r="A902" s="4"/>
      <c r="B902" s="4"/>
      <c r="C902" s="20"/>
      <c r="D902" s="42">
        <v>0.0</v>
      </c>
      <c r="E902" s="45"/>
      <c r="F902" s="32">
        <v>0.0</v>
      </c>
    </row>
    <row r="903" ht="14.25" customHeight="1">
      <c r="A903" s="4"/>
      <c r="B903" s="4"/>
      <c r="C903" s="20"/>
      <c r="D903" s="42">
        <v>0.0</v>
      </c>
      <c r="E903" s="45"/>
      <c r="F903" s="32">
        <v>0.0</v>
      </c>
    </row>
    <row r="904" ht="14.25" customHeight="1">
      <c r="A904" s="4"/>
      <c r="B904" s="4"/>
      <c r="C904" s="20"/>
      <c r="D904" s="42">
        <v>0.0</v>
      </c>
      <c r="E904" s="45"/>
      <c r="F904" s="32">
        <v>0.0</v>
      </c>
    </row>
    <row r="905" ht="14.25" customHeight="1">
      <c r="A905" s="4"/>
      <c r="B905" s="4"/>
      <c r="C905" s="20"/>
      <c r="D905" s="42">
        <v>0.0</v>
      </c>
      <c r="E905" s="45"/>
      <c r="F905" s="32">
        <v>0.0</v>
      </c>
    </row>
    <row r="906" ht="14.25" customHeight="1">
      <c r="A906" s="4"/>
      <c r="B906" s="4"/>
      <c r="C906" s="20"/>
      <c r="D906" s="42">
        <v>0.0</v>
      </c>
      <c r="E906" s="45"/>
      <c r="F906" s="32">
        <v>0.0</v>
      </c>
    </row>
    <row r="907" ht="14.25" customHeight="1">
      <c r="A907" s="4"/>
      <c r="B907" s="4"/>
      <c r="C907" s="20"/>
      <c r="D907" s="42">
        <v>0.0</v>
      </c>
      <c r="E907" s="45"/>
      <c r="F907" s="32">
        <v>0.0</v>
      </c>
    </row>
    <row r="908" ht="14.25" customHeight="1">
      <c r="A908" s="4"/>
      <c r="B908" s="4"/>
      <c r="C908" s="20"/>
      <c r="D908" s="42">
        <v>0.0</v>
      </c>
      <c r="E908" s="45"/>
      <c r="F908" s="32">
        <v>0.0</v>
      </c>
    </row>
    <row r="909" ht="14.25" customHeight="1">
      <c r="A909" s="4"/>
      <c r="B909" s="4"/>
      <c r="C909" s="20"/>
      <c r="D909" s="42">
        <v>0.0</v>
      </c>
      <c r="E909" s="45"/>
      <c r="F909" s="32">
        <v>0.0</v>
      </c>
    </row>
    <row r="910" ht="14.25" customHeight="1">
      <c r="A910" s="4"/>
      <c r="B910" s="4"/>
      <c r="C910" s="20"/>
      <c r="D910" s="42">
        <v>0.0</v>
      </c>
      <c r="E910" s="45"/>
      <c r="F910" s="32">
        <v>0.0</v>
      </c>
    </row>
    <row r="911" ht="14.25" customHeight="1">
      <c r="A911" s="4"/>
      <c r="B911" s="4"/>
      <c r="C911" s="20"/>
      <c r="D911" s="42">
        <v>0.0</v>
      </c>
      <c r="E911" s="45"/>
      <c r="F911" s="32">
        <v>0.0</v>
      </c>
    </row>
    <row r="912" ht="14.25" customHeight="1">
      <c r="A912" s="4"/>
      <c r="B912" s="4"/>
      <c r="C912" s="20"/>
      <c r="D912" s="42">
        <v>0.0</v>
      </c>
      <c r="E912" s="45"/>
      <c r="F912" s="32">
        <v>0.0</v>
      </c>
    </row>
    <row r="913" ht="14.25" customHeight="1">
      <c r="A913" s="4"/>
      <c r="B913" s="4"/>
      <c r="C913" s="20"/>
      <c r="D913" s="42">
        <v>0.0</v>
      </c>
      <c r="E913" s="45"/>
      <c r="F913" s="32">
        <v>0.0</v>
      </c>
    </row>
    <row r="914" ht="14.25" customHeight="1">
      <c r="A914" s="4"/>
      <c r="B914" s="4"/>
      <c r="C914" s="20"/>
      <c r="D914" s="42">
        <v>0.0</v>
      </c>
      <c r="E914" s="45"/>
      <c r="F914" s="32">
        <v>0.0</v>
      </c>
    </row>
    <row r="915" ht="14.25" customHeight="1">
      <c r="A915" s="4"/>
      <c r="B915" s="4"/>
      <c r="C915" s="20"/>
      <c r="D915" s="42">
        <v>0.0</v>
      </c>
      <c r="E915" s="45"/>
      <c r="F915" s="32">
        <v>0.0</v>
      </c>
    </row>
    <row r="916" ht="14.25" customHeight="1">
      <c r="A916" s="4"/>
      <c r="B916" s="4"/>
      <c r="C916" s="20"/>
      <c r="D916" s="42">
        <v>0.0</v>
      </c>
      <c r="E916" s="45"/>
      <c r="F916" s="32">
        <v>0.0</v>
      </c>
    </row>
    <row r="917" ht="14.25" customHeight="1">
      <c r="A917" s="4"/>
      <c r="B917" s="4"/>
      <c r="C917" s="20"/>
      <c r="D917" s="42">
        <v>0.0</v>
      </c>
      <c r="E917" s="45"/>
      <c r="F917" s="32">
        <v>0.0</v>
      </c>
    </row>
    <row r="918" ht="14.25" customHeight="1">
      <c r="A918" s="4"/>
      <c r="B918" s="4"/>
      <c r="C918" s="20"/>
      <c r="D918" s="42">
        <v>0.0</v>
      </c>
      <c r="E918" s="45"/>
      <c r="F918" s="32">
        <v>0.0</v>
      </c>
    </row>
    <row r="919" ht="14.25" customHeight="1">
      <c r="A919" s="4"/>
      <c r="B919" s="4"/>
      <c r="C919" s="20"/>
      <c r="D919" s="42">
        <v>0.0</v>
      </c>
      <c r="E919" s="45"/>
      <c r="F919" s="32">
        <v>0.0</v>
      </c>
    </row>
    <row r="920" ht="14.25" customHeight="1">
      <c r="A920" s="4"/>
      <c r="B920" s="4"/>
      <c r="C920" s="20"/>
      <c r="D920" s="42">
        <v>0.0</v>
      </c>
      <c r="E920" s="45"/>
      <c r="F920" s="32">
        <v>0.0</v>
      </c>
    </row>
    <row r="921" ht="14.25" customHeight="1">
      <c r="A921" s="4"/>
      <c r="B921" s="4"/>
      <c r="C921" s="20"/>
      <c r="D921" s="42">
        <v>0.0</v>
      </c>
      <c r="E921" s="45"/>
      <c r="F921" s="32">
        <v>0.0</v>
      </c>
    </row>
    <row r="922" ht="14.25" customHeight="1">
      <c r="A922" s="4"/>
      <c r="B922" s="4"/>
      <c r="C922" s="20"/>
      <c r="D922" s="42">
        <v>0.0</v>
      </c>
      <c r="E922" s="45"/>
      <c r="F922" s="32">
        <v>0.0</v>
      </c>
    </row>
    <row r="923" ht="14.25" customHeight="1">
      <c r="A923" s="4"/>
      <c r="B923" s="4"/>
      <c r="C923" s="20"/>
      <c r="D923" s="42">
        <v>0.0</v>
      </c>
      <c r="E923" s="45"/>
      <c r="F923" s="32">
        <v>0.0</v>
      </c>
    </row>
    <row r="924" ht="14.25" customHeight="1">
      <c r="A924" s="4"/>
      <c r="B924" s="4"/>
      <c r="C924" s="20"/>
      <c r="D924" s="42">
        <v>0.0</v>
      </c>
      <c r="E924" s="45"/>
      <c r="F924" s="32">
        <v>0.0</v>
      </c>
    </row>
    <row r="925" ht="14.25" customHeight="1">
      <c r="A925" s="4"/>
      <c r="B925" s="4"/>
      <c r="C925" s="20"/>
      <c r="D925" s="42">
        <v>0.0</v>
      </c>
      <c r="E925" s="45"/>
      <c r="F925" s="32">
        <v>0.0</v>
      </c>
    </row>
    <row r="926" ht="14.25" customHeight="1">
      <c r="A926" s="4"/>
      <c r="B926" s="4"/>
      <c r="C926" s="20"/>
      <c r="D926" s="42">
        <v>0.0</v>
      </c>
      <c r="E926" s="45"/>
      <c r="F926" s="32">
        <v>0.0</v>
      </c>
    </row>
    <row r="927" ht="14.25" customHeight="1">
      <c r="A927" s="4"/>
      <c r="B927" s="4"/>
      <c r="C927" s="20"/>
      <c r="D927" s="42">
        <v>0.0</v>
      </c>
      <c r="E927" s="45"/>
      <c r="F927" s="32">
        <v>0.0</v>
      </c>
    </row>
    <row r="928" ht="14.25" customHeight="1">
      <c r="A928" s="4"/>
      <c r="B928" s="4"/>
      <c r="C928" s="20"/>
      <c r="D928" s="42">
        <v>0.0</v>
      </c>
      <c r="E928" s="45"/>
      <c r="F928" s="32">
        <v>0.0</v>
      </c>
    </row>
    <row r="929" ht="14.25" customHeight="1">
      <c r="A929" s="4"/>
      <c r="B929" s="4"/>
      <c r="C929" s="20"/>
      <c r="D929" s="42">
        <v>0.0</v>
      </c>
      <c r="E929" s="45"/>
      <c r="F929" s="32">
        <v>0.0</v>
      </c>
    </row>
    <row r="930" ht="14.25" customHeight="1">
      <c r="A930" s="4"/>
      <c r="B930" s="4"/>
      <c r="C930" s="20"/>
      <c r="D930" s="42">
        <v>0.0</v>
      </c>
      <c r="E930" s="45"/>
      <c r="F930" s="32">
        <v>0.0</v>
      </c>
    </row>
    <row r="931" ht="14.25" customHeight="1">
      <c r="A931" s="4"/>
      <c r="B931" s="4"/>
      <c r="C931" s="20"/>
      <c r="D931" s="42">
        <v>0.0</v>
      </c>
      <c r="E931" s="45"/>
      <c r="F931" s="32">
        <v>0.0</v>
      </c>
    </row>
    <row r="932" ht="14.25" customHeight="1">
      <c r="A932" s="4"/>
      <c r="B932" s="4"/>
      <c r="C932" s="20"/>
      <c r="D932" s="42">
        <v>0.0</v>
      </c>
      <c r="E932" s="45"/>
      <c r="F932" s="32">
        <v>0.0</v>
      </c>
    </row>
    <row r="933" ht="14.25" customHeight="1">
      <c r="A933" s="4"/>
      <c r="B933" s="4"/>
      <c r="C933" s="20"/>
      <c r="D933" s="42">
        <v>0.0</v>
      </c>
      <c r="E933" s="45"/>
      <c r="F933" s="32">
        <v>0.0</v>
      </c>
    </row>
    <row r="934" ht="14.25" customHeight="1">
      <c r="A934" s="4"/>
      <c r="B934" s="4"/>
      <c r="C934" s="20"/>
      <c r="D934" s="42">
        <v>0.0</v>
      </c>
      <c r="E934" s="45"/>
      <c r="F934" s="32">
        <v>0.0</v>
      </c>
    </row>
    <row r="935" ht="14.25" customHeight="1">
      <c r="A935" s="4"/>
      <c r="B935" s="4"/>
      <c r="C935" s="20"/>
      <c r="D935" s="42">
        <v>0.0</v>
      </c>
      <c r="E935" s="45"/>
      <c r="F935" s="32">
        <v>0.0</v>
      </c>
    </row>
    <row r="936" ht="14.25" customHeight="1">
      <c r="A936" s="4"/>
      <c r="B936" s="4"/>
      <c r="C936" s="20"/>
      <c r="D936" s="42">
        <v>0.0</v>
      </c>
      <c r="E936" s="45"/>
      <c r="F936" s="32">
        <v>0.0</v>
      </c>
    </row>
    <row r="937" ht="14.25" customHeight="1">
      <c r="A937" s="4"/>
      <c r="B937" s="4"/>
      <c r="C937" s="20"/>
      <c r="D937" s="42">
        <v>0.0</v>
      </c>
      <c r="E937" s="45"/>
      <c r="F937" s="32">
        <v>0.0</v>
      </c>
    </row>
    <row r="938" ht="14.25" customHeight="1">
      <c r="A938" s="4"/>
      <c r="B938" s="4"/>
      <c r="C938" s="20"/>
      <c r="D938" s="42">
        <v>0.0</v>
      </c>
      <c r="E938" s="45"/>
      <c r="F938" s="32">
        <v>0.0</v>
      </c>
    </row>
    <row r="939" ht="14.25" customHeight="1">
      <c r="A939" s="4"/>
      <c r="B939" s="4"/>
      <c r="C939" s="20"/>
      <c r="D939" s="42">
        <v>0.0</v>
      </c>
      <c r="E939" s="45"/>
      <c r="F939" s="32">
        <v>0.0</v>
      </c>
    </row>
    <row r="940" ht="14.25" customHeight="1">
      <c r="A940" s="4"/>
      <c r="B940" s="4"/>
      <c r="C940" s="20"/>
      <c r="D940" s="42">
        <v>0.0</v>
      </c>
      <c r="E940" s="45"/>
      <c r="F940" s="32">
        <v>0.0</v>
      </c>
    </row>
    <row r="941" ht="14.25" customHeight="1">
      <c r="A941" s="4"/>
      <c r="B941" s="4"/>
      <c r="C941" s="20"/>
      <c r="D941" s="42">
        <v>0.0</v>
      </c>
      <c r="E941" s="45"/>
      <c r="F941" s="32">
        <v>0.0</v>
      </c>
    </row>
    <row r="942" ht="14.25" customHeight="1">
      <c r="A942" s="4"/>
      <c r="B942" s="4"/>
      <c r="C942" s="20"/>
      <c r="D942" s="42">
        <v>0.0</v>
      </c>
      <c r="E942" s="45"/>
      <c r="F942" s="32">
        <v>0.0</v>
      </c>
    </row>
    <row r="943" ht="14.25" customHeight="1">
      <c r="A943" s="4"/>
      <c r="B943" s="4"/>
      <c r="C943" s="20"/>
      <c r="D943" s="42">
        <v>0.0</v>
      </c>
      <c r="E943" s="45"/>
      <c r="F943" s="32">
        <v>0.0</v>
      </c>
    </row>
    <row r="944" ht="14.25" customHeight="1">
      <c r="A944" s="4"/>
      <c r="B944" s="4"/>
      <c r="C944" s="20"/>
      <c r="D944" s="42">
        <v>0.0</v>
      </c>
      <c r="E944" s="45"/>
      <c r="F944" s="32">
        <v>0.0</v>
      </c>
    </row>
    <row r="945" ht="14.25" customHeight="1">
      <c r="A945" s="4"/>
      <c r="B945" s="4"/>
      <c r="C945" s="20"/>
      <c r="D945" s="42">
        <v>0.0</v>
      </c>
      <c r="E945" s="45"/>
      <c r="F945" s="32">
        <v>0.0</v>
      </c>
    </row>
    <row r="946" ht="14.25" customHeight="1">
      <c r="A946" s="4"/>
      <c r="B946" s="4"/>
      <c r="C946" s="20"/>
      <c r="D946" s="42">
        <v>0.0</v>
      </c>
      <c r="E946" s="45"/>
      <c r="F946" s="32">
        <v>0.0</v>
      </c>
    </row>
    <row r="947" ht="14.25" customHeight="1">
      <c r="A947" s="4"/>
      <c r="B947" s="4"/>
      <c r="C947" s="20"/>
      <c r="D947" s="42">
        <v>0.0</v>
      </c>
      <c r="E947" s="45"/>
      <c r="F947" s="32">
        <v>0.0</v>
      </c>
    </row>
    <row r="948" ht="14.25" customHeight="1">
      <c r="A948" s="4"/>
      <c r="B948" s="4"/>
      <c r="C948" s="20"/>
      <c r="D948" s="42">
        <v>0.0</v>
      </c>
      <c r="E948" s="45"/>
      <c r="F948" s="32">
        <v>0.0</v>
      </c>
    </row>
    <row r="949" ht="14.25" customHeight="1">
      <c r="A949" s="4"/>
      <c r="B949" s="4"/>
      <c r="C949" s="20"/>
      <c r="D949" s="42">
        <v>0.0</v>
      </c>
      <c r="E949" s="45"/>
      <c r="F949" s="32">
        <v>0.0</v>
      </c>
    </row>
    <row r="950" ht="14.25" customHeight="1">
      <c r="A950" s="4"/>
      <c r="B950" s="4"/>
      <c r="C950" s="20"/>
      <c r="D950" s="42">
        <v>0.0</v>
      </c>
      <c r="E950" s="45"/>
      <c r="F950" s="32">
        <v>0.0</v>
      </c>
    </row>
    <row r="951" ht="14.25" customHeight="1">
      <c r="A951" s="4"/>
      <c r="B951" s="4"/>
      <c r="C951" s="20"/>
      <c r="D951" s="42">
        <v>0.0</v>
      </c>
      <c r="E951" s="45"/>
      <c r="F951" s="32">
        <v>0.0</v>
      </c>
    </row>
    <row r="952" ht="14.25" customHeight="1">
      <c r="A952" s="4"/>
      <c r="B952" s="4"/>
      <c r="C952" s="20"/>
      <c r="D952" s="42">
        <v>0.0</v>
      </c>
      <c r="E952" s="45"/>
      <c r="F952" s="32">
        <v>0.0</v>
      </c>
    </row>
    <row r="953" ht="14.25" customHeight="1">
      <c r="A953" s="4"/>
      <c r="B953" s="4"/>
      <c r="C953" s="20"/>
      <c r="D953" s="42">
        <v>0.0</v>
      </c>
      <c r="E953" s="45"/>
      <c r="F953" s="32">
        <v>0.0</v>
      </c>
    </row>
    <row r="954" ht="14.25" customHeight="1">
      <c r="A954" s="4"/>
      <c r="B954" s="4"/>
      <c r="C954" s="20"/>
      <c r="D954" s="42">
        <v>0.0</v>
      </c>
      <c r="E954" s="45"/>
      <c r="F954" s="32">
        <v>0.0</v>
      </c>
    </row>
    <row r="955" ht="14.25" customHeight="1">
      <c r="A955" s="4"/>
      <c r="B955" s="4"/>
      <c r="C955" s="20"/>
      <c r="D955" s="42">
        <v>0.0</v>
      </c>
      <c r="E955" s="45"/>
      <c r="F955" s="32">
        <v>0.0</v>
      </c>
    </row>
    <row r="956" ht="14.25" customHeight="1">
      <c r="A956" s="4"/>
      <c r="B956" s="4"/>
      <c r="C956" s="20"/>
      <c r="D956" s="42">
        <v>0.0</v>
      </c>
      <c r="E956" s="45"/>
      <c r="F956" s="32">
        <v>0.0</v>
      </c>
    </row>
    <row r="957" ht="14.25" customHeight="1">
      <c r="A957" s="4"/>
      <c r="B957" s="4"/>
      <c r="C957" s="20"/>
      <c r="D957" s="42">
        <v>0.0</v>
      </c>
      <c r="E957" s="45"/>
      <c r="F957" s="32">
        <v>0.0</v>
      </c>
    </row>
    <row r="958" ht="14.25" customHeight="1">
      <c r="A958" s="4"/>
      <c r="B958" s="4"/>
      <c r="C958" s="20"/>
      <c r="D958" s="42">
        <v>0.0</v>
      </c>
      <c r="E958" s="45"/>
      <c r="F958" s="32">
        <v>0.0</v>
      </c>
    </row>
    <row r="959" ht="14.25" customHeight="1">
      <c r="A959" s="4"/>
      <c r="B959" s="4"/>
      <c r="C959" s="20"/>
      <c r="D959" s="42">
        <v>0.0</v>
      </c>
      <c r="E959" s="45"/>
      <c r="F959" s="32">
        <v>0.0</v>
      </c>
    </row>
    <row r="960" ht="14.25" customHeight="1">
      <c r="A960" s="4"/>
      <c r="B960" s="4"/>
      <c r="C960" s="20"/>
      <c r="D960" s="42">
        <v>0.0</v>
      </c>
      <c r="E960" s="45"/>
      <c r="F960" s="32">
        <v>0.0</v>
      </c>
    </row>
    <row r="961" ht="14.25" customHeight="1">
      <c r="A961" s="4"/>
      <c r="B961" s="4"/>
      <c r="C961" s="20"/>
      <c r="D961" s="42">
        <v>0.0</v>
      </c>
      <c r="E961" s="45"/>
      <c r="F961" s="32">
        <v>0.0</v>
      </c>
    </row>
    <row r="962" ht="14.25" customHeight="1">
      <c r="A962" s="4"/>
      <c r="B962" s="4"/>
      <c r="C962" s="20"/>
      <c r="D962" s="42">
        <v>0.0</v>
      </c>
      <c r="E962" s="45"/>
      <c r="F962" s="32">
        <v>0.0</v>
      </c>
    </row>
    <row r="963" ht="14.25" customHeight="1">
      <c r="A963" s="4"/>
      <c r="B963" s="4"/>
      <c r="C963" s="20"/>
      <c r="D963" s="42">
        <v>0.0</v>
      </c>
      <c r="E963" s="45"/>
      <c r="F963" s="32">
        <v>0.0</v>
      </c>
    </row>
    <row r="964" ht="14.25" customHeight="1">
      <c r="A964" s="4"/>
      <c r="B964" s="4"/>
      <c r="C964" s="20"/>
      <c r="D964" s="42">
        <v>0.0</v>
      </c>
      <c r="E964" s="45"/>
      <c r="F964" s="32">
        <v>0.0</v>
      </c>
    </row>
    <row r="965" ht="14.25" customHeight="1">
      <c r="A965" s="4"/>
      <c r="B965" s="4"/>
      <c r="C965" s="20"/>
      <c r="D965" s="42">
        <v>0.0</v>
      </c>
      <c r="E965" s="45"/>
      <c r="F965" s="32">
        <v>0.0</v>
      </c>
    </row>
    <row r="966" ht="14.25" customHeight="1">
      <c r="A966" s="4"/>
      <c r="B966" s="4"/>
      <c r="C966" s="20"/>
      <c r="D966" s="42">
        <v>0.0</v>
      </c>
      <c r="E966" s="45"/>
      <c r="F966" s="32">
        <v>0.0</v>
      </c>
    </row>
    <row r="967" ht="14.25" customHeight="1">
      <c r="A967" s="4"/>
      <c r="B967" s="4"/>
      <c r="C967" s="20"/>
      <c r="D967" s="42">
        <v>0.0</v>
      </c>
      <c r="E967" s="45"/>
      <c r="F967" s="32">
        <v>0.0</v>
      </c>
    </row>
    <row r="968" ht="14.25" customHeight="1">
      <c r="A968" s="4"/>
      <c r="B968" s="4"/>
      <c r="C968" s="20"/>
      <c r="D968" s="42">
        <v>0.0</v>
      </c>
      <c r="E968" s="45"/>
      <c r="F968" s="32">
        <v>0.0</v>
      </c>
    </row>
    <row r="969" ht="14.25" customHeight="1">
      <c r="A969" s="4"/>
      <c r="B969" s="4"/>
      <c r="C969" s="20"/>
      <c r="D969" s="42">
        <v>0.0</v>
      </c>
      <c r="E969" s="45"/>
      <c r="F969" s="32">
        <v>0.0</v>
      </c>
    </row>
    <row r="970" ht="14.25" customHeight="1">
      <c r="A970" s="4"/>
      <c r="B970" s="4"/>
      <c r="C970" s="20"/>
      <c r="D970" s="42">
        <v>0.0</v>
      </c>
      <c r="E970" s="45"/>
      <c r="F970" s="32">
        <v>0.0</v>
      </c>
    </row>
    <row r="971" ht="14.25" customHeight="1">
      <c r="A971" s="4"/>
      <c r="B971" s="4"/>
      <c r="C971" s="20"/>
      <c r="D971" s="42">
        <v>0.0</v>
      </c>
      <c r="E971" s="45"/>
      <c r="F971" s="32">
        <v>0.0</v>
      </c>
    </row>
    <row r="972" ht="14.25" customHeight="1">
      <c r="A972" s="4"/>
      <c r="B972" s="4"/>
      <c r="C972" s="20"/>
      <c r="D972" s="42">
        <v>0.0</v>
      </c>
      <c r="E972" s="45"/>
      <c r="F972" s="32">
        <v>0.0</v>
      </c>
    </row>
    <row r="973" ht="14.25" customHeight="1">
      <c r="A973" s="4"/>
      <c r="B973" s="4"/>
      <c r="C973" s="20"/>
      <c r="D973" s="42">
        <v>0.0</v>
      </c>
      <c r="E973" s="45"/>
      <c r="F973" s="32">
        <v>0.0</v>
      </c>
    </row>
    <row r="974" ht="14.25" customHeight="1">
      <c r="A974" s="4"/>
      <c r="B974" s="4"/>
      <c r="C974" s="20"/>
      <c r="D974" s="42">
        <v>0.0</v>
      </c>
      <c r="E974" s="45"/>
      <c r="F974" s="32">
        <v>0.0</v>
      </c>
    </row>
    <row r="975" ht="14.25" customHeight="1">
      <c r="A975" s="4"/>
      <c r="B975" s="4"/>
      <c r="C975" s="20"/>
      <c r="D975" s="42">
        <v>0.0</v>
      </c>
      <c r="E975" s="45"/>
      <c r="F975" s="32">
        <v>0.0</v>
      </c>
    </row>
    <row r="976" ht="14.25" customHeight="1">
      <c r="A976" s="4"/>
      <c r="B976" s="4"/>
      <c r="C976" s="20"/>
      <c r="D976" s="42">
        <v>0.0</v>
      </c>
      <c r="E976" s="45"/>
      <c r="F976" s="32">
        <v>0.0</v>
      </c>
    </row>
    <row r="977" ht="14.25" customHeight="1">
      <c r="A977" s="4"/>
      <c r="B977" s="4"/>
      <c r="C977" s="20"/>
      <c r="D977" s="42">
        <v>0.0</v>
      </c>
      <c r="E977" s="45"/>
      <c r="F977" s="32">
        <v>0.0</v>
      </c>
    </row>
    <row r="978" ht="14.25" customHeight="1">
      <c r="A978" s="4"/>
      <c r="B978" s="4"/>
      <c r="C978" s="20"/>
      <c r="D978" s="42">
        <v>0.0</v>
      </c>
      <c r="E978" s="45"/>
      <c r="F978" s="32">
        <v>0.0</v>
      </c>
    </row>
    <row r="979" ht="14.25" customHeight="1">
      <c r="A979" s="4"/>
      <c r="B979" s="4"/>
      <c r="C979" s="20"/>
      <c r="D979" s="42">
        <v>0.0</v>
      </c>
      <c r="E979" s="45"/>
      <c r="F979" s="32">
        <v>0.0</v>
      </c>
    </row>
    <row r="980" ht="14.25" customHeight="1">
      <c r="A980" s="4"/>
      <c r="B980" s="4"/>
      <c r="C980" s="20"/>
      <c r="D980" s="42">
        <v>0.0</v>
      </c>
      <c r="E980" s="45"/>
      <c r="F980" s="32">
        <v>0.0</v>
      </c>
    </row>
    <row r="981" ht="14.25" customHeight="1">
      <c r="A981" s="4"/>
      <c r="B981" s="4"/>
      <c r="C981" s="20"/>
      <c r="D981" s="42">
        <v>0.0</v>
      </c>
      <c r="E981" s="45"/>
      <c r="F981" s="32">
        <v>0.0</v>
      </c>
    </row>
    <row r="982" ht="14.25" customHeight="1">
      <c r="A982" s="4"/>
      <c r="B982" s="4"/>
      <c r="C982" s="20"/>
      <c r="D982" s="42">
        <v>0.0</v>
      </c>
      <c r="E982" s="45"/>
      <c r="F982" s="32">
        <v>0.0</v>
      </c>
    </row>
    <row r="983" ht="14.25" customHeight="1">
      <c r="A983" s="4"/>
      <c r="B983" s="4"/>
      <c r="C983" s="20"/>
      <c r="D983" s="42">
        <v>0.0</v>
      </c>
      <c r="E983" s="45"/>
      <c r="F983" s="32">
        <v>0.0</v>
      </c>
    </row>
    <row r="984" ht="14.25" customHeight="1">
      <c r="A984" s="4"/>
      <c r="B984" s="4"/>
      <c r="C984" s="20"/>
      <c r="D984" s="42">
        <v>0.0</v>
      </c>
      <c r="E984" s="45"/>
      <c r="F984" s="32">
        <v>0.0</v>
      </c>
    </row>
    <row r="985" ht="14.25" customHeight="1">
      <c r="A985" s="4"/>
      <c r="B985" s="4"/>
      <c r="C985" s="20"/>
      <c r="D985" s="42">
        <v>0.0</v>
      </c>
      <c r="E985" s="45"/>
      <c r="F985" s="32">
        <v>0.0</v>
      </c>
    </row>
    <row r="986" ht="14.25" customHeight="1">
      <c r="A986" s="4"/>
      <c r="B986" s="4"/>
      <c r="C986" s="20"/>
      <c r="D986" s="42">
        <v>0.0</v>
      </c>
      <c r="E986" s="45"/>
      <c r="F986" s="32">
        <v>0.0</v>
      </c>
    </row>
    <row r="987" ht="14.25" customHeight="1">
      <c r="A987" s="4"/>
      <c r="B987" s="4"/>
      <c r="C987" s="20"/>
      <c r="D987" s="42">
        <v>0.0</v>
      </c>
      <c r="E987" s="45"/>
      <c r="F987" s="32">
        <v>0.0</v>
      </c>
    </row>
    <row r="988" ht="14.25" customHeight="1">
      <c r="A988" s="4"/>
      <c r="B988" s="4"/>
      <c r="C988" s="20"/>
      <c r="D988" s="42">
        <v>0.0</v>
      </c>
      <c r="E988" s="45"/>
      <c r="F988" s="32">
        <v>0.0</v>
      </c>
    </row>
    <row r="989" ht="14.25" customHeight="1">
      <c r="A989" s="4"/>
      <c r="B989" s="4"/>
      <c r="C989" s="20"/>
      <c r="D989" s="42">
        <v>0.0</v>
      </c>
      <c r="E989" s="45"/>
      <c r="F989" s="32">
        <v>0.0</v>
      </c>
    </row>
    <row r="990" ht="14.25" customHeight="1">
      <c r="A990" s="4"/>
      <c r="B990" s="4"/>
      <c r="C990" s="20"/>
      <c r="D990" s="42">
        <v>0.0</v>
      </c>
      <c r="E990" s="45"/>
      <c r="F990" s="32">
        <v>0.0</v>
      </c>
    </row>
    <row r="991" ht="14.25" customHeight="1">
      <c r="A991" s="4"/>
      <c r="B991" s="4"/>
      <c r="C991" s="20"/>
      <c r="D991" s="42">
        <v>0.0</v>
      </c>
      <c r="E991" s="45"/>
      <c r="F991" s="32">
        <v>0.0</v>
      </c>
    </row>
    <row r="992" ht="14.25" customHeight="1">
      <c r="A992" s="4"/>
      <c r="B992" s="4"/>
      <c r="C992" s="20"/>
      <c r="D992" s="42">
        <v>0.0</v>
      </c>
      <c r="E992" s="45"/>
      <c r="F992" s="32">
        <v>0.0</v>
      </c>
    </row>
    <row r="993" ht="14.25" customHeight="1">
      <c r="A993" s="4"/>
      <c r="B993" s="4"/>
      <c r="C993" s="20"/>
      <c r="D993" s="42">
        <v>0.0</v>
      </c>
      <c r="E993" s="45"/>
      <c r="F993" s="32">
        <v>0.0</v>
      </c>
    </row>
    <row r="994" ht="14.25" customHeight="1">
      <c r="A994" s="4"/>
      <c r="B994" s="4"/>
      <c r="C994" s="20"/>
      <c r="D994" s="42">
        <v>0.0</v>
      </c>
      <c r="E994" s="45"/>
      <c r="F994" s="32">
        <v>0.0</v>
      </c>
    </row>
    <row r="995" ht="14.25" customHeight="1">
      <c r="A995" s="4"/>
      <c r="B995" s="4"/>
      <c r="C995" s="20"/>
      <c r="D995" s="42">
        <v>0.0</v>
      </c>
      <c r="E995" s="45"/>
      <c r="F995" s="32">
        <v>0.0</v>
      </c>
    </row>
    <row r="996" ht="14.25" customHeight="1">
      <c r="A996" s="4"/>
      <c r="B996" s="4"/>
      <c r="C996" s="20"/>
      <c r="D996" s="42">
        <v>0.0</v>
      </c>
      <c r="E996" s="45"/>
      <c r="F996" s="32">
        <v>0.0</v>
      </c>
    </row>
    <row r="997" ht="14.25" customHeight="1">
      <c r="A997" s="4"/>
      <c r="B997" s="4"/>
      <c r="C997" s="20"/>
      <c r="D997" s="42">
        <v>0.0</v>
      </c>
      <c r="E997" s="45"/>
      <c r="F997" s="32">
        <v>0.0</v>
      </c>
    </row>
    <row r="998" ht="14.25" customHeight="1">
      <c r="A998" s="4"/>
      <c r="B998" s="4"/>
      <c r="C998" s="20"/>
      <c r="D998" s="42">
        <v>0.0</v>
      </c>
      <c r="E998" s="45"/>
      <c r="F998" s="32">
        <v>0.0</v>
      </c>
    </row>
    <row r="999" ht="14.25" customHeight="1">
      <c r="A999" s="4"/>
      <c r="B999" s="4"/>
      <c r="C999" s="20"/>
      <c r="D999" s="42">
        <v>0.0</v>
      </c>
      <c r="E999" s="45"/>
      <c r="F999" s="32">
        <v>0.0</v>
      </c>
    </row>
    <row r="1000" ht="14.25" customHeight="1">
      <c r="A1000" s="4"/>
      <c r="B1000" s="4"/>
      <c r="C1000" s="20"/>
      <c r="D1000" s="42">
        <v>0.0</v>
      </c>
      <c r="E1000" s="45"/>
      <c r="F1000" s="32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5.71"/>
    <col customWidth="1" min="3" max="3" width="4.29"/>
    <col customWidth="1" min="4" max="4" width="25.57"/>
    <col customWidth="1" min="5" max="6" width="14.43"/>
  </cols>
  <sheetData>
    <row r="1">
      <c r="A1" s="46"/>
      <c r="D1" s="47"/>
    </row>
    <row r="2">
      <c r="A2" s="48"/>
      <c r="B2" s="48"/>
      <c r="C2" s="49"/>
      <c r="D2" s="47"/>
      <c r="E2" s="49"/>
    </row>
    <row r="3">
      <c r="A3" s="48"/>
      <c r="B3" s="48"/>
      <c r="C3" s="48"/>
      <c r="D3" s="47"/>
      <c r="E3" s="48"/>
    </row>
    <row r="4">
      <c r="A4" s="48"/>
      <c r="B4" s="48"/>
      <c r="C4" s="48"/>
      <c r="D4" s="47"/>
      <c r="E4" s="48"/>
    </row>
    <row r="5">
      <c r="A5" s="48"/>
      <c r="B5" s="48"/>
      <c r="C5" s="48"/>
      <c r="D5" s="47"/>
      <c r="E5" s="48"/>
    </row>
    <row r="6">
      <c r="A6" s="48"/>
      <c r="B6" s="48"/>
      <c r="C6" s="48"/>
      <c r="D6" s="47"/>
      <c r="E6" s="48"/>
    </row>
    <row r="7">
      <c r="A7" s="48"/>
      <c r="B7" s="48"/>
      <c r="C7" s="48"/>
      <c r="D7" s="47"/>
      <c r="E7" s="48"/>
    </row>
    <row r="8">
      <c r="A8" s="48"/>
      <c r="B8" s="48"/>
      <c r="C8" s="48"/>
      <c r="D8" s="47"/>
      <c r="E8" s="48"/>
    </row>
    <row r="9">
      <c r="A9" s="48"/>
      <c r="B9" s="48"/>
      <c r="C9" s="48"/>
      <c r="D9" s="47"/>
      <c r="E9" s="48"/>
    </row>
    <row r="10">
      <c r="A10" s="48"/>
      <c r="B10" s="48"/>
      <c r="C10" s="48"/>
      <c r="D10" s="47"/>
      <c r="E10" s="48"/>
    </row>
    <row r="11">
      <c r="A11" s="48"/>
      <c r="B11" s="48"/>
      <c r="C11" s="48"/>
      <c r="D11" s="47"/>
      <c r="E11" s="48"/>
    </row>
    <row r="12">
      <c r="A12" s="48"/>
      <c r="B12" s="48"/>
      <c r="C12" s="48"/>
      <c r="D12" s="47"/>
      <c r="E12" s="48"/>
    </row>
    <row r="13">
      <c r="A13" s="48"/>
      <c r="B13" s="48"/>
      <c r="C13" s="48"/>
      <c r="D13" s="47"/>
      <c r="E13" s="48"/>
    </row>
    <row r="14">
      <c r="A14" s="48"/>
      <c r="B14" s="48"/>
      <c r="C14" s="48"/>
      <c r="D14" s="47"/>
      <c r="E14" s="48"/>
    </row>
    <row r="15">
      <c r="A15" s="48"/>
      <c r="B15" s="48"/>
      <c r="C15" s="48"/>
      <c r="D15" s="47"/>
      <c r="E15" s="48"/>
    </row>
    <row r="16">
      <c r="A16" s="48"/>
      <c r="B16" s="48"/>
      <c r="C16" s="48"/>
      <c r="D16" s="47"/>
      <c r="E16" s="48"/>
    </row>
    <row r="17">
      <c r="A17" s="48"/>
      <c r="B17" s="48"/>
      <c r="C17" s="48"/>
      <c r="D17" s="47"/>
      <c r="E17" s="48"/>
    </row>
    <row r="18">
      <c r="A18" s="48"/>
      <c r="B18" s="48"/>
      <c r="C18" s="48"/>
      <c r="D18" s="47"/>
      <c r="E18" s="48"/>
    </row>
    <row r="19">
      <c r="A19" s="48"/>
      <c r="B19" s="48"/>
      <c r="C19" s="48"/>
      <c r="D19" s="47"/>
      <c r="E19" s="48"/>
    </row>
    <row r="20">
      <c r="A20" s="48"/>
      <c r="B20" s="48"/>
      <c r="C20" s="48"/>
      <c r="D20" s="47"/>
      <c r="E20" s="48"/>
    </row>
    <row r="21" ht="15.75" customHeight="1">
      <c r="A21" s="48"/>
      <c r="B21" s="48"/>
      <c r="C21" s="48"/>
      <c r="D21" s="47"/>
      <c r="E21" s="48"/>
    </row>
    <row r="22" ht="15.75" customHeight="1">
      <c r="A22" s="48"/>
      <c r="B22" s="48"/>
      <c r="C22" s="48"/>
      <c r="D22" s="47"/>
      <c r="E22" s="48"/>
    </row>
    <row r="23" ht="15.75" customHeight="1">
      <c r="A23" s="48"/>
      <c r="B23" s="48"/>
      <c r="C23" s="48"/>
      <c r="D23" s="47"/>
      <c r="E23" s="48"/>
    </row>
    <row r="24" ht="15.75" customHeight="1">
      <c r="A24" s="48"/>
      <c r="B24" s="48"/>
      <c r="C24" s="48"/>
      <c r="D24" s="47"/>
      <c r="E24" s="48"/>
    </row>
    <row r="25" ht="15.75" customHeight="1">
      <c r="A25" s="48"/>
      <c r="B25" s="48"/>
      <c r="C25" s="48"/>
      <c r="D25" s="47"/>
      <c r="E25" s="48"/>
    </row>
    <row r="26" ht="15.75" customHeight="1">
      <c r="A26" s="48"/>
      <c r="B26" s="48"/>
      <c r="C26" s="48"/>
      <c r="D26" s="47"/>
      <c r="E26" s="48"/>
    </row>
    <row r="27" ht="15.75" customHeight="1">
      <c r="A27" s="48"/>
      <c r="B27" s="48"/>
      <c r="C27" s="48"/>
      <c r="D27" s="47"/>
      <c r="E27" s="48"/>
    </row>
    <row r="28" ht="15.75" customHeight="1">
      <c r="A28" s="48"/>
      <c r="B28" s="48"/>
      <c r="C28" s="48"/>
      <c r="D28" s="47"/>
      <c r="E28" s="48"/>
    </row>
    <row r="29" ht="15.75" customHeight="1">
      <c r="A29" s="48"/>
      <c r="B29" s="48"/>
      <c r="C29" s="48"/>
      <c r="D29" s="47"/>
      <c r="E29" s="48"/>
    </row>
    <row r="30" ht="15.75" customHeight="1">
      <c r="A30" s="48"/>
      <c r="B30" s="48"/>
      <c r="C30" s="48"/>
      <c r="D30" s="47"/>
      <c r="E30" s="48"/>
    </row>
    <row r="31" ht="15.75" customHeight="1">
      <c r="A31" s="48"/>
      <c r="B31" s="48"/>
      <c r="C31" s="48"/>
      <c r="D31" s="47"/>
      <c r="E31" s="48"/>
    </row>
    <row r="32" ht="15.75" customHeight="1">
      <c r="A32" s="48"/>
      <c r="B32" s="48"/>
      <c r="C32" s="48"/>
      <c r="D32" s="47"/>
      <c r="E32" s="48"/>
    </row>
    <row r="33" ht="15.75" customHeight="1">
      <c r="A33" s="48"/>
      <c r="B33" s="48"/>
      <c r="C33" s="48"/>
      <c r="D33" s="47"/>
      <c r="E33" s="48"/>
    </row>
    <row r="34" ht="15.75" customHeight="1">
      <c r="A34" s="48"/>
      <c r="B34" s="48"/>
      <c r="C34" s="48"/>
      <c r="D34" s="47"/>
      <c r="E34" s="48"/>
    </row>
    <row r="35" ht="15.75" customHeight="1">
      <c r="A35" s="48"/>
      <c r="B35" s="48"/>
      <c r="C35" s="48"/>
      <c r="D35" s="47"/>
      <c r="E35" s="48"/>
    </row>
    <row r="36" ht="15.75" customHeight="1">
      <c r="A36" s="48"/>
      <c r="B36" s="48"/>
      <c r="C36" s="48"/>
      <c r="D36" s="47"/>
      <c r="E36" s="48"/>
    </row>
    <row r="37" ht="15.75" customHeight="1">
      <c r="A37" s="48"/>
      <c r="B37" s="48"/>
      <c r="C37" s="48"/>
      <c r="D37" s="47"/>
      <c r="E37" s="48"/>
    </row>
    <row r="38" ht="15.75" customHeight="1">
      <c r="A38" s="48"/>
      <c r="B38" s="48"/>
      <c r="C38" s="48"/>
      <c r="D38" s="47"/>
      <c r="E38" s="48"/>
    </row>
    <row r="39" ht="15.75" customHeight="1">
      <c r="A39" s="48"/>
      <c r="B39" s="48"/>
      <c r="C39" s="48"/>
      <c r="D39" s="47"/>
      <c r="E39" s="48"/>
    </row>
    <row r="40" ht="15.75" customHeight="1">
      <c r="A40" s="48"/>
      <c r="B40" s="48"/>
      <c r="C40" s="48"/>
      <c r="D40" s="47"/>
      <c r="E40" s="48"/>
    </row>
    <row r="41" ht="15.75" customHeight="1">
      <c r="A41" s="48"/>
      <c r="B41" s="48"/>
      <c r="C41" s="48"/>
      <c r="D41" s="47"/>
      <c r="E41" s="48"/>
    </row>
    <row r="42" ht="15.75" customHeight="1">
      <c r="A42" s="48"/>
      <c r="B42" s="48"/>
      <c r="C42" s="48"/>
      <c r="D42" s="47"/>
      <c r="E42" s="48"/>
    </row>
    <row r="43" ht="15.75" customHeight="1">
      <c r="A43" s="48"/>
      <c r="B43" s="48"/>
      <c r="C43" s="48"/>
      <c r="D43" s="47"/>
      <c r="E43" s="48"/>
    </row>
    <row r="44" ht="15.75" customHeight="1">
      <c r="A44" s="48"/>
      <c r="B44" s="48"/>
      <c r="C44" s="48"/>
      <c r="D44" s="47"/>
      <c r="E44" s="48"/>
    </row>
    <row r="45" ht="15.75" customHeight="1">
      <c r="A45" s="48"/>
      <c r="B45" s="48"/>
      <c r="C45" s="48"/>
      <c r="D45" s="47"/>
      <c r="E45" s="48"/>
    </row>
    <row r="46" ht="15.75" customHeight="1">
      <c r="A46" s="48"/>
      <c r="B46" s="48"/>
      <c r="C46" s="48"/>
      <c r="D46" s="47"/>
      <c r="E46" s="48"/>
    </row>
    <row r="47" ht="15.75" customHeight="1">
      <c r="A47" s="48"/>
      <c r="B47" s="48"/>
      <c r="C47" s="48"/>
      <c r="D47" s="47"/>
      <c r="E47" s="48"/>
    </row>
    <row r="48" ht="15.75" customHeight="1">
      <c r="A48" s="48"/>
      <c r="B48" s="48"/>
      <c r="C48" s="48"/>
      <c r="D48" s="47"/>
      <c r="E48" s="48"/>
    </row>
    <row r="49" ht="15.75" customHeight="1">
      <c r="A49" s="48"/>
      <c r="B49" s="48"/>
      <c r="C49" s="48"/>
      <c r="D49" s="47"/>
      <c r="E49" s="48"/>
    </row>
    <row r="50" ht="15.75" customHeight="1">
      <c r="A50" s="48"/>
      <c r="B50" s="48"/>
      <c r="C50" s="48"/>
      <c r="D50" s="47"/>
      <c r="E50" s="48"/>
    </row>
    <row r="51" ht="15.75" customHeight="1">
      <c r="A51" s="48"/>
      <c r="B51" s="48"/>
      <c r="C51" s="48"/>
      <c r="D51" s="47"/>
      <c r="E51" s="48"/>
    </row>
    <row r="52" ht="15.75" customHeight="1">
      <c r="A52" s="48"/>
      <c r="B52" s="48"/>
      <c r="C52" s="48"/>
      <c r="D52" s="47"/>
      <c r="E52" s="48"/>
    </row>
    <row r="53" ht="15.75" customHeight="1">
      <c r="A53" s="48"/>
      <c r="B53" s="48"/>
      <c r="C53" s="48"/>
      <c r="D53" s="47"/>
      <c r="E53" s="48"/>
    </row>
    <row r="54" ht="15.75" customHeight="1">
      <c r="A54" s="48"/>
      <c r="B54" s="48"/>
      <c r="C54" s="48"/>
      <c r="D54" s="47"/>
      <c r="E54" s="48"/>
    </row>
    <row r="55" ht="15.75" customHeight="1">
      <c r="A55" s="48"/>
      <c r="B55" s="48"/>
      <c r="C55" s="48"/>
      <c r="D55" s="47"/>
      <c r="E55" s="48"/>
    </row>
    <row r="56" ht="15.75" customHeight="1">
      <c r="A56" s="48"/>
      <c r="B56" s="48"/>
      <c r="C56" s="48"/>
      <c r="D56" s="47"/>
      <c r="E56" s="48"/>
    </row>
    <row r="57" ht="15.75" customHeight="1">
      <c r="A57" s="48"/>
      <c r="B57" s="48"/>
      <c r="C57" s="48"/>
      <c r="D57" s="47"/>
      <c r="E57" s="48"/>
    </row>
    <row r="58" ht="15.75" customHeight="1">
      <c r="A58" s="48"/>
      <c r="B58" s="48"/>
      <c r="C58" s="48"/>
      <c r="D58" s="47"/>
      <c r="E58" s="48"/>
    </row>
    <row r="59" ht="15.75" customHeight="1">
      <c r="A59" s="48"/>
      <c r="B59" s="48"/>
      <c r="C59" s="48"/>
      <c r="D59" s="47"/>
      <c r="E59" s="48"/>
    </row>
    <row r="60" ht="15.75" customHeight="1">
      <c r="A60" s="48"/>
      <c r="B60" s="48"/>
      <c r="C60" s="48"/>
      <c r="D60" s="47"/>
      <c r="E60" s="48"/>
    </row>
    <row r="61" ht="15.75" customHeight="1">
      <c r="A61" s="48"/>
      <c r="B61" s="48"/>
      <c r="C61" s="48"/>
      <c r="D61" s="47"/>
      <c r="E61" s="48"/>
    </row>
    <row r="62" ht="15.75" customHeight="1">
      <c r="A62" s="48"/>
      <c r="B62" s="48"/>
      <c r="C62" s="48"/>
      <c r="D62" s="47"/>
      <c r="E62" s="48"/>
    </row>
    <row r="63" ht="15.75" customHeight="1">
      <c r="A63" s="48"/>
      <c r="B63" s="48"/>
      <c r="C63" s="48"/>
      <c r="D63" s="47"/>
      <c r="E63" s="48"/>
    </row>
    <row r="64" ht="15.75" customHeight="1">
      <c r="A64" s="48"/>
      <c r="B64" s="48"/>
      <c r="C64" s="48"/>
      <c r="D64" s="47"/>
      <c r="E64" s="48"/>
    </row>
    <row r="65" ht="15.75" customHeight="1">
      <c r="A65" s="48"/>
      <c r="B65" s="48"/>
      <c r="C65" s="48"/>
      <c r="D65" s="47"/>
      <c r="E65" s="48"/>
    </row>
    <row r="66" ht="15.75" customHeight="1">
      <c r="A66" s="48"/>
      <c r="B66" s="48"/>
      <c r="C66" s="48"/>
      <c r="D66" s="47"/>
      <c r="E66" s="48"/>
    </row>
    <row r="67" ht="15.75" customHeight="1">
      <c r="A67" s="48"/>
      <c r="B67" s="48"/>
      <c r="C67" s="48"/>
      <c r="D67" s="47"/>
      <c r="E67" s="48"/>
    </row>
    <row r="68" ht="15.75" customHeight="1">
      <c r="A68" s="48"/>
      <c r="B68" s="48"/>
      <c r="C68" s="48"/>
      <c r="D68" s="47"/>
      <c r="E68" s="48"/>
    </row>
    <row r="69" ht="15.75" customHeight="1">
      <c r="A69" s="48"/>
      <c r="B69" s="48"/>
      <c r="C69" s="48"/>
      <c r="D69" s="47"/>
      <c r="E69" s="48"/>
    </row>
    <row r="70" ht="15.75" customHeight="1">
      <c r="A70" s="48"/>
      <c r="B70" s="48"/>
      <c r="C70" s="48"/>
      <c r="D70" s="47"/>
      <c r="E70" s="48"/>
    </row>
    <row r="71" ht="15.75" customHeight="1">
      <c r="A71" s="48"/>
      <c r="B71" s="48"/>
      <c r="C71" s="48"/>
      <c r="D71" s="47"/>
      <c r="E71" s="48"/>
    </row>
    <row r="72" ht="15.75" customHeight="1">
      <c r="A72" s="48"/>
      <c r="B72" s="48"/>
      <c r="C72" s="48"/>
      <c r="D72" s="47"/>
      <c r="E72" s="48"/>
    </row>
    <row r="73" ht="15.75" customHeight="1">
      <c r="A73" s="48"/>
      <c r="B73" s="48"/>
      <c r="C73" s="48"/>
      <c r="D73" s="47"/>
      <c r="E73" s="48"/>
    </row>
    <row r="74" ht="15.75" customHeight="1">
      <c r="A74" s="48"/>
      <c r="B74" s="48"/>
      <c r="C74" s="48"/>
      <c r="D74" s="47"/>
      <c r="E74" s="48"/>
    </row>
    <row r="75" ht="15.75" customHeight="1">
      <c r="A75" s="48"/>
      <c r="B75" s="48"/>
      <c r="C75" s="48"/>
      <c r="D75" s="47"/>
      <c r="E75" s="48"/>
    </row>
    <row r="76" ht="15.75" customHeight="1">
      <c r="A76" s="48"/>
      <c r="B76" s="48"/>
      <c r="C76" s="48"/>
      <c r="D76" s="47"/>
      <c r="E76" s="48"/>
    </row>
    <row r="77" ht="15.75" customHeight="1">
      <c r="A77" s="48"/>
      <c r="B77" s="48"/>
      <c r="C77" s="48"/>
      <c r="D77" s="47"/>
      <c r="E77" s="48"/>
    </row>
    <row r="78" ht="15.75" customHeight="1">
      <c r="A78" s="48"/>
      <c r="B78" s="48"/>
      <c r="C78" s="48"/>
      <c r="D78" s="47"/>
      <c r="E78" s="48"/>
    </row>
    <row r="79" ht="15.75" customHeight="1">
      <c r="A79" s="48"/>
      <c r="B79" s="48"/>
      <c r="C79" s="48"/>
      <c r="D79" s="47"/>
      <c r="E79" s="48"/>
    </row>
    <row r="80" ht="15.75" customHeight="1">
      <c r="A80" s="48"/>
      <c r="B80" s="48"/>
      <c r="C80" s="48"/>
      <c r="D80" s="47"/>
      <c r="E80" s="48"/>
    </row>
    <row r="81" ht="15.75" customHeight="1">
      <c r="A81" s="48"/>
      <c r="B81" s="48"/>
      <c r="C81" s="48"/>
      <c r="D81" s="47"/>
      <c r="E81" s="48"/>
    </row>
    <row r="82" ht="15.75" customHeight="1">
      <c r="A82" s="48"/>
      <c r="B82" s="48"/>
      <c r="C82" s="48"/>
      <c r="D82" s="47"/>
      <c r="E82" s="48"/>
    </row>
    <row r="83" ht="15.75" customHeight="1">
      <c r="A83" s="48"/>
      <c r="B83" s="48"/>
      <c r="C83" s="48"/>
      <c r="D83" s="47"/>
      <c r="E83" s="48"/>
    </row>
    <row r="84" ht="15.75" customHeight="1">
      <c r="A84" s="48"/>
      <c r="B84" s="48"/>
      <c r="C84" s="48"/>
      <c r="D84" s="47"/>
      <c r="E84" s="48"/>
    </row>
    <row r="85" ht="15.75" customHeight="1">
      <c r="A85" s="48"/>
      <c r="B85" s="48"/>
      <c r="C85" s="48"/>
      <c r="D85" s="47"/>
      <c r="E85" s="48"/>
    </row>
    <row r="86" ht="15.75" customHeight="1">
      <c r="A86" s="48"/>
      <c r="B86" s="48"/>
      <c r="C86" s="48"/>
      <c r="D86" s="47"/>
      <c r="E86" s="48"/>
    </row>
    <row r="87" ht="15.75" customHeight="1">
      <c r="A87" s="48"/>
      <c r="B87" s="48"/>
      <c r="C87" s="48"/>
      <c r="D87" s="47"/>
      <c r="E87" s="48"/>
    </row>
    <row r="88" ht="15.75" customHeight="1">
      <c r="A88" s="48"/>
      <c r="B88" s="48"/>
      <c r="C88" s="48"/>
      <c r="D88" s="47"/>
      <c r="E88" s="48"/>
    </row>
    <row r="89" ht="15.75" customHeight="1">
      <c r="A89" s="48"/>
      <c r="B89" s="48"/>
      <c r="C89" s="48"/>
      <c r="D89" s="47"/>
      <c r="E89" s="48"/>
    </row>
    <row r="90" ht="15.75" customHeight="1">
      <c r="A90" s="48"/>
      <c r="B90" s="48"/>
      <c r="C90" s="48"/>
      <c r="D90" s="47"/>
      <c r="E90" s="48"/>
    </row>
    <row r="91" ht="15.75" customHeight="1">
      <c r="A91" s="48"/>
      <c r="B91" s="48"/>
      <c r="C91" s="48"/>
      <c r="D91" s="47"/>
      <c r="E91" s="48"/>
    </row>
    <row r="92" ht="15.75" customHeight="1">
      <c r="A92" s="48"/>
      <c r="B92" s="48"/>
      <c r="C92" s="48"/>
      <c r="D92" s="47"/>
      <c r="E92" s="48"/>
    </row>
    <row r="93" ht="15.75" customHeight="1">
      <c r="A93" s="48"/>
      <c r="B93" s="48"/>
      <c r="C93" s="48"/>
      <c r="D93" s="47"/>
      <c r="E93" s="48"/>
    </row>
    <row r="94" ht="15.75" customHeight="1">
      <c r="A94" s="48"/>
      <c r="B94" s="48"/>
      <c r="C94" s="48"/>
      <c r="D94" s="47"/>
      <c r="E94" s="48"/>
    </row>
    <row r="95" ht="15.75" customHeight="1">
      <c r="A95" s="48"/>
      <c r="B95" s="48"/>
      <c r="C95" s="48"/>
      <c r="D95" s="47"/>
      <c r="E95" s="48"/>
    </row>
    <row r="96" ht="15.75" customHeight="1">
      <c r="A96" s="48"/>
      <c r="B96" s="48"/>
      <c r="C96" s="48"/>
      <c r="D96" s="47"/>
      <c r="E96" s="48"/>
    </row>
    <row r="97" ht="15.75" customHeight="1">
      <c r="A97" s="48"/>
      <c r="B97" s="48"/>
      <c r="C97" s="48"/>
      <c r="D97" s="47"/>
      <c r="E97" s="48"/>
    </row>
    <row r="98" ht="15.75" customHeight="1">
      <c r="A98" s="48"/>
      <c r="B98" s="48"/>
      <c r="C98" s="48"/>
      <c r="D98" s="47"/>
      <c r="E98" s="48"/>
    </row>
    <row r="99" ht="15.75" customHeight="1">
      <c r="A99" s="48"/>
      <c r="B99" s="48"/>
      <c r="C99" s="48"/>
      <c r="D99" s="47"/>
      <c r="E99" s="48"/>
    </row>
    <row r="100" ht="15.75" customHeight="1">
      <c r="A100" s="48"/>
      <c r="B100" s="48"/>
      <c r="C100" s="48"/>
      <c r="D100" s="47"/>
      <c r="E100" s="48"/>
    </row>
    <row r="101" ht="15.75" customHeight="1">
      <c r="A101" s="48"/>
      <c r="B101" s="48"/>
      <c r="C101" s="48"/>
      <c r="D101" s="47"/>
      <c r="E101" s="48"/>
    </row>
    <row r="102" ht="15.75" customHeight="1">
      <c r="A102" s="48"/>
      <c r="B102" s="48"/>
      <c r="C102" s="48"/>
      <c r="D102" s="47"/>
      <c r="E102" s="48"/>
    </row>
    <row r="103" ht="15.75" customHeight="1">
      <c r="A103" s="48"/>
      <c r="B103" s="48"/>
      <c r="C103" s="48"/>
      <c r="D103" s="47"/>
      <c r="E103" s="48"/>
    </row>
    <row r="104" ht="15.75" customHeight="1">
      <c r="A104" s="48"/>
      <c r="B104" s="48"/>
      <c r="C104" s="48"/>
      <c r="D104" s="47"/>
      <c r="E104" s="48"/>
    </row>
    <row r="105" ht="15.75" customHeight="1">
      <c r="A105" s="48"/>
      <c r="B105" s="48"/>
      <c r="C105" s="48"/>
      <c r="D105" s="47"/>
      <c r="E105" s="48"/>
    </row>
    <row r="106" ht="15.75" customHeight="1">
      <c r="A106" s="48"/>
      <c r="B106" s="48"/>
      <c r="C106" s="48"/>
      <c r="D106" s="47"/>
      <c r="E106" s="48"/>
    </row>
    <row r="107" ht="15.75" customHeight="1">
      <c r="A107" s="48"/>
      <c r="B107" s="48"/>
      <c r="C107" s="48"/>
      <c r="D107" s="47"/>
      <c r="E107" s="48"/>
    </row>
    <row r="108" ht="15.75" customHeight="1">
      <c r="A108" s="48"/>
      <c r="B108" s="48"/>
      <c r="C108" s="48"/>
      <c r="D108" s="47"/>
      <c r="E108" s="48"/>
    </row>
    <row r="109" ht="15.75" customHeight="1">
      <c r="A109" s="48"/>
      <c r="B109" s="48"/>
      <c r="C109" s="48"/>
      <c r="D109" s="47"/>
      <c r="E109" s="48"/>
    </row>
    <row r="110" ht="15.75" customHeight="1">
      <c r="A110" s="48"/>
      <c r="B110" s="48"/>
      <c r="C110" s="48"/>
      <c r="D110" s="47"/>
      <c r="E110" s="48"/>
    </row>
    <row r="111" ht="15.75" customHeight="1">
      <c r="A111" s="48"/>
      <c r="B111" s="48"/>
      <c r="C111" s="48"/>
      <c r="D111" s="47"/>
      <c r="E111" s="48"/>
    </row>
    <row r="112" ht="15.75" customHeight="1">
      <c r="A112" s="48"/>
      <c r="B112" s="48"/>
      <c r="C112" s="48"/>
      <c r="D112" s="47"/>
      <c r="E112" s="48"/>
    </row>
    <row r="113" ht="15.75" customHeight="1">
      <c r="A113" s="48"/>
      <c r="B113" s="48"/>
      <c r="C113" s="48"/>
      <c r="D113" s="47"/>
      <c r="E113" s="48"/>
    </row>
    <row r="114" ht="15.75" customHeight="1">
      <c r="A114" s="48"/>
      <c r="B114" s="48"/>
      <c r="C114" s="48"/>
      <c r="D114" s="47"/>
      <c r="E114" s="48"/>
    </row>
    <row r="115" ht="15.75" customHeight="1">
      <c r="A115" s="48"/>
      <c r="B115" s="48"/>
      <c r="C115" s="48"/>
      <c r="D115" s="47"/>
      <c r="E115" s="48"/>
    </row>
    <row r="116" ht="15.75" customHeight="1">
      <c r="A116" s="48"/>
      <c r="B116" s="48"/>
      <c r="C116" s="48"/>
      <c r="D116" s="47"/>
      <c r="E116" s="48"/>
    </row>
    <row r="117" ht="15.75" customHeight="1">
      <c r="A117" s="48"/>
      <c r="B117" s="48"/>
      <c r="C117" s="48"/>
      <c r="D117" s="47"/>
      <c r="E117" s="48"/>
    </row>
    <row r="118" ht="15.75" customHeight="1">
      <c r="A118" s="48"/>
      <c r="B118" s="48"/>
      <c r="C118" s="48"/>
      <c r="D118" s="47"/>
      <c r="E118" s="48"/>
    </row>
    <row r="119" ht="15.75" customHeight="1">
      <c r="A119" s="48"/>
      <c r="B119" s="48"/>
      <c r="C119" s="48"/>
      <c r="D119" s="47"/>
      <c r="E119" s="48"/>
    </row>
    <row r="120" ht="15.75" customHeight="1">
      <c r="A120" s="48"/>
      <c r="B120" s="48"/>
      <c r="C120" s="48"/>
      <c r="D120" s="47"/>
      <c r="E120" s="48"/>
    </row>
    <row r="121" ht="15.75" customHeight="1">
      <c r="A121" s="48"/>
      <c r="B121" s="48"/>
      <c r="C121" s="48"/>
      <c r="D121" s="47"/>
      <c r="E121" s="48"/>
    </row>
    <row r="122" ht="15.75" customHeight="1">
      <c r="A122" s="48"/>
      <c r="B122" s="48"/>
      <c r="C122" s="48"/>
      <c r="D122" s="47"/>
      <c r="E122" s="48"/>
    </row>
    <row r="123" ht="15.75" customHeight="1">
      <c r="A123" s="48"/>
      <c r="B123" s="48"/>
      <c r="C123" s="48"/>
      <c r="D123" s="47"/>
      <c r="E123" s="48"/>
    </row>
    <row r="124" ht="15.75" customHeight="1">
      <c r="A124" s="48"/>
      <c r="B124" s="48"/>
      <c r="C124" s="48"/>
      <c r="D124" s="47"/>
      <c r="E124" s="48"/>
    </row>
    <row r="125" ht="15.75" customHeight="1">
      <c r="A125" s="48"/>
      <c r="B125" s="48"/>
      <c r="C125" s="48"/>
      <c r="D125" s="47"/>
      <c r="E125" s="48"/>
    </row>
    <row r="126" ht="15.75" customHeight="1">
      <c r="A126" s="48"/>
      <c r="B126" s="48"/>
      <c r="C126" s="48"/>
      <c r="D126" s="47"/>
      <c r="E126" s="48"/>
    </row>
    <row r="127" ht="15.75" customHeight="1">
      <c r="A127" s="48"/>
      <c r="B127" s="48"/>
      <c r="C127" s="48"/>
      <c r="D127" s="47"/>
      <c r="E127" s="48"/>
    </row>
    <row r="128" ht="15.75" customHeight="1">
      <c r="A128" s="48"/>
      <c r="B128" s="48"/>
      <c r="C128" s="48"/>
      <c r="D128" s="47"/>
      <c r="E128" s="48"/>
    </row>
    <row r="129" ht="15.75" customHeight="1">
      <c r="A129" s="48"/>
      <c r="B129" s="48"/>
      <c r="C129" s="48"/>
      <c r="D129" s="47"/>
      <c r="E129" s="48"/>
    </row>
    <row r="130" ht="15.75" customHeight="1">
      <c r="A130" s="48"/>
      <c r="B130" s="48"/>
      <c r="C130" s="48"/>
      <c r="D130" s="47"/>
      <c r="E130" s="48"/>
    </row>
    <row r="131" ht="15.75" customHeight="1">
      <c r="A131" s="48"/>
      <c r="B131" s="48"/>
      <c r="C131" s="48"/>
      <c r="D131" s="47"/>
      <c r="E131" s="48"/>
    </row>
    <row r="132" ht="15.75" customHeight="1">
      <c r="A132" s="48"/>
      <c r="B132" s="48"/>
      <c r="C132" s="48"/>
      <c r="D132" s="47"/>
      <c r="E132" s="48"/>
    </row>
    <row r="133" ht="15.75" customHeight="1">
      <c r="A133" s="48"/>
      <c r="B133" s="48"/>
      <c r="C133" s="48"/>
      <c r="D133" s="47"/>
      <c r="E133" s="48"/>
    </row>
    <row r="134" ht="15.75" customHeight="1">
      <c r="A134" s="48"/>
      <c r="B134" s="48"/>
      <c r="C134" s="48"/>
      <c r="D134" s="47"/>
      <c r="E134" s="48"/>
    </row>
    <row r="135" ht="15.75" customHeight="1">
      <c r="A135" s="48"/>
      <c r="B135" s="48"/>
      <c r="C135" s="48"/>
      <c r="D135" s="47"/>
      <c r="E135" s="48"/>
    </row>
    <row r="136" ht="15.75" customHeight="1">
      <c r="A136" s="48"/>
      <c r="B136" s="48"/>
      <c r="C136" s="48"/>
      <c r="D136" s="47"/>
      <c r="E136" s="48"/>
    </row>
    <row r="137" ht="15.75" customHeight="1">
      <c r="A137" s="48"/>
      <c r="B137" s="48"/>
      <c r="C137" s="48"/>
      <c r="D137" s="47"/>
      <c r="E137" s="48"/>
    </row>
    <row r="138" ht="15.75" customHeight="1">
      <c r="A138" s="48"/>
      <c r="B138" s="48"/>
      <c r="C138" s="48"/>
      <c r="D138" s="47"/>
      <c r="E138" s="48"/>
    </row>
    <row r="139" ht="15.75" customHeight="1">
      <c r="A139" s="48"/>
      <c r="B139" s="48"/>
      <c r="C139" s="48"/>
      <c r="D139" s="47"/>
      <c r="E139" s="48"/>
    </row>
    <row r="140" ht="15.75" customHeight="1">
      <c r="A140" s="48"/>
      <c r="B140" s="48"/>
      <c r="C140" s="48"/>
      <c r="D140" s="47"/>
      <c r="E140" s="48"/>
    </row>
    <row r="141" ht="15.75" customHeight="1">
      <c r="A141" s="48"/>
      <c r="B141" s="48"/>
      <c r="C141" s="48"/>
      <c r="D141" s="47"/>
      <c r="E141" s="48"/>
    </row>
    <row r="142" ht="15.75" customHeight="1">
      <c r="A142" s="48"/>
      <c r="B142" s="48"/>
      <c r="C142" s="48"/>
      <c r="D142" s="47"/>
      <c r="E142" s="48"/>
    </row>
    <row r="143" ht="15.75" customHeight="1">
      <c r="A143" s="48"/>
      <c r="B143" s="48"/>
      <c r="C143" s="48"/>
      <c r="D143" s="47"/>
      <c r="E143" s="48"/>
    </row>
    <row r="144" ht="15.75" customHeight="1">
      <c r="A144" s="48"/>
      <c r="B144" s="48"/>
      <c r="C144" s="48"/>
      <c r="D144" s="47"/>
      <c r="E144" s="48"/>
    </row>
    <row r="145" ht="15.75" customHeight="1">
      <c r="A145" s="48"/>
      <c r="B145" s="48"/>
      <c r="C145" s="48"/>
      <c r="D145" s="47"/>
      <c r="E145" s="48"/>
    </row>
    <row r="146" ht="15.75" customHeight="1">
      <c r="A146" s="48"/>
      <c r="B146" s="48"/>
      <c r="C146" s="48"/>
      <c r="D146" s="47"/>
      <c r="E146" s="48"/>
    </row>
    <row r="147" ht="15.75" customHeight="1">
      <c r="A147" s="48"/>
      <c r="B147" s="48"/>
      <c r="C147" s="48"/>
      <c r="D147" s="47"/>
      <c r="E147" s="48"/>
    </row>
    <row r="148" ht="15.75" customHeight="1">
      <c r="A148" s="48"/>
      <c r="B148" s="48"/>
      <c r="C148" s="48"/>
      <c r="D148" s="47"/>
      <c r="E148" s="48"/>
    </row>
    <row r="149" ht="15.75" customHeight="1">
      <c r="A149" s="48"/>
      <c r="B149" s="48"/>
      <c r="C149" s="48"/>
      <c r="D149" s="47"/>
      <c r="E149" s="48"/>
    </row>
    <row r="150" ht="15.75" customHeight="1">
      <c r="A150" s="48"/>
      <c r="B150" s="48"/>
      <c r="C150" s="48"/>
      <c r="D150" s="47"/>
      <c r="E150" s="48"/>
    </row>
    <row r="151" ht="15.75" customHeight="1">
      <c r="A151" s="48"/>
      <c r="B151" s="48"/>
      <c r="C151" s="48"/>
      <c r="D151" s="47"/>
      <c r="E151" s="48"/>
    </row>
    <row r="152" ht="15.75" customHeight="1">
      <c r="A152" s="48"/>
      <c r="B152" s="48"/>
      <c r="C152" s="48"/>
      <c r="D152" s="47"/>
      <c r="E152" s="48"/>
    </row>
    <row r="153" ht="15.75" customHeight="1">
      <c r="A153" s="48"/>
      <c r="B153" s="48"/>
      <c r="C153" s="48"/>
      <c r="D153" s="47"/>
      <c r="E153" s="48"/>
    </row>
    <row r="154" ht="15.75" customHeight="1">
      <c r="A154" s="48"/>
      <c r="B154" s="48"/>
      <c r="C154" s="48"/>
      <c r="D154" s="47"/>
      <c r="E154" s="48"/>
    </row>
    <row r="155" ht="15.75" customHeight="1">
      <c r="A155" s="48"/>
      <c r="B155" s="48"/>
      <c r="C155" s="48"/>
      <c r="D155" s="47"/>
      <c r="E155" s="48"/>
    </row>
    <row r="156" ht="15.75" customHeight="1">
      <c r="A156" s="48"/>
      <c r="B156" s="48"/>
      <c r="C156" s="48"/>
      <c r="D156" s="47"/>
      <c r="E156" s="48"/>
    </row>
    <row r="157" ht="15.75" customHeight="1">
      <c r="A157" s="48"/>
      <c r="B157" s="48"/>
      <c r="C157" s="48"/>
      <c r="D157" s="47"/>
      <c r="E157" s="48"/>
    </row>
    <row r="158" ht="15.75" customHeight="1">
      <c r="A158" s="48"/>
      <c r="B158" s="48"/>
      <c r="C158" s="48"/>
      <c r="D158" s="47"/>
      <c r="E158" s="48"/>
    </row>
    <row r="159" ht="15.75" customHeight="1">
      <c r="A159" s="48"/>
      <c r="B159" s="48"/>
      <c r="C159" s="48"/>
      <c r="D159" s="47"/>
      <c r="E159" s="48"/>
    </row>
    <row r="160" ht="15.75" customHeight="1">
      <c r="A160" s="48"/>
      <c r="B160" s="48"/>
      <c r="C160" s="48"/>
      <c r="D160" s="47"/>
      <c r="E160" s="48"/>
    </row>
    <row r="161" ht="15.75" customHeight="1">
      <c r="A161" s="48"/>
      <c r="B161" s="48"/>
      <c r="C161" s="48"/>
      <c r="D161" s="47"/>
      <c r="E161" s="48"/>
    </row>
    <row r="162" ht="15.75" customHeight="1">
      <c r="A162" s="48"/>
      <c r="B162" s="48"/>
      <c r="C162" s="48"/>
      <c r="D162" s="47"/>
      <c r="E162" s="48"/>
    </row>
    <row r="163" ht="15.75" customHeight="1">
      <c r="A163" s="48"/>
      <c r="B163" s="48"/>
      <c r="C163" s="48"/>
      <c r="D163" s="47"/>
      <c r="E163" s="48"/>
    </row>
    <row r="164" ht="15.75" customHeight="1">
      <c r="A164" s="48"/>
      <c r="B164" s="48"/>
      <c r="C164" s="48"/>
      <c r="D164" s="47"/>
      <c r="E164" s="48"/>
    </row>
    <row r="165" ht="15.75" customHeight="1">
      <c r="A165" s="48"/>
      <c r="B165" s="48"/>
      <c r="C165" s="48"/>
      <c r="D165" s="47"/>
      <c r="E165" s="48"/>
    </row>
    <row r="166" ht="15.75" customHeight="1">
      <c r="A166" s="48"/>
      <c r="B166" s="48"/>
      <c r="C166" s="48"/>
      <c r="D166" s="47"/>
      <c r="E166" s="48"/>
    </row>
    <row r="167" ht="15.75" customHeight="1">
      <c r="A167" s="48"/>
      <c r="B167" s="48"/>
      <c r="C167" s="48"/>
      <c r="D167" s="47"/>
      <c r="E167" s="48"/>
    </row>
    <row r="168" ht="15.75" customHeight="1">
      <c r="A168" s="48"/>
      <c r="B168" s="48"/>
      <c r="C168" s="48"/>
      <c r="D168" s="47"/>
      <c r="E168" s="48"/>
    </row>
    <row r="169" ht="15.75" customHeight="1">
      <c r="A169" s="48"/>
      <c r="B169" s="48"/>
      <c r="C169" s="48"/>
      <c r="D169" s="47"/>
      <c r="E169" s="48"/>
    </row>
    <row r="170" ht="15.75" customHeight="1">
      <c r="A170" s="48"/>
      <c r="B170" s="48"/>
      <c r="C170" s="48"/>
      <c r="D170" s="47"/>
      <c r="E170" s="48"/>
    </row>
    <row r="171" ht="15.75" customHeight="1">
      <c r="A171" s="48"/>
      <c r="B171" s="48"/>
      <c r="C171" s="48"/>
      <c r="D171" s="47"/>
      <c r="E171" s="48"/>
    </row>
    <row r="172" ht="15.75" customHeight="1">
      <c r="A172" s="48"/>
      <c r="B172" s="48"/>
      <c r="C172" s="48"/>
      <c r="D172" s="47"/>
      <c r="E172" s="48"/>
    </row>
    <row r="173" ht="15.75" customHeight="1">
      <c r="A173" s="48"/>
      <c r="B173" s="48"/>
      <c r="C173" s="48"/>
      <c r="D173" s="47"/>
      <c r="E173" s="48"/>
    </row>
    <row r="174" ht="15.75" customHeight="1">
      <c r="A174" s="48"/>
      <c r="B174" s="48"/>
      <c r="C174" s="48"/>
      <c r="D174" s="47"/>
      <c r="E174" s="48"/>
    </row>
    <row r="175" ht="15.75" customHeight="1">
      <c r="A175" s="48"/>
      <c r="B175" s="48"/>
      <c r="C175" s="48"/>
      <c r="D175" s="47"/>
      <c r="E175" s="48"/>
    </row>
    <row r="176" ht="15.75" customHeight="1">
      <c r="A176" s="48"/>
      <c r="B176" s="48"/>
      <c r="C176" s="48"/>
      <c r="D176" s="47"/>
      <c r="E176" s="48"/>
    </row>
    <row r="177" ht="15.75" customHeight="1">
      <c r="A177" s="48"/>
      <c r="B177" s="48"/>
      <c r="C177" s="48"/>
      <c r="D177" s="47"/>
      <c r="E177" s="48"/>
    </row>
    <row r="178" ht="15.75" customHeight="1">
      <c r="A178" s="48"/>
      <c r="B178" s="48"/>
      <c r="C178" s="48"/>
      <c r="D178" s="47"/>
      <c r="E178" s="48"/>
    </row>
    <row r="179" ht="15.75" customHeight="1">
      <c r="A179" s="48"/>
      <c r="B179" s="48"/>
      <c r="C179" s="48"/>
      <c r="D179" s="47"/>
      <c r="E179" s="48"/>
    </row>
    <row r="180" ht="15.75" customHeight="1">
      <c r="A180" s="48"/>
      <c r="B180" s="48"/>
      <c r="C180" s="48"/>
      <c r="D180" s="47"/>
      <c r="E180" s="48"/>
    </row>
    <row r="181" ht="15.75" customHeight="1">
      <c r="A181" s="48"/>
      <c r="B181" s="48"/>
      <c r="C181" s="48"/>
      <c r="D181" s="47"/>
      <c r="E181" s="48"/>
    </row>
    <row r="182" ht="15.75" customHeight="1">
      <c r="A182" s="48"/>
      <c r="B182" s="48"/>
      <c r="C182" s="48"/>
      <c r="D182" s="47"/>
      <c r="E182" s="48"/>
    </row>
    <row r="183" ht="15.75" customHeight="1">
      <c r="A183" s="48"/>
      <c r="B183" s="48"/>
      <c r="C183" s="48"/>
      <c r="D183" s="47"/>
      <c r="E183" s="48"/>
    </row>
    <row r="184" ht="15.75" customHeight="1">
      <c r="A184" s="48"/>
      <c r="B184" s="48"/>
      <c r="C184" s="48"/>
      <c r="D184" s="47"/>
      <c r="E184" s="48"/>
    </row>
    <row r="185" ht="15.75" customHeight="1">
      <c r="A185" s="48"/>
      <c r="B185" s="48"/>
      <c r="C185" s="48"/>
      <c r="D185" s="47"/>
      <c r="E185" s="48"/>
    </row>
    <row r="186" ht="15.75" customHeight="1">
      <c r="A186" s="48"/>
      <c r="B186" s="48"/>
      <c r="C186" s="48"/>
      <c r="D186" s="47"/>
      <c r="E186" s="48"/>
    </row>
    <row r="187" ht="15.75" customHeight="1">
      <c r="A187" s="48"/>
      <c r="B187" s="48"/>
      <c r="C187" s="48"/>
      <c r="D187" s="47"/>
      <c r="E187" s="48"/>
    </row>
    <row r="188" ht="15.75" customHeight="1">
      <c r="A188" s="48"/>
      <c r="B188" s="48"/>
      <c r="C188" s="48"/>
      <c r="D188" s="47"/>
      <c r="E188" s="48"/>
    </row>
    <row r="189" ht="15.75" customHeight="1">
      <c r="A189" s="48"/>
      <c r="B189" s="48"/>
      <c r="C189" s="48"/>
      <c r="D189" s="47"/>
      <c r="E189" s="48"/>
    </row>
    <row r="190" ht="15.75" customHeight="1">
      <c r="A190" s="48"/>
      <c r="B190" s="48"/>
      <c r="C190" s="48"/>
      <c r="D190" s="47"/>
      <c r="E190" s="48"/>
    </row>
    <row r="191" ht="15.75" customHeight="1">
      <c r="A191" s="48"/>
      <c r="B191" s="48"/>
      <c r="C191" s="48"/>
      <c r="D191" s="47"/>
      <c r="E191" s="48"/>
    </row>
    <row r="192" ht="15.75" customHeight="1">
      <c r="A192" s="48"/>
      <c r="B192" s="48"/>
      <c r="C192" s="48"/>
      <c r="D192" s="47"/>
      <c r="E192" s="48"/>
    </row>
    <row r="193" ht="15.75" customHeight="1">
      <c r="A193" s="48"/>
      <c r="B193" s="48"/>
      <c r="C193" s="48"/>
      <c r="D193" s="47"/>
      <c r="E193" s="48"/>
    </row>
    <row r="194" ht="15.75" customHeight="1">
      <c r="A194" s="48"/>
      <c r="B194" s="48"/>
      <c r="C194" s="48"/>
      <c r="D194" s="47"/>
      <c r="E194" s="48"/>
    </row>
    <row r="195" ht="15.75" customHeight="1">
      <c r="A195" s="48"/>
      <c r="B195" s="48"/>
      <c r="C195" s="48"/>
      <c r="D195" s="47"/>
      <c r="E195" s="48"/>
    </row>
    <row r="196" ht="15.75" customHeight="1">
      <c r="A196" s="48"/>
      <c r="B196" s="48"/>
      <c r="C196" s="48"/>
      <c r="D196" s="47"/>
      <c r="E196" s="48"/>
    </row>
    <row r="197" ht="15.75" customHeight="1">
      <c r="A197" s="48"/>
      <c r="B197" s="48"/>
      <c r="C197" s="48"/>
      <c r="D197" s="47"/>
      <c r="E197" s="48"/>
    </row>
    <row r="198" ht="15.75" customHeight="1">
      <c r="A198" s="48"/>
      <c r="B198" s="48"/>
      <c r="C198" s="48"/>
      <c r="D198" s="47"/>
      <c r="E198" s="48"/>
    </row>
    <row r="199" ht="15.75" customHeight="1">
      <c r="A199" s="48"/>
      <c r="B199" s="48"/>
      <c r="C199" s="48"/>
      <c r="D199" s="47"/>
      <c r="E199" s="48"/>
    </row>
    <row r="200" ht="15.75" customHeight="1">
      <c r="A200" s="48"/>
      <c r="B200" s="48"/>
      <c r="C200" s="48"/>
      <c r="D200" s="47"/>
      <c r="E200" s="48"/>
    </row>
    <row r="201" ht="15.75" customHeight="1">
      <c r="A201" s="48"/>
      <c r="B201" s="48"/>
      <c r="C201" s="48"/>
      <c r="D201" s="47"/>
      <c r="E201" s="48"/>
    </row>
    <row r="202" ht="15.75" customHeight="1">
      <c r="A202" s="48"/>
      <c r="B202" s="48"/>
      <c r="C202" s="48"/>
      <c r="D202" s="47"/>
      <c r="E202" s="48"/>
    </row>
    <row r="203" ht="15.75" customHeight="1">
      <c r="A203" s="48"/>
      <c r="B203" s="48"/>
      <c r="C203" s="48"/>
      <c r="D203" s="47"/>
      <c r="E203" s="48"/>
    </row>
    <row r="204" ht="15.75" customHeight="1">
      <c r="A204" s="48"/>
      <c r="B204" s="48"/>
      <c r="C204" s="48"/>
      <c r="D204" s="47"/>
      <c r="E204" s="48"/>
    </row>
    <row r="205" ht="15.75" customHeight="1">
      <c r="A205" s="48"/>
      <c r="B205" s="48"/>
      <c r="C205" s="48"/>
      <c r="D205" s="47"/>
      <c r="E205" s="48"/>
    </row>
    <row r="206" ht="15.75" customHeight="1">
      <c r="A206" s="48"/>
      <c r="B206" s="48"/>
      <c r="C206" s="48"/>
      <c r="D206" s="47"/>
      <c r="E206" s="48"/>
    </row>
    <row r="207" ht="15.75" customHeight="1">
      <c r="A207" s="48"/>
      <c r="B207" s="48"/>
      <c r="C207" s="48"/>
      <c r="D207" s="47"/>
      <c r="E207" s="48"/>
    </row>
    <row r="208" ht="15.75" customHeight="1">
      <c r="A208" s="48"/>
      <c r="B208" s="48"/>
      <c r="C208" s="48"/>
      <c r="D208" s="47"/>
      <c r="E208" s="48"/>
    </row>
    <row r="209" ht="15.75" customHeight="1">
      <c r="A209" s="48"/>
      <c r="B209" s="48"/>
      <c r="C209" s="48"/>
      <c r="D209" s="47"/>
      <c r="E209" s="48"/>
    </row>
    <row r="210" ht="15.75" customHeight="1">
      <c r="A210" s="48"/>
      <c r="B210" s="48"/>
      <c r="C210" s="48"/>
      <c r="D210" s="47"/>
      <c r="E210" s="48"/>
    </row>
    <row r="211" ht="15.75" customHeight="1">
      <c r="A211" s="48"/>
      <c r="B211" s="48"/>
      <c r="C211" s="48"/>
      <c r="D211" s="47"/>
      <c r="E211" s="48"/>
    </row>
    <row r="212" ht="15.75" customHeight="1">
      <c r="A212" s="48"/>
      <c r="B212" s="48"/>
      <c r="C212" s="48"/>
      <c r="D212" s="47"/>
      <c r="E212" s="48"/>
    </row>
    <row r="213" ht="15.75" customHeight="1">
      <c r="A213" s="48"/>
      <c r="B213" s="48"/>
      <c r="C213" s="48"/>
      <c r="D213" s="47"/>
      <c r="E213" s="48"/>
    </row>
    <row r="214" ht="15.75" customHeight="1">
      <c r="A214" s="48"/>
      <c r="B214" s="48"/>
      <c r="C214" s="48"/>
      <c r="D214" s="47"/>
      <c r="E214" s="48"/>
    </row>
    <row r="215" ht="15.75" customHeight="1">
      <c r="A215" s="48"/>
      <c r="B215" s="48"/>
      <c r="C215" s="48"/>
      <c r="D215" s="47"/>
      <c r="E215" s="48"/>
    </row>
    <row r="216" ht="15.75" customHeight="1">
      <c r="A216" s="48"/>
      <c r="B216" s="48"/>
      <c r="C216" s="48"/>
      <c r="D216" s="47"/>
      <c r="E216" s="48"/>
    </row>
    <row r="217" ht="15.75" customHeight="1">
      <c r="A217" s="48"/>
      <c r="B217" s="48"/>
      <c r="C217" s="48"/>
      <c r="D217" s="47"/>
      <c r="E217" s="48"/>
    </row>
    <row r="218" ht="15.75" customHeight="1">
      <c r="A218" s="48"/>
      <c r="B218" s="48"/>
      <c r="C218" s="48"/>
      <c r="D218" s="47"/>
      <c r="E218" s="48"/>
    </row>
    <row r="219" ht="15.75" customHeight="1">
      <c r="A219" s="48"/>
      <c r="B219" s="48"/>
      <c r="C219" s="48"/>
      <c r="D219" s="47"/>
      <c r="E219" s="48"/>
    </row>
    <row r="220" ht="15.75" customHeight="1">
      <c r="A220" s="48"/>
      <c r="B220" s="48"/>
      <c r="C220" s="48"/>
      <c r="D220" s="47"/>
      <c r="E220" s="48"/>
    </row>
    <row r="221" ht="15.75" customHeight="1">
      <c r="A221" s="48"/>
      <c r="B221" s="48"/>
      <c r="C221" s="48"/>
      <c r="D221" s="47"/>
      <c r="E221" s="48"/>
    </row>
    <row r="222" ht="15.75" customHeight="1">
      <c r="A222" s="48"/>
      <c r="B222" s="48"/>
      <c r="C222" s="48"/>
      <c r="D222" s="47"/>
      <c r="E222" s="48"/>
    </row>
    <row r="223" ht="15.75" customHeight="1">
      <c r="A223" s="48"/>
      <c r="B223" s="48"/>
      <c r="C223" s="48"/>
      <c r="D223" s="47"/>
      <c r="E223" s="48"/>
    </row>
    <row r="224" ht="15.75" customHeight="1">
      <c r="A224" s="48"/>
      <c r="B224" s="48"/>
      <c r="C224" s="48"/>
      <c r="D224" s="47"/>
      <c r="E224" s="48"/>
    </row>
    <row r="225" ht="15.75" customHeight="1">
      <c r="A225" s="48"/>
      <c r="B225" s="48"/>
      <c r="C225" s="48"/>
      <c r="D225" s="47"/>
      <c r="E225" s="48"/>
    </row>
    <row r="226" ht="15.75" customHeight="1">
      <c r="A226" s="48"/>
      <c r="B226" s="48"/>
      <c r="C226" s="48"/>
      <c r="D226" s="47"/>
      <c r="E226" s="48"/>
    </row>
    <row r="227" ht="15.75" customHeight="1">
      <c r="A227" s="48"/>
      <c r="B227" s="48"/>
      <c r="C227" s="48"/>
      <c r="D227" s="47"/>
      <c r="E227" s="48"/>
    </row>
    <row r="228" ht="15.75" customHeight="1">
      <c r="A228" s="48"/>
      <c r="B228" s="48"/>
      <c r="C228" s="48"/>
      <c r="D228" s="47"/>
      <c r="E228" s="48"/>
    </row>
    <row r="229" ht="15.75" customHeight="1">
      <c r="A229" s="48"/>
      <c r="B229" s="48"/>
      <c r="C229" s="48"/>
      <c r="D229" s="47"/>
      <c r="E229" s="48"/>
    </row>
    <row r="230" ht="15.75" customHeight="1">
      <c r="A230" s="48"/>
      <c r="B230" s="48"/>
      <c r="C230" s="48"/>
      <c r="D230" s="47"/>
      <c r="E230" s="48"/>
    </row>
    <row r="231" ht="15.75" customHeight="1">
      <c r="A231" s="48"/>
      <c r="B231" s="48"/>
      <c r="C231" s="48"/>
      <c r="D231" s="47"/>
      <c r="E231" s="48"/>
    </row>
    <row r="232" ht="15.75" customHeight="1">
      <c r="A232" s="48"/>
      <c r="B232" s="48"/>
      <c r="C232" s="48"/>
      <c r="D232" s="47"/>
      <c r="E232" s="48"/>
    </row>
    <row r="233" ht="15.75" customHeight="1">
      <c r="A233" s="48"/>
      <c r="B233" s="48"/>
      <c r="C233" s="48"/>
      <c r="D233" s="47"/>
      <c r="E233" s="48"/>
    </row>
    <row r="234" ht="15.75" customHeight="1">
      <c r="A234" s="48"/>
      <c r="B234" s="48"/>
      <c r="C234" s="48"/>
      <c r="D234" s="47"/>
      <c r="E234" s="48"/>
    </row>
    <row r="235" ht="15.75" customHeight="1">
      <c r="A235" s="48"/>
      <c r="B235" s="48"/>
      <c r="C235" s="48"/>
      <c r="D235" s="47"/>
      <c r="E235" s="48"/>
    </row>
    <row r="236" ht="15.75" customHeight="1">
      <c r="A236" s="48"/>
      <c r="B236" s="48"/>
      <c r="C236" s="48"/>
      <c r="D236" s="47"/>
      <c r="E236" s="48"/>
    </row>
    <row r="237" ht="15.75" customHeight="1">
      <c r="A237" s="48"/>
      <c r="B237" s="48"/>
      <c r="C237" s="48"/>
      <c r="D237" s="47"/>
      <c r="E237" s="48"/>
    </row>
    <row r="238" ht="15.75" customHeight="1">
      <c r="A238" s="48"/>
      <c r="B238" s="48"/>
      <c r="C238" s="48"/>
      <c r="D238" s="47"/>
      <c r="E238" s="48"/>
    </row>
    <row r="239" ht="15.75" customHeight="1">
      <c r="A239" s="48"/>
      <c r="B239" s="48"/>
      <c r="C239" s="48"/>
      <c r="D239" s="47"/>
      <c r="E239" s="48"/>
    </row>
    <row r="240" ht="15.75" customHeight="1">
      <c r="A240" s="48"/>
      <c r="B240" s="48"/>
      <c r="C240" s="48"/>
      <c r="D240" s="47"/>
      <c r="E240" s="48"/>
    </row>
    <row r="241" ht="15.75" customHeight="1">
      <c r="A241" s="48"/>
      <c r="B241" s="48"/>
      <c r="C241" s="48"/>
      <c r="D241" s="47"/>
      <c r="E241" s="48"/>
    </row>
    <row r="242" ht="15.75" customHeight="1">
      <c r="A242" s="48"/>
      <c r="B242" s="48"/>
      <c r="C242" s="48"/>
      <c r="D242" s="47"/>
      <c r="E242" s="48"/>
    </row>
    <row r="243" ht="15.75" customHeight="1">
      <c r="A243" s="48"/>
      <c r="B243" s="48"/>
      <c r="C243" s="48"/>
      <c r="D243" s="47"/>
      <c r="E243" s="48"/>
    </row>
    <row r="244" ht="15.75" customHeight="1">
      <c r="A244" s="48"/>
      <c r="B244" s="48"/>
      <c r="C244" s="48"/>
      <c r="D244" s="47"/>
      <c r="E244" s="48"/>
    </row>
    <row r="245" ht="15.75" customHeight="1">
      <c r="A245" s="48"/>
      <c r="B245" s="48"/>
      <c r="C245" s="48"/>
      <c r="D245" s="47"/>
      <c r="E245" s="48"/>
    </row>
    <row r="246" ht="15.75" customHeight="1">
      <c r="A246" s="48"/>
      <c r="B246" s="48"/>
      <c r="C246" s="48"/>
      <c r="D246" s="47"/>
      <c r="E246" s="48"/>
    </row>
    <row r="247" ht="15.75" customHeight="1">
      <c r="A247" s="48"/>
      <c r="B247" s="48"/>
      <c r="C247" s="48"/>
      <c r="D247" s="47"/>
      <c r="E247" s="48"/>
    </row>
    <row r="248" ht="15.75" customHeight="1">
      <c r="A248" s="48"/>
      <c r="B248" s="48"/>
      <c r="C248" s="48"/>
      <c r="D248" s="47"/>
      <c r="E248" s="48"/>
    </row>
    <row r="249" ht="15.75" customHeight="1">
      <c r="A249" s="48"/>
      <c r="B249" s="48"/>
      <c r="C249" s="48"/>
      <c r="D249" s="47"/>
      <c r="E249" s="48"/>
    </row>
    <row r="250" ht="15.75" customHeight="1">
      <c r="A250" s="48"/>
      <c r="B250" s="48"/>
      <c r="C250" s="48"/>
      <c r="D250" s="47"/>
      <c r="E250" s="48"/>
    </row>
    <row r="251" ht="15.75" customHeight="1">
      <c r="A251" s="48"/>
      <c r="B251" s="48"/>
      <c r="C251" s="48"/>
      <c r="D251" s="47"/>
      <c r="E251" s="48"/>
    </row>
    <row r="252" ht="15.75" customHeight="1">
      <c r="A252" s="48"/>
      <c r="B252" s="48"/>
      <c r="C252" s="48"/>
      <c r="D252" s="47"/>
      <c r="E252" s="48"/>
    </row>
    <row r="253" ht="15.75" customHeight="1">
      <c r="A253" s="48"/>
      <c r="B253" s="48"/>
      <c r="C253" s="48"/>
      <c r="D253" s="47"/>
      <c r="E253" s="48"/>
    </row>
    <row r="254" ht="15.75" customHeight="1">
      <c r="A254" s="48"/>
      <c r="B254" s="48"/>
      <c r="C254" s="48"/>
      <c r="D254" s="47"/>
      <c r="E254" s="48"/>
    </row>
    <row r="255" ht="15.75" customHeight="1">
      <c r="A255" s="48"/>
      <c r="B255" s="48"/>
      <c r="C255" s="48"/>
      <c r="D255" s="47"/>
      <c r="E255" s="48"/>
    </row>
    <row r="256" ht="15.75" customHeight="1">
      <c r="A256" s="48"/>
      <c r="B256" s="48"/>
      <c r="C256" s="48"/>
      <c r="D256" s="47"/>
      <c r="E256" s="48"/>
    </row>
    <row r="257" ht="15.75" customHeight="1">
      <c r="A257" s="48"/>
      <c r="B257" s="48"/>
      <c r="C257" s="48"/>
      <c r="D257" s="47"/>
      <c r="E257" s="48"/>
    </row>
    <row r="258" ht="15.75" customHeight="1">
      <c r="A258" s="48"/>
      <c r="B258" s="48"/>
      <c r="C258" s="48"/>
      <c r="D258" s="47"/>
      <c r="E258" s="48"/>
    </row>
    <row r="259" ht="15.75" customHeight="1">
      <c r="A259" s="48"/>
      <c r="B259" s="48"/>
      <c r="C259" s="48"/>
      <c r="D259" s="47"/>
      <c r="E259" s="48"/>
    </row>
    <row r="260" ht="15.75" customHeight="1">
      <c r="A260" s="48"/>
      <c r="B260" s="48"/>
      <c r="C260" s="48"/>
      <c r="D260" s="47"/>
      <c r="E260" s="48"/>
    </row>
    <row r="261" ht="15.75" customHeight="1">
      <c r="A261" s="48"/>
      <c r="B261" s="48"/>
      <c r="C261" s="48"/>
      <c r="D261" s="47"/>
      <c r="E261" s="48"/>
    </row>
    <row r="262" ht="15.75" customHeight="1">
      <c r="A262" s="48"/>
      <c r="B262" s="48"/>
      <c r="C262" s="48"/>
      <c r="D262" s="47"/>
      <c r="E262" s="48"/>
    </row>
    <row r="263" ht="15.75" customHeight="1">
      <c r="A263" s="48"/>
      <c r="B263" s="48"/>
      <c r="C263" s="48"/>
      <c r="D263" s="47"/>
      <c r="E263" s="48"/>
    </row>
    <row r="264" ht="15.75" customHeight="1">
      <c r="A264" s="48"/>
      <c r="B264" s="48"/>
      <c r="C264" s="48"/>
      <c r="D264" s="47"/>
      <c r="E264" s="48"/>
    </row>
    <row r="265" ht="15.75" customHeight="1">
      <c r="A265" s="48"/>
      <c r="B265" s="48"/>
      <c r="C265" s="48"/>
      <c r="D265" s="47"/>
      <c r="E265" s="48"/>
    </row>
    <row r="266" ht="15.75" customHeight="1">
      <c r="A266" s="48"/>
      <c r="B266" s="48"/>
      <c r="C266" s="48"/>
      <c r="D266" s="47"/>
      <c r="E266" s="48"/>
    </row>
    <row r="267" ht="15.75" customHeight="1">
      <c r="A267" s="48"/>
      <c r="B267" s="48"/>
      <c r="C267" s="48"/>
      <c r="D267" s="47"/>
      <c r="E267" s="48"/>
    </row>
    <row r="268" ht="15.75" customHeight="1">
      <c r="A268" s="48"/>
      <c r="B268" s="48"/>
      <c r="C268" s="48"/>
      <c r="D268" s="47"/>
      <c r="E268" s="48"/>
    </row>
    <row r="269" ht="15.75" customHeight="1">
      <c r="A269" s="48"/>
      <c r="B269" s="48"/>
      <c r="C269" s="48"/>
      <c r="D269" s="47"/>
      <c r="E269" s="48"/>
    </row>
    <row r="270" ht="15.75" customHeight="1">
      <c r="A270" s="48"/>
      <c r="B270" s="48"/>
      <c r="C270" s="48"/>
      <c r="D270" s="47"/>
      <c r="E270" s="48"/>
    </row>
    <row r="271" ht="15.75" customHeight="1">
      <c r="A271" s="48"/>
      <c r="B271" s="48"/>
      <c r="C271" s="48"/>
      <c r="D271" s="47"/>
      <c r="E271" s="48"/>
    </row>
    <row r="272" ht="15.75" customHeight="1">
      <c r="A272" s="48"/>
      <c r="B272" s="48"/>
      <c r="C272" s="48"/>
      <c r="D272" s="47"/>
      <c r="E272" s="48"/>
    </row>
    <row r="273" ht="15.75" customHeight="1">
      <c r="A273" s="48"/>
      <c r="B273" s="48"/>
      <c r="C273" s="48"/>
      <c r="D273" s="47"/>
      <c r="E273" s="48"/>
    </row>
    <row r="274" ht="15.75" customHeight="1">
      <c r="A274" s="48"/>
      <c r="B274" s="48"/>
      <c r="C274" s="48"/>
      <c r="D274" s="47"/>
      <c r="E274" s="48"/>
    </row>
    <row r="275" ht="15.75" customHeight="1">
      <c r="A275" s="48"/>
      <c r="B275" s="48"/>
      <c r="C275" s="48"/>
      <c r="D275" s="47"/>
      <c r="E275" s="48"/>
    </row>
    <row r="276" ht="15.75" customHeight="1">
      <c r="A276" s="48"/>
      <c r="B276" s="48"/>
      <c r="C276" s="48"/>
      <c r="D276" s="47"/>
      <c r="E276" s="48"/>
    </row>
    <row r="277" ht="15.75" customHeight="1">
      <c r="A277" s="48"/>
      <c r="B277" s="48"/>
      <c r="C277" s="48"/>
      <c r="D277" s="47"/>
      <c r="E277" s="48"/>
    </row>
    <row r="278" ht="15.75" customHeight="1">
      <c r="A278" s="48"/>
      <c r="B278" s="48"/>
      <c r="C278" s="48"/>
      <c r="D278" s="47"/>
      <c r="E278" s="48"/>
    </row>
    <row r="279" ht="15.75" customHeight="1">
      <c r="A279" s="48"/>
      <c r="B279" s="48"/>
      <c r="C279" s="48"/>
      <c r="D279" s="47"/>
      <c r="E279" s="48"/>
    </row>
    <row r="280" ht="15.75" customHeight="1">
      <c r="A280" s="48"/>
      <c r="B280" s="48"/>
      <c r="C280" s="48"/>
      <c r="D280" s="47"/>
      <c r="E280" s="48"/>
    </row>
    <row r="281" ht="15.75" customHeight="1">
      <c r="A281" s="48"/>
      <c r="B281" s="48"/>
      <c r="C281" s="48"/>
      <c r="D281" s="47"/>
      <c r="E281" s="48"/>
    </row>
    <row r="282" ht="15.75" customHeight="1">
      <c r="A282" s="48"/>
      <c r="B282" s="48"/>
      <c r="C282" s="48"/>
      <c r="D282" s="47"/>
      <c r="E282" s="48"/>
    </row>
    <row r="283" ht="15.75" customHeight="1">
      <c r="A283" s="48"/>
      <c r="B283" s="48"/>
      <c r="C283" s="48"/>
      <c r="D283" s="47"/>
      <c r="E283" s="48"/>
    </row>
    <row r="284" ht="15.75" customHeight="1">
      <c r="A284" s="48"/>
      <c r="B284" s="48"/>
      <c r="C284" s="48"/>
      <c r="D284" s="47"/>
      <c r="E284" s="48"/>
    </row>
    <row r="285" ht="15.75" customHeight="1">
      <c r="A285" s="48"/>
      <c r="B285" s="48"/>
      <c r="C285" s="48"/>
      <c r="D285" s="47"/>
      <c r="E285" s="48"/>
    </row>
    <row r="286" ht="15.75" customHeight="1">
      <c r="A286" s="48"/>
      <c r="B286" s="48"/>
      <c r="C286" s="48"/>
      <c r="D286" s="47"/>
      <c r="E286" s="48"/>
    </row>
    <row r="287" ht="15.75" customHeight="1">
      <c r="A287" s="48"/>
      <c r="B287" s="48"/>
      <c r="C287" s="48"/>
      <c r="D287" s="47"/>
      <c r="E287" s="48"/>
    </row>
    <row r="288" ht="15.75" customHeight="1">
      <c r="A288" s="48"/>
      <c r="B288" s="48"/>
      <c r="C288" s="48"/>
      <c r="D288" s="47"/>
      <c r="E288" s="48"/>
    </row>
    <row r="289" ht="15.75" customHeight="1">
      <c r="A289" s="48"/>
      <c r="B289" s="48"/>
      <c r="C289" s="48"/>
      <c r="D289" s="47"/>
      <c r="E289" s="48"/>
    </row>
    <row r="290" ht="15.75" customHeight="1">
      <c r="A290" s="48"/>
      <c r="B290" s="48"/>
      <c r="C290" s="48"/>
      <c r="D290" s="47"/>
      <c r="E290" s="48"/>
    </row>
    <row r="291" ht="15.75" customHeight="1">
      <c r="A291" s="48"/>
      <c r="B291" s="48"/>
      <c r="C291" s="48"/>
      <c r="D291" s="47"/>
      <c r="E291" s="48"/>
    </row>
    <row r="292" ht="15.75" customHeight="1">
      <c r="A292" s="48"/>
      <c r="B292" s="48"/>
      <c r="C292" s="48"/>
      <c r="D292" s="47"/>
      <c r="E292" s="48"/>
    </row>
    <row r="293" ht="15.75" customHeight="1">
      <c r="A293" s="48"/>
      <c r="B293" s="48"/>
      <c r="C293" s="48"/>
      <c r="D293" s="47"/>
      <c r="E293" s="48"/>
    </row>
    <row r="294" ht="15.75" customHeight="1">
      <c r="A294" s="48"/>
      <c r="B294" s="48"/>
      <c r="C294" s="48"/>
      <c r="D294" s="47"/>
      <c r="E294" s="48"/>
    </row>
    <row r="295" ht="15.75" customHeight="1">
      <c r="A295" s="48"/>
      <c r="B295" s="48"/>
      <c r="C295" s="48"/>
      <c r="D295" s="47"/>
      <c r="E295" s="48"/>
    </row>
    <row r="296" ht="15.75" customHeight="1">
      <c r="A296" s="48"/>
      <c r="B296" s="48"/>
      <c r="C296" s="48"/>
      <c r="D296" s="47"/>
      <c r="E296" s="48"/>
    </row>
    <row r="297" ht="15.75" customHeight="1">
      <c r="A297" s="48"/>
      <c r="B297" s="48"/>
      <c r="C297" s="48"/>
      <c r="D297" s="47"/>
      <c r="E297" s="48"/>
    </row>
    <row r="298" ht="15.75" customHeight="1">
      <c r="A298" s="48"/>
      <c r="B298" s="48"/>
      <c r="C298" s="48"/>
      <c r="D298" s="47"/>
      <c r="E298" s="48"/>
    </row>
    <row r="299" ht="15.75" customHeight="1">
      <c r="A299" s="48"/>
      <c r="B299" s="48"/>
      <c r="C299" s="48"/>
      <c r="D299" s="47"/>
      <c r="E299" s="48"/>
    </row>
    <row r="300" ht="15.75" customHeight="1">
      <c r="A300" s="48"/>
      <c r="B300" s="48"/>
      <c r="C300" s="48"/>
      <c r="D300" s="47"/>
      <c r="E300" s="48"/>
    </row>
    <row r="301" ht="15.75" customHeight="1">
      <c r="A301" s="48"/>
      <c r="B301" s="48"/>
      <c r="C301" s="48"/>
      <c r="D301" s="47"/>
      <c r="E301" s="48"/>
    </row>
    <row r="302" ht="15.75" customHeight="1">
      <c r="A302" s="48"/>
      <c r="B302" s="48"/>
      <c r="C302" s="48"/>
      <c r="D302" s="47"/>
      <c r="E302" s="48"/>
    </row>
    <row r="303" ht="15.75" customHeight="1">
      <c r="A303" s="48"/>
      <c r="B303" s="48"/>
      <c r="C303" s="48"/>
      <c r="D303" s="47"/>
      <c r="E303" s="48"/>
    </row>
    <row r="304" ht="15.75" customHeight="1">
      <c r="A304" s="48"/>
      <c r="B304" s="48"/>
      <c r="C304" s="48"/>
      <c r="D304" s="47"/>
      <c r="E304" s="48"/>
    </row>
    <row r="305" ht="15.75" customHeight="1">
      <c r="A305" s="48"/>
      <c r="B305" s="48"/>
      <c r="C305" s="48"/>
      <c r="D305" s="47"/>
      <c r="E305" s="48"/>
    </row>
    <row r="306" ht="15.75" customHeight="1">
      <c r="A306" s="48"/>
      <c r="B306" s="48"/>
      <c r="C306" s="48"/>
      <c r="D306" s="47"/>
      <c r="E306" s="48"/>
    </row>
    <row r="307" ht="15.75" customHeight="1">
      <c r="A307" s="48"/>
      <c r="B307" s="48"/>
      <c r="C307" s="48"/>
      <c r="D307" s="47"/>
      <c r="E307" s="48"/>
    </row>
    <row r="308" ht="15.75" customHeight="1">
      <c r="A308" s="48"/>
      <c r="B308" s="48"/>
      <c r="C308" s="48"/>
      <c r="D308" s="47"/>
      <c r="E308" s="48"/>
    </row>
    <row r="309" ht="15.75" customHeight="1">
      <c r="A309" s="48"/>
      <c r="B309" s="48"/>
      <c r="C309" s="48"/>
      <c r="D309" s="47"/>
      <c r="E309" s="48"/>
    </row>
    <row r="310" ht="15.75" customHeight="1">
      <c r="A310" s="48"/>
      <c r="B310" s="48"/>
      <c r="C310" s="48"/>
      <c r="D310" s="47"/>
      <c r="E310" s="48"/>
    </row>
    <row r="311" ht="15.75" customHeight="1">
      <c r="A311" s="48"/>
      <c r="B311" s="48"/>
      <c r="C311" s="48"/>
      <c r="D311" s="47"/>
      <c r="E311" s="48"/>
    </row>
    <row r="312" ht="15.75" customHeight="1">
      <c r="A312" s="48"/>
      <c r="B312" s="48"/>
      <c r="C312" s="48"/>
      <c r="D312" s="47"/>
      <c r="E312" s="48"/>
    </row>
    <row r="313" ht="15.75" customHeight="1">
      <c r="A313" s="48"/>
      <c r="B313" s="48"/>
      <c r="C313" s="48"/>
      <c r="D313" s="47"/>
      <c r="E313" s="48"/>
    </row>
    <row r="314" ht="15.75" customHeight="1">
      <c r="A314" s="48"/>
      <c r="B314" s="48"/>
      <c r="C314" s="48"/>
      <c r="D314" s="47"/>
      <c r="E314" s="48"/>
    </row>
    <row r="315" ht="15.75" customHeight="1">
      <c r="A315" s="48"/>
      <c r="B315" s="48"/>
      <c r="C315" s="48"/>
      <c r="D315" s="47"/>
      <c r="E315" s="48"/>
    </row>
    <row r="316" ht="15.75" customHeight="1">
      <c r="A316" s="48"/>
      <c r="B316" s="48"/>
      <c r="C316" s="48"/>
      <c r="D316" s="47"/>
      <c r="E316" s="48"/>
    </row>
    <row r="317" ht="15.75" customHeight="1">
      <c r="A317" s="48"/>
      <c r="B317" s="48"/>
      <c r="C317" s="48"/>
      <c r="D317" s="47"/>
      <c r="E317" s="48"/>
    </row>
    <row r="318" ht="15.75" customHeight="1">
      <c r="A318" s="48"/>
      <c r="B318" s="48"/>
      <c r="C318" s="48"/>
      <c r="D318" s="47"/>
      <c r="E318" s="48"/>
    </row>
    <row r="319" ht="15.75" customHeight="1">
      <c r="A319" s="48"/>
      <c r="B319" s="48"/>
      <c r="C319" s="48"/>
      <c r="D319" s="47"/>
      <c r="E319" s="48"/>
    </row>
    <row r="320" ht="15.75" customHeight="1">
      <c r="A320" s="48"/>
      <c r="B320" s="48"/>
      <c r="C320" s="48"/>
      <c r="D320" s="47"/>
      <c r="E320" s="48"/>
    </row>
    <row r="321" ht="15.75" customHeight="1">
      <c r="A321" s="48"/>
      <c r="B321" s="48"/>
      <c r="C321" s="48"/>
      <c r="D321" s="47"/>
      <c r="E321" s="48"/>
    </row>
    <row r="322" ht="15.75" customHeight="1">
      <c r="A322" s="48"/>
      <c r="B322" s="48"/>
      <c r="C322" s="48"/>
      <c r="D322" s="47"/>
      <c r="E322" s="48"/>
    </row>
    <row r="323" ht="15.75" customHeight="1">
      <c r="A323" s="48"/>
      <c r="B323" s="48"/>
      <c r="C323" s="48"/>
      <c r="D323" s="47"/>
      <c r="E323" s="48"/>
    </row>
    <row r="324" ht="15.75" customHeight="1">
      <c r="A324" s="48"/>
      <c r="B324" s="48"/>
      <c r="C324" s="48"/>
      <c r="D324" s="47"/>
      <c r="E324" s="48"/>
    </row>
    <row r="325" ht="15.75" customHeight="1">
      <c r="A325" s="48"/>
      <c r="B325" s="48"/>
      <c r="C325" s="48"/>
      <c r="D325" s="47"/>
      <c r="E325" s="48"/>
    </row>
    <row r="326" ht="15.75" customHeight="1">
      <c r="A326" s="48"/>
      <c r="B326" s="48"/>
      <c r="C326" s="48"/>
      <c r="D326" s="47"/>
      <c r="E326" s="48"/>
    </row>
    <row r="327" ht="15.75" customHeight="1">
      <c r="A327" s="48"/>
      <c r="B327" s="48"/>
      <c r="C327" s="48"/>
      <c r="D327" s="47"/>
      <c r="E327" s="48"/>
    </row>
    <row r="328" ht="15.75" customHeight="1">
      <c r="A328" s="48"/>
      <c r="B328" s="48"/>
      <c r="C328" s="48"/>
      <c r="D328" s="47"/>
      <c r="E328" s="48"/>
    </row>
    <row r="329" ht="15.75" customHeight="1">
      <c r="A329" s="48"/>
      <c r="B329" s="48"/>
      <c r="C329" s="48"/>
      <c r="D329" s="47"/>
      <c r="E329" s="48"/>
    </row>
    <row r="330" ht="15.75" customHeight="1">
      <c r="A330" s="48"/>
      <c r="B330" s="48"/>
      <c r="C330" s="48"/>
      <c r="D330" s="47"/>
      <c r="E330" s="48"/>
    </row>
    <row r="331" ht="15.75" customHeight="1">
      <c r="A331" s="48"/>
      <c r="B331" s="48"/>
      <c r="C331" s="48"/>
      <c r="D331" s="47"/>
      <c r="E331" s="48"/>
    </row>
    <row r="332" ht="15.75" customHeight="1">
      <c r="A332" s="48"/>
      <c r="B332" s="48"/>
      <c r="C332" s="48"/>
      <c r="D332" s="47"/>
      <c r="E332" s="48"/>
    </row>
    <row r="333" ht="15.75" customHeight="1">
      <c r="A333" s="48"/>
      <c r="B333" s="48"/>
      <c r="C333" s="48"/>
      <c r="D333" s="47"/>
      <c r="E333" s="48"/>
    </row>
    <row r="334" ht="15.75" customHeight="1">
      <c r="A334" s="48"/>
      <c r="B334" s="48"/>
      <c r="C334" s="48"/>
      <c r="D334" s="47"/>
      <c r="E334" s="48"/>
    </row>
    <row r="335" ht="15.75" customHeight="1">
      <c r="A335" s="48"/>
      <c r="B335" s="48"/>
      <c r="C335" s="48"/>
      <c r="D335" s="47"/>
      <c r="E335" s="48"/>
    </row>
    <row r="336" ht="15.75" customHeight="1">
      <c r="A336" s="48"/>
      <c r="B336" s="48"/>
      <c r="C336" s="48"/>
      <c r="D336" s="47"/>
      <c r="E336" s="48"/>
    </row>
    <row r="337" ht="15.75" customHeight="1">
      <c r="A337" s="48"/>
      <c r="B337" s="48"/>
      <c r="C337" s="48"/>
      <c r="D337" s="47"/>
      <c r="E337" s="48"/>
    </row>
    <row r="338" ht="15.75" customHeight="1">
      <c r="A338" s="48"/>
      <c r="B338" s="48"/>
      <c r="C338" s="48"/>
      <c r="D338" s="47"/>
      <c r="E338" s="48"/>
    </row>
    <row r="339" ht="15.75" customHeight="1">
      <c r="A339" s="48"/>
      <c r="B339" s="48"/>
      <c r="C339" s="48"/>
      <c r="D339" s="47"/>
      <c r="E339" s="48"/>
    </row>
    <row r="340" ht="15.75" customHeight="1">
      <c r="A340" s="48"/>
      <c r="B340" s="48"/>
      <c r="C340" s="48"/>
      <c r="D340" s="47"/>
      <c r="E340" s="48"/>
    </row>
    <row r="341" ht="15.75" customHeight="1">
      <c r="A341" s="48"/>
      <c r="B341" s="48"/>
      <c r="C341" s="48"/>
      <c r="D341" s="47"/>
      <c r="E341" s="48"/>
    </row>
    <row r="342" ht="15.75" customHeight="1">
      <c r="A342" s="48"/>
      <c r="B342" s="48"/>
      <c r="C342" s="48"/>
      <c r="D342" s="47"/>
      <c r="E342" s="48"/>
    </row>
    <row r="343" ht="15.75" customHeight="1">
      <c r="A343" s="48"/>
      <c r="B343" s="48"/>
      <c r="C343" s="48"/>
      <c r="D343" s="47"/>
      <c r="E343" s="48"/>
    </row>
    <row r="344" ht="15.75" customHeight="1">
      <c r="A344" s="48"/>
      <c r="B344" s="48"/>
      <c r="C344" s="48"/>
      <c r="D344" s="47"/>
      <c r="E344" s="48"/>
    </row>
    <row r="345" ht="15.75" customHeight="1">
      <c r="A345" s="48"/>
      <c r="B345" s="48"/>
      <c r="C345" s="48"/>
      <c r="D345" s="47"/>
      <c r="E345" s="48"/>
    </row>
    <row r="346" ht="15.75" customHeight="1">
      <c r="A346" s="48"/>
      <c r="B346" s="48"/>
      <c r="C346" s="48"/>
      <c r="D346" s="47"/>
      <c r="E346" s="48"/>
    </row>
    <row r="347" ht="15.75" customHeight="1">
      <c r="A347" s="48"/>
      <c r="B347" s="48"/>
      <c r="C347" s="48"/>
      <c r="D347" s="47"/>
      <c r="E347" s="48"/>
    </row>
    <row r="348" ht="15.75" customHeight="1">
      <c r="A348" s="48"/>
      <c r="B348" s="48"/>
      <c r="C348" s="48"/>
      <c r="D348" s="47"/>
      <c r="E348" s="48"/>
    </row>
    <row r="349" ht="15.75" customHeight="1">
      <c r="A349" s="48"/>
      <c r="B349" s="48"/>
      <c r="C349" s="48"/>
      <c r="D349" s="47"/>
      <c r="E349" s="48"/>
    </row>
    <row r="350" ht="15.75" customHeight="1">
      <c r="A350" s="48"/>
      <c r="B350" s="48"/>
      <c r="C350" s="48"/>
      <c r="D350" s="47"/>
      <c r="E350" s="48"/>
    </row>
    <row r="351" ht="15.75" customHeight="1">
      <c r="A351" s="48"/>
      <c r="B351" s="48"/>
      <c r="C351" s="48"/>
      <c r="D351" s="47"/>
      <c r="E351" s="48"/>
    </row>
    <row r="352" ht="15.75" customHeight="1">
      <c r="A352" s="48"/>
      <c r="B352" s="48"/>
      <c r="C352" s="48"/>
      <c r="D352" s="47"/>
      <c r="E352" s="48"/>
    </row>
    <row r="353" ht="15.75" customHeight="1">
      <c r="A353" s="48"/>
      <c r="B353" s="48"/>
      <c r="C353" s="48"/>
      <c r="D353" s="47"/>
      <c r="E353" s="48"/>
    </row>
    <row r="354" ht="15.75" customHeight="1">
      <c r="A354" s="48"/>
      <c r="B354" s="48"/>
      <c r="C354" s="48"/>
      <c r="D354" s="47"/>
      <c r="E354" s="48"/>
    </row>
    <row r="355" ht="15.75" customHeight="1">
      <c r="A355" s="48"/>
      <c r="B355" s="48"/>
      <c r="C355" s="48"/>
      <c r="D355" s="47"/>
      <c r="E355" s="48"/>
    </row>
    <row r="356" ht="15.75" customHeight="1">
      <c r="A356" s="48"/>
      <c r="B356" s="48"/>
      <c r="C356" s="48"/>
      <c r="D356" s="47"/>
      <c r="E356" s="48"/>
    </row>
    <row r="357" ht="15.75" customHeight="1">
      <c r="A357" s="48"/>
      <c r="B357" s="48"/>
      <c r="C357" s="48"/>
      <c r="D357" s="47"/>
      <c r="E357" s="48"/>
    </row>
    <row r="358" ht="15.75" customHeight="1">
      <c r="A358" s="48"/>
      <c r="B358" s="48"/>
      <c r="C358" s="48"/>
      <c r="D358" s="47"/>
      <c r="E358" s="48"/>
    </row>
    <row r="359" ht="15.75" customHeight="1">
      <c r="A359" s="48"/>
      <c r="B359" s="48"/>
      <c r="C359" s="48"/>
      <c r="D359" s="47"/>
      <c r="E359" s="48"/>
    </row>
    <row r="360" ht="15.75" customHeight="1">
      <c r="A360" s="48"/>
      <c r="B360" s="48"/>
      <c r="C360" s="48"/>
      <c r="D360" s="47"/>
      <c r="E360" s="48"/>
    </row>
    <row r="361" ht="15.75" customHeight="1">
      <c r="A361" s="48"/>
      <c r="B361" s="48"/>
      <c r="C361" s="48"/>
      <c r="D361" s="47"/>
      <c r="E361" s="48"/>
    </row>
    <row r="362" ht="15.75" customHeight="1">
      <c r="A362" s="48"/>
      <c r="B362" s="48"/>
      <c r="C362" s="48"/>
      <c r="D362" s="47"/>
      <c r="E362" s="48"/>
    </row>
    <row r="363" ht="15.75" customHeight="1">
      <c r="A363" s="48"/>
      <c r="B363" s="48"/>
      <c r="C363" s="48"/>
      <c r="D363" s="47"/>
      <c r="E363" s="48"/>
    </row>
    <row r="364" ht="15.75" customHeight="1">
      <c r="A364" s="48"/>
      <c r="B364" s="48"/>
      <c r="C364" s="48"/>
      <c r="D364" s="47"/>
      <c r="E364" s="48"/>
    </row>
    <row r="365" ht="15.75" customHeight="1">
      <c r="A365" s="48"/>
      <c r="B365" s="48"/>
      <c r="C365" s="48"/>
      <c r="D365" s="47"/>
      <c r="E365" s="48"/>
    </row>
    <row r="366" ht="15.75" customHeight="1">
      <c r="A366" s="48"/>
      <c r="B366" s="48"/>
      <c r="C366" s="48"/>
      <c r="D366" s="47"/>
      <c r="E366" s="48"/>
    </row>
    <row r="367" ht="15.75" customHeight="1">
      <c r="A367" s="48"/>
      <c r="B367" s="48"/>
      <c r="C367" s="48"/>
      <c r="D367" s="47"/>
      <c r="E367" s="48"/>
    </row>
    <row r="368" ht="15.75" customHeight="1">
      <c r="A368" s="48"/>
      <c r="B368" s="48"/>
      <c r="C368" s="48"/>
      <c r="D368" s="47"/>
      <c r="E368" s="48"/>
    </row>
    <row r="369" ht="15.75" customHeight="1">
      <c r="A369" s="48"/>
      <c r="B369" s="48"/>
      <c r="C369" s="48"/>
      <c r="D369" s="47"/>
      <c r="E369" s="48"/>
    </row>
    <row r="370" ht="15.75" customHeight="1">
      <c r="A370" s="48"/>
      <c r="B370" s="48"/>
      <c r="C370" s="48"/>
      <c r="D370" s="47"/>
      <c r="E370" s="48"/>
    </row>
    <row r="371" ht="15.75" customHeight="1">
      <c r="A371" s="48"/>
      <c r="B371" s="48"/>
      <c r="C371" s="48"/>
      <c r="D371" s="47"/>
      <c r="E371" s="48"/>
    </row>
    <row r="372" ht="15.75" customHeight="1">
      <c r="A372" s="48"/>
      <c r="B372" s="48"/>
      <c r="C372" s="48"/>
      <c r="D372" s="47"/>
      <c r="E372" s="48"/>
    </row>
    <row r="373" ht="15.75" customHeight="1">
      <c r="A373" s="48"/>
      <c r="B373" s="48"/>
      <c r="C373" s="48"/>
      <c r="D373" s="47"/>
      <c r="E373" s="48"/>
    </row>
    <row r="374" ht="15.75" customHeight="1">
      <c r="A374" s="48"/>
      <c r="B374" s="48"/>
      <c r="C374" s="48"/>
      <c r="D374" s="47"/>
      <c r="E374" s="48"/>
    </row>
    <row r="375" ht="15.75" customHeight="1">
      <c r="A375" s="48"/>
      <c r="B375" s="48"/>
      <c r="C375" s="48"/>
      <c r="D375" s="47"/>
      <c r="E375" s="48"/>
    </row>
    <row r="376" ht="15.75" customHeight="1">
      <c r="A376" s="48"/>
      <c r="B376" s="48"/>
      <c r="C376" s="48"/>
      <c r="D376" s="47"/>
      <c r="E376" s="48"/>
    </row>
    <row r="377" ht="15.75" customHeight="1">
      <c r="A377" s="48"/>
      <c r="B377" s="48"/>
      <c r="C377" s="48"/>
      <c r="D377" s="47"/>
      <c r="E377" s="48"/>
    </row>
    <row r="378" ht="15.75" customHeight="1">
      <c r="A378" s="48"/>
      <c r="B378" s="48"/>
      <c r="C378" s="48"/>
      <c r="D378" s="47"/>
      <c r="E378" s="48"/>
    </row>
    <row r="379" ht="15.75" customHeight="1">
      <c r="A379" s="48"/>
      <c r="B379" s="48"/>
      <c r="C379" s="48"/>
      <c r="D379" s="47"/>
      <c r="E379" s="48"/>
    </row>
    <row r="380" ht="15.75" customHeight="1">
      <c r="A380" s="48"/>
      <c r="B380" s="48"/>
      <c r="C380" s="48"/>
      <c r="D380" s="47"/>
      <c r="E380" s="48"/>
    </row>
    <row r="381" ht="15.75" customHeight="1">
      <c r="A381" s="48"/>
      <c r="B381" s="48"/>
      <c r="C381" s="48"/>
      <c r="D381" s="47"/>
      <c r="E381" s="48"/>
    </row>
    <row r="382" ht="15.75" customHeight="1">
      <c r="A382" s="48"/>
      <c r="B382" s="48"/>
      <c r="C382" s="48"/>
      <c r="D382" s="47"/>
      <c r="E382" s="48"/>
    </row>
    <row r="383" ht="15.75" customHeight="1">
      <c r="A383" s="48"/>
      <c r="B383" s="48"/>
      <c r="C383" s="48"/>
      <c r="D383" s="47"/>
      <c r="E383" s="48"/>
    </row>
    <row r="384" ht="15.75" customHeight="1">
      <c r="A384" s="48"/>
      <c r="B384" s="48"/>
      <c r="C384" s="48"/>
      <c r="D384" s="47"/>
      <c r="E384" s="48"/>
    </row>
    <row r="385" ht="15.75" customHeight="1">
      <c r="A385" s="48"/>
      <c r="B385" s="48"/>
      <c r="C385" s="48"/>
      <c r="D385" s="47"/>
      <c r="E385" s="48"/>
    </row>
    <row r="386" ht="15.75" customHeight="1">
      <c r="A386" s="48"/>
      <c r="B386" s="48"/>
      <c r="C386" s="48"/>
      <c r="D386" s="47"/>
      <c r="E386" s="48"/>
    </row>
    <row r="387" ht="15.75" customHeight="1">
      <c r="A387" s="48"/>
      <c r="B387" s="48"/>
      <c r="C387" s="48"/>
      <c r="D387" s="47"/>
      <c r="E387" s="48"/>
    </row>
    <row r="388" ht="15.75" customHeight="1">
      <c r="A388" s="48"/>
      <c r="B388" s="48"/>
      <c r="C388" s="48"/>
      <c r="D388" s="47"/>
      <c r="E388" s="48"/>
    </row>
    <row r="389" ht="15.75" customHeight="1">
      <c r="A389" s="48"/>
      <c r="B389" s="48"/>
      <c r="C389" s="48"/>
      <c r="D389" s="47"/>
      <c r="E389" s="48"/>
    </row>
    <row r="390" ht="15.75" customHeight="1">
      <c r="A390" s="48"/>
      <c r="B390" s="48"/>
      <c r="C390" s="48"/>
      <c r="D390" s="47"/>
      <c r="E390" s="48"/>
    </row>
    <row r="391" ht="15.75" customHeight="1">
      <c r="A391" s="48"/>
      <c r="B391" s="48"/>
      <c r="C391" s="48"/>
      <c r="D391" s="47"/>
      <c r="E391" s="48"/>
    </row>
    <row r="392" ht="15.75" customHeight="1">
      <c r="A392" s="48"/>
      <c r="B392" s="48"/>
      <c r="C392" s="48"/>
      <c r="D392" s="47"/>
      <c r="E392" s="48"/>
    </row>
    <row r="393" ht="15.75" customHeight="1">
      <c r="A393" s="48"/>
      <c r="B393" s="48"/>
      <c r="C393" s="48"/>
      <c r="D393" s="47"/>
      <c r="E393" s="48"/>
    </row>
    <row r="394" ht="15.75" customHeight="1">
      <c r="A394" s="48"/>
      <c r="B394" s="48"/>
      <c r="C394" s="48"/>
      <c r="D394" s="47"/>
      <c r="E394" s="48"/>
    </row>
    <row r="395" ht="15.75" customHeight="1">
      <c r="A395" s="48"/>
      <c r="B395" s="48"/>
      <c r="C395" s="48"/>
      <c r="D395" s="47"/>
      <c r="E395" s="48"/>
    </row>
    <row r="396" ht="15.75" customHeight="1">
      <c r="A396" s="48"/>
      <c r="B396" s="48"/>
      <c r="C396" s="48"/>
      <c r="D396" s="47"/>
      <c r="E396" s="48"/>
    </row>
    <row r="397" ht="15.75" customHeight="1">
      <c r="A397" s="48"/>
      <c r="B397" s="48"/>
      <c r="C397" s="48"/>
      <c r="D397" s="47"/>
      <c r="E397" s="48"/>
    </row>
    <row r="398" ht="15.75" customHeight="1">
      <c r="A398" s="48"/>
      <c r="B398" s="48"/>
      <c r="C398" s="48"/>
      <c r="D398" s="47"/>
      <c r="E398" s="48"/>
    </row>
    <row r="399" ht="15.75" customHeight="1">
      <c r="A399" s="48"/>
      <c r="B399" s="48"/>
      <c r="C399" s="48"/>
      <c r="D399" s="47"/>
      <c r="E399" s="48"/>
    </row>
    <row r="400" ht="15.75" customHeight="1">
      <c r="A400" s="48"/>
      <c r="B400" s="48"/>
      <c r="C400" s="48"/>
      <c r="D400" s="47"/>
      <c r="E400" s="48"/>
    </row>
    <row r="401" ht="15.75" customHeight="1">
      <c r="A401" s="48"/>
      <c r="B401" s="48"/>
      <c r="C401" s="48"/>
      <c r="D401" s="47"/>
      <c r="E401" s="48"/>
    </row>
    <row r="402" ht="15.75" customHeight="1">
      <c r="A402" s="48"/>
      <c r="B402" s="48"/>
      <c r="C402" s="48"/>
      <c r="D402" s="47"/>
      <c r="E402" s="48"/>
    </row>
    <row r="403" ht="15.75" customHeight="1">
      <c r="A403" s="48"/>
      <c r="B403" s="48"/>
      <c r="C403" s="48"/>
      <c r="D403" s="47"/>
      <c r="E403" s="48"/>
    </row>
    <row r="404" ht="15.75" customHeight="1">
      <c r="A404" s="48"/>
      <c r="B404" s="48"/>
      <c r="C404" s="48"/>
      <c r="D404" s="47"/>
      <c r="E404" s="48"/>
    </row>
    <row r="405" ht="15.75" customHeight="1">
      <c r="A405" s="48"/>
      <c r="B405" s="48"/>
      <c r="C405" s="48"/>
      <c r="D405" s="47"/>
      <c r="E405" s="48"/>
    </row>
    <row r="406" ht="15.75" customHeight="1">
      <c r="A406" s="48"/>
      <c r="B406" s="48"/>
      <c r="C406" s="48"/>
      <c r="D406" s="47"/>
      <c r="E406" s="48"/>
    </row>
    <row r="407" ht="15.75" customHeight="1">
      <c r="A407" s="48"/>
      <c r="B407" s="48"/>
      <c r="C407" s="48"/>
      <c r="D407" s="47"/>
      <c r="E407" s="48"/>
    </row>
    <row r="408" ht="15.75" customHeight="1">
      <c r="A408" s="48"/>
      <c r="B408" s="48"/>
      <c r="C408" s="48"/>
      <c r="D408" s="47"/>
      <c r="E408" s="48"/>
    </row>
    <row r="409" ht="15.75" customHeight="1">
      <c r="A409" s="48"/>
      <c r="B409" s="48"/>
      <c r="C409" s="48"/>
      <c r="D409" s="47"/>
      <c r="E409" s="48"/>
    </row>
    <row r="410" ht="15.75" customHeight="1">
      <c r="A410" s="48"/>
      <c r="B410" s="48"/>
      <c r="C410" s="48"/>
      <c r="D410" s="47"/>
      <c r="E410" s="48"/>
    </row>
    <row r="411" ht="15.75" customHeight="1">
      <c r="A411" s="48"/>
      <c r="B411" s="48"/>
      <c r="C411" s="48"/>
      <c r="D411" s="47"/>
      <c r="E411" s="48"/>
    </row>
    <row r="412" ht="15.75" customHeight="1">
      <c r="A412" s="48"/>
      <c r="B412" s="48"/>
      <c r="C412" s="48"/>
      <c r="D412" s="47"/>
      <c r="E412" s="48"/>
    </row>
    <row r="413" ht="15.75" customHeight="1">
      <c r="A413" s="48"/>
      <c r="B413" s="48"/>
      <c r="C413" s="48"/>
      <c r="D413" s="47"/>
      <c r="E413" s="48"/>
    </row>
    <row r="414" ht="15.75" customHeight="1">
      <c r="A414" s="48"/>
      <c r="B414" s="48"/>
      <c r="C414" s="48"/>
      <c r="D414" s="47"/>
      <c r="E414" s="48"/>
    </row>
    <row r="415" ht="15.75" customHeight="1">
      <c r="A415" s="48"/>
      <c r="B415" s="48"/>
      <c r="C415" s="48"/>
      <c r="D415" s="47"/>
      <c r="E415" s="48"/>
    </row>
    <row r="416" ht="15.75" customHeight="1">
      <c r="A416" s="48"/>
      <c r="B416" s="48"/>
      <c r="C416" s="48"/>
      <c r="D416" s="47"/>
      <c r="E416" s="48"/>
    </row>
    <row r="417" ht="15.75" customHeight="1">
      <c r="A417" s="48"/>
      <c r="B417" s="48"/>
      <c r="C417" s="48"/>
      <c r="D417" s="47"/>
      <c r="E417" s="48"/>
    </row>
    <row r="418" ht="15.75" customHeight="1">
      <c r="A418" s="48"/>
      <c r="B418" s="48"/>
      <c r="C418" s="48"/>
      <c r="D418" s="47"/>
      <c r="E418" s="48"/>
    </row>
    <row r="419" ht="15.75" customHeight="1">
      <c r="A419" s="48"/>
      <c r="B419" s="48"/>
      <c r="C419" s="48"/>
      <c r="D419" s="47"/>
      <c r="E419" s="48"/>
    </row>
    <row r="420" ht="15.75" customHeight="1">
      <c r="A420" s="48"/>
      <c r="B420" s="48"/>
      <c r="C420" s="48"/>
      <c r="D420" s="47"/>
      <c r="E420" s="48"/>
    </row>
    <row r="421" ht="15.75" customHeight="1">
      <c r="A421" s="48"/>
      <c r="B421" s="48"/>
      <c r="C421" s="48"/>
      <c r="D421" s="47"/>
      <c r="E421" s="48"/>
    </row>
    <row r="422" ht="15.75" customHeight="1">
      <c r="A422" s="48"/>
      <c r="B422" s="48"/>
      <c r="C422" s="48"/>
      <c r="D422" s="47"/>
      <c r="E422" s="48"/>
    </row>
    <row r="423" ht="15.75" customHeight="1">
      <c r="A423" s="48"/>
      <c r="B423" s="48"/>
      <c r="C423" s="48"/>
      <c r="D423" s="47"/>
      <c r="E423" s="48"/>
    </row>
    <row r="424" ht="15.75" customHeight="1">
      <c r="A424" s="48"/>
      <c r="B424" s="48"/>
      <c r="C424" s="48"/>
      <c r="D424" s="47"/>
      <c r="E424" s="48"/>
    </row>
    <row r="425" ht="15.75" customHeight="1">
      <c r="A425" s="48"/>
      <c r="B425" s="48"/>
      <c r="C425" s="48"/>
      <c r="D425" s="47"/>
      <c r="E425" s="48"/>
    </row>
    <row r="426" ht="15.75" customHeight="1">
      <c r="A426" s="48"/>
      <c r="B426" s="48"/>
      <c r="C426" s="48"/>
      <c r="D426" s="47"/>
      <c r="E426" s="48"/>
    </row>
    <row r="427" ht="15.75" customHeight="1">
      <c r="A427" s="48"/>
      <c r="B427" s="48"/>
      <c r="C427" s="48"/>
      <c r="D427" s="47"/>
      <c r="E427" s="48"/>
    </row>
    <row r="428" ht="15.75" customHeight="1">
      <c r="A428" s="48"/>
      <c r="B428" s="48"/>
      <c r="C428" s="48"/>
      <c r="D428" s="47"/>
      <c r="E428" s="48"/>
    </row>
    <row r="429" ht="15.75" customHeight="1">
      <c r="A429" s="48"/>
      <c r="B429" s="48"/>
      <c r="C429" s="48"/>
      <c r="D429" s="47"/>
      <c r="E429" s="48"/>
    </row>
    <row r="430" ht="15.75" customHeight="1">
      <c r="A430" s="48"/>
      <c r="B430" s="48"/>
      <c r="C430" s="48"/>
      <c r="D430" s="47"/>
      <c r="E430" s="48"/>
    </row>
    <row r="431" ht="15.75" customHeight="1">
      <c r="A431" s="48"/>
      <c r="B431" s="48"/>
      <c r="C431" s="48"/>
      <c r="D431" s="47"/>
      <c r="E431" s="48"/>
    </row>
    <row r="432" ht="15.75" customHeight="1">
      <c r="A432" s="48"/>
      <c r="B432" s="48"/>
      <c r="C432" s="48"/>
      <c r="D432" s="47"/>
      <c r="E432" s="48"/>
    </row>
    <row r="433" ht="15.75" customHeight="1">
      <c r="A433" s="48"/>
      <c r="B433" s="48"/>
      <c r="C433" s="48"/>
      <c r="D433" s="47"/>
      <c r="E433" s="48"/>
    </row>
    <row r="434" ht="15.75" customHeight="1">
      <c r="A434" s="48"/>
      <c r="B434" s="48"/>
      <c r="C434" s="48"/>
      <c r="D434" s="47"/>
      <c r="E434" s="48"/>
    </row>
    <row r="435" ht="15.75" customHeight="1">
      <c r="A435" s="48"/>
      <c r="B435" s="48"/>
      <c r="C435" s="48"/>
      <c r="D435" s="47"/>
      <c r="E435" s="48"/>
    </row>
    <row r="436" ht="15.75" customHeight="1">
      <c r="A436" s="48"/>
      <c r="B436" s="48"/>
      <c r="C436" s="48"/>
      <c r="D436" s="47"/>
      <c r="E436" s="48"/>
    </row>
    <row r="437" ht="15.75" customHeight="1">
      <c r="A437" s="48"/>
      <c r="B437" s="48"/>
      <c r="C437" s="48"/>
      <c r="D437" s="47"/>
      <c r="E437" s="48"/>
    </row>
    <row r="438" ht="15.75" customHeight="1">
      <c r="A438" s="48"/>
      <c r="B438" s="48"/>
      <c r="C438" s="48"/>
      <c r="D438" s="47"/>
      <c r="E438" s="48"/>
    </row>
    <row r="439" ht="15.75" customHeight="1">
      <c r="A439" s="48"/>
      <c r="B439" s="48"/>
      <c r="C439" s="48"/>
      <c r="D439" s="47"/>
      <c r="E439" s="48"/>
    </row>
    <row r="440" ht="15.75" customHeight="1">
      <c r="A440" s="48"/>
      <c r="B440" s="48"/>
      <c r="C440" s="48"/>
      <c r="D440" s="47"/>
      <c r="E440" s="48"/>
    </row>
    <row r="441" ht="15.75" customHeight="1">
      <c r="A441" s="48"/>
      <c r="B441" s="48"/>
      <c r="C441" s="48"/>
      <c r="D441" s="47"/>
      <c r="E441" s="48"/>
    </row>
    <row r="442" ht="15.75" customHeight="1">
      <c r="A442" s="48"/>
      <c r="B442" s="48"/>
      <c r="C442" s="48"/>
      <c r="D442" s="47"/>
      <c r="E442" s="48"/>
    </row>
    <row r="443" ht="15.75" customHeight="1">
      <c r="A443" s="48"/>
      <c r="B443" s="48"/>
      <c r="C443" s="48"/>
      <c r="D443" s="47"/>
      <c r="E443" s="48"/>
    </row>
    <row r="444" ht="15.75" customHeight="1">
      <c r="A444" s="48"/>
      <c r="B444" s="48"/>
      <c r="C444" s="48"/>
      <c r="D444" s="47"/>
      <c r="E444" s="48"/>
    </row>
    <row r="445" ht="15.75" customHeight="1">
      <c r="A445" s="48"/>
      <c r="B445" s="48"/>
      <c r="C445" s="48"/>
      <c r="D445" s="47"/>
      <c r="E445" s="48"/>
    </row>
    <row r="446" ht="15.75" customHeight="1">
      <c r="A446" s="48"/>
      <c r="B446" s="48"/>
      <c r="C446" s="48"/>
      <c r="D446" s="47"/>
      <c r="E446" s="48"/>
    </row>
    <row r="447" ht="15.75" customHeight="1">
      <c r="A447" s="48"/>
      <c r="B447" s="48"/>
      <c r="C447" s="48"/>
      <c r="D447" s="47"/>
      <c r="E447" s="48"/>
    </row>
    <row r="448" ht="15.75" customHeight="1">
      <c r="A448" s="48"/>
      <c r="B448" s="48"/>
      <c r="C448" s="48"/>
      <c r="D448" s="47"/>
      <c r="E448" s="48"/>
    </row>
    <row r="449" ht="15.75" customHeight="1">
      <c r="A449" s="48"/>
      <c r="B449" s="48"/>
      <c r="C449" s="48"/>
      <c r="D449" s="47"/>
      <c r="E449" s="48"/>
    </row>
    <row r="450" ht="15.75" customHeight="1">
      <c r="A450" s="48"/>
      <c r="B450" s="48"/>
      <c r="C450" s="48"/>
      <c r="D450" s="47"/>
      <c r="E450" s="48"/>
    </row>
    <row r="451" ht="15.75" customHeight="1">
      <c r="A451" s="48"/>
      <c r="B451" s="48"/>
      <c r="C451" s="48"/>
      <c r="D451" s="47"/>
      <c r="E451" s="48"/>
    </row>
    <row r="452" ht="15.75" customHeight="1">
      <c r="A452" s="48"/>
      <c r="B452" s="48"/>
      <c r="C452" s="48"/>
      <c r="D452" s="47"/>
      <c r="E452" s="48"/>
    </row>
    <row r="453" ht="15.75" customHeight="1">
      <c r="A453" s="48"/>
      <c r="B453" s="48"/>
      <c r="C453" s="48"/>
      <c r="D453" s="47"/>
      <c r="E453" s="48"/>
    </row>
    <row r="454" ht="15.75" customHeight="1">
      <c r="A454" s="48"/>
      <c r="B454" s="48"/>
      <c r="C454" s="48"/>
      <c r="D454" s="47"/>
      <c r="E454" s="48"/>
    </row>
    <row r="455" ht="15.75" customHeight="1">
      <c r="A455" s="48"/>
      <c r="B455" s="48"/>
      <c r="C455" s="48"/>
      <c r="D455" s="47"/>
      <c r="E455" s="48"/>
    </row>
    <row r="456" ht="15.75" customHeight="1">
      <c r="A456" s="48"/>
      <c r="B456" s="48"/>
      <c r="C456" s="48"/>
      <c r="D456" s="47"/>
      <c r="E456" s="48"/>
    </row>
    <row r="457" ht="15.75" customHeight="1">
      <c r="A457" s="48"/>
      <c r="B457" s="48"/>
      <c r="C457" s="48"/>
      <c r="D457" s="47"/>
      <c r="E457" s="48"/>
    </row>
    <row r="458" ht="15.75" customHeight="1">
      <c r="A458" s="48"/>
      <c r="B458" s="48"/>
      <c r="C458" s="48"/>
      <c r="D458" s="47"/>
      <c r="E458" s="48"/>
    </row>
    <row r="459" ht="15.75" customHeight="1">
      <c r="A459" s="48"/>
      <c r="B459" s="48"/>
      <c r="C459" s="48"/>
      <c r="D459" s="47"/>
      <c r="E459" s="48"/>
    </row>
    <row r="460" ht="15.75" customHeight="1">
      <c r="A460" s="48"/>
      <c r="B460" s="48"/>
      <c r="C460" s="48"/>
      <c r="D460" s="47"/>
      <c r="E460" s="48"/>
    </row>
    <row r="461" ht="15.75" customHeight="1">
      <c r="A461" s="48"/>
      <c r="B461" s="48"/>
      <c r="C461" s="48"/>
      <c r="D461" s="47"/>
      <c r="E461" s="48"/>
    </row>
    <row r="462" ht="15.75" customHeight="1">
      <c r="A462" s="48"/>
      <c r="B462" s="48"/>
      <c r="C462" s="48"/>
      <c r="D462" s="47"/>
      <c r="E462" s="48"/>
    </row>
    <row r="463" ht="15.75" customHeight="1">
      <c r="A463" s="48"/>
      <c r="B463" s="48"/>
      <c r="C463" s="48"/>
      <c r="D463" s="47"/>
      <c r="E463" s="48"/>
    </row>
    <row r="464" ht="15.75" customHeight="1">
      <c r="A464" s="48"/>
      <c r="B464" s="48"/>
      <c r="C464" s="48"/>
      <c r="D464" s="47"/>
      <c r="E464" s="48"/>
    </row>
    <row r="465" ht="15.75" customHeight="1">
      <c r="A465" s="48"/>
      <c r="B465" s="48"/>
      <c r="C465" s="48"/>
      <c r="D465" s="47"/>
      <c r="E465" s="48"/>
    </row>
    <row r="466" ht="15.75" customHeight="1">
      <c r="A466" s="48"/>
      <c r="B466" s="48"/>
      <c r="C466" s="48"/>
      <c r="D466" s="47"/>
      <c r="E466" s="48"/>
    </row>
    <row r="467" ht="15.75" customHeight="1">
      <c r="A467" s="48"/>
      <c r="B467" s="48"/>
      <c r="C467" s="48"/>
      <c r="D467" s="47"/>
      <c r="E467" s="48"/>
    </row>
    <row r="468" ht="15.75" customHeight="1">
      <c r="A468" s="48"/>
      <c r="B468" s="48"/>
      <c r="C468" s="48"/>
      <c r="D468" s="47"/>
      <c r="E468" s="48"/>
    </row>
    <row r="469" ht="15.75" customHeight="1">
      <c r="A469" s="48"/>
      <c r="B469" s="48"/>
      <c r="C469" s="48"/>
      <c r="D469" s="47"/>
      <c r="E469" s="48"/>
    </row>
    <row r="470" ht="15.75" customHeight="1">
      <c r="A470" s="48"/>
      <c r="B470" s="48"/>
      <c r="C470" s="48"/>
      <c r="D470" s="47"/>
      <c r="E470" s="48"/>
    </row>
    <row r="471" ht="15.75" customHeight="1">
      <c r="A471" s="48"/>
      <c r="B471" s="48"/>
      <c r="C471" s="48"/>
      <c r="D471" s="47"/>
      <c r="E471" s="48"/>
    </row>
    <row r="472" ht="15.75" customHeight="1">
      <c r="A472" s="48"/>
      <c r="B472" s="48"/>
      <c r="C472" s="48"/>
      <c r="D472" s="47"/>
      <c r="E472" s="48"/>
    </row>
    <row r="473" ht="15.75" customHeight="1">
      <c r="A473" s="48"/>
      <c r="B473" s="48"/>
      <c r="C473" s="48"/>
      <c r="D473" s="47"/>
      <c r="E473" s="48"/>
    </row>
    <row r="474" ht="15.75" customHeight="1">
      <c r="A474" s="48"/>
      <c r="B474" s="48"/>
      <c r="C474" s="48"/>
      <c r="D474" s="47"/>
      <c r="E474" s="48"/>
    </row>
    <row r="475" ht="15.75" customHeight="1">
      <c r="A475" s="48"/>
      <c r="B475" s="48"/>
      <c r="C475" s="48"/>
      <c r="D475" s="47"/>
      <c r="E475" s="48"/>
    </row>
    <row r="476" ht="15.75" customHeight="1">
      <c r="A476" s="48"/>
      <c r="B476" s="48"/>
      <c r="C476" s="48"/>
      <c r="D476" s="47"/>
      <c r="E476" s="48"/>
    </row>
    <row r="477" ht="15.75" customHeight="1">
      <c r="A477" s="48"/>
      <c r="B477" s="48"/>
      <c r="C477" s="48"/>
      <c r="D477" s="47"/>
      <c r="E477" s="48"/>
    </row>
    <row r="478" ht="15.75" customHeight="1">
      <c r="A478" s="48"/>
      <c r="B478" s="48"/>
      <c r="C478" s="48"/>
      <c r="D478" s="47"/>
      <c r="E478" s="48"/>
    </row>
    <row r="479" ht="15.75" customHeight="1">
      <c r="A479" s="48"/>
      <c r="B479" s="48"/>
      <c r="C479" s="48"/>
      <c r="D479" s="47"/>
      <c r="E479" s="48"/>
    </row>
    <row r="480" ht="15.75" customHeight="1">
      <c r="A480" s="48"/>
      <c r="B480" s="48"/>
      <c r="C480" s="48"/>
      <c r="D480" s="47"/>
      <c r="E480" s="48"/>
    </row>
    <row r="481" ht="15.75" customHeight="1">
      <c r="A481" s="48"/>
      <c r="B481" s="48"/>
      <c r="C481" s="48"/>
      <c r="D481" s="47"/>
      <c r="E481" s="48"/>
    </row>
    <row r="482" ht="15.75" customHeight="1">
      <c r="A482" s="48"/>
      <c r="B482" s="48"/>
      <c r="C482" s="48"/>
      <c r="D482" s="47"/>
      <c r="E482" s="48"/>
    </row>
    <row r="483" ht="15.75" customHeight="1">
      <c r="A483" s="48"/>
      <c r="B483" s="48"/>
      <c r="C483" s="48"/>
      <c r="D483" s="47"/>
      <c r="E483" s="48"/>
    </row>
    <row r="484" ht="15.75" customHeight="1">
      <c r="A484" s="48"/>
      <c r="B484" s="48"/>
      <c r="C484" s="48"/>
      <c r="D484" s="47"/>
      <c r="E484" s="48"/>
    </row>
    <row r="485" ht="15.75" customHeight="1">
      <c r="A485" s="48"/>
      <c r="B485" s="48"/>
      <c r="C485" s="48"/>
      <c r="D485" s="47"/>
      <c r="E485" s="48"/>
    </row>
    <row r="486" ht="15.75" customHeight="1">
      <c r="A486" s="48"/>
      <c r="B486" s="48"/>
      <c r="C486" s="48"/>
      <c r="D486" s="47"/>
      <c r="E486" s="48"/>
    </row>
    <row r="487" ht="15.75" customHeight="1">
      <c r="A487" s="48"/>
      <c r="B487" s="48"/>
      <c r="C487" s="48"/>
      <c r="D487" s="47"/>
      <c r="E487" s="48"/>
    </row>
    <row r="488" ht="15.75" customHeight="1">
      <c r="A488" s="48"/>
      <c r="B488" s="48"/>
      <c r="C488" s="48"/>
      <c r="D488" s="47"/>
      <c r="E488" s="48"/>
    </row>
    <row r="489" ht="15.75" customHeight="1">
      <c r="A489" s="48"/>
      <c r="B489" s="48"/>
      <c r="C489" s="48"/>
      <c r="D489" s="47"/>
      <c r="E489" s="48"/>
    </row>
    <row r="490" ht="15.75" customHeight="1">
      <c r="A490" s="48"/>
      <c r="B490" s="48"/>
      <c r="C490" s="48"/>
      <c r="D490" s="47"/>
      <c r="E490" s="48"/>
    </row>
    <row r="491" ht="15.75" customHeight="1">
      <c r="A491" s="48"/>
      <c r="B491" s="48"/>
      <c r="C491" s="48"/>
      <c r="D491" s="47"/>
      <c r="E491" s="48"/>
    </row>
    <row r="492" ht="15.75" customHeight="1">
      <c r="A492" s="48"/>
      <c r="B492" s="48"/>
      <c r="C492" s="48"/>
      <c r="D492" s="47"/>
      <c r="E492" s="48"/>
    </row>
    <row r="493" ht="15.75" customHeight="1">
      <c r="A493" s="48"/>
      <c r="B493" s="48"/>
      <c r="C493" s="48"/>
      <c r="D493" s="47"/>
      <c r="E493" s="48"/>
    </row>
    <row r="494" ht="15.75" customHeight="1">
      <c r="A494" s="48"/>
      <c r="B494" s="48"/>
      <c r="C494" s="48"/>
      <c r="D494" s="47"/>
      <c r="E494" s="48"/>
    </row>
    <row r="495" ht="15.75" customHeight="1">
      <c r="A495" s="48"/>
      <c r="B495" s="48"/>
      <c r="C495" s="48"/>
      <c r="D495" s="47"/>
      <c r="E495" s="48"/>
    </row>
    <row r="496" ht="15.75" customHeight="1">
      <c r="A496" s="48"/>
      <c r="B496" s="48"/>
      <c r="C496" s="48"/>
      <c r="D496" s="47"/>
      <c r="E496" s="48"/>
    </row>
    <row r="497" ht="15.75" customHeight="1">
      <c r="A497" s="48"/>
      <c r="B497" s="48"/>
      <c r="C497" s="48"/>
      <c r="D497" s="47"/>
      <c r="E497" s="48"/>
    </row>
    <row r="498" ht="15.75" customHeight="1">
      <c r="A498" s="48"/>
      <c r="B498" s="48"/>
      <c r="C498" s="48"/>
      <c r="D498" s="47"/>
      <c r="E498" s="48"/>
    </row>
    <row r="499" ht="15.75" customHeight="1">
      <c r="A499" s="48"/>
      <c r="B499" s="48"/>
      <c r="C499" s="48"/>
      <c r="D499" s="47"/>
      <c r="E499" s="48"/>
    </row>
    <row r="500" ht="15.75" customHeight="1">
      <c r="A500" s="48"/>
      <c r="B500" s="48"/>
      <c r="C500" s="48"/>
      <c r="D500" s="47"/>
      <c r="E500" s="48"/>
    </row>
    <row r="501" ht="15.75" customHeight="1">
      <c r="A501" s="48"/>
      <c r="B501" s="48"/>
      <c r="C501" s="48"/>
      <c r="D501" s="47"/>
      <c r="E501" s="48"/>
    </row>
    <row r="502" ht="15.75" customHeight="1">
      <c r="A502" s="48"/>
      <c r="B502" s="48"/>
      <c r="C502" s="48"/>
      <c r="D502" s="47"/>
      <c r="E502" s="48"/>
    </row>
    <row r="503" ht="15.75" customHeight="1">
      <c r="A503" s="48"/>
      <c r="B503" s="48"/>
      <c r="C503" s="48"/>
      <c r="D503" s="47"/>
      <c r="E503" s="48"/>
    </row>
    <row r="504" ht="15.75" customHeight="1">
      <c r="A504" s="48"/>
      <c r="B504" s="48"/>
      <c r="C504" s="48"/>
      <c r="D504" s="47"/>
      <c r="E504" s="48"/>
    </row>
    <row r="505" ht="15.75" customHeight="1">
      <c r="A505" s="48"/>
      <c r="B505" s="48"/>
      <c r="C505" s="48"/>
      <c r="D505" s="47"/>
      <c r="E505" s="48"/>
    </row>
    <row r="506" ht="15.75" customHeight="1">
      <c r="A506" s="48"/>
      <c r="B506" s="48"/>
      <c r="C506" s="48"/>
      <c r="D506" s="47"/>
      <c r="E506" s="48"/>
    </row>
    <row r="507" ht="15.75" customHeight="1">
      <c r="A507" s="48"/>
      <c r="B507" s="48"/>
      <c r="C507" s="48"/>
      <c r="D507" s="47"/>
      <c r="E507" s="48"/>
    </row>
    <row r="508" ht="15.75" customHeight="1">
      <c r="A508" s="48"/>
      <c r="B508" s="48"/>
      <c r="C508" s="48"/>
      <c r="D508" s="47"/>
      <c r="E508" s="48"/>
    </row>
    <row r="509" ht="15.75" customHeight="1">
      <c r="A509" s="48"/>
      <c r="B509" s="48"/>
      <c r="C509" s="48"/>
      <c r="D509" s="47"/>
      <c r="E509" s="48"/>
    </row>
    <row r="510" ht="15.75" customHeight="1">
      <c r="A510" s="48"/>
      <c r="B510" s="48"/>
      <c r="C510" s="48"/>
      <c r="D510" s="47"/>
      <c r="E510" s="48"/>
    </row>
    <row r="511" ht="15.75" customHeight="1">
      <c r="A511" s="48"/>
      <c r="B511" s="48"/>
      <c r="C511" s="48"/>
      <c r="D511" s="47"/>
      <c r="E511" s="48"/>
    </row>
    <row r="512" ht="15.75" customHeight="1">
      <c r="A512" s="48"/>
      <c r="B512" s="48"/>
      <c r="C512" s="48"/>
      <c r="D512" s="47"/>
      <c r="E512" s="48"/>
    </row>
    <row r="513" ht="15.75" customHeight="1">
      <c r="A513" s="48"/>
      <c r="B513" s="48"/>
      <c r="C513" s="48"/>
      <c r="D513" s="47"/>
      <c r="E513" s="48"/>
    </row>
    <row r="514" ht="15.75" customHeight="1">
      <c r="A514" s="48"/>
      <c r="B514" s="48"/>
      <c r="C514" s="48"/>
      <c r="D514" s="47"/>
      <c r="E514" s="48"/>
    </row>
    <row r="515" ht="15.75" customHeight="1">
      <c r="A515" s="48"/>
      <c r="B515" s="48"/>
      <c r="C515" s="48"/>
      <c r="D515" s="47"/>
      <c r="E515" s="48"/>
    </row>
    <row r="516" ht="15.75" customHeight="1">
      <c r="A516" s="48"/>
      <c r="B516" s="48"/>
      <c r="C516" s="48"/>
      <c r="D516" s="47"/>
      <c r="E516" s="48"/>
    </row>
    <row r="517" ht="15.75" customHeight="1">
      <c r="A517" s="48"/>
      <c r="B517" s="48"/>
      <c r="C517" s="48"/>
      <c r="D517" s="47"/>
      <c r="E517" s="48"/>
    </row>
    <row r="518" ht="15.75" customHeight="1">
      <c r="A518" s="48"/>
      <c r="B518" s="48"/>
      <c r="C518" s="48"/>
      <c r="D518" s="47"/>
      <c r="E518" s="48"/>
    </row>
    <row r="519" ht="15.75" customHeight="1">
      <c r="A519" s="48"/>
      <c r="B519" s="48"/>
      <c r="C519" s="48"/>
      <c r="D519" s="47"/>
      <c r="E519" s="48"/>
    </row>
    <row r="520" ht="15.75" customHeight="1">
      <c r="A520" s="48"/>
      <c r="B520" s="48"/>
      <c r="C520" s="48"/>
      <c r="D520" s="47"/>
      <c r="E520" s="48"/>
    </row>
    <row r="521" ht="15.75" customHeight="1">
      <c r="A521" s="48"/>
      <c r="B521" s="48"/>
      <c r="C521" s="48"/>
      <c r="D521" s="47"/>
      <c r="E521" s="48"/>
    </row>
    <row r="522" ht="15.75" customHeight="1">
      <c r="A522" s="48"/>
      <c r="B522" s="48"/>
      <c r="C522" s="48"/>
      <c r="D522" s="47"/>
      <c r="E522" s="48"/>
    </row>
    <row r="523" ht="15.75" customHeight="1">
      <c r="A523" s="48"/>
      <c r="B523" s="48"/>
      <c r="C523" s="48"/>
      <c r="D523" s="47"/>
      <c r="E523" s="48"/>
    </row>
    <row r="524" ht="15.75" customHeight="1">
      <c r="A524" s="48"/>
      <c r="B524" s="48"/>
      <c r="C524" s="48"/>
      <c r="D524" s="47"/>
      <c r="E524" s="48"/>
    </row>
    <row r="525" ht="15.75" customHeight="1">
      <c r="A525" s="48"/>
      <c r="B525" s="48"/>
      <c r="C525" s="48"/>
      <c r="D525" s="47"/>
      <c r="E525" s="48"/>
    </row>
    <row r="526" ht="15.75" customHeight="1">
      <c r="A526" s="48"/>
      <c r="B526" s="48"/>
      <c r="C526" s="48"/>
      <c r="D526" s="47"/>
      <c r="E526" s="48"/>
    </row>
    <row r="527" ht="15.75" customHeight="1">
      <c r="A527" s="48"/>
      <c r="B527" s="48"/>
      <c r="C527" s="48"/>
      <c r="D527" s="47"/>
      <c r="E527" s="48"/>
    </row>
    <row r="528" ht="15.75" customHeight="1">
      <c r="A528" s="48"/>
      <c r="B528" s="48"/>
      <c r="C528" s="48"/>
      <c r="D528" s="47"/>
      <c r="E528" s="48"/>
    </row>
    <row r="529" ht="15.75" customHeight="1">
      <c r="A529" s="48"/>
      <c r="B529" s="48"/>
      <c r="C529" s="48"/>
      <c r="D529" s="47"/>
      <c r="E529" s="48"/>
    </row>
    <row r="530" ht="15.75" customHeight="1">
      <c r="A530" s="48"/>
      <c r="B530" s="48"/>
      <c r="C530" s="48"/>
      <c r="D530" s="47"/>
      <c r="E530" s="48"/>
    </row>
    <row r="531" ht="15.75" customHeight="1">
      <c r="A531" s="48"/>
      <c r="B531" s="48"/>
      <c r="C531" s="48"/>
      <c r="D531" s="47"/>
      <c r="E531" s="48"/>
    </row>
    <row r="532" ht="15.75" customHeight="1">
      <c r="A532" s="48"/>
      <c r="B532" s="48"/>
      <c r="C532" s="48"/>
      <c r="D532" s="47"/>
      <c r="E532" s="48"/>
    </row>
    <row r="533" ht="15.75" customHeight="1">
      <c r="A533" s="48"/>
      <c r="B533" s="48"/>
      <c r="C533" s="48"/>
      <c r="D533" s="47"/>
      <c r="E533" s="48"/>
    </row>
    <row r="534" ht="15.75" customHeight="1">
      <c r="A534" s="48"/>
      <c r="B534" s="48"/>
      <c r="C534" s="48"/>
      <c r="D534" s="47"/>
      <c r="E534" s="48"/>
    </row>
    <row r="535" ht="15.75" customHeight="1">
      <c r="A535" s="48"/>
      <c r="B535" s="48"/>
      <c r="C535" s="48"/>
      <c r="D535" s="47"/>
      <c r="E535" s="48"/>
    </row>
    <row r="536" ht="15.75" customHeight="1">
      <c r="A536" s="48"/>
      <c r="B536" s="48"/>
      <c r="C536" s="48"/>
      <c r="D536" s="47"/>
      <c r="E536" s="48"/>
    </row>
    <row r="537" ht="15.75" customHeight="1">
      <c r="A537" s="48"/>
      <c r="B537" s="48"/>
      <c r="C537" s="48"/>
      <c r="D537" s="47"/>
      <c r="E537" s="48"/>
    </row>
    <row r="538" ht="15.75" customHeight="1">
      <c r="A538" s="48"/>
      <c r="B538" s="48"/>
      <c r="C538" s="48"/>
      <c r="D538" s="47"/>
      <c r="E538" s="48"/>
    </row>
    <row r="539" ht="15.75" customHeight="1">
      <c r="A539" s="48"/>
      <c r="B539" s="48"/>
      <c r="C539" s="48"/>
      <c r="D539" s="47"/>
      <c r="E539" s="48"/>
    </row>
    <row r="540" ht="15.75" customHeight="1">
      <c r="A540" s="48"/>
      <c r="B540" s="48"/>
      <c r="C540" s="48"/>
      <c r="D540" s="47"/>
      <c r="E540" s="48"/>
    </row>
    <row r="541" ht="15.75" customHeight="1">
      <c r="A541" s="48"/>
      <c r="B541" s="48"/>
      <c r="C541" s="48"/>
      <c r="D541" s="47"/>
      <c r="E541" s="48"/>
    </row>
    <row r="542" ht="15.75" customHeight="1">
      <c r="A542" s="48"/>
      <c r="B542" s="48"/>
      <c r="C542" s="48"/>
      <c r="D542" s="47"/>
      <c r="E542" s="48"/>
    </row>
    <row r="543" ht="15.75" customHeight="1">
      <c r="A543" s="48"/>
      <c r="B543" s="48"/>
      <c r="C543" s="48"/>
      <c r="D543" s="47"/>
      <c r="E543" s="48"/>
    </row>
    <row r="544" ht="15.75" customHeight="1">
      <c r="A544" s="48"/>
      <c r="B544" s="48"/>
      <c r="C544" s="48"/>
      <c r="D544" s="47"/>
      <c r="E544" s="48"/>
    </row>
    <row r="545" ht="15.75" customHeight="1">
      <c r="A545" s="48"/>
      <c r="B545" s="48"/>
      <c r="C545" s="48"/>
      <c r="D545" s="47"/>
      <c r="E545" s="48"/>
    </row>
    <row r="546" ht="15.75" customHeight="1">
      <c r="A546" s="48"/>
      <c r="B546" s="48"/>
      <c r="C546" s="48"/>
      <c r="D546" s="47"/>
      <c r="E546" s="48"/>
    </row>
    <row r="547" ht="15.75" customHeight="1">
      <c r="A547" s="48"/>
      <c r="B547" s="48"/>
      <c r="C547" s="48"/>
      <c r="D547" s="47"/>
      <c r="E547" s="48"/>
    </row>
    <row r="548" ht="15.75" customHeight="1">
      <c r="A548" s="48"/>
      <c r="B548" s="48"/>
      <c r="C548" s="48"/>
      <c r="D548" s="47"/>
      <c r="E548" s="48"/>
    </row>
    <row r="549" ht="15.75" customHeight="1">
      <c r="A549" s="48"/>
      <c r="B549" s="48"/>
      <c r="C549" s="48"/>
      <c r="D549" s="47"/>
      <c r="E549" s="48"/>
    </row>
    <row r="550" ht="15.75" customHeight="1">
      <c r="A550" s="48"/>
      <c r="B550" s="48"/>
      <c r="C550" s="48"/>
      <c r="D550" s="47"/>
      <c r="E550" s="48"/>
    </row>
    <row r="551" ht="15.75" customHeight="1">
      <c r="A551" s="48"/>
      <c r="B551" s="48"/>
      <c r="C551" s="48"/>
      <c r="D551" s="47"/>
      <c r="E551" s="48"/>
    </row>
    <row r="552" ht="15.75" customHeight="1">
      <c r="A552" s="48"/>
      <c r="B552" s="48"/>
      <c r="C552" s="48"/>
      <c r="D552" s="47"/>
      <c r="E552" s="48"/>
    </row>
    <row r="553" ht="15.75" customHeight="1">
      <c r="A553" s="48"/>
      <c r="B553" s="48"/>
      <c r="C553" s="48"/>
      <c r="D553" s="47"/>
      <c r="E553" s="48"/>
    </row>
    <row r="554" ht="15.75" customHeight="1">
      <c r="A554" s="48"/>
      <c r="B554" s="48"/>
      <c r="C554" s="48"/>
      <c r="D554" s="47"/>
      <c r="E554" s="48"/>
    </row>
    <row r="555" ht="15.75" customHeight="1">
      <c r="A555" s="48"/>
      <c r="B555" s="48"/>
      <c r="C555" s="48"/>
      <c r="D555" s="47"/>
      <c r="E555" s="48"/>
    </row>
    <row r="556" ht="15.75" customHeight="1">
      <c r="A556" s="48"/>
      <c r="B556" s="48"/>
      <c r="C556" s="48"/>
      <c r="D556" s="47"/>
      <c r="E556" s="48"/>
    </row>
    <row r="557" ht="15.75" customHeight="1">
      <c r="A557" s="48"/>
      <c r="B557" s="48"/>
      <c r="C557" s="48"/>
      <c r="D557" s="47"/>
      <c r="E557" s="48"/>
    </row>
    <row r="558" ht="15.75" customHeight="1">
      <c r="A558" s="48"/>
      <c r="B558" s="48"/>
      <c r="C558" s="48"/>
      <c r="D558" s="47"/>
      <c r="E558" s="48"/>
    </row>
    <row r="559" ht="15.75" customHeight="1">
      <c r="A559" s="48"/>
      <c r="B559" s="48"/>
      <c r="C559" s="48"/>
      <c r="D559" s="47"/>
      <c r="E559" s="48"/>
    </row>
    <row r="560" ht="15.75" customHeight="1">
      <c r="A560" s="48"/>
      <c r="B560" s="48"/>
      <c r="C560" s="48"/>
      <c r="D560" s="47"/>
      <c r="E560" s="48"/>
    </row>
    <row r="561" ht="15.75" customHeight="1">
      <c r="A561" s="48"/>
      <c r="B561" s="48"/>
      <c r="C561" s="48"/>
      <c r="D561" s="47"/>
      <c r="E561" s="48"/>
    </row>
    <row r="562" ht="15.75" customHeight="1">
      <c r="A562" s="48"/>
      <c r="B562" s="48"/>
      <c r="C562" s="48"/>
      <c r="D562" s="47"/>
      <c r="E562" s="48"/>
    </row>
    <row r="563" ht="15.75" customHeight="1">
      <c r="A563" s="48"/>
      <c r="B563" s="48"/>
      <c r="C563" s="48"/>
      <c r="D563" s="47"/>
      <c r="E563" s="48"/>
    </row>
    <row r="564" ht="15.75" customHeight="1">
      <c r="A564" s="48"/>
      <c r="B564" s="48"/>
      <c r="C564" s="48"/>
      <c r="D564" s="47"/>
      <c r="E564" s="48"/>
    </row>
    <row r="565" ht="15.75" customHeight="1">
      <c r="A565" s="48"/>
      <c r="B565" s="48"/>
      <c r="C565" s="48"/>
      <c r="D565" s="47"/>
      <c r="E565" s="48"/>
    </row>
    <row r="566" ht="15.75" customHeight="1">
      <c r="A566" s="48"/>
      <c r="B566" s="48"/>
      <c r="C566" s="48"/>
      <c r="D566" s="47"/>
      <c r="E566" s="48"/>
    </row>
    <row r="567" ht="15.75" customHeight="1">
      <c r="A567" s="48"/>
      <c r="B567" s="48"/>
      <c r="C567" s="48"/>
      <c r="D567" s="47"/>
      <c r="E567" s="48"/>
    </row>
    <row r="568" ht="15.75" customHeight="1">
      <c r="A568" s="48"/>
      <c r="B568" s="48"/>
      <c r="C568" s="48"/>
      <c r="D568" s="47"/>
      <c r="E568" s="48"/>
    </row>
    <row r="569" ht="15.75" customHeight="1">
      <c r="A569" s="48"/>
      <c r="B569" s="48"/>
      <c r="C569" s="48"/>
      <c r="D569" s="47"/>
      <c r="E569" s="48"/>
    </row>
    <row r="570" ht="15.75" customHeight="1">
      <c r="A570" s="48"/>
      <c r="B570" s="48"/>
      <c r="C570" s="48"/>
      <c r="D570" s="47"/>
      <c r="E570" s="48"/>
    </row>
    <row r="571" ht="15.75" customHeight="1">
      <c r="A571" s="48"/>
      <c r="B571" s="48"/>
      <c r="C571" s="48"/>
      <c r="D571" s="47"/>
      <c r="E571" s="48"/>
    </row>
    <row r="572" ht="15.75" customHeight="1">
      <c r="A572" s="48"/>
      <c r="B572" s="48"/>
      <c r="C572" s="48"/>
      <c r="D572" s="47"/>
      <c r="E572" s="48"/>
    </row>
    <row r="573" ht="15.75" customHeight="1">
      <c r="A573" s="48"/>
      <c r="B573" s="48"/>
      <c r="C573" s="48"/>
      <c r="D573" s="47"/>
      <c r="E573" s="48"/>
    </row>
    <row r="574" ht="15.75" customHeight="1">
      <c r="A574" s="48"/>
      <c r="B574" s="48"/>
      <c r="C574" s="48"/>
      <c r="D574" s="47"/>
      <c r="E574" s="48"/>
    </row>
    <row r="575" ht="15.75" customHeight="1">
      <c r="A575" s="48"/>
      <c r="B575" s="48"/>
      <c r="C575" s="48"/>
      <c r="D575" s="47"/>
      <c r="E575" s="48"/>
    </row>
    <row r="576" ht="15.75" customHeight="1">
      <c r="A576" s="48"/>
      <c r="B576" s="48"/>
      <c r="C576" s="48"/>
      <c r="D576" s="47"/>
      <c r="E576" s="48"/>
    </row>
    <row r="577" ht="15.75" customHeight="1">
      <c r="A577" s="48"/>
      <c r="B577" s="48"/>
      <c r="C577" s="48"/>
      <c r="D577" s="47"/>
      <c r="E577" s="48"/>
    </row>
    <row r="578" ht="15.75" customHeight="1">
      <c r="A578" s="48"/>
      <c r="B578" s="48"/>
      <c r="C578" s="48"/>
      <c r="D578" s="47"/>
      <c r="E578" s="48"/>
    </row>
    <row r="579" ht="15.75" customHeight="1">
      <c r="A579" s="48"/>
      <c r="B579" s="48"/>
      <c r="C579" s="48"/>
      <c r="D579" s="47"/>
      <c r="E579" s="48"/>
    </row>
    <row r="580" ht="15.75" customHeight="1">
      <c r="A580" s="48"/>
      <c r="B580" s="48"/>
      <c r="C580" s="48"/>
      <c r="D580" s="47"/>
      <c r="E580" s="48"/>
    </row>
    <row r="581" ht="15.75" customHeight="1">
      <c r="A581" s="48"/>
      <c r="B581" s="48"/>
      <c r="C581" s="48"/>
      <c r="D581" s="47"/>
      <c r="E581" s="48"/>
    </row>
    <row r="582" ht="15.75" customHeight="1">
      <c r="A582" s="48"/>
      <c r="B582" s="48"/>
      <c r="C582" s="48"/>
      <c r="D582" s="47"/>
      <c r="E582" s="48"/>
    </row>
    <row r="583" ht="15.75" customHeight="1">
      <c r="A583" s="48"/>
      <c r="B583" s="48"/>
      <c r="C583" s="48"/>
      <c r="D583" s="47"/>
      <c r="E583" s="48"/>
    </row>
    <row r="584" ht="15.75" customHeight="1">
      <c r="A584" s="48"/>
      <c r="B584" s="48"/>
      <c r="C584" s="48"/>
      <c r="D584" s="47"/>
      <c r="E584" s="48"/>
    </row>
    <row r="585" ht="15.75" customHeight="1">
      <c r="A585" s="48"/>
      <c r="B585" s="48"/>
      <c r="C585" s="48"/>
      <c r="D585" s="47"/>
      <c r="E585" s="48"/>
    </row>
    <row r="586" ht="15.75" customHeight="1">
      <c r="A586" s="48"/>
      <c r="B586" s="48"/>
      <c r="C586" s="48"/>
      <c r="D586" s="47"/>
      <c r="E586" s="48"/>
    </row>
    <row r="587" ht="15.75" customHeight="1">
      <c r="A587" s="48"/>
      <c r="B587" s="48"/>
      <c r="C587" s="48"/>
      <c r="D587" s="47"/>
      <c r="E587" s="48"/>
    </row>
    <row r="588" ht="15.75" customHeight="1">
      <c r="A588" s="48"/>
      <c r="B588" s="48"/>
      <c r="C588" s="48"/>
      <c r="D588" s="47"/>
      <c r="E588" s="48"/>
    </row>
    <row r="589" ht="15.75" customHeight="1">
      <c r="A589" s="48"/>
      <c r="B589" s="48"/>
      <c r="C589" s="48"/>
      <c r="D589" s="47"/>
      <c r="E589" s="48"/>
    </row>
    <row r="590" ht="15.75" customHeight="1">
      <c r="A590" s="48"/>
      <c r="B590" s="48"/>
      <c r="C590" s="48"/>
      <c r="D590" s="47"/>
      <c r="E590" s="48"/>
    </row>
    <row r="591" ht="15.75" customHeight="1">
      <c r="A591" s="48"/>
      <c r="B591" s="48"/>
      <c r="C591" s="48"/>
      <c r="D591" s="47"/>
      <c r="E591" s="48"/>
    </row>
    <row r="592" ht="15.75" customHeight="1">
      <c r="A592" s="48"/>
      <c r="B592" s="48"/>
      <c r="C592" s="48"/>
      <c r="D592" s="47"/>
      <c r="E592" s="48"/>
    </row>
    <row r="593" ht="15.75" customHeight="1">
      <c r="A593" s="48"/>
      <c r="B593" s="48"/>
      <c r="C593" s="48"/>
      <c r="D593" s="47"/>
      <c r="E593" s="48"/>
    </row>
    <row r="594" ht="15.75" customHeight="1">
      <c r="A594" s="48"/>
      <c r="B594" s="48"/>
      <c r="C594" s="48"/>
      <c r="D594" s="47"/>
      <c r="E594" s="48"/>
    </row>
    <row r="595" ht="15.75" customHeight="1">
      <c r="A595" s="48"/>
      <c r="B595" s="48"/>
      <c r="C595" s="48"/>
      <c r="D595" s="47"/>
      <c r="E595" s="48"/>
    </row>
    <row r="596" ht="15.75" customHeight="1">
      <c r="A596" s="48"/>
      <c r="B596" s="48"/>
      <c r="C596" s="48"/>
      <c r="D596" s="47"/>
      <c r="E596" s="48"/>
    </row>
    <row r="597" ht="15.75" customHeight="1">
      <c r="A597" s="48"/>
      <c r="B597" s="48"/>
      <c r="C597" s="48"/>
      <c r="D597" s="47"/>
      <c r="E597" s="48"/>
    </row>
    <row r="598" ht="15.75" customHeight="1">
      <c r="A598" s="48"/>
      <c r="B598" s="48"/>
      <c r="C598" s="48"/>
      <c r="D598" s="47"/>
      <c r="E598" s="48"/>
    </row>
    <row r="599" ht="15.75" customHeight="1">
      <c r="A599" s="48"/>
      <c r="B599" s="48"/>
      <c r="C599" s="48"/>
      <c r="D599" s="47"/>
      <c r="E599" s="48"/>
    </row>
    <row r="600" ht="15.75" customHeight="1">
      <c r="A600" s="48"/>
      <c r="B600" s="48"/>
      <c r="C600" s="48"/>
      <c r="D600" s="47"/>
      <c r="E600" s="48"/>
    </row>
    <row r="601" ht="15.75" customHeight="1">
      <c r="A601" s="48"/>
      <c r="B601" s="48"/>
      <c r="C601" s="48"/>
      <c r="D601" s="47"/>
      <c r="E601" s="48"/>
    </row>
    <row r="602" ht="15.75" customHeight="1">
      <c r="A602" s="48"/>
      <c r="B602" s="48"/>
      <c r="C602" s="48"/>
      <c r="D602" s="47"/>
      <c r="E602" s="48"/>
    </row>
    <row r="603" ht="15.75" customHeight="1">
      <c r="A603" s="48"/>
      <c r="B603" s="48"/>
      <c r="C603" s="48"/>
      <c r="D603" s="47"/>
      <c r="E603" s="48"/>
    </row>
    <row r="604" ht="15.75" customHeight="1">
      <c r="A604" s="48"/>
      <c r="B604" s="48"/>
      <c r="C604" s="48"/>
      <c r="D604" s="47"/>
      <c r="E604" s="48"/>
    </row>
    <row r="605" ht="15.75" customHeight="1">
      <c r="A605" s="48"/>
      <c r="B605" s="48"/>
      <c r="C605" s="48"/>
      <c r="D605" s="47"/>
      <c r="E605" s="48"/>
    </row>
    <row r="606" ht="15.75" customHeight="1">
      <c r="A606" s="48"/>
      <c r="B606" s="48"/>
      <c r="C606" s="48"/>
      <c r="D606" s="47"/>
      <c r="E606" s="48"/>
    </row>
    <row r="607" ht="15.75" customHeight="1">
      <c r="A607" s="48"/>
      <c r="B607" s="48"/>
      <c r="C607" s="48"/>
      <c r="D607" s="47"/>
      <c r="E607" s="48"/>
    </row>
    <row r="608" ht="15.75" customHeight="1">
      <c r="A608" s="48"/>
      <c r="B608" s="48"/>
      <c r="C608" s="48"/>
      <c r="D608" s="47"/>
      <c r="E608" s="48"/>
    </row>
    <row r="609" ht="15.75" customHeight="1">
      <c r="A609" s="48"/>
      <c r="B609" s="48"/>
      <c r="C609" s="48"/>
      <c r="D609" s="47"/>
      <c r="E609" s="48"/>
    </row>
    <row r="610" ht="15.75" customHeight="1">
      <c r="A610" s="48"/>
      <c r="B610" s="48"/>
      <c r="C610" s="48"/>
      <c r="D610" s="47"/>
      <c r="E610" s="48"/>
    </row>
    <row r="611" ht="15.75" customHeight="1">
      <c r="A611" s="48"/>
      <c r="B611" s="48"/>
      <c r="C611" s="48"/>
      <c r="D611" s="47"/>
      <c r="E611" s="48"/>
    </row>
    <row r="612" ht="15.75" customHeight="1">
      <c r="A612" s="48"/>
      <c r="B612" s="48"/>
      <c r="C612" s="48"/>
      <c r="D612" s="47"/>
      <c r="E612" s="48"/>
    </row>
    <row r="613" ht="15.75" customHeight="1">
      <c r="A613" s="48"/>
      <c r="B613" s="48"/>
      <c r="C613" s="48"/>
      <c r="D613" s="47"/>
      <c r="E613" s="48"/>
    </row>
    <row r="614" ht="15.75" customHeight="1">
      <c r="A614" s="48"/>
      <c r="B614" s="48"/>
      <c r="C614" s="48"/>
      <c r="D614" s="47"/>
      <c r="E614" s="48"/>
    </row>
    <row r="615" ht="15.75" customHeight="1">
      <c r="A615" s="48"/>
      <c r="B615" s="48"/>
      <c r="C615" s="48"/>
      <c r="D615" s="47"/>
      <c r="E615" s="48"/>
    </row>
    <row r="616" ht="15.75" customHeight="1">
      <c r="A616" s="48"/>
      <c r="B616" s="48"/>
      <c r="C616" s="48"/>
      <c r="D616" s="47"/>
      <c r="E616" s="48"/>
    </row>
    <row r="617" ht="15.75" customHeight="1">
      <c r="A617" s="48"/>
      <c r="B617" s="48"/>
      <c r="C617" s="48"/>
      <c r="D617" s="47"/>
      <c r="E617" s="48"/>
    </row>
    <row r="618" ht="15.75" customHeight="1">
      <c r="A618" s="48"/>
      <c r="B618" s="48"/>
      <c r="C618" s="48"/>
      <c r="D618" s="47"/>
      <c r="E618" s="48"/>
    </row>
    <row r="619" ht="15.75" customHeight="1">
      <c r="A619" s="48"/>
      <c r="B619" s="48"/>
      <c r="C619" s="48"/>
      <c r="D619" s="47"/>
      <c r="E619" s="48"/>
    </row>
    <row r="620" ht="15.75" customHeight="1">
      <c r="A620" s="48"/>
      <c r="B620" s="48"/>
      <c r="C620" s="48"/>
      <c r="D620" s="47"/>
      <c r="E620" s="48"/>
    </row>
    <row r="621" ht="15.75" customHeight="1">
      <c r="A621" s="48"/>
      <c r="B621" s="48"/>
      <c r="C621" s="48"/>
      <c r="D621" s="47"/>
      <c r="E621" s="48"/>
    </row>
    <row r="622" ht="15.75" customHeight="1">
      <c r="A622" s="48"/>
      <c r="B622" s="48"/>
      <c r="C622" s="48"/>
      <c r="D622" s="47"/>
      <c r="E622" s="48"/>
    </row>
    <row r="623" ht="15.75" customHeight="1">
      <c r="A623" s="48"/>
      <c r="B623" s="48"/>
      <c r="C623" s="48"/>
      <c r="D623" s="47"/>
      <c r="E623" s="48"/>
    </row>
    <row r="624" ht="15.75" customHeight="1">
      <c r="A624" s="48"/>
      <c r="B624" s="48"/>
      <c r="C624" s="48"/>
      <c r="D624" s="47"/>
      <c r="E624" s="48"/>
    </row>
    <row r="625" ht="15.75" customHeight="1">
      <c r="A625" s="48"/>
      <c r="B625" s="48"/>
      <c r="C625" s="48"/>
      <c r="D625" s="47"/>
      <c r="E625" s="48"/>
    </row>
    <row r="626" ht="15.75" customHeight="1">
      <c r="A626" s="48"/>
      <c r="B626" s="48"/>
      <c r="C626" s="48"/>
      <c r="D626" s="47"/>
      <c r="E626" s="48"/>
    </row>
    <row r="627" ht="15.75" customHeight="1">
      <c r="A627" s="48"/>
      <c r="B627" s="48"/>
      <c r="C627" s="48"/>
      <c r="D627" s="47"/>
      <c r="E627" s="48"/>
    </row>
    <row r="628" ht="15.75" customHeight="1">
      <c r="A628" s="48"/>
      <c r="B628" s="48"/>
      <c r="C628" s="48"/>
      <c r="D628" s="47"/>
      <c r="E628" s="48"/>
    </row>
    <row r="629" ht="15.75" customHeight="1">
      <c r="A629" s="48"/>
      <c r="B629" s="48"/>
      <c r="C629" s="48"/>
      <c r="D629" s="47"/>
      <c r="E629" s="48"/>
    </row>
    <row r="630" ht="15.75" customHeight="1">
      <c r="A630" s="48"/>
      <c r="B630" s="48"/>
      <c r="C630" s="48"/>
      <c r="D630" s="47"/>
      <c r="E630" s="48"/>
    </row>
    <row r="631" ht="15.75" customHeight="1">
      <c r="A631" s="48"/>
      <c r="B631" s="48"/>
      <c r="C631" s="48"/>
      <c r="D631" s="47"/>
      <c r="E631" s="48"/>
    </row>
    <row r="632" ht="15.75" customHeight="1">
      <c r="A632" s="48"/>
      <c r="B632" s="48"/>
      <c r="C632" s="48"/>
      <c r="D632" s="47"/>
      <c r="E632" s="48"/>
    </row>
    <row r="633" ht="15.75" customHeight="1">
      <c r="A633" s="48"/>
      <c r="B633" s="48"/>
      <c r="C633" s="48"/>
      <c r="D633" s="47"/>
      <c r="E633" s="48"/>
    </row>
    <row r="634" ht="15.75" customHeight="1">
      <c r="A634" s="48"/>
      <c r="B634" s="48"/>
      <c r="C634" s="48"/>
      <c r="D634" s="47"/>
      <c r="E634" s="48"/>
    </row>
    <row r="635" ht="15.75" customHeight="1">
      <c r="A635" s="48"/>
      <c r="B635" s="48"/>
      <c r="C635" s="48"/>
      <c r="D635" s="47"/>
      <c r="E635" s="48"/>
    </row>
    <row r="636" ht="15.75" customHeight="1">
      <c r="A636" s="48"/>
      <c r="B636" s="48"/>
      <c r="C636" s="48"/>
      <c r="D636" s="47"/>
      <c r="E636" s="48"/>
    </row>
    <row r="637" ht="15.75" customHeight="1">
      <c r="A637" s="48"/>
      <c r="B637" s="48"/>
      <c r="C637" s="48"/>
      <c r="D637" s="47"/>
      <c r="E637" s="48"/>
    </row>
    <row r="638" ht="15.75" customHeight="1">
      <c r="A638" s="48"/>
      <c r="B638" s="48"/>
      <c r="C638" s="48"/>
      <c r="D638" s="47"/>
      <c r="E638" s="48"/>
    </row>
    <row r="639" ht="15.75" customHeight="1">
      <c r="A639" s="48"/>
      <c r="B639" s="48"/>
      <c r="C639" s="48"/>
      <c r="D639" s="47"/>
      <c r="E639" s="48"/>
    </row>
    <row r="640" ht="15.75" customHeight="1">
      <c r="A640" s="48"/>
      <c r="B640" s="48"/>
      <c r="C640" s="48"/>
      <c r="D640" s="47"/>
      <c r="E640" s="48"/>
    </row>
    <row r="641" ht="15.75" customHeight="1">
      <c r="A641" s="48"/>
      <c r="B641" s="48"/>
      <c r="C641" s="48"/>
      <c r="D641" s="47"/>
      <c r="E641" s="48"/>
    </row>
    <row r="642" ht="15.75" customHeight="1">
      <c r="A642" s="48"/>
      <c r="B642" s="48"/>
      <c r="C642" s="48"/>
      <c r="D642" s="47"/>
      <c r="E642" s="48"/>
    </row>
    <row r="643" ht="15.75" customHeight="1">
      <c r="A643" s="48"/>
      <c r="B643" s="48"/>
      <c r="C643" s="48"/>
      <c r="D643" s="47"/>
      <c r="E643" s="48"/>
    </row>
    <row r="644" ht="15.75" customHeight="1">
      <c r="A644" s="48"/>
      <c r="B644" s="48"/>
      <c r="C644" s="48"/>
      <c r="D644" s="47"/>
      <c r="E644" s="48"/>
    </row>
    <row r="645" ht="15.75" customHeight="1">
      <c r="A645" s="48"/>
      <c r="B645" s="48"/>
      <c r="C645" s="48"/>
      <c r="D645" s="47"/>
      <c r="E645" s="48"/>
    </row>
    <row r="646" ht="15.75" customHeight="1">
      <c r="A646" s="48"/>
      <c r="B646" s="48"/>
      <c r="C646" s="48"/>
      <c r="D646" s="47"/>
      <c r="E646" s="48"/>
    </row>
    <row r="647" ht="15.75" customHeight="1">
      <c r="A647" s="48"/>
      <c r="B647" s="48"/>
      <c r="C647" s="48"/>
      <c r="D647" s="47"/>
      <c r="E647" s="48"/>
    </row>
    <row r="648" ht="15.75" customHeight="1">
      <c r="A648" s="48"/>
      <c r="B648" s="48"/>
      <c r="C648" s="48"/>
      <c r="D648" s="47"/>
      <c r="E648" s="48"/>
    </row>
    <row r="649" ht="15.75" customHeight="1">
      <c r="A649" s="48"/>
      <c r="B649" s="48"/>
      <c r="C649" s="48"/>
      <c r="D649" s="47"/>
      <c r="E649" s="48"/>
    </row>
    <row r="650" ht="15.75" customHeight="1">
      <c r="A650" s="48"/>
      <c r="B650" s="48"/>
      <c r="C650" s="48"/>
      <c r="D650" s="47"/>
      <c r="E650" s="48"/>
    </row>
    <row r="651" ht="15.75" customHeight="1">
      <c r="A651" s="48"/>
      <c r="B651" s="48"/>
      <c r="C651" s="48"/>
      <c r="D651" s="47"/>
      <c r="E651" s="48"/>
    </row>
    <row r="652" ht="15.75" customHeight="1">
      <c r="A652" s="48"/>
      <c r="B652" s="48"/>
      <c r="C652" s="48"/>
      <c r="D652" s="47"/>
      <c r="E652" s="48"/>
    </row>
    <row r="653" ht="15.75" customHeight="1">
      <c r="A653" s="48"/>
      <c r="B653" s="48"/>
      <c r="C653" s="48"/>
      <c r="D653" s="47"/>
      <c r="E653" s="48"/>
    </row>
    <row r="654" ht="15.75" customHeight="1">
      <c r="A654" s="48"/>
      <c r="B654" s="48"/>
      <c r="C654" s="48"/>
      <c r="D654" s="47"/>
      <c r="E654" s="48"/>
    </row>
    <row r="655" ht="15.75" customHeight="1">
      <c r="A655" s="48"/>
      <c r="B655" s="48"/>
      <c r="C655" s="48"/>
      <c r="D655" s="47"/>
      <c r="E655" s="48"/>
    </row>
    <row r="656" ht="15.75" customHeight="1">
      <c r="A656" s="48"/>
      <c r="B656" s="48"/>
      <c r="C656" s="48"/>
      <c r="D656" s="47"/>
      <c r="E656" s="48"/>
    </row>
    <row r="657" ht="15.75" customHeight="1">
      <c r="A657" s="48"/>
      <c r="B657" s="48"/>
      <c r="C657" s="48"/>
      <c r="D657" s="47"/>
      <c r="E657" s="48"/>
    </row>
    <row r="658" ht="15.75" customHeight="1">
      <c r="A658" s="48"/>
      <c r="B658" s="48"/>
      <c r="C658" s="48"/>
      <c r="D658" s="47"/>
      <c r="E658" s="48"/>
    </row>
    <row r="659" ht="15.75" customHeight="1">
      <c r="A659" s="48"/>
      <c r="B659" s="48"/>
      <c r="C659" s="48"/>
      <c r="D659" s="47"/>
      <c r="E659" s="48"/>
    </row>
    <row r="660" ht="15.75" customHeight="1">
      <c r="A660" s="48"/>
      <c r="B660" s="48"/>
      <c r="C660" s="48"/>
      <c r="D660" s="47"/>
      <c r="E660" s="48"/>
    </row>
    <row r="661" ht="15.75" customHeight="1">
      <c r="A661" s="48"/>
      <c r="B661" s="48"/>
      <c r="C661" s="48"/>
      <c r="D661" s="47"/>
      <c r="E661" s="48"/>
    </row>
    <row r="662" ht="15.75" customHeight="1">
      <c r="A662" s="48"/>
      <c r="B662" s="48"/>
      <c r="C662" s="48"/>
      <c r="D662" s="47"/>
      <c r="E662" s="48"/>
    </row>
    <row r="663" ht="15.75" customHeight="1">
      <c r="A663" s="48"/>
      <c r="B663" s="48"/>
      <c r="C663" s="48"/>
      <c r="D663" s="47"/>
      <c r="E663" s="48"/>
    </row>
    <row r="664" ht="15.75" customHeight="1">
      <c r="A664" s="48"/>
      <c r="B664" s="48"/>
      <c r="C664" s="48"/>
      <c r="D664" s="47"/>
      <c r="E664" s="48"/>
    </row>
    <row r="665" ht="15.75" customHeight="1">
      <c r="A665" s="48"/>
      <c r="B665" s="48"/>
      <c r="C665" s="48"/>
      <c r="D665" s="47"/>
      <c r="E665" s="48"/>
    </row>
    <row r="666" ht="15.75" customHeight="1">
      <c r="A666" s="48"/>
      <c r="B666" s="48"/>
      <c r="C666" s="48"/>
      <c r="D666" s="47"/>
      <c r="E666" s="48"/>
    </row>
    <row r="667" ht="15.75" customHeight="1">
      <c r="A667" s="48"/>
      <c r="B667" s="48"/>
      <c r="C667" s="48"/>
      <c r="D667" s="47"/>
      <c r="E667" s="48"/>
    </row>
    <row r="668" ht="15.75" customHeight="1">
      <c r="A668" s="48"/>
      <c r="B668" s="48"/>
      <c r="C668" s="48"/>
      <c r="D668" s="47"/>
      <c r="E668" s="48"/>
    </row>
    <row r="669" ht="15.75" customHeight="1">
      <c r="A669" s="48"/>
      <c r="B669" s="48"/>
      <c r="C669" s="48"/>
      <c r="D669" s="47"/>
      <c r="E669" s="48"/>
    </row>
    <row r="670" ht="15.75" customHeight="1">
      <c r="A670" s="48"/>
      <c r="B670" s="48"/>
      <c r="C670" s="48"/>
      <c r="D670" s="47"/>
      <c r="E670" s="48"/>
    </row>
    <row r="671" ht="15.75" customHeight="1">
      <c r="A671" s="48"/>
      <c r="B671" s="48"/>
      <c r="C671" s="48"/>
      <c r="D671" s="47"/>
      <c r="E671" s="48"/>
    </row>
    <row r="672" ht="15.75" customHeight="1">
      <c r="A672" s="48"/>
      <c r="B672" s="48"/>
      <c r="C672" s="48"/>
      <c r="D672" s="47"/>
      <c r="E672" s="48"/>
    </row>
    <row r="673" ht="15.75" customHeight="1">
      <c r="A673" s="48"/>
      <c r="B673" s="48"/>
      <c r="C673" s="48"/>
      <c r="D673" s="47"/>
      <c r="E673" s="48"/>
    </row>
    <row r="674" ht="15.75" customHeight="1">
      <c r="A674" s="48"/>
      <c r="B674" s="48"/>
      <c r="C674" s="48"/>
      <c r="D674" s="47"/>
      <c r="E674" s="48"/>
    </row>
    <row r="675" ht="15.75" customHeight="1">
      <c r="A675" s="48"/>
      <c r="B675" s="48"/>
      <c r="C675" s="48"/>
      <c r="D675" s="47"/>
      <c r="E675" s="48"/>
    </row>
    <row r="676" ht="15.75" customHeight="1">
      <c r="A676" s="48"/>
      <c r="B676" s="48"/>
      <c r="C676" s="48"/>
      <c r="D676" s="47"/>
      <c r="E676" s="48"/>
    </row>
    <row r="677" ht="15.75" customHeight="1">
      <c r="A677" s="48"/>
      <c r="B677" s="48"/>
      <c r="C677" s="48"/>
      <c r="D677" s="47"/>
      <c r="E677" s="48"/>
    </row>
    <row r="678" ht="15.75" customHeight="1">
      <c r="A678" s="48"/>
      <c r="B678" s="48"/>
      <c r="C678" s="48"/>
      <c r="D678" s="47"/>
      <c r="E678" s="48"/>
    </row>
    <row r="679" ht="15.75" customHeight="1">
      <c r="A679" s="48"/>
      <c r="B679" s="48"/>
      <c r="C679" s="48"/>
      <c r="D679" s="47"/>
      <c r="E679" s="48"/>
    </row>
    <row r="680" ht="15.75" customHeight="1">
      <c r="A680" s="48"/>
      <c r="B680" s="48"/>
      <c r="C680" s="48"/>
      <c r="D680" s="47"/>
      <c r="E680" s="48"/>
    </row>
    <row r="681" ht="15.75" customHeight="1">
      <c r="A681" s="48"/>
      <c r="B681" s="48"/>
      <c r="C681" s="48"/>
      <c r="D681" s="47"/>
      <c r="E681" s="48"/>
    </row>
    <row r="682" ht="15.75" customHeight="1">
      <c r="A682" s="48"/>
      <c r="B682" s="48"/>
      <c r="C682" s="48"/>
      <c r="D682" s="47"/>
      <c r="E682" s="48"/>
    </row>
    <row r="683" ht="15.75" customHeight="1">
      <c r="A683" s="48"/>
      <c r="B683" s="48"/>
      <c r="C683" s="48"/>
      <c r="D683" s="47"/>
      <c r="E683" s="48"/>
    </row>
    <row r="684" ht="15.75" customHeight="1">
      <c r="A684" s="48"/>
      <c r="B684" s="48"/>
      <c r="C684" s="48"/>
      <c r="D684" s="47"/>
      <c r="E684" s="48"/>
    </row>
    <row r="685" ht="15.75" customHeight="1">
      <c r="A685" s="48"/>
      <c r="B685" s="48"/>
      <c r="C685" s="48"/>
      <c r="D685" s="47"/>
      <c r="E685" s="48"/>
    </row>
    <row r="686" ht="15.75" customHeight="1">
      <c r="A686" s="48"/>
      <c r="B686" s="48"/>
      <c r="C686" s="48"/>
      <c r="D686" s="47"/>
      <c r="E686" s="48"/>
    </row>
    <row r="687" ht="15.75" customHeight="1">
      <c r="A687" s="48"/>
      <c r="B687" s="48"/>
      <c r="C687" s="48"/>
      <c r="D687" s="47"/>
      <c r="E687" s="48"/>
    </row>
    <row r="688" ht="15.75" customHeight="1">
      <c r="A688" s="48"/>
      <c r="B688" s="48"/>
      <c r="C688" s="48"/>
      <c r="D688" s="47"/>
      <c r="E688" s="48"/>
    </row>
    <row r="689" ht="15.75" customHeight="1">
      <c r="A689" s="48"/>
      <c r="B689" s="48"/>
      <c r="C689" s="48"/>
      <c r="D689" s="47"/>
      <c r="E689" s="48"/>
    </row>
    <row r="690" ht="15.75" customHeight="1">
      <c r="A690" s="48"/>
      <c r="B690" s="48"/>
      <c r="C690" s="48"/>
      <c r="D690" s="47"/>
      <c r="E690" s="48"/>
    </row>
    <row r="691" ht="15.75" customHeight="1">
      <c r="A691" s="48"/>
      <c r="B691" s="48"/>
      <c r="C691" s="48"/>
      <c r="D691" s="47"/>
      <c r="E691" s="48"/>
    </row>
    <row r="692" ht="15.75" customHeight="1">
      <c r="A692" s="48"/>
      <c r="B692" s="48"/>
      <c r="C692" s="48"/>
      <c r="D692" s="47"/>
      <c r="E692" s="48"/>
    </row>
    <row r="693" ht="15.75" customHeight="1">
      <c r="A693" s="48"/>
      <c r="B693" s="48"/>
      <c r="C693" s="48"/>
      <c r="D693" s="47"/>
      <c r="E693" s="48"/>
    </row>
    <row r="694" ht="15.75" customHeight="1">
      <c r="A694" s="48"/>
      <c r="B694" s="48"/>
      <c r="C694" s="48"/>
      <c r="D694" s="47"/>
      <c r="E694" s="48"/>
    </row>
    <row r="695" ht="15.75" customHeight="1">
      <c r="A695" s="48"/>
      <c r="B695" s="48"/>
      <c r="C695" s="48"/>
      <c r="D695" s="47"/>
      <c r="E695" s="48"/>
    </row>
    <row r="696" ht="15.75" customHeight="1">
      <c r="A696" s="48"/>
      <c r="B696" s="48"/>
      <c r="C696" s="48"/>
      <c r="D696" s="47"/>
      <c r="E696" s="48"/>
    </row>
    <row r="697" ht="15.75" customHeight="1">
      <c r="A697" s="48"/>
      <c r="B697" s="48"/>
      <c r="C697" s="48"/>
      <c r="D697" s="47"/>
      <c r="E697" s="48"/>
    </row>
    <row r="698" ht="15.75" customHeight="1">
      <c r="A698" s="48"/>
      <c r="B698" s="48"/>
      <c r="C698" s="48"/>
      <c r="D698" s="47"/>
      <c r="E698" s="48"/>
    </row>
    <row r="699" ht="15.75" customHeight="1">
      <c r="A699" s="48"/>
      <c r="B699" s="48"/>
      <c r="C699" s="48"/>
      <c r="D699" s="47"/>
      <c r="E699" s="48"/>
    </row>
    <row r="700" ht="15.75" customHeight="1">
      <c r="A700" s="48"/>
      <c r="B700" s="48"/>
      <c r="C700" s="48"/>
      <c r="D700" s="47"/>
      <c r="E700" s="48"/>
    </row>
    <row r="701" ht="15.75" customHeight="1">
      <c r="A701" s="48"/>
      <c r="B701" s="48"/>
      <c r="C701" s="48"/>
      <c r="D701" s="47"/>
      <c r="E701" s="48"/>
    </row>
    <row r="702" ht="15.75" customHeight="1">
      <c r="A702" s="48"/>
      <c r="B702" s="48"/>
      <c r="C702" s="48"/>
      <c r="D702" s="47"/>
      <c r="E702" s="48"/>
    </row>
    <row r="703" ht="15.75" customHeight="1">
      <c r="A703" s="48"/>
      <c r="B703" s="48"/>
      <c r="C703" s="48"/>
      <c r="D703" s="47"/>
      <c r="E703" s="48"/>
    </row>
    <row r="704" ht="15.75" customHeight="1">
      <c r="A704" s="48"/>
      <c r="B704" s="48"/>
      <c r="C704" s="48"/>
      <c r="D704" s="47"/>
      <c r="E704" s="48"/>
    </row>
    <row r="705" ht="15.75" customHeight="1">
      <c r="A705" s="48"/>
      <c r="B705" s="48"/>
      <c r="C705" s="48"/>
      <c r="D705" s="47"/>
      <c r="E705" s="48"/>
    </row>
    <row r="706" ht="15.75" customHeight="1">
      <c r="A706" s="48"/>
      <c r="B706" s="48"/>
      <c r="C706" s="48"/>
      <c r="D706" s="47"/>
      <c r="E706" s="48"/>
    </row>
    <row r="707" ht="15.75" customHeight="1">
      <c r="A707" s="48"/>
      <c r="B707" s="48"/>
      <c r="C707" s="48"/>
      <c r="D707" s="47"/>
      <c r="E707" s="48"/>
    </row>
    <row r="708" ht="15.75" customHeight="1">
      <c r="A708" s="48"/>
      <c r="B708" s="48"/>
      <c r="C708" s="48"/>
      <c r="D708" s="47"/>
      <c r="E708" s="48"/>
    </row>
    <row r="709" ht="15.75" customHeight="1">
      <c r="A709" s="48"/>
      <c r="B709" s="48"/>
      <c r="C709" s="48"/>
      <c r="D709" s="47"/>
      <c r="E709" s="48"/>
    </row>
    <row r="710" ht="15.75" customHeight="1">
      <c r="A710" s="48"/>
      <c r="B710" s="48"/>
      <c r="C710" s="48"/>
      <c r="D710" s="47"/>
      <c r="E710" s="48"/>
    </row>
    <row r="711" ht="15.75" customHeight="1">
      <c r="A711" s="48"/>
      <c r="B711" s="48"/>
      <c r="C711" s="48"/>
      <c r="D711" s="47"/>
      <c r="E711" s="48"/>
    </row>
    <row r="712" ht="15.75" customHeight="1">
      <c r="A712" s="48"/>
      <c r="B712" s="48"/>
      <c r="C712" s="48"/>
      <c r="D712" s="47"/>
      <c r="E712" s="48"/>
    </row>
    <row r="713" ht="15.75" customHeight="1">
      <c r="A713" s="48"/>
      <c r="B713" s="48"/>
      <c r="C713" s="48"/>
      <c r="D713" s="47"/>
      <c r="E713" s="48"/>
    </row>
    <row r="714" ht="15.75" customHeight="1">
      <c r="A714" s="48"/>
      <c r="B714" s="48"/>
      <c r="C714" s="48"/>
      <c r="D714" s="47"/>
      <c r="E714" s="48"/>
    </row>
    <row r="715" ht="15.75" customHeight="1">
      <c r="A715" s="48"/>
      <c r="B715" s="48"/>
      <c r="C715" s="48"/>
      <c r="D715" s="47"/>
      <c r="E715" s="48"/>
    </row>
    <row r="716" ht="15.75" customHeight="1">
      <c r="A716" s="48"/>
      <c r="B716" s="48"/>
      <c r="C716" s="48"/>
      <c r="D716" s="47"/>
      <c r="E716" s="48"/>
    </row>
    <row r="717" ht="15.75" customHeight="1">
      <c r="A717" s="48"/>
      <c r="B717" s="48"/>
      <c r="C717" s="48"/>
      <c r="D717" s="47"/>
      <c r="E717" s="48"/>
    </row>
    <row r="718" ht="15.75" customHeight="1">
      <c r="A718" s="48"/>
      <c r="B718" s="48"/>
      <c r="C718" s="48"/>
      <c r="D718" s="47"/>
      <c r="E718" s="48"/>
    </row>
    <row r="719" ht="15.75" customHeight="1">
      <c r="A719" s="48"/>
      <c r="B719" s="48"/>
      <c r="C719" s="48"/>
      <c r="D719" s="47"/>
      <c r="E719" s="48"/>
    </row>
    <row r="720" ht="15.75" customHeight="1">
      <c r="A720" s="48"/>
      <c r="B720" s="48"/>
      <c r="C720" s="48"/>
      <c r="D720" s="47"/>
      <c r="E720" s="48"/>
    </row>
    <row r="721" ht="15.75" customHeight="1">
      <c r="A721" s="48"/>
      <c r="B721" s="48"/>
      <c r="C721" s="48"/>
      <c r="D721" s="47"/>
      <c r="E721" s="48"/>
    </row>
    <row r="722" ht="15.75" customHeight="1">
      <c r="A722" s="48"/>
      <c r="B722" s="48"/>
      <c r="C722" s="48"/>
      <c r="D722" s="47"/>
      <c r="E722" s="48"/>
    </row>
    <row r="723" ht="15.75" customHeight="1">
      <c r="A723" s="48"/>
      <c r="B723" s="48"/>
      <c r="C723" s="48"/>
      <c r="D723" s="47"/>
      <c r="E723" s="48"/>
    </row>
    <row r="724" ht="15.75" customHeight="1">
      <c r="A724" s="48"/>
      <c r="B724" s="48"/>
      <c r="C724" s="48"/>
      <c r="D724" s="47"/>
      <c r="E724" s="48"/>
    </row>
    <row r="725" ht="15.75" customHeight="1">
      <c r="A725" s="48"/>
      <c r="B725" s="48"/>
      <c r="C725" s="48"/>
      <c r="D725" s="47"/>
      <c r="E725" s="48"/>
    </row>
    <row r="726" ht="15.75" customHeight="1">
      <c r="A726" s="48"/>
      <c r="B726" s="48"/>
      <c r="C726" s="48"/>
      <c r="D726" s="47"/>
      <c r="E726" s="48"/>
    </row>
    <row r="727" ht="15.75" customHeight="1">
      <c r="A727" s="48"/>
      <c r="B727" s="48"/>
      <c r="C727" s="48"/>
      <c r="D727" s="47"/>
      <c r="E727" s="48"/>
    </row>
    <row r="728" ht="15.75" customHeight="1">
      <c r="A728" s="48"/>
      <c r="B728" s="48"/>
      <c r="C728" s="48"/>
      <c r="D728" s="47"/>
      <c r="E728" s="48"/>
    </row>
    <row r="729" ht="15.75" customHeight="1">
      <c r="A729" s="48"/>
      <c r="B729" s="48"/>
      <c r="C729" s="48"/>
      <c r="D729" s="47"/>
      <c r="E729" s="48"/>
    </row>
    <row r="730" ht="15.75" customHeight="1">
      <c r="A730" s="48"/>
      <c r="B730" s="48"/>
      <c r="C730" s="48"/>
      <c r="D730" s="47"/>
      <c r="E730" s="48"/>
    </row>
    <row r="731" ht="15.75" customHeight="1">
      <c r="A731" s="48"/>
      <c r="B731" s="48"/>
      <c r="C731" s="48"/>
      <c r="D731" s="47"/>
      <c r="E731" s="48"/>
    </row>
    <row r="732" ht="15.75" customHeight="1">
      <c r="A732" s="48"/>
      <c r="B732" s="48"/>
      <c r="C732" s="48"/>
      <c r="D732" s="47"/>
      <c r="E732" s="48"/>
    </row>
    <row r="733" ht="15.75" customHeight="1">
      <c r="A733" s="48"/>
      <c r="B733" s="48"/>
      <c r="C733" s="48"/>
      <c r="D733" s="47"/>
      <c r="E733" s="48"/>
    </row>
    <row r="734" ht="15.75" customHeight="1">
      <c r="A734" s="48"/>
      <c r="B734" s="48"/>
      <c r="C734" s="48"/>
      <c r="D734" s="47"/>
      <c r="E734" s="48"/>
    </row>
    <row r="735" ht="15.75" customHeight="1">
      <c r="A735" s="48"/>
      <c r="B735" s="48"/>
      <c r="C735" s="48"/>
      <c r="D735" s="47"/>
      <c r="E735" s="48"/>
    </row>
    <row r="736" ht="15.75" customHeight="1">
      <c r="A736" s="48"/>
      <c r="B736" s="48"/>
      <c r="C736" s="48"/>
      <c r="D736" s="47"/>
      <c r="E736" s="48"/>
    </row>
    <row r="737" ht="15.75" customHeight="1">
      <c r="A737" s="48"/>
      <c r="B737" s="48"/>
      <c r="C737" s="48"/>
      <c r="D737" s="47"/>
      <c r="E737" s="48"/>
    </row>
    <row r="738" ht="15.75" customHeight="1">
      <c r="A738" s="48"/>
      <c r="B738" s="48"/>
      <c r="C738" s="48"/>
      <c r="D738" s="47"/>
      <c r="E738" s="48"/>
    </row>
    <row r="739" ht="15.75" customHeight="1">
      <c r="A739" s="48"/>
      <c r="B739" s="48"/>
      <c r="C739" s="48"/>
      <c r="D739" s="47"/>
      <c r="E739" s="48"/>
    </row>
    <row r="740" ht="15.75" customHeight="1">
      <c r="A740" s="48"/>
      <c r="B740" s="48"/>
      <c r="C740" s="48"/>
      <c r="D740" s="47"/>
      <c r="E740" s="48"/>
    </row>
    <row r="741" ht="15.75" customHeight="1">
      <c r="A741" s="48"/>
      <c r="B741" s="48"/>
      <c r="C741" s="48"/>
      <c r="D741" s="47"/>
      <c r="E741" s="48"/>
    </row>
    <row r="742" ht="15.75" customHeight="1">
      <c r="A742" s="48"/>
      <c r="B742" s="48"/>
      <c r="C742" s="48"/>
      <c r="D742" s="47"/>
      <c r="E742" s="48"/>
    </row>
    <row r="743" ht="15.75" customHeight="1">
      <c r="A743" s="48"/>
      <c r="B743" s="48"/>
      <c r="C743" s="48"/>
      <c r="D743" s="47"/>
      <c r="E743" s="48"/>
    </row>
    <row r="744" ht="15.75" customHeight="1">
      <c r="A744" s="48"/>
      <c r="B744" s="48"/>
      <c r="C744" s="48"/>
      <c r="D744" s="47"/>
      <c r="E744" s="48"/>
    </row>
    <row r="745" ht="15.75" customHeight="1">
      <c r="A745" s="48"/>
      <c r="B745" s="48"/>
      <c r="C745" s="48"/>
      <c r="D745" s="47"/>
      <c r="E745" s="48"/>
    </row>
    <row r="746" ht="15.75" customHeight="1">
      <c r="A746" s="48"/>
      <c r="B746" s="48"/>
      <c r="C746" s="48"/>
      <c r="D746" s="47"/>
      <c r="E746" s="48"/>
    </row>
    <row r="747" ht="15.75" customHeight="1">
      <c r="A747" s="48"/>
      <c r="B747" s="48"/>
      <c r="C747" s="48"/>
      <c r="D747" s="47"/>
      <c r="E747" s="48"/>
    </row>
    <row r="748" ht="15.75" customHeight="1">
      <c r="A748" s="48"/>
      <c r="B748" s="48"/>
      <c r="C748" s="48"/>
      <c r="D748" s="47"/>
      <c r="E748" s="48"/>
    </row>
    <row r="749" ht="15.75" customHeight="1">
      <c r="A749" s="48"/>
      <c r="B749" s="48"/>
      <c r="C749" s="48"/>
      <c r="D749" s="47"/>
      <c r="E749" s="48"/>
    </row>
    <row r="750" ht="15.75" customHeight="1">
      <c r="A750" s="48"/>
      <c r="B750" s="48"/>
      <c r="C750" s="48"/>
      <c r="D750" s="47"/>
      <c r="E750" s="48"/>
    </row>
    <row r="751" ht="15.75" customHeight="1">
      <c r="A751" s="48"/>
      <c r="B751" s="48"/>
      <c r="C751" s="48"/>
      <c r="D751" s="47"/>
      <c r="E751" s="48"/>
    </row>
    <row r="752" ht="15.75" customHeight="1">
      <c r="A752" s="48"/>
      <c r="B752" s="48"/>
      <c r="C752" s="48"/>
      <c r="D752" s="47"/>
      <c r="E752" s="48"/>
    </row>
    <row r="753" ht="15.75" customHeight="1">
      <c r="A753" s="48"/>
      <c r="B753" s="48"/>
      <c r="C753" s="48"/>
      <c r="D753" s="47"/>
      <c r="E753" s="48"/>
    </row>
    <row r="754" ht="15.75" customHeight="1">
      <c r="A754" s="48"/>
      <c r="B754" s="48"/>
      <c r="C754" s="48"/>
      <c r="D754" s="47"/>
      <c r="E754" s="48"/>
    </row>
    <row r="755" ht="15.75" customHeight="1">
      <c r="A755" s="48"/>
      <c r="B755" s="48"/>
      <c r="C755" s="48"/>
      <c r="D755" s="47"/>
      <c r="E755" s="48"/>
    </row>
    <row r="756" ht="15.75" customHeight="1">
      <c r="A756" s="48"/>
      <c r="B756" s="48"/>
      <c r="C756" s="48"/>
      <c r="D756" s="47"/>
      <c r="E756" s="48"/>
    </row>
    <row r="757" ht="15.75" customHeight="1">
      <c r="A757" s="48"/>
      <c r="B757" s="48"/>
      <c r="C757" s="48"/>
      <c r="D757" s="47"/>
      <c r="E757" s="48"/>
    </row>
    <row r="758" ht="15.75" customHeight="1">
      <c r="A758" s="48"/>
      <c r="B758" s="48"/>
      <c r="C758" s="48"/>
      <c r="D758" s="47"/>
      <c r="E758" s="48"/>
    </row>
    <row r="759" ht="15.75" customHeight="1">
      <c r="A759" s="48"/>
      <c r="B759" s="48"/>
      <c r="C759" s="48"/>
      <c r="D759" s="47"/>
      <c r="E759" s="48"/>
    </row>
    <row r="760" ht="15.75" customHeight="1">
      <c r="A760" s="48"/>
      <c r="B760" s="48"/>
      <c r="C760" s="48"/>
      <c r="D760" s="47"/>
      <c r="E760" s="48"/>
    </row>
    <row r="761" ht="15.75" customHeight="1">
      <c r="A761" s="48"/>
      <c r="B761" s="48"/>
      <c r="C761" s="48"/>
      <c r="D761" s="47"/>
      <c r="E761" s="48"/>
    </row>
    <row r="762" ht="15.75" customHeight="1">
      <c r="A762" s="48"/>
      <c r="B762" s="48"/>
      <c r="C762" s="48"/>
      <c r="D762" s="47"/>
      <c r="E762" s="48"/>
    </row>
    <row r="763" ht="15.75" customHeight="1">
      <c r="A763" s="48"/>
      <c r="B763" s="48"/>
      <c r="C763" s="48"/>
      <c r="D763" s="47"/>
      <c r="E763" s="48"/>
    </row>
    <row r="764" ht="15.75" customHeight="1">
      <c r="A764" s="48"/>
      <c r="B764" s="48"/>
      <c r="C764" s="48"/>
      <c r="D764" s="47"/>
      <c r="E764" s="48"/>
    </row>
    <row r="765" ht="15.75" customHeight="1">
      <c r="A765" s="48"/>
      <c r="B765" s="48"/>
      <c r="C765" s="48"/>
      <c r="D765" s="47"/>
      <c r="E765" s="48"/>
    </row>
    <row r="766" ht="15.75" customHeight="1">
      <c r="A766" s="48"/>
      <c r="B766" s="48"/>
      <c r="C766" s="48"/>
      <c r="D766" s="47"/>
      <c r="E766" s="48"/>
    </row>
    <row r="767" ht="15.75" customHeight="1">
      <c r="A767" s="48"/>
      <c r="B767" s="48"/>
      <c r="C767" s="48"/>
      <c r="D767" s="47"/>
      <c r="E767" s="48"/>
    </row>
    <row r="768" ht="15.75" customHeight="1">
      <c r="A768" s="48"/>
      <c r="B768" s="48"/>
      <c r="C768" s="48"/>
      <c r="D768" s="47"/>
      <c r="E768" s="48"/>
    </row>
    <row r="769" ht="15.75" customHeight="1">
      <c r="A769" s="48"/>
      <c r="B769" s="48"/>
      <c r="C769" s="48"/>
      <c r="D769" s="47"/>
      <c r="E769" s="48"/>
    </row>
    <row r="770" ht="15.75" customHeight="1">
      <c r="A770" s="48"/>
      <c r="B770" s="48"/>
      <c r="C770" s="48"/>
      <c r="D770" s="47"/>
      <c r="E770" s="48"/>
    </row>
    <row r="771" ht="15.75" customHeight="1">
      <c r="A771" s="48"/>
      <c r="B771" s="48"/>
      <c r="C771" s="48"/>
      <c r="D771" s="47"/>
      <c r="E771" s="48"/>
    </row>
    <row r="772" ht="15.75" customHeight="1">
      <c r="A772" s="48"/>
      <c r="B772" s="48"/>
      <c r="C772" s="48"/>
      <c r="D772" s="47"/>
      <c r="E772" s="48"/>
    </row>
    <row r="773" ht="15.75" customHeight="1">
      <c r="A773" s="48"/>
      <c r="B773" s="48"/>
      <c r="C773" s="48"/>
      <c r="D773" s="47"/>
      <c r="E773" s="48"/>
    </row>
    <row r="774" ht="15.75" customHeight="1">
      <c r="A774" s="48"/>
      <c r="B774" s="48"/>
      <c r="C774" s="48"/>
      <c r="D774" s="47"/>
      <c r="E774" s="48"/>
    </row>
    <row r="775" ht="15.75" customHeight="1">
      <c r="A775" s="48"/>
      <c r="B775" s="48"/>
      <c r="C775" s="48"/>
      <c r="D775" s="47"/>
      <c r="E775" s="48"/>
    </row>
    <row r="776" ht="15.75" customHeight="1">
      <c r="A776" s="48"/>
      <c r="B776" s="48"/>
      <c r="C776" s="48"/>
      <c r="D776" s="47"/>
      <c r="E776" s="48"/>
    </row>
    <row r="777" ht="15.75" customHeight="1">
      <c r="A777" s="48"/>
      <c r="B777" s="48"/>
      <c r="C777" s="48"/>
      <c r="D777" s="47"/>
      <c r="E777" s="48"/>
    </row>
    <row r="778" ht="15.75" customHeight="1">
      <c r="A778" s="48"/>
      <c r="B778" s="48"/>
      <c r="C778" s="48"/>
      <c r="D778" s="47"/>
      <c r="E778" s="48"/>
    </row>
    <row r="779" ht="15.75" customHeight="1">
      <c r="A779" s="48"/>
      <c r="B779" s="48"/>
      <c r="C779" s="48"/>
      <c r="D779" s="47"/>
      <c r="E779" s="48"/>
    </row>
    <row r="780" ht="15.75" customHeight="1">
      <c r="A780" s="48"/>
      <c r="B780" s="48"/>
      <c r="C780" s="48"/>
      <c r="D780" s="47"/>
      <c r="E780" s="48"/>
    </row>
    <row r="781" ht="15.75" customHeight="1">
      <c r="A781" s="48"/>
      <c r="B781" s="48"/>
      <c r="C781" s="48"/>
      <c r="D781" s="47"/>
      <c r="E781" s="48"/>
    </row>
    <row r="782" ht="15.75" customHeight="1">
      <c r="A782" s="48"/>
      <c r="B782" s="48"/>
      <c r="C782" s="48"/>
      <c r="D782" s="47"/>
      <c r="E782" s="48"/>
    </row>
    <row r="783" ht="15.75" customHeight="1">
      <c r="A783" s="48"/>
      <c r="B783" s="48"/>
      <c r="C783" s="48"/>
      <c r="D783" s="47"/>
      <c r="E783" s="48"/>
    </row>
    <row r="784" ht="15.75" customHeight="1">
      <c r="A784" s="48"/>
      <c r="B784" s="48"/>
      <c r="C784" s="48"/>
      <c r="D784" s="47"/>
      <c r="E784" s="48"/>
    </row>
    <row r="785" ht="15.75" customHeight="1">
      <c r="A785" s="48"/>
      <c r="B785" s="48"/>
      <c r="C785" s="48"/>
      <c r="D785" s="47"/>
      <c r="E785" s="48"/>
    </row>
    <row r="786" ht="15.75" customHeight="1">
      <c r="A786" s="48"/>
      <c r="B786" s="48"/>
      <c r="C786" s="48"/>
      <c r="D786" s="47"/>
      <c r="E786" s="48"/>
    </row>
    <row r="787" ht="15.75" customHeight="1">
      <c r="A787" s="48"/>
      <c r="B787" s="48"/>
      <c r="C787" s="48"/>
      <c r="D787" s="47"/>
      <c r="E787" s="48"/>
    </row>
    <row r="788" ht="15.75" customHeight="1">
      <c r="A788" s="48"/>
      <c r="B788" s="48"/>
      <c r="C788" s="48"/>
      <c r="D788" s="47"/>
      <c r="E788" s="48"/>
    </row>
    <row r="789" ht="15.75" customHeight="1">
      <c r="A789" s="48"/>
      <c r="B789" s="48"/>
      <c r="C789" s="48"/>
      <c r="D789" s="47"/>
      <c r="E789" s="48"/>
    </row>
    <row r="790" ht="15.75" customHeight="1">
      <c r="A790" s="48"/>
      <c r="B790" s="48"/>
      <c r="C790" s="48"/>
      <c r="D790" s="47"/>
      <c r="E790" s="48"/>
    </row>
    <row r="791" ht="15.75" customHeight="1">
      <c r="A791" s="48"/>
      <c r="B791" s="48"/>
      <c r="C791" s="48"/>
      <c r="D791" s="47"/>
      <c r="E791" s="48"/>
    </row>
    <row r="792" ht="15.75" customHeight="1">
      <c r="A792" s="48"/>
      <c r="B792" s="48"/>
      <c r="C792" s="48"/>
      <c r="D792" s="47"/>
      <c r="E792" s="48"/>
    </row>
    <row r="793" ht="15.75" customHeight="1">
      <c r="A793" s="48"/>
      <c r="B793" s="48"/>
      <c r="C793" s="48"/>
      <c r="D793" s="47"/>
      <c r="E793" s="48"/>
    </row>
    <row r="794" ht="15.75" customHeight="1">
      <c r="A794" s="48"/>
      <c r="B794" s="48"/>
      <c r="C794" s="48"/>
      <c r="D794" s="47"/>
      <c r="E794" s="48"/>
    </row>
    <row r="795" ht="15.75" customHeight="1">
      <c r="A795" s="48"/>
      <c r="B795" s="48"/>
      <c r="C795" s="48"/>
      <c r="D795" s="47"/>
      <c r="E795" s="48"/>
    </row>
    <row r="796" ht="15.75" customHeight="1">
      <c r="A796" s="48"/>
      <c r="B796" s="48"/>
      <c r="C796" s="48"/>
      <c r="D796" s="47"/>
      <c r="E796" s="48"/>
    </row>
    <row r="797" ht="15.75" customHeight="1">
      <c r="A797" s="48"/>
      <c r="B797" s="48"/>
      <c r="C797" s="48"/>
      <c r="D797" s="47"/>
      <c r="E797" s="48"/>
    </row>
    <row r="798" ht="15.75" customHeight="1">
      <c r="A798" s="48"/>
      <c r="B798" s="48"/>
      <c r="C798" s="48"/>
      <c r="D798" s="47"/>
      <c r="E798" s="48"/>
    </row>
    <row r="799" ht="15.75" customHeight="1">
      <c r="A799" s="48"/>
      <c r="B799" s="48"/>
      <c r="C799" s="48"/>
      <c r="D799" s="47"/>
      <c r="E799" s="48"/>
    </row>
    <row r="800" ht="15.75" customHeight="1">
      <c r="A800" s="48"/>
      <c r="B800" s="48"/>
      <c r="C800" s="48"/>
      <c r="D800" s="47"/>
      <c r="E800" s="48"/>
    </row>
    <row r="801" ht="15.75" customHeight="1">
      <c r="A801" s="48"/>
      <c r="B801" s="48"/>
      <c r="C801" s="48"/>
      <c r="D801" s="47"/>
      <c r="E801" s="48"/>
    </row>
    <row r="802" ht="15.75" customHeight="1">
      <c r="A802" s="48"/>
      <c r="B802" s="48"/>
      <c r="C802" s="48"/>
      <c r="D802" s="47"/>
      <c r="E802" s="48"/>
    </row>
    <row r="803" ht="15.75" customHeight="1">
      <c r="A803" s="48"/>
      <c r="B803" s="48"/>
      <c r="C803" s="48"/>
      <c r="D803" s="47"/>
      <c r="E803" s="48"/>
    </row>
    <row r="804" ht="15.75" customHeight="1">
      <c r="A804" s="48"/>
      <c r="B804" s="48"/>
      <c r="C804" s="48"/>
      <c r="D804" s="47"/>
      <c r="E804" s="48"/>
    </row>
    <row r="805" ht="15.75" customHeight="1">
      <c r="A805" s="48"/>
      <c r="B805" s="48"/>
      <c r="C805" s="48"/>
      <c r="D805" s="47"/>
      <c r="E805" s="48"/>
    </row>
    <row r="806" ht="15.75" customHeight="1">
      <c r="A806" s="48"/>
      <c r="B806" s="48"/>
      <c r="C806" s="48"/>
      <c r="D806" s="47"/>
      <c r="E806" s="48"/>
    </row>
    <row r="807" ht="15.75" customHeight="1">
      <c r="A807" s="48"/>
      <c r="B807" s="48"/>
      <c r="C807" s="48"/>
      <c r="D807" s="47"/>
      <c r="E807" s="48"/>
    </row>
    <row r="808" ht="15.75" customHeight="1">
      <c r="A808" s="48"/>
      <c r="B808" s="48"/>
      <c r="C808" s="48"/>
      <c r="D808" s="47"/>
      <c r="E808" s="48"/>
    </row>
    <row r="809" ht="15.75" customHeight="1">
      <c r="A809" s="48"/>
      <c r="B809" s="48"/>
      <c r="C809" s="48"/>
      <c r="D809" s="47"/>
      <c r="E809" s="48"/>
    </row>
    <row r="810" ht="15.75" customHeight="1">
      <c r="A810" s="48"/>
      <c r="B810" s="48"/>
      <c r="C810" s="48"/>
      <c r="D810" s="47"/>
      <c r="E810" s="48"/>
    </row>
    <row r="811" ht="15.75" customHeight="1">
      <c r="A811" s="48"/>
      <c r="B811" s="48"/>
      <c r="C811" s="48"/>
      <c r="D811" s="47"/>
      <c r="E811" s="48"/>
    </row>
    <row r="812" ht="15.75" customHeight="1">
      <c r="A812" s="48"/>
      <c r="B812" s="48"/>
      <c r="C812" s="48"/>
      <c r="D812" s="47"/>
      <c r="E812" s="48"/>
    </row>
    <row r="813" ht="15.75" customHeight="1">
      <c r="A813" s="48"/>
      <c r="B813" s="48"/>
      <c r="C813" s="48"/>
      <c r="D813" s="47"/>
      <c r="E813" s="48"/>
    </row>
    <row r="814" ht="15.75" customHeight="1">
      <c r="A814" s="48"/>
      <c r="B814" s="48"/>
      <c r="C814" s="48"/>
      <c r="D814" s="47"/>
      <c r="E814" s="48"/>
    </row>
    <row r="815" ht="15.75" customHeight="1">
      <c r="A815" s="48"/>
      <c r="B815" s="48"/>
      <c r="C815" s="48"/>
      <c r="D815" s="47"/>
      <c r="E815" s="48"/>
    </row>
    <row r="816" ht="15.75" customHeight="1">
      <c r="A816" s="48"/>
      <c r="B816" s="48"/>
      <c r="C816" s="48"/>
      <c r="D816" s="47"/>
      <c r="E816" s="48"/>
    </row>
    <row r="817" ht="15.75" customHeight="1">
      <c r="A817" s="48"/>
      <c r="B817" s="48"/>
      <c r="C817" s="48"/>
      <c r="D817" s="47"/>
      <c r="E817" s="48"/>
    </row>
    <row r="818" ht="15.75" customHeight="1">
      <c r="A818" s="48"/>
      <c r="B818" s="48"/>
      <c r="C818" s="48"/>
      <c r="D818" s="47"/>
      <c r="E818" s="48"/>
    </row>
    <row r="819" ht="15.75" customHeight="1">
      <c r="A819" s="48"/>
      <c r="B819" s="48"/>
      <c r="C819" s="48"/>
      <c r="D819" s="47"/>
      <c r="E819" s="48"/>
    </row>
    <row r="820" ht="15.75" customHeight="1">
      <c r="A820" s="48"/>
      <c r="B820" s="48"/>
      <c r="C820" s="48"/>
      <c r="D820" s="47"/>
      <c r="E820" s="48"/>
    </row>
    <row r="821" ht="15.75" customHeight="1">
      <c r="A821" s="48"/>
      <c r="B821" s="48"/>
      <c r="C821" s="48"/>
      <c r="D821" s="47"/>
      <c r="E821" s="48"/>
    </row>
    <row r="822" ht="15.75" customHeight="1">
      <c r="A822" s="48"/>
      <c r="B822" s="48"/>
      <c r="C822" s="48"/>
      <c r="D822" s="47"/>
      <c r="E822" s="48"/>
    </row>
    <row r="823" ht="15.75" customHeight="1">
      <c r="A823" s="48"/>
      <c r="B823" s="48"/>
      <c r="C823" s="48"/>
      <c r="D823" s="47"/>
      <c r="E823" s="48"/>
    </row>
    <row r="824" ht="15.75" customHeight="1">
      <c r="A824" s="48"/>
      <c r="B824" s="48"/>
      <c r="C824" s="48"/>
      <c r="D824" s="47"/>
      <c r="E824" s="48"/>
    </row>
    <row r="825" ht="15.75" customHeight="1">
      <c r="A825" s="48"/>
      <c r="B825" s="48"/>
      <c r="C825" s="48"/>
      <c r="D825" s="47"/>
      <c r="E825" s="48"/>
    </row>
    <row r="826" ht="15.75" customHeight="1">
      <c r="A826" s="48"/>
      <c r="B826" s="48"/>
      <c r="C826" s="48"/>
      <c r="D826" s="47"/>
      <c r="E826" s="48"/>
    </row>
    <row r="827" ht="15.75" customHeight="1">
      <c r="A827" s="48"/>
      <c r="B827" s="48"/>
      <c r="C827" s="48"/>
      <c r="D827" s="47"/>
      <c r="E827" s="48"/>
    </row>
    <row r="828" ht="15.75" customHeight="1">
      <c r="A828" s="48"/>
      <c r="B828" s="48"/>
      <c r="C828" s="48"/>
      <c r="D828" s="47"/>
      <c r="E828" s="48"/>
    </row>
    <row r="829" ht="15.75" customHeight="1">
      <c r="A829" s="48"/>
      <c r="B829" s="48"/>
      <c r="C829" s="48"/>
      <c r="D829" s="47"/>
      <c r="E829" s="48"/>
    </row>
    <row r="830" ht="15.75" customHeight="1">
      <c r="A830" s="48"/>
      <c r="B830" s="48"/>
      <c r="C830" s="48"/>
      <c r="D830" s="47"/>
      <c r="E830" s="48"/>
    </row>
    <row r="831" ht="15.75" customHeight="1">
      <c r="A831" s="48"/>
      <c r="B831" s="48"/>
      <c r="C831" s="48"/>
      <c r="D831" s="47"/>
      <c r="E831" s="48"/>
    </row>
    <row r="832" ht="15.75" customHeight="1">
      <c r="A832" s="48"/>
      <c r="B832" s="48"/>
      <c r="C832" s="48"/>
      <c r="D832" s="47"/>
      <c r="E832" s="48"/>
    </row>
    <row r="833" ht="15.75" customHeight="1">
      <c r="A833" s="48"/>
      <c r="B833" s="48"/>
      <c r="C833" s="48"/>
      <c r="D833" s="47"/>
      <c r="E833" s="48"/>
    </row>
    <row r="834" ht="15.75" customHeight="1">
      <c r="A834" s="48"/>
      <c r="B834" s="48"/>
      <c r="C834" s="48"/>
      <c r="D834" s="47"/>
      <c r="E834" s="48"/>
    </row>
    <row r="835" ht="15.75" customHeight="1">
      <c r="A835" s="48"/>
      <c r="B835" s="48"/>
      <c r="C835" s="48"/>
      <c r="D835" s="47"/>
      <c r="E835" s="48"/>
    </row>
    <row r="836" ht="15.75" customHeight="1">
      <c r="A836" s="48"/>
      <c r="B836" s="48"/>
      <c r="C836" s="48"/>
      <c r="D836" s="47"/>
      <c r="E836" s="48"/>
    </row>
    <row r="837" ht="15.75" customHeight="1">
      <c r="A837" s="48"/>
      <c r="B837" s="48"/>
      <c r="C837" s="48"/>
      <c r="D837" s="47"/>
      <c r="E837" s="48"/>
    </row>
    <row r="838" ht="15.75" customHeight="1">
      <c r="A838" s="48"/>
      <c r="B838" s="48"/>
      <c r="C838" s="48"/>
      <c r="D838" s="47"/>
      <c r="E838" s="48"/>
    </row>
    <row r="839" ht="15.75" customHeight="1">
      <c r="A839" s="48"/>
      <c r="B839" s="48"/>
      <c r="C839" s="48"/>
      <c r="D839" s="47"/>
      <c r="E839" s="48"/>
    </row>
    <row r="840" ht="15.75" customHeight="1">
      <c r="A840" s="48"/>
      <c r="B840" s="48"/>
      <c r="C840" s="48"/>
      <c r="D840" s="47"/>
      <c r="E840" s="48"/>
    </row>
    <row r="841" ht="15.75" customHeight="1">
      <c r="A841" s="48"/>
      <c r="B841" s="48"/>
      <c r="C841" s="48"/>
      <c r="D841" s="47"/>
      <c r="E841" s="48"/>
    </row>
    <row r="842" ht="15.75" customHeight="1">
      <c r="A842" s="48"/>
      <c r="B842" s="48"/>
      <c r="C842" s="48"/>
      <c r="D842" s="47"/>
      <c r="E842" s="48"/>
    </row>
    <row r="843" ht="15.75" customHeight="1">
      <c r="A843" s="48"/>
      <c r="B843" s="48"/>
      <c r="C843" s="48"/>
      <c r="D843" s="47"/>
      <c r="E843" s="48"/>
    </row>
    <row r="844" ht="15.75" customHeight="1">
      <c r="A844" s="48"/>
      <c r="B844" s="48"/>
      <c r="C844" s="48"/>
      <c r="D844" s="47"/>
      <c r="E844" s="48"/>
    </row>
    <row r="845" ht="15.75" customHeight="1">
      <c r="A845" s="48"/>
      <c r="B845" s="48"/>
      <c r="C845" s="48"/>
      <c r="D845" s="47"/>
      <c r="E845" s="48"/>
    </row>
    <row r="846" ht="15.75" customHeight="1">
      <c r="A846" s="48"/>
      <c r="B846" s="48"/>
      <c r="C846" s="48"/>
      <c r="D846" s="47"/>
      <c r="E846" s="48"/>
    </row>
    <row r="847" ht="15.75" customHeight="1">
      <c r="A847" s="48"/>
      <c r="B847" s="48"/>
      <c r="C847" s="48"/>
      <c r="D847" s="47"/>
      <c r="E847" s="48"/>
    </row>
    <row r="848" ht="15.75" customHeight="1">
      <c r="A848" s="48"/>
      <c r="B848" s="48"/>
      <c r="C848" s="48"/>
      <c r="D848" s="47"/>
      <c r="E848" s="48"/>
    </row>
    <row r="849" ht="15.75" customHeight="1">
      <c r="A849" s="48"/>
      <c r="B849" s="48"/>
      <c r="C849" s="48"/>
      <c r="D849" s="47"/>
      <c r="E849" s="48"/>
    </row>
    <row r="850" ht="15.75" customHeight="1">
      <c r="A850" s="48"/>
      <c r="B850" s="48"/>
      <c r="C850" s="48"/>
      <c r="D850" s="47"/>
      <c r="E850" s="48"/>
    </row>
    <row r="851" ht="15.75" customHeight="1">
      <c r="A851" s="48"/>
      <c r="B851" s="48"/>
      <c r="C851" s="48"/>
      <c r="D851" s="47"/>
      <c r="E851" s="48"/>
    </row>
    <row r="852" ht="15.75" customHeight="1">
      <c r="A852" s="48"/>
      <c r="B852" s="48"/>
      <c r="C852" s="48"/>
      <c r="D852" s="47"/>
      <c r="E852" s="48"/>
    </row>
    <row r="853" ht="15.75" customHeight="1">
      <c r="A853" s="48"/>
      <c r="B853" s="48"/>
      <c r="C853" s="48"/>
      <c r="D853" s="47"/>
      <c r="E853" s="48"/>
    </row>
    <row r="854" ht="15.75" customHeight="1">
      <c r="A854" s="48"/>
      <c r="B854" s="48"/>
      <c r="C854" s="48"/>
      <c r="D854" s="47"/>
      <c r="E854" s="48"/>
    </row>
    <row r="855" ht="15.75" customHeight="1">
      <c r="A855" s="48"/>
      <c r="B855" s="48"/>
      <c r="C855" s="48"/>
      <c r="D855" s="47"/>
      <c r="E855" s="48"/>
    </row>
    <row r="856" ht="15.75" customHeight="1">
      <c r="A856" s="48"/>
      <c r="B856" s="48"/>
      <c r="C856" s="48"/>
      <c r="D856" s="47"/>
      <c r="E856" s="48"/>
    </row>
    <row r="857" ht="15.75" customHeight="1">
      <c r="A857" s="48"/>
      <c r="B857" s="48"/>
      <c r="C857" s="48"/>
      <c r="D857" s="47"/>
      <c r="E857" s="48"/>
    </row>
    <row r="858" ht="15.75" customHeight="1">
      <c r="A858" s="48"/>
      <c r="B858" s="48"/>
      <c r="C858" s="48"/>
      <c r="D858" s="47"/>
      <c r="E858" s="48"/>
    </row>
    <row r="859" ht="15.75" customHeight="1">
      <c r="A859" s="48"/>
      <c r="B859" s="48"/>
      <c r="C859" s="48"/>
      <c r="D859" s="47"/>
      <c r="E859" s="48"/>
    </row>
    <row r="860" ht="15.75" customHeight="1">
      <c r="A860" s="48"/>
      <c r="B860" s="48"/>
      <c r="C860" s="48"/>
      <c r="D860" s="47"/>
      <c r="E860" s="48"/>
    </row>
    <row r="861" ht="15.75" customHeight="1">
      <c r="A861" s="48"/>
      <c r="B861" s="48"/>
      <c r="C861" s="48"/>
      <c r="D861" s="47"/>
      <c r="E861" s="48"/>
    </row>
    <row r="862" ht="15.75" customHeight="1">
      <c r="A862" s="48"/>
      <c r="B862" s="48"/>
      <c r="C862" s="48"/>
      <c r="D862" s="47"/>
      <c r="E862" s="48"/>
    </row>
    <row r="863" ht="15.75" customHeight="1">
      <c r="A863" s="48"/>
      <c r="B863" s="48"/>
      <c r="C863" s="48"/>
      <c r="D863" s="47"/>
      <c r="E863" s="48"/>
    </row>
    <row r="864" ht="15.75" customHeight="1">
      <c r="A864" s="48"/>
      <c r="B864" s="48"/>
      <c r="C864" s="48"/>
      <c r="D864" s="47"/>
      <c r="E864" s="48"/>
    </row>
    <row r="865" ht="15.75" customHeight="1">
      <c r="A865" s="48"/>
      <c r="B865" s="48"/>
      <c r="C865" s="48"/>
      <c r="D865" s="47"/>
      <c r="E865" s="48"/>
    </row>
    <row r="866" ht="15.75" customHeight="1">
      <c r="A866" s="48"/>
      <c r="B866" s="48"/>
      <c r="C866" s="48"/>
      <c r="D866" s="47"/>
      <c r="E866" s="48"/>
    </row>
    <row r="867" ht="15.75" customHeight="1">
      <c r="A867" s="48"/>
      <c r="B867" s="48"/>
      <c r="C867" s="48"/>
      <c r="D867" s="47"/>
      <c r="E867" s="48"/>
    </row>
    <row r="868" ht="15.75" customHeight="1">
      <c r="A868" s="48"/>
      <c r="B868" s="48"/>
      <c r="C868" s="48"/>
      <c r="D868" s="47"/>
      <c r="E868" s="48"/>
    </row>
    <row r="869" ht="15.75" customHeight="1">
      <c r="A869" s="48"/>
      <c r="B869" s="48"/>
      <c r="C869" s="48"/>
      <c r="D869" s="47"/>
      <c r="E869" s="48"/>
    </row>
    <row r="870" ht="15.75" customHeight="1">
      <c r="A870" s="48"/>
      <c r="B870" s="48"/>
      <c r="C870" s="48"/>
      <c r="D870" s="47"/>
      <c r="E870" s="48"/>
    </row>
    <row r="871" ht="15.75" customHeight="1">
      <c r="A871" s="48"/>
      <c r="B871" s="48"/>
      <c r="C871" s="48"/>
      <c r="D871" s="47"/>
      <c r="E871" s="48"/>
    </row>
    <row r="872" ht="15.75" customHeight="1">
      <c r="A872" s="48"/>
      <c r="B872" s="48"/>
      <c r="C872" s="48"/>
      <c r="D872" s="47"/>
      <c r="E872" s="48"/>
    </row>
    <row r="873" ht="15.75" customHeight="1">
      <c r="A873" s="48"/>
      <c r="B873" s="48"/>
      <c r="C873" s="48"/>
      <c r="D873" s="47"/>
      <c r="E873" s="48"/>
    </row>
    <row r="874" ht="15.75" customHeight="1">
      <c r="A874" s="48"/>
      <c r="B874" s="48"/>
      <c r="C874" s="48"/>
      <c r="D874" s="47"/>
      <c r="E874" s="48"/>
    </row>
    <row r="875" ht="15.75" customHeight="1">
      <c r="A875" s="48"/>
      <c r="B875" s="48"/>
      <c r="C875" s="48"/>
      <c r="D875" s="47"/>
      <c r="E875" s="48"/>
    </row>
    <row r="876" ht="15.75" customHeight="1">
      <c r="A876" s="48"/>
      <c r="B876" s="48"/>
      <c r="C876" s="48"/>
      <c r="D876" s="47"/>
      <c r="E876" s="48"/>
    </row>
    <row r="877" ht="15.75" customHeight="1">
      <c r="A877" s="48"/>
      <c r="B877" s="48"/>
      <c r="C877" s="48"/>
      <c r="D877" s="47"/>
      <c r="E877" s="48"/>
    </row>
    <row r="878" ht="15.75" customHeight="1">
      <c r="A878" s="48"/>
      <c r="B878" s="48"/>
      <c r="C878" s="48"/>
      <c r="D878" s="47"/>
      <c r="E878" s="48"/>
    </row>
    <row r="879" ht="15.75" customHeight="1">
      <c r="A879" s="48"/>
      <c r="B879" s="48"/>
      <c r="C879" s="48"/>
      <c r="D879" s="47"/>
      <c r="E879" s="48"/>
    </row>
    <row r="880" ht="15.75" customHeight="1">
      <c r="A880" s="48"/>
      <c r="B880" s="48"/>
      <c r="C880" s="48"/>
      <c r="D880" s="47"/>
      <c r="E880" s="48"/>
    </row>
    <row r="881" ht="15.75" customHeight="1">
      <c r="A881" s="48"/>
      <c r="B881" s="48"/>
      <c r="C881" s="48"/>
      <c r="D881" s="47"/>
      <c r="E881" s="48"/>
    </row>
    <row r="882" ht="15.75" customHeight="1">
      <c r="A882" s="48"/>
      <c r="B882" s="48"/>
      <c r="C882" s="48"/>
      <c r="D882" s="47"/>
      <c r="E882" s="48"/>
    </row>
    <row r="883" ht="15.75" customHeight="1">
      <c r="A883" s="48"/>
      <c r="B883" s="48"/>
      <c r="C883" s="48"/>
      <c r="D883" s="47"/>
      <c r="E883" s="48"/>
    </row>
    <row r="884" ht="15.75" customHeight="1">
      <c r="A884" s="48"/>
      <c r="B884" s="48"/>
      <c r="C884" s="48"/>
      <c r="D884" s="47"/>
      <c r="E884" s="48"/>
    </row>
    <row r="885" ht="15.75" customHeight="1">
      <c r="A885" s="48"/>
      <c r="B885" s="48"/>
      <c r="C885" s="48"/>
      <c r="D885" s="47"/>
      <c r="E885" s="48"/>
    </row>
    <row r="886" ht="15.75" customHeight="1">
      <c r="A886" s="48"/>
      <c r="B886" s="48"/>
      <c r="C886" s="48"/>
      <c r="D886" s="47"/>
      <c r="E886" s="48"/>
    </row>
    <row r="887" ht="15.75" customHeight="1">
      <c r="A887" s="48"/>
      <c r="B887" s="48"/>
      <c r="C887" s="48"/>
      <c r="D887" s="47"/>
      <c r="E887" s="48"/>
    </row>
    <row r="888" ht="15.75" customHeight="1">
      <c r="A888" s="48"/>
      <c r="B888" s="48"/>
      <c r="C888" s="48"/>
      <c r="D888" s="47"/>
      <c r="E888" s="48"/>
    </row>
    <row r="889" ht="15.75" customHeight="1">
      <c r="A889" s="48"/>
      <c r="B889" s="48"/>
      <c r="C889" s="48"/>
      <c r="D889" s="47"/>
      <c r="E889" s="48"/>
    </row>
    <row r="890" ht="15.75" customHeight="1">
      <c r="A890" s="48"/>
      <c r="B890" s="48"/>
      <c r="C890" s="48"/>
      <c r="D890" s="47"/>
      <c r="E890" s="48"/>
    </row>
    <row r="891" ht="15.75" customHeight="1">
      <c r="A891" s="48"/>
      <c r="B891" s="48"/>
      <c r="C891" s="48"/>
      <c r="D891" s="47"/>
      <c r="E891" s="48"/>
    </row>
    <row r="892" ht="15.75" customHeight="1">
      <c r="A892" s="48"/>
      <c r="B892" s="48"/>
      <c r="C892" s="48"/>
      <c r="D892" s="47"/>
      <c r="E892" s="48"/>
    </row>
    <row r="893" ht="15.75" customHeight="1">
      <c r="A893" s="48"/>
      <c r="B893" s="48"/>
      <c r="C893" s="48"/>
      <c r="D893" s="47"/>
      <c r="E893" s="48"/>
    </row>
    <row r="894" ht="15.75" customHeight="1">
      <c r="A894" s="48"/>
      <c r="B894" s="48"/>
      <c r="C894" s="48"/>
      <c r="D894" s="47"/>
      <c r="E894" s="48"/>
    </row>
    <row r="895" ht="15.75" customHeight="1">
      <c r="A895" s="48"/>
      <c r="B895" s="48"/>
      <c r="C895" s="48"/>
      <c r="D895" s="47"/>
      <c r="E895" s="48"/>
    </row>
    <row r="896" ht="15.75" customHeight="1">
      <c r="A896" s="48"/>
      <c r="B896" s="48"/>
      <c r="C896" s="48"/>
      <c r="D896" s="47"/>
      <c r="E896" s="48"/>
    </row>
    <row r="897" ht="15.75" customHeight="1">
      <c r="A897" s="48"/>
      <c r="B897" s="48"/>
      <c r="C897" s="48"/>
      <c r="D897" s="47"/>
      <c r="E897" s="48"/>
    </row>
    <row r="898" ht="15.75" customHeight="1">
      <c r="A898" s="48"/>
      <c r="B898" s="48"/>
      <c r="C898" s="48"/>
      <c r="D898" s="47"/>
      <c r="E898" s="48"/>
    </row>
    <row r="899" ht="15.75" customHeight="1">
      <c r="A899" s="48"/>
      <c r="B899" s="48"/>
      <c r="C899" s="48"/>
      <c r="D899" s="47"/>
      <c r="E899" s="48"/>
    </row>
    <row r="900" ht="15.75" customHeight="1">
      <c r="A900" s="48"/>
      <c r="B900" s="48"/>
      <c r="C900" s="48"/>
      <c r="D900" s="47"/>
      <c r="E900" s="48"/>
    </row>
    <row r="901" ht="15.75" customHeight="1">
      <c r="A901" s="48"/>
      <c r="B901" s="48"/>
      <c r="C901" s="48"/>
      <c r="D901" s="47"/>
      <c r="E901" s="48"/>
    </row>
    <row r="902" ht="15.75" customHeight="1">
      <c r="A902" s="48"/>
      <c r="B902" s="48"/>
      <c r="C902" s="48"/>
      <c r="D902" s="47"/>
      <c r="E902" s="48"/>
    </row>
    <row r="903" ht="15.75" customHeight="1">
      <c r="A903" s="48"/>
      <c r="B903" s="48"/>
      <c r="C903" s="48"/>
      <c r="D903" s="47"/>
      <c r="E903" s="48"/>
    </row>
    <row r="904" ht="15.75" customHeight="1">
      <c r="A904" s="48"/>
      <c r="B904" s="48"/>
      <c r="C904" s="48"/>
      <c r="D904" s="47"/>
      <c r="E904" s="48"/>
    </row>
    <row r="905" ht="15.75" customHeight="1">
      <c r="A905" s="48"/>
      <c r="B905" s="48"/>
      <c r="C905" s="48"/>
      <c r="D905" s="47"/>
      <c r="E905" s="48"/>
    </row>
    <row r="906" ht="15.75" customHeight="1">
      <c r="A906" s="48"/>
      <c r="B906" s="48"/>
      <c r="C906" s="48"/>
      <c r="D906" s="47"/>
      <c r="E906" s="48"/>
    </row>
    <row r="907" ht="15.75" customHeight="1">
      <c r="A907" s="48"/>
      <c r="B907" s="48"/>
      <c r="C907" s="48"/>
      <c r="D907" s="47"/>
      <c r="E907" s="48"/>
    </row>
    <row r="908" ht="15.75" customHeight="1">
      <c r="A908" s="48"/>
      <c r="B908" s="48"/>
      <c r="C908" s="48"/>
      <c r="D908" s="47"/>
      <c r="E908" s="48"/>
    </row>
    <row r="909" ht="15.75" customHeight="1">
      <c r="A909" s="48"/>
      <c r="B909" s="48"/>
      <c r="C909" s="48"/>
      <c r="D909" s="47"/>
      <c r="E909" s="48"/>
    </row>
    <row r="910" ht="15.75" customHeight="1">
      <c r="A910" s="48"/>
      <c r="B910" s="48"/>
      <c r="C910" s="48"/>
      <c r="D910" s="47"/>
      <c r="E910" s="48"/>
    </row>
    <row r="911" ht="15.75" customHeight="1">
      <c r="A911" s="48"/>
      <c r="B911" s="48"/>
      <c r="C911" s="48"/>
      <c r="D911" s="47"/>
      <c r="E911" s="48"/>
    </row>
    <row r="912" ht="15.75" customHeight="1">
      <c r="A912" s="48"/>
      <c r="B912" s="48"/>
      <c r="C912" s="48"/>
      <c r="D912" s="47"/>
      <c r="E912" s="48"/>
    </row>
    <row r="913" ht="15.75" customHeight="1">
      <c r="A913" s="48"/>
      <c r="B913" s="48"/>
      <c r="C913" s="48"/>
      <c r="D913" s="47"/>
      <c r="E913" s="48"/>
    </row>
    <row r="914" ht="15.75" customHeight="1">
      <c r="A914" s="48"/>
      <c r="B914" s="48"/>
      <c r="C914" s="48"/>
      <c r="D914" s="47"/>
      <c r="E914" s="48"/>
    </row>
    <row r="915" ht="15.75" customHeight="1">
      <c r="A915" s="48"/>
      <c r="B915" s="48"/>
      <c r="C915" s="48"/>
      <c r="D915" s="47"/>
      <c r="E915" s="48"/>
    </row>
    <row r="916" ht="15.75" customHeight="1">
      <c r="A916" s="48"/>
      <c r="B916" s="48"/>
      <c r="C916" s="48"/>
      <c r="D916" s="47"/>
      <c r="E916" s="48"/>
    </row>
    <row r="917" ht="15.75" customHeight="1">
      <c r="A917" s="48"/>
      <c r="B917" s="48"/>
      <c r="C917" s="48"/>
      <c r="D917" s="47"/>
      <c r="E917" s="48"/>
    </row>
    <row r="918" ht="15.75" customHeight="1">
      <c r="A918" s="48"/>
      <c r="B918" s="48"/>
      <c r="C918" s="48"/>
      <c r="D918" s="47"/>
      <c r="E918" s="48"/>
    </row>
    <row r="919" ht="15.75" customHeight="1">
      <c r="A919" s="48"/>
      <c r="B919" s="48"/>
      <c r="C919" s="48"/>
      <c r="D919" s="47"/>
      <c r="E919" s="48"/>
    </row>
    <row r="920" ht="15.75" customHeight="1">
      <c r="A920" s="48"/>
      <c r="B920" s="48"/>
      <c r="C920" s="48"/>
      <c r="D920" s="47"/>
      <c r="E920" s="48"/>
    </row>
    <row r="921" ht="15.75" customHeight="1">
      <c r="A921" s="48"/>
      <c r="B921" s="48"/>
      <c r="C921" s="48"/>
      <c r="D921" s="47"/>
      <c r="E921" s="48"/>
    </row>
    <row r="922" ht="15.75" customHeight="1">
      <c r="A922" s="48"/>
      <c r="B922" s="48"/>
      <c r="C922" s="48"/>
      <c r="D922" s="47"/>
      <c r="E922" s="48"/>
    </row>
    <row r="923" ht="15.75" customHeight="1">
      <c r="A923" s="48"/>
      <c r="B923" s="48"/>
      <c r="C923" s="48"/>
      <c r="D923" s="47"/>
      <c r="E923" s="48"/>
    </row>
    <row r="924" ht="15.75" customHeight="1">
      <c r="A924" s="48"/>
      <c r="B924" s="48"/>
      <c r="C924" s="48"/>
      <c r="D924" s="47"/>
      <c r="E924" s="48"/>
    </row>
    <row r="925" ht="15.75" customHeight="1">
      <c r="A925" s="48"/>
      <c r="B925" s="48"/>
      <c r="C925" s="48"/>
      <c r="D925" s="47"/>
      <c r="E925" s="48"/>
    </row>
    <row r="926" ht="15.75" customHeight="1">
      <c r="A926" s="48"/>
      <c r="B926" s="48"/>
      <c r="C926" s="48"/>
      <c r="D926" s="47"/>
      <c r="E926" s="48"/>
    </row>
    <row r="927" ht="15.75" customHeight="1">
      <c r="A927" s="48"/>
      <c r="B927" s="48"/>
      <c r="C927" s="48"/>
      <c r="D927" s="47"/>
      <c r="E927" s="48"/>
    </row>
    <row r="928" ht="15.75" customHeight="1">
      <c r="A928" s="48"/>
      <c r="B928" s="48"/>
      <c r="C928" s="48"/>
      <c r="D928" s="47"/>
      <c r="E928" s="48"/>
    </row>
    <row r="929" ht="15.75" customHeight="1">
      <c r="A929" s="48"/>
      <c r="B929" s="48"/>
      <c r="C929" s="48"/>
      <c r="D929" s="47"/>
      <c r="E929" s="48"/>
    </row>
    <row r="930" ht="15.75" customHeight="1">
      <c r="A930" s="48"/>
      <c r="B930" s="48"/>
      <c r="C930" s="48"/>
      <c r="D930" s="47"/>
      <c r="E930" s="48"/>
    </row>
    <row r="931" ht="15.75" customHeight="1">
      <c r="A931" s="48"/>
      <c r="B931" s="48"/>
      <c r="C931" s="48"/>
      <c r="D931" s="47"/>
      <c r="E931" s="48"/>
    </row>
    <row r="932" ht="15.75" customHeight="1">
      <c r="A932" s="48"/>
      <c r="B932" s="48"/>
      <c r="C932" s="48"/>
      <c r="D932" s="47"/>
      <c r="E932" s="48"/>
    </row>
    <row r="933" ht="15.75" customHeight="1">
      <c r="A933" s="48"/>
      <c r="B933" s="48"/>
      <c r="C933" s="48"/>
      <c r="D933" s="47"/>
      <c r="E933" s="48"/>
    </row>
    <row r="934" ht="15.75" customHeight="1">
      <c r="A934" s="48"/>
      <c r="B934" s="48"/>
      <c r="C934" s="48"/>
      <c r="D934" s="47"/>
      <c r="E934" s="48"/>
    </row>
    <row r="935" ht="15.75" customHeight="1">
      <c r="A935" s="48"/>
      <c r="B935" s="48"/>
      <c r="C935" s="48"/>
      <c r="D935" s="47"/>
      <c r="E935" s="48"/>
    </row>
    <row r="936" ht="15.75" customHeight="1">
      <c r="A936" s="48"/>
      <c r="B936" s="48"/>
      <c r="C936" s="48"/>
      <c r="D936" s="47"/>
      <c r="E936" s="48"/>
    </row>
    <row r="937" ht="15.75" customHeight="1">
      <c r="A937" s="48"/>
      <c r="B937" s="48"/>
      <c r="C937" s="48"/>
      <c r="D937" s="47"/>
      <c r="E937" s="48"/>
    </row>
    <row r="938" ht="15.75" customHeight="1">
      <c r="A938" s="48"/>
      <c r="B938" s="48"/>
      <c r="C938" s="48"/>
      <c r="D938" s="47"/>
      <c r="E938" s="48"/>
    </row>
    <row r="939" ht="15.75" customHeight="1">
      <c r="A939" s="48"/>
      <c r="B939" s="48"/>
      <c r="C939" s="48"/>
      <c r="D939" s="47"/>
      <c r="E939" s="48"/>
    </row>
    <row r="940" ht="15.75" customHeight="1">
      <c r="A940" s="48"/>
      <c r="B940" s="48"/>
      <c r="C940" s="48"/>
      <c r="D940" s="47"/>
      <c r="E940" s="48"/>
    </row>
    <row r="941" ht="15.75" customHeight="1">
      <c r="A941" s="48"/>
      <c r="B941" s="48"/>
      <c r="C941" s="48"/>
      <c r="D941" s="47"/>
      <c r="E941" s="48"/>
    </row>
    <row r="942" ht="15.75" customHeight="1">
      <c r="A942" s="48"/>
      <c r="B942" s="48"/>
      <c r="C942" s="48"/>
      <c r="D942" s="47"/>
      <c r="E942" s="48"/>
    </row>
    <row r="943" ht="15.75" customHeight="1">
      <c r="A943" s="48"/>
      <c r="B943" s="48"/>
      <c r="C943" s="48"/>
      <c r="D943" s="47"/>
      <c r="E943" s="48"/>
    </row>
    <row r="944" ht="15.75" customHeight="1">
      <c r="A944" s="48"/>
      <c r="B944" s="48"/>
      <c r="C944" s="48"/>
      <c r="D944" s="47"/>
      <c r="E944" s="48"/>
    </row>
    <row r="945" ht="15.75" customHeight="1">
      <c r="A945" s="48"/>
      <c r="B945" s="48"/>
      <c r="C945" s="48"/>
      <c r="D945" s="47"/>
      <c r="E945" s="48"/>
    </row>
    <row r="946" ht="15.75" customHeight="1">
      <c r="A946" s="48"/>
      <c r="B946" s="48"/>
      <c r="C946" s="48"/>
      <c r="D946" s="47"/>
      <c r="E946" s="48"/>
    </row>
    <row r="947" ht="15.75" customHeight="1">
      <c r="A947" s="48"/>
      <c r="B947" s="48"/>
      <c r="C947" s="48"/>
      <c r="D947" s="47"/>
      <c r="E947" s="48"/>
    </row>
    <row r="948" ht="15.75" customHeight="1">
      <c r="A948" s="48"/>
      <c r="B948" s="48"/>
      <c r="C948" s="48"/>
      <c r="D948" s="47"/>
      <c r="E948" s="48"/>
    </row>
    <row r="949" ht="15.75" customHeight="1">
      <c r="A949" s="48"/>
      <c r="B949" s="48"/>
      <c r="C949" s="48"/>
      <c r="D949" s="47"/>
      <c r="E949" s="48"/>
    </row>
    <row r="950" ht="15.75" customHeight="1">
      <c r="A950" s="48"/>
      <c r="B950" s="48"/>
      <c r="C950" s="48"/>
      <c r="D950" s="47"/>
      <c r="E950" s="48"/>
    </row>
    <row r="951" ht="15.75" customHeight="1">
      <c r="A951" s="48"/>
      <c r="B951" s="48"/>
      <c r="C951" s="48"/>
      <c r="D951" s="47"/>
      <c r="E951" s="48"/>
    </row>
    <row r="952" ht="15.75" customHeight="1">
      <c r="A952" s="48"/>
      <c r="B952" s="48"/>
      <c r="C952" s="48"/>
      <c r="D952" s="47"/>
      <c r="E952" s="48"/>
    </row>
    <row r="953" ht="15.75" customHeight="1">
      <c r="A953" s="48"/>
      <c r="B953" s="48"/>
      <c r="C953" s="48"/>
      <c r="D953" s="47"/>
      <c r="E953" s="48"/>
    </row>
    <row r="954" ht="15.75" customHeight="1">
      <c r="A954" s="48"/>
      <c r="B954" s="48"/>
      <c r="C954" s="48"/>
      <c r="D954" s="47"/>
      <c r="E954" s="48"/>
    </row>
    <row r="955" ht="15.75" customHeight="1">
      <c r="A955" s="48"/>
      <c r="B955" s="48"/>
      <c r="C955" s="48"/>
      <c r="D955" s="47"/>
      <c r="E955" s="48"/>
    </row>
    <row r="956" ht="15.75" customHeight="1">
      <c r="A956" s="48"/>
      <c r="B956" s="48"/>
      <c r="C956" s="48"/>
      <c r="D956" s="47"/>
      <c r="E956" s="48"/>
    </row>
    <row r="957" ht="15.75" customHeight="1">
      <c r="A957" s="48"/>
      <c r="B957" s="48"/>
      <c r="C957" s="48"/>
      <c r="D957" s="47"/>
      <c r="E957" s="48"/>
    </row>
    <row r="958" ht="15.75" customHeight="1">
      <c r="A958" s="48"/>
      <c r="B958" s="48"/>
      <c r="C958" s="48"/>
      <c r="D958" s="47"/>
      <c r="E958" s="48"/>
    </row>
    <row r="959" ht="15.75" customHeight="1">
      <c r="A959" s="48"/>
      <c r="B959" s="48"/>
      <c r="C959" s="48"/>
      <c r="D959" s="47"/>
      <c r="E959" s="48"/>
    </row>
    <row r="960" ht="15.75" customHeight="1">
      <c r="A960" s="48"/>
      <c r="B960" s="48"/>
      <c r="C960" s="48"/>
      <c r="D960" s="47"/>
      <c r="E960" s="48"/>
    </row>
    <row r="961" ht="15.75" customHeight="1">
      <c r="A961" s="48"/>
      <c r="B961" s="48"/>
      <c r="C961" s="48"/>
      <c r="D961" s="47"/>
      <c r="E961" s="48"/>
    </row>
    <row r="962" ht="15.75" customHeight="1">
      <c r="A962" s="48"/>
      <c r="B962" s="48"/>
      <c r="C962" s="48"/>
      <c r="D962" s="47"/>
      <c r="E962" s="48"/>
    </row>
    <row r="963" ht="15.75" customHeight="1">
      <c r="A963" s="48"/>
      <c r="B963" s="48"/>
      <c r="C963" s="48"/>
      <c r="D963" s="47"/>
      <c r="E963" s="48"/>
    </row>
    <row r="964" ht="15.75" customHeight="1">
      <c r="A964" s="48"/>
      <c r="B964" s="48"/>
      <c r="C964" s="48"/>
      <c r="D964" s="47"/>
      <c r="E964" s="48"/>
    </row>
    <row r="965" ht="15.75" customHeight="1">
      <c r="A965" s="48"/>
      <c r="B965" s="48"/>
      <c r="C965" s="48"/>
      <c r="D965" s="47"/>
      <c r="E965" s="48"/>
    </row>
    <row r="966" ht="15.75" customHeight="1">
      <c r="A966" s="48"/>
      <c r="B966" s="48"/>
      <c r="C966" s="48"/>
      <c r="D966" s="47"/>
      <c r="E966" s="48"/>
    </row>
    <row r="967" ht="15.75" customHeight="1">
      <c r="A967" s="48"/>
      <c r="B967" s="48"/>
      <c r="C967" s="48"/>
      <c r="D967" s="47"/>
      <c r="E967" s="48"/>
    </row>
    <row r="968" ht="15.75" customHeight="1">
      <c r="A968" s="48"/>
      <c r="B968" s="48"/>
      <c r="C968" s="48"/>
      <c r="D968" s="47"/>
      <c r="E968" s="48"/>
    </row>
    <row r="969" ht="15.75" customHeight="1">
      <c r="A969" s="48"/>
      <c r="B969" s="48"/>
      <c r="C969" s="48"/>
      <c r="D969" s="47"/>
      <c r="E969" s="48"/>
    </row>
    <row r="970" ht="15.75" customHeight="1">
      <c r="A970" s="48"/>
      <c r="B970" s="48"/>
      <c r="C970" s="48"/>
      <c r="D970" s="47"/>
      <c r="E970" s="48"/>
    </row>
    <row r="971" ht="15.75" customHeight="1">
      <c r="A971" s="48"/>
      <c r="B971" s="48"/>
      <c r="C971" s="48"/>
      <c r="D971" s="47"/>
      <c r="E971" s="48"/>
    </row>
    <row r="972" ht="15.75" customHeight="1">
      <c r="A972" s="48"/>
      <c r="B972" s="48"/>
      <c r="C972" s="48"/>
      <c r="D972" s="47"/>
      <c r="E972" s="48"/>
    </row>
    <row r="973" ht="15.75" customHeight="1">
      <c r="A973" s="48"/>
      <c r="B973" s="48"/>
      <c r="C973" s="48"/>
      <c r="D973" s="47"/>
      <c r="E973" s="48"/>
    </row>
    <row r="974" ht="15.75" customHeight="1">
      <c r="A974" s="48"/>
      <c r="B974" s="48"/>
      <c r="C974" s="48"/>
      <c r="D974" s="47"/>
      <c r="E974" s="48"/>
    </row>
    <row r="975" ht="15.75" customHeight="1">
      <c r="A975" s="48"/>
      <c r="B975" s="48"/>
      <c r="C975" s="48"/>
      <c r="D975" s="47"/>
      <c r="E975" s="48"/>
    </row>
    <row r="976" ht="15.75" customHeight="1">
      <c r="A976" s="48"/>
      <c r="B976" s="48"/>
      <c r="C976" s="48"/>
      <c r="D976" s="47"/>
      <c r="E976" s="48"/>
    </row>
    <row r="977" ht="15.75" customHeight="1">
      <c r="A977" s="48"/>
      <c r="B977" s="48"/>
      <c r="C977" s="48"/>
      <c r="D977" s="47"/>
      <c r="E977" s="48"/>
    </row>
    <row r="978" ht="15.75" customHeight="1">
      <c r="A978" s="48"/>
      <c r="B978" s="48"/>
      <c r="C978" s="48"/>
      <c r="D978" s="47"/>
      <c r="E978" s="48"/>
    </row>
    <row r="979" ht="15.75" customHeight="1">
      <c r="A979" s="48"/>
      <c r="B979" s="48"/>
      <c r="C979" s="48"/>
      <c r="D979" s="47"/>
      <c r="E979" s="48"/>
    </row>
    <row r="980" ht="15.75" customHeight="1">
      <c r="A980" s="48"/>
      <c r="B980" s="48"/>
      <c r="C980" s="48"/>
      <c r="D980" s="47"/>
      <c r="E980" s="48"/>
    </row>
    <row r="981" ht="15.75" customHeight="1">
      <c r="A981" s="48"/>
      <c r="B981" s="48"/>
      <c r="C981" s="48"/>
      <c r="D981" s="47"/>
      <c r="E981" s="48"/>
    </row>
    <row r="982" ht="15.75" customHeight="1">
      <c r="A982" s="48"/>
      <c r="B982" s="48"/>
      <c r="C982" s="48"/>
      <c r="D982" s="47"/>
      <c r="E982" s="48"/>
    </row>
    <row r="983" ht="15.75" customHeight="1">
      <c r="A983" s="48"/>
      <c r="B983" s="48"/>
      <c r="C983" s="48"/>
      <c r="D983" s="47"/>
      <c r="E983" s="48"/>
    </row>
    <row r="984" ht="15.75" customHeight="1">
      <c r="A984" s="48"/>
      <c r="B984" s="48"/>
      <c r="C984" s="48"/>
      <c r="D984" s="47"/>
      <c r="E984" s="48"/>
    </row>
    <row r="985" ht="15.75" customHeight="1">
      <c r="A985" s="48"/>
      <c r="B985" s="48"/>
      <c r="C985" s="48"/>
      <c r="D985" s="47"/>
      <c r="E985" s="48"/>
    </row>
    <row r="986" ht="15.75" customHeight="1">
      <c r="A986" s="48"/>
      <c r="B986" s="48"/>
      <c r="C986" s="48"/>
      <c r="D986" s="47"/>
      <c r="E986" s="48"/>
    </row>
    <row r="987" ht="15.75" customHeight="1">
      <c r="A987" s="48"/>
      <c r="B987" s="48"/>
      <c r="C987" s="48"/>
      <c r="D987" s="47"/>
      <c r="E987" s="48"/>
    </row>
    <row r="988" ht="15.75" customHeight="1">
      <c r="A988" s="48"/>
      <c r="B988" s="48"/>
      <c r="C988" s="48"/>
      <c r="D988" s="47"/>
      <c r="E988" s="48"/>
    </row>
    <row r="989" ht="15.75" customHeight="1">
      <c r="A989" s="48"/>
      <c r="B989" s="48"/>
      <c r="C989" s="48"/>
      <c r="D989" s="47"/>
      <c r="E989" s="48"/>
    </row>
    <row r="990" ht="15.75" customHeight="1">
      <c r="A990" s="48"/>
      <c r="B990" s="48"/>
      <c r="C990" s="48"/>
      <c r="D990" s="47"/>
      <c r="E990" s="48"/>
    </row>
    <row r="991" ht="15.75" customHeight="1">
      <c r="A991" s="48"/>
      <c r="B991" s="48"/>
      <c r="C991" s="48"/>
      <c r="D991" s="47"/>
      <c r="E991" s="48"/>
    </row>
    <row r="992" ht="15.75" customHeight="1">
      <c r="A992" s="48"/>
      <c r="B992" s="48"/>
      <c r="C992" s="48"/>
      <c r="D992" s="47"/>
      <c r="E992" s="48"/>
    </row>
    <row r="993" ht="15.75" customHeight="1">
      <c r="A993" s="48"/>
      <c r="B993" s="48"/>
      <c r="C993" s="48"/>
      <c r="D993" s="47"/>
      <c r="E993" s="48"/>
    </row>
    <row r="994" ht="15.75" customHeight="1">
      <c r="A994" s="48"/>
      <c r="B994" s="48"/>
      <c r="C994" s="48"/>
      <c r="D994" s="47"/>
      <c r="E994" s="48"/>
    </row>
    <row r="995" ht="15.75" customHeight="1">
      <c r="A995" s="48"/>
      <c r="B995" s="48"/>
      <c r="C995" s="48"/>
      <c r="D995" s="47"/>
      <c r="E995" s="48"/>
    </row>
    <row r="996" ht="15.75" customHeight="1">
      <c r="A996" s="48"/>
      <c r="B996" s="48"/>
      <c r="C996" s="48"/>
      <c r="D996" s="47"/>
      <c r="E996" s="48"/>
    </row>
    <row r="997" ht="15.75" customHeight="1">
      <c r="A997" s="48"/>
      <c r="B997" s="48"/>
      <c r="C997" s="48"/>
      <c r="D997" s="47"/>
      <c r="E997" s="48"/>
    </row>
    <row r="998" ht="15.75" customHeight="1">
      <c r="A998" s="48"/>
      <c r="B998" s="48"/>
      <c r="C998" s="48"/>
      <c r="D998" s="47"/>
      <c r="E998" s="48"/>
    </row>
    <row r="999" ht="15.75" customHeight="1">
      <c r="A999" s="48"/>
      <c r="B999" s="48"/>
      <c r="C999" s="48"/>
      <c r="D999" s="47"/>
      <c r="E999" s="48"/>
    </row>
    <row r="1000" ht="15.75" customHeight="1">
      <c r="A1000" s="48"/>
      <c r="B1000" s="48"/>
      <c r="C1000" s="48"/>
      <c r="D1000" s="47"/>
      <c r="E1000" s="48"/>
    </row>
    <row r="1001" ht="15.75" customHeight="1">
      <c r="A1001" s="48"/>
      <c r="B1001" s="48"/>
      <c r="C1001" s="48"/>
      <c r="D1001" s="47"/>
      <c r="E1001" s="48"/>
    </row>
    <row r="1002" ht="15.75" customHeight="1">
      <c r="A1002" s="48"/>
      <c r="B1002" s="48"/>
      <c r="C1002" s="48"/>
      <c r="D1002" s="47"/>
      <c r="E1002" s="48"/>
    </row>
    <row r="1003" ht="15.75" customHeight="1">
      <c r="A1003" s="48"/>
      <c r="B1003" s="48"/>
      <c r="C1003" s="48"/>
      <c r="D1003" s="47"/>
      <c r="E1003" s="48"/>
    </row>
    <row r="1004" ht="15.75" customHeight="1">
      <c r="A1004" s="48"/>
      <c r="B1004" s="48"/>
      <c r="C1004" s="48"/>
      <c r="D1004" s="47"/>
      <c r="E1004" s="48"/>
    </row>
    <row r="1005" ht="15.75" customHeight="1">
      <c r="A1005" s="48"/>
      <c r="B1005" s="48"/>
      <c r="C1005" s="48"/>
      <c r="D1005" s="47"/>
      <c r="E1005" s="48"/>
    </row>
    <row r="1006" ht="15.75" customHeight="1">
      <c r="A1006" s="48"/>
      <c r="B1006" s="48"/>
      <c r="C1006" s="48"/>
      <c r="D1006" s="47"/>
      <c r="E1006" s="48"/>
    </row>
    <row r="1007" ht="15.75" customHeight="1">
      <c r="A1007" s="48"/>
      <c r="B1007" s="48"/>
      <c r="C1007" s="48"/>
      <c r="D1007" s="47"/>
      <c r="E1007" s="48"/>
    </row>
    <row r="1008" ht="15.75" customHeight="1">
      <c r="A1008" s="48"/>
      <c r="B1008" s="48"/>
      <c r="C1008" s="48"/>
      <c r="D1008" s="47"/>
      <c r="E1008" s="48"/>
    </row>
    <row r="1009" ht="15.75" customHeight="1">
      <c r="A1009" s="48"/>
      <c r="B1009" s="48"/>
      <c r="C1009" s="48"/>
      <c r="D1009" s="47"/>
      <c r="E1009" s="48"/>
    </row>
    <row r="1010" ht="15.75" customHeight="1">
      <c r="A1010" s="48"/>
      <c r="B1010" s="48"/>
      <c r="C1010" s="48"/>
      <c r="D1010" s="47"/>
      <c r="E1010" s="48"/>
    </row>
    <row r="1011" ht="15.75" customHeight="1">
      <c r="A1011" s="48"/>
      <c r="B1011" s="48"/>
      <c r="C1011" s="48"/>
      <c r="D1011" s="47"/>
      <c r="E1011" s="48"/>
    </row>
    <row r="1012" ht="15.75" customHeight="1">
      <c r="A1012" s="48"/>
      <c r="B1012" s="48"/>
      <c r="C1012" s="48"/>
      <c r="D1012" s="47"/>
      <c r="E1012" s="48"/>
    </row>
    <row r="1013" ht="15.75" customHeight="1">
      <c r="A1013" s="48"/>
      <c r="B1013" s="48"/>
      <c r="C1013" s="48"/>
      <c r="D1013" s="47"/>
      <c r="E1013" s="48"/>
    </row>
    <row r="1014" ht="15.75" customHeight="1">
      <c r="A1014" s="48"/>
      <c r="B1014" s="48"/>
      <c r="C1014" s="48"/>
      <c r="D1014" s="47"/>
      <c r="E1014" s="48"/>
    </row>
    <row r="1015" ht="15.75" customHeight="1">
      <c r="A1015" s="48"/>
      <c r="B1015" s="48"/>
      <c r="C1015" s="48"/>
      <c r="D1015" s="47"/>
      <c r="E1015" s="48"/>
    </row>
    <row r="1016" ht="15.75" customHeight="1">
      <c r="A1016" s="48"/>
      <c r="B1016" s="48"/>
      <c r="C1016" s="48"/>
      <c r="D1016" s="47"/>
      <c r="E1016" s="48"/>
    </row>
    <row r="1017" ht="15.75" customHeight="1">
      <c r="A1017" s="48"/>
      <c r="B1017" s="48"/>
      <c r="C1017" s="48"/>
      <c r="D1017" s="47"/>
      <c r="E1017" s="48"/>
    </row>
    <row r="1018" ht="15.75" customHeight="1">
      <c r="A1018" s="48"/>
      <c r="B1018" s="48"/>
      <c r="C1018" s="48"/>
      <c r="D1018" s="47"/>
      <c r="E1018" s="48"/>
    </row>
    <row r="1019" ht="15.75" customHeight="1">
      <c r="A1019" s="48"/>
      <c r="B1019" s="48"/>
      <c r="C1019" s="48"/>
      <c r="D1019" s="47"/>
      <c r="E1019" s="48"/>
    </row>
    <row r="1020" ht="15.75" customHeight="1">
      <c r="A1020" s="48"/>
      <c r="B1020" s="48"/>
      <c r="C1020" s="48"/>
      <c r="D1020" s="47"/>
      <c r="E1020" s="48"/>
    </row>
    <row r="1021" ht="15.75" customHeight="1">
      <c r="A1021" s="48"/>
      <c r="B1021" s="48"/>
      <c r="C1021" s="48"/>
      <c r="D1021" s="47"/>
      <c r="E1021" s="48"/>
    </row>
    <row r="1022" ht="15.75" customHeight="1">
      <c r="A1022" s="48"/>
      <c r="B1022" s="48"/>
      <c r="C1022" s="48"/>
      <c r="D1022" s="47"/>
      <c r="E1022" s="48"/>
    </row>
    <row r="1023" ht="15.75" customHeight="1">
      <c r="A1023" s="48"/>
      <c r="B1023" s="48"/>
      <c r="C1023" s="48"/>
      <c r="D1023" s="47"/>
      <c r="E1023" s="48"/>
    </row>
    <row r="1024" ht="15.75" customHeight="1">
      <c r="A1024" s="48"/>
      <c r="B1024" s="48"/>
      <c r="C1024" s="48"/>
      <c r="D1024" s="47"/>
      <c r="E1024" s="48"/>
    </row>
    <row r="1025" ht="15.75" customHeight="1">
      <c r="A1025" s="48"/>
      <c r="B1025" s="48"/>
      <c r="C1025" s="48"/>
      <c r="D1025" s="47"/>
      <c r="E1025" s="48"/>
    </row>
    <row r="1026" ht="15.75" customHeight="1">
      <c r="A1026" s="48"/>
      <c r="B1026" s="48"/>
      <c r="C1026" s="48"/>
      <c r="D1026" s="47"/>
      <c r="E1026" s="48"/>
    </row>
    <row r="1027" ht="15.75" customHeight="1">
      <c r="A1027" s="48"/>
      <c r="B1027" s="48"/>
      <c r="C1027" s="48"/>
      <c r="D1027" s="47"/>
      <c r="E1027" s="48"/>
    </row>
    <row r="1028" ht="15.75" customHeight="1">
      <c r="A1028" s="48"/>
      <c r="B1028" s="48"/>
      <c r="C1028" s="48"/>
      <c r="D1028" s="47"/>
      <c r="E1028" s="48"/>
    </row>
    <row r="1029" ht="15.75" customHeight="1">
      <c r="A1029" s="48"/>
      <c r="B1029" s="48"/>
      <c r="C1029" s="48"/>
      <c r="D1029" s="47"/>
      <c r="E1029" s="48"/>
    </row>
    <row r="1030" ht="15.75" customHeight="1">
      <c r="A1030" s="48"/>
      <c r="B1030" s="48"/>
      <c r="C1030" s="48"/>
      <c r="D1030" s="47"/>
      <c r="E1030" s="48"/>
    </row>
    <row r="1031" ht="15.75" customHeight="1">
      <c r="A1031" s="48"/>
      <c r="B1031" s="48"/>
      <c r="C1031" s="48"/>
      <c r="D1031" s="47"/>
      <c r="E1031" s="48"/>
    </row>
    <row r="1032" ht="15.75" customHeight="1">
      <c r="A1032" s="48"/>
      <c r="B1032" s="48"/>
      <c r="C1032" s="48"/>
      <c r="D1032" s="47"/>
      <c r="E1032" s="48"/>
    </row>
    <row r="1033" ht="15.75" customHeight="1">
      <c r="A1033" s="48"/>
      <c r="B1033" s="48"/>
      <c r="C1033" s="48"/>
      <c r="D1033" s="47"/>
      <c r="E1033" s="48"/>
    </row>
    <row r="1034" ht="15.75" customHeight="1">
      <c r="A1034" s="48"/>
      <c r="B1034" s="48"/>
      <c r="C1034" s="48"/>
      <c r="D1034" s="47"/>
      <c r="E1034" s="48"/>
    </row>
    <row r="1035" ht="15.75" customHeight="1">
      <c r="A1035" s="48"/>
      <c r="B1035" s="48"/>
      <c r="C1035" s="48"/>
      <c r="D1035" s="47"/>
      <c r="E1035" s="48"/>
    </row>
    <row r="1036" ht="15.75" customHeight="1">
      <c r="A1036" s="48"/>
      <c r="B1036" s="48"/>
      <c r="C1036" s="48"/>
      <c r="D1036" s="47"/>
      <c r="E1036" s="48"/>
    </row>
    <row r="1037" ht="15.75" customHeight="1">
      <c r="A1037" s="48"/>
      <c r="B1037" s="48"/>
      <c r="C1037" s="48"/>
      <c r="D1037" s="47"/>
      <c r="E1037" s="48"/>
    </row>
    <row r="1038" ht="15.75" customHeight="1">
      <c r="A1038" s="48"/>
      <c r="B1038" s="48"/>
      <c r="C1038" s="48"/>
      <c r="D1038" s="47"/>
      <c r="E1038" s="48"/>
    </row>
    <row r="1039" ht="15.75" customHeight="1">
      <c r="A1039" s="48"/>
      <c r="B1039" s="48"/>
      <c r="C1039" s="48"/>
      <c r="D1039" s="47"/>
      <c r="E1039" s="48"/>
    </row>
    <row r="1040" ht="15.75" customHeight="1">
      <c r="A1040" s="48"/>
      <c r="B1040" s="48"/>
      <c r="C1040" s="48"/>
      <c r="D1040" s="47"/>
      <c r="E1040" s="48"/>
    </row>
    <row r="1041" ht="15.75" customHeight="1">
      <c r="A1041" s="48"/>
      <c r="B1041" s="48"/>
      <c r="C1041" s="48"/>
      <c r="D1041" s="47"/>
      <c r="E1041" s="48"/>
    </row>
    <row r="1042" ht="15.75" customHeight="1">
      <c r="A1042" s="48"/>
      <c r="B1042" s="48"/>
      <c r="C1042" s="48"/>
      <c r="D1042" s="47"/>
      <c r="E1042" s="48"/>
    </row>
    <row r="1043" ht="15.75" customHeight="1">
      <c r="A1043" s="48"/>
      <c r="B1043" s="48"/>
      <c r="C1043" s="48"/>
      <c r="D1043" s="47"/>
      <c r="E1043" s="48"/>
    </row>
    <row r="1044" ht="15.75" customHeight="1">
      <c r="A1044" s="48"/>
      <c r="B1044" s="48"/>
      <c r="C1044" s="48"/>
      <c r="D1044" s="47"/>
      <c r="E1044" s="48"/>
    </row>
    <row r="1045" ht="15.75" customHeight="1">
      <c r="A1045" s="48"/>
      <c r="B1045" s="48"/>
      <c r="C1045" s="48"/>
      <c r="D1045" s="47"/>
      <c r="E1045" s="48"/>
    </row>
    <row r="1046" ht="15.75" customHeight="1">
      <c r="A1046" s="48"/>
      <c r="B1046" s="48"/>
      <c r="C1046" s="48"/>
      <c r="D1046" s="47"/>
      <c r="E1046" s="48"/>
    </row>
    <row r="1047" ht="15.75" customHeight="1">
      <c r="A1047" s="48"/>
      <c r="B1047" s="48"/>
      <c r="C1047" s="48"/>
      <c r="D1047" s="47"/>
      <c r="E1047" s="48"/>
    </row>
    <row r="1048" ht="15.75" customHeight="1">
      <c r="A1048" s="48"/>
      <c r="B1048" s="48"/>
      <c r="C1048" s="48"/>
      <c r="D1048" s="47"/>
      <c r="E1048" s="48"/>
    </row>
    <row r="1049" ht="15.75" customHeight="1">
      <c r="A1049" s="48"/>
      <c r="B1049" s="48"/>
      <c r="C1049" s="48"/>
      <c r="D1049" s="47"/>
      <c r="E1049" s="48"/>
    </row>
    <row r="1050" ht="15.75" customHeight="1">
      <c r="A1050" s="48"/>
      <c r="B1050" s="48"/>
      <c r="C1050" s="48"/>
      <c r="D1050" s="47"/>
      <c r="E1050" s="48"/>
    </row>
    <row r="1051" ht="15.75" customHeight="1">
      <c r="A1051" s="48"/>
      <c r="B1051" s="48"/>
      <c r="C1051" s="48"/>
      <c r="D1051" s="47"/>
      <c r="E1051" s="48"/>
    </row>
    <row r="1052" ht="15.75" customHeight="1">
      <c r="A1052" s="48"/>
      <c r="B1052" s="48"/>
      <c r="C1052" s="48"/>
      <c r="D1052" s="47"/>
      <c r="E1052" s="48"/>
    </row>
    <row r="1053" ht="15.75" customHeight="1">
      <c r="A1053" s="48"/>
      <c r="B1053" s="48"/>
      <c r="C1053" s="48"/>
      <c r="D1053" s="47"/>
      <c r="E1053" s="48"/>
    </row>
    <row r="1054" ht="15.75" customHeight="1">
      <c r="A1054" s="48"/>
      <c r="B1054" s="48"/>
      <c r="C1054" s="48"/>
      <c r="D1054" s="47"/>
      <c r="E1054" s="48"/>
    </row>
    <row r="1055" ht="15.75" customHeight="1">
      <c r="A1055" s="48"/>
      <c r="B1055" s="48"/>
      <c r="C1055" s="48"/>
      <c r="D1055" s="47"/>
      <c r="E1055" s="48"/>
    </row>
    <row r="1056" ht="15.75" customHeight="1">
      <c r="A1056" s="48"/>
      <c r="B1056" s="48"/>
      <c r="C1056" s="48"/>
      <c r="D1056" s="47"/>
      <c r="E1056" s="48"/>
    </row>
    <row r="1057" ht="15.75" customHeight="1">
      <c r="A1057" s="48"/>
      <c r="B1057" s="48"/>
      <c r="C1057" s="48"/>
      <c r="D1057" s="47"/>
      <c r="E1057" s="48"/>
    </row>
    <row r="1058" ht="15.75" customHeight="1">
      <c r="A1058" s="48"/>
      <c r="B1058" s="48"/>
      <c r="C1058" s="48"/>
      <c r="D1058" s="47"/>
      <c r="E1058" s="48"/>
    </row>
    <row r="1059" ht="15.75" customHeight="1">
      <c r="A1059" s="48"/>
      <c r="B1059" s="48"/>
      <c r="C1059" s="48"/>
      <c r="D1059" s="47"/>
      <c r="E1059" s="48"/>
    </row>
    <row r="1060" ht="15.75" customHeight="1">
      <c r="A1060" s="48"/>
      <c r="B1060" s="48"/>
      <c r="C1060" s="48"/>
      <c r="D1060" s="47"/>
      <c r="E1060" s="48"/>
    </row>
    <row r="1061" ht="15.75" customHeight="1">
      <c r="A1061" s="48"/>
      <c r="B1061" s="48"/>
      <c r="C1061" s="48"/>
      <c r="D1061" s="47"/>
      <c r="E1061" s="48"/>
    </row>
    <row r="1062" ht="15.75" customHeight="1">
      <c r="A1062" s="48"/>
      <c r="B1062" s="48"/>
      <c r="C1062" s="48"/>
      <c r="D1062" s="47"/>
      <c r="E1062" s="48"/>
    </row>
    <row r="1063" ht="15.75" customHeight="1">
      <c r="A1063" s="48"/>
      <c r="B1063" s="48"/>
      <c r="C1063" s="48"/>
      <c r="D1063" s="47"/>
      <c r="E1063" s="48"/>
    </row>
    <row r="1064" ht="15.75" customHeight="1">
      <c r="A1064" s="48"/>
      <c r="B1064" s="48"/>
      <c r="C1064" s="48"/>
      <c r="D1064" s="47"/>
      <c r="E1064" s="48"/>
    </row>
    <row r="1065" ht="15.75" customHeight="1">
      <c r="A1065" s="48"/>
      <c r="B1065" s="48"/>
      <c r="C1065" s="48"/>
      <c r="D1065" s="47"/>
      <c r="E1065" s="48"/>
    </row>
    <row r="1066" ht="15.75" customHeight="1">
      <c r="A1066" s="48"/>
      <c r="B1066" s="48"/>
      <c r="C1066" s="48"/>
      <c r="D1066" s="47"/>
      <c r="E1066" s="48"/>
    </row>
    <row r="1067" ht="15.75" customHeight="1">
      <c r="A1067" s="48"/>
      <c r="B1067" s="48"/>
      <c r="C1067" s="48"/>
      <c r="D1067" s="47"/>
      <c r="E1067" s="48"/>
    </row>
    <row r="1068" ht="15.75" customHeight="1">
      <c r="A1068" s="48"/>
      <c r="B1068" s="48"/>
      <c r="C1068" s="48"/>
      <c r="D1068" s="47"/>
      <c r="E1068" s="48"/>
    </row>
    <row r="1069" ht="15.75" customHeight="1">
      <c r="A1069" s="48"/>
      <c r="B1069" s="48"/>
      <c r="C1069" s="48"/>
      <c r="D1069" s="47"/>
      <c r="E1069" s="48"/>
    </row>
    <row r="1070" ht="15.75" customHeight="1">
      <c r="A1070" s="48"/>
      <c r="B1070" s="48"/>
      <c r="C1070" s="48"/>
      <c r="D1070" s="47"/>
      <c r="E1070" s="48"/>
    </row>
    <row r="1071" ht="15.75" customHeight="1">
      <c r="A1071" s="48"/>
      <c r="B1071" s="48"/>
      <c r="C1071" s="48"/>
      <c r="D1071" s="47"/>
      <c r="E1071" s="48"/>
    </row>
    <row r="1072" ht="15.75" customHeight="1">
      <c r="A1072" s="48"/>
      <c r="B1072" s="48"/>
      <c r="C1072" s="48"/>
      <c r="D1072" s="47"/>
      <c r="E1072" s="48"/>
    </row>
    <row r="1073" ht="15.75" customHeight="1">
      <c r="A1073" s="48"/>
      <c r="B1073" s="48"/>
      <c r="C1073" s="48"/>
      <c r="D1073" s="47"/>
      <c r="E1073" s="48"/>
    </row>
    <row r="1074" ht="15.75" customHeight="1">
      <c r="A1074" s="48"/>
      <c r="B1074" s="48"/>
      <c r="C1074" s="48"/>
      <c r="D1074" s="47"/>
      <c r="E1074" s="48"/>
    </row>
    <row r="1075" ht="15.75" customHeight="1">
      <c r="A1075" s="48"/>
      <c r="B1075" s="48"/>
      <c r="C1075" s="48"/>
      <c r="D1075" s="47"/>
      <c r="E1075" s="48"/>
    </row>
    <row r="1076" ht="15.75" customHeight="1">
      <c r="A1076" s="48"/>
      <c r="B1076" s="48"/>
      <c r="C1076" s="48"/>
      <c r="D1076" s="47"/>
      <c r="E1076" s="48"/>
    </row>
    <row r="1077" ht="15.75" customHeight="1">
      <c r="A1077" s="48"/>
      <c r="B1077" s="48"/>
      <c r="C1077" s="48"/>
      <c r="D1077" s="47"/>
      <c r="E1077" s="48"/>
    </row>
    <row r="1078" ht="15.75" customHeight="1">
      <c r="A1078" s="48"/>
      <c r="B1078" s="48"/>
      <c r="C1078" s="48"/>
      <c r="D1078" s="47"/>
      <c r="E1078" s="48"/>
    </row>
    <row r="1079" ht="15.75" customHeight="1">
      <c r="A1079" s="48"/>
      <c r="B1079" s="48"/>
      <c r="C1079" s="48"/>
      <c r="D1079" s="47"/>
      <c r="E1079" s="48"/>
    </row>
    <row r="1080" ht="15.75" customHeight="1">
      <c r="A1080" s="48"/>
      <c r="B1080" s="48"/>
      <c r="C1080" s="48"/>
      <c r="D1080" s="47"/>
      <c r="E1080" s="48"/>
    </row>
    <row r="1081" ht="15.75" customHeight="1">
      <c r="A1081" s="48"/>
      <c r="B1081" s="48"/>
      <c r="C1081" s="48"/>
      <c r="D1081" s="47"/>
      <c r="E1081" s="48"/>
    </row>
    <row r="1082" ht="15.75" customHeight="1">
      <c r="A1082" s="48"/>
      <c r="B1082" s="48"/>
      <c r="C1082" s="48"/>
      <c r="D1082" s="47"/>
      <c r="E1082" s="48"/>
    </row>
    <row r="1083" ht="15.75" customHeight="1">
      <c r="A1083" s="48"/>
      <c r="B1083" s="48"/>
      <c r="C1083" s="48"/>
      <c r="D1083" s="47"/>
      <c r="E1083" s="48"/>
    </row>
    <row r="1084" ht="15.75" customHeight="1">
      <c r="A1084" s="48"/>
      <c r="B1084" s="48"/>
      <c r="C1084" s="48"/>
      <c r="D1084" s="47"/>
      <c r="E1084" s="48"/>
    </row>
    <row r="1085" ht="15.75" customHeight="1">
      <c r="A1085" s="48"/>
      <c r="B1085" s="48"/>
      <c r="C1085" s="48"/>
      <c r="D1085" s="47"/>
      <c r="E1085" s="48"/>
    </row>
    <row r="1086" ht="15.75" customHeight="1">
      <c r="A1086" s="48"/>
      <c r="B1086" s="48"/>
      <c r="C1086" s="48"/>
      <c r="D1086" s="47"/>
      <c r="E1086" s="48"/>
    </row>
    <row r="1087" ht="15.75" customHeight="1">
      <c r="A1087" s="48"/>
      <c r="B1087" s="48"/>
      <c r="C1087" s="48"/>
      <c r="D1087" s="47"/>
      <c r="E1087" s="48"/>
    </row>
    <row r="1088" ht="15.75" customHeight="1">
      <c r="A1088" s="48"/>
      <c r="B1088" s="48"/>
      <c r="C1088" s="48"/>
      <c r="D1088" s="47"/>
      <c r="E1088" s="48"/>
    </row>
    <row r="1089" ht="15.75" customHeight="1">
      <c r="A1089" s="48"/>
      <c r="B1089" s="48"/>
      <c r="C1089" s="48"/>
      <c r="D1089" s="47"/>
      <c r="E1089" s="48"/>
    </row>
    <row r="1090" ht="15.75" customHeight="1">
      <c r="A1090" s="48"/>
      <c r="B1090" s="48"/>
      <c r="C1090" s="48"/>
      <c r="D1090" s="47"/>
      <c r="E1090" s="48"/>
    </row>
    <row r="1091" ht="15.75" customHeight="1">
      <c r="A1091" s="48"/>
      <c r="B1091" s="48"/>
      <c r="C1091" s="48"/>
      <c r="D1091" s="47"/>
      <c r="E1091" s="48"/>
    </row>
    <row r="1092" ht="15.75" customHeight="1">
      <c r="A1092" s="48"/>
      <c r="B1092" s="48"/>
      <c r="C1092" s="48"/>
      <c r="D1092" s="47"/>
      <c r="E1092" s="48"/>
    </row>
    <row r="1093" ht="15.75" customHeight="1">
      <c r="A1093" s="48"/>
      <c r="B1093" s="48"/>
      <c r="C1093" s="48"/>
      <c r="D1093" s="47"/>
      <c r="E1093" s="48"/>
    </row>
    <row r="1094" ht="15.75" customHeight="1">
      <c r="A1094" s="48"/>
      <c r="B1094" s="48"/>
      <c r="C1094" s="48"/>
      <c r="D1094" s="47"/>
      <c r="E1094" s="48"/>
    </row>
    <row r="1095" ht="15.75" customHeight="1">
      <c r="A1095" s="48"/>
      <c r="B1095" s="48"/>
      <c r="C1095" s="48"/>
      <c r="D1095" s="47"/>
      <c r="E1095" s="48"/>
    </row>
    <row r="1096" ht="15.75" customHeight="1">
      <c r="A1096" s="48"/>
      <c r="B1096" s="48"/>
      <c r="C1096" s="48"/>
      <c r="D1096" s="47"/>
      <c r="E1096" s="48"/>
    </row>
    <row r="1097" ht="15.75" customHeight="1">
      <c r="A1097" s="48"/>
      <c r="B1097" s="48"/>
      <c r="C1097" s="48"/>
      <c r="D1097" s="47"/>
      <c r="E1097" s="48"/>
    </row>
    <row r="1098" ht="15.75" customHeight="1">
      <c r="A1098" s="48"/>
      <c r="B1098" s="48"/>
      <c r="C1098" s="48"/>
      <c r="D1098" s="47"/>
      <c r="E1098" s="48"/>
    </row>
    <row r="1099" ht="15.75" customHeight="1">
      <c r="A1099" s="48"/>
      <c r="B1099" s="48"/>
      <c r="C1099" s="48"/>
      <c r="D1099" s="47"/>
      <c r="E1099" s="48"/>
    </row>
    <row r="1100" ht="15.75" customHeight="1">
      <c r="A1100" s="48"/>
      <c r="B1100" s="48"/>
      <c r="C1100" s="48"/>
      <c r="D1100" s="47"/>
      <c r="E1100" s="48"/>
    </row>
    <row r="1101" ht="15.75" customHeight="1">
      <c r="A1101" s="48"/>
      <c r="B1101" s="48"/>
      <c r="C1101" s="48"/>
      <c r="D1101" s="47"/>
      <c r="E1101" s="48"/>
    </row>
    <row r="1102" ht="15.75" customHeight="1">
      <c r="A1102" s="48"/>
      <c r="B1102" s="48"/>
      <c r="C1102" s="48"/>
      <c r="D1102" s="47"/>
      <c r="E1102" s="48"/>
    </row>
    <row r="1103" ht="15.75" customHeight="1">
      <c r="A1103" s="48"/>
      <c r="B1103" s="48"/>
      <c r="C1103" s="48"/>
      <c r="D1103" s="47"/>
      <c r="E1103" s="48"/>
    </row>
    <row r="1104" ht="15.75" customHeight="1">
      <c r="A1104" s="48"/>
      <c r="B1104" s="48"/>
      <c r="C1104" s="48"/>
      <c r="D1104" s="47"/>
      <c r="E1104" s="48"/>
    </row>
    <row r="1105" ht="15.75" customHeight="1">
      <c r="A1105" s="48"/>
      <c r="B1105" s="48"/>
      <c r="C1105" s="48"/>
      <c r="D1105" s="47"/>
      <c r="E1105" s="48"/>
    </row>
    <row r="1106" ht="15.75" customHeight="1">
      <c r="A1106" s="48"/>
      <c r="B1106" s="48"/>
      <c r="C1106" s="48"/>
      <c r="D1106" s="47"/>
      <c r="E1106" s="48"/>
    </row>
    <row r="1107" ht="15.75" customHeight="1">
      <c r="A1107" s="48"/>
      <c r="B1107" s="48"/>
      <c r="C1107" s="48"/>
      <c r="D1107" s="47"/>
      <c r="E1107" s="48"/>
    </row>
    <row r="1108" ht="15.75" customHeight="1">
      <c r="A1108" s="48"/>
      <c r="B1108" s="48"/>
      <c r="C1108" s="48"/>
      <c r="D1108" s="47"/>
      <c r="E1108" s="48"/>
    </row>
    <row r="1109" ht="15.75" customHeight="1">
      <c r="A1109" s="48"/>
      <c r="B1109" s="48"/>
      <c r="C1109" s="48"/>
      <c r="D1109" s="47"/>
      <c r="E1109" s="48"/>
    </row>
    <row r="1110" ht="15.75" customHeight="1">
      <c r="A1110" s="48"/>
      <c r="B1110" s="48"/>
      <c r="C1110" s="48"/>
      <c r="D1110" s="47"/>
      <c r="E1110" s="48"/>
    </row>
    <row r="1111" ht="15.75" customHeight="1">
      <c r="A1111" s="48"/>
      <c r="B1111" s="48"/>
      <c r="C1111" s="48"/>
      <c r="D1111" s="47"/>
      <c r="E1111" s="48"/>
    </row>
    <row r="1112" ht="15.75" customHeight="1">
      <c r="A1112" s="48"/>
      <c r="B1112" s="48"/>
      <c r="C1112" s="48"/>
      <c r="D1112" s="47"/>
      <c r="E1112" s="48"/>
    </row>
    <row r="1113" ht="15.75" customHeight="1">
      <c r="A1113" s="48"/>
      <c r="B1113" s="48"/>
      <c r="C1113" s="48"/>
      <c r="D1113" s="47"/>
      <c r="E1113" s="48"/>
    </row>
    <row r="1114" ht="15.75" customHeight="1">
      <c r="A1114" s="48"/>
      <c r="B1114" s="48"/>
      <c r="C1114" s="48"/>
      <c r="D1114" s="47"/>
      <c r="E1114" s="48"/>
    </row>
    <row r="1115" ht="15.75" customHeight="1">
      <c r="A1115" s="48"/>
      <c r="B1115" s="48"/>
      <c r="C1115" s="48"/>
      <c r="D1115" s="47"/>
      <c r="E1115" s="48"/>
    </row>
    <row r="1116" ht="15.75" customHeight="1">
      <c r="A1116" s="48"/>
      <c r="B1116" s="48"/>
      <c r="C1116" s="48"/>
      <c r="D1116" s="47"/>
      <c r="E1116" s="48"/>
    </row>
    <row r="1117" ht="15.75" customHeight="1">
      <c r="A1117" s="48"/>
      <c r="B1117" s="48"/>
      <c r="C1117" s="48"/>
      <c r="D1117" s="47"/>
      <c r="E1117" s="48"/>
    </row>
    <row r="1118" ht="15.75" customHeight="1">
      <c r="A1118" s="48"/>
      <c r="B1118" s="48"/>
      <c r="C1118" s="48"/>
      <c r="D1118" s="47"/>
      <c r="E1118" s="48"/>
    </row>
    <row r="1119" ht="15.75" customHeight="1">
      <c r="A1119" s="48"/>
      <c r="B1119" s="48"/>
      <c r="C1119" s="48"/>
      <c r="D1119" s="47"/>
      <c r="E1119" s="48"/>
    </row>
    <row r="1120" ht="15.75" customHeight="1">
      <c r="A1120" s="48"/>
      <c r="B1120" s="48"/>
      <c r="C1120" s="48"/>
      <c r="D1120" s="47"/>
      <c r="E1120" s="48"/>
    </row>
    <row r="1121" ht="15.75" customHeight="1">
      <c r="A1121" s="48"/>
      <c r="B1121" s="48"/>
      <c r="C1121" s="48"/>
      <c r="D1121" s="47"/>
      <c r="E1121" s="48"/>
    </row>
    <row r="1122" ht="15.75" customHeight="1">
      <c r="A1122" s="48"/>
      <c r="B1122" s="48"/>
      <c r="C1122" s="48"/>
      <c r="D1122" s="47"/>
      <c r="E1122" s="48"/>
    </row>
    <row r="1123" ht="15.75" customHeight="1">
      <c r="A1123" s="48"/>
      <c r="B1123" s="48"/>
      <c r="C1123" s="48"/>
      <c r="D1123" s="47"/>
      <c r="E1123" s="48"/>
    </row>
    <row r="1124" ht="15.75" customHeight="1">
      <c r="A1124" s="48"/>
      <c r="B1124" s="48"/>
      <c r="C1124" s="48"/>
      <c r="D1124" s="47"/>
      <c r="E1124" s="48"/>
    </row>
    <row r="1125" ht="15.75" customHeight="1">
      <c r="A1125" s="48"/>
      <c r="B1125" s="48"/>
      <c r="C1125" s="48"/>
      <c r="D1125" s="47"/>
      <c r="E1125" s="48"/>
    </row>
    <row r="1126" ht="15.75" customHeight="1">
      <c r="A1126" s="48"/>
      <c r="B1126" s="48"/>
      <c r="C1126" s="48"/>
      <c r="D1126" s="47"/>
      <c r="E1126" s="48"/>
    </row>
    <row r="1127" ht="15.75" customHeight="1">
      <c r="A1127" s="48"/>
      <c r="B1127" s="48"/>
      <c r="C1127" s="48"/>
      <c r="D1127" s="47"/>
      <c r="E1127" s="48"/>
    </row>
    <row r="1128" ht="15.75" customHeight="1">
      <c r="A1128" s="48"/>
      <c r="B1128" s="48"/>
      <c r="C1128" s="48"/>
      <c r="D1128" s="47"/>
      <c r="E1128" s="48"/>
    </row>
    <row r="1129" ht="15.75" customHeight="1">
      <c r="A1129" s="48"/>
      <c r="B1129" s="48"/>
      <c r="C1129" s="48"/>
      <c r="D1129" s="47"/>
      <c r="E1129" s="48"/>
    </row>
    <row r="1130" ht="15.75" customHeight="1">
      <c r="A1130" s="48"/>
      <c r="B1130" s="48"/>
      <c r="C1130" s="48"/>
      <c r="D1130" s="47"/>
      <c r="E1130" s="48"/>
    </row>
    <row r="1131" ht="15.75" customHeight="1">
      <c r="A1131" s="48"/>
      <c r="B1131" s="48"/>
      <c r="C1131" s="48"/>
      <c r="D1131" s="47"/>
      <c r="E1131" s="48"/>
    </row>
    <row r="1132" ht="15.75" customHeight="1">
      <c r="A1132" s="48"/>
      <c r="B1132" s="48"/>
      <c r="C1132" s="48"/>
      <c r="D1132" s="47"/>
      <c r="E1132" s="48"/>
    </row>
    <row r="1133" ht="15.75" customHeight="1">
      <c r="A1133" s="48"/>
      <c r="B1133" s="48"/>
      <c r="C1133" s="48"/>
      <c r="D1133" s="47"/>
      <c r="E1133" s="48"/>
    </row>
    <row r="1134" ht="15.75" customHeight="1">
      <c r="A1134" s="48"/>
      <c r="B1134" s="48"/>
      <c r="C1134" s="48"/>
      <c r="D1134" s="47"/>
      <c r="E1134" s="48"/>
    </row>
    <row r="1135" ht="15.75" customHeight="1">
      <c r="A1135" s="48"/>
      <c r="B1135" s="48"/>
      <c r="C1135" s="48"/>
      <c r="D1135" s="47"/>
      <c r="E1135" s="48"/>
    </row>
    <row r="1136" ht="15.75" customHeight="1">
      <c r="A1136" s="48"/>
      <c r="B1136" s="48"/>
      <c r="C1136" s="48"/>
      <c r="D1136" s="47"/>
      <c r="E1136" s="48"/>
    </row>
    <row r="1137" ht="15.75" customHeight="1">
      <c r="A1137" s="48"/>
      <c r="B1137" s="48"/>
      <c r="C1137" s="48"/>
      <c r="D1137" s="47"/>
      <c r="E1137" s="48"/>
    </row>
    <row r="1138" ht="15.75" customHeight="1">
      <c r="A1138" s="48"/>
      <c r="B1138" s="48"/>
      <c r="C1138" s="48"/>
      <c r="D1138" s="47"/>
      <c r="E1138" s="48"/>
    </row>
    <row r="1139" ht="15.75" customHeight="1">
      <c r="A1139" s="48"/>
      <c r="B1139" s="48"/>
      <c r="C1139" s="48"/>
      <c r="D1139" s="47"/>
      <c r="E1139" s="48"/>
    </row>
    <row r="1140" ht="15.75" customHeight="1">
      <c r="A1140" s="48"/>
      <c r="B1140" s="48"/>
      <c r="C1140" s="48"/>
      <c r="D1140" s="47"/>
      <c r="E1140" s="48"/>
    </row>
    <row r="1141" ht="15.75" customHeight="1">
      <c r="A1141" s="48"/>
      <c r="B1141" s="48"/>
      <c r="C1141" s="48"/>
      <c r="D1141" s="47"/>
      <c r="E1141" s="48"/>
    </row>
    <row r="1142" ht="15.75" customHeight="1">
      <c r="A1142" s="48"/>
      <c r="B1142" s="48"/>
      <c r="C1142" s="48"/>
      <c r="D1142" s="47"/>
      <c r="E1142" s="48"/>
    </row>
    <row r="1143" ht="15.75" customHeight="1">
      <c r="A1143" s="48"/>
      <c r="B1143" s="48"/>
      <c r="C1143" s="48"/>
      <c r="D1143" s="47"/>
      <c r="E1143" s="48"/>
    </row>
    <row r="1144" ht="15.75" customHeight="1">
      <c r="A1144" s="48"/>
      <c r="B1144" s="48"/>
      <c r="C1144" s="48"/>
      <c r="D1144" s="47"/>
      <c r="E1144" s="48"/>
    </row>
    <row r="1145" ht="15.75" customHeight="1">
      <c r="A1145" s="48"/>
      <c r="B1145" s="48"/>
      <c r="C1145" s="48"/>
      <c r="D1145" s="47"/>
      <c r="E1145" s="48"/>
    </row>
    <row r="1146" ht="15.75" customHeight="1">
      <c r="A1146" s="48"/>
      <c r="B1146" s="48"/>
      <c r="C1146" s="48"/>
      <c r="D1146" s="47"/>
      <c r="E1146" s="48"/>
    </row>
    <row r="1147" ht="15.75" customHeight="1">
      <c r="A1147" s="48"/>
      <c r="B1147" s="48"/>
      <c r="C1147" s="48"/>
      <c r="D1147" s="47"/>
      <c r="E1147" s="48"/>
    </row>
    <row r="1148" ht="15.75" customHeight="1">
      <c r="A1148" s="48"/>
      <c r="B1148" s="48"/>
      <c r="C1148" s="48"/>
      <c r="D1148" s="47"/>
      <c r="E1148" s="48"/>
    </row>
    <row r="1149" ht="15.75" customHeight="1">
      <c r="A1149" s="48"/>
      <c r="B1149" s="48"/>
      <c r="C1149" s="48"/>
      <c r="D1149" s="47"/>
      <c r="E1149" s="48"/>
    </row>
    <row r="1150" ht="15.75" customHeight="1">
      <c r="A1150" s="48"/>
      <c r="B1150" s="48"/>
      <c r="C1150" s="48"/>
      <c r="D1150" s="47"/>
      <c r="E1150" s="48"/>
    </row>
    <row r="1151" ht="15.75" customHeight="1">
      <c r="A1151" s="48"/>
      <c r="B1151" s="48"/>
      <c r="C1151" s="48"/>
      <c r="D1151" s="47"/>
      <c r="E1151" s="48"/>
    </row>
    <row r="1152" ht="15.75" customHeight="1">
      <c r="A1152" s="48"/>
      <c r="B1152" s="48"/>
      <c r="C1152" s="48"/>
      <c r="D1152" s="47"/>
      <c r="E1152" s="48"/>
    </row>
    <row r="1153" ht="15.75" customHeight="1">
      <c r="A1153" s="48"/>
      <c r="B1153" s="48"/>
      <c r="C1153" s="48"/>
      <c r="D1153" s="47"/>
      <c r="E1153" s="48"/>
    </row>
    <row r="1154" ht="15.75" customHeight="1">
      <c r="A1154" s="48"/>
      <c r="B1154" s="48"/>
      <c r="C1154" s="48"/>
      <c r="D1154" s="47"/>
      <c r="E1154" s="48"/>
    </row>
    <row r="1155" ht="15.75" customHeight="1">
      <c r="A1155" s="48"/>
      <c r="B1155" s="48"/>
      <c r="C1155" s="48"/>
      <c r="D1155" s="47"/>
      <c r="E1155" s="48"/>
    </row>
    <row r="1156" ht="15.75" customHeight="1">
      <c r="A1156" s="48"/>
      <c r="B1156" s="48"/>
      <c r="C1156" s="48"/>
      <c r="D1156" s="47"/>
      <c r="E1156" s="48"/>
    </row>
    <row r="1157" ht="15.75" customHeight="1">
      <c r="A1157" s="48"/>
      <c r="B1157" s="48"/>
      <c r="C1157" s="48"/>
      <c r="D1157" s="47"/>
      <c r="E1157" s="48"/>
    </row>
    <row r="1158" ht="15.75" customHeight="1">
      <c r="A1158" s="48"/>
      <c r="B1158" s="48"/>
      <c r="C1158" s="48"/>
      <c r="D1158" s="47"/>
      <c r="E1158" s="48"/>
    </row>
    <row r="1159" ht="15.75" customHeight="1">
      <c r="A1159" s="48"/>
      <c r="B1159" s="48"/>
      <c r="C1159" s="48"/>
      <c r="D1159" s="47"/>
      <c r="E1159" s="48"/>
    </row>
    <row r="1160" ht="15.75" customHeight="1">
      <c r="A1160" s="48"/>
      <c r="B1160" s="48"/>
      <c r="C1160" s="48"/>
      <c r="D1160" s="47"/>
      <c r="E1160" s="48"/>
    </row>
    <row r="1161" ht="15.75" customHeight="1">
      <c r="A1161" s="48"/>
      <c r="B1161" s="48"/>
      <c r="C1161" s="48"/>
      <c r="D1161" s="47"/>
      <c r="E1161" s="48"/>
    </row>
    <row r="1162" ht="15.75" customHeight="1">
      <c r="A1162" s="48"/>
      <c r="B1162" s="48"/>
      <c r="C1162" s="48"/>
      <c r="D1162" s="47"/>
      <c r="E1162" s="48"/>
    </row>
    <row r="1163" ht="15.75" customHeight="1">
      <c r="A1163" s="48"/>
      <c r="B1163" s="48"/>
      <c r="C1163" s="48"/>
      <c r="D1163" s="47"/>
      <c r="E1163" s="48"/>
    </row>
    <row r="1164" ht="15.75" customHeight="1">
      <c r="A1164" s="48"/>
      <c r="B1164" s="48"/>
      <c r="C1164" s="48"/>
      <c r="D1164" s="47"/>
      <c r="E1164" s="48"/>
    </row>
    <row r="1165" ht="15.75" customHeight="1">
      <c r="A1165" s="48"/>
      <c r="B1165" s="48"/>
      <c r="C1165" s="48"/>
      <c r="D1165" s="47"/>
      <c r="E1165" s="48"/>
    </row>
    <row r="1166" ht="15.75" customHeight="1">
      <c r="A1166" s="48"/>
      <c r="B1166" s="48"/>
      <c r="C1166" s="48"/>
      <c r="D1166" s="47"/>
      <c r="E1166" s="48"/>
    </row>
    <row r="1167" ht="15.75" customHeight="1">
      <c r="A1167" s="48"/>
      <c r="B1167" s="48"/>
      <c r="C1167" s="48"/>
      <c r="D1167" s="47"/>
      <c r="E1167" s="48"/>
    </row>
    <row r="1168" ht="15.75" customHeight="1">
      <c r="A1168" s="48"/>
      <c r="B1168" s="48"/>
      <c r="C1168" s="48"/>
      <c r="D1168" s="47"/>
      <c r="E1168" s="48"/>
    </row>
    <row r="1169" ht="15.75" customHeight="1">
      <c r="A1169" s="48"/>
      <c r="B1169" s="48"/>
      <c r="C1169" s="48"/>
      <c r="D1169" s="47"/>
      <c r="E1169" s="48"/>
    </row>
    <row r="1170" ht="15.75" customHeight="1">
      <c r="A1170" s="48"/>
      <c r="B1170" s="48"/>
      <c r="C1170" s="48"/>
      <c r="D1170" s="47"/>
      <c r="E1170" s="48"/>
    </row>
    <row r="1171" ht="15.75" customHeight="1">
      <c r="A1171" s="48"/>
      <c r="B1171" s="48"/>
      <c r="C1171" s="48"/>
      <c r="D1171" s="47"/>
      <c r="E1171" s="48"/>
    </row>
    <row r="1172" ht="15.75" customHeight="1">
      <c r="A1172" s="48"/>
      <c r="B1172" s="48"/>
      <c r="C1172" s="48"/>
      <c r="D1172" s="47"/>
      <c r="E1172" s="48"/>
    </row>
    <row r="1173" ht="15.75" customHeight="1">
      <c r="A1173" s="48"/>
      <c r="B1173" s="48"/>
      <c r="C1173" s="48"/>
      <c r="D1173" s="47"/>
      <c r="E1173" s="48"/>
    </row>
    <row r="1174" ht="15.75" customHeight="1">
      <c r="A1174" s="48"/>
      <c r="B1174" s="48"/>
      <c r="C1174" s="48"/>
      <c r="D1174" s="47"/>
      <c r="E1174" s="48"/>
    </row>
    <row r="1175" ht="15.75" customHeight="1">
      <c r="A1175" s="48"/>
      <c r="B1175" s="48"/>
      <c r="C1175" s="48"/>
      <c r="D1175" s="47"/>
      <c r="E1175" s="48"/>
    </row>
    <row r="1176" ht="15.75" customHeight="1">
      <c r="A1176" s="48"/>
      <c r="B1176" s="48"/>
      <c r="C1176" s="48"/>
      <c r="D1176" s="47"/>
      <c r="E1176" s="48"/>
    </row>
    <row r="1177" ht="15.75" customHeight="1">
      <c r="A1177" s="48"/>
      <c r="B1177" s="48"/>
      <c r="C1177" s="48"/>
      <c r="D1177" s="47"/>
      <c r="E1177" s="48"/>
    </row>
    <row r="1178" ht="15.75" customHeight="1">
      <c r="A1178" s="48"/>
      <c r="B1178" s="48"/>
      <c r="C1178" s="48"/>
      <c r="D1178" s="47"/>
      <c r="E1178" s="48"/>
    </row>
    <row r="1179" ht="15.75" customHeight="1">
      <c r="A1179" s="48"/>
      <c r="B1179" s="48"/>
      <c r="C1179" s="48"/>
      <c r="D1179" s="47"/>
      <c r="E1179" s="48"/>
    </row>
    <row r="1180" ht="15.75" customHeight="1">
      <c r="A1180" s="48"/>
      <c r="B1180" s="48"/>
      <c r="C1180" s="48"/>
      <c r="D1180" s="47"/>
      <c r="E1180" s="48"/>
    </row>
    <row r="1181" ht="15.75" customHeight="1">
      <c r="A1181" s="48"/>
      <c r="B1181" s="48"/>
      <c r="C1181" s="48"/>
      <c r="D1181" s="47"/>
      <c r="E1181" s="48"/>
    </row>
    <row r="1182" ht="15.75" customHeight="1">
      <c r="A1182" s="48"/>
      <c r="B1182" s="48"/>
      <c r="C1182" s="48"/>
      <c r="D1182" s="47"/>
      <c r="E1182" s="48"/>
    </row>
    <row r="1183" ht="15.75" customHeight="1">
      <c r="A1183" s="48"/>
      <c r="B1183" s="48"/>
      <c r="C1183" s="48"/>
      <c r="D1183" s="47"/>
      <c r="E1183" s="48"/>
    </row>
    <row r="1184" ht="15.75" customHeight="1">
      <c r="A1184" s="48"/>
      <c r="B1184" s="48"/>
      <c r="C1184" s="48"/>
      <c r="D1184" s="47"/>
      <c r="E1184" s="48"/>
    </row>
    <row r="1185" ht="15.75" customHeight="1">
      <c r="A1185" s="48"/>
      <c r="B1185" s="48"/>
      <c r="C1185" s="48"/>
      <c r="D1185" s="47"/>
      <c r="E1185" s="48"/>
    </row>
    <row r="1186" ht="15.75" customHeight="1">
      <c r="A1186" s="48"/>
      <c r="B1186" s="48"/>
      <c r="C1186" s="48"/>
      <c r="D1186" s="47"/>
      <c r="E1186" s="48"/>
    </row>
    <row r="1187" ht="15.75" customHeight="1">
      <c r="A1187" s="48"/>
      <c r="B1187" s="48"/>
      <c r="C1187" s="48"/>
      <c r="D1187" s="47"/>
      <c r="E1187" s="48"/>
    </row>
    <row r="1188" ht="15.75" customHeight="1">
      <c r="A1188" s="48"/>
      <c r="B1188" s="48"/>
      <c r="C1188" s="48"/>
      <c r="D1188" s="47"/>
      <c r="E1188" s="48"/>
    </row>
    <row r="1189" ht="15.75" customHeight="1">
      <c r="A1189" s="48"/>
      <c r="B1189" s="48"/>
      <c r="C1189" s="48"/>
      <c r="D1189" s="47"/>
      <c r="E1189" s="48"/>
    </row>
    <row r="1190" ht="15.75" customHeight="1">
      <c r="A1190" s="48"/>
      <c r="B1190" s="48"/>
      <c r="C1190" s="48"/>
      <c r="D1190" s="47"/>
      <c r="E1190" s="48"/>
    </row>
    <row r="1191" ht="15.75" customHeight="1">
      <c r="A1191" s="48"/>
      <c r="B1191" s="48"/>
      <c r="C1191" s="48"/>
      <c r="D1191" s="47"/>
      <c r="E1191" s="48"/>
    </row>
    <row r="1192" ht="15.75" customHeight="1">
      <c r="A1192" s="48"/>
      <c r="B1192" s="48"/>
      <c r="C1192" s="48"/>
      <c r="D1192" s="47"/>
      <c r="E1192" s="48"/>
    </row>
    <row r="1193" ht="15.75" customHeight="1">
      <c r="A1193" s="48"/>
      <c r="B1193" s="48"/>
      <c r="C1193" s="48"/>
      <c r="D1193" s="47"/>
      <c r="E1193" s="48"/>
    </row>
    <row r="1194" ht="15.75" customHeight="1">
      <c r="A1194" s="48"/>
      <c r="B1194" s="48"/>
      <c r="C1194" s="48"/>
      <c r="D1194" s="47"/>
      <c r="E1194" s="48"/>
    </row>
    <row r="1195" ht="15.75" customHeight="1">
      <c r="A1195" s="48"/>
      <c r="B1195" s="48"/>
      <c r="C1195" s="48"/>
      <c r="D1195" s="47"/>
      <c r="E1195" s="48"/>
    </row>
    <row r="1196" ht="15.75" customHeight="1">
      <c r="A1196" s="48"/>
      <c r="B1196" s="48"/>
      <c r="C1196" s="48"/>
      <c r="D1196" s="47"/>
      <c r="E1196" s="48"/>
    </row>
    <row r="1197" ht="15.75" customHeight="1">
      <c r="A1197" s="48"/>
      <c r="B1197" s="48"/>
      <c r="C1197" s="48"/>
      <c r="D1197" s="47"/>
      <c r="E1197" s="48"/>
    </row>
    <row r="1198" ht="15.75" customHeight="1">
      <c r="A1198" s="48"/>
      <c r="B1198" s="48"/>
      <c r="C1198" s="48"/>
      <c r="D1198" s="47"/>
      <c r="E1198" s="48"/>
    </row>
    <row r="1199" ht="15.75" customHeight="1">
      <c r="A1199" s="48"/>
      <c r="B1199" s="48"/>
      <c r="C1199" s="48"/>
      <c r="D1199" s="47"/>
      <c r="E1199" s="48"/>
    </row>
    <row r="1200" ht="15.75" customHeight="1">
      <c r="A1200" s="48"/>
      <c r="B1200" s="48"/>
      <c r="C1200" s="48"/>
      <c r="D1200" s="47"/>
      <c r="E1200" s="48"/>
    </row>
    <row r="1201" ht="15.75" customHeight="1">
      <c r="A1201" s="48"/>
      <c r="B1201" s="48"/>
      <c r="C1201" s="48"/>
      <c r="D1201" s="47"/>
      <c r="E1201" s="48"/>
    </row>
    <row r="1202" ht="15.75" customHeight="1">
      <c r="A1202" s="48"/>
      <c r="B1202" s="48"/>
      <c r="C1202" s="48"/>
      <c r="D1202" s="47"/>
      <c r="E1202" s="48"/>
    </row>
    <row r="1203" ht="15.75" customHeight="1">
      <c r="A1203" s="48"/>
      <c r="B1203" s="48"/>
      <c r="C1203" s="48"/>
      <c r="D1203" s="47"/>
      <c r="E1203" s="48"/>
    </row>
    <row r="1204" ht="15.75" customHeight="1">
      <c r="A1204" s="48"/>
      <c r="B1204" s="48"/>
      <c r="C1204" s="48"/>
      <c r="D1204" s="47"/>
      <c r="E1204" s="48"/>
    </row>
    <row r="1205" ht="15.75" customHeight="1">
      <c r="A1205" s="48"/>
      <c r="B1205" s="48"/>
      <c r="C1205" s="48"/>
      <c r="D1205" s="47"/>
      <c r="E1205" s="48"/>
    </row>
    <row r="1206" ht="15.75" customHeight="1">
      <c r="A1206" s="48"/>
      <c r="B1206" s="48"/>
      <c r="C1206" s="48"/>
      <c r="D1206" s="47"/>
      <c r="E1206" s="48"/>
    </row>
    <row r="1207" ht="15.75" customHeight="1">
      <c r="A1207" s="48"/>
      <c r="B1207" s="48"/>
      <c r="C1207" s="48"/>
      <c r="D1207" s="47"/>
      <c r="E1207" s="48"/>
    </row>
    <row r="1208" ht="15.75" customHeight="1">
      <c r="A1208" s="48"/>
      <c r="B1208" s="48"/>
      <c r="C1208" s="48"/>
      <c r="D1208" s="47"/>
      <c r="E1208" s="48"/>
    </row>
    <row r="1209" ht="15.75" customHeight="1">
      <c r="A1209" s="48"/>
      <c r="B1209" s="48"/>
      <c r="C1209" s="48"/>
      <c r="D1209" s="47"/>
      <c r="E1209" s="48"/>
    </row>
    <row r="1210" ht="15.75" customHeight="1">
      <c r="A1210" s="48"/>
      <c r="B1210" s="48"/>
      <c r="C1210" s="48"/>
      <c r="D1210" s="47"/>
      <c r="E1210" s="48"/>
    </row>
    <row r="1211" ht="15.75" customHeight="1">
      <c r="A1211" s="48"/>
      <c r="B1211" s="48"/>
      <c r="C1211" s="48"/>
      <c r="D1211" s="47"/>
      <c r="E1211" s="48"/>
    </row>
    <row r="1212" ht="15.75" customHeight="1">
      <c r="A1212" s="48"/>
      <c r="B1212" s="48"/>
      <c r="C1212" s="48"/>
      <c r="D1212" s="47"/>
      <c r="E1212" s="48"/>
    </row>
    <row r="1213" ht="15.75" customHeight="1">
      <c r="A1213" s="48"/>
      <c r="B1213" s="48"/>
      <c r="C1213" s="48"/>
      <c r="D1213" s="47"/>
      <c r="E1213" s="48"/>
    </row>
    <row r="1214" ht="15.75" customHeight="1">
      <c r="A1214" s="48"/>
      <c r="B1214" s="48"/>
      <c r="C1214" s="48"/>
      <c r="D1214" s="47"/>
      <c r="E1214" s="48"/>
    </row>
    <row r="1215" ht="15.75" customHeight="1">
      <c r="A1215" s="48"/>
      <c r="B1215" s="48"/>
      <c r="C1215" s="48"/>
      <c r="D1215" s="47"/>
      <c r="E1215" s="48"/>
    </row>
    <row r="1216" ht="15.75" customHeight="1">
      <c r="A1216" s="48"/>
      <c r="B1216" s="48"/>
      <c r="C1216" s="48"/>
      <c r="D1216" s="47"/>
      <c r="E1216" s="48"/>
    </row>
    <row r="1217" ht="15.75" customHeight="1">
      <c r="A1217" s="48"/>
      <c r="B1217" s="48"/>
      <c r="C1217" s="48"/>
      <c r="D1217" s="47"/>
      <c r="E1217" s="48"/>
    </row>
    <row r="1218" ht="15.75" customHeight="1">
      <c r="A1218" s="48"/>
      <c r="B1218" s="48"/>
      <c r="C1218" s="48"/>
      <c r="D1218" s="47"/>
      <c r="E1218" s="48"/>
    </row>
    <row r="1219" ht="15.75" customHeight="1">
      <c r="A1219" s="48"/>
      <c r="B1219" s="48"/>
      <c r="C1219" s="48"/>
      <c r="D1219" s="47"/>
      <c r="E1219" s="48"/>
    </row>
    <row r="1220" ht="15.75" customHeight="1">
      <c r="A1220" s="48"/>
      <c r="B1220" s="48"/>
      <c r="C1220" s="48"/>
      <c r="D1220" s="47"/>
      <c r="E1220" s="48"/>
    </row>
    <row r="1221" ht="15.75" customHeight="1">
      <c r="A1221" s="48"/>
      <c r="B1221" s="48"/>
      <c r="C1221" s="48"/>
      <c r="D1221" s="47"/>
      <c r="E1221" s="48"/>
    </row>
    <row r="1222" ht="15.75" customHeight="1">
      <c r="A1222" s="48"/>
      <c r="B1222" s="48"/>
      <c r="C1222" s="48"/>
      <c r="D1222" s="47"/>
      <c r="E1222" s="48"/>
    </row>
    <row r="1223" ht="15.75" customHeight="1">
      <c r="A1223" s="48"/>
      <c r="B1223" s="48"/>
      <c r="C1223" s="48"/>
      <c r="D1223" s="47"/>
      <c r="E1223" s="48"/>
    </row>
    <row r="1224" ht="15.75" customHeight="1">
      <c r="A1224" s="48"/>
      <c r="B1224" s="48"/>
      <c r="C1224" s="48"/>
      <c r="D1224" s="47"/>
      <c r="E1224" s="48"/>
    </row>
    <row r="1225" ht="15.75" customHeight="1">
      <c r="A1225" s="48"/>
      <c r="B1225" s="48"/>
      <c r="C1225" s="48"/>
      <c r="D1225" s="47"/>
      <c r="E1225" s="48"/>
    </row>
    <row r="1226" ht="15.75" customHeight="1">
      <c r="A1226" s="48"/>
      <c r="B1226" s="48"/>
      <c r="C1226" s="48"/>
      <c r="D1226" s="47"/>
      <c r="E1226" s="48"/>
    </row>
    <row r="1227" ht="15.75" customHeight="1">
      <c r="A1227" s="48"/>
      <c r="B1227" s="48"/>
      <c r="C1227" s="48"/>
      <c r="D1227" s="47"/>
      <c r="E1227" s="48"/>
    </row>
    <row r="1228" ht="15.75" customHeight="1">
      <c r="A1228" s="48"/>
      <c r="B1228" s="48"/>
      <c r="C1228" s="48"/>
      <c r="D1228" s="47"/>
      <c r="E1228" s="48"/>
    </row>
    <row r="1229" ht="15.75" customHeight="1">
      <c r="A1229" s="48"/>
      <c r="B1229" s="48"/>
      <c r="C1229" s="48"/>
      <c r="D1229" s="47"/>
      <c r="E1229" s="48"/>
    </row>
    <row r="1230" ht="15.75" customHeight="1">
      <c r="A1230" s="48"/>
      <c r="B1230" s="48"/>
      <c r="C1230" s="48"/>
      <c r="D1230" s="47"/>
      <c r="E1230" s="48"/>
    </row>
    <row r="1231" ht="15.75" customHeight="1">
      <c r="A1231" s="48"/>
      <c r="B1231" s="48"/>
      <c r="C1231" s="48"/>
      <c r="D1231" s="47"/>
      <c r="E1231" s="48"/>
    </row>
    <row r="1232" ht="15.75" customHeight="1">
      <c r="A1232" s="48"/>
      <c r="B1232" s="48"/>
      <c r="C1232" s="48"/>
      <c r="D1232" s="47"/>
      <c r="E1232" s="48"/>
    </row>
    <row r="1233" ht="15.75" customHeight="1">
      <c r="A1233" s="48"/>
      <c r="B1233" s="48"/>
      <c r="C1233" s="48"/>
      <c r="D1233" s="47"/>
      <c r="E1233" s="48"/>
    </row>
    <row r="1234" ht="15.75" customHeight="1">
      <c r="A1234" s="48"/>
      <c r="B1234" s="48"/>
      <c r="C1234" s="48"/>
      <c r="D1234" s="47"/>
      <c r="E1234" s="48"/>
    </row>
    <row r="1235" ht="15.75" customHeight="1">
      <c r="A1235" s="48"/>
      <c r="B1235" s="48"/>
      <c r="C1235" s="48"/>
      <c r="D1235" s="47"/>
      <c r="E1235" s="48"/>
    </row>
    <row r="1236" ht="15.75" customHeight="1">
      <c r="A1236" s="48"/>
      <c r="B1236" s="48"/>
      <c r="C1236" s="48"/>
      <c r="D1236" s="47"/>
      <c r="E1236" s="48"/>
    </row>
    <row r="1237" ht="15.75" customHeight="1">
      <c r="A1237" s="48"/>
      <c r="B1237" s="48"/>
      <c r="C1237" s="48"/>
      <c r="D1237" s="47"/>
      <c r="E1237" s="48"/>
    </row>
    <row r="1238" ht="15.75" customHeight="1">
      <c r="A1238" s="48"/>
      <c r="B1238" s="48"/>
      <c r="C1238" s="48"/>
      <c r="D1238" s="47"/>
      <c r="E1238" s="48"/>
    </row>
    <row r="1239" ht="15.75" customHeight="1">
      <c r="A1239" s="48"/>
      <c r="B1239" s="48"/>
      <c r="C1239" s="48"/>
      <c r="D1239" s="47"/>
      <c r="E1239" s="48"/>
    </row>
    <row r="1240" ht="15.75" customHeight="1">
      <c r="A1240" s="48"/>
      <c r="B1240" s="48"/>
      <c r="C1240" s="48"/>
      <c r="D1240" s="47"/>
      <c r="E1240" s="48"/>
    </row>
    <row r="1241" ht="15.75" customHeight="1">
      <c r="A1241" s="48"/>
      <c r="B1241" s="48"/>
      <c r="C1241" s="48"/>
      <c r="D1241" s="47"/>
      <c r="E1241" s="48"/>
    </row>
    <row r="1242" ht="15.75" customHeight="1">
      <c r="A1242" s="48"/>
      <c r="B1242" s="48"/>
      <c r="C1242" s="48"/>
      <c r="D1242" s="47"/>
      <c r="E1242" s="48"/>
    </row>
    <row r="1243" ht="15.75" customHeight="1">
      <c r="A1243" s="48"/>
      <c r="B1243" s="48"/>
      <c r="C1243" s="48"/>
      <c r="D1243" s="47"/>
      <c r="E1243" s="48"/>
    </row>
    <row r="1244" ht="15.75" customHeight="1">
      <c r="A1244" s="48"/>
      <c r="B1244" s="48"/>
      <c r="C1244" s="48"/>
      <c r="D1244" s="47"/>
      <c r="E1244" s="48"/>
    </row>
    <row r="1245" ht="15.75" customHeight="1">
      <c r="A1245" s="48"/>
      <c r="B1245" s="48"/>
      <c r="C1245" s="48"/>
      <c r="D1245" s="47"/>
      <c r="E1245" s="48"/>
    </row>
    <row r="1246" ht="15.75" customHeight="1">
      <c r="A1246" s="48"/>
      <c r="B1246" s="48"/>
      <c r="C1246" s="48"/>
      <c r="D1246" s="47"/>
      <c r="E1246" s="48"/>
    </row>
    <row r="1247" ht="15.75" customHeight="1">
      <c r="A1247" s="48"/>
      <c r="B1247" s="48"/>
      <c r="C1247" s="48"/>
      <c r="D1247" s="47"/>
      <c r="E1247" s="48"/>
    </row>
    <row r="1248" ht="15.75" customHeight="1">
      <c r="A1248" s="48"/>
      <c r="B1248" s="48"/>
      <c r="C1248" s="48"/>
      <c r="D1248" s="47"/>
      <c r="E1248" s="48"/>
    </row>
    <row r="1249" ht="15.75" customHeight="1">
      <c r="A1249" s="48"/>
      <c r="B1249" s="48"/>
      <c r="C1249" s="48"/>
      <c r="D1249" s="47"/>
      <c r="E1249" s="48"/>
    </row>
    <row r="1250" ht="15.75" customHeight="1">
      <c r="A1250" s="48"/>
      <c r="B1250" s="48"/>
      <c r="C1250" s="48"/>
      <c r="D1250" s="47"/>
      <c r="E1250" s="48"/>
    </row>
    <row r="1251" ht="15.75" customHeight="1">
      <c r="A1251" s="48"/>
      <c r="B1251" s="48"/>
      <c r="C1251" s="48"/>
      <c r="D1251" s="47"/>
      <c r="E1251" s="48"/>
    </row>
    <row r="1252" ht="15.75" customHeight="1">
      <c r="A1252" s="48"/>
      <c r="B1252" s="48"/>
      <c r="C1252" s="48"/>
      <c r="D1252" s="47"/>
      <c r="E1252" s="48"/>
    </row>
    <row r="1253" ht="15.75" customHeight="1">
      <c r="A1253" s="48"/>
      <c r="B1253" s="48"/>
      <c r="C1253" s="48"/>
      <c r="D1253" s="47"/>
      <c r="E1253" s="48"/>
    </row>
    <row r="1254" ht="15.75" customHeight="1">
      <c r="A1254" s="48"/>
      <c r="B1254" s="48"/>
      <c r="C1254" s="48"/>
      <c r="D1254" s="47"/>
      <c r="E1254" s="48"/>
    </row>
    <row r="1255" ht="15.75" customHeight="1">
      <c r="A1255" s="48"/>
      <c r="B1255" s="48"/>
      <c r="C1255" s="48"/>
      <c r="D1255" s="47"/>
      <c r="E1255" s="48"/>
    </row>
    <row r="1256" ht="15.75" customHeight="1">
      <c r="A1256" s="48"/>
      <c r="B1256" s="48"/>
      <c r="C1256" s="48"/>
      <c r="D1256" s="47"/>
      <c r="E1256" s="48"/>
    </row>
    <row r="1257" ht="15.75" customHeight="1">
      <c r="A1257" s="48"/>
      <c r="B1257" s="48"/>
      <c r="C1257" s="48"/>
      <c r="D1257" s="47"/>
      <c r="E1257" s="48"/>
    </row>
    <row r="1258" ht="15.75" customHeight="1">
      <c r="A1258" s="48"/>
      <c r="B1258" s="48"/>
      <c r="C1258" s="48"/>
      <c r="D1258" s="47"/>
      <c r="E1258" s="48"/>
    </row>
    <row r="1259" ht="15.75" customHeight="1">
      <c r="A1259" s="48"/>
      <c r="B1259" s="48"/>
      <c r="C1259" s="48"/>
      <c r="D1259" s="47"/>
      <c r="E1259" s="48"/>
    </row>
    <row r="1260" ht="15.75" customHeight="1">
      <c r="A1260" s="48"/>
      <c r="B1260" s="48"/>
      <c r="C1260" s="48"/>
      <c r="D1260" s="47"/>
      <c r="E1260" s="48"/>
    </row>
    <row r="1261" ht="15.75" customHeight="1">
      <c r="A1261" s="48"/>
      <c r="B1261" s="48"/>
      <c r="C1261" s="48"/>
      <c r="D1261" s="47"/>
      <c r="E1261" s="48"/>
    </row>
    <row r="1262" ht="15.75" customHeight="1">
      <c r="A1262" s="48"/>
      <c r="B1262" s="48"/>
      <c r="C1262" s="48"/>
      <c r="D1262" s="47"/>
      <c r="E1262" s="48"/>
    </row>
    <row r="1263" ht="15.75" customHeight="1">
      <c r="A1263" s="48"/>
      <c r="B1263" s="48"/>
      <c r="C1263" s="48"/>
      <c r="D1263" s="47"/>
      <c r="E1263" s="48"/>
    </row>
    <row r="1264" ht="15.75" customHeight="1">
      <c r="A1264" s="48"/>
      <c r="B1264" s="48"/>
      <c r="C1264" s="48"/>
      <c r="D1264" s="47"/>
      <c r="E1264" s="48"/>
    </row>
    <row r="1265" ht="15.75" customHeight="1">
      <c r="A1265" s="48"/>
      <c r="B1265" s="48"/>
      <c r="C1265" s="48"/>
      <c r="D1265" s="47"/>
      <c r="E1265" s="48"/>
    </row>
    <row r="1266" ht="15.75" customHeight="1">
      <c r="A1266" s="48"/>
      <c r="B1266" s="48"/>
      <c r="C1266" s="48"/>
      <c r="D1266" s="47"/>
      <c r="E1266" s="48"/>
    </row>
    <row r="1267" ht="15.75" customHeight="1">
      <c r="A1267" s="48"/>
      <c r="B1267" s="48"/>
      <c r="C1267" s="48"/>
      <c r="D1267" s="47"/>
      <c r="E1267" s="48"/>
    </row>
    <row r="1268" ht="15.75" customHeight="1">
      <c r="A1268" s="48"/>
      <c r="B1268" s="48"/>
      <c r="C1268" s="48"/>
      <c r="D1268" s="47"/>
      <c r="E1268" s="48"/>
    </row>
    <row r="1269" ht="15.75" customHeight="1">
      <c r="A1269" s="48"/>
      <c r="B1269" s="48"/>
      <c r="C1269" s="48"/>
      <c r="D1269" s="47"/>
      <c r="E1269" s="48"/>
    </row>
    <row r="1270" ht="15.75" customHeight="1">
      <c r="A1270" s="48"/>
      <c r="B1270" s="48"/>
      <c r="C1270" s="48"/>
      <c r="D1270" s="47"/>
      <c r="E1270" s="48"/>
    </row>
    <row r="1271" ht="15.75" customHeight="1">
      <c r="A1271" s="48"/>
      <c r="B1271" s="48"/>
      <c r="C1271" s="48"/>
      <c r="D1271" s="47"/>
      <c r="E1271" s="48"/>
    </row>
    <row r="1272" ht="15.75" customHeight="1">
      <c r="A1272" s="48"/>
      <c r="B1272" s="48"/>
      <c r="C1272" s="48"/>
      <c r="D1272" s="47"/>
      <c r="E1272" s="48"/>
    </row>
    <row r="1273" ht="15.75" customHeight="1">
      <c r="A1273" s="48"/>
      <c r="B1273" s="48"/>
      <c r="C1273" s="48"/>
      <c r="D1273" s="47"/>
      <c r="E1273" s="48"/>
    </row>
    <row r="1274" ht="15.75" customHeight="1">
      <c r="A1274" s="48"/>
      <c r="B1274" s="48"/>
      <c r="C1274" s="48"/>
      <c r="D1274" s="47"/>
      <c r="E1274" s="48"/>
    </row>
    <row r="1275" ht="15.75" customHeight="1">
      <c r="A1275" s="48"/>
      <c r="B1275" s="48"/>
      <c r="C1275" s="48"/>
      <c r="D1275" s="47"/>
      <c r="E1275" s="48"/>
    </row>
    <row r="1276" ht="15.75" customHeight="1">
      <c r="A1276" s="48"/>
      <c r="B1276" s="48"/>
      <c r="C1276" s="48"/>
      <c r="D1276" s="47"/>
      <c r="E1276" s="48"/>
    </row>
    <row r="1277" ht="15.75" customHeight="1">
      <c r="A1277" s="48"/>
      <c r="B1277" s="48"/>
      <c r="C1277" s="48"/>
      <c r="D1277" s="47"/>
      <c r="E1277" s="48"/>
    </row>
    <row r="1278" ht="15.75" customHeight="1">
      <c r="A1278" s="48"/>
      <c r="B1278" s="48"/>
      <c r="C1278" s="48"/>
      <c r="D1278" s="47"/>
      <c r="E1278" s="48"/>
    </row>
    <row r="1279" ht="15.75" customHeight="1">
      <c r="A1279" s="48"/>
      <c r="B1279" s="48"/>
      <c r="C1279" s="48"/>
      <c r="D1279" s="47"/>
      <c r="E1279" s="48"/>
    </row>
    <row r="1280" ht="15.75" customHeight="1">
      <c r="A1280" s="48"/>
      <c r="B1280" s="48"/>
      <c r="C1280" s="48"/>
      <c r="D1280" s="47"/>
      <c r="E1280" s="48"/>
    </row>
    <row r="1281" ht="15.75" customHeight="1">
      <c r="A1281" s="48"/>
      <c r="B1281" s="48"/>
      <c r="C1281" s="48"/>
      <c r="D1281" s="47"/>
      <c r="E1281" s="48"/>
    </row>
    <row r="1282" ht="15.75" customHeight="1">
      <c r="A1282" s="48"/>
      <c r="B1282" s="48"/>
      <c r="C1282" s="48"/>
      <c r="D1282" s="47"/>
      <c r="E1282" s="48"/>
    </row>
    <row r="1283" ht="15.75" customHeight="1">
      <c r="A1283" s="48"/>
      <c r="B1283" s="48"/>
      <c r="C1283" s="48"/>
      <c r="D1283" s="47"/>
      <c r="E1283" s="48"/>
    </row>
    <row r="1284" ht="15.75" customHeight="1">
      <c r="A1284" s="48"/>
      <c r="B1284" s="48"/>
      <c r="C1284" s="48"/>
      <c r="D1284" s="47"/>
      <c r="E1284" s="48"/>
    </row>
    <row r="1285" ht="15.75" customHeight="1">
      <c r="A1285" s="48"/>
      <c r="B1285" s="48"/>
      <c r="C1285" s="48"/>
      <c r="D1285" s="47"/>
      <c r="E1285" s="48"/>
    </row>
    <row r="1286" ht="15.75" customHeight="1">
      <c r="A1286" s="48"/>
      <c r="B1286" s="48"/>
      <c r="C1286" s="48"/>
      <c r="D1286" s="47"/>
      <c r="E1286" s="48"/>
    </row>
    <row r="1287" ht="15.75" customHeight="1">
      <c r="A1287" s="48"/>
      <c r="B1287" s="48"/>
      <c r="C1287" s="48"/>
      <c r="D1287" s="47"/>
      <c r="E1287" s="48"/>
    </row>
    <row r="1288" ht="15.75" customHeight="1">
      <c r="A1288" s="48"/>
      <c r="B1288" s="48"/>
      <c r="C1288" s="48"/>
      <c r="D1288" s="47"/>
      <c r="E1288" s="48"/>
    </row>
    <row r="1289" ht="15.75" customHeight="1">
      <c r="A1289" s="48"/>
      <c r="B1289" s="48"/>
      <c r="C1289" s="48"/>
      <c r="D1289" s="47"/>
      <c r="E1289" s="48"/>
    </row>
    <row r="1290" ht="15.75" customHeight="1">
      <c r="A1290" s="48"/>
      <c r="B1290" s="48"/>
      <c r="C1290" s="48"/>
      <c r="D1290" s="47"/>
      <c r="E1290" s="48"/>
    </row>
    <row r="1291" ht="15.75" customHeight="1">
      <c r="A1291" s="48"/>
      <c r="B1291" s="48"/>
      <c r="C1291" s="48"/>
      <c r="D1291" s="47"/>
      <c r="E1291" s="48"/>
    </row>
    <row r="1292" ht="15.75" customHeight="1">
      <c r="A1292" s="48"/>
      <c r="B1292" s="48"/>
      <c r="C1292" s="48"/>
      <c r="D1292" s="47"/>
      <c r="E1292" s="48"/>
    </row>
    <row r="1293" ht="15.75" customHeight="1">
      <c r="A1293" s="48"/>
      <c r="B1293" s="48"/>
      <c r="C1293" s="48"/>
      <c r="D1293" s="47"/>
      <c r="E1293" s="48"/>
    </row>
    <row r="1294" ht="15.75" customHeight="1">
      <c r="A1294" s="48"/>
      <c r="B1294" s="48"/>
      <c r="C1294" s="48"/>
      <c r="D1294" s="47"/>
      <c r="E1294" s="48"/>
    </row>
    <row r="1295" ht="15.75" customHeight="1">
      <c r="A1295" s="48"/>
      <c r="B1295" s="48"/>
      <c r="C1295" s="48"/>
      <c r="D1295" s="47"/>
      <c r="E1295" s="48"/>
    </row>
    <row r="1296" ht="15.75" customHeight="1">
      <c r="A1296" s="48"/>
      <c r="B1296" s="48"/>
      <c r="C1296" s="48"/>
      <c r="D1296" s="47"/>
      <c r="E1296" s="48"/>
    </row>
    <row r="1297" ht="15.75" customHeight="1">
      <c r="A1297" s="48"/>
      <c r="B1297" s="48"/>
      <c r="C1297" s="48"/>
      <c r="D1297" s="47"/>
      <c r="E1297" s="48"/>
    </row>
    <row r="1298" ht="15.75" customHeight="1">
      <c r="A1298" s="48"/>
      <c r="B1298" s="48"/>
      <c r="C1298" s="48"/>
      <c r="D1298" s="47"/>
      <c r="E1298" s="48"/>
    </row>
    <row r="1299" ht="15.75" customHeight="1">
      <c r="A1299" s="48"/>
      <c r="B1299" s="48"/>
      <c r="C1299" s="48"/>
      <c r="D1299" s="47"/>
      <c r="E1299" s="48"/>
    </row>
    <row r="1300" ht="15.75" customHeight="1">
      <c r="A1300" s="48"/>
      <c r="B1300" s="48"/>
      <c r="C1300" s="48"/>
      <c r="D1300" s="47"/>
      <c r="E1300" s="48"/>
    </row>
    <row r="1301" ht="15.75" customHeight="1">
      <c r="A1301" s="48"/>
      <c r="B1301" s="48"/>
      <c r="C1301" s="48"/>
      <c r="D1301" s="47"/>
      <c r="E1301" s="48"/>
    </row>
    <row r="1302" ht="15.75" customHeight="1">
      <c r="A1302" s="48"/>
      <c r="B1302" s="48"/>
      <c r="C1302" s="48"/>
      <c r="D1302" s="47"/>
      <c r="E1302" s="48"/>
    </row>
    <row r="1303" ht="15.75" customHeight="1">
      <c r="A1303" s="48"/>
      <c r="B1303" s="48"/>
      <c r="C1303" s="48"/>
      <c r="D1303" s="47"/>
      <c r="E1303" s="48"/>
    </row>
    <row r="1304" ht="15.75" customHeight="1">
      <c r="A1304" s="48"/>
      <c r="B1304" s="48"/>
      <c r="C1304" s="48"/>
      <c r="D1304" s="47"/>
      <c r="E1304" s="48"/>
    </row>
    <row r="1305" ht="15.75" customHeight="1">
      <c r="A1305" s="48"/>
      <c r="B1305" s="48"/>
      <c r="C1305" s="48"/>
      <c r="D1305" s="47"/>
      <c r="E1305" s="48"/>
    </row>
    <row r="1306" ht="15.75" customHeight="1">
      <c r="A1306" s="48"/>
      <c r="B1306" s="48"/>
      <c r="C1306" s="48"/>
      <c r="D1306" s="47"/>
      <c r="E1306" s="48"/>
    </row>
    <row r="1307" ht="15.75" customHeight="1">
      <c r="A1307" s="48"/>
      <c r="B1307" s="48"/>
      <c r="C1307" s="48"/>
      <c r="D1307" s="47"/>
      <c r="E1307" s="48"/>
    </row>
    <row r="1308" ht="15.75" customHeight="1">
      <c r="A1308" s="48"/>
      <c r="B1308" s="48"/>
      <c r="C1308" s="48"/>
      <c r="D1308" s="47"/>
      <c r="E1308" s="48"/>
    </row>
    <row r="1309" ht="15.75" customHeight="1">
      <c r="A1309" s="48"/>
      <c r="B1309" s="48"/>
      <c r="C1309" s="48"/>
      <c r="D1309" s="47"/>
      <c r="E1309" s="48"/>
    </row>
    <row r="1310" ht="15.75" customHeight="1">
      <c r="A1310" s="48"/>
      <c r="B1310" s="48"/>
      <c r="C1310" s="48"/>
      <c r="D1310" s="47"/>
      <c r="E1310" s="48"/>
    </row>
    <row r="1311" ht="15.75" customHeight="1">
      <c r="A1311" s="48"/>
      <c r="B1311" s="48"/>
      <c r="C1311" s="48"/>
      <c r="D1311" s="47"/>
      <c r="E1311" s="48"/>
    </row>
    <row r="1312" ht="15.75" customHeight="1">
      <c r="A1312" s="48"/>
      <c r="B1312" s="48"/>
      <c r="C1312" s="48"/>
      <c r="D1312" s="47"/>
      <c r="E1312" s="48"/>
    </row>
    <row r="1313" ht="15.75" customHeight="1">
      <c r="A1313" s="48"/>
      <c r="B1313" s="48"/>
      <c r="C1313" s="48"/>
      <c r="D1313" s="47"/>
      <c r="E1313" s="48"/>
    </row>
    <row r="1314" ht="15.75" customHeight="1">
      <c r="A1314" s="48"/>
      <c r="B1314" s="48"/>
      <c r="C1314" s="48"/>
      <c r="D1314" s="47"/>
      <c r="E1314" s="48"/>
    </row>
    <row r="1315" ht="15.75" customHeight="1">
      <c r="A1315" s="48"/>
      <c r="B1315" s="48"/>
      <c r="C1315" s="48"/>
      <c r="D1315" s="47"/>
      <c r="E1315" s="48"/>
    </row>
    <row r="1316" ht="15.75" customHeight="1">
      <c r="A1316" s="48"/>
      <c r="B1316" s="48"/>
      <c r="C1316" s="48"/>
      <c r="D1316" s="47"/>
      <c r="E1316" s="48"/>
    </row>
    <row r="1317" ht="15.75" customHeight="1">
      <c r="A1317" s="48"/>
      <c r="B1317" s="48"/>
      <c r="C1317" s="48"/>
      <c r="D1317" s="47"/>
      <c r="E1317" s="48"/>
    </row>
    <row r="1318" ht="15.75" customHeight="1">
      <c r="A1318" s="48"/>
      <c r="B1318" s="48"/>
      <c r="C1318" s="48"/>
      <c r="D1318" s="47"/>
      <c r="E1318" s="48"/>
    </row>
    <row r="1319" ht="15.75" customHeight="1">
      <c r="A1319" s="48"/>
      <c r="B1319" s="48"/>
      <c r="C1319" s="48"/>
      <c r="D1319" s="47"/>
      <c r="E1319" s="48"/>
    </row>
    <row r="1320" ht="15.75" customHeight="1">
      <c r="A1320" s="48"/>
      <c r="B1320" s="48"/>
      <c r="C1320" s="48"/>
      <c r="D1320" s="47"/>
      <c r="E1320" s="48"/>
    </row>
    <row r="1321" ht="15.75" customHeight="1">
      <c r="A1321" s="48"/>
      <c r="B1321" s="48"/>
      <c r="C1321" s="48"/>
      <c r="D1321" s="47"/>
      <c r="E1321" s="48"/>
    </row>
    <row r="1322" ht="15.75" customHeight="1">
      <c r="A1322" s="48"/>
      <c r="B1322" s="48"/>
      <c r="C1322" s="48"/>
      <c r="D1322" s="47"/>
      <c r="E1322" s="48"/>
    </row>
    <row r="1323" ht="15.75" customHeight="1">
      <c r="A1323" s="48"/>
      <c r="B1323" s="48"/>
      <c r="C1323" s="48"/>
      <c r="D1323" s="47"/>
      <c r="E1323" s="48"/>
    </row>
    <row r="1324" ht="15.75" customHeight="1">
      <c r="A1324" s="48"/>
      <c r="B1324" s="48"/>
      <c r="C1324" s="48"/>
      <c r="D1324" s="47"/>
      <c r="E1324" s="48"/>
    </row>
    <row r="1325" ht="15.75" customHeight="1">
      <c r="A1325" s="48"/>
      <c r="B1325" s="48"/>
      <c r="C1325" s="48"/>
      <c r="D1325" s="47"/>
      <c r="E1325" s="48"/>
    </row>
    <row r="1326" ht="15.75" customHeight="1">
      <c r="A1326" s="48"/>
      <c r="B1326" s="48"/>
      <c r="C1326" s="48"/>
      <c r="D1326" s="47"/>
      <c r="E1326" s="48"/>
    </row>
    <row r="1327" ht="15.75" customHeight="1">
      <c r="A1327" s="48"/>
      <c r="B1327" s="48"/>
      <c r="C1327" s="48"/>
      <c r="D1327" s="47"/>
      <c r="E1327" s="48"/>
    </row>
    <row r="1328" ht="15.75" customHeight="1">
      <c r="A1328" s="48"/>
      <c r="B1328" s="48"/>
      <c r="C1328" s="48"/>
      <c r="D1328" s="47"/>
      <c r="E1328" s="48"/>
    </row>
    <row r="1329" ht="15.75" customHeight="1">
      <c r="A1329" s="48"/>
      <c r="B1329" s="48"/>
      <c r="C1329" s="48"/>
      <c r="D1329" s="47"/>
      <c r="E1329" s="48"/>
    </row>
    <row r="1330" ht="15.75" customHeight="1">
      <c r="A1330" s="48"/>
      <c r="B1330" s="48"/>
      <c r="C1330" s="48"/>
      <c r="D1330" s="47"/>
      <c r="E1330" s="48"/>
    </row>
    <row r="1331" ht="15.75" customHeight="1">
      <c r="A1331" s="48"/>
      <c r="B1331" s="48"/>
      <c r="C1331" s="48"/>
      <c r="D1331" s="47"/>
      <c r="E1331" s="48"/>
    </row>
    <row r="1332" ht="15.75" customHeight="1">
      <c r="A1332" s="48"/>
      <c r="B1332" s="48"/>
      <c r="C1332" s="48"/>
      <c r="D1332" s="47"/>
      <c r="E1332" s="48"/>
    </row>
    <row r="1333" ht="15.75" customHeight="1">
      <c r="A1333" s="48"/>
      <c r="B1333" s="48"/>
      <c r="C1333" s="48"/>
      <c r="D1333" s="47"/>
      <c r="E1333" s="48"/>
    </row>
    <row r="1334" ht="15.75" customHeight="1">
      <c r="A1334" s="48"/>
      <c r="B1334" s="48"/>
      <c r="C1334" s="48"/>
      <c r="D1334" s="47"/>
      <c r="E1334" s="48"/>
    </row>
    <row r="1335" ht="15.75" customHeight="1">
      <c r="A1335" s="48"/>
      <c r="B1335" s="48"/>
      <c r="C1335" s="48"/>
      <c r="D1335" s="47"/>
      <c r="E1335" s="48"/>
    </row>
    <row r="1336" ht="15.75" customHeight="1">
      <c r="A1336" s="48"/>
      <c r="B1336" s="48"/>
      <c r="C1336" s="48"/>
      <c r="D1336" s="47"/>
      <c r="E1336" s="48"/>
    </row>
    <row r="1337" ht="15.75" customHeight="1">
      <c r="A1337" s="48"/>
      <c r="B1337" s="48"/>
      <c r="C1337" s="48"/>
      <c r="D1337" s="47"/>
      <c r="E1337" s="48"/>
    </row>
    <row r="1338" ht="15.75" customHeight="1">
      <c r="A1338" s="48"/>
      <c r="B1338" s="48"/>
      <c r="C1338" s="48"/>
      <c r="D1338" s="47"/>
      <c r="E1338" s="48"/>
    </row>
    <row r="1339" ht="15.75" customHeight="1">
      <c r="A1339" s="48"/>
      <c r="B1339" s="48"/>
      <c r="C1339" s="48"/>
      <c r="D1339" s="47"/>
      <c r="E1339" s="48"/>
    </row>
    <row r="1340" ht="15.75" customHeight="1">
      <c r="A1340" s="48"/>
      <c r="B1340" s="48"/>
      <c r="C1340" s="48"/>
      <c r="D1340" s="47"/>
      <c r="E1340" s="48"/>
    </row>
    <row r="1341" ht="15.75" customHeight="1">
      <c r="A1341" s="48"/>
      <c r="B1341" s="48"/>
      <c r="C1341" s="48"/>
      <c r="D1341" s="47"/>
      <c r="E1341" s="48"/>
    </row>
    <row r="1342" ht="15.75" customHeight="1">
      <c r="A1342" s="48"/>
      <c r="B1342" s="48"/>
      <c r="C1342" s="48"/>
      <c r="D1342" s="47"/>
      <c r="E1342" s="48"/>
    </row>
    <row r="1343" ht="15.75" customHeight="1">
      <c r="A1343" s="48"/>
      <c r="B1343" s="48"/>
      <c r="C1343" s="48"/>
      <c r="D1343" s="47"/>
      <c r="E1343" s="48"/>
    </row>
    <row r="1344" ht="15.75" customHeight="1">
      <c r="A1344" s="48"/>
      <c r="B1344" s="48"/>
      <c r="C1344" s="48"/>
      <c r="D1344" s="47"/>
      <c r="E1344" s="48"/>
    </row>
    <row r="1345" ht="15.75" customHeight="1">
      <c r="A1345" s="48"/>
      <c r="B1345" s="48"/>
      <c r="C1345" s="48"/>
      <c r="D1345" s="47"/>
      <c r="E1345" s="48"/>
    </row>
    <row r="1346" ht="15.75" customHeight="1">
      <c r="A1346" s="48"/>
      <c r="B1346" s="48"/>
      <c r="C1346" s="48"/>
      <c r="D1346" s="47"/>
      <c r="E1346" s="48"/>
    </row>
    <row r="1347" ht="15.75" customHeight="1">
      <c r="A1347" s="48"/>
      <c r="B1347" s="48"/>
      <c r="C1347" s="48"/>
      <c r="D1347" s="47"/>
      <c r="E1347" s="48"/>
    </row>
    <row r="1348" ht="15.75" customHeight="1">
      <c r="A1348" s="48"/>
      <c r="B1348" s="48"/>
      <c r="C1348" s="48"/>
      <c r="D1348" s="47"/>
      <c r="E1348" s="48"/>
    </row>
    <row r="1349" ht="15.75" customHeight="1">
      <c r="A1349" s="48"/>
      <c r="B1349" s="48"/>
      <c r="C1349" s="48"/>
      <c r="D1349" s="47"/>
      <c r="E1349" s="48"/>
    </row>
    <row r="1350" ht="15.75" customHeight="1">
      <c r="A1350" s="48"/>
      <c r="B1350" s="48"/>
      <c r="C1350" s="48"/>
      <c r="D1350" s="47"/>
      <c r="E1350" s="48"/>
    </row>
    <row r="1351" ht="15.75" customHeight="1">
      <c r="A1351" s="48"/>
      <c r="B1351" s="48"/>
      <c r="C1351" s="48"/>
      <c r="D1351" s="47"/>
      <c r="E1351" s="48"/>
    </row>
    <row r="1352" ht="15.75" customHeight="1">
      <c r="A1352" s="48"/>
      <c r="B1352" s="48"/>
      <c r="C1352" s="48"/>
      <c r="D1352" s="47"/>
      <c r="E1352" s="48"/>
    </row>
    <row r="1353" ht="15.75" customHeight="1">
      <c r="A1353" s="48"/>
      <c r="B1353" s="48"/>
      <c r="C1353" s="48"/>
      <c r="D1353" s="47"/>
      <c r="E1353" s="48"/>
    </row>
    <row r="1354" ht="15.75" customHeight="1">
      <c r="A1354" s="48"/>
      <c r="B1354" s="48"/>
      <c r="C1354" s="48"/>
      <c r="D1354" s="47"/>
      <c r="E1354" s="48"/>
    </row>
    <row r="1355" ht="15.75" customHeight="1">
      <c r="A1355" s="48"/>
      <c r="B1355" s="48"/>
      <c r="C1355" s="48"/>
      <c r="D1355" s="47"/>
      <c r="E1355" s="48"/>
    </row>
    <row r="1356" ht="15.75" customHeight="1">
      <c r="A1356" s="48"/>
      <c r="B1356" s="48"/>
      <c r="C1356" s="48"/>
      <c r="D1356" s="47"/>
      <c r="E1356" s="48"/>
    </row>
    <row r="1357" ht="15.75" customHeight="1">
      <c r="A1357" s="48"/>
      <c r="B1357" s="48"/>
      <c r="C1357" s="48"/>
      <c r="D1357" s="47"/>
      <c r="E1357" s="48"/>
    </row>
    <row r="1358" ht="15.75" customHeight="1">
      <c r="A1358" s="48"/>
      <c r="B1358" s="48"/>
      <c r="C1358" s="48"/>
      <c r="D1358" s="47"/>
      <c r="E1358" s="48"/>
    </row>
    <row r="1359" ht="15.75" customHeight="1">
      <c r="A1359" s="48"/>
      <c r="B1359" s="48"/>
      <c r="C1359" s="48"/>
      <c r="D1359" s="47"/>
      <c r="E1359" s="48"/>
    </row>
    <row r="1360" ht="15.75" customHeight="1">
      <c r="A1360" s="48"/>
      <c r="B1360" s="48"/>
      <c r="C1360" s="48"/>
      <c r="D1360" s="47"/>
      <c r="E1360" s="48"/>
    </row>
    <row r="1361" ht="15.75" customHeight="1">
      <c r="A1361" s="48"/>
      <c r="B1361" s="48"/>
      <c r="C1361" s="48"/>
      <c r="D1361" s="47"/>
      <c r="E1361" s="48"/>
    </row>
    <row r="1362" ht="15.75" customHeight="1">
      <c r="A1362" s="48"/>
      <c r="B1362" s="48"/>
      <c r="C1362" s="48"/>
      <c r="D1362" s="47"/>
      <c r="E1362" s="48"/>
    </row>
    <row r="1363" ht="15.75" customHeight="1">
      <c r="A1363" s="48"/>
      <c r="B1363" s="48"/>
      <c r="C1363" s="48"/>
      <c r="D1363" s="47"/>
      <c r="E1363" s="48"/>
    </row>
    <row r="1364" ht="15.75" customHeight="1">
      <c r="A1364" s="48"/>
      <c r="B1364" s="48"/>
      <c r="C1364" s="48"/>
      <c r="D1364" s="47"/>
      <c r="E1364" s="48"/>
    </row>
    <row r="1365" ht="15.75" customHeight="1">
      <c r="A1365" s="48"/>
      <c r="B1365" s="48"/>
      <c r="C1365" s="48"/>
      <c r="D1365" s="47"/>
      <c r="E1365" s="48"/>
    </row>
    <row r="1366" ht="15.75" customHeight="1">
      <c r="A1366" s="48"/>
      <c r="B1366" s="48"/>
      <c r="C1366" s="48"/>
      <c r="D1366" s="47"/>
      <c r="E1366" s="48"/>
    </row>
    <row r="1367" ht="15.75" customHeight="1">
      <c r="A1367" s="48"/>
      <c r="B1367" s="48"/>
      <c r="C1367" s="48"/>
      <c r="D1367" s="47"/>
      <c r="E1367" s="48"/>
    </row>
    <row r="1368" ht="15.75" customHeight="1">
      <c r="A1368" s="48"/>
      <c r="B1368" s="48"/>
      <c r="C1368" s="48"/>
      <c r="D1368" s="47"/>
      <c r="E1368" s="48"/>
    </row>
    <row r="1369" ht="15.75" customHeight="1">
      <c r="A1369" s="48"/>
      <c r="B1369" s="48"/>
      <c r="C1369" s="48"/>
      <c r="D1369" s="47"/>
      <c r="E1369" s="48"/>
    </row>
    <row r="1370" ht="15.75" customHeight="1">
      <c r="A1370" s="48"/>
      <c r="B1370" s="48"/>
      <c r="C1370" s="48"/>
      <c r="D1370" s="47"/>
      <c r="E1370" s="48"/>
    </row>
    <row r="1371" ht="15.75" customHeight="1">
      <c r="A1371" s="48"/>
      <c r="B1371" s="48"/>
      <c r="C1371" s="48"/>
      <c r="D1371" s="47"/>
      <c r="E1371" s="48"/>
    </row>
    <row r="1372" ht="15.75" customHeight="1">
      <c r="A1372" s="48"/>
      <c r="B1372" s="48"/>
      <c r="C1372" s="48"/>
      <c r="D1372" s="47"/>
      <c r="E1372" s="48"/>
    </row>
    <row r="1373" ht="15.75" customHeight="1">
      <c r="A1373" s="48"/>
      <c r="B1373" s="48"/>
      <c r="C1373" s="48"/>
      <c r="D1373" s="47"/>
      <c r="E1373" s="48"/>
    </row>
    <row r="1374" ht="15.75" customHeight="1">
      <c r="A1374" s="48"/>
      <c r="B1374" s="48"/>
      <c r="C1374" s="48"/>
      <c r="D1374" s="47"/>
      <c r="E1374" s="48"/>
    </row>
    <row r="1375" ht="15.75" customHeight="1">
      <c r="A1375" s="48"/>
      <c r="B1375" s="48"/>
      <c r="C1375" s="48"/>
      <c r="D1375" s="47"/>
      <c r="E1375" s="48"/>
    </row>
    <row r="1376" ht="15.75" customHeight="1">
      <c r="A1376" s="48"/>
      <c r="B1376" s="48"/>
      <c r="C1376" s="48"/>
      <c r="D1376" s="47"/>
      <c r="E1376" s="48"/>
    </row>
    <row r="1377" ht="15.75" customHeight="1">
      <c r="A1377" s="48"/>
      <c r="B1377" s="48"/>
      <c r="C1377" s="48"/>
      <c r="D1377" s="47"/>
      <c r="E1377" s="48"/>
    </row>
    <row r="1378" ht="15.75" customHeight="1">
      <c r="A1378" s="48"/>
      <c r="B1378" s="48"/>
      <c r="C1378" s="48"/>
      <c r="D1378" s="47"/>
      <c r="E1378" s="48"/>
    </row>
    <row r="1379" ht="15.75" customHeight="1">
      <c r="A1379" s="48"/>
      <c r="B1379" s="48"/>
      <c r="C1379" s="48"/>
      <c r="D1379" s="47"/>
      <c r="E1379" s="48"/>
    </row>
    <row r="1380" ht="15.75" customHeight="1">
      <c r="A1380" s="48"/>
      <c r="B1380" s="48"/>
      <c r="C1380" s="48"/>
      <c r="D1380" s="47"/>
      <c r="E1380" s="48"/>
    </row>
    <row r="1381" ht="15.75" customHeight="1">
      <c r="A1381" s="48"/>
      <c r="B1381" s="48"/>
      <c r="C1381" s="48"/>
      <c r="D1381" s="47"/>
      <c r="E1381" s="48"/>
    </row>
    <row r="1382" ht="15.75" customHeight="1">
      <c r="A1382" s="48"/>
      <c r="B1382" s="48"/>
      <c r="C1382" s="48"/>
      <c r="D1382" s="47"/>
      <c r="E1382" s="48"/>
    </row>
    <row r="1383" ht="15.75" customHeight="1">
      <c r="A1383" s="48"/>
      <c r="B1383" s="48"/>
      <c r="C1383" s="48"/>
      <c r="D1383" s="47"/>
      <c r="E1383" s="48"/>
    </row>
    <row r="1384" ht="15.75" customHeight="1">
      <c r="A1384" s="48"/>
      <c r="B1384" s="48"/>
      <c r="C1384" s="48"/>
      <c r="D1384" s="47"/>
      <c r="E1384" s="48"/>
    </row>
    <row r="1385" ht="15.75" customHeight="1">
      <c r="A1385" s="48"/>
      <c r="B1385" s="48"/>
      <c r="C1385" s="48"/>
      <c r="D1385" s="47"/>
      <c r="E1385" s="48"/>
    </row>
    <row r="1386" ht="15.75" customHeight="1">
      <c r="A1386" s="48"/>
      <c r="B1386" s="48"/>
      <c r="C1386" s="48"/>
      <c r="D1386" s="47"/>
      <c r="E1386" s="48"/>
    </row>
    <row r="1387" ht="15.75" customHeight="1">
      <c r="A1387" s="48"/>
      <c r="B1387" s="48"/>
      <c r="C1387" s="48"/>
      <c r="D1387" s="47"/>
      <c r="E1387" s="48"/>
    </row>
    <row r="1388" ht="15.75" customHeight="1">
      <c r="A1388" s="48"/>
      <c r="B1388" s="48"/>
      <c r="C1388" s="48"/>
      <c r="D1388" s="47"/>
      <c r="E1388" s="48"/>
    </row>
    <row r="1389" ht="15.75" customHeight="1">
      <c r="A1389" s="48"/>
      <c r="B1389" s="48"/>
      <c r="C1389" s="48"/>
      <c r="D1389" s="47"/>
      <c r="E1389" s="48"/>
    </row>
    <row r="1390" ht="15.75" customHeight="1">
      <c r="A1390" s="48"/>
      <c r="B1390" s="48"/>
      <c r="C1390" s="48"/>
      <c r="D1390" s="47"/>
      <c r="E1390" s="48"/>
    </row>
    <row r="1391" ht="15.75" customHeight="1">
      <c r="A1391" s="48"/>
      <c r="B1391" s="48"/>
      <c r="C1391" s="48"/>
      <c r="D1391" s="47"/>
      <c r="E1391" s="48"/>
    </row>
    <row r="1392" ht="15.75" customHeight="1">
      <c r="A1392" s="48"/>
      <c r="B1392" s="48"/>
      <c r="C1392" s="48"/>
      <c r="D1392" s="47"/>
      <c r="E1392" s="48"/>
    </row>
    <row r="1393" ht="15.75" customHeight="1">
      <c r="A1393" s="48"/>
      <c r="B1393" s="48"/>
      <c r="C1393" s="48"/>
      <c r="D1393" s="47"/>
      <c r="E1393" s="48"/>
    </row>
    <row r="1394" ht="15.75" customHeight="1">
      <c r="A1394" s="48"/>
      <c r="B1394" s="48"/>
      <c r="C1394" s="48"/>
      <c r="D1394" s="47"/>
      <c r="E1394" s="48"/>
    </row>
    <row r="1395" ht="15.75" customHeight="1">
      <c r="A1395" s="48"/>
      <c r="B1395" s="48"/>
      <c r="C1395" s="48"/>
      <c r="D1395" s="47"/>
      <c r="E1395" s="48"/>
    </row>
    <row r="1396" ht="15.75" customHeight="1">
      <c r="A1396" s="48"/>
      <c r="B1396" s="48"/>
      <c r="C1396" s="48"/>
      <c r="D1396" s="47"/>
      <c r="E1396" s="48"/>
    </row>
    <row r="1397" ht="15.75" customHeight="1">
      <c r="A1397" s="48"/>
      <c r="B1397" s="48"/>
      <c r="C1397" s="48"/>
      <c r="D1397" s="47"/>
      <c r="E1397" s="48"/>
    </row>
    <row r="1398" ht="15.75" customHeight="1">
      <c r="A1398" s="48"/>
      <c r="B1398" s="48"/>
      <c r="C1398" s="48"/>
      <c r="D1398" s="47"/>
      <c r="E1398" s="48"/>
    </row>
    <row r="1399" ht="15.75" customHeight="1">
      <c r="A1399" s="48"/>
      <c r="B1399" s="48"/>
      <c r="C1399" s="48"/>
      <c r="D1399" s="47"/>
      <c r="E1399" s="48"/>
    </row>
    <row r="1400" ht="15.75" customHeight="1">
      <c r="A1400" s="48"/>
      <c r="B1400" s="48"/>
      <c r="C1400" s="48"/>
      <c r="D1400" s="47"/>
      <c r="E1400" s="48"/>
    </row>
    <row r="1401" ht="15.75" customHeight="1">
      <c r="A1401" s="48"/>
      <c r="B1401" s="48"/>
      <c r="C1401" s="48"/>
      <c r="D1401" s="47"/>
      <c r="E1401" s="48"/>
    </row>
    <row r="1402" ht="15.75" customHeight="1">
      <c r="A1402" s="48"/>
      <c r="B1402" s="48"/>
      <c r="C1402" s="48"/>
      <c r="D1402" s="47"/>
      <c r="E1402" s="48"/>
    </row>
    <row r="1403" ht="15.75" customHeight="1">
      <c r="A1403" s="48"/>
      <c r="B1403" s="48"/>
      <c r="C1403" s="48"/>
      <c r="D1403" s="47"/>
      <c r="E1403" s="48"/>
    </row>
    <row r="1404" ht="15.75" customHeight="1">
      <c r="A1404" s="48"/>
      <c r="B1404" s="48"/>
      <c r="C1404" s="48"/>
      <c r="D1404" s="47"/>
      <c r="E1404" s="48"/>
    </row>
    <row r="1405" ht="15.75" customHeight="1">
      <c r="A1405" s="48"/>
      <c r="B1405" s="48"/>
      <c r="C1405" s="48"/>
      <c r="D1405" s="47"/>
      <c r="E1405" s="48"/>
    </row>
    <row r="1406" ht="15.75" customHeight="1">
      <c r="A1406" s="48"/>
      <c r="B1406" s="48"/>
      <c r="C1406" s="48"/>
      <c r="D1406" s="47"/>
      <c r="E1406" s="48"/>
    </row>
    <row r="1407" ht="15.75" customHeight="1">
      <c r="A1407" s="48"/>
      <c r="B1407" s="48"/>
      <c r="C1407" s="48"/>
      <c r="D1407" s="47"/>
      <c r="E1407" s="48"/>
    </row>
    <row r="1408" ht="15.75" customHeight="1">
      <c r="A1408" s="48"/>
      <c r="B1408" s="48"/>
      <c r="C1408" s="48"/>
      <c r="D1408" s="47"/>
      <c r="E1408" s="48"/>
    </row>
    <row r="1409" ht="15.75" customHeight="1">
      <c r="A1409" s="48"/>
      <c r="B1409" s="48"/>
      <c r="C1409" s="48"/>
      <c r="D1409" s="47"/>
      <c r="E1409" s="48"/>
    </row>
    <row r="1410" ht="15.75" customHeight="1">
      <c r="A1410" s="48"/>
      <c r="B1410" s="48"/>
      <c r="C1410" s="48"/>
      <c r="D1410" s="47"/>
      <c r="E1410" s="48"/>
    </row>
    <row r="1411" ht="15.75" customHeight="1">
      <c r="A1411" s="48"/>
      <c r="B1411" s="48"/>
      <c r="C1411" s="48"/>
      <c r="D1411" s="47"/>
      <c r="E1411" s="48"/>
    </row>
    <row r="1412" ht="15.75" customHeight="1">
      <c r="A1412" s="48"/>
      <c r="B1412" s="48"/>
      <c r="C1412" s="48"/>
      <c r="D1412" s="47"/>
      <c r="E1412" s="48"/>
    </row>
    <row r="1413" ht="15.75" customHeight="1">
      <c r="A1413" s="48"/>
      <c r="B1413" s="48"/>
      <c r="C1413" s="48"/>
      <c r="D1413" s="47"/>
      <c r="E1413" s="48"/>
    </row>
    <row r="1414" ht="15.75" customHeight="1">
      <c r="A1414" s="48"/>
      <c r="B1414" s="48"/>
      <c r="C1414" s="48"/>
      <c r="D1414" s="47"/>
      <c r="E1414" s="48"/>
    </row>
    <row r="1415" ht="15.75" customHeight="1">
      <c r="A1415" s="48"/>
      <c r="B1415" s="48"/>
      <c r="C1415" s="48"/>
      <c r="D1415" s="47"/>
      <c r="E1415" s="48"/>
    </row>
    <row r="1416" ht="15.75" customHeight="1">
      <c r="A1416" s="48"/>
      <c r="B1416" s="48"/>
      <c r="C1416" s="48"/>
      <c r="D1416" s="47"/>
      <c r="E1416" s="48"/>
    </row>
    <row r="1417" ht="15.75" customHeight="1">
      <c r="A1417" s="48"/>
      <c r="B1417" s="48"/>
      <c r="C1417" s="48"/>
      <c r="D1417" s="47"/>
      <c r="E1417" s="48"/>
    </row>
    <row r="1418" ht="15.75" customHeight="1">
      <c r="A1418" s="48"/>
      <c r="B1418" s="48"/>
      <c r="C1418" s="48"/>
      <c r="D1418" s="47"/>
      <c r="E1418" s="48"/>
    </row>
    <row r="1419" ht="15.75" customHeight="1">
      <c r="A1419" s="48"/>
      <c r="B1419" s="48"/>
      <c r="C1419" s="48"/>
      <c r="D1419" s="47"/>
      <c r="E1419" s="48"/>
    </row>
    <row r="1420" ht="15.75" customHeight="1">
      <c r="A1420" s="48"/>
      <c r="B1420" s="48"/>
      <c r="C1420" s="48"/>
      <c r="D1420" s="47"/>
      <c r="E1420" s="48"/>
    </row>
    <row r="1421" ht="15.75" customHeight="1">
      <c r="A1421" s="48"/>
      <c r="B1421" s="48"/>
      <c r="C1421" s="48"/>
      <c r="D1421" s="47"/>
      <c r="E1421" s="48"/>
    </row>
    <row r="1422" ht="15.75" customHeight="1">
      <c r="A1422" s="48"/>
      <c r="B1422" s="48"/>
      <c r="C1422" s="48"/>
      <c r="D1422" s="47"/>
      <c r="E1422" s="48"/>
    </row>
    <row r="1423" ht="15.75" customHeight="1">
      <c r="A1423" s="48"/>
      <c r="B1423" s="48"/>
      <c r="C1423" s="48"/>
      <c r="D1423" s="47"/>
      <c r="E1423" s="48"/>
    </row>
    <row r="1424" ht="15.75" customHeight="1">
      <c r="A1424" s="48"/>
      <c r="B1424" s="48"/>
      <c r="C1424" s="48"/>
      <c r="D1424" s="47"/>
      <c r="E1424" s="48"/>
    </row>
    <row r="1425" ht="15.75" customHeight="1">
      <c r="A1425" s="48"/>
      <c r="B1425" s="48"/>
      <c r="C1425" s="48"/>
      <c r="D1425" s="47"/>
      <c r="E1425" s="48"/>
    </row>
    <row r="1426" ht="15.75" customHeight="1">
      <c r="A1426" s="48"/>
      <c r="B1426" s="48"/>
      <c r="C1426" s="48"/>
      <c r="D1426" s="47"/>
      <c r="E1426" s="48"/>
    </row>
    <row r="1427" ht="15.75" customHeight="1">
      <c r="A1427" s="48"/>
      <c r="B1427" s="48"/>
      <c r="C1427" s="48"/>
      <c r="D1427" s="47"/>
      <c r="E1427" s="48"/>
    </row>
    <row r="1428" ht="15.75" customHeight="1">
      <c r="A1428" s="48"/>
      <c r="B1428" s="48"/>
      <c r="C1428" s="48"/>
      <c r="D1428" s="47"/>
      <c r="E1428" s="48"/>
    </row>
    <row r="1429" ht="15.75" customHeight="1">
      <c r="A1429" s="48"/>
      <c r="B1429" s="48"/>
      <c r="C1429" s="48"/>
      <c r="D1429" s="47"/>
      <c r="E1429" s="48"/>
    </row>
    <row r="1430" ht="15.75" customHeight="1">
      <c r="A1430" s="48"/>
      <c r="B1430" s="48"/>
      <c r="C1430" s="48"/>
      <c r="D1430" s="47"/>
      <c r="E1430" s="48"/>
    </row>
    <row r="1431" ht="15.75" customHeight="1">
      <c r="A1431" s="48"/>
      <c r="B1431" s="48"/>
      <c r="C1431" s="48"/>
      <c r="D1431" s="47"/>
      <c r="E1431" s="48"/>
    </row>
    <row r="1432" ht="15.75" customHeight="1">
      <c r="A1432" s="48"/>
      <c r="B1432" s="48"/>
      <c r="C1432" s="48"/>
      <c r="D1432" s="47"/>
      <c r="E1432" s="48"/>
    </row>
    <row r="1433" ht="15.75" customHeight="1">
      <c r="A1433" s="48"/>
      <c r="B1433" s="48"/>
      <c r="C1433" s="48"/>
      <c r="D1433" s="47"/>
      <c r="E1433" s="48"/>
    </row>
    <row r="1434" ht="15.75" customHeight="1">
      <c r="A1434" s="48"/>
      <c r="B1434" s="48"/>
      <c r="C1434" s="48"/>
      <c r="D1434" s="47"/>
      <c r="E1434" s="48"/>
    </row>
    <row r="1435" ht="15.75" customHeight="1">
      <c r="A1435" s="48"/>
      <c r="B1435" s="48"/>
      <c r="C1435" s="48"/>
      <c r="D1435" s="47"/>
      <c r="E1435" s="48"/>
    </row>
    <row r="1436" ht="15.75" customHeight="1">
      <c r="A1436" s="48"/>
      <c r="B1436" s="48"/>
      <c r="C1436" s="48"/>
      <c r="D1436" s="47"/>
      <c r="E1436" s="48"/>
    </row>
    <row r="1437" ht="15.75" customHeight="1">
      <c r="A1437" s="48"/>
      <c r="B1437" s="48"/>
      <c r="C1437" s="48"/>
      <c r="D1437" s="47"/>
      <c r="E1437" s="48"/>
    </row>
    <row r="1438" ht="15.75" customHeight="1">
      <c r="A1438" s="48"/>
      <c r="B1438" s="48"/>
      <c r="C1438" s="48"/>
      <c r="D1438" s="47"/>
      <c r="E1438" s="48"/>
    </row>
    <row r="1439" ht="15.75" customHeight="1">
      <c r="A1439" s="48"/>
      <c r="B1439" s="48"/>
      <c r="C1439" s="48"/>
      <c r="D1439" s="47"/>
      <c r="E1439" s="48"/>
    </row>
    <row r="1440" ht="15.75" customHeight="1">
      <c r="A1440" s="48"/>
      <c r="B1440" s="48"/>
      <c r="C1440" s="48"/>
      <c r="D1440" s="47"/>
      <c r="E1440" s="48"/>
    </row>
    <row r="1441" ht="15.75" customHeight="1">
      <c r="A1441" s="48"/>
      <c r="B1441" s="48"/>
      <c r="C1441" s="48"/>
      <c r="D1441" s="47"/>
      <c r="E1441" s="48"/>
    </row>
    <row r="1442" ht="15.75" customHeight="1">
      <c r="A1442" s="48"/>
      <c r="B1442" s="48"/>
      <c r="C1442" s="48"/>
      <c r="D1442" s="47"/>
      <c r="E1442" s="48"/>
    </row>
    <row r="1443" ht="15.75" customHeight="1">
      <c r="A1443" s="48"/>
      <c r="B1443" s="48"/>
      <c r="C1443" s="48"/>
      <c r="D1443" s="47"/>
      <c r="E1443" s="48"/>
    </row>
    <row r="1444" ht="15.75" customHeight="1">
      <c r="A1444" s="48"/>
      <c r="B1444" s="48"/>
      <c r="C1444" s="48"/>
      <c r="D1444" s="47"/>
      <c r="E1444" s="48"/>
    </row>
    <row r="1445" ht="15.75" customHeight="1">
      <c r="A1445" s="48"/>
      <c r="B1445" s="48"/>
      <c r="C1445" s="48"/>
      <c r="D1445" s="47"/>
      <c r="E1445" s="48"/>
    </row>
    <row r="1446" ht="15.75" customHeight="1">
      <c r="A1446" s="48"/>
      <c r="B1446" s="48"/>
      <c r="C1446" s="48"/>
      <c r="D1446" s="47"/>
      <c r="E1446" s="48"/>
    </row>
    <row r="1447" ht="15.75" customHeight="1">
      <c r="A1447" s="48"/>
      <c r="B1447" s="48"/>
      <c r="C1447" s="48"/>
      <c r="D1447" s="47"/>
      <c r="E1447" s="48"/>
    </row>
    <row r="1448" ht="15.75" customHeight="1">
      <c r="A1448" s="48"/>
      <c r="B1448" s="48"/>
      <c r="C1448" s="48"/>
      <c r="D1448" s="47"/>
      <c r="E1448" s="48"/>
    </row>
    <row r="1449" ht="15.75" customHeight="1">
      <c r="A1449" s="48"/>
      <c r="B1449" s="48"/>
      <c r="C1449" s="48"/>
      <c r="D1449" s="47"/>
      <c r="E1449" s="48"/>
    </row>
    <row r="1450" ht="15.75" customHeight="1">
      <c r="A1450" s="48"/>
      <c r="B1450" s="48"/>
      <c r="C1450" s="48"/>
      <c r="D1450" s="47"/>
      <c r="E1450" s="48"/>
    </row>
    <row r="1451" ht="15.75" customHeight="1">
      <c r="A1451" s="48"/>
      <c r="B1451" s="48"/>
      <c r="C1451" s="48"/>
      <c r="D1451" s="47"/>
      <c r="E1451" s="48"/>
    </row>
    <row r="1452" ht="15.75" customHeight="1">
      <c r="A1452" s="48"/>
      <c r="B1452" s="48"/>
      <c r="C1452" s="48"/>
      <c r="D1452" s="47"/>
      <c r="E1452" s="48"/>
    </row>
    <row r="1453" ht="15.75" customHeight="1">
      <c r="A1453" s="48"/>
      <c r="B1453" s="48"/>
      <c r="C1453" s="48"/>
      <c r="D1453" s="47"/>
      <c r="E1453" s="48"/>
    </row>
    <row r="1454" ht="15.75" customHeight="1">
      <c r="A1454" s="48"/>
      <c r="B1454" s="48"/>
      <c r="C1454" s="48"/>
      <c r="D1454" s="47"/>
      <c r="E1454" s="48"/>
    </row>
    <row r="1455" ht="15.75" customHeight="1">
      <c r="A1455" s="48"/>
      <c r="B1455" s="48"/>
      <c r="C1455" s="48"/>
      <c r="D1455" s="47"/>
      <c r="E1455" s="48"/>
    </row>
    <row r="1456" ht="15.75" customHeight="1">
      <c r="A1456" s="48"/>
      <c r="B1456" s="48"/>
      <c r="C1456" s="48"/>
      <c r="D1456" s="47"/>
      <c r="E1456" s="48"/>
    </row>
    <row r="1457" ht="15.75" customHeight="1">
      <c r="A1457" s="48"/>
      <c r="B1457" s="48"/>
      <c r="C1457" s="48"/>
      <c r="D1457" s="47"/>
      <c r="E1457" s="48"/>
    </row>
    <row r="1458" ht="15.75" customHeight="1">
      <c r="A1458" s="48"/>
      <c r="B1458" s="48"/>
      <c r="C1458" s="48"/>
      <c r="D1458" s="47"/>
      <c r="E1458" s="48"/>
    </row>
    <row r="1459" ht="15.75" customHeight="1">
      <c r="A1459" s="48"/>
      <c r="B1459" s="48"/>
      <c r="C1459" s="48"/>
      <c r="D1459" s="47"/>
      <c r="E1459" s="48"/>
    </row>
    <row r="1460" ht="15.75" customHeight="1">
      <c r="A1460" s="48"/>
      <c r="B1460" s="48"/>
      <c r="C1460" s="48"/>
      <c r="D1460" s="47"/>
      <c r="E1460" s="48"/>
    </row>
    <row r="1461" ht="15.75" customHeight="1">
      <c r="A1461" s="48"/>
      <c r="B1461" s="48"/>
      <c r="C1461" s="48"/>
      <c r="D1461" s="47"/>
      <c r="E1461" s="48"/>
    </row>
    <row r="1462" ht="15.75" customHeight="1">
      <c r="A1462" s="48"/>
      <c r="B1462" s="48"/>
      <c r="C1462" s="48"/>
      <c r="D1462" s="47"/>
      <c r="E1462" s="48"/>
    </row>
    <row r="1463" ht="15.75" customHeight="1">
      <c r="A1463" s="48"/>
      <c r="B1463" s="48"/>
      <c r="C1463" s="48"/>
      <c r="D1463" s="47"/>
      <c r="E1463" s="48"/>
    </row>
    <row r="1464" ht="15.75" customHeight="1">
      <c r="A1464" s="48"/>
      <c r="B1464" s="48"/>
      <c r="C1464" s="48"/>
      <c r="D1464" s="47"/>
      <c r="E1464" s="48"/>
    </row>
    <row r="1465" ht="15.75" customHeight="1">
      <c r="A1465" s="48"/>
      <c r="B1465" s="48"/>
      <c r="C1465" s="48"/>
      <c r="D1465" s="47"/>
      <c r="E1465" s="48"/>
    </row>
    <row r="1466" ht="15.75" customHeight="1">
      <c r="A1466" s="48"/>
      <c r="B1466" s="48"/>
      <c r="C1466" s="48"/>
      <c r="D1466" s="47"/>
      <c r="E1466" s="48"/>
    </row>
    <row r="1467" ht="15.75" customHeight="1">
      <c r="A1467" s="48"/>
      <c r="B1467" s="48"/>
      <c r="C1467" s="48"/>
      <c r="D1467" s="47"/>
      <c r="E1467" s="48"/>
    </row>
    <row r="1468" ht="15.75" customHeight="1">
      <c r="A1468" s="48"/>
      <c r="B1468" s="48"/>
      <c r="C1468" s="48"/>
      <c r="D1468" s="47"/>
      <c r="E1468" s="48"/>
    </row>
    <row r="1469" ht="15.75" customHeight="1">
      <c r="A1469" s="48"/>
      <c r="B1469" s="48"/>
      <c r="C1469" s="48"/>
      <c r="D1469" s="47"/>
      <c r="E1469" s="48"/>
    </row>
    <row r="1470" ht="15.75" customHeight="1">
      <c r="A1470" s="48"/>
      <c r="B1470" s="48"/>
      <c r="C1470" s="48"/>
      <c r="D1470" s="47"/>
      <c r="E1470" s="48"/>
    </row>
    <row r="1471" ht="15.75" customHeight="1">
      <c r="A1471" s="48"/>
      <c r="B1471" s="48"/>
      <c r="C1471" s="48"/>
      <c r="D1471" s="47"/>
      <c r="E1471" s="48"/>
    </row>
    <row r="1472" ht="15.75" customHeight="1">
      <c r="A1472" s="48"/>
      <c r="B1472" s="48"/>
      <c r="C1472" s="48"/>
      <c r="D1472" s="47"/>
      <c r="E1472" s="48"/>
    </row>
    <row r="1473" ht="15.75" customHeight="1">
      <c r="A1473" s="48"/>
      <c r="B1473" s="48"/>
      <c r="C1473" s="48"/>
      <c r="D1473" s="47"/>
      <c r="E1473" s="48"/>
    </row>
    <row r="1474" ht="15.75" customHeight="1">
      <c r="A1474" s="48"/>
      <c r="B1474" s="48"/>
      <c r="C1474" s="48"/>
      <c r="D1474" s="47"/>
      <c r="E1474" s="48"/>
    </row>
    <row r="1475" ht="15.75" customHeight="1">
      <c r="A1475" s="48"/>
      <c r="B1475" s="48"/>
      <c r="C1475" s="48"/>
      <c r="D1475" s="47"/>
      <c r="E1475" s="48"/>
    </row>
    <row r="1476" ht="15.75" customHeight="1">
      <c r="A1476" s="48"/>
      <c r="B1476" s="48"/>
      <c r="C1476" s="48"/>
      <c r="D1476" s="47"/>
      <c r="E1476" s="48"/>
    </row>
    <row r="1477" ht="15.75" customHeight="1">
      <c r="A1477" s="48"/>
      <c r="B1477" s="48"/>
      <c r="C1477" s="48"/>
      <c r="D1477" s="47"/>
      <c r="E1477" s="48"/>
    </row>
    <row r="1478" ht="15.75" customHeight="1">
      <c r="A1478" s="48"/>
      <c r="B1478" s="48"/>
      <c r="C1478" s="48"/>
      <c r="D1478" s="47"/>
      <c r="E1478" s="48"/>
    </row>
    <row r="1479" ht="15.75" customHeight="1">
      <c r="A1479" s="48"/>
      <c r="B1479" s="48"/>
      <c r="C1479" s="48"/>
      <c r="D1479" s="47"/>
      <c r="E1479" s="48"/>
    </row>
    <row r="1480" ht="15.75" customHeight="1">
      <c r="A1480" s="48"/>
      <c r="B1480" s="48"/>
      <c r="C1480" s="48"/>
      <c r="D1480" s="47"/>
      <c r="E1480" s="48"/>
    </row>
    <row r="1481" ht="15.75" customHeight="1">
      <c r="A1481" s="48"/>
      <c r="B1481" s="48"/>
      <c r="C1481" s="48"/>
      <c r="D1481" s="47"/>
      <c r="E1481" s="48"/>
    </row>
    <row r="1482" ht="15.75" customHeight="1">
      <c r="A1482" s="48"/>
      <c r="B1482" s="48"/>
      <c r="C1482" s="48"/>
      <c r="D1482" s="47"/>
      <c r="E1482" s="48"/>
    </row>
    <row r="1483" ht="15.75" customHeight="1">
      <c r="A1483" s="48"/>
      <c r="B1483" s="48"/>
      <c r="C1483" s="48"/>
      <c r="D1483" s="47"/>
      <c r="E1483" s="48"/>
    </row>
    <row r="1484" ht="15.75" customHeight="1">
      <c r="A1484" s="48"/>
      <c r="B1484" s="48"/>
      <c r="C1484" s="48"/>
      <c r="D1484" s="47"/>
      <c r="E1484" s="48"/>
    </row>
    <row r="1485" ht="15.75" customHeight="1">
      <c r="A1485" s="48"/>
      <c r="B1485" s="48"/>
      <c r="C1485" s="48"/>
      <c r="D1485" s="47"/>
      <c r="E1485" s="48"/>
    </row>
    <row r="1486" ht="15.75" customHeight="1">
      <c r="A1486" s="48"/>
      <c r="B1486" s="48"/>
      <c r="C1486" s="48"/>
      <c r="D1486" s="47"/>
      <c r="E1486" s="48"/>
    </row>
    <row r="1487" ht="15.75" customHeight="1">
      <c r="A1487" s="48"/>
      <c r="B1487" s="48"/>
      <c r="C1487" s="48"/>
      <c r="D1487" s="47"/>
      <c r="E1487" s="48"/>
    </row>
    <row r="1488" ht="15.75" customHeight="1">
      <c r="A1488" s="48"/>
      <c r="B1488" s="48"/>
      <c r="C1488" s="48"/>
      <c r="D1488" s="47"/>
      <c r="E1488" s="48"/>
    </row>
    <row r="1489" ht="15.75" customHeight="1">
      <c r="A1489" s="48"/>
      <c r="B1489" s="48"/>
      <c r="C1489" s="48"/>
      <c r="D1489" s="47"/>
      <c r="E1489" s="48"/>
    </row>
    <row r="1490" ht="15.75" customHeight="1">
      <c r="A1490" s="48"/>
      <c r="B1490" s="48"/>
      <c r="C1490" s="48"/>
      <c r="D1490" s="47"/>
      <c r="E1490" s="48"/>
    </row>
    <row r="1491" ht="15.75" customHeight="1">
      <c r="A1491" s="48"/>
      <c r="B1491" s="48"/>
      <c r="C1491" s="48"/>
      <c r="D1491" s="47"/>
      <c r="E1491" s="48"/>
    </row>
    <row r="1492" ht="15.75" customHeight="1">
      <c r="A1492" s="48"/>
      <c r="B1492" s="48"/>
      <c r="C1492" s="48"/>
      <c r="D1492" s="47"/>
      <c r="E1492" s="48"/>
    </row>
    <row r="1493" ht="15.75" customHeight="1">
      <c r="A1493" s="48"/>
      <c r="B1493" s="48"/>
      <c r="C1493" s="48"/>
      <c r="D1493" s="47"/>
      <c r="E1493" s="48"/>
    </row>
    <row r="1494" ht="15.75" customHeight="1">
      <c r="A1494" s="48"/>
      <c r="B1494" s="48"/>
      <c r="C1494" s="48"/>
      <c r="D1494" s="47"/>
      <c r="E1494" s="48"/>
    </row>
    <row r="1495" ht="15.75" customHeight="1">
      <c r="A1495" s="48"/>
      <c r="B1495" s="48"/>
      <c r="C1495" s="48"/>
      <c r="D1495" s="47"/>
      <c r="E1495" s="48"/>
    </row>
    <row r="1496" ht="15.75" customHeight="1">
      <c r="A1496" s="48"/>
      <c r="B1496" s="48"/>
      <c r="C1496" s="48"/>
      <c r="D1496" s="47"/>
      <c r="E1496" s="48"/>
    </row>
    <row r="1497" ht="15.75" customHeight="1">
      <c r="A1497" s="48"/>
      <c r="B1497" s="48"/>
      <c r="C1497" s="48"/>
      <c r="D1497" s="47"/>
      <c r="E1497" s="48"/>
    </row>
    <row r="1498" ht="15.75" customHeight="1">
      <c r="A1498" s="48"/>
      <c r="B1498" s="48"/>
      <c r="C1498" s="48"/>
      <c r="D1498" s="47"/>
      <c r="E1498" s="48"/>
    </row>
    <row r="1499" ht="15.75" customHeight="1">
      <c r="A1499" s="48"/>
      <c r="B1499" s="48"/>
      <c r="C1499" s="48"/>
      <c r="D1499" s="47"/>
      <c r="E1499" s="48"/>
    </row>
    <row r="1500" ht="15.75" customHeight="1">
      <c r="A1500" s="48"/>
      <c r="B1500" s="48"/>
      <c r="C1500" s="48"/>
      <c r="D1500" s="47"/>
      <c r="E1500" s="48"/>
    </row>
    <row r="1501" ht="15.75" customHeight="1">
      <c r="A1501" s="48"/>
      <c r="B1501" s="48"/>
      <c r="C1501" s="48"/>
      <c r="D1501" s="47"/>
      <c r="E1501" s="48"/>
    </row>
    <row r="1502" ht="15.75" customHeight="1">
      <c r="A1502" s="48"/>
      <c r="B1502" s="48"/>
      <c r="C1502" s="48"/>
      <c r="D1502" s="47"/>
      <c r="E1502" s="48"/>
    </row>
    <row r="1503" ht="15.75" customHeight="1">
      <c r="A1503" s="48"/>
      <c r="B1503" s="48"/>
      <c r="C1503" s="48"/>
      <c r="D1503" s="47"/>
      <c r="E1503" s="48"/>
    </row>
    <row r="1504" ht="15.75" customHeight="1">
      <c r="A1504" s="48"/>
      <c r="B1504" s="48"/>
      <c r="C1504" s="48"/>
      <c r="D1504" s="47"/>
      <c r="E1504" s="48"/>
    </row>
    <row r="1505" ht="15.75" customHeight="1">
      <c r="A1505" s="48"/>
      <c r="B1505" s="48"/>
      <c r="C1505" s="48"/>
      <c r="D1505" s="47"/>
      <c r="E1505" s="48"/>
    </row>
    <row r="1506" ht="15.75" customHeight="1">
      <c r="A1506" s="48"/>
      <c r="B1506" s="48"/>
      <c r="C1506" s="48"/>
      <c r="D1506" s="47"/>
      <c r="E1506" s="48"/>
    </row>
    <row r="1507" ht="15.75" customHeight="1">
      <c r="A1507" s="48"/>
      <c r="B1507" s="48"/>
      <c r="C1507" s="48"/>
      <c r="D1507" s="47"/>
      <c r="E1507" s="48"/>
    </row>
    <row r="1508" ht="15.75" customHeight="1">
      <c r="A1508" s="48"/>
      <c r="B1508" s="48"/>
      <c r="C1508" s="48"/>
      <c r="D1508" s="47"/>
      <c r="E1508" s="48"/>
    </row>
    <row r="1509" ht="15.75" customHeight="1">
      <c r="A1509" s="48"/>
      <c r="B1509" s="48"/>
      <c r="C1509" s="48"/>
      <c r="D1509" s="47"/>
      <c r="E1509" s="48"/>
    </row>
    <row r="1510" ht="15.75" customHeight="1">
      <c r="A1510" s="48"/>
      <c r="B1510" s="48"/>
      <c r="C1510" s="48"/>
      <c r="D1510" s="47"/>
      <c r="E1510" s="48"/>
    </row>
    <row r="1511" ht="15.75" customHeight="1">
      <c r="A1511" s="48"/>
      <c r="B1511" s="48"/>
      <c r="C1511" s="48"/>
      <c r="D1511" s="47"/>
      <c r="E1511" s="48"/>
    </row>
    <row r="1512" ht="15.75" customHeight="1">
      <c r="A1512" s="48"/>
      <c r="B1512" s="48"/>
      <c r="C1512" s="48"/>
      <c r="D1512" s="47"/>
      <c r="E1512" s="48"/>
    </row>
    <row r="1513" ht="15.75" customHeight="1">
      <c r="A1513" s="48"/>
      <c r="B1513" s="48"/>
      <c r="C1513" s="48"/>
      <c r="D1513" s="47"/>
      <c r="E1513" s="48"/>
    </row>
    <row r="1514" ht="15.75" customHeight="1">
      <c r="A1514" s="48"/>
      <c r="B1514" s="48"/>
      <c r="C1514" s="48"/>
      <c r="D1514" s="47"/>
      <c r="E1514" s="48"/>
    </row>
    <row r="1515" ht="15.75" customHeight="1">
      <c r="A1515" s="48"/>
      <c r="B1515" s="48"/>
      <c r="C1515" s="48"/>
      <c r="D1515" s="47"/>
      <c r="E1515" s="48"/>
    </row>
    <row r="1516" ht="15.75" customHeight="1">
      <c r="A1516" s="48"/>
      <c r="B1516" s="48"/>
      <c r="C1516" s="48"/>
      <c r="D1516" s="47"/>
      <c r="E1516" s="48"/>
    </row>
    <row r="1517" ht="15.75" customHeight="1">
      <c r="A1517" s="48"/>
      <c r="B1517" s="48"/>
      <c r="C1517" s="48"/>
      <c r="D1517" s="47"/>
      <c r="E1517" s="48"/>
    </row>
    <row r="1518" ht="15.75" customHeight="1">
      <c r="A1518" s="48"/>
      <c r="B1518" s="48"/>
      <c r="C1518" s="48"/>
      <c r="D1518" s="47"/>
      <c r="E1518" s="48"/>
    </row>
    <row r="1519" ht="15.75" customHeight="1">
      <c r="A1519" s="48"/>
      <c r="B1519" s="48"/>
      <c r="C1519" s="48"/>
      <c r="D1519" s="47"/>
      <c r="E1519" s="48"/>
    </row>
    <row r="1520" ht="15.75" customHeight="1">
      <c r="A1520" s="48"/>
      <c r="B1520" s="48"/>
      <c r="C1520" s="48"/>
      <c r="D1520" s="47"/>
      <c r="E1520" s="48"/>
    </row>
    <row r="1521" ht="15.75" customHeight="1">
      <c r="A1521" s="48"/>
      <c r="B1521" s="48"/>
      <c r="C1521" s="48"/>
      <c r="D1521" s="47"/>
      <c r="E1521" s="48"/>
    </row>
    <row r="1522" ht="15.75" customHeight="1">
      <c r="A1522" s="48"/>
      <c r="B1522" s="48"/>
      <c r="C1522" s="48"/>
      <c r="D1522" s="47"/>
      <c r="E1522" s="48"/>
    </row>
    <row r="1523" ht="15.75" customHeight="1">
      <c r="A1523" s="48"/>
      <c r="B1523" s="48"/>
      <c r="C1523" s="48"/>
      <c r="D1523" s="47"/>
      <c r="E1523" s="48"/>
    </row>
    <row r="1524" ht="15.75" customHeight="1">
      <c r="A1524" s="48"/>
      <c r="B1524" s="48"/>
      <c r="C1524" s="48"/>
      <c r="D1524" s="47"/>
      <c r="E1524" s="48"/>
    </row>
    <row r="1525" ht="15.75" customHeight="1">
      <c r="A1525" s="48"/>
      <c r="B1525" s="48"/>
      <c r="C1525" s="48"/>
      <c r="D1525" s="47"/>
      <c r="E1525" s="48"/>
    </row>
    <row r="1526" ht="15.75" customHeight="1">
      <c r="A1526" s="48"/>
      <c r="B1526" s="48"/>
      <c r="C1526" s="48"/>
      <c r="D1526" s="47"/>
      <c r="E1526" s="48"/>
    </row>
    <row r="1527" ht="15.75" customHeight="1">
      <c r="A1527" s="48"/>
      <c r="B1527" s="48"/>
      <c r="C1527" s="48"/>
      <c r="D1527" s="47"/>
      <c r="E1527" s="48"/>
    </row>
    <row r="1528" ht="15.75" customHeight="1">
      <c r="A1528" s="48"/>
      <c r="B1528" s="48"/>
      <c r="C1528" s="48"/>
      <c r="D1528" s="47"/>
      <c r="E1528" s="48"/>
    </row>
    <row r="1529" ht="15.75" customHeight="1">
      <c r="A1529" s="48"/>
      <c r="B1529" s="48"/>
      <c r="C1529" s="48"/>
      <c r="D1529" s="47"/>
      <c r="E1529" s="48"/>
    </row>
    <row r="1530" ht="15.75" customHeight="1">
      <c r="A1530" s="48"/>
      <c r="B1530" s="48"/>
      <c r="C1530" s="48"/>
      <c r="D1530" s="47"/>
      <c r="E1530" s="48"/>
    </row>
    <row r="1531" ht="15.75" customHeight="1">
      <c r="A1531" s="48"/>
      <c r="B1531" s="48"/>
      <c r="C1531" s="48"/>
      <c r="D1531" s="47"/>
      <c r="E1531" s="48"/>
    </row>
    <row r="1532" ht="15.75" customHeight="1">
      <c r="A1532" s="48"/>
      <c r="B1532" s="48"/>
      <c r="C1532" s="48"/>
      <c r="D1532" s="47"/>
      <c r="E1532" s="48"/>
    </row>
    <row r="1533" ht="15.75" customHeight="1">
      <c r="A1533" s="48"/>
      <c r="B1533" s="48"/>
      <c r="C1533" s="48"/>
      <c r="D1533" s="47"/>
      <c r="E1533" s="48"/>
    </row>
    <row r="1534" ht="15.75" customHeight="1">
      <c r="A1534" s="48"/>
      <c r="B1534" s="48"/>
      <c r="C1534" s="48"/>
      <c r="D1534" s="47"/>
      <c r="E1534" s="48"/>
    </row>
    <row r="1535" ht="15.75" customHeight="1">
      <c r="A1535" s="48"/>
      <c r="B1535" s="48"/>
      <c r="C1535" s="48"/>
      <c r="D1535" s="47"/>
      <c r="E1535" s="48"/>
    </row>
    <row r="1536" ht="15.75" customHeight="1">
      <c r="A1536" s="48"/>
      <c r="B1536" s="48"/>
      <c r="C1536" s="48"/>
      <c r="D1536" s="47"/>
      <c r="E1536" s="48"/>
    </row>
    <row r="1537" ht="15.75" customHeight="1">
      <c r="A1537" s="48"/>
      <c r="B1537" s="48"/>
      <c r="C1537" s="48"/>
      <c r="D1537" s="47"/>
      <c r="E1537" s="48"/>
    </row>
    <row r="1538" ht="15.75" customHeight="1">
      <c r="A1538" s="48"/>
      <c r="B1538" s="48"/>
      <c r="C1538" s="48"/>
      <c r="D1538" s="47"/>
      <c r="E1538" s="48"/>
    </row>
    <row r="1539" ht="15.75" customHeight="1">
      <c r="A1539" s="48"/>
      <c r="B1539" s="48"/>
      <c r="C1539" s="48"/>
      <c r="D1539" s="47"/>
      <c r="E1539" s="48"/>
    </row>
    <row r="1540" ht="15.75" customHeight="1">
      <c r="A1540" s="48"/>
      <c r="B1540" s="48"/>
      <c r="C1540" s="48"/>
      <c r="D1540" s="47"/>
      <c r="E1540" s="48"/>
    </row>
    <row r="1541" ht="15.75" customHeight="1">
      <c r="A1541" s="48"/>
      <c r="B1541" s="48"/>
      <c r="C1541" s="48"/>
      <c r="D1541" s="47"/>
      <c r="E1541" s="48"/>
    </row>
    <row r="1542" ht="15.75" customHeight="1">
      <c r="A1542" s="48"/>
      <c r="B1542" s="48"/>
      <c r="C1542" s="48"/>
      <c r="D1542" s="47"/>
      <c r="E1542" s="48"/>
    </row>
    <row r="1543" ht="15.75" customHeight="1">
      <c r="A1543" s="48"/>
      <c r="B1543" s="48"/>
      <c r="C1543" s="48"/>
      <c r="D1543" s="47"/>
      <c r="E1543" s="48"/>
    </row>
    <row r="1544" ht="15.75" customHeight="1">
      <c r="A1544" s="48"/>
      <c r="B1544" s="48"/>
      <c r="C1544" s="48"/>
      <c r="D1544" s="47"/>
      <c r="E1544" s="48"/>
    </row>
    <row r="1545" ht="15.75" customHeight="1">
      <c r="A1545" s="48"/>
      <c r="B1545" s="48"/>
      <c r="C1545" s="48"/>
      <c r="D1545" s="47"/>
      <c r="E1545" s="48"/>
    </row>
    <row r="1546" ht="15.75" customHeight="1">
      <c r="A1546" s="48"/>
      <c r="B1546" s="48"/>
      <c r="C1546" s="48"/>
      <c r="D1546" s="47"/>
      <c r="E1546" s="48"/>
    </row>
    <row r="1547" ht="15.75" customHeight="1">
      <c r="A1547" s="48"/>
      <c r="B1547" s="48"/>
      <c r="C1547" s="48"/>
      <c r="D1547" s="47"/>
      <c r="E1547" s="48"/>
    </row>
    <row r="1548" ht="15.75" customHeight="1">
      <c r="A1548" s="48"/>
      <c r="B1548" s="48"/>
      <c r="C1548" s="48"/>
      <c r="D1548" s="47"/>
      <c r="E1548" s="48"/>
    </row>
    <row r="1549" ht="15.75" customHeight="1">
      <c r="A1549" s="48"/>
      <c r="B1549" s="48"/>
      <c r="C1549" s="48"/>
      <c r="D1549" s="47"/>
      <c r="E1549" s="48"/>
    </row>
    <row r="1550" ht="15.75" customHeight="1">
      <c r="A1550" s="48"/>
      <c r="B1550" s="48"/>
      <c r="C1550" s="48"/>
      <c r="D1550" s="47"/>
      <c r="E1550" s="48"/>
    </row>
    <row r="1551" ht="15.75" customHeight="1">
      <c r="A1551" s="48"/>
      <c r="B1551" s="48"/>
      <c r="C1551" s="48"/>
      <c r="D1551" s="47"/>
      <c r="E1551" s="48"/>
    </row>
    <row r="1552" ht="15.75" customHeight="1">
      <c r="A1552" s="48"/>
      <c r="B1552" s="48"/>
      <c r="C1552" s="48"/>
      <c r="D1552" s="47"/>
      <c r="E1552" s="48"/>
    </row>
    <row r="1553" ht="15.75" customHeight="1">
      <c r="A1553" s="48"/>
      <c r="B1553" s="48"/>
      <c r="C1553" s="48"/>
      <c r="D1553" s="47"/>
      <c r="E1553" s="48"/>
    </row>
    <row r="1554" ht="15.75" customHeight="1">
      <c r="A1554" s="48"/>
      <c r="B1554" s="48"/>
      <c r="C1554" s="48"/>
      <c r="D1554" s="47"/>
      <c r="E1554" s="48"/>
    </row>
    <row r="1555" ht="15.75" customHeight="1">
      <c r="A1555" s="48"/>
      <c r="B1555" s="48"/>
      <c r="C1555" s="48"/>
      <c r="D1555" s="47"/>
      <c r="E1555" s="48"/>
    </row>
    <row r="1556" ht="15.75" customHeight="1">
      <c r="A1556" s="48"/>
      <c r="B1556" s="48"/>
      <c r="C1556" s="48"/>
      <c r="D1556" s="47"/>
      <c r="E1556" s="48"/>
    </row>
    <row r="1557" ht="15.75" customHeight="1">
      <c r="A1557" s="48"/>
      <c r="B1557" s="48"/>
      <c r="C1557" s="48"/>
      <c r="D1557" s="47"/>
      <c r="E1557" s="48"/>
    </row>
    <row r="1558" ht="15.75" customHeight="1">
      <c r="A1558" s="48"/>
      <c r="B1558" s="48"/>
      <c r="C1558" s="48"/>
      <c r="D1558" s="47"/>
      <c r="E1558" s="48"/>
    </row>
    <row r="1559" ht="15.75" customHeight="1">
      <c r="A1559" s="48"/>
      <c r="B1559" s="48"/>
      <c r="C1559" s="48"/>
      <c r="D1559" s="47"/>
      <c r="E1559" s="48"/>
    </row>
    <row r="1560" ht="15.75" customHeight="1">
      <c r="A1560" s="48"/>
      <c r="B1560" s="48"/>
      <c r="C1560" s="48"/>
      <c r="D1560" s="47"/>
      <c r="E1560" s="48"/>
    </row>
    <row r="1561" ht="15.75" customHeight="1">
      <c r="A1561" s="48"/>
      <c r="B1561" s="48"/>
      <c r="C1561" s="48"/>
      <c r="D1561" s="47"/>
      <c r="E1561" s="48"/>
    </row>
    <row r="1562" ht="15.75" customHeight="1">
      <c r="A1562" s="48"/>
      <c r="B1562" s="48"/>
      <c r="C1562" s="48"/>
      <c r="D1562" s="47"/>
      <c r="E1562" s="48"/>
    </row>
    <row r="1563" ht="15.75" customHeight="1">
      <c r="A1563" s="48"/>
      <c r="B1563" s="48"/>
      <c r="C1563" s="48"/>
      <c r="D1563" s="47"/>
      <c r="E1563" s="48"/>
    </row>
    <row r="1564" ht="15.75" customHeight="1">
      <c r="A1564" s="48"/>
      <c r="B1564" s="48"/>
      <c r="C1564" s="48"/>
      <c r="D1564" s="47"/>
      <c r="E1564" s="48"/>
    </row>
    <row r="1565" ht="15.75" customHeight="1">
      <c r="A1565" s="48"/>
      <c r="B1565" s="48"/>
      <c r="C1565" s="48"/>
      <c r="D1565" s="47"/>
      <c r="E1565" s="48"/>
    </row>
    <row r="1566" ht="15.75" customHeight="1">
      <c r="A1566" s="48"/>
      <c r="B1566" s="48"/>
      <c r="C1566" s="48"/>
      <c r="D1566" s="47"/>
      <c r="E1566" s="48"/>
    </row>
    <row r="1567" ht="15.75" customHeight="1">
      <c r="A1567" s="48"/>
      <c r="B1567" s="48"/>
      <c r="C1567" s="48"/>
      <c r="D1567" s="47"/>
      <c r="E1567" s="48"/>
    </row>
    <row r="1568" ht="15.75" customHeight="1">
      <c r="A1568" s="48"/>
      <c r="B1568" s="48"/>
      <c r="C1568" s="48"/>
      <c r="D1568" s="47"/>
      <c r="E1568" s="48"/>
    </row>
    <row r="1569" ht="15.75" customHeight="1">
      <c r="A1569" s="48"/>
      <c r="B1569" s="48"/>
      <c r="C1569" s="48"/>
      <c r="D1569" s="47"/>
      <c r="E1569" s="48"/>
    </row>
    <row r="1570" ht="15.75" customHeight="1">
      <c r="A1570" s="48"/>
      <c r="B1570" s="48"/>
      <c r="C1570" s="48"/>
      <c r="D1570" s="47"/>
      <c r="E1570" s="48"/>
    </row>
    <row r="1571" ht="15.75" customHeight="1">
      <c r="A1571" s="48"/>
      <c r="B1571" s="48"/>
      <c r="C1571" s="48"/>
      <c r="D1571" s="47"/>
      <c r="E1571" s="48"/>
    </row>
    <row r="1572" ht="15.75" customHeight="1">
      <c r="A1572" s="48"/>
      <c r="B1572" s="48"/>
      <c r="C1572" s="48"/>
      <c r="D1572" s="47"/>
      <c r="E1572" s="48"/>
    </row>
    <row r="1573" ht="15.75" customHeight="1">
      <c r="A1573" s="48"/>
      <c r="B1573" s="48"/>
      <c r="C1573" s="48"/>
      <c r="D1573" s="47"/>
      <c r="E1573" s="48"/>
    </row>
    <row r="1574" ht="15.75" customHeight="1">
      <c r="A1574" s="48"/>
      <c r="B1574" s="48"/>
      <c r="C1574" s="48"/>
      <c r="D1574" s="47"/>
      <c r="E1574" s="48"/>
    </row>
    <row r="1575" ht="15.75" customHeight="1">
      <c r="A1575" s="48"/>
      <c r="B1575" s="48"/>
      <c r="C1575" s="48"/>
      <c r="D1575" s="47"/>
      <c r="E1575" s="48"/>
    </row>
    <row r="1576" ht="15.75" customHeight="1">
      <c r="A1576" s="48"/>
      <c r="B1576" s="48"/>
      <c r="C1576" s="48"/>
      <c r="D1576" s="47"/>
      <c r="E1576" s="48"/>
    </row>
    <row r="1577" ht="15.75" customHeight="1">
      <c r="A1577" s="48"/>
      <c r="B1577" s="48"/>
      <c r="C1577" s="48"/>
      <c r="D1577" s="47"/>
      <c r="E1577" s="48"/>
    </row>
    <row r="1578" ht="15.75" customHeight="1">
      <c r="A1578" s="48"/>
      <c r="B1578" s="48"/>
      <c r="C1578" s="48"/>
      <c r="D1578" s="47"/>
      <c r="E1578" s="48"/>
    </row>
    <row r="1579" ht="15.75" customHeight="1">
      <c r="A1579" s="48"/>
      <c r="B1579" s="48"/>
      <c r="C1579" s="48"/>
      <c r="D1579" s="47"/>
      <c r="E1579" s="48"/>
    </row>
    <row r="1580" ht="15.75" customHeight="1">
      <c r="A1580" s="48"/>
      <c r="B1580" s="48"/>
      <c r="C1580" s="48"/>
      <c r="D1580" s="47"/>
      <c r="E1580" s="48"/>
    </row>
    <row r="1581" ht="15.75" customHeight="1">
      <c r="A1581" s="48"/>
      <c r="B1581" s="48"/>
      <c r="C1581" s="48"/>
      <c r="D1581" s="47"/>
      <c r="E1581" s="48"/>
    </row>
    <row r="1582" ht="15.75" customHeight="1">
      <c r="A1582" s="48"/>
      <c r="B1582" s="48"/>
      <c r="C1582" s="48"/>
      <c r="D1582" s="47"/>
      <c r="E1582" s="48"/>
    </row>
    <row r="1583" ht="15.75" customHeight="1">
      <c r="A1583" s="48"/>
      <c r="B1583" s="48"/>
      <c r="C1583" s="48"/>
      <c r="D1583" s="47"/>
      <c r="E1583" s="48"/>
    </row>
    <row r="1584" ht="15.75" customHeight="1">
      <c r="A1584" s="48"/>
      <c r="B1584" s="48"/>
      <c r="C1584" s="48"/>
      <c r="D1584" s="47"/>
      <c r="E1584" s="48"/>
    </row>
    <row r="1585" ht="15.75" customHeight="1">
      <c r="A1585" s="48"/>
      <c r="B1585" s="48"/>
      <c r="C1585" s="48"/>
      <c r="D1585" s="47"/>
      <c r="E1585" s="48"/>
    </row>
    <row r="1586" ht="15.75" customHeight="1">
      <c r="A1586" s="48"/>
      <c r="B1586" s="48"/>
      <c r="C1586" s="48"/>
      <c r="D1586" s="47"/>
      <c r="E1586" s="48"/>
    </row>
    <row r="1587" ht="15.75" customHeight="1">
      <c r="A1587" s="48"/>
      <c r="B1587" s="48"/>
      <c r="C1587" s="48"/>
      <c r="D1587" s="47"/>
      <c r="E1587" s="48"/>
    </row>
    <row r="1588" ht="15.75" customHeight="1">
      <c r="A1588" s="48"/>
      <c r="B1588" s="48"/>
      <c r="C1588" s="48"/>
      <c r="D1588" s="47"/>
      <c r="E1588" s="48"/>
    </row>
    <row r="1589" ht="15.75" customHeight="1">
      <c r="A1589" s="48"/>
      <c r="B1589" s="48"/>
      <c r="C1589" s="48"/>
      <c r="D1589" s="47"/>
      <c r="E1589" s="48"/>
    </row>
    <row r="1590" ht="15.75" customHeight="1">
      <c r="A1590" s="48"/>
      <c r="B1590" s="48"/>
      <c r="C1590" s="48"/>
      <c r="D1590" s="47"/>
      <c r="E1590" s="48"/>
    </row>
    <row r="1591" ht="15.75" customHeight="1">
      <c r="A1591" s="48"/>
      <c r="B1591" s="48"/>
      <c r="C1591" s="48"/>
      <c r="D1591" s="47"/>
      <c r="E1591" s="48"/>
    </row>
    <row r="1592" ht="15.75" customHeight="1">
      <c r="A1592" s="48"/>
      <c r="B1592" s="48"/>
      <c r="C1592" s="48"/>
      <c r="D1592" s="47"/>
      <c r="E1592" s="48"/>
    </row>
    <row r="1593" ht="15.75" customHeight="1">
      <c r="A1593" s="48"/>
      <c r="B1593" s="48"/>
      <c r="C1593" s="48"/>
      <c r="D1593" s="47"/>
      <c r="E1593" s="48"/>
    </row>
    <row r="1594" ht="15.75" customHeight="1">
      <c r="A1594" s="48"/>
      <c r="B1594" s="48"/>
      <c r="C1594" s="48"/>
      <c r="D1594" s="47"/>
      <c r="E1594" s="48"/>
    </row>
    <row r="1595" ht="15.75" customHeight="1">
      <c r="A1595" s="48"/>
      <c r="B1595" s="48"/>
      <c r="C1595" s="48"/>
      <c r="D1595" s="47"/>
      <c r="E1595" s="48"/>
    </row>
    <row r="1596" ht="15.75" customHeight="1">
      <c r="A1596" s="48"/>
      <c r="B1596" s="48"/>
      <c r="C1596" s="48"/>
      <c r="D1596" s="47"/>
      <c r="E1596" s="48"/>
    </row>
    <row r="1597" ht="15.75" customHeight="1">
      <c r="A1597" s="48"/>
      <c r="B1597" s="48"/>
      <c r="C1597" s="48"/>
      <c r="D1597" s="47"/>
      <c r="E1597" s="48"/>
    </row>
    <row r="1598" ht="15.75" customHeight="1">
      <c r="A1598" s="48"/>
      <c r="B1598" s="48"/>
      <c r="C1598" s="48"/>
      <c r="D1598" s="47"/>
      <c r="E1598" s="48"/>
    </row>
    <row r="1599" ht="15.75" customHeight="1">
      <c r="A1599" s="48"/>
      <c r="B1599" s="48"/>
      <c r="C1599" s="48"/>
      <c r="D1599" s="47"/>
      <c r="E1599" s="48"/>
    </row>
    <row r="1600" ht="15.75" customHeight="1">
      <c r="A1600" s="48"/>
      <c r="B1600" s="48"/>
      <c r="C1600" s="48"/>
      <c r="D1600" s="47"/>
      <c r="E1600" s="48"/>
    </row>
    <row r="1601" ht="15.75" customHeight="1">
      <c r="A1601" s="48"/>
      <c r="B1601" s="48"/>
      <c r="C1601" s="48"/>
      <c r="D1601" s="47"/>
      <c r="E1601" s="48"/>
    </row>
    <row r="1602" ht="15.75" customHeight="1">
      <c r="A1602" s="48"/>
      <c r="B1602" s="48"/>
      <c r="C1602" s="48"/>
      <c r="D1602" s="47"/>
      <c r="E1602" s="48"/>
    </row>
    <row r="1603" ht="15.75" customHeight="1">
      <c r="A1603" s="48"/>
      <c r="B1603" s="48"/>
      <c r="C1603" s="48"/>
      <c r="D1603" s="47"/>
      <c r="E1603" s="48"/>
    </row>
    <row r="1604" ht="15.75" customHeight="1">
      <c r="A1604" s="48"/>
      <c r="B1604" s="48"/>
      <c r="C1604" s="48"/>
      <c r="D1604" s="47"/>
      <c r="E1604" s="48"/>
    </row>
    <row r="1605" ht="15.75" customHeight="1">
      <c r="A1605" s="48"/>
      <c r="B1605" s="48"/>
      <c r="C1605" s="48"/>
      <c r="D1605" s="47"/>
      <c r="E1605" s="48"/>
    </row>
    <row r="1606" ht="15.75" customHeight="1">
      <c r="A1606" s="48"/>
      <c r="B1606" s="48"/>
      <c r="C1606" s="48"/>
      <c r="D1606" s="47"/>
      <c r="E1606" s="48"/>
    </row>
    <row r="1607" ht="15.75" customHeight="1">
      <c r="A1607" s="48"/>
      <c r="B1607" s="48"/>
      <c r="C1607" s="48"/>
      <c r="D1607" s="47"/>
      <c r="E1607" s="48"/>
    </row>
    <row r="1608" ht="15.75" customHeight="1">
      <c r="A1608" s="48"/>
      <c r="B1608" s="48"/>
      <c r="C1608" s="48"/>
      <c r="D1608" s="47"/>
      <c r="E1608" s="48"/>
    </row>
    <row r="1609" ht="15.75" customHeight="1">
      <c r="A1609" s="48"/>
      <c r="B1609" s="48"/>
      <c r="C1609" s="48"/>
      <c r="D1609" s="47"/>
      <c r="E1609" s="48"/>
    </row>
    <row r="1610" ht="15.75" customHeight="1">
      <c r="A1610" s="48"/>
      <c r="B1610" s="48"/>
      <c r="C1610" s="48"/>
      <c r="D1610" s="47"/>
      <c r="E1610" s="48"/>
    </row>
    <row r="1611" ht="15.75" customHeight="1">
      <c r="A1611" s="48"/>
      <c r="B1611" s="48"/>
      <c r="C1611" s="48"/>
      <c r="D1611" s="47"/>
      <c r="E1611" s="48"/>
    </row>
    <row r="1612" ht="15.75" customHeight="1">
      <c r="A1612" s="48"/>
      <c r="B1612" s="48"/>
      <c r="C1612" s="48"/>
      <c r="D1612" s="47"/>
      <c r="E1612" s="48"/>
    </row>
    <row r="1613" ht="15.75" customHeight="1">
      <c r="A1613" s="48"/>
      <c r="B1613" s="48"/>
      <c r="C1613" s="48"/>
      <c r="D1613" s="47"/>
      <c r="E1613" s="48"/>
    </row>
    <row r="1614" ht="15.75" customHeight="1">
      <c r="A1614" s="48"/>
      <c r="B1614" s="48"/>
      <c r="C1614" s="48"/>
      <c r="D1614" s="47"/>
      <c r="E1614" s="48"/>
    </row>
    <row r="1615" ht="15.75" customHeight="1">
      <c r="A1615" s="48"/>
      <c r="B1615" s="48"/>
      <c r="C1615" s="48"/>
      <c r="D1615" s="47"/>
      <c r="E1615" s="48"/>
    </row>
    <row r="1616" ht="15.75" customHeight="1">
      <c r="A1616" s="48"/>
      <c r="B1616" s="48"/>
      <c r="C1616" s="48"/>
      <c r="D1616" s="47"/>
      <c r="E1616" s="48"/>
    </row>
    <row r="1617" ht="15.75" customHeight="1">
      <c r="A1617" s="48"/>
      <c r="B1617" s="48"/>
      <c r="C1617" s="48"/>
      <c r="D1617" s="47"/>
      <c r="E1617" s="48"/>
    </row>
    <row r="1618" ht="15.75" customHeight="1">
      <c r="A1618" s="48"/>
      <c r="B1618" s="48"/>
      <c r="C1618" s="48"/>
      <c r="D1618" s="47"/>
      <c r="E1618" s="48"/>
    </row>
    <row r="1619" ht="15.75" customHeight="1">
      <c r="A1619" s="48"/>
      <c r="B1619" s="48"/>
      <c r="C1619" s="48"/>
      <c r="D1619" s="47"/>
      <c r="E1619" s="48"/>
    </row>
    <row r="1620" ht="15.75" customHeight="1">
      <c r="A1620" s="48"/>
      <c r="B1620" s="48"/>
      <c r="C1620" s="48"/>
      <c r="D1620" s="47"/>
      <c r="E1620" s="48"/>
    </row>
    <row r="1621" ht="15.75" customHeight="1">
      <c r="A1621" s="48"/>
      <c r="B1621" s="48"/>
      <c r="C1621" s="48"/>
      <c r="D1621" s="47"/>
      <c r="E1621" s="48"/>
    </row>
    <row r="1622" ht="15.75" customHeight="1">
      <c r="A1622" s="48"/>
      <c r="B1622" s="48"/>
      <c r="C1622" s="48"/>
      <c r="D1622" s="47"/>
      <c r="E1622" s="48"/>
    </row>
    <row r="1623" ht="15.75" customHeight="1">
      <c r="A1623" s="48"/>
      <c r="B1623" s="48"/>
      <c r="C1623" s="48"/>
      <c r="D1623" s="47"/>
      <c r="E1623" s="48"/>
    </row>
    <row r="1624" ht="15.75" customHeight="1">
      <c r="A1624" s="48"/>
      <c r="B1624" s="48"/>
      <c r="C1624" s="48"/>
      <c r="D1624" s="47"/>
      <c r="E1624" s="48"/>
    </row>
    <row r="1625" ht="15.75" customHeight="1">
      <c r="A1625" s="48"/>
      <c r="B1625" s="48"/>
      <c r="C1625" s="48"/>
      <c r="D1625" s="47"/>
      <c r="E1625" s="48"/>
    </row>
    <row r="1626" ht="15.75" customHeight="1">
      <c r="A1626" s="48"/>
      <c r="B1626" s="48"/>
      <c r="C1626" s="48"/>
      <c r="D1626" s="47"/>
      <c r="E1626" s="48"/>
    </row>
    <row r="1627" ht="15.75" customHeight="1">
      <c r="A1627" s="48"/>
      <c r="B1627" s="48"/>
      <c r="C1627" s="48"/>
      <c r="D1627" s="47"/>
      <c r="E1627" s="48"/>
    </row>
    <row r="1628" ht="15.75" customHeight="1">
      <c r="A1628" s="48"/>
      <c r="B1628" s="48"/>
      <c r="C1628" s="48"/>
      <c r="D1628" s="47"/>
      <c r="E1628" s="48"/>
    </row>
    <row r="1629" ht="15.75" customHeight="1">
      <c r="A1629" s="48"/>
      <c r="B1629" s="48"/>
      <c r="C1629" s="48"/>
      <c r="D1629" s="47"/>
      <c r="E1629" s="48"/>
    </row>
    <row r="1630" ht="15.75" customHeight="1">
      <c r="A1630" s="48"/>
      <c r="B1630" s="48"/>
      <c r="C1630" s="48"/>
      <c r="D1630" s="47"/>
      <c r="E1630" s="48"/>
    </row>
    <row r="1631" ht="15.75" customHeight="1">
      <c r="A1631" s="48"/>
      <c r="B1631" s="48"/>
      <c r="C1631" s="48"/>
      <c r="D1631" s="47"/>
      <c r="E1631" s="48"/>
    </row>
    <row r="1632" ht="15.75" customHeight="1">
      <c r="A1632" s="48"/>
      <c r="B1632" s="48"/>
      <c r="C1632" s="48"/>
      <c r="D1632" s="47"/>
      <c r="E1632" s="48"/>
    </row>
    <row r="1633" ht="15.75" customHeight="1">
      <c r="A1633" s="48"/>
      <c r="B1633" s="48"/>
      <c r="C1633" s="48"/>
      <c r="D1633" s="47"/>
      <c r="E1633" s="48"/>
    </row>
    <row r="1634" ht="15.75" customHeight="1">
      <c r="A1634" s="48"/>
      <c r="B1634" s="48"/>
      <c r="C1634" s="48"/>
      <c r="D1634" s="47"/>
      <c r="E1634" s="48"/>
    </row>
    <row r="1635" ht="15.75" customHeight="1">
      <c r="A1635" s="48"/>
      <c r="B1635" s="48"/>
      <c r="C1635" s="48"/>
      <c r="D1635" s="47"/>
      <c r="E1635" s="48"/>
    </row>
    <row r="1636" ht="15.75" customHeight="1">
      <c r="A1636" s="48"/>
      <c r="B1636" s="48"/>
      <c r="C1636" s="48"/>
      <c r="D1636" s="47"/>
      <c r="E1636" s="48"/>
    </row>
    <row r="1637" ht="15.75" customHeight="1">
      <c r="A1637" s="48"/>
      <c r="B1637" s="48"/>
      <c r="C1637" s="48"/>
      <c r="D1637" s="47"/>
      <c r="E1637" s="48"/>
    </row>
    <row r="1638" ht="15.75" customHeight="1">
      <c r="A1638" s="48"/>
      <c r="B1638" s="48"/>
      <c r="C1638" s="48"/>
      <c r="D1638" s="47"/>
      <c r="E1638" s="48"/>
    </row>
    <row r="1639" ht="15.75" customHeight="1">
      <c r="A1639" s="48"/>
      <c r="B1639" s="48"/>
      <c r="C1639" s="48"/>
      <c r="D1639" s="47"/>
      <c r="E1639" s="48"/>
    </row>
    <row r="1640" ht="15.75" customHeight="1">
      <c r="A1640" s="48"/>
      <c r="B1640" s="48"/>
      <c r="C1640" s="48"/>
      <c r="D1640" s="47"/>
      <c r="E1640" s="48"/>
    </row>
    <row r="1641" ht="15.75" customHeight="1">
      <c r="A1641" s="48"/>
      <c r="B1641" s="48"/>
      <c r="C1641" s="48"/>
      <c r="D1641" s="47"/>
      <c r="E1641" s="48"/>
    </row>
    <row r="1642" ht="15.75" customHeight="1">
      <c r="A1642" s="48"/>
      <c r="B1642" s="48"/>
      <c r="C1642" s="48"/>
      <c r="D1642" s="47"/>
      <c r="E1642" s="48"/>
    </row>
    <row r="1643" ht="15.75" customHeight="1">
      <c r="A1643" s="48"/>
      <c r="B1643" s="48"/>
      <c r="C1643" s="48"/>
      <c r="D1643" s="47"/>
      <c r="E1643" s="48"/>
    </row>
    <row r="1644" ht="15.75" customHeight="1">
      <c r="A1644" s="48"/>
      <c r="B1644" s="48"/>
      <c r="C1644" s="48"/>
      <c r="D1644" s="47"/>
      <c r="E1644" s="48"/>
    </row>
    <row r="1645" ht="15.75" customHeight="1">
      <c r="A1645" s="48"/>
      <c r="B1645" s="48"/>
      <c r="C1645" s="48"/>
      <c r="D1645" s="47"/>
      <c r="E1645" s="48"/>
    </row>
    <row r="1646" ht="15.75" customHeight="1">
      <c r="A1646" s="48"/>
      <c r="B1646" s="48"/>
      <c r="C1646" s="48"/>
      <c r="D1646" s="47"/>
      <c r="E1646" s="48"/>
    </row>
    <row r="1647" ht="15.75" customHeight="1">
      <c r="A1647" s="48"/>
      <c r="B1647" s="48"/>
      <c r="C1647" s="48"/>
      <c r="D1647" s="47"/>
      <c r="E1647" s="48"/>
    </row>
    <row r="1648" ht="15.75" customHeight="1">
      <c r="A1648" s="48"/>
      <c r="B1648" s="48"/>
      <c r="C1648" s="48"/>
      <c r="D1648" s="47"/>
      <c r="E1648" s="48"/>
    </row>
    <row r="1649" ht="15.75" customHeight="1">
      <c r="A1649" s="48"/>
      <c r="B1649" s="48"/>
      <c r="C1649" s="48"/>
      <c r="D1649" s="47"/>
      <c r="E1649" s="48"/>
    </row>
    <row r="1650" ht="15.75" customHeight="1">
      <c r="A1650" s="48"/>
      <c r="B1650" s="48"/>
      <c r="C1650" s="48"/>
      <c r="D1650" s="47"/>
      <c r="E1650" s="48"/>
    </row>
    <row r="1651" ht="15.75" customHeight="1">
      <c r="A1651" s="48"/>
      <c r="B1651" s="48"/>
      <c r="C1651" s="48"/>
      <c r="D1651" s="47"/>
      <c r="E1651" s="48"/>
    </row>
    <row r="1652" ht="15.75" customHeight="1">
      <c r="A1652" s="48"/>
      <c r="B1652" s="48"/>
      <c r="C1652" s="48"/>
      <c r="D1652" s="47"/>
      <c r="E1652" s="48"/>
    </row>
    <row r="1653" ht="15.75" customHeight="1">
      <c r="A1653" s="48"/>
      <c r="B1653" s="48"/>
      <c r="C1653" s="48"/>
      <c r="D1653" s="47"/>
      <c r="E1653" s="48"/>
    </row>
    <row r="1654" ht="15.75" customHeight="1">
      <c r="A1654" s="48"/>
      <c r="B1654" s="48"/>
      <c r="C1654" s="48"/>
      <c r="D1654" s="47"/>
      <c r="E1654" s="48"/>
    </row>
    <row r="1655" ht="15.75" customHeight="1">
      <c r="A1655" s="48"/>
      <c r="B1655" s="48"/>
      <c r="C1655" s="48"/>
      <c r="D1655" s="47"/>
      <c r="E1655" s="48"/>
    </row>
    <row r="1656" ht="15.75" customHeight="1">
      <c r="A1656" s="48"/>
      <c r="B1656" s="48"/>
      <c r="C1656" s="48"/>
      <c r="D1656" s="47"/>
      <c r="E1656" s="48"/>
    </row>
    <row r="1657" ht="15.75" customHeight="1">
      <c r="A1657" s="48"/>
      <c r="B1657" s="48"/>
      <c r="C1657" s="48"/>
      <c r="D1657" s="47"/>
      <c r="E1657" s="48"/>
    </row>
    <row r="1658" ht="15.75" customHeight="1">
      <c r="A1658" s="48"/>
      <c r="B1658" s="48"/>
      <c r="C1658" s="48"/>
      <c r="D1658" s="47"/>
      <c r="E1658" s="48"/>
    </row>
    <row r="1659" ht="15.75" customHeight="1">
      <c r="A1659" s="48"/>
      <c r="B1659" s="48"/>
      <c r="C1659" s="48"/>
      <c r="D1659" s="47"/>
      <c r="E1659" s="48"/>
    </row>
    <row r="1660" ht="15.75" customHeight="1">
      <c r="A1660" s="48"/>
      <c r="B1660" s="48"/>
      <c r="C1660" s="48"/>
      <c r="D1660" s="47"/>
      <c r="E1660" s="48"/>
    </row>
    <row r="1661" ht="15.75" customHeight="1">
      <c r="A1661" s="48"/>
      <c r="B1661" s="48"/>
      <c r="C1661" s="48"/>
      <c r="D1661" s="47"/>
      <c r="E1661" s="48"/>
    </row>
    <row r="1662" ht="15.75" customHeight="1">
      <c r="A1662" s="48"/>
      <c r="B1662" s="48"/>
      <c r="C1662" s="48"/>
      <c r="D1662" s="47"/>
      <c r="E1662" s="48"/>
    </row>
    <row r="1663" ht="15.75" customHeight="1">
      <c r="A1663" s="48"/>
      <c r="B1663" s="48"/>
      <c r="C1663" s="48"/>
      <c r="D1663" s="47"/>
      <c r="E1663" s="48"/>
    </row>
    <row r="1664" ht="15.75" customHeight="1">
      <c r="A1664" s="48"/>
      <c r="B1664" s="48"/>
      <c r="C1664" s="48"/>
      <c r="D1664" s="47"/>
      <c r="E1664" s="48"/>
    </row>
    <row r="1665" ht="15.75" customHeight="1">
      <c r="A1665" s="48"/>
      <c r="B1665" s="48"/>
      <c r="C1665" s="48"/>
      <c r="D1665" s="47"/>
      <c r="E1665" s="48"/>
    </row>
    <row r="1666" ht="15.75" customHeight="1">
      <c r="A1666" s="48"/>
      <c r="B1666" s="48"/>
      <c r="C1666" s="48"/>
      <c r="D1666" s="47"/>
      <c r="E1666" s="48"/>
    </row>
    <row r="1667" ht="15.75" customHeight="1">
      <c r="A1667" s="48"/>
      <c r="B1667" s="48"/>
      <c r="C1667" s="48"/>
      <c r="D1667" s="47"/>
      <c r="E1667" s="48"/>
    </row>
    <row r="1668" ht="15.75" customHeight="1">
      <c r="A1668" s="48"/>
      <c r="B1668" s="48"/>
      <c r="C1668" s="48"/>
      <c r="D1668" s="47"/>
      <c r="E1668" s="48"/>
    </row>
    <row r="1669" ht="15.75" customHeight="1">
      <c r="A1669" s="48"/>
      <c r="B1669" s="48"/>
      <c r="C1669" s="48"/>
      <c r="D1669" s="47"/>
      <c r="E1669" s="48"/>
    </row>
    <row r="1670" ht="15.75" customHeight="1">
      <c r="A1670" s="48"/>
      <c r="B1670" s="48"/>
      <c r="C1670" s="48"/>
      <c r="D1670" s="47"/>
      <c r="E1670" s="48"/>
    </row>
    <row r="1671" ht="15.75" customHeight="1">
      <c r="A1671" s="48"/>
      <c r="B1671" s="48"/>
      <c r="C1671" s="48"/>
      <c r="D1671" s="47"/>
      <c r="E1671" s="48"/>
    </row>
    <row r="1672" ht="15.75" customHeight="1">
      <c r="A1672" s="48"/>
      <c r="B1672" s="48"/>
      <c r="C1672" s="48"/>
      <c r="D1672" s="47"/>
      <c r="E1672" s="48"/>
    </row>
    <row r="1673" ht="15.75" customHeight="1">
      <c r="A1673" s="48"/>
      <c r="B1673" s="48"/>
      <c r="C1673" s="48"/>
      <c r="D1673" s="47"/>
      <c r="E1673" s="48"/>
    </row>
    <row r="1674" ht="15.75" customHeight="1">
      <c r="A1674" s="48"/>
      <c r="B1674" s="48"/>
      <c r="C1674" s="48"/>
      <c r="D1674" s="47"/>
      <c r="E1674" s="48"/>
    </row>
    <row r="1675" ht="15.75" customHeight="1">
      <c r="A1675" s="48"/>
      <c r="B1675" s="48"/>
      <c r="C1675" s="48"/>
      <c r="D1675" s="47"/>
      <c r="E1675" s="48"/>
    </row>
    <row r="1676" ht="15.75" customHeight="1">
      <c r="A1676" s="48"/>
      <c r="B1676" s="48"/>
      <c r="C1676" s="48"/>
      <c r="D1676" s="47"/>
      <c r="E1676" s="48"/>
    </row>
    <row r="1677" ht="15.75" customHeight="1">
      <c r="A1677" s="48"/>
      <c r="B1677" s="48"/>
      <c r="C1677" s="48"/>
      <c r="D1677" s="47"/>
      <c r="E1677" s="48"/>
    </row>
    <row r="1678" ht="15.75" customHeight="1">
      <c r="A1678" s="48"/>
      <c r="B1678" s="48"/>
      <c r="C1678" s="48"/>
      <c r="D1678" s="47"/>
      <c r="E1678" s="48"/>
    </row>
    <row r="1679" ht="15.75" customHeight="1">
      <c r="A1679" s="48"/>
      <c r="B1679" s="48"/>
      <c r="C1679" s="48"/>
      <c r="D1679" s="47"/>
      <c r="E1679" s="48"/>
    </row>
    <row r="1680" ht="15.75" customHeight="1">
      <c r="A1680" s="48"/>
      <c r="B1680" s="48"/>
      <c r="C1680" s="48"/>
      <c r="D1680" s="47"/>
      <c r="E1680" s="48"/>
    </row>
    <row r="1681" ht="15.75" customHeight="1">
      <c r="A1681" s="48"/>
      <c r="B1681" s="48"/>
      <c r="C1681" s="48"/>
      <c r="D1681" s="47"/>
      <c r="E1681" s="48"/>
    </row>
    <row r="1682" ht="15.75" customHeight="1">
      <c r="A1682" s="48"/>
      <c r="B1682" s="48"/>
      <c r="C1682" s="48"/>
      <c r="D1682" s="47"/>
      <c r="E1682" s="48"/>
    </row>
    <row r="1683" ht="15.75" customHeight="1">
      <c r="A1683" s="48"/>
      <c r="B1683" s="48"/>
      <c r="C1683" s="48"/>
      <c r="D1683" s="47"/>
      <c r="E1683" s="48"/>
    </row>
    <row r="1684" ht="15.75" customHeight="1">
      <c r="A1684" s="48"/>
      <c r="B1684" s="48"/>
      <c r="C1684" s="48"/>
      <c r="D1684" s="47"/>
      <c r="E1684" s="48"/>
    </row>
    <row r="1685" ht="15.75" customHeight="1">
      <c r="A1685" s="48"/>
      <c r="B1685" s="48"/>
      <c r="C1685" s="48"/>
      <c r="D1685" s="47"/>
      <c r="E1685" s="48"/>
    </row>
    <row r="1686" ht="15.75" customHeight="1">
      <c r="A1686" s="48"/>
      <c r="B1686" s="48"/>
      <c r="C1686" s="48"/>
      <c r="D1686" s="47"/>
      <c r="E1686" s="48"/>
    </row>
    <row r="1687" ht="15.75" customHeight="1">
      <c r="A1687" s="48"/>
      <c r="B1687" s="48"/>
      <c r="C1687" s="48"/>
      <c r="D1687" s="47"/>
      <c r="E1687" s="48"/>
    </row>
    <row r="1688" ht="15.75" customHeight="1">
      <c r="A1688" s="48"/>
      <c r="B1688" s="48"/>
      <c r="C1688" s="48"/>
      <c r="D1688" s="47"/>
      <c r="E1688" s="48"/>
    </row>
    <row r="1689" ht="15.75" customHeight="1">
      <c r="A1689" s="48"/>
      <c r="B1689" s="48"/>
      <c r="C1689" s="48"/>
      <c r="D1689" s="47"/>
      <c r="E1689" s="48"/>
    </row>
    <row r="1690" ht="15.75" customHeight="1">
      <c r="A1690" s="48"/>
      <c r="B1690" s="48"/>
      <c r="C1690" s="48"/>
      <c r="D1690" s="47"/>
      <c r="E1690" s="48"/>
    </row>
    <row r="1691" ht="15.75" customHeight="1">
      <c r="A1691" s="48"/>
      <c r="B1691" s="48"/>
      <c r="C1691" s="48"/>
      <c r="D1691" s="47"/>
      <c r="E1691" s="48"/>
    </row>
    <row r="1692" ht="15.75" customHeight="1">
      <c r="A1692" s="48"/>
      <c r="B1692" s="48"/>
      <c r="C1692" s="48"/>
      <c r="D1692" s="47"/>
      <c r="E1692" s="48"/>
    </row>
    <row r="1693" ht="15.75" customHeight="1">
      <c r="A1693" s="48"/>
      <c r="B1693" s="48"/>
      <c r="C1693" s="48"/>
      <c r="D1693" s="47"/>
      <c r="E1693" s="48"/>
    </row>
    <row r="1694" ht="15.75" customHeight="1">
      <c r="A1694" s="48"/>
      <c r="B1694" s="48"/>
      <c r="C1694" s="48"/>
      <c r="D1694" s="47"/>
      <c r="E1694" s="48"/>
    </row>
    <row r="1695" ht="15.75" customHeight="1">
      <c r="A1695" s="48"/>
      <c r="B1695" s="48"/>
      <c r="C1695" s="48"/>
      <c r="D1695" s="47"/>
      <c r="E1695" s="48"/>
    </row>
    <row r="1696" ht="15.75" customHeight="1">
      <c r="A1696" s="48"/>
      <c r="B1696" s="48"/>
      <c r="C1696" s="48"/>
      <c r="D1696" s="47"/>
      <c r="E1696" s="48"/>
    </row>
    <row r="1697" ht="15.75" customHeight="1">
      <c r="A1697" s="48"/>
      <c r="B1697" s="48"/>
      <c r="C1697" s="48"/>
      <c r="D1697" s="47"/>
      <c r="E1697" s="48"/>
    </row>
    <row r="1698" ht="15.75" customHeight="1">
      <c r="A1698" s="48"/>
      <c r="B1698" s="48"/>
      <c r="C1698" s="48"/>
      <c r="D1698" s="47"/>
      <c r="E1698" s="48"/>
    </row>
    <row r="1699" ht="15.75" customHeight="1">
      <c r="A1699" s="48"/>
      <c r="B1699" s="48"/>
      <c r="C1699" s="48"/>
      <c r="D1699" s="47"/>
      <c r="E1699" s="48"/>
    </row>
    <row r="1700" ht="15.75" customHeight="1">
      <c r="A1700" s="48"/>
      <c r="B1700" s="48"/>
      <c r="C1700" s="48"/>
      <c r="D1700" s="47"/>
      <c r="E1700" s="48"/>
    </row>
    <row r="1701" ht="15.75" customHeight="1">
      <c r="A1701" s="48"/>
      <c r="B1701" s="48"/>
      <c r="C1701" s="48"/>
      <c r="D1701" s="47"/>
      <c r="E1701" s="48"/>
    </row>
    <row r="1702" ht="15.75" customHeight="1">
      <c r="A1702" s="48"/>
      <c r="B1702" s="48"/>
      <c r="C1702" s="48"/>
      <c r="D1702" s="47"/>
      <c r="E1702" s="48"/>
    </row>
    <row r="1703" ht="15.75" customHeight="1">
      <c r="A1703" s="48"/>
      <c r="B1703" s="48"/>
      <c r="C1703" s="48"/>
      <c r="D1703" s="47"/>
      <c r="E1703" s="48"/>
    </row>
    <row r="1704" ht="15.75" customHeight="1">
      <c r="A1704" s="48"/>
      <c r="B1704" s="48"/>
      <c r="C1704" s="48"/>
      <c r="D1704" s="47"/>
      <c r="E1704" s="48"/>
    </row>
    <row r="1705" ht="15.75" customHeight="1">
      <c r="A1705" s="48"/>
      <c r="B1705" s="48"/>
      <c r="C1705" s="48"/>
      <c r="D1705" s="47"/>
      <c r="E1705" s="48"/>
    </row>
    <row r="1706" ht="15.75" customHeight="1">
      <c r="A1706" s="48"/>
      <c r="B1706" s="48"/>
      <c r="C1706" s="48"/>
      <c r="D1706" s="47"/>
      <c r="E1706" s="48"/>
    </row>
    <row r="1707" ht="15.75" customHeight="1">
      <c r="A1707" s="48"/>
      <c r="B1707" s="48"/>
      <c r="C1707" s="48"/>
      <c r="D1707" s="47"/>
      <c r="E1707" s="48"/>
    </row>
    <row r="1708" ht="15.75" customHeight="1">
      <c r="A1708" s="48"/>
      <c r="B1708" s="48"/>
      <c r="C1708" s="48"/>
      <c r="D1708" s="47"/>
      <c r="E1708" s="48"/>
    </row>
    <row r="1709" ht="15.75" customHeight="1">
      <c r="A1709" s="48"/>
      <c r="B1709" s="48"/>
      <c r="C1709" s="48"/>
      <c r="D1709" s="47"/>
      <c r="E1709" s="48"/>
    </row>
    <row r="1710" ht="15.75" customHeight="1">
      <c r="A1710" s="48"/>
      <c r="B1710" s="48"/>
      <c r="C1710" s="48"/>
      <c r="D1710" s="47"/>
      <c r="E1710" s="48"/>
    </row>
    <row r="1711" ht="15.75" customHeight="1">
      <c r="A1711" s="48"/>
      <c r="B1711" s="48"/>
      <c r="C1711" s="48"/>
      <c r="D1711" s="47"/>
      <c r="E1711" s="48"/>
    </row>
    <row r="1712" ht="15.75" customHeight="1">
      <c r="A1712" s="48"/>
      <c r="B1712" s="48"/>
      <c r="C1712" s="48"/>
      <c r="D1712" s="47"/>
      <c r="E1712" s="48"/>
    </row>
    <row r="1713" ht="15.75" customHeight="1">
      <c r="A1713" s="48"/>
      <c r="B1713" s="48"/>
      <c r="C1713" s="48"/>
      <c r="D1713" s="47"/>
      <c r="E1713" s="48"/>
    </row>
    <row r="1714" ht="15.75" customHeight="1">
      <c r="A1714" s="48"/>
      <c r="B1714" s="48"/>
      <c r="C1714" s="48"/>
      <c r="D1714" s="47"/>
      <c r="E1714" s="48"/>
    </row>
    <row r="1715" ht="15.75" customHeight="1">
      <c r="A1715" s="48"/>
      <c r="B1715" s="48"/>
      <c r="C1715" s="48"/>
      <c r="D1715" s="47"/>
      <c r="E1715" s="48"/>
    </row>
    <row r="1716" ht="15.75" customHeight="1">
      <c r="A1716" s="48"/>
      <c r="B1716" s="48"/>
      <c r="C1716" s="48"/>
      <c r="D1716" s="47"/>
      <c r="E1716" s="48"/>
    </row>
    <row r="1717" ht="15.75" customHeight="1">
      <c r="A1717" s="48"/>
      <c r="B1717" s="48"/>
      <c r="C1717" s="48"/>
      <c r="D1717" s="47"/>
      <c r="E1717" s="48"/>
    </row>
    <row r="1718" ht="15.75" customHeight="1">
      <c r="A1718" s="48"/>
      <c r="B1718" s="48"/>
      <c r="C1718" s="48"/>
      <c r="D1718" s="47"/>
      <c r="E1718" s="48"/>
    </row>
    <row r="1719" ht="15.75" customHeight="1">
      <c r="A1719" s="48"/>
      <c r="B1719" s="48"/>
      <c r="C1719" s="48"/>
      <c r="D1719" s="47"/>
      <c r="E1719" s="48"/>
    </row>
    <row r="1720" ht="15.75" customHeight="1">
      <c r="A1720" s="48"/>
      <c r="B1720" s="48"/>
      <c r="C1720" s="48"/>
      <c r="D1720" s="47"/>
      <c r="E1720" s="48"/>
    </row>
    <row r="1721" ht="15.75" customHeight="1">
      <c r="A1721" s="48"/>
      <c r="B1721" s="48"/>
      <c r="C1721" s="48"/>
      <c r="D1721" s="47"/>
      <c r="E1721" s="48"/>
    </row>
    <row r="1722" ht="15.75" customHeight="1">
      <c r="A1722" s="48"/>
      <c r="B1722" s="48"/>
      <c r="C1722" s="48"/>
      <c r="D1722" s="47"/>
      <c r="E1722" s="48"/>
    </row>
    <row r="1723" ht="15.75" customHeight="1">
      <c r="A1723" s="48"/>
      <c r="B1723" s="48"/>
      <c r="C1723" s="48"/>
      <c r="D1723" s="47"/>
      <c r="E1723" s="48"/>
    </row>
    <row r="1724" ht="15.75" customHeight="1">
      <c r="A1724" s="48"/>
      <c r="B1724" s="48"/>
      <c r="C1724" s="48"/>
      <c r="D1724" s="47"/>
      <c r="E1724" s="48"/>
    </row>
    <row r="1725" ht="15.75" customHeight="1">
      <c r="A1725" s="48"/>
      <c r="B1725" s="48"/>
      <c r="C1725" s="48"/>
      <c r="D1725" s="47"/>
      <c r="E1725" s="48"/>
    </row>
    <row r="1726" ht="15.75" customHeight="1">
      <c r="A1726" s="48"/>
      <c r="B1726" s="48"/>
      <c r="C1726" s="48"/>
      <c r="D1726" s="47"/>
      <c r="E1726" s="48"/>
    </row>
    <row r="1727" ht="15.75" customHeight="1">
      <c r="A1727" s="48"/>
      <c r="B1727" s="48"/>
      <c r="C1727" s="48"/>
      <c r="D1727" s="47"/>
      <c r="E1727" s="48"/>
    </row>
    <row r="1728" ht="15.75" customHeight="1">
      <c r="A1728" s="48"/>
      <c r="B1728" s="48"/>
      <c r="C1728" s="48"/>
      <c r="D1728" s="47"/>
      <c r="E1728" s="48"/>
    </row>
    <row r="1729" ht="15.75" customHeight="1">
      <c r="A1729" s="48"/>
      <c r="B1729" s="48"/>
      <c r="C1729" s="48"/>
      <c r="D1729" s="47"/>
      <c r="E1729" s="48"/>
    </row>
    <row r="1730" ht="15.75" customHeight="1">
      <c r="A1730" s="48"/>
      <c r="B1730" s="48"/>
      <c r="C1730" s="48"/>
      <c r="D1730" s="47"/>
      <c r="E1730" s="48"/>
    </row>
    <row r="1731" ht="15.75" customHeight="1">
      <c r="A1731" s="48"/>
      <c r="B1731" s="48"/>
      <c r="C1731" s="48"/>
      <c r="D1731" s="47"/>
      <c r="E1731" s="48"/>
    </row>
    <row r="1732" ht="15.75" customHeight="1">
      <c r="A1732" s="48"/>
      <c r="B1732" s="48"/>
      <c r="C1732" s="48"/>
      <c r="D1732" s="47"/>
      <c r="E1732" s="48"/>
    </row>
    <row r="1733" ht="15.75" customHeight="1">
      <c r="A1733" s="48"/>
      <c r="B1733" s="48"/>
      <c r="C1733" s="48"/>
      <c r="D1733" s="47"/>
      <c r="E1733" s="48"/>
    </row>
    <row r="1734" ht="15.75" customHeight="1">
      <c r="A1734" s="48"/>
      <c r="B1734" s="48"/>
      <c r="C1734" s="48"/>
      <c r="D1734" s="47"/>
      <c r="E1734" s="48"/>
    </row>
    <row r="1735" ht="15.75" customHeight="1">
      <c r="A1735" s="48"/>
      <c r="B1735" s="48"/>
      <c r="C1735" s="48"/>
      <c r="D1735" s="47"/>
      <c r="E1735" s="48"/>
    </row>
    <row r="1736" ht="15.75" customHeight="1">
      <c r="A1736" s="48"/>
      <c r="B1736" s="48"/>
      <c r="C1736" s="48"/>
      <c r="D1736" s="47"/>
      <c r="E1736" s="48"/>
    </row>
    <row r="1737" ht="15.75" customHeight="1">
      <c r="A1737" s="48"/>
      <c r="B1737" s="48"/>
      <c r="C1737" s="48"/>
      <c r="D1737" s="47"/>
      <c r="E1737" s="48"/>
    </row>
    <row r="1738" ht="15.75" customHeight="1">
      <c r="A1738" s="48"/>
      <c r="B1738" s="48"/>
      <c r="C1738" s="48"/>
      <c r="D1738" s="47"/>
      <c r="E1738" s="48"/>
    </row>
    <row r="1739" ht="15.75" customHeight="1">
      <c r="A1739" s="48"/>
      <c r="B1739" s="48"/>
      <c r="C1739" s="48"/>
      <c r="D1739" s="47"/>
      <c r="E1739" s="48"/>
    </row>
    <row r="1740" ht="15.75" customHeight="1">
      <c r="A1740" s="48"/>
      <c r="B1740" s="48"/>
      <c r="C1740" s="48"/>
      <c r="D1740" s="47"/>
      <c r="E1740" s="48"/>
    </row>
    <row r="1741" ht="15.75" customHeight="1">
      <c r="A1741" s="48"/>
      <c r="B1741" s="48"/>
      <c r="C1741" s="48"/>
      <c r="D1741" s="47"/>
      <c r="E1741" s="48"/>
    </row>
    <row r="1742" ht="15.75" customHeight="1">
      <c r="A1742" s="48"/>
      <c r="B1742" s="48"/>
      <c r="C1742" s="48"/>
      <c r="D1742" s="47"/>
      <c r="E1742" s="48"/>
    </row>
    <row r="1743" ht="15.75" customHeight="1">
      <c r="A1743" s="48"/>
      <c r="B1743" s="48"/>
      <c r="C1743" s="48"/>
      <c r="D1743" s="47"/>
      <c r="E1743" s="48"/>
    </row>
    <row r="1744" ht="15.75" customHeight="1">
      <c r="A1744" s="48"/>
      <c r="B1744" s="48"/>
      <c r="C1744" s="48"/>
      <c r="D1744" s="47"/>
      <c r="E1744" s="48"/>
    </row>
    <row r="1745" ht="15.75" customHeight="1">
      <c r="A1745" s="48"/>
      <c r="B1745" s="48"/>
      <c r="C1745" s="48"/>
      <c r="D1745" s="47"/>
      <c r="E1745" s="48"/>
    </row>
    <row r="1746" ht="15.75" customHeight="1">
      <c r="A1746" s="48"/>
      <c r="B1746" s="48"/>
      <c r="C1746" s="48"/>
      <c r="D1746" s="47"/>
      <c r="E1746" s="48"/>
    </row>
    <row r="1747" ht="15.75" customHeight="1">
      <c r="A1747" s="48"/>
      <c r="B1747" s="48"/>
      <c r="C1747" s="48"/>
      <c r="D1747" s="47"/>
      <c r="E1747" s="48"/>
    </row>
    <row r="1748" ht="15.75" customHeight="1">
      <c r="A1748" s="48"/>
      <c r="B1748" s="48"/>
      <c r="C1748" s="48"/>
      <c r="D1748" s="47"/>
      <c r="E1748" s="48"/>
    </row>
    <row r="1749" ht="15.75" customHeight="1">
      <c r="A1749" s="48"/>
      <c r="B1749" s="48"/>
      <c r="C1749" s="48"/>
      <c r="D1749" s="47"/>
      <c r="E1749" s="48"/>
    </row>
    <row r="1750" ht="15.75" customHeight="1">
      <c r="A1750" s="48"/>
      <c r="B1750" s="48"/>
      <c r="C1750" s="48"/>
      <c r="D1750" s="47"/>
      <c r="E1750" s="48"/>
    </row>
    <row r="1751" ht="15.75" customHeight="1">
      <c r="A1751" s="48"/>
      <c r="B1751" s="48"/>
      <c r="C1751" s="48"/>
      <c r="D1751" s="47"/>
      <c r="E1751" s="48"/>
    </row>
    <row r="1752" ht="15.75" customHeight="1">
      <c r="A1752" s="48"/>
      <c r="B1752" s="48"/>
      <c r="C1752" s="48"/>
      <c r="D1752" s="47"/>
      <c r="E1752" s="48"/>
    </row>
    <row r="1753" ht="15.75" customHeight="1">
      <c r="A1753" s="48"/>
      <c r="B1753" s="48"/>
      <c r="C1753" s="48"/>
      <c r="D1753" s="47"/>
      <c r="E1753" s="48"/>
    </row>
    <row r="1754" ht="15.75" customHeight="1">
      <c r="A1754" s="48"/>
      <c r="B1754" s="48"/>
      <c r="C1754" s="48"/>
      <c r="D1754" s="47"/>
      <c r="E1754" s="48"/>
    </row>
    <row r="1755" ht="15.75" customHeight="1">
      <c r="A1755" s="48"/>
      <c r="B1755" s="48"/>
      <c r="C1755" s="48"/>
      <c r="D1755" s="47"/>
      <c r="E1755" s="48"/>
    </row>
    <row r="1756" ht="15.75" customHeight="1">
      <c r="A1756" s="48"/>
      <c r="B1756" s="48"/>
      <c r="C1756" s="48"/>
      <c r="D1756" s="47"/>
      <c r="E1756" s="48"/>
    </row>
    <row r="1757" ht="15.75" customHeight="1">
      <c r="A1757" s="48"/>
      <c r="B1757" s="48"/>
      <c r="C1757" s="48"/>
      <c r="D1757" s="47"/>
      <c r="E1757" s="48"/>
    </row>
    <row r="1758" ht="15.75" customHeight="1">
      <c r="A1758" s="48"/>
      <c r="B1758" s="48"/>
      <c r="C1758" s="48"/>
      <c r="D1758" s="47"/>
      <c r="E1758" s="48"/>
    </row>
    <row r="1759" ht="15.75" customHeight="1">
      <c r="A1759" s="48"/>
      <c r="B1759" s="48"/>
      <c r="C1759" s="48"/>
      <c r="D1759" s="47"/>
      <c r="E1759" s="48"/>
    </row>
    <row r="1760" ht="15.75" customHeight="1">
      <c r="A1760" s="48"/>
      <c r="B1760" s="48"/>
      <c r="C1760" s="48"/>
      <c r="D1760" s="47"/>
      <c r="E1760" s="48"/>
    </row>
    <row r="1761" ht="15.75" customHeight="1">
      <c r="A1761" s="48"/>
      <c r="B1761" s="48"/>
      <c r="C1761" s="48"/>
      <c r="D1761" s="47"/>
      <c r="E1761" s="48"/>
    </row>
    <row r="1762" ht="15.75" customHeight="1">
      <c r="A1762" s="48"/>
      <c r="B1762" s="48"/>
      <c r="C1762" s="48"/>
      <c r="D1762" s="47"/>
      <c r="E1762" s="48"/>
    </row>
    <row r="1763" ht="15.75" customHeight="1">
      <c r="A1763" s="48"/>
      <c r="B1763" s="48"/>
      <c r="C1763" s="48"/>
      <c r="D1763" s="47"/>
      <c r="E1763" s="48"/>
    </row>
    <row r="1764" ht="15.75" customHeight="1">
      <c r="A1764" s="48"/>
      <c r="B1764" s="48"/>
      <c r="C1764" s="48"/>
      <c r="D1764" s="47"/>
      <c r="E1764" s="48"/>
    </row>
    <row r="1765" ht="15.75" customHeight="1">
      <c r="A1765" s="48"/>
      <c r="B1765" s="48"/>
      <c r="C1765" s="48"/>
      <c r="D1765" s="47"/>
      <c r="E1765" s="48"/>
    </row>
    <row r="1766" ht="15.75" customHeight="1">
      <c r="A1766" s="48"/>
      <c r="B1766" s="48"/>
      <c r="C1766" s="48"/>
      <c r="D1766" s="47"/>
      <c r="E1766" s="48"/>
    </row>
    <row r="1767" ht="15.75" customHeight="1">
      <c r="A1767" s="48"/>
      <c r="B1767" s="48"/>
      <c r="C1767" s="48"/>
      <c r="D1767" s="47"/>
      <c r="E1767" s="48"/>
    </row>
    <row r="1768" ht="15.75" customHeight="1">
      <c r="A1768" s="48"/>
      <c r="B1768" s="48"/>
      <c r="C1768" s="48"/>
      <c r="D1768" s="47"/>
      <c r="E1768" s="48"/>
    </row>
    <row r="1769" ht="15.75" customHeight="1">
      <c r="A1769" s="48"/>
      <c r="B1769" s="48"/>
      <c r="C1769" s="48"/>
      <c r="D1769" s="47"/>
      <c r="E1769" s="48"/>
    </row>
    <row r="1770" ht="15.75" customHeight="1">
      <c r="A1770" s="48"/>
      <c r="B1770" s="48"/>
      <c r="C1770" s="48"/>
      <c r="D1770" s="47"/>
      <c r="E1770" s="48"/>
    </row>
    <row r="1771" ht="15.75" customHeight="1">
      <c r="A1771" s="48"/>
      <c r="B1771" s="48"/>
      <c r="C1771" s="48"/>
      <c r="D1771" s="47"/>
      <c r="E1771" s="48"/>
    </row>
    <row r="1772" ht="15.75" customHeight="1">
      <c r="A1772" s="48"/>
      <c r="B1772" s="48"/>
      <c r="C1772" s="48"/>
      <c r="D1772" s="47"/>
      <c r="E1772" s="48"/>
    </row>
    <row r="1773" ht="15.75" customHeight="1">
      <c r="A1773" s="48"/>
      <c r="B1773" s="48"/>
      <c r="C1773" s="48"/>
      <c r="D1773" s="47"/>
      <c r="E1773" s="48"/>
    </row>
    <row r="1774" ht="15.75" customHeight="1">
      <c r="A1774" s="48"/>
      <c r="B1774" s="48"/>
      <c r="C1774" s="48"/>
      <c r="D1774" s="47"/>
      <c r="E1774" s="48"/>
    </row>
    <row r="1775" ht="15.75" customHeight="1">
      <c r="A1775" s="48"/>
      <c r="B1775" s="48"/>
      <c r="C1775" s="48"/>
      <c r="D1775" s="47"/>
      <c r="E1775" s="48"/>
    </row>
    <row r="1776" ht="15.75" customHeight="1">
      <c r="A1776" s="48"/>
      <c r="B1776" s="48"/>
      <c r="C1776" s="48"/>
      <c r="D1776" s="47"/>
      <c r="E1776" s="48"/>
    </row>
    <row r="1777" ht="15.75" customHeight="1">
      <c r="A1777" s="48"/>
      <c r="B1777" s="48"/>
      <c r="C1777" s="48"/>
      <c r="D1777" s="47"/>
      <c r="E1777" s="48"/>
    </row>
    <row r="1778" ht="15.75" customHeight="1">
      <c r="A1778" s="48"/>
      <c r="B1778" s="48"/>
      <c r="C1778" s="48"/>
      <c r="D1778" s="47"/>
      <c r="E1778" s="48"/>
    </row>
    <row r="1779" ht="15.75" customHeight="1">
      <c r="A1779" s="48"/>
      <c r="B1779" s="48"/>
      <c r="C1779" s="48"/>
      <c r="D1779" s="47"/>
      <c r="E1779" s="48"/>
    </row>
    <row r="1780" ht="15.75" customHeight="1">
      <c r="A1780" s="48"/>
      <c r="B1780" s="48"/>
      <c r="C1780" s="48"/>
      <c r="D1780" s="47"/>
      <c r="E1780" s="48"/>
    </row>
    <row r="1781" ht="15.75" customHeight="1">
      <c r="A1781" s="48"/>
      <c r="B1781" s="48"/>
      <c r="C1781" s="48"/>
      <c r="D1781" s="47"/>
      <c r="E1781" s="48"/>
    </row>
    <row r="1782" ht="15.75" customHeight="1">
      <c r="A1782" s="48"/>
      <c r="B1782" s="48"/>
      <c r="C1782" s="48"/>
      <c r="D1782" s="47"/>
      <c r="E1782" s="48"/>
    </row>
    <row r="1783" ht="15.75" customHeight="1">
      <c r="A1783" s="48"/>
      <c r="B1783" s="48"/>
      <c r="C1783" s="48"/>
      <c r="D1783" s="47"/>
      <c r="E1783" s="48"/>
    </row>
    <row r="1784" ht="15.75" customHeight="1">
      <c r="A1784" s="48"/>
      <c r="B1784" s="48"/>
      <c r="C1784" s="48"/>
      <c r="D1784" s="47"/>
      <c r="E1784" s="48"/>
    </row>
    <row r="1785" ht="15.75" customHeight="1">
      <c r="A1785" s="48"/>
      <c r="B1785" s="48"/>
      <c r="C1785" s="48"/>
      <c r="D1785" s="47"/>
      <c r="E1785" s="48"/>
    </row>
    <row r="1786" ht="15.75" customHeight="1">
      <c r="A1786" s="48"/>
      <c r="B1786" s="48"/>
      <c r="C1786" s="48"/>
      <c r="D1786" s="47"/>
      <c r="E1786" s="48"/>
    </row>
    <row r="1787" ht="15.75" customHeight="1">
      <c r="A1787" s="48"/>
      <c r="B1787" s="48"/>
      <c r="C1787" s="48"/>
      <c r="D1787" s="47"/>
      <c r="E1787" s="48"/>
    </row>
    <row r="1788" ht="15.75" customHeight="1">
      <c r="A1788" s="48"/>
      <c r="B1788" s="48"/>
      <c r="C1788" s="48"/>
      <c r="D1788" s="47"/>
      <c r="E1788" s="48"/>
    </row>
    <row r="1789" ht="15.75" customHeight="1">
      <c r="A1789" s="48"/>
      <c r="B1789" s="48"/>
      <c r="C1789" s="48"/>
      <c r="D1789" s="47"/>
      <c r="E1789" s="48"/>
    </row>
    <row r="1790" ht="15.75" customHeight="1">
      <c r="A1790" s="48"/>
      <c r="B1790" s="48"/>
      <c r="C1790" s="48"/>
      <c r="D1790" s="47"/>
      <c r="E1790" s="48"/>
    </row>
    <row r="1791" ht="15.75" customHeight="1">
      <c r="A1791" s="48"/>
      <c r="B1791" s="48"/>
      <c r="C1791" s="48"/>
      <c r="D1791" s="47"/>
      <c r="E1791" s="48"/>
    </row>
    <row r="1792" ht="15.75" customHeight="1">
      <c r="A1792" s="48"/>
      <c r="B1792" s="48"/>
      <c r="C1792" s="48"/>
      <c r="D1792" s="47"/>
      <c r="E1792" s="48"/>
    </row>
    <row r="1793" ht="15.75" customHeight="1">
      <c r="A1793" s="48"/>
      <c r="B1793" s="48"/>
      <c r="C1793" s="48"/>
      <c r="D1793" s="47"/>
      <c r="E1793" s="48"/>
    </row>
    <row r="1794" ht="15.75" customHeight="1">
      <c r="A1794" s="48"/>
      <c r="B1794" s="48"/>
      <c r="C1794" s="48"/>
      <c r="D1794" s="47"/>
      <c r="E1794" s="48"/>
    </row>
    <row r="1795" ht="15.75" customHeight="1">
      <c r="A1795" s="48"/>
      <c r="B1795" s="48"/>
      <c r="C1795" s="48"/>
      <c r="D1795" s="47"/>
      <c r="E1795" s="48"/>
    </row>
    <row r="1796" ht="15.75" customHeight="1">
      <c r="A1796" s="48"/>
      <c r="B1796" s="48"/>
      <c r="C1796" s="48"/>
      <c r="D1796" s="47"/>
      <c r="E1796" s="48"/>
    </row>
    <row r="1797" ht="15.75" customHeight="1">
      <c r="A1797" s="48"/>
      <c r="B1797" s="48"/>
      <c r="C1797" s="48"/>
      <c r="D1797" s="47"/>
      <c r="E1797" s="48"/>
    </row>
    <row r="1798" ht="15.75" customHeight="1">
      <c r="A1798" s="48"/>
      <c r="B1798" s="48"/>
      <c r="C1798" s="48"/>
      <c r="D1798" s="47"/>
      <c r="E1798" s="48"/>
    </row>
    <row r="1799" ht="15.75" customHeight="1">
      <c r="A1799" s="48"/>
      <c r="B1799" s="48"/>
      <c r="C1799" s="48"/>
      <c r="D1799" s="47"/>
      <c r="E1799" s="48"/>
    </row>
    <row r="1800" ht="15.75" customHeight="1">
      <c r="A1800" s="48"/>
      <c r="B1800" s="48"/>
      <c r="C1800" s="48"/>
      <c r="D1800" s="47"/>
      <c r="E1800" s="48"/>
    </row>
    <row r="1801" ht="15.75" customHeight="1">
      <c r="A1801" s="48"/>
      <c r="B1801" s="48"/>
      <c r="C1801" s="48"/>
      <c r="D1801" s="47"/>
      <c r="E1801" s="48"/>
    </row>
    <row r="1802" ht="15.75" customHeight="1">
      <c r="A1802" s="48"/>
      <c r="B1802" s="48"/>
      <c r="C1802" s="48"/>
      <c r="D1802" s="47"/>
      <c r="E1802" s="48"/>
    </row>
    <row r="1803" ht="15.75" customHeight="1">
      <c r="A1803" s="48"/>
      <c r="B1803" s="48"/>
      <c r="C1803" s="48"/>
      <c r="D1803" s="47"/>
      <c r="E1803" s="48"/>
    </row>
    <row r="1804" ht="15.75" customHeight="1">
      <c r="A1804" s="48"/>
      <c r="B1804" s="48"/>
      <c r="C1804" s="48"/>
      <c r="D1804" s="47"/>
      <c r="E1804" s="48"/>
    </row>
    <row r="1805" ht="15.75" customHeight="1">
      <c r="A1805" s="48"/>
      <c r="B1805" s="48"/>
      <c r="C1805" s="48"/>
      <c r="D1805" s="47"/>
      <c r="E1805" s="48"/>
    </row>
    <row r="1806" ht="15.75" customHeight="1">
      <c r="A1806" s="48"/>
      <c r="B1806" s="48"/>
      <c r="C1806" s="48"/>
      <c r="D1806" s="47"/>
      <c r="E1806" s="48"/>
    </row>
    <row r="1807" ht="15.75" customHeight="1">
      <c r="A1807" s="48"/>
      <c r="B1807" s="48"/>
      <c r="C1807" s="48"/>
      <c r="D1807" s="47"/>
      <c r="E1807" s="48"/>
    </row>
    <row r="1808" ht="15.75" customHeight="1">
      <c r="A1808" s="48"/>
      <c r="B1808" s="48"/>
      <c r="C1808" s="48"/>
      <c r="D1808" s="47"/>
      <c r="E1808" s="48"/>
    </row>
    <row r="1809" ht="15.75" customHeight="1">
      <c r="A1809" s="48"/>
      <c r="B1809" s="48"/>
      <c r="C1809" s="48"/>
      <c r="D1809" s="47"/>
      <c r="E1809" s="48"/>
    </row>
    <row r="1810" ht="15.75" customHeight="1">
      <c r="A1810" s="48"/>
      <c r="B1810" s="48"/>
      <c r="C1810" s="48"/>
      <c r="D1810" s="47"/>
      <c r="E1810" s="48"/>
    </row>
    <row r="1811" ht="15.75" customHeight="1">
      <c r="A1811" s="48"/>
      <c r="B1811" s="48"/>
      <c r="C1811" s="48"/>
      <c r="D1811" s="47"/>
      <c r="E1811" s="48"/>
    </row>
    <row r="1812" ht="15.75" customHeight="1">
      <c r="A1812" s="48"/>
      <c r="B1812" s="48"/>
      <c r="C1812" s="48"/>
      <c r="D1812" s="47"/>
      <c r="E1812" s="48"/>
    </row>
    <row r="1813" ht="15.75" customHeight="1">
      <c r="A1813" s="48"/>
      <c r="B1813" s="48"/>
      <c r="C1813" s="48"/>
      <c r="D1813" s="47"/>
      <c r="E1813" s="48"/>
    </row>
    <row r="1814" ht="15.75" customHeight="1">
      <c r="A1814" s="48"/>
      <c r="B1814" s="48"/>
      <c r="C1814" s="48"/>
      <c r="D1814" s="47"/>
      <c r="E1814" s="48"/>
    </row>
    <row r="1815" ht="15.75" customHeight="1">
      <c r="A1815" s="48"/>
      <c r="B1815" s="48"/>
      <c r="C1815" s="48"/>
      <c r="D1815" s="47"/>
      <c r="E1815" s="48"/>
    </row>
    <row r="1816" ht="15.75" customHeight="1">
      <c r="A1816" s="48"/>
      <c r="B1816" s="48"/>
      <c r="C1816" s="48"/>
      <c r="D1816" s="47"/>
      <c r="E1816" s="48"/>
    </row>
    <row r="1817" ht="15.75" customHeight="1">
      <c r="A1817" s="48"/>
      <c r="B1817" s="48"/>
      <c r="C1817" s="48"/>
      <c r="D1817" s="47"/>
      <c r="E1817" s="48"/>
    </row>
    <row r="1818" ht="15.75" customHeight="1">
      <c r="A1818" s="48"/>
      <c r="B1818" s="48"/>
      <c r="C1818" s="48"/>
      <c r="D1818" s="47"/>
      <c r="E1818" s="48"/>
    </row>
    <row r="1819" ht="15.75" customHeight="1">
      <c r="A1819" s="48"/>
      <c r="B1819" s="48"/>
      <c r="C1819" s="48"/>
      <c r="D1819" s="47"/>
      <c r="E1819" s="48"/>
    </row>
    <row r="1820" ht="15.75" customHeight="1">
      <c r="A1820" s="48"/>
      <c r="B1820" s="48"/>
      <c r="C1820" s="48"/>
      <c r="D1820" s="47"/>
      <c r="E1820" s="48"/>
    </row>
    <row r="1821" ht="15.75" customHeight="1">
      <c r="A1821" s="48"/>
      <c r="B1821" s="48"/>
      <c r="C1821" s="48"/>
      <c r="D1821" s="47"/>
      <c r="E1821" s="48"/>
    </row>
    <row r="1822" ht="15.75" customHeight="1">
      <c r="A1822" s="48"/>
      <c r="B1822" s="48"/>
      <c r="C1822" s="48"/>
      <c r="D1822" s="47"/>
      <c r="E1822" s="48"/>
    </row>
    <row r="1823" ht="15.75" customHeight="1">
      <c r="A1823" s="48"/>
      <c r="B1823" s="48"/>
      <c r="C1823" s="48"/>
      <c r="D1823" s="47"/>
      <c r="E1823" s="48"/>
    </row>
    <row r="1824" ht="15.75" customHeight="1">
      <c r="A1824" s="48"/>
      <c r="B1824" s="48"/>
      <c r="C1824" s="48"/>
      <c r="D1824" s="47"/>
      <c r="E1824" s="48"/>
    </row>
    <row r="1825" ht="15.75" customHeight="1">
      <c r="A1825" s="48"/>
      <c r="B1825" s="48"/>
      <c r="C1825" s="48"/>
      <c r="D1825" s="47"/>
      <c r="E1825" s="48"/>
    </row>
    <row r="1826" ht="15.75" customHeight="1">
      <c r="A1826" s="48"/>
      <c r="B1826" s="48"/>
      <c r="C1826" s="48"/>
      <c r="D1826" s="47"/>
      <c r="E1826" s="48"/>
    </row>
    <row r="1827" ht="15.75" customHeight="1">
      <c r="A1827" s="48"/>
      <c r="B1827" s="48"/>
      <c r="C1827" s="48"/>
      <c r="D1827" s="47"/>
      <c r="E1827" s="48"/>
    </row>
    <row r="1828" ht="15.75" customHeight="1">
      <c r="A1828" s="48"/>
      <c r="B1828" s="48"/>
      <c r="C1828" s="48"/>
      <c r="D1828" s="47"/>
      <c r="E1828" s="48"/>
    </row>
    <row r="1829" ht="15.75" customHeight="1">
      <c r="A1829" s="48"/>
      <c r="B1829" s="48"/>
      <c r="C1829" s="48"/>
      <c r="D1829" s="47"/>
      <c r="E1829" s="48"/>
    </row>
    <row r="1830" ht="15.75" customHeight="1">
      <c r="A1830" s="48"/>
      <c r="B1830" s="48"/>
      <c r="C1830" s="48"/>
      <c r="D1830" s="47"/>
      <c r="E1830" s="48"/>
    </row>
    <row r="1831" ht="15.75" customHeight="1">
      <c r="A1831" s="48"/>
      <c r="B1831" s="48"/>
      <c r="C1831" s="48"/>
      <c r="D1831" s="47"/>
      <c r="E1831" s="48"/>
    </row>
    <row r="1832" ht="15.75" customHeight="1">
      <c r="A1832" s="48"/>
      <c r="B1832" s="48"/>
      <c r="C1832" s="48"/>
      <c r="D1832" s="47"/>
      <c r="E1832" s="48"/>
    </row>
    <row r="1833" ht="15.75" customHeight="1">
      <c r="A1833" s="48"/>
      <c r="B1833" s="48"/>
      <c r="C1833" s="48"/>
      <c r="D1833" s="47"/>
      <c r="E1833" s="48"/>
    </row>
    <row r="1834" ht="15.75" customHeight="1">
      <c r="A1834" s="48"/>
      <c r="B1834" s="48"/>
      <c r="C1834" s="48"/>
      <c r="D1834" s="47"/>
      <c r="E1834" s="48"/>
    </row>
    <row r="1835" ht="15.75" customHeight="1">
      <c r="A1835" s="48"/>
      <c r="B1835" s="48"/>
      <c r="C1835" s="48"/>
      <c r="D1835" s="47"/>
      <c r="E1835" s="48"/>
    </row>
    <row r="1836" ht="15.75" customHeight="1">
      <c r="A1836" s="48"/>
      <c r="B1836" s="48"/>
      <c r="C1836" s="48"/>
      <c r="D1836" s="47"/>
      <c r="E1836" s="48"/>
    </row>
    <row r="1837" ht="15.75" customHeight="1">
      <c r="A1837" s="48"/>
      <c r="B1837" s="48"/>
      <c r="C1837" s="48"/>
      <c r="D1837" s="47"/>
      <c r="E1837" s="48"/>
    </row>
    <row r="1838" ht="15.75" customHeight="1">
      <c r="A1838" s="48"/>
      <c r="B1838" s="48"/>
      <c r="C1838" s="48"/>
      <c r="D1838" s="47"/>
      <c r="E1838" s="48"/>
    </row>
    <row r="1839" ht="15.75" customHeight="1">
      <c r="A1839" s="48"/>
      <c r="B1839" s="48"/>
      <c r="C1839" s="48"/>
      <c r="D1839" s="47"/>
      <c r="E1839" s="48"/>
    </row>
    <row r="1840" ht="15.75" customHeight="1">
      <c r="A1840" s="48"/>
      <c r="B1840" s="48"/>
      <c r="C1840" s="48"/>
      <c r="D1840" s="47"/>
      <c r="E1840" s="48"/>
    </row>
    <row r="1841" ht="15.75" customHeight="1">
      <c r="A1841" s="48"/>
      <c r="B1841" s="48"/>
      <c r="C1841" s="48"/>
      <c r="D1841" s="47"/>
      <c r="E1841" s="48"/>
    </row>
    <row r="1842" ht="15.75" customHeight="1">
      <c r="A1842" s="48"/>
      <c r="B1842" s="48"/>
      <c r="C1842" s="48"/>
      <c r="D1842" s="47"/>
      <c r="E1842" s="48"/>
    </row>
    <row r="1843" ht="15.75" customHeight="1">
      <c r="A1843" s="48"/>
      <c r="B1843" s="48"/>
      <c r="C1843" s="48"/>
      <c r="D1843" s="47"/>
      <c r="E1843" s="48"/>
    </row>
    <row r="1844" ht="15.75" customHeight="1">
      <c r="A1844" s="48"/>
      <c r="B1844" s="48"/>
      <c r="C1844" s="48"/>
      <c r="D1844" s="47"/>
      <c r="E1844" s="48"/>
    </row>
    <row r="1845" ht="15.75" customHeight="1">
      <c r="A1845" s="48"/>
      <c r="B1845" s="48"/>
      <c r="C1845" s="48"/>
      <c r="D1845" s="47"/>
      <c r="E1845" s="48"/>
    </row>
    <row r="1846" ht="15.75" customHeight="1">
      <c r="A1846" s="48"/>
      <c r="B1846" s="48"/>
      <c r="C1846" s="48"/>
      <c r="D1846" s="47"/>
      <c r="E1846" s="48"/>
    </row>
    <row r="1847" ht="15.75" customHeight="1">
      <c r="A1847" s="48"/>
      <c r="B1847" s="48"/>
      <c r="C1847" s="48"/>
      <c r="D1847" s="47"/>
      <c r="E1847" s="48"/>
    </row>
    <row r="1848" ht="15.75" customHeight="1">
      <c r="A1848" s="48"/>
      <c r="B1848" s="48"/>
      <c r="C1848" s="48"/>
      <c r="D1848" s="47"/>
      <c r="E1848" s="48"/>
    </row>
    <row r="1849" ht="15.75" customHeight="1">
      <c r="A1849" s="48"/>
      <c r="B1849" s="48"/>
      <c r="C1849" s="48"/>
      <c r="D1849" s="47"/>
      <c r="E1849" s="48"/>
    </row>
    <row r="1850" ht="15.75" customHeight="1">
      <c r="A1850" s="48"/>
      <c r="B1850" s="48"/>
      <c r="C1850" s="48"/>
      <c r="D1850" s="47"/>
      <c r="E1850" s="48"/>
    </row>
    <row r="1851" ht="15.75" customHeight="1">
      <c r="A1851" s="48"/>
      <c r="B1851" s="48"/>
      <c r="C1851" s="48"/>
      <c r="D1851" s="47"/>
      <c r="E1851" s="48"/>
    </row>
    <row r="1852" ht="15.75" customHeight="1">
      <c r="A1852" s="48"/>
      <c r="B1852" s="48"/>
      <c r="C1852" s="48"/>
      <c r="D1852" s="47"/>
      <c r="E1852" s="48"/>
    </row>
    <row r="1853" ht="15.75" customHeight="1">
      <c r="A1853" s="48"/>
      <c r="B1853" s="48"/>
      <c r="C1853" s="48"/>
      <c r="D1853" s="47"/>
      <c r="E1853" s="48"/>
    </row>
    <row r="1854" ht="15.75" customHeight="1">
      <c r="A1854" s="48"/>
      <c r="B1854" s="48"/>
      <c r="C1854" s="48"/>
      <c r="D1854" s="47"/>
      <c r="E1854" s="48"/>
    </row>
    <row r="1855" ht="15.75" customHeight="1">
      <c r="A1855" s="48"/>
      <c r="B1855" s="48"/>
      <c r="C1855" s="48"/>
      <c r="D1855" s="47"/>
      <c r="E1855" s="48"/>
    </row>
    <row r="1856" ht="15.75" customHeight="1">
      <c r="A1856" s="48"/>
      <c r="B1856" s="48"/>
      <c r="C1856" s="48"/>
      <c r="D1856" s="47"/>
      <c r="E1856" s="48"/>
    </row>
    <row r="1857" ht="15.75" customHeight="1">
      <c r="A1857" s="48"/>
      <c r="B1857" s="48"/>
      <c r="C1857" s="48"/>
      <c r="D1857" s="47"/>
      <c r="E1857" s="48"/>
    </row>
    <row r="1858" ht="15.75" customHeight="1">
      <c r="A1858" s="48"/>
      <c r="B1858" s="48"/>
      <c r="C1858" s="48"/>
      <c r="D1858" s="47"/>
      <c r="E1858" s="48"/>
    </row>
    <row r="1859" ht="15.75" customHeight="1">
      <c r="A1859" s="48"/>
      <c r="B1859" s="48"/>
      <c r="C1859" s="48"/>
      <c r="D1859" s="47"/>
      <c r="E1859" s="48"/>
    </row>
    <row r="1860" ht="15.75" customHeight="1">
      <c r="A1860" s="48"/>
      <c r="B1860" s="48"/>
      <c r="C1860" s="48"/>
      <c r="D1860" s="47"/>
      <c r="E1860" s="48"/>
    </row>
    <row r="1861" ht="15.75" customHeight="1">
      <c r="A1861" s="48"/>
      <c r="B1861" s="48"/>
      <c r="C1861" s="48"/>
      <c r="D1861" s="47"/>
      <c r="E1861" s="48"/>
    </row>
    <row r="1862" ht="15.75" customHeight="1">
      <c r="A1862" s="48"/>
      <c r="B1862" s="48"/>
      <c r="C1862" s="48"/>
      <c r="D1862" s="47"/>
      <c r="E1862" s="48"/>
    </row>
    <row r="1863" ht="15.75" customHeight="1">
      <c r="A1863" s="48"/>
      <c r="B1863" s="48"/>
      <c r="C1863" s="48"/>
      <c r="D1863" s="47"/>
      <c r="E1863" s="48"/>
    </row>
    <row r="1864" ht="15.75" customHeight="1">
      <c r="A1864" s="48"/>
      <c r="B1864" s="48"/>
      <c r="C1864" s="48"/>
      <c r="D1864" s="47"/>
      <c r="E1864" s="48"/>
    </row>
    <row r="1865" ht="15.75" customHeight="1">
      <c r="A1865" s="48"/>
      <c r="B1865" s="48"/>
      <c r="C1865" s="48"/>
      <c r="D1865" s="47"/>
      <c r="E1865" s="48"/>
    </row>
    <row r="1866" ht="15.75" customHeight="1">
      <c r="A1866" s="48"/>
      <c r="B1866" s="48"/>
      <c r="C1866" s="48"/>
      <c r="D1866" s="47"/>
      <c r="E1866" s="48"/>
    </row>
    <row r="1867" ht="15.75" customHeight="1">
      <c r="A1867" s="48"/>
      <c r="B1867" s="48"/>
      <c r="C1867" s="48"/>
      <c r="D1867" s="47"/>
      <c r="E1867" s="48"/>
    </row>
    <row r="1868" ht="15.75" customHeight="1">
      <c r="A1868" s="48"/>
      <c r="B1868" s="48"/>
      <c r="C1868" s="48"/>
      <c r="D1868" s="47"/>
      <c r="E1868" s="48"/>
    </row>
    <row r="1869" ht="15.75" customHeight="1">
      <c r="A1869" s="48"/>
      <c r="B1869" s="48"/>
      <c r="C1869" s="48"/>
      <c r="D1869" s="47"/>
      <c r="E1869" s="48"/>
    </row>
    <row r="1870" ht="15.75" customHeight="1">
      <c r="A1870" s="48"/>
      <c r="B1870" s="48"/>
      <c r="C1870" s="48"/>
      <c r="D1870" s="47"/>
      <c r="E1870" s="48"/>
    </row>
    <row r="1871" ht="15.75" customHeight="1">
      <c r="A1871" s="48"/>
      <c r="B1871" s="48"/>
      <c r="C1871" s="48"/>
      <c r="D1871" s="47"/>
      <c r="E1871" s="48"/>
    </row>
    <row r="1872" ht="15.75" customHeight="1">
      <c r="A1872" s="48"/>
      <c r="B1872" s="48"/>
      <c r="C1872" s="48"/>
      <c r="D1872" s="47"/>
      <c r="E1872" s="48"/>
    </row>
    <row r="1873" ht="15.75" customHeight="1">
      <c r="A1873" s="48"/>
      <c r="B1873" s="48"/>
      <c r="C1873" s="48"/>
      <c r="D1873" s="47"/>
      <c r="E1873" s="48"/>
    </row>
    <row r="1874" ht="15.75" customHeight="1">
      <c r="A1874" s="48"/>
      <c r="B1874" s="48"/>
      <c r="C1874" s="48"/>
      <c r="D1874" s="47"/>
      <c r="E1874" s="48"/>
    </row>
    <row r="1875" ht="15.75" customHeight="1">
      <c r="A1875" s="48"/>
      <c r="B1875" s="48"/>
      <c r="C1875" s="48"/>
      <c r="D1875" s="47"/>
      <c r="E1875" s="48"/>
    </row>
    <row r="1876" ht="15.75" customHeight="1">
      <c r="A1876" s="48"/>
      <c r="B1876" s="48"/>
      <c r="C1876" s="48"/>
      <c r="D1876" s="47"/>
      <c r="E1876" s="48"/>
    </row>
    <row r="1877" ht="15.75" customHeight="1">
      <c r="A1877" s="48"/>
      <c r="B1877" s="48"/>
      <c r="C1877" s="48"/>
      <c r="D1877" s="47"/>
      <c r="E1877" s="48"/>
    </row>
    <row r="1878" ht="15.75" customHeight="1">
      <c r="A1878" s="48"/>
      <c r="B1878" s="48"/>
      <c r="C1878" s="48"/>
      <c r="D1878" s="47"/>
      <c r="E1878" s="48"/>
    </row>
    <row r="1879" ht="15.75" customHeight="1">
      <c r="A1879" s="48"/>
      <c r="B1879" s="48"/>
      <c r="C1879" s="48"/>
      <c r="D1879" s="47"/>
      <c r="E1879" s="48"/>
    </row>
    <row r="1880" ht="15.75" customHeight="1">
      <c r="A1880" s="48"/>
      <c r="B1880" s="48"/>
      <c r="C1880" s="48"/>
      <c r="D1880" s="47"/>
      <c r="E1880" s="48"/>
    </row>
    <row r="1881" ht="15.75" customHeight="1">
      <c r="A1881" s="48"/>
      <c r="B1881" s="48"/>
      <c r="C1881" s="48"/>
      <c r="D1881" s="47"/>
      <c r="E1881" s="48"/>
    </row>
    <row r="1882" ht="15.75" customHeight="1">
      <c r="A1882" s="48"/>
      <c r="B1882" s="48"/>
      <c r="C1882" s="48"/>
      <c r="D1882" s="47"/>
      <c r="E1882" s="48"/>
    </row>
    <row r="1883" ht="15.75" customHeight="1">
      <c r="A1883" s="48"/>
      <c r="B1883" s="48"/>
      <c r="C1883" s="48"/>
      <c r="D1883" s="47"/>
      <c r="E1883" s="48"/>
    </row>
    <row r="1884" ht="15.75" customHeight="1">
      <c r="A1884" s="48"/>
      <c r="B1884" s="48"/>
      <c r="C1884" s="48"/>
      <c r="D1884" s="47"/>
      <c r="E1884" s="48"/>
    </row>
    <row r="1885" ht="15.75" customHeight="1">
      <c r="A1885" s="48"/>
      <c r="B1885" s="48"/>
      <c r="C1885" s="48"/>
      <c r="D1885" s="47"/>
      <c r="E1885" s="48"/>
    </row>
    <row r="1886" ht="15.75" customHeight="1">
      <c r="A1886" s="48"/>
      <c r="B1886" s="48"/>
      <c r="C1886" s="48"/>
      <c r="D1886" s="47"/>
      <c r="E1886" s="48"/>
    </row>
    <row r="1887" ht="15.75" customHeight="1">
      <c r="A1887" s="48"/>
      <c r="B1887" s="48"/>
      <c r="C1887" s="48"/>
      <c r="D1887" s="47"/>
      <c r="E1887" s="48"/>
    </row>
    <row r="1888" ht="15.75" customHeight="1">
      <c r="A1888" s="48"/>
      <c r="B1888" s="48"/>
      <c r="C1888" s="48"/>
      <c r="D1888" s="47"/>
      <c r="E1888" s="48"/>
    </row>
    <row r="1889" ht="15.75" customHeight="1">
      <c r="A1889" s="48"/>
      <c r="B1889" s="48"/>
      <c r="C1889" s="48"/>
      <c r="D1889" s="47"/>
      <c r="E1889" s="48"/>
    </row>
    <row r="1890" ht="15.75" customHeight="1">
      <c r="A1890" s="48"/>
      <c r="B1890" s="48"/>
      <c r="C1890" s="48"/>
      <c r="D1890" s="47"/>
      <c r="E1890" s="48"/>
    </row>
    <row r="1891" ht="15.75" customHeight="1">
      <c r="A1891" s="48"/>
      <c r="B1891" s="48"/>
      <c r="C1891" s="48"/>
      <c r="D1891" s="47"/>
      <c r="E1891" s="48"/>
    </row>
    <row r="1892" ht="15.75" customHeight="1">
      <c r="A1892" s="48"/>
      <c r="B1892" s="48"/>
      <c r="C1892" s="48"/>
      <c r="D1892" s="47"/>
      <c r="E1892" s="48"/>
    </row>
    <row r="1893" ht="15.75" customHeight="1">
      <c r="A1893" s="48"/>
      <c r="B1893" s="48"/>
      <c r="C1893" s="48"/>
      <c r="D1893" s="47"/>
      <c r="E1893" s="48"/>
    </row>
    <row r="1894" ht="15.75" customHeight="1">
      <c r="A1894" s="48"/>
      <c r="B1894" s="48"/>
      <c r="C1894" s="48"/>
      <c r="D1894" s="47"/>
      <c r="E1894" s="48"/>
    </row>
    <row r="1895" ht="15.75" customHeight="1">
      <c r="A1895" s="48"/>
      <c r="B1895" s="48"/>
      <c r="C1895" s="48"/>
      <c r="D1895" s="47"/>
      <c r="E1895" s="48"/>
    </row>
    <row r="1896" ht="15.75" customHeight="1">
      <c r="A1896" s="48"/>
      <c r="B1896" s="48"/>
      <c r="C1896" s="48"/>
      <c r="D1896" s="47"/>
      <c r="E1896" s="48"/>
    </row>
    <row r="1897" ht="15.75" customHeight="1">
      <c r="A1897" s="48"/>
      <c r="B1897" s="48"/>
      <c r="C1897" s="48"/>
      <c r="D1897" s="47"/>
      <c r="E1897" s="48"/>
    </row>
    <row r="1898" ht="15.75" customHeight="1">
      <c r="A1898" s="48"/>
      <c r="B1898" s="48"/>
      <c r="C1898" s="48"/>
      <c r="D1898" s="47"/>
      <c r="E1898" s="48"/>
    </row>
    <row r="1899" ht="15.75" customHeight="1">
      <c r="A1899" s="48"/>
      <c r="B1899" s="48"/>
      <c r="C1899" s="48"/>
      <c r="D1899" s="47"/>
      <c r="E1899" s="48"/>
    </row>
    <row r="1900" ht="15.75" customHeight="1">
      <c r="A1900" s="48"/>
      <c r="B1900" s="48"/>
      <c r="C1900" s="48"/>
      <c r="D1900" s="47"/>
      <c r="E1900" s="48"/>
    </row>
    <row r="1901" ht="15.75" customHeight="1">
      <c r="A1901" s="48"/>
      <c r="B1901" s="48"/>
      <c r="C1901" s="48"/>
      <c r="D1901" s="47"/>
      <c r="E1901" s="48"/>
    </row>
    <row r="1902" ht="15.75" customHeight="1">
      <c r="A1902" s="48"/>
      <c r="B1902" s="48"/>
      <c r="C1902" s="48"/>
      <c r="D1902" s="47"/>
      <c r="E1902" s="48"/>
    </row>
    <row r="1903" ht="15.75" customHeight="1">
      <c r="A1903" s="48"/>
      <c r="B1903" s="48"/>
      <c r="C1903" s="48"/>
      <c r="D1903" s="47"/>
      <c r="E1903" s="48"/>
    </row>
    <row r="1904" ht="15.75" customHeight="1">
      <c r="A1904" s="48"/>
      <c r="B1904" s="48"/>
      <c r="C1904" s="48"/>
      <c r="D1904" s="47"/>
      <c r="E1904" s="48"/>
    </row>
    <row r="1905" ht="15.75" customHeight="1">
      <c r="A1905" s="48"/>
      <c r="B1905" s="48"/>
      <c r="C1905" s="48"/>
      <c r="D1905" s="47"/>
      <c r="E1905" s="48"/>
    </row>
    <row r="1906" ht="15.75" customHeight="1">
      <c r="A1906" s="48"/>
      <c r="B1906" s="48"/>
      <c r="C1906" s="48"/>
      <c r="D1906" s="47"/>
      <c r="E1906" s="48"/>
    </row>
    <row r="1907" ht="15.75" customHeight="1">
      <c r="A1907" s="48"/>
      <c r="B1907" s="48"/>
      <c r="C1907" s="48"/>
      <c r="D1907" s="47"/>
      <c r="E1907" s="48"/>
    </row>
    <row r="1908" ht="15.75" customHeight="1">
      <c r="A1908" s="48"/>
      <c r="B1908" s="48"/>
      <c r="C1908" s="48"/>
      <c r="D1908" s="47"/>
      <c r="E1908" s="48"/>
    </row>
    <row r="1909" ht="15.75" customHeight="1">
      <c r="A1909" s="48"/>
      <c r="B1909" s="48"/>
      <c r="C1909" s="48"/>
      <c r="D1909" s="47"/>
      <c r="E1909" s="48"/>
    </row>
    <row r="1910" ht="15.75" customHeight="1">
      <c r="A1910" s="48"/>
      <c r="B1910" s="48"/>
      <c r="C1910" s="48"/>
      <c r="D1910" s="47"/>
      <c r="E1910" s="48"/>
    </row>
    <row r="1911" ht="15.75" customHeight="1">
      <c r="A1911" s="48"/>
      <c r="B1911" s="48"/>
      <c r="C1911" s="48"/>
      <c r="D1911" s="47"/>
      <c r="E1911" s="48"/>
    </row>
    <row r="1912" ht="15.75" customHeight="1">
      <c r="A1912" s="48"/>
      <c r="B1912" s="48"/>
      <c r="C1912" s="48"/>
      <c r="D1912" s="47"/>
      <c r="E1912" s="48"/>
    </row>
    <row r="1913" ht="15.75" customHeight="1">
      <c r="A1913" s="48"/>
      <c r="B1913" s="48"/>
      <c r="C1913" s="48"/>
      <c r="D1913" s="47"/>
      <c r="E1913" s="48"/>
    </row>
    <row r="1914" ht="15.75" customHeight="1">
      <c r="A1914" s="48"/>
      <c r="B1914" s="48"/>
      <c r="C1914" s="48"/>
      <c r="D1914" s="47"/>
      <c r="E1914" s="48"/>
    </row>
    <row r="1915" ht="15.75" customHeight="1">
      <c r="A1915" s="48"/>
      <c r="B1915" s="48"/>
      <c r="C1915" s="48"/>
      <c r="D1915" s="47"/>
      <c r="E1915" s="48"/>
    </row>
    <row r="1916" ht="15.75" customHeight="1">
      <c r="A1916" s="48"/>
      <c r="B1916" s="48"/>
      <c r="C1916" s="48"/>
      <c r="D1916" s="47"/>
      <c r="E1916" s="48"/>
    </row>
    <row r="1917" ht="15.75" customHeight="1">
      <c r="A1917" s="48"/>
      <c r="B1917" s="48"/>
      <c r="C1917" s="48"/>
      <c r="D1917" s="47"/>
      <c r="E1917" s="48"/>
    </row>
    <row r="1918" ht="15.75" customHeight="1">
      <c r="A1918" s="48"/>
      <c r="B1918" s="48"/>
      <c r="C1918" s="48"/>
      <c r="D1918" s="47"/>
      <c r="E1918" s="48"/>
    </row>
    <row r="1919" ht="15.75" customHeight="1">
      <c r="A1919" s="48"/>
      <c r="B1919" s="48"/>
      <c r="C1919" s="48"/>
      <c r="D1919" s="47"/>
      <c r="E1919" s="48"/>
    </row>
    <row r="1920" ht="15.75" customHeight="1">
      <c r="A1920" s="48"/>
      <c r="B1920" s="48"/>
      <c r="C1920" s="48"/>
      <c r="D1920" s="47"/>
      <c r="E1920" s="48"/>
    </row>
    <row r="1921" ht="15.75" customHeight="1">
      <c r="A1921" s="48"/>
      <c r="B1921" s="48"/>
      <c r="C1921" s="48"/>
      <c r="D1921" s="47"/>
      <c r="E1921" s="48"/>
    </row>
    <row r="1922" ht="15.75" customHeight="1">
      <c r="A1922" s="48"/>
      <c r="B1922" s="48"/>
      <c r="C1922" s="48"/>
      <c r="D1922" s="47"/>
      <c r="E1922" s="48"/>
    </row>
    <row r="1923" ht="15.75" customHeight="1">
      <c r="A1923" s="48"/>
      <c r="B1923" s="48"/>
      <c r="C1923" s="48"/>
      <c r="D1923" s="47"/>
      <c r="E1923" s="48"/>
    </row>
    <row r="1924" ht="15.75" customHeight="1">
      <c r="A1924" s="48"/>
      <c r="B1924" s="48"/>
      <c r="C1924" s="48"/>
      <c r="D1924" s="47"/>
      <c r="E1924" s="48"/>
    </row>
    <row r="1925" ht="15.75" customHeight="1">
      <c r="A1925" s="48"/>
      <c r="B1925" s="48"/>
      <c r="C1925" s="48"/>
      <c r="D1925" s="47"/>
      <c r="E1925" s="48"/>
    </row>
    <row r="1926" ht="15.75" customHeight="1">
      <c r="A1926" s="48"/>
      <c r="B1926" s="48"/>
      <c r="C1926" s="48"/>
      <c r="D1926" s="47"/>
      <c r="E1926" s="48"/>
    </row>
    <row r="1927" ht="15.75" customHeight="1">
      <c r="A1927" s="48"/>
      <c r="B1927" s="48"/>
      <c r="C1927" s="48"/>
      <c r="D1927" s="47"/>
      <c r="E1927" s="48"/>
    </row>
    <row r="1928" ht="15.75" customHeight="1">
      <c r="A1928" s="48"/>
      <c r="B1928" s="48"/>
      <c r="C1928" s="48"/>
      <c r="D1928" s="47"/>
      <c r="E1928" s="48"/>
    </row>
    <row r="1929" ht="15.75" customHeight="1">
      <c r="A1929" s="48"/>
      <c r="B1929" s="48"/>
      <c r="C1929" s="48"/>
      <c r="D1929" s="47"/>
      <c r="E1929" s="48"/>
    </row>
    <row r="1930" ht="15.75" customHeight="1">
      <c r="A1930" s="48"/>
      <c r="B1930" s="48"/>
      <c r="C1930" s="48"/>
      <c r="D1930" s="47"/>
      <c r="E1930" s="48"/>
    </row>
    <row r="1931" ht="15.75" customHeight="1">
      <c r="A1931" s="48"/>
      <c r="B1931" s="48"/>
      <c r="C1931" s="48"/>
      <c r="D1931" s="47"/>
      <c r="E1931" s="48"/>
    </row>
    <row r="1932" ht="15.75" customHeight="1">
      <c r="A1932" s="48"/>
      <c r="B1932" s="48"/>
      <c r="C1932" s="48"/>
      <c r="D1932" s="47"/>
      <c r="E1932" s="48"/>
    </row>
    <row r="1933" ht="15.75" customHeight="1">
      <c r="A1933" s="48"/>
      <c r="B1933" s="48"/>
      <c r="C1933" s="48"/>
      <c r="D1933" s="47"/>
      <c r="E1933" s="48"/>
    </row>
    <row r="1934" ht="15.75" customHeight="1">
      <c r="A1934" s="48"/>
      <c r="B1934" s="48"/>
      <c r="C1934" s="48"/>
      <c r="D1934" s="47"/>
      <c r="E1934" s="48"/>
    </row>
    <row r="1935" ht="15.75" customHeight="1">
      <c r="A1935" s="48"/>
      <c r="B1935" s="48"/>
      <c r="C1935" s="48"/>
      <c r="D1935" s="47"/>
      <c r="E1935" s="48"/>
    </row>
    <row r="1936" ht="15.75" customHeight="1">
      <c r="A1936" s="48"/>
      <c r="B1936" s="48"/>
      <c r="C1936" s="48"/>
      <c r="D1936" s="47"/>
      <c r="E1936" s="48"/>
    </row>
    <row r="1937" ht="15.75" customHeight="1">
      <c r="A1937" s="48"/>
      <c r="B1937" s="48"/>
      <c r="C1937" s="48"/>
      <c r="D1937" s="47"/>
      <c r="E1937" s="48"/>
    </row>
    <row r="1938" ht="15.75" customHeight="1">
      <c r="A1938" s="48"/>
      <c r="B1938" s="48"/>
      <c r="C1938" s="48"/>
      <c r="D1938" s="47"/>
      <c r="E1938" s="48"/>
    </row>
    <row r="1939" ht="15.75" customHeight="1">
      <c r="A1939" s="48"/>
      <c r="B1939" s="48"/>
      <c r="C1939" s="48"/>
      <c r="D1939" s="47"/>
      <c r="E1939" s="48"/>
    </row>
    <row r="1940" ht="15.75" customHeight="1">
      <c r="A1940" s="48"/>
      <c r="B1940" s="48"/>
      <c r="C1940" s="48"/>
      <c r="D1940" s="47"/>
      <c r="E1940" s="48"/>
    </row>
    <row r="1941" ht="15.75" customHeight="1">
      <c r="A1941" s="48"/>
      <c r="B1941" s="48"/>
      <c r="C1941" s="48"/>
      <c r="D1941" s="47"/>
      <c r="E1941" s="48"/>
    </row>
    <row r="1942" ht="15.75" customHeight="1">
      <c r="A1942" s="48"/>
      <c r="B1942" s="48"/>
      <c r="C1942" s="48"/>
      <c r="D1942" s="47"/>
      <c r="E1942" s="48"/>
    </row>
    <row r="1943" ht="15.75" customHeight="1">
      <c r="A1943" s="48"/>
      <c r="B1943" s="48"/>
      <c r="C1943" s="48"/>
      <c r="D1943" s="47"/>
      <c r="E1943" s="48"/>
    </row>
    <row r="1944" ht="15.75" customHeight="1">
      <c r="A1944" s="48"/>
      <c r="B1944" s="48"/>
      <c r="C1944" s="48"/>
      <c r="D1944" s="47"/>
      <c r="E1944" s="48"/>
    </row>
    <row r="1945" ht="15.75" customHeight="1">
      <c r="A1945" s="48"/>
      <c r="B1945" s="48"/>
      <c r="C1945" s="48"/>
      <c r="D1945" s="47"/>
      <c r="E1945" s="48"/>
    </row>
    <row r="1946" ht="15.75" customHeight="1">
      <c r="A1946" s="48"/>
      <c r="B1946" s="48"/>
      <c r="C1946" s="48"/>
      <c r="D1946" s="47"/>
      <c r="E1946" s="48"/>
    </row>
    <row r="1947" ht="15.75" customHeight="1">
      <c r="A1947" s="48"/>
      <c r="B1947" s="48"/>
      <c r="C1947" s="48"/>
      <c r="D1947" s="47"/>
      <c r="E1947" s="48"/>
    </row>
    <row r="1948" ht="15.75" customHeight="1">
      <c r="A1948" s="48"/>
      <c r="B1948" s="48"/>
      <c r="C1948" s="48"/>
      <c r="D1948" s="47"/>
      <c r="E1948" s="48"/>
    </row>
    <row r="1949" ht="15.75" customHeight="1">
      <c r="A1949" s="48"/>
      <c r="B1949" s="48"/>
      <c r="C1949" s="48"/>
      <c r="D1949" s="47"/>
      <c r="E1949" s="48"/>
    </row>
    <row r="1950" ht="15.75" customHeight="1">
      <c r="A1950" s="48"/>
      <c r="B1950" s="48"/>
      <c r="C1950" s="48"/>
      <c r="D1950" s="47"/>
      <c r="E1950" s="48"/>
    </row>
    <row r="1951" ht="15.75" customHeight="1">
      <c r="A1951" s="48"/>
      <c r="B1951" s="48"/>
      <c r="C1951" s="48"/>
      <c r="D1951" s="47"/>
      <c r="E1951" s="48"/>
    </row>
    <row r="1952" ht="15.75" customHeight="1">
      <c r="A1952" s="48"/>
      <c r="B1952" s="48"/>
      <c r="C1952" s="48"/>
      <c r="D1952" s="47"/>
      <c r="E1952" s="48"/>
    </row>
    <row r="1953" ht="15.75" customHeight="1">
      <c r="A1953" s="48"/>
      <c r="B1953" s="48"/>
      <c r="C1953" s="48"/>
      <c r="D1953" s="47"/>
      <c r="E1953" s="48"/>
    </row>
    <row r="1954" ht="15.75" customHeight="1">
      <c r="A1954" s="48"/>
      <c r="B1954" s="48"/>
      <c r="C1954" s="48"/>
      <c r="D1954" s="47"/>
      <c r="E1954" s="48"/>
    </row>
    <row r="1955" ht="15.75" customHeight="1">
      <c r="A1955" s="48"/>
      <c r="B1955" s="48"/>
      <c r="C1955" s="48"/>
      <c r="D1955" s="47"/>
      <c r="E1955" s="48"/>
    </row>
    <row r="1956" ht="15.75" customHeight="1">
      <c r="A1956" s="48"/>
      <c r="B1956" s="48"/>
      <c r="C1956" s="48"/>
      <c r="D1956" s="47"/>
      <c r="E1956" s="48"/>
    </row>
    <row r="1957" ht="15.75" customHeight="1">
      <c r="A1957" s="48"/>
      <c r="B1957" s="48"/>
      <c r="C1957" s="48"/>
      <c r="D1957" s="47"/>
      <c r="E1957" s="48"/>
    </row>
    <row r="1958" ht="15.75" customHeight="1">
      <c r="A1958" s="48"/>
      <c r="B1958" s="48"/>
      <c r="C1958" s="48"/>
      <c r="D1958" s="47"/>
      <c r="E1958" s="48"/>
    </row>
    <row r="1959" ht="15.75" customHeight="1">
      <c r="A1959" s="48"/>
      <c r="B1959" s="48"/>
      <c r="C1959" s="48"/>
      <c r="D1959" s="47"/>
      <c r="E1959" s="48"/>
    </row>
    <row r="1960" ht="15.75" customHeight="1">
      <c r="A1960" s="48"/>
      <c r="B1960" s="48"/>
      <c r="C1960" s="48"/>
      <c r="D1960" s="47"/>
      <c r="E1960" s="48"/>
    </row>
    <row r="1961" ht="15.75" customHeight="1">
      <c r="A1961" s="48"/>
      <c r="B1961" s="48"/>
      <c r="C1961" s="48"/>
      <c r="D1961" s="47"/>
      <c r="E1961" s="48"/>
    </row>
    <row r="1962" ht="15.75" customHeight="1">
      <c r="A1962" s="48"/>
      <c r="B1962" s="48"/>
      <c r="C1962" s="48"/>
      <c r="D1962" s="47"/>
      <c r="E1962" s="48"/>
    </row>
    <row r="1963" ht="15.75" customHeight="1">
      <c r="A1963" s="48"/>
      <c r="B1963" s="48"/>
      <c r="C1963" s="48"/>
      <c r="D1963" s="47"/>
      <c r="E1963" s="48"/>
    </row>
    <row r="1964" ht="15.75" customHeight="1">
      <c r="A1964" s="48"/>
      <c r="B1964" s="48"/>
      <c r="C1964" s="48"/>
      <c r="D1964" s="47"/>
      <c r="E1964" s="48"/>
    </row>
    <row r="1965" ht="15.75" customHeight="1">
      <c r="A1965" s="48"/>
      <c r="B1965" s="48"/>
      <c r="C1965" s="48"/>
      <c r="D1965" s="47"/>
      <c r="E1965" s="48"/>
    </row>
    <row r="1966" ht="15.75" customHeight="1">
      <c r="A1966" s="48"/>
      <c r="B1966" s="48"/>
      <c r="C1966" s="48"/>
      <c r="D1966" s="47"/>
      <c r="E1966" s="48"/>
    </row>
    <row r="1967" ht="15.75" customHeight="1">
      <c r="A1967" s="48"/>
      <c r="B1967" s="48"/>
      <c r="C1967" s="48"/>
      <c r="D1967" s="47"/>
      <c r="E1967" s="48"/>
    </row>
    <row r="1968" ht="15.75" customHeight="1">
      <c r="A1968" s="48"/>
      <c r="B1968" s="48"/>
      <c r="C1968" s="48"/>
      <c r="D1968" s="47"/>
      <c r="E1968" s="48"/>
    </row>
    <row r="1969" ht="15.75" customHeight="1">
      <c r="A1969" s="48"/>
      <c r="B1969" s="48"/>
      <c r="C1969" s="48"/>
      <c r="D1969" s="47"/>
      <c r="E1969" s="48"/>
    </row>
    <row r="1970" ht="15.75" customHeight="1">
      <c r="A1970" s="48"/>
      <c r="B1970" s="48"/>
      <c r="C1970" s="48"/>
      <c r="D1970" s="47"/>
      <c r="E1970" s="48"/>
    </row>
    <row r="1971" ht="15.75" customHeight="1">
      <c r="A1971" s="48"/>
      <c r="B1971" s="48"/>
      <c r="C1971" s="48"/>
      <c r="D1971" s="47"/>
      <c r="E1971" s="48"/>
    </row>
    <row r="1972" ht="15.75" customHeight="1">
      <c r="A1972" s="48"/>
      <c r="B1972" s="48"/>
      <c r="C1972" s="48"/>
      <c r="D1972" s="47"/>
      <c r="E1972" s="48"/>
    </row>
    <row r="1973" ht="15.75" customHeight="1">
      <c r="A1973" s="48"/>
      <c r="B1973" s="48"/>
      <c r="C1973" s="48"/>
      <c r="D1973" s="47"/>
      <c r="E1973" s="48"/>
    </row>
    <row r="1974" ht="15.75" customHeight="1">
      <c r="A1974" s="48"/>
      <c r="B1974" s="48"/>
      <c r="C1974" s="48"/>
      <c r="D1974" s="47"/>
      <c r="E1974" s="48"/>
    </row>
    <row r="1975" ht="15.75" customHeight="1">
      <c r="A1975" s="48"/>
      <c r="B1975" s="48"/>
      <c r="C1975" s="48"/>
      <c r="D1975" s="47"/>
      <c r="E1975" s="48"/>
    </row>
    <row r="1976" ht="15.75" customHeight="1">
      <c r="A1976" s="48"/>
      <c r="B1976" s="48"/>
      <c r="C1976" s="48"/>
      <c r="D1976" s="47"/>
      <c r="E1976" s="48"/>
    </row>
    <row r="1977" ht="15.75" customHeight="1">
      <c r="A1977" s="48"/>
      <c r="B1977" s="48"/>
      <c r="C1977" s="48"/>
      <c r="D1977" s="47"/>
      <c r="E1977" s="48"/>
    </row>
    <row r="1978" ht="15.75" customHeight="1">
      <c r="A1978" s="48"/>
      <c r="B1978" s="48"/>
      <c r="C1978" s="48"/>
      <c r="D1978" s="47"/>
      <c r="E1978" s="48"/>
    </row>
    <row r="1979" ht="15.75" customHeight="1">
      <c r="A1979" s="48"/>
      <c r="B1979" s="48"/>
      <c r="C1979" s="48"/>
      <c r="D1979" s="47"/>
      <c r="E1979" s="48"/>
    </row>
    <row r="1980" ht="15.75" customHeight="1">
      <c r="A1980" s="48"/>
      <c r="B1980" s="48"/>
      <c r="C1980" s="48"/>
      <c r="D1980" s="47"/>
      <c r="E1980" s="48"/>
    </row>
    <row r="1981" ht="15.75" customHeight="1">
      <c r="A1981" s="48"/>
      <c r="B1981" s="48"/>
      <c r="C1981" s="48"/>
      <c r="D1981" s="47"/>
      <c r="E1981" s="48"/>
    </row>
    <row r="1982" ht="15.75" customHeight="1">
      <c r="A1982" s="48"/>
      <c r="B1982" s="48"/>
      <c r="C1982" s="48"/>
      <c r="D1982" s="47"/>
      <c r="E1982" s="48"/>
    </row>
    <row r="1983" ht="15.75" customHeight="1">
      <c r="A1983" s="48"/>
      <c r="B1983" s="48"/>
      <c r="C1983" s="48"/>
      <c r="D1983" s="47"/>
      <c r="E1983" s="48"/>
    </row>
    <row r="1984" ht="15.75" customHeight="1">
      <c r="A1984" s="48"/>
      <c r="B1984" s="48"/>
      <c r="C1984" s="48"/>
      <c r="D1984" s="47"/>
      <c r="E1984" s="48"/>
    </row>
    <row r="1985" ht="15.75" customHeight="1">
      <c r="A1985" s="48"/>
      <c r="B1985" s="48"/>
      <c r="C1985" s="48"/>
      <c r="D1985" s="47"/>
      <c r="E1985" s="48"/>
    </row>
    <row r="1986" ht="15.75" customHeight="1">
      <c r="A1986" s="48"/>
      <c r="B1986" s="48"/>
      <c r="C1986" s="48"/>
      <c r="D1986" s="47"/>
      <c r="E1986" s="48"/>
    </row>
    <row r="1987" ht="15.75" customHeight="1">
      <c r="A1987" s="48"/>
      <c r="B1987" s="48"/>
      <c r="C1987" s="48"/>
      <c r="D1987" s="47"/>
      <c r="E1987" s="48"/>
    </row>
    <row r="1988" ht="15.75" customHeight="1">
      <c r="A1988" s="48"/>
      <c r="B1988" s="48"/>
      <c r="C1988" s="48"/>
      <c r="D1988" s="47"/>
      <c r="E1988" s="48"/>
    </row>
    <row r="1989" ht="15.75" customHeight="1">
      <c r="A1989" s="48"/>
      <c r="B1989" s="48"/>
      <c r="C1989" s="48"/>
      <c r="D1989" s="47"/>
      <c r="E1989" s="48"/>
    </row>
    <row r="1990" ht="15.75" customHeight="1">
      <c r="A1990" s="48"/>
      <c r="B1990" s="48"/>
      <c r="C1990" s="48"/>
      <c r="D1990" s="47"/>
      <c r="E1990" s="48"/>
    </row>
    <row r="1991" ht="15.75" customHeight="1">
      <c r="A1991" s="48"/>
      <c r="B1991" s="48"/>
      <c r="C1991" s="48"/>
      <c r="D1991" s="47"/>
      <c r="E1991" s="48"/>
    </row>
    <row r="1992" ht="15.75" customHeight="1">
      <c r="A1992" s="48"/>
      <c r="B1992" s="48"/>
      <c r="C1992" s="48"/>
      <c r="D1992" s="47"/>
      <c r="E1992" s="48"/>
    </row>
    <row r="1993" ht="15.75" customHeight="1">
      <c r="A1993" s="48"/>
      <c r="B1993" s="48"/>
      <c r="C1993" s="48"/>
      <c r="D1993" s="47"/>
      <c r="E1993" s="48"/>
    </row>
    <row r="1994" ht="15.75" customHeight="1">
      <c r="A1994" s="48"/>
      <c r="B1994" s="48"/>
      <c r="C1994" s="48"/>
      <c r="D1994" s="47"/>
      <c r="E1994" s="48"/>
    </row>
    <row r="1995" ht="15.75" customHeight="1">
      <c r="A1995" s="48"/>
      <c r="B1995" s="48"/>
      <c r="C1995" s="48"/>
      <c r="D1995" s="47"/>
      <c r="E1995" s="48"/>
    </row>
    <row r="1996" ht="15.75" customHeight="1">
      <c r="A1996" s="48"/>
      <c r="B1996" s="48"/>
      <c r="C1996" s="48"/>
      <c r="D1996" s="47"/>
      <c r="E1996" s="48"/>
    </row>
    <row r="1997" ht="15.75" customHeight="1">
      <c r="A1997" s="48"/>
      <c r="B1997" s="48"/>
      <c r="C1997" s="48"/>
      <c r="D1997" s="47"/>
      <c r="E1997" s="48"/>
    </row>
    <row r="1998" ht="15.75" customHeight="1">
      <c r="A1998" s="48"/>
      <c r="B1998" s="48"/>
      <c r="C1998" s="48"/>
      <c r="D1998" s="47"/>
      <c r="E1998" s="48"/>
    </row>
    <row r="1999" ht="15.75" customHeight="1">
      <c r="A1999" s="48"/>
      <c r="B1999" s="48"/>
      <c r="C1999" s="48"/>
      <c r="D1999" s="47"/>
      <c r="E1999" s="48"/>
    </row>
    <row r="2000" ht="15.75" customHeight="1">
      <c r="A2000" s="48"/>
      <c r="B2000" s="48"/>
      <c r="C2000" s="48"/>
      <c r="D2000" s="47"/>
      <c r="E2000" s="48"/>
    </row>
    <row r="2001" ht="15.75" customHeight="1">
      <c r="A2001" s="48"/>
      <c r="B2001" s="48"/>
      <c r="C2001" s="48"/>
      <c r="D2001" s="47"/>
      <c r="E2001" s="48"/>
    </row>
    <row r="2002" ht="15.75" customHeight="1">
      <c r="A2002" s="48"/>
      <c r="B2002" s="48"/>
      <c r="C2002" s="48"/>
      <c r="D2002" s="47"/>
      <c r="E2002" s="48"/>
    </row>
    <row r="2003" ht="15.75" customHeight="1">
      <c r="A2003" s="48"/>
      <c r="B2003" s="48"/>
      <c r="C2003" s="48"/>
      <c r="D2003" s="47"/>
      <c r="E2003" s="48"/>
    </row>
    <row r="2004" ht="15.75" customHeight="1">
      <c r="A2004" s="48"/>
      <c r="B2004" s="48"/>
      <c r="C2004" s="48"/>
      <c r="D2004" s="47"/>
      <c r="E2004" s="48"/>
    </row>
    <row r="2005" ht="15.75" customHeight="1">
      <c r="A2005" s="48"/>
      <c r="B2005" s="48"/>
      <c r="C2005" s="48"/>
      <c r="D2005" s="47"/>
      <c r="E2005" s="48"/>
    </row>
    <row r="2006" ht="15.75" customHeight="1">
      <c r="A2006" s="48"/>
      <c r="B2006" s="48"/>
      <c r="C2006" s="48"/>
      <c r="D2006" s="47"/>
      <c r="E2006" s="48"/>
    </row>
    <row r="2007" ht="15.75" customHeight="1">
      <c r="A2007" s="48"/>
      <c r="B2007" s="48"/>
      <c r="C2007" s="48"/>
      <c r="D2007" s="47"/>
      <c r="E2007" s="48"/>
    </row>
    <row r="2008" ht="15.75" customHeight="1">
      <c r="A2008" s="48"/>
      <c r="B2008" s="48"/>
      <c r="C2008" s="48"/>
      <c r="D2008" s="47"/>
      <c r="E2008" s="48"/>
    </row>
    <row r="2009" ht="15.75" customHeight="1">
      <c r="A2009" s="48"/>
      <c r="B2009" s="48"/>
      <c r="C2009" s="48"/>
      <c r="D2009" s="47"/>
      <c r="E2009" s="48"/>
    </row>
    <row r="2010" ht="15.75" customHeight="1">
      <c r="A2010" s="48"/>
      <c r="B2010" s="48"/>
      <c r="C2010" s="48"/>
      <c r="D2010" s="47"/>
      <c r="E2010" s="48"/>
    </row>
    <row r="2011" ht="15.75" customHeight="1">
      <c r="A2011" s="48"/>
      <c r="B2011" s="48"/>
      <c r="C2011" s="48"/>
      <c r="D2011" s="47"/>
      <c r="E2011" s="48"/>
    </row>
    <row r="2012" ht="15.75" customHeight="1">
      <c r="A2012" s="48"/>
      <c r="B2012" s="48"/>
      <c r="C2012" s="48"/>
      <c r="D2012" s="47"/>
      <c r="E2012" s="48"/>
    </row>
    <row r="2013" ht="15.75" customHeight="1">
      <c r="A2013" s="48"/>
      <c r="B2013" s="48"/>
      <c r="C2013" s="48"/>
      <c r="D2013" s="47"/>
      <c r="E2013" s="48"/>
    </row>
    <row r="2014" ht="15.75" customHeight="1">
      <c r="A2014" s="48"/>
      <c r="B2014" s="48"/>
      <c r="C2014" s="48"/>
      <c r="D2014" s="47"/>
      <c r="E2014" s="48"/>
    </row>
    <row r="2015" ht="15.75" customHeight="1">
      <c r="A2015" s="48"/>
      <c r="B2015" s="48"/>
      <c r="C2015" s="48"/>
      <c r="D2015" s="47"/>
      <c r="E2015" s="48"/>
    </row>
    <row r="2016" ht="15.75" customHeight="1">
      <c r="A2016" s="48"/>
      <c r="B2016" s="48"/>
      <c r="C2016" s="48"/>
      <c r="D2016" s="47"/>
      <c r="E2016" s="48"/>
    </row>
    <row r="2017" ht="15.75" customHeight="1">
      <c r="A2017" s="48"/>
      <c r="B2017" s="48"/>
      <c r="C2017" s="48"/>
      <c r="D2017" s="47"/>
      <c r="E2017" s="48"/>
    </row>
    <row r="2018" ht="15.75" customHeight="1">
      <c r="A2018" s="48"/>
      <c r="B2018" s="48"/>
      <c r="C2018" s="48"/>
      <c r="D2018" s="47"/>
      <c r="E2018" s="48"/>
    </row>
    <row r="2019" ht="15.75" customHeight="1">
      <c r="A2019" s="48"/>
      <c r="B2019" s="48"/>
      <c r="C2019" s="48"/>
      <c r="D2019" s="47"/>
      <c r="E2019" s="48"/>
    </row>
    <row r="2020" ht="15.75" customHeight="1">
      <c r="A2020" s="48"/>
      <c r="B2020" s="48"/>
      <c r="C2020" s="48"/>
      <c r="D2020" s="47"/>
      <c r="E2020" s="48"/>
    </row>
    <row r="2021" ht="15.75" customHeight="1">
      <c r="A2021" s="48"/>
      <c r="B2021" s="48"/>
      <c r="C2021" s="48"/>
      <c r="D2021" s="47"/>
      <c r="E2021" s="48"/>
    </row>
    <row r="2022" ht="15.75" customHeight="1">
      <c r="A2022" s="48"/>
      <c r="B2022" s="48"/>
      <c r="C2022" s="48"/>
      <c r="D2022" s="47"/>
      <c r="E2022" s="48"/>
    </row>
    <row r="2023" ht="15.75" customHeight="1">
      <c r="A2023" s="48"/>
      <c r="B2023" s="48"/>
      <c r="C2023" s="48"/>
      <c r="D2023" s="47"/>
      <c r="E2023" s="48"/>
    </row>
    <row r="2024" ht="15.75" customHeight="1">
      <c r="A2024" s="48"/>
      <c r="B2024" s="48"/>
      <c r="C2024" s="48"/>
      <c r="D2024" s="47"/>
      <c r="E2024" s="48"/>
    </row>
    <row r="2025" ht="15.75" customHeight="1">
      <c r="A2025" s="48"/>
      <c r="B2025" s="48"/>
      <c r="C2025" s="48"/>
      <c r="D2025" s="47"/>
      <c r="E2025" s="48"/>
    </row>
    <row r="2026" ht="15.75" customHeight="1">
      <c r="A2026" s="48"/>
      <c r="B2026" s="48"/>
      <c r="C2026" s="48"/>
      <c r="D2026" s="47"/>
      <c r="E2026" s="48"/>
    </row>
    <row r="2027" ht="15.75" customHeight="1">
      <c r="A2027" s="48"/>
      <c r="B2027" s="48"/>
      <c r="C2027" s="48"/>
      <c r="D2027" s="47"/>
      <c r="E2027" s="48"/>
    </row>
    <row r="2028" ht="15.75" customHeight="1">
      <c r="A2028" s="48"/>
      <c r="B2028" s="48"/>
      <c r="C2028" s="48"/>
      <c r="D2028" s="47"/>
      <c r="E2028" s="48"/>
    </row>
    <row r="2029" ht="15.75" customHeight="1">
      <c r="A2029" s="48"/>
      <c r="B2029" s="48"/>
      <c r="C2029" s="48"/>
      <c r="D2029" s="47"/>
      <c r="E2029" s="48"/>
    </row>
    <row r="2030" ht="15.75" customHeight="1">
      <c r="A2030" s="48"/>
      <c r="B2030" s="48"/>
      <c r="C2030" s="48"/>
      <c r="D2030" s="47"/>
      <c r="E2030" s="48"/>
    </row>
    <row r="2031" ht="15.75" customHeight="1">
      <c r="A2031" s="48"/>
      <c r="B2031" s="48"/>
      <c r="C2031" s="48"/>
      <c r="D2031" s="47"/>
      <c r="E2031" s="48"/>
    </row>
    <row r="2032" ht="15.75" customHeight="1">
      <c r="A2032" s="48"/>
      <c r="B2032" s="48"/>
      <c r="C2032" s="48"/>
      <c r="D2032" s="47"/>
      <c r="E2032" s="48"/>
    </row>
    <row r="2033" ht="15.75" customHeight="1">
      <c r="A2033" s="48"/>
      <c r="B2033" s="48"/>
      <c r="C2033" s="48"/>
      <c r="D2033" s="47"/>
      <c r="E2033" s="48"/>
    </row>
    <row r="2034" ht="15.75" customHeight="1">
      <c r="A2034" s="48"/>
      <c r="B2034" s="48"/>
      <c r="C2034" s="48"/>
      <c r="D2034" s="47"/>
      <c r="E2034" s="48"/>
    </row>
    <row r="2035" ht="15.75" customHeight="1">
      <c r="A2035" s="48"/>
      <c r="B2035" s="48"/>
      <c r="C2035" s="48"/>
      <c r="D2035" s="47"/>
      <c r="E2035" s="48"/>
    </row>
    <row r="2036" ht="15.75" customHeight="1">
      <c r="A2036" s="48"/>
      <c r="B2036" s="48"/>
      <c r="C2036" s="48"/>
      <c r="D2036" s="47"/>
      <c r="E2036" s="48"/>
    </row>
    <row r="2037" ht="15.75" customHeight="1">
      <c r="A2037" s="48"/>
      <c r="B2037" s="48"/>
      <c r="C2037" s="48"/>
      <c r="D2037" s="47"/>
      <c r="E2037" s="48"/>
    </row>
    <row r="2038" ht="15.75" customHeight="1">
      <c r="A2038" s="48"/>
      <c r="B2038" s="48"/>
      <c r="C2038" s="48"/>
      <c r="D2038" s="47"/>
      <c r="E2038" s="48"/>
    </row>
    <row r="2039" ht="15.75" customHeight="1">
      <c r="A2039" s="48"/>
      <c r="B2039" s="48"/>
      <c r="C2039" s="48"/>
      <c r="D2039" s="47"/>
      <c r="E2039" s="48"/>
    </row>
    <row r="2040" ht="15.75" customHeight="1">
      <c r="A2040" s="48"/>
      <c r="B2040" s="48"/>
      <c r="C2040" s="48"/>
      <c r="D2040" s="47"/>
      <c r="E2040" s="48"/>
    </row>
    <row r="2041" ht="15.75" customHeight="1">
      <c r="A2041" s="48"/>
      <c r="B2041" s="48"/>
      <c r="C2041" s="48"/>
      <c r="D2041" s="47"/>
      <c r="E2041" s="48"/>
    </row>
    <row r="2042" ht="15.75" customHeight="1">
      <c r="A2042" s="48"/>
      <c r="B2042" s="48"/>
      <c r="C2042" s="48"/>
      <c r="D2042" s="47"/>
      <c r="E2042" s="48"/>
    </row>
    <row r="2043" ht="15.75" customHeight="1">
      <c r="A2043" s="48"/>
      <c r="B2043" s="48"/>
      <c r="C2043" s="48"/>
      <c r="D2043" s="47"/>
      <c r="E2043" s="48"/>
    </row>
    <row r="2044" ht="15.75" customHeight="1">
      <c r="A2044" s="48"/>
      <c r="B2044" s="48"/>
      <c r="C2044" s="48"/>
      <c r="D2044" s="47"/>
      <c r="E2044" s="48"/>
    </row>
    <row r="2045" ht="15.75" customHeight="1">
      <c r="A2045" s="48"/>
      <c r="B2045" s="48"/>
      <c r="C2045" s="48"/>
      <c r="D2045" s="47"/>
      <c r="E2045" s="48"/>
    </row>
    <row r="2046" ht="15.75" customHeight="1">
      <c r="A2046" s="48"/>
      <c r="B2046" s="48"/>
      <c r="C2046" s="48"/>
      <c r="D2046" s="47"/>
      <c r="E2046" s="48"/>
    </row>
    <row r="2047" ht="15.75" customHeight="1">
      <c r="A2047" s="48"/>
      <c r="B2047" s="48"/>
      <c r="C2047" s="48"/>
      <c r="D2047" s="47"/>
      <c r="E2047" s="48"/>
    </row>
    <row r="2048" ht="15.75" customHeight="1">
      <c r="A2048" s="48"/>
      <c r="B2048" s="48"/>
      <c r="C2048" s="48"/>
      <c r="D2048" s="47"/>
      <c r="E2048" s="48"/>
    </row>
    <row r="2049" ht="15.75" customHeight="1">
      <c r="A2049" s="48"/>
      <c r="B2049" s="48"/>
      <c r="C2049" s="48"/>
      <c r="D2049" s="47"/>
      <c r="E2049" s="48"/>
    </row>
    <row r="2050" ht="15.75" customHeight="1">
      <c r="A2050" s="48"/>
      <c r="B2050" s="48"/>
      <c r="C2050" s="48"/>
      <c r="D2050" s="47"/>
      <c r="E2050" s="48"/>
    </row>
    <row r="2051" ht="15.75" customHeight="1">
      <c r="A2051" s="48"/>
      <c r="B2051" s="48"/>
      <c r="C2051" s="48"/>
      <c r="D2051" s="47"/>
      <c r="E2051" s="48"/>
    </row>
    <row r="2052" ht="15.75" customHeight="1">
      <c r="A2052" s="48"/>
      <c r="B2052" s="48"/>
      <c r="C2052" s="48"/>
      <c r="D2052" s="47"/>
      <c r="E2052" s="48"/>
    </row>
    <row r="2053" ht="15.75" customHeight="1">
      <c r="A2053" s="48"/>
      <c r="B2053" s="48"/>
      <c r="C2053" s="48"/>
      <c r="D2053" s="47"/>
      <c r="E2053" s="48"/>
    </row>
    <row r="2054" ht="15.75" customHeight="1">
      <c r="A2054" s="48"/>
      <c r="B2054" s="48"/>
      <c r="C2054" s="48"/>
      <c r="D2054" s="47"/>
      <c r="E2054" s="48"/>
    </row>
    <row r="2055" ht="15.75" customHeight="1">
      <c r="A2055" s="48"/>
      <c r="B2055" s="48"/>
      <c r="C2055" s="48"/>
      <c r="D2055" s="47"/>
      <c r="E2055" s="48"/>
    </row>
    <row r="2056" ht="15.75" customHeight="1">
      <c r="A2056" s="48"/>
      <c r="B2056" s="48"/>
      <c r="C2056" s="48"/>
      <c r="D2056" s="47"/>
      <c r="E2056" s="48"/>
    </row>
    <row r="2057" ht="15.75" customHeight="1">
      <c r="A2057" s="48"/>
      <c r="B2057" s="48"/>
      <c r="C2057" s="48"/>
      <c r="D2057" s="47"/>
      <c r="E2057" s="48"/>
    </row>
    <row r="2058" ht="15.75" customHeight="1">
      <c r="A2058" s="48"/>
      <c r="B2058" s="48"/>
      <c r="C2058" s="48"/>
      <c r="D2058" s="47"/>
      <c r="E2058" s="48"/>
    </row>
    <row r="2059" ht="15.75" customHeight="1">
      <c r="A2059" s="48"/>
      <c r="B2059" s="48"/>
      <c r="C2059" s="48"/>
      <c r="D2059" s="47"/>
      <c r="E2059" s="48"/>
    </row>
    <row r="2060" ht="15.75" customHeight="1">
      <c r="A2060" s="48"/>
      <c r="B2060" s="48"/>
      <c r="C2060" s="48"/>
      <c r="D2060" s="47"/>
      <c r="E2060" s="48"/>
    </row>
    <row r="2061" ht="15.75" customHeight="1">
      <c r="A2061" s="48"/>
      <c r="B2061" s="48"/>
      <c r="C2061" s="48"/>
      <c r="D2061" s="47"/>
      <c r="E2061" s="48"/>
    </row>
    <row r="2062" ht="15.75" customHeight="1">
      <c r="A2062" s="48"/>
      <c r="B2062" s="48"/>
      <c r="C2062" s="48"/>
      <c r="D2062" s="47"/>
      <c r="E2062" s="48"/>
    </row>
    <row r="2063" ht="15.75" customHeight="1">
      <c r="A2063" s="48"/>
      <c r="B2063" s="48"/>
      <c r="C2063" s="48"/>
      <c r="D2063" s="47"/>
      <c r="E2063" s="48"/>
    </row>
    <row r="2064" ht="15.75" customHeight="1">
      <c r="A2064" s="48"/>
      <c r="B2064" s="48"/>
      <c r="C2064" s="48"/>
      <c r="D2064" s="47"/>
      <c r="E2064" s="48"/>
    </row>
    <row r="2065" ht="15.75" customHeight="1">
      <c r="A2065" s="48"/>
      <c r="B2065" s="48"/>
      <c r="C2065" s="48"/>
      <c r="D2065" s="47"/>
      <c r="E2065" s="48"/>
    </row>
    <row r="2066" ht="15.75" customHeight="1">
      <c r="A2066" s="48"/>
      <c r="B2066" s="48"/>
      <c r="C2066" s="48"/>
      <c r="D2066" s="47"/>
      <c r="E2066" s="48"/>
    </row>
    <row r="2067" ht="15.75" customHeight="1">
      <c r="A2067" s="48"/>
      <c r="B2067" s="48"/>
      <c r="C2067" s="48"/>
      <c r="D2067" s="47"/>
      <c r="E2067" s="48"/>
    </row>
    <row r="2068" ht="15.75" customHeight="1">
      <c r="A2068" s="48"/>
      <c r="B2068" s="48"/>
      <c r="C2068" s="48"/>
      <c r="D2068" s="47"/>
      <c r="E2068" s="48"/>
    </row>
    <row r="2069" ht="15.75" customHeight="1">
      <c r="A2069" s="48"/>
      <c r="B2069" s="48"/>
      <c r="C2069" s="48"/>
      <c r="D2069" s="47"/>
      <c r="E2069" s="48"/>
    </row>
    <row r="2070" ht="15.75" customHeight="1">
      <c r="A2070" s="48"/>
      <c r="B2070" s="48"/>
      <c r="C2070" s="48"/>
      <c r="D2070" s="47"/>
      <c r="E2070" s="48"/>
    </row>
    <row r="2071" ht="15.75" customHeight="1">
      <c r="A2071" s="48"/>
      <c r="B2071" s="48"/>
      <c r="C2071" s="48"/>
      <c r="D2071" s="47"/>
      <c r="E2071" s="48"/>
    </row>
    <row r="2072" ht="15.75" customHeight="1">
      <c r="A2072" s="48"/>
      <c r="B2072" s="48"/>
      <c r="C2072" s="48"/>
      <c r="D2072" s="47"/>
      <c r="E2072" s="48"/>
    </row>
    <row r="2073" ht="15.75" customHeight="1">
      <c r="A2073" s="48"/>
      <c r="B2073" s="48"/>
      <c r="C2073" s="48"/>
      <c r="D2073" s="47"/>
      <c r="E2073" s="48"/>
    </row>
    <row r="2074" ht="15.75" customHeight="1">
      <c r="A2074" s="48"/>
      <c r="B2074" s="48"/>
      <c r="C2074" s="48"/>
      <c r="D2074" s="47"/>
      <c r="E2074" s="48"/>
    </row>
    <row r="2075" ht="15.75" customHeight="1">
      <c r="A2075" s="48"/>
      <c r="B2075" s="48"/>
      <c r="C2075" s="48"/>
      <c r="D2075" s="47"/>
      <c r="E2075" s="48"/>
    </row>
    <row r="2076" ht="15.75" customHeight="1">
      <c r="A2076" s="48"/>
      <c r="B2076" s="48"/>
      <c r="C2076" s="48"/>
      <c r="D2076" s="47"/>
      <c r="E2076" s="48"/>
    </row>
    <row r="2077" ht="15.75" customHeight="1">
      <c r="A2077" s="48"/>
      <c r="B2077" s="48"/>
      <c r="C2077" s="48"/>
      <c r="D2077" s="47"/>
      <c r="E2077" s="48"/>
    </row>
    <row r="2078" ht="15.75" customHeight="1">
      <c r="A2078" s="48"/>
      <c r="B2078" s="48"/>
      <c r="C2078" s="48"/>
      <c r="D2078" s="47"/>
      <c r="E2078" s="48"/>
    </row>
    <row r="2079" ht="15.75" customHeight="1">
      <c r="A2079" s="48"/>
      <c r="B2079" s="48"/>
      <c r="C2079" s="48"/>
      <c r="D2079" s="47"/>
      <c r="E2079" s="48"/>
    </row>
    <row r="2080" ht="15.75" customHeight="1">
      <c r="A2080" s="48"/>
      <c r="B2080" s="48"/>
      <c r="C2080" s="48"/>
      <c r="D2080" s="47"/>
      <c r="E2080" s="48"/>
    </row>
    <row r="2081" ht="15.75" customHeight="1">
      <c r="A2081" s="48"/>
      <c r="B2081" s="48"/>
      <c r="C2081" s="48"/>
      <c r="D2081" s="47"/>
      <c r="E2081" s="48"/>
    </row>
    <row r="2082" ht="15.75" customHeight="1">
      <c r="A2082" s="48"/>
      <c r="B2082" s="48"/>
      <c r="C2082" s="48"/>
      <c r="D2082" s="47"/>
      <c r="E2082" s="48"/>
    </row>
    <row r="2083" ht="15.75" customHeight="1">
      <c r="A2083" s="48"/>
      <c r="B2083" s="48"/>
      <c r="C2083" s="48"/>
      <c r="D2083" s="47"/>
      <c r="E2083" s="48"/>
    </row>
    <row r="2084" ht="15.75" customHeight="1">
      <c r="A2084" s="48"/>
      <c r="B2084" s="48"/>
      <c r="C2084" s="48"/>
      <c r="D2084" s="47"/>
      <c r="E2084" s="48"/>
    </row>
    <row r="2085" ht="15.75" customHeight="1">
      <c r="A2085" s="48"/>
      <c r="B2085" s="48"/>
      <c r="C2085" s="48"/>
      <c r="D2085" s="47"/>
      <c r="E2085" s="48"/>
    </row>
    <row r="2086" ht="15.75" customHeight="1">
      <c r="A2086" s="48"/>
      <c r="B2086" s="48"/>
      <c r="C2086" s="48"/>
      <c r="D2086" s="47"/>
      <c r="E2086" s="48"/>
    </row>
    <row r="2087" ht="15.75" customHeight="1">
      <c r="A2087" s="48"/>
      <c r="B2087" s="48"/>
      <c r="C2087" s="48"/>
      <c r="D2087" s="47"/>
      <c r="E2087" s="48"/>
    </row>
    <row r="2088" ht="15.75" customHeight="1">
      <c r="A2088" s="48"/>
      <c r="B2088" s="48"/>
      <c r="C2088" s="48"/>
      <c r="D2088" s="47"/>
      <c r="E2088" s="48"/>
    </row>
    <row r="2089" ht="15.75" customHeight="1">
      <c r="A2089" s="48"/>
      <c r="B2089" s="48"/>
      <c r="C2089" s="48"/>
      <c r="D2089" s="47"/>
      <c r="E2089" s="48"/>
    </row>
    <row r="2090" ht="15.75" customHeight="1">
      <c r="A2090" s="48"/>
      <c r="B2090" s="48"/>
      <c r="C2090" s="48"/>
      <c r="D2090" s="47"/>
      <c r="E2090" s="48"/>
    </row>
    <row r="2091" ht="15.75" customHeight="1">
      <c r="A2091" s="48"/>
      <c r="B2091" s="48"/>
      <c r="C2091" s="48"/>
      <c r="D2091" s="47"/>
      <c r="E2091" s="48"/>
    </row>
    <row r="2092" ht="15.75" customHeight="1">
      <c r="A2092" s="48"/>
      <c r="B2092" s="48"/>
      <c r="C2092" s="48"/>
      <c r="D2092" s="47"/>
      <c r="E2092" s="48"/>
    </row>
    <row r="2093" ht="15.75" customHeight="1">
      <c r="A2093" s="48"/>
      <c r="B2093" s="48"/>
      <c r="C2093" s="48"/>
      <c r="D2093" s="47"/>
      <c r="E2093" s="48"/>
    </row>
    <row r="2094" ht="15.75" customHeight="1">
      <c r="A2094" s="48"/>
      <c r="B2094" s="48"/>
      <c r="C2094" s="48"/>
      <c r="D2094" s="47"/>
      <c r="E2094" s="48"/>
    </row>
    <row r="2095" ht="15.75" customHeight="1">
      <c r="A2095" s="48"/>
      <c r="B2095" s="48"/>
      <c r="C2095" s="48"/>
      <c r="D2095" s="47"/>
      <c r="E2095" s="48"/>
    </row>
    <row r="2096" ht="15.75" customHeight="1">
      <c r="A2096" s="48"/>
      <c r="B2096" s="48"/>
      <c r="C2096" s="48"/>
      <c r="D2096" s="47"/>
      <c r="E2096" s="48"/>
    </row>
    <row r="2097" ht="15.75" customHeight="1">
      <c r="A2097" s="48"/>
      <c r="B2097" s="48"/>
      <c r="C2097" s="48"/>
      <c r="D2097" s="47"/>
      <c r="E2097" s="48"/>
    </row>
    <row r="2098" ht="15.75" customHeight="1">
      <c r="A2098" s="48"/>
      <c r="B2098" s="48"/>
      <c r="C2098" s="48"/>
      <c r="D2098" s="47"/>
      <c r="E2098" s="48"/>
    </row>
    <row r="2099" ht="15.75" customHeight="1">
      <c r="A2099" s="48"/>
      <c r="B2099" s="48"/>
      <c r="C2099" s="48"/>
      <c r="D2099" s="47"/>
      <c r="E2099" s="48"/>
    </row>
    <row r="2100" ht="15.75" customHeight="1">
      <c r="A2100" s="48"/>
      <c r="B2100" s="48"/>
      <c r="C2100" s="48"/>
      <c r="D2100" s="47"/>
      <c r="E2100" s="48"/>
    </row>
    <row r="2101" ht="15.75" customHeight="1">
      <c r="A2101" s="48"/>
      <c r="B2101" s="48"/>
      <c r="C2101" s="48"/>
      <c r="D2101" s="47"/>
      <c r="E2101" s="48"/>
    </row>
    <row r="2102" ht="15.75" customHeight="1">
      <c r="A2102" s="48"/>
      <c r="B2102" s="48"/>
      <c r="C2102" s="48"/>
      <c r="D2102" s="47"/>
      <c r="E2102" s="48"/>
    </row>
    <row r="2103" ht="15.75" customHeight="1">
      <c r="A2103" s="48"/>
      <c r="B2103" s="48"/>
      <c r="C2103" s="48"/>
      <c r="D2103" s="47"/>
      <c r="E2103" s="48"/>
    </row>
    <row r="2104" ht="15.75" customHeight="1">
      <c r="A2104" s="48"/>
      <c r="B2104" s="48"/>
      <c r="C2104" s="48"/>
      <c r="D2104" s="47"/>
      <c r="E2104" s="48"/>
    </row>
    <row r="2105" ht="15.75" customHeight="1">
      <c r="A2105" s="48"/>
      <c r="B2105" s="48"/>
      <c r="C2105" s="48"/>
      <c r="D2105" s="47"/>
      <c r="E2105" s="48"/>
    </row>
    <row r="2106" ht="15.75" customHeight="1">
      <c r="A2106" s="48"/>
      <c r="B2106" s="48"/>
      <c r="C2106" s="48"/>
      <c r="D2106" s="47"/>
      <c r="E2106" s="48"/>
    </row>
    <row r="2107" ht="15.75" customHeight="1">
      <c r="A2107" s="48"/>
      <c r="B2107" s="48"/>
      <c r="C2107" s="48"/>
      <c r="D2107" s="47"/>
      <c r="E2107" s="48"/>
    </row>
    <row r="2108" ht="15.75" customHeight="1">
      <c r="A2108" s="48"/>
      <c r="B2108" s="48"/>
      <c r="C2108" s="48"/>
      <c r="D2108" s="47"/>
      <c r="E2108" s="48"/>
    </row>
    <row r="2109" ht="15.75" customHeight="1">
      <c r="A2109" s="48"/>
      <c r="B2109" s="48"/>
      <c r="C2109" s="48"/>
      <c r="D2109" s="47"/>
      <c r="E2109" s="48"/>
    </row>
    <row r="2110" ht="15.75" customHeight="1">
      <c r="A2110" s="48"/>
      <c r="B2110" s="48"/>
      <c r="C2110" s="48"/>
      <c r="D2110" s="47"/>
      <c r="E2110" s="48"/>
    </row>
    <row r="2111" ht="15.75" customHeight="1">
      <c r="A2111" s="48"/>
      <c r="B2111" s="48"/>
      <c r="C2111" s="48"/>
      <c r="D2111" s="47"/>
      <c r="E2111" s="48"/>
    </row>
    <row r="2112" ht="15.75" customHeight="1">
      <c r="A2112" s="48"/>
      <c r="B2112" s="48"/>
      <c r="C2112" s="48"/>
      <c r="D2112" s="47"/>
      <c r="E2112" s="48"/>
    </row>
    <row r="2113" ht="15.75" customHeight="1">
      <c r="A2113" s="48"/>
      <c r="B2113" s="48"/>
      <c r="C2113" s="48"/>
      <c r="D2113" s="47"/>
      <c r="E2113" s="48"/>
    </row>
    <row r="2114" ht="15.75" customHeight="1">
      <c r="A2114" s="48"/>
      <c r="B2114" s="48"/>
      <c r="C2114" s="48"/>
      <c r="D2114" s="47"/>
      <c r="E2114" s="48"/>
    </row>
    <row r="2115" ht="15.75" customHeight="1">
      <c r="A2115" s="48"/>
      <c r="B2115" s="48"/>
      <c r="C2115" s="48"/>
      <c r="D2115" s="47"/>
      <c r="E2115" s="48"/>
    </row>
    <row r="2116" ht="15.75" customHeight="1">
      <c r="A2116" s="48"/>
      <c r="B2116" s="48"/>
      <c r="C2116" s="48"/>
      <c r="D2116" s="47"/>
      <c r="E2116" s="48"/>
    </row>
    <row r="2117" ht="15.75" customHeight="1">
      <c r="A2117" s="48"/>
      <c r="B2117" s="48"/>
      <c r="C2117" s="48"/>
      <c r="D2117" s="47"/>
      <c r="E2117" s="48"/>
    </row>
    <row r="2118" ht="15.75" customHeight="1">
      <c r="A2118" s="48"/>
      <c r="B2118" s="48"/>
      <c r="C2118" s="48"/>
      <c r="D2118" s="47"/>
      <c r="E2118" s="48"/>
    </row>
    <row r="2119" ht="15.75" customHeight="1">
      <c r="A2119" s="48"/>
      <c r="B2119" s="48"/>
      <c r="C2119" s="48"/>
      <c r="D2119" s="47"/>
      <c r="E2119" s="48"/>
    </row>
    <row r="2120" ht="15.75" customHeight="1">
      <c r="A2120" s="48"/>
      <c r="B2120" s="48"/>
      <c r="C2120" s="48"/>
      <c r="D2120" s="47"/>
      <c r="E2120" s="48"/>
    </row>
    <row r="2121" ht="15.75" customHeight="1">
      <c r="A2121" s="48"/>
      <c r="B2121" s="48"/>
      <c r="C2121" s="48"/>
      <c r="D2121" s="47"/>
      <c r="E2121" s="48"/>
    </row>
    <row r="2122" ht="15.75" customHeight="1">
      <c r="A2122" s="48"/>
      <c r="B2122" s="48"/>
      <c r="C2122" s="48"/>
      <c r="D2122" s="47"/>
      <c r="E2122" s="48"/>
    </row>
    <row r="2123" ht="15.75" customHeight="1">
      <c r="A2123" s="48"/>
      <c r="B2123" s="48"/>
      <c r="C2123" s="48"/>
      <c r="D2123" s="47"/>
      <c r="E2123" s="48"/>
    </row>
    <row r="2124" ht="15.75" customHeight="1">
      <c r="A2124" s="48"/>
      <c r="B2124" s="48"/>
      <c r="C2124" s="48"/>
      <c r="D2124" s="47"/>
      <c r="E2124" s="48"/>
    </row>
    <row r="2125" ht="15.75" customHeight="1">
      <c r="A2125" s="48"/>
      <c r="B2125" s="48"/>
      <c r="C2125" s="48"/>
      <c r="D2125" s="47"/>
      <c r="E2125" s="48"/>
    </row>
    <row r="2126" ht="15.75" customHeight="1">
      <c r="A2126" s="48"/>
      <c r="B2126" s="48"/>
      <c r="C2126" s="48"/>
      <c r="D2126" s="47"/>
      <c r="E2126" s="48"/>
    </row>
    <row r="2127" ht="15.75" customHeight="1">
      <c r="A2127" s="48"/>
      <c r="B2127" s="48"/>
      <c r="C2127" s="48"/>
      <c r="D2127" s="47"/>
      <c r="E2127" s="48"/>
    </row>
    <row r="2128" ht="15.75" customHeight="1">
      <c r="A2128" s="48"/>
      <c r="B2128" s="48"/>
      <c r="C2128" s="48"/>
      <c r="D2128" s="47"/>
      <c r="E2128" s="48"/>
    </row>
    <row r="2129" ht="15.75" customHeight="1">
      <c r="A2129" s="48"/>
      <c r="B2129" s="48"/>
      <c r="C2129" s="48"/>
      <c r="D2129" s="47"/>
      <c r="E2129" s="48"/>
    </row>
    <row r="2130" ht="15.75" customHeight="1">
      <c r="A2130" s="48"/>
      <c r="B2130" s="48"/>
      <c r="C2130" s="48"/>
      <c r="D2130" s="47"/>
      <c r="E2130" s="48"/>
    </row>
    <row r="2131" ht="15.75" customHeight="1">
      <c r="A2131" s="48"/>
      <c r="B2131" s="48"/>
      <c r="C2131" s="48"/>
      <c r="D2131" s="47"/>
      <c r="E2131" s="48"/>
    </row>
    <row r="2132" ht="15.75" customHeight="1">
      <c r="A2132" s="48"/>
      <c r="B2132" s="48"/>
      <c r="C2132" s="48"/>
      <c r="D2132" s="47"/>
      <c r="E2132" s="48"/>
    </row>
    <row r="2133" ht="15.75" customHeight="1">
      <c r="A2133" s="48"/>
      <c r="B2133" s="48"/>
      <c r="C2133" s="48"/>
      <c r="D2133" s="47"/>
      <c r="E2133" s="48"/>
    </row>
    <row r="2134" ht="15.75" customHeight="1">
      <c r="A2134" s="48"/>
      <c r="B2134" s="48"/>
      <c r="C2134" s="48"/>
      <c r="D2134" s="47"/>
      <c r="E2134" s="48"/>
    </row>
    <row r="2135" ht="15.75" customHeight="1">
      <c r="A2135" s="48"/>
      <c r="B2135" s="48"/>
      <c r="C2135" s="48"/>
      <c r="D2135" s="47"/>
      <c r="E2135" s="48"/>
    </row>
    <row r="2136" ht="15.75" customHeight="1">
      <c r="A2136" s="48"/>
      <c r="B2136" s="48"/>
      <c r="C2136" s="48"/>
      <c r="D2136" s="47"/>
      <c r="E2136" s="48"/>
    </row>
    <row r="2137" ht="15.75" customHeight="1">
      <c r="A2137" s="48"/>
      <c r="B2137" s="48"/>
      <c r="C2137" s="48"/>
      <c r="D2137" s="47"/>
      <c r="E2137" s="48"/>
    </row>
    <row r="2138" ht="15.75" customHeight="1">
      <c r="A2138" s="48"/>
      <c r="B2138" s="48"/>
      <c r="C2138" s="48"/>
      <c r="D2138" s="47"/>
      <c r="E2138" s="48"/>
    </row>
    <row r="2139" ht="15.75" customHeight="1">
      <c r="A2139" s="48"/>
      <c r="B2139" s="48"/>
      <c r="C2139" s="48"/>
      <c r="D2139" s="47"/>
      <c r="E2139" s="48"/>
    </row>
    <row r="2140" ht="15.75" customHeight="1">
      <c r="A2140" s="48"/>
      <c r="B2140" s="48"/>
      <c r="C2140" s="48"/>
      <c r="D2140" s="47"/>
      <c r="E2140" s="48"/>
    </row>
    <row r="2141" ht="15.75" customHeight="1">
      <c r="A2141" s="48"/>
      <c r="B2141" s="48"/>
      <c r="C2141" s="48"/>
      <c r="D2141" s="47"/>
      <c r="E2141" s="48"/>
    </row>
    <row r="2142" ht="15.75" customHeight="1">
      <c r="A2142" s="48"/>
      <c r="B2142" s="48"/>
      <c r="C2142" s="48"/>
      <c r="D2142" s="47"/>
      <c r="E2142" s="48"/>
    </row>
    <row r="2143" ht="15.75" customHeight="1">
      <c r="A2143" s="48"/>
      <c r="B2143" s="48"/>
      <c r="C2143" s="48"/>
      <c r="D2143" s="47"/>
      <c r="E2143" s="48"/>
    </row>
    <row r="2144" ht="15.75" customHeight="1">
      <c r="A2144" s="48"/>
      <c r="B2144" s="48"/>
      <c r="C2144" s="48"/>
      <c r="D2144" s="47"/>
      <c r="E2144" s="48"/>
    </row>
    <row r="2145" ht="15.75" customHeight="1">
      <c r="A2145" s="48"/>
      <c r="B2145" s="48"/>
      <c r="C2145" s="48"/>
      <c r="D2145" s="47"/>
      <c r="E2145" s="48"/>
    </row>
    <row r="2146" ht="15.75" customHeight="1">
      <c r="A2146" s="48"/>
      <c r="B2146" s="48"/>
      <c r="C2146" s="48"/>
      <c r="D2146" s="47"/>
      <c r="E2146" s="48"/>
    </row>
    <row r="2147" ht="15.75" customHeight="1">
      <c r="A2147" s="48"/>
      <c r="B2147" s="48"/>
      <c r="C2147" s="48"/>
      <c r="D2147" s="47"/>
      <c r="E2147" s="48"/>
    </row>
    <row r="2148" ht="15.75" customHeight="1">
      <c r="A2148" s="48"/>
      <c r="B2148" s="48"/>
      <c r="C2148" s="48"/>
      <c r="D2148" s="47"/>
      <c r="E2148" s="48"/>
    </row>
    <row r="2149" ht="15.75" customHeight="1">
      <c r="A2149" s="48"/>
      <c r="B2149" s="48"/>
      <c r="C2149" s="48"/>
      <c r="D2149" s="47"/>
      <c r="E2149" s="48"/>
    </row>
    <row r="2150" ht="15.75" customHeight="1">
      <c r="A2150" s="48"/>
      <c r="B2150" s="48"/>
      <c r="C2150" s="48"/>
      <c r="D2150" s="47"/>
      <c r="E2150" s="48"/>
    </row>
    <row r="2151" ht="15.75" customHeight="1">
      <c r="A2151" s="48"/>
      <c r="B2151" s="48"/>
      <c r="C2151" s="48"/>
      <c r="D2151" s="47"/>
      <c r="E2151" s="48"/>
    </row>
    <row r="2152" ht="15.75" customHeight="1">
      <c r="A2152" s="48"/>
      <c r="B2152" s="48"/>
      <c r="C2152" s="48"/>
      <c r="D2152" s="47"/>
      <c r="E2152" s="48"/>
    </row>
    <row r="2153" ht="15.75" customHeight="1">
      <c r="A2153" s="48"/>
      <c r="B2153" s="48"/>
      <c r="C2153" s="48"/>
      <c r="D2153" s="47"/>
      <c r="E2153" s="48"/>
    </row>
    <row r="2154" ht="15.75" customHeight="1">
      <c r="A2154" s="48"/>
      <c r="B2154" s="48"/>
      <c r="C2154" s="48"/>
      <c r="D2154" s="47"/>
      <c r="E2154" s="48"/>
    </row>
    <row r="2155" ht="15.75" customHeight="1">
      <c r="A2155" s="48"/>
      <c r="B2155" s="48"/>
      <c r="C2155" s="48"/>
      <c r="D2155" s="47"/>
      <c r="E2155" s="48"/>
    </row>
    <row r="2156" ht="15.75" customHeight="1">
      <c r="A2156" s="48"/>
      <c r="B2156" s="48"/>
      <c r="C2156" s="48"/>
      <c r="D2156" s="47"/>
      <c r="E2156" s="48"/>
    </row>
    <row r="2157" ht="15.75" customHeight="1">
      <c r="A2157" s="48"/>
      <c r="B2157" s="48"/>
      <c r="C2157" s="48"/>
      <c r="D2157" s="47"/>
      <c r="E2157" s="48"/>
    </row>
    <row r="2158" ht="15.75" customHeight="1">
      <c r="A2158" s="48"/>
      <c r="B2158" s="48"/>
      <c r="C2158" s="48"/>
      <c r="D2158" s="47"/>
      <c r="E2158" s="48"/>
    </row>
    <row r="2159" ht="15.75" customHeight="1">
      <c r="A2159" s="48"/>
      <c r="B2159" s="48"/>
      <c r="C2159" s="48"/>
      <c r="D2159" s="47"/>
      <c r="E2159" s="48"/>
    </row>
    <row r="2160" ht="15.75" customHeight="1">
      <c r="A2160" s="48"/>
      <c r="B2160" s="48"/>
      <c r="C2160" s="48"/>
      <c r="D2160" s="47"/>
      <c r="E2160" s="48"/>
    </row>
    <row r="2161" ht="15.75" customHeight="1">
      <c r="A2161" s="48"/>
      <c r="B2161" s="48"/>
      <c r="C2161" s="48"/>
      <c r="D2161" s="47"/>
      <c r="E2161" s="48"/>
    </row>
    <row r="2162" ht="15.75" customHeight="1">
      <c r="A2162" s="48"/>
      <c r="B2162" s="48"/>
      <c r="C2162" s="48"/>
      <c r="D2162" s="47"/>
      <c r="E2162" s="48"/>
    </row>
    <row r="2163" ht="15.75" customHeight="1">
      <c r="A2163" s="48"/>
      <c r="B2163" s="48"/>
      <c r="C2163" s="48"/>
      <c r="D2163" s="47"/>
      <c r="E2163" s="48"/>
    </row>
    <row r="2164" ht="15.75" customHeight="1">
      <c r="A2164" s="48"/>
      <c r="B2164" s="48"/>
      <c r="C2164" s="48"/>
      <c r="D2164" s="47"/>
      <c r="E2164" s="48"/>
    </row>
    <row r="2165" ht="15.75" customHeight="1">
      <c r="A2165" s="48"/>
      <c r="B2165" s="48"/>
      <c r="C2165" s="48"/>
      <c r="D2165" s="47"/>
      <c r="E2165" s="48"/>
    </row>
    <row r="2166" ht="15.75" customHeight="1">
      <c r="A2166" s="48"/>
      <c r="B2166" s="48"/>
      <c r="C2166" s="48"/>
      <c r="D2166" s="47"/>
      <c r="E2166" s="48"/>
    </row>
    <row r="2167" ht="15.75" customHeight="1">
      <c r="A2167" s="48"/>
      <c r="B2167" s="48"/>
      <c r="C2167" s="48"/>
      <c r="D2167" s="47"/>
      <c r="E2167" s="48"/>
    </row>
    <row r="2168" ht="15.75" customHeight="1">
      <c r="A2168" s="48"/>
      <c r="B2168" s="48"/>
      <c r="C2168" s="48"/>
      <c r="D2168" s="47"/>
      <c r="E2168" s="48"/>
    </row>
    <row r="2169" ht="15.75" customHeight="1">
      <c r="A2169" s="48"/>
      <c r="B2169" s="48"/>
      <c r="C2169" s="48"/>
      <c r="D2169" s="47"/>
      <c r="E2169" s="48"/>
    </row>
    <row r="2170" ht="15.75" customHeight="1">
      <c r="A2170" s="48"/>
      <c r="B2170" s="48"/>
      <c r="C2170" s="48"/>
      <c r="D2170" s="47"/>
      <c r="E2170" s="48"/>
    </row>
    <row r="2171" ht="15.75" customHeight="1">
      <c r="A2171" s="48"/>
      <c r="B2171" s="48"/>
      <c r="C2171" s="48"/>
      <c r="D2171" s="47"/>
      <c r="E2171" s="48"/>
    </row>
    <row r="2172" ht="15.75" customHeight="1">
      <c r="A2172" s="48"/>
      <c r="B2172" s="48"/>
      <c r="C2172" s="48"/>
      <c r="D2172" s="47"/>
      <c r="E2172" s="48"/>
    </row>
    <row r="2173" ht="15.75" customHeight="1">
      <c r="A2173" s="48"/>
      <c r="B2173" s="48"/>
      <c r="C2173" s="48"/>
      <c r="D2173" s="47"/>
      <c r="E2173" s="48"/>
    </row>
    <row r="2174" ht="15.75" customHeight="1">
      <c r="A2174" s="48"/>
      <c r="B2174" s="48"/>
      <c r="C2174" s="48"/>
      <c r="D2174" s="47"/>
      <c r="E2174" s="48"/>
    </row>
    <row r="2175" ht="15.75" customHeight="1">
      <c r="A2175" s="48"/>
      <c r="B2175" s="48"/>
      <c r="C2175" s="48"/>
      <c r="D2175" s="47"/>
      <c r="E2175" s="48"/>
    </row>
    <row r="2176" ht="15.75" customHeight="1">
      <c r="A2176" s="48"/>
      <c r="B2176" s="48"/>
      <c r="C2176" s="48"/>
      <c r="D2176" s="47"/>
      <c r="E2176" s="48"/>
    </row>
    <row r="2177" ht="15.75" customHeight="1">
      <c r="A2177" s="48"/>
      <c r="B2177" s="48"/>
      <c r="C2177" s="48"/>
      <c r="D2177" s="47"/>
      <c r="E2177" s="48"/>
    </row>
    <row r="2178" ht="15.75" customHeight="1">
      <c r="A2178" s="48"/>
      <c r="B2178" s="48"/>
      <c r="C2178" s="48"/>
      <c r="D2178" s="47"/>
      <c r="E2178" s="48"/>
    </row>
    <row r="2179" ht="15.75" customHeight="1">
      <c r="A2179" s="48"/>
      <c r="B2179" s="48"/>
      <c r="C2179" s="48"/>
      <c r="D2179" s="47"/>
      <c r="E2179" s="48"/>
    </row>
    <row r="2180" ht="15.75" customHeight="1">
      <c r="A2180" s="48"/>
      <c r="B2180" s="48"/>
      <c r="C2180" s="48"/>
      <c r="D2180" s="47"/>
      <c r="E2180" s="48"/>
    </row>
    <row r="2181" ht="15.75" customHeight="1">
      <c r="A2181" s="48"/>
      <c r="B2181" s="48"/>
      <c r="C2181" s="48"/>
      <c r="D2181" s="47"/>
      <c r="E2181" s="48"/>
    </row>
    <row r="2182" ht="15.75" customHeight="1">
      <c r="A2182" s="48"/>
      <c r="B2182" s="48"/>
      <c r="C2182" s="48"/>
      <c r="D2182" s="47"/>
      <c r="E2182" s="48"/>
    </row>
    <row r="2183" ht="15.75" customHeight="1">
      <c r="A2183" s="48"/>
      <c r="B2183" s="48"/>
      <c r="C2183" s="48"/>
      <c r="D2183" s="47"/>
      <c r="E2183" s="48"/>
    </row>
    <row r="2184" ht="15.75" customHeight="1">
      <c r="A2184" s="48"/>
      <c r="B2184" s="48"/>
      <c r="C2184" s="48"/>
      <c r="D2184" s="47"/>
      <c r="E2184" s="48"/>
    </row>
    <row r="2185" ht="15.75" customHeight="1">
      <c r="A2185" s="48"/>
      <c r="B2185" s="48"/>
      <c r="C2185" s="48"/>
      <c r="D2185" s="47"/>
      <c r="E2185" s="48"/>
    </row>
    <row r="2186" ht="15.75" customHeight="1">
      <c r="A2186" s="48"/>
      <c r="B2186" s="48"/>
      <c r="C2186" s="48"/>
      <c r="D2186" s="47"/>
      <c r="E2186" s="48"/>
    </row>
    <row r="2187" ht="15.75" customHeight="1">
      <c r="A2187" s="48"/>
      <c r="B2187" s="48"/>
      <c r="C2187" s="48"/>
      <c r="D2187" s="47"/>
      <c r="E2187" s="48"/>
    </row>
    <row r="2188" ht="15.75" customHeight="1">
      <c r="A2188" s="48"/>
      <c r="B2188" s="48"/>
      <c r="C2188" s="48"/>
      <c r="D2188" s="47"/>
      <c r="E2188" s="48"/>
    </row>
    <row r="2189" ht="15.75" customHeight="1">
      <c r="A2189" s="48"/>
      <c r="B2189" s="48"/>
      <c r="C2189" s="48"/>
      <c r="D2189" s="47"/>
      <c r="E2189" s="48"/>
    </row>
    <row r="2190" ht="15.75" customHeight="1">
      <c r="A2190" s="48"/>
      <c r="B2190" s="48"/>
      <c r="C2190" s="48"/>
      <c r="D2190" s="47"/>
      <c r="E2190" s="48"/>
    </row>
    <row r="2191" ht="15.75" customHeight="1">
      <c r="A2191" s="48"/>
      <c r="B2191" s="48"/>
      <c r="C2191" s="48"/>
      <c r="D2191" s="47"/>
      <c r="E2191" s="48"/>
    </row>
    <row r="2192" ht="15.75" customHeight="1">
      <c r="A2192" s="48"/>
      <c r="B2192" s="48"/>
      <c r="C2192" s="48"/>
      <c r="D2192" s="47"/>
      <c r="E2192" s="48"/>
    </row>
    <row r="2193" ht="15.75" customHeight="1">
      <c r="A2193" s="48"/>
      <c r="B2193" s="48"/>
      <c r="C2193" s="48"/>
      <c r="D2193" s="47"/>
      <c r="E2193" s="48"/>
    </row>
    <row r="2194" ht="15.75" customHeight="1">
      <c r="A2194" s="48"/>
      <c r="B2194" s="48"/>
      <c r="C2194" s="48"/>
      <c r="D2194" s="47"/>
      <c r="E2194" s="48"/>
    </row>
    <row r="2195" ht="15.75" customHeight="1">
      <c r="A2195" s="48"/>
      <c r="B2195" s="48"/>
      <c r="C2195" s="48"/>
      <c r="D2195" s="47"/>
      <c r="E2195" s="48"/>
    </row>
    <row r="2196" ht="15.75" customHeight="1">
      <c r="A2196" s="48"/>
      <c r="B2196" s="48"/>
      <c r="C2196" s="48"/>
      <c r="D2196" s="47"/>
      <c r="E2196" s="48"/>
    </row>
    <row r="2197" ht="15.75" customHeight="1">
      <c r="A2197" s="48"/>
      <c r="B2197" s="48"/>
      <c r="C2197" s="48"/>
      <c r="D2197" s="47"/>
      <c r="E2197" s="48"/>
    </row>
    <row r="2198" ht="15.75" customHeight="1">
      <c r="A2198" s="48"/>
      <c r="B2198" s="48"/>
      <c r="C2198" s="48"/>
      <c r="D2198" s="47"/>
      <c r="E2198" s="48"/>
    </row>
    <row r="2199" ht="15.75" customHeight="1">
      <c r="A2199" s="48"/>
      <c r="B2199" s="48"/>
      <c r="C2199" s="48"/>
      <c r="D2199" s="47"/>
      <c r="E2199" s="48"/>
    </row>
    <row r="2200" ht="15.75" customHeight="1">
      <c r="A2200" s="48"/>
      <c r="B2200" s="48"/>
      <c r="C2200" s="48"/>
      <c r="D2200" s="47"/>
      <c r="E2200" s="48"/>
    </row>
    <row r="2201" ht="15.75" customHeight="1">
      <c r="A2201" s="48"/>
      <c r="B2201" s="48"/>
      <c r="C2201" s="48"/>
      <c r="D2201" s="47"/>
      <c r="E2201" s="48"/>
    </row>
    <row r="2202" ht="15.75" customHeight="1">
      <c r="A2202" s="48"/>
      <c r="B2202" s="48"/>
      <c r="C2202" s="48"/>
      <c r="D2202" s="47"/>
      <c r="E2202" s="48"/>
    </row>
    <row r="2203" ht="15.75" customHeight="1">
      <c r="A2203" s="48"/>
      <c r="B2203" s="48"/>
      <c r="C2203" s="48"/>
      <c r="D2203" s="47"/>
      <c r="E2203" s="48"/>
    </row>
    <row r="2204" ht="15.75" customHeight="1">
      <c r="A2204" s="48"/>
      <c r="B2204" s="48"/>
      <c r="C2204" s="48"/>
      <c r="D2204" s="47"/>
      <c r="E2204" s="48"/>
    </row>
    <row r="2205" ht="15.75" customHeight="1">
      <c r="A2205" s="48"/>
      <c r="B2205" s="48"/>
      <c r="C2205" s="48"/>
      <c r="D2205" s="47"/>
      <c r="E2205" s="48"/>
    </row>
    <row r="2206" ht="15.75" customHeight="1">
      <c r="A2206" s="48"/>
      <c r="B2206" s="48"/>
      <c r="C2206" s="48"/>
      <c r="D2206" s="47"/>
      <c r="E2206" s="48"/>
    </row>
    <row r="2207" ht="15.75" customHeight="1">
      <c r="A2207" s="48"/>
      <c r="B2207" s="48"/>
      <c r="C2207" s="48"/>
      <c r="D2207" s="47"/>
      <c r="E2207" s="48"/>
    </row>
    <row r="2208" ht="15.75" customHeight="1">
      <c r="A2208" s="48"/>
      <c r="B2208" s="48"/>
      <c r="C2208" s="48"/>
      <c r="D2208" s="47"/>
      <c r="E2208" s="48"/>
    </row>
    <row r="2209" ht="15.75" customHeight="1">
      <c r="A2209" s="48"/>
      <c r="B2209" s="48"/>
      <c r="C2209" s="48"/>
      <c r="D2209" s="47"/>
      <c r="E2209" s="48"/>
    </row>
    <row r="2210" ht="15.75" customHeight="1">
      <c r="A2210" s="48"/>
      <c r="B2210" s="48"/>
      <c r="C2210" s="48"/>
      <c r="D2210" s="47"/>
      <c r="E2210" s="48"/>
    </row>
    <row r="2211" ht="15.75" customHeight="1">
      <c r="A2211" s="48"/>
      <c r="B2211" s="48"/>
      <c r="C2211" s="48"/>
      <c r="D2211" s="47"/>
      <c r="E2211" s="48"/>
    </row>
    <row r="2212" ht="15.75" customHeight="1">
      <c r="A2212" s="48"/>
      <c r="B2212" s="48"/>
      <c r="C2212" s="48"/>
      <c r="D2212" s="47"/>
      <c r="E2212" s="48"/>
    </row>
    <row r="2213" ht="15.75" customHeight="1">
      <c r="A2213" s="48"/>
      <c r="B2213" s="48"/>
      <c r="C2213" s="48"/>
      <c r="D2213" s="47"/>
      <c r="E2213" s="48"/>
    </row>
    <row r="2214" ht="15.75" customHeight="1">
      <c r="A2214" s="48"/>
      <c r="B2214" s="48"/>
      <c r="C2214" s="48"/>
      <c r="D2214" s="47"/>
      <c r="E2214" s="48"/>
    </row>
    <row r="2215" ht="15.75" customHeight="1">
      <c r="A2215" s="48"/>
      <c r="B2215" s="48"/>
      <c r="C2215" s="48"/>
      <c r="D2215" s="47"/>
      <c r="E2215" s="48"/>
    </row>
    <row r="2216" ht="15.75" customHeight="1">
      <c r="A2216" s="48"/>
      <c r="B2216" s="48"/>
      <c r="C2216" s="48"/>
      <c r="D2216" s="47"/>
      <c r="E2216" s="48"/>
    </row>
    <row r="2217" ht="15.75" customHeight="1">
      <c r="A2217" s="48"/>
      <c r="B2217" s="48"/>
      <c r="C2217" s="48"/>
      <c r="D2217" s="47"/>
      <c r="E2217" s="48"/>
    </row>
    <row r="2218" ht="15.75" customHeight="1">
      <c r="A2218" s="48"/>
      <c r="B2218" s="48"/>
      <c r="C2218" s="48"/>
      <c r="D2218" s="47"/>
      <c r="E2218" s="48"/>
    </row>
    <row r="2219" ht="15.75" customHeight="1">
      <c r="A2219" s="48"/>
      <c r="B2219" s="48"/>
      <c r="C2219" s="48"/>
      <c r="D2219" s="47"/>
      <c r="E2219" s="48"/>
    </row>
    <row r="2220" ht="15.75" customHeight="1">
      <c r="A2220" s="48"/>
      <c r="B2220" s="48"/>
      <c r="C2220" s="48"/>
      <c r="D2220" s="47"/>
      <c r="E2220" s="48"/>
    </row>
    <row r="2221" ht="15.75" customHeight="1">
      <c r="A2221" s="48"/>
      <c r="B2221" s="48"/>
      <c r="C2221" s="48"/>
      <c r="D2221" s="47"/>
      <c r="E2221" s="48"/>
    </row>
    <row r="2222" ht="15.75" customHeight="1">
      <c r="A2222" s="48"/>
      <c r="B2222" s="48"/>
      <c r="C2222" s="48"/>
      <c r="D2222" s="47"/>
      <c r="E2222" s="48"/>
    </row>
    <row r="2223" ht="15.75" customHeight="1">
      <c r="A2223" s="48"/>
      <c r="B2223" s="48"/>
      <c r="C2223" s="48"/>
      <c r="D2223" s="47"/>
      <c r="E2223" s="48"/>
    </row>
    <row r="2224" ht="15.75" customHeight="1">
      <c r="A2224" s="48"/>
      <c r="B2224" s="48"/>
      <c r="C2224" s="48"/>
      <c r="D2224" s="47"/>
      <c r="E2224" s="48"/>
    </row>
    <row r="2225" ht="15.75" customHeight="1">
      <c r="A2225" s="48"/>
      <c r="B2225" s="48"/>
      <c r="C2225" s="48"/>
      <c r="D2225" s="47"/>
      <c r="E2225" s="48"/>
    </row>
    <row r="2226" ht="15.75" customHeight="1">
      <c r="A2226" s="48"/>
      <c r="B2226" s="48"/>
      <c r="C2226" s="48"/>
      <c r="D2226" s="47"/>
      <c r="E2226" s="48"/>
    </row>
    <row r="2227" ht="15.75" customHeight="1">
      <c r="A2227" s="48"/>
      <c r="B2227" s="48"/>
      <c r="C2227" s="48"/>
      <c r="D2227" s="47"/>
      <c r="E2227" s="48"/>
    </row>
    <row r="2228" ht="15.75" customHeight="1">
      <c r="A2228" s="48"/>
      <c r="B2228" s="48"/>
      <c r="C2228" s="48"/>
      <c r="D2228" s="47"/>
      <c r="E2228" s="48"/>
    </row>
    <row r="2229" ht="15.75" customHeight="1">
      <c r="A2229" s="48"/>
      <c r="B2229" s="48"/>
      <c r="C2229" s="48"/>
      <c r="D2229" s="47"/>
      <c r="E2229" s="48"/>
    </row>
    <row r="2230" ht="15.75" customHeight="1">
      <c r="A2230" s="48"/>
      <c r="B2230" s="48"/>
      <c r="C2230" s="48"/>
      <c r="D2230" s="47"/>
      <c r="E2230" s="48"/>
    </row>
    <row r="2231" ht="15.75" customHeight="1">
      <c r="A2231" s="48"/>
      <c r="B2231" s="48"/>
      <c r="C2231" s="48"/>
      <c r="D2231" s="47"/>
      <c r="E2231" s="48"/>
    </row>
    <row r="2232" ht="15.75" customHeight="1">
      <c r="A2232" s="48"/>
      <c r="B2232" s="48"/>
      <c r="C2232" s="48"/>
      <c r="D2232" s="47"/>
      <c r="E2232" s="48"/>
    </row>
    <row r="2233" ht="15.75" customHeight="1">
      <c r="A2233" s="48"/>
      <c r="B2233" s="48"/>
      <c r="C2233" s="48"/>
      <c r="D2233" s="47"/>
      <c r="E2233" s="48"/>
    </row>
    <row r="2234" ht="15.75" customHeight="1">
      <c r="A2234" s="48"/>
      <c r="B2234" s="48"/>
      <c r="C2234" s="48"/>
      <c r="D2234" s="47"/>
      <c r="E2234" s="48"/>
    </row>
    <row r="2235" ht="15.75" customHeight="1">
      <c r="A2235" s="48"/>
      <c r="B2235" s="48"/>
      <c r="C2235" s="48"/>
      <c r="D2235" s="47"/>
      <c r="E2235" s="48"/>
    </row>
    <row r="2236" ht="15.75" customHeight="1">
      <c r="A2236" s="48"/>
      <c r="B2236" s="48"/>
      <c r="C2236" s="48"/>
      <c r="D2236" s="47"/>
      <c r="E2236" s="48"/>
    </row>
    <row r="2237" ht="15.75" customHeight="1">
      <c r="A2237" s="48"/>
      <c r="B2237" s="48"/>
      <c r="C2237" s="48"/>
      <c r="D2237" s="47"/>
      <c r="E2237" s="48"/>
    </row>
    <row r="2238" ht="15.75" customHeight="1">
      <c r="A2238" s="48"/>
      <c r="B2238" s="48"/>
      <c r="C2238" s="48"/>
      <c r="D2238" s="47"/>
      <c r="E2238" s="48"/>
    </row>
    <row r="2239" ht="15.75" customHeight="1">
      <c r="A2239" s="48"/>
      <c r="B2239" s="48"/>
      <c r="C2239" s="48"/>
      <c r="D2239" s="47"/>
      <c r="E2239" s="48"/>
    </row>
    <row r="2240" ht="15.75" customHeight="1">
      <c r="A2240" s="48"/>
      <c r="B2240" s="48"/>
      <c r="C2240" s="48"/>
      <c r="D2240" s="47"/>
      <c r="E2240" s="48"/>
    </row>
    <row r="2241" ht="15.75" customHeight="1">
      <c r="A2241" s="48"/>
      <c r="B2241" s="48"/>
      <c r="C2241" s="48"/>
      <c r="D2241" s="47"/>
      <c r="E2241" s="48"/>
    </row>
    <row r="2242" ht="15.75" customHeight="1">
      <c r="A2242" s="48"/>
      <c r="B2242" s="48"/>
      <c r="C2242" s="48"/>
      <c r="D2242" s="47"/>
      <c r="E2242" s="48"/>
    </row>
    <row r="2243" ht="15.75" customHeight="1">
      <c r="A2243" s="48"/>
      <c r="B2243" s="48"/>
      <c r="C2243" s="48"/>
      <c r="D2243" s="47"/>
      <c r="E2243" s="48"/>
    </row>
    <row r="2244" ht="15.75" customHeight="1">
      <c r="A2244" s="48"/>
      <c r="B2244" s="48"/>
      <c r="C2244" s="48"/>
      <c r="D2244" s="47"/>
      <c r="E2244" s="48"/>
    </row>
    <row r="2245" ht="15.75" customHeight="1">
      <c r="A2245" s="48"/>
      <c r="B2245" s="48"/>
      <c r="C2245" s="48"/>
      <c r="D2245" s="47"/>
      <c r="E2245" s="48"/>
    </row>
    <row r="2246" ht="15.75" customHeight="1">
      <c r="A2246" s="48"/>
      <c r="B2246" s="48"/>
      <c r="C2246" s="48"/>
      <c r="D2246" s="47"/>
      <c r="E2246" s="48"/>
    </row>
    <row r="2247" ht="15.75" customHeight="1">
      <c r="A2247" s="48"/>
      <c r="B2247" s="48"/>
      <c r="C2247" s="48"/>
      <c r="D2247" s="47"/>
      <c r="E2247" s="48"/>
    </row>
    <row r="2248" ht="15.75" customHeight="1">
      <c r="A2248" s="48"/>
      <c r="B2248" s="48"/>
      <c r="C2248" s="48"/>
      <c r="D2248" s="47"/>
      <c r="E2248" s="48"/>
    </row>
    <row r="2249" ht="15.75" customHeight="1">
      <c r="A2249" s="48"/>
      <c r="B2249" s="48"/>
      <c r="C2249" s="48"/>
      <c r="D2249" s="47"/>
      <c r="E2249" s="48"/>
    </row>
    <row r="2250" ht="15.75" customHeight="1">
      <c r="A2250" s="48"/>
      <c r="B2250" s="48"/>
      <c r="C2250" s="48"/>
      <c r="D2250" s="47"/>
      <c r="E2250" s="48"/>
    </row>
    <row r="2251" ht="15.75" customHeight="1">
      <c r="A2251" s="48"/>
      <c r="B2251" s="48"/>
      <c r="C2251" s="48"/>
      <c r="D2251" s="47"/>
      <c r="E2251" s="48"/>
    </row>
    <row r="2252" ht="15.75" customHeight="1">
      <c r="A2252" s="48"/>
      <c r="B2252" s="48"/>
      <c r="C2252" s="48"/>
      <c r="D2252" s="47"/>
      <c r="E2252" s="48"/>
    </row>
    <row r="2253" ht="15.75" customHeight="1">
      <c r="A2253" s="48"/>
      <c r="B2253" s="48"/>
      <c r="C2253" s="48"/>
      <c r="D2253" s="47"/>
      <c r="E2253" s="48"/>
    </row>
    <row r="2254" ht="15.75" customHeight="1">
      <c r="A2254" s="48"/>
      <c r="B2254" s="48"/>
      <c r="C2254" s="48"/>
      <c r="D2254" s="47"/>
      <c r="E2254" s="48"/>
    </row>
    <row r="2255" ht="15.75" customHeight="1">
      <c r="A2255" s="48"/>
      <c r="B2255" s="48"/>
      <c r="C2255" s="48"/>
      <c r="D2255" s="47"/>
      <c r="E2255" s="48"/>
    </row>
    <row r="2256" ht="15.75" customHeight="1">
      <c r="A2256" s="48"/>
      <c r="B2256" s="48"/>
      <c r="C2256" s="48"/>
      <c r="D2256" s="47"/>
      <c r="E2256" s="48"/>
    </row>
    <row r="2257" ht="15.75" customHeight="1">
      <c r="A2257" s="48"/>
      <c r="B2257" s="48"/>
      <c r="C2257" s="48"/>
      <c r="D2257" s="47"/>
      <c r="E2257" s="48"/>
    </row>
    <row r="2258" ht="15.75" customHeight="1">
      <c r="A2258" s="48"/>
      <c r="B2258" s="48"/>
      <c r="C2258" s="48"/>
      <c r="D2258" s="47"/>
      <c r="E2258" s="48"/>
    </row>
    <row r="2259" ht="15.75" customHeight="1">
      <c r="A2259" s="48"/>
      <c r="B2259" s="48"/>
      <c r="C2259" s="48"/>
      <c r="D2259" s="47"/>
      <c r="E2259" s="48"/>
    </row>
    <row r="2260" ht="15.75" customHeight="1">
      <c r="A2260" s="48"/>
      <c r="B2260" s="48"/>
      <c r="C2260" s="48"/>
      <c r="D2260" s="47"/>
      <c r="E2260" s="48"/>
    </row>
    <row r="2261" ht="15.75" customHeight="1">
      <c r="A2261" s="48"/>
      <c r="B2261" s="48"/>
      <c r="C2261" s="48"/>
      <c r="D2261" s="47"/>
      <c r="E2261" s="48"/>
    </row>
    <row r="2262" ht="15.75" customHeight="1">
      <c r="A2262" s="48"/>
      <c r="B2262" s="48"/>
      <c r="C2262" s="48"/>
      <c r="D2262" s="47"/>
      <c r="E2262" s="48"/>
    </row>
    <row r="2263" ht="15.75" customHeight="1">
      <c r="A2263" s="48"/>
      <c r="B2263" s="48"/>
      <c r="C2263" s="48"/>
      <c r="D2263" s="47"/>
      <c r="E2263" s="48"/>
    </row>
    <row r="2264" ht="15.75" customHeight="1">
      <c r="A2264" s="48"/>
      <c r="B2264" s="48"/>
      <c r="C2264" s="48"/>
      <c r="D2264" s="47"/>
      <c r="E2264" s="48"/>
    </row>
    <row r="2265" ht="15.75" customHeight="1">
      <c r="A2265" s="48"/>
      <c r="B2265" s="48"/>
      <c r="C2265" s="48"/>
      <c r="D2265" s="47"/>
      <c r="E2265" s="48"/>
    </row>
    <row r="2266" ht="15.75" customHeight="1">
      <c r="A2266" s="48"/>
      <c r="B2266" s="48"/>
      <c r="C2266" s="48"/>
      <c r="D2266" s="47"/>
      <c r="E2266" s="48"/>
    </row>
    <row r="2267" ht="15.75" customHeight="1">
      <c r="A2267" s="48"/>
      <c r="B2267" s="48"/>
      <c r="C2267" s="48"/>
      <c r="D2267" s="47"/>
      <c r="E2267" s="48"/>
    </row>
    <row r="2268" ht="15.75" customHeight="1">
      <c r="A2268" s="48"/>
      <c r="B2268" s="48"/>
      <c r="C2268" s="48"/>
      <c r="D2268" s="47"/>
      <c r="E2268" s="48"/>
    </row>
    <row r="2269" ht="15.75" customHeight="1">
      <c r="A2269" s="48"/>
      <c r="B2269" s="48"/>
      <c r="C2269" s="48"/>
      <c r="D2269" s="47"/>
      <c r="E2269" s="48"/>
    </row>
    <row r="2270" ht="15.75" customHeight="1">
      <c r="A2270" s="48"/>
      <c r="B2270" s="48"/>
      <c r="C2270" s="48"/>
      <c r="D2270" s="47"/>
      <c r="E2270" s="48"/>
    </row>
    <row r="2271" ht="15.75" customHeight="1">
      <c r="A2271" s="48"/>
      <c r="B2271" s="48"/>
      <c r="C2271" s="48"/>
      <c r="D2271" s="47"/>
      <c r="E2271" s="48"/>
    </row>
    <row r="2272" ht="15.75" customHeight="1">
      <c r="A2272" s="48"/>
      <c r="B2272" s="48"/>
      <c r="C2272" s="48"/>
      <c r="D2272" s="47"/>
      <c r="E2272" s="48"/>
    </row>
    <row r="2273" ht="15.75" customHeight="1">
      <c r="A2273" s="48"/>
      <c r="B2273" s="48"/>
      <c r="C2273" s="48"/>
      <c r="D2273" s="47"/>
      <c r="E2273" s="48"/>
    </row>
    <row r="2274" ht="15.75" customHeight="1">
      <c r="A2274" s="48"/>
      <c r="B2274" s="48"/>
      <c r="C2274" s="48"/>
      <c r="D2274" s="47"/>
      <c r="E2274" s="48"/>
    </row>
    <row r="2275" ht="15.75" customHeight="1">
      <c r="A2275" s="48"/>
      <c r="B2275" s="48"/>
      <c r="C2275" s="48"/>
      <c r="D2275" s="47"/>
      <c r="E2275" s="48"/>
    </row>
    <row r="2276" ht="15.75" customHeight="1">
      <c r="A2276" s="48"/>
      <c r="B2276" s="48"/>
      <c r="C2276" s="48"/>
      <c r="D2276" s="47"/>
      <c r="E2276" s="48"/>
    </row>
    <row r="2277" ht="15.75" customHeight="1">
      <c r="A2277" s="48"/>
      <c r="B2277" s="48"/>
      <c r="C2277" s="48"/>
      <c r="D2277" s="47"/>
      <c r="E2277" s="48"/>
    </row>
    <row r="2278" ht="15.75" customHeight="1">
      <c r="A2278" s="48"/>
      <c r="B2278" s="48"/>
      <c r="C2278" s="48"/>
      <c r="D2278" s="47"/>
      <c r="E2278" s="48"/>
    </row>
    <row r="2279" ht="15.75" customHeight="1">
      <c r="A2279" s="48"/>
      <c r="B2279" s="48"/>
      <c r="C2279" s="48"/>
      <c r="D2279" s="47"/>
      <c r="E2279" s="48"/>
    </row>
    <row r="2280" ht="15.75" customHeight="1">
      <c r="A2280" s="48"/>
      <c r="B2280" s="48"/>
      <c r="C2280" s="48"/>
      <c r="D2280" s="47"/>
      <c r="E2280" s="48"/>
    </row>
    <row r="2281" ht="15.75" customHeight="1">
      <c r="A2281" s="48"/>
      <c r="B2281" s="48"/>
      <c r="C2281" s="48"/>
      <c r="D2281" s="47"/>
      <c r="E2281" s="48"/>
    </row>
    <row r="2282" ht="15.75" customHeight="1">
      <c r="A2282" s="48"/>
      <c r="B2282" s="48"/>
      <c r="C2282" s="48"/>
      <c r="D2282" s="47"/>
      <c r="E2282" s="48"/>
    </row>
    <row r="2283" ht="15.75" customHeight="1">
      <c r="A2283" s="48"/>
      <c r="B2283" s="48"/>
      <c r="C2283" s="48"/>
      <c r="D2283" s="47"/>
      <c r="E2283" s="48"/>
    </row>
    <row r="2284" ht="15.75" customHeight="1">
      <c r="A2284" s="48"/>
      <c r="B2284" s="48"/>
      <c r="C2284" s="48"/>
      <c r="D2284" s="47"/>
      <c r="E2284" s="48"/>
    </row>
    <row r="2285" ht="15.75" customHeight="1">
      <c r="A2285" s="48"/>
      <c r="B2285" s="48"/>
      <c r="C2285" s="48"/>
      <c r="D2285" s="47"/>
      <c r="E2285" s="48"/>
    </row>
    <row r="2286" ht="15.75" customHeight="1">
      <c r="A2286" s="48"/>
      <c r="B2286" s="48"/>
      <c r="C2286" s="48"/>
      <c r="D2286" s="47"/>
      <c r="E2286" s="48"/>
    </row>
    <row r="2287" ht="15.75" customHeight="1">
      <c r="A2287" s="48"/>
      <c r="B2287" s="48"/>
      <c r="C2287" s="48"/>
      <c r="D2287" s="47"/>
      <c r="E2287" s="48"/>
    </row>
    <row r="2288" ht="15.75" customHeight="1">
      <c r="A2288" s="48"/>
      <c r="B2288" s="48"/>
      <c r="C2288" s="48"/>
      <c r="D2288" s="47"/>
      <c r="E2288" s="48"/>
    </row>
    <row r="2289" ht="15.75" customHeight="1">
      <c r="A2289" s="48"/>
      <c r="B2289" s="48"/>
      <c r="C2289" s="48"/>
      <c r="D2289" s="47"/>
      <c r="E2289" s="48"/>
    </row>
    <row r="2290" ht="15.75" customHeight="1">
      <c r="A2290" s="48"/>
      <c r="B2290" s="48"/>
      <c r="C2290" s="48"/>
      <c r="D2290" s="47"/>
      <c r="E2290" s="48"/>
    </row>
    <row r="2291" ht="15.75" customHeight="1">
      <c r="A2291" s="48"/>
      <c r="B2291" s="48"/>
      <c r="C2291" s="48"/>
      <c r="D2291" s="47"/>
      <c r="E2291" s="48"/>
    </row>
    <row r="2292" ht="15.75" customHeight="1">
      <c r="A2292" s="48"/>
      <c r="B2292" s="48"/>
      <c r="C2292" s="48"/>
      <c r="D2292" s="47"/>
      <c r="E2292" s="48"/>
    </row>
    <row r="2293" ht="15.75" customHeight="1">
      <c r="A2293" s="48"/>
      <c r="B2293" s="48"/>
      <c r="C2293" s="48"/>
      <c r="D2293" s="47"/>
      <c r="E2293" s="48"/>
    </row>
    <row r="2294" ht="15.75" customHeight="1">
      <c r="A2294" s="48"/>
      <c r="B2294" s="48"/>
      <c r="C2294" s="48"/>
      <c r="D2294" s="47"/>
      <c r="E2294" s="48"/>
    </row>
    <row r="2295" ht="15.75" customHeight="1">
      <c r="A2295" s="48"/>
      <c r="B2295" s="48"/>
      <c r="C2295" s="48"/>
      <c r="D2295" s="47"/>
      <c r="E2295" s="48"/>
    </row>
    <row r="2296" ht="15.75" customHeight="1">
      <c r="A2296" s="48"/>
      <c r="B2296" s="48"/>
      <c r="C2296" s="48"/>
      <c r="D2296" s="47"/>
      <c r="E2296" s="48"/>
    </row>
    <row r="2297" ht="15.75" customHeight="1">
      <c r="A2297" s="48"/>
      <c r="B2297" s="48"/>
      <c r="C2297" s="48"/>
      <c r="D2297" s="47"/>
      <c r="E2297" s="48"/>
    </row>
    <row r="2298" ht="15.75" customHeight="1">
      <c r="A2298" s="48"/>
      <c r="B2298" s="48"/>
      <c r="C2298" s="48"/>
      <c r="D2298" s="47"/>
      <c r="E2298" s="48"/>
    </row>
    <row r="2299" ht="15.75" customHeight="1">
      <c r="A2299" s="48"/>
      <c r="B2299" s="48"/>
      <c r="C2299" s="48"/>
      <c r="D2299" s="47"/>
      <c r="E2299" s="48"/>
    </row>
    <row r="2300" ht="15.75" customHeight="1">
      <c r="A2300" s="48"/>
      <c r="B2300" s="48"/>
      <c r="C2300" s="48"/>
      <c r="D2300" s="47"/>
      <c r="E2300" s="48"/>
    </row>
    <row r="2301" ht="15.75" customHeight="1">
      <c r="A2301" s="48"/>
      <c r="B2301" s="48"/>
      <c r="C2301" s="48"/>
      <c r="D2301" s="47"/>
      <c r="E2301" s="48"/>
    </row>
    <row r="2302" ht="15.75" customHeight="1">
      <c r="A2302" s="48"/>
      <c r="B2302" s="48"/>
      <c r="C2302" s="48"/>
      <c r="D2302" s="47"/>
      <c r="E2302" s="48"/>
    </row>
    <row r="2303" ht="15.75" customHeight="1">
      <c r="A2303" s="48"/>
      <c r="B2303" s="48"/>
      <c r="C2303" s="48"/>
      <c r="D2303" s="47"/>
      <c r="E2303" s="48"/>
    </row>
    <row r="2304" ht="15.75" customHeight="1">
      <c r="A2304" s="48"/>
      <c r="B2304" s="48"/>
      <c r="C2304" s="48"/>
      <c r="D2304" s="47"/>
      <c r="E2304" s="48"/>
    </row>
    <row r="2305" ht="15.75" customHeight="1">
      <c r="A2305" s="48"/>
      <c r="B2305" s="48"/>
      <c r="C2305" s="48"/>
      <c r="D2305" s="47"/>
      <c r="E2305" s="48"/>
    </row>
    <row r="2306" ht="15.75" customHeight="1">
      <c r="A2306" s="48"/>
      <c r="B2306" s="48"/>
      <c r="C2306" s="48"/>
      <c r="D2306" s="47"/>
      <c r="E2306" s="48"/>
    </row>
    <row r="2307" ht="15.75" customHeight="1">
      <c r="A2307" s="48"/>
      <c r="B2307" s="48"/>
      <c r="C2307" s="48"/>
      <c r="D2307" s="47"/>
      <c r="E2307" s="48"/>
    </row>
    <row r="2308" ht="15.75" customHeight="1">
      <c r="A2308" s="48"/>
      <c r="B2308" s="48"/>
      <c r="C2308" s="48"/>
      <c r="D2308" s="47"/>
      <c r="E2308" s="48"/>
    </row>
    <row r="2309" ht="15.75" customHeight="1">
      <c r="A2309" s="48"/>
      <c r="B2309" s="48"/>
      <c r="C2309" s="48"/>
      <c r="D2309" s="47"/>
      <c r="E2309" s="48"/>
    </row>
    <row r="2310" ht="15.75" customHeight="1">
      <c r="A2310" s="48"/>
      <c r="B2310" s="48"/>
      <c r="C2310" s="48"/>
      <c r="D2310" s="47"/>
      <c r="E2310" s="48"/>
    </row>
    <row r="2311" ht="15.75" customHeight="1">
      <c r="A2311" s="48"/>
      <c r="B2311" s="48"/>
      <c r="C2311" s="48"/>
      <c r="D2311" s="47"/>
      <c r="E2311" s="48"/>
    </row>
    <row r="2312" ht="15.75" customHeight="1">
      <c r="A2312" s="48"/>
      <c r="B2312" s="48"/>
      <c r="C2312" s="48"/>
      <c r="D2312" s="47"/>
      <c r="E2312" s="48"/>
    </row>
    <row r="2313" ht="15.75" customHeight="1">
      <c r="A2313" s="48"/>
      <c r="B2313" s="48"/>
      <c r="C2313" s="48"/>
      <c r="D2313" s="47"/>
      <c r="E2313" s="48"/>
    </row>
    <row r="2314" ht="15.75" customHeight="1">
      <c r="A2314" s="48"/>
      <c r="B2314" s="48"/>
      <c r="C2314" s="48"/>
      <c r="D2314" s="47"/>
      <c r="E2314" s="48"/>
    </row>
    <row r="2315" ht="15.75" customHeight="1">
      <c r="A2315" s="48"/>
      <c r="B2315" s="48"/>
      <c r="C2315" s="48"/>
      <c r="D2315" s="47"/>
      <c r="E2315" s="48"/>
    </row>
    <row r="2316" ht="15.75" customHeight="1">
      <c r="A2316" s="48"/>
      <c r="B2316" s="48"/>
      <c r="C2316" s="48"/>
      <c r="D2316" s="47"/>
      <c r="E2316" s="48"/>
    </row>
    <row r="2317" ht="15.75" customHeight="1">
      <c r="A2317" s="48"/>
      <c r="B2317" s="48"/>
      <c r="C2317" s="48"/>
      <c r="D2317" s="47"/>
      <c r="E2317" s="48"/>
    </row>
    <row r="2318" ht="15.75" customHeight="1">
      <c r="A2318" s="48"/>
      <c r="B2318" s="48"/>
      <c r="C2318" s="48"/>
      <c r="D2318" s="47"/>
      <c r="E2318" s="48"/>
    </row>
    <row r="2319" ht="15.75" customHeight="1">
      <c r="A2319" s="48"/>
      <c r="B2319" s="48"/>
      <c r="C2319" s="48"/>
      <c r="D2319" s="47"/>
      <c r="E2319" s="48"/>
    </row>
    <row r="2320" ht="15.75" customHeight="1">
      <c r="A2320" s="48"/>
      <c r="B2320" s="48"/>
      <c r="C2320" s="48"/>
      <c r="D2320" s="47"/>
      <c r="E2320" s="48"/>
    </row>
    <row r="2321" ht="15.75" customHeight="1">
      <c r="A2321" s="48"/>
      <c r="B2321" s="48"/>
      <c r="C2321" s="48"/>
      <c r="D2321" s="47"/>
      <c r="E2321" s="48"/>
    </row>
    <row r="2322" ht="15.75" customHeight="1">
      <c r="A2322" s="48"/>
      <c r="B2322" s="48"/>
      <c r="C2322" s="48"/>
      <c r="D2322" s="47"/>
      <c r="E2322" s="48"/>
    </row>
    <row r="2323" ht="15.75" customHeight="1">
      <c r="A2323" s="48"/>
      <c r="B2323" s="48"/>
      <c r="C2323" s="48"/>
      <c r="D2323" s="47"/>
      <c r="E2323" s="48"/>
    </row>
    <row r="2324" ht="15.75" customHeight="1">
      <c r="A2324" s="48"/>
      <c r="B2324" s="48"/>
      <c r="C2324" s="48"/>
      <c r="D2324" s="47"/>
      <c r="E2324" s="48"/>
    </row>
    <row r="2325" ht="15.75" customHeight="1">
      <c r="A2325" s="48"/>
      <c r="B2325" s="48"/>
      <c r="C2325" s="48"/>
      <c r="D2325" s="47"/>
      <c r="E2325" s="48"/>
    </row>
    <row r="2326" ht="15.75" customHeight="1">
      <c r="A2326" s="48"/>
      <c r="B2326" s="48"/>
      <c r="C2326" s="48"/>
      <c r="D2326" s="47"/>
      <c r="E2326" s="48"/>
    </row>
    <row r="2327" ht="15.75" customHeight="1">
      <c r="A2327" s="48"/>
      <c r="B2327" s="48"/>
      <c r="C2327" s="48"/>
      <c r="D2327" s="47"/>
      <c r="E2327" s="48"/>
    </row>
    <row r="2328" ht="15.75" customHeight="1">
      <c r="A2328" s="48"/>
      <c r="B2328" s="48"/>
      <c r="C2328" s="48"/>
      <c r="D2328" s="47"/>
      <c r="E2328" s="48"/>
    </row>
    <row r="2329" ht="15.75" customHeight="1">
      <c r="A2329" s="48"/>
      <c r="B2329" s="48"/>
      <c r="C2329" s="48"/>
      <c r="D2329" s="47"/>
      <c r="E2329" s="48"/>
    </row>
    <row r="2330" ht="15.75" customHeight="1">
      <c r="A2330" s="48"/>
      <c r="B2330" s="48"/>
      <c r="C2330" s="48"/>
      <c r="D2330" s="47"/>
      <c r="E2330" s="48"/>
    </row>
    <row r="2331" ht="15.75" customHeight="1">
      <c r="A2331" s="48"/>
      <c r="B2331" s="48"/>
      <c r="C2331" s="48"/>
      <c r="D2331" s="47"/>
      <c r="E2331" s="48"/>
    </row>
    <row r="2332" ht="15.75" customHeight="1">
      <c r="A2332" s="48"/>
      <c r="B2332" s="48"/>
      <c r="C2332" s="48"/>
      <c r="D2332" s="47"/>
      <c r="E2332" s="48"/>
    </row>
    <row r="2333" ht="15.75" customHeight="1">
      <c r="A2333" s="48"/>
      <c r="B2333" s="48"/>
      <c r="C2333" s="48"/>
      <c r="D2333" s="47"/>
      <c r="E2333" s="48"/>
    </row>
    <row r="2334" ht="15.75" customHeight="1">
      <c r="A2334" s="48"/>
      <c r="B2334" s="48"/>
      <c r="C2334" s="48"/>
      <c r="D2334" s="47"/>
      <c r="E2334" s="48"/>
    </row>
    <row r="2335" ht="15.75" customHeight="1">
      <c r="A2335" s="48"/>
      <c r="B2335" s="48"/>
      <c r="C2335" s="48"/>
      <c r="D2335" s="47"/>
      <c r="E2335" s="48"/>
    </row>
    <row r="2336" ht="15.75" customHeight="1">
      <c r="A2336" s="48"/>
      <c r="B2336" s="48"/>
      <c r="C2336" s="48"/>
      <c r="D2336" s="47"/>
      <c r="E2336" s="48"/>
    </row>
    <row r="2337" ht="15.75" customHeight="1">
      <c r="A2337" s="48"/>
      <c r="B2337" s="48"/>
      <c r="C2337" s="48"/>
      <c r="D2337" s="47"/>
      <c r="E2337" s="48"/>
    </row>
    <row r="2338" ht="15.75" customHeight="1">
      <c r="A2338" s="48"/>
      <c r="B2338" s="48"/>
      <c r="C2338" s="48"/>
      <c r="D2338" s="47"/>
      <c r="E2338" s="48"/>
    </row>
    <row r="2339" ht="15.75" customHeight="1">
      <c r="A2339" s="48"/>
      <c r="B2339" s="48"/>
      <c r="C2339" s="48"/>
      <c r="D2339" s="47"/>
      <c r="E2339" s="48"/>
    </row>
    <row r="2340" ht="15.75" customHeight="1">
      <c r="A2340" s="48"/>
      <c r="B2340" s="48"/>
      <c r="C2340" s="48"/>
      <c r="D2340" s="47"/>
      <c r="E2340" s="48"/>
    </row>
    <row r="2341" ht="15.75" customHeight="1">
      <c r="A2341" s="48"/>
      <c r="B2341" s="48"/>
      <c r="C2341" s="48"/>
      <c r="D2341" s="47"/>
      <c r="E2341" s="48"/>
    </row>
    <row r="2342" ht="15.75" customHeight="1">
      <c r="A2342" s="48"/>
      <c r="B2342" s="48"/>
      <c r="C2342" s="48"/>
      <c r="D2342" s="47"/>
      <c r="E2342" s="48"/>
    </row>
    <row r="2343" ht="15.75" customHeight="1">
      <c r="A2343" s="48"/>
      <c r="B2343" s="48"/>
      <c r="C2343" s="48"/>
      <c r="D2343" s="47"/>
      <c r="E2343" s="48"/>
    </row>
    <row r="2344" ht="15.75" customHeight="1">
      <c r="A2344" s="48"/>
      <c r="B2344" s="48"/>
      <c r="C2344" s="48"/>
      <c r="D2344" s="47"/>
      <c r="E2344" s="48"/>
    </row>
    <row r="2345" ht="15.75" customHeight="1">
      <c r="A2345" s="48"/>
      <c r="B2345" s="48"/>
      <c r="C2345" s="48"/>
      <c r="D2345" s="47"/>
      <c r="E2345" s="48"/>
    </row>
    <row r="2346" ht="15.75" customHeight="1">
      <c r="A2346" s="48"/>
      <c r="B2346" s="48"/>
      <c r="C2346" s="48"/>
      <c r="D2346" s="47"/>
      <c r="E2346" s="48"/>
    </row>
    <row r="2347" ht="15.75" customHeight="1">
      <c r="A2347" s="48"/>
      <c r="B2347" s="48"/>
      <c r="C2347" s="48"/>
      <c r="D2347" s="47"/>
      <c r="E2347" s="48"/>
    </row>
    <row r="2348" ht="15.75" customHeight="1">
      <c r="A2348" s="48"/>
      <c r="B2348" s="48"/>
      <c r="C2348" s="48"/>
      <c r="D2348" s="47"/>
      <c r="E2348" s="48"/>
    </row>
    <row r="2349" ht="15.75" customHeight="1">
      <c r="A2349" s="48"/>
      <c r="B2349" s="48"/>
      <c r="C2349" s="48"/>
      <c r="D2349" s="47"/>
      <c r="E2349" s="48"/>
    </row>
    <row r="2350" ht="15.75" customHeight="1">
      <c r="A2350" s="48"/>
      <c r="B2350" s="48"/>
      <c r="C2350" s="48"/>
      <c r="D2350" s="47"/>
      <c r="E2350" s="48"/>
    </row>
    <row r="2351" ht="15.75" customHeight="1">
      <c r="A2351" s="48"/>
      <c r="B2351" s="48"/>
      <c r="C2351" s="48"/>
      <c r="D2351" s="47"/>
      <c r="E2351" s="48"/>
    </row>
    <row r="2352" ht="15.75" customHeight="1">
      <c r="A2352" s="48"/>
      <c r="B2352" s="48"/>
      <c r="C2352" s="48"/>
      <c r="D2352" s="47"/>
      <c r="E2352" s="48"/>
    </row>
    <row r="2353" ht="15.75" customHeight="1">
      <c r="A2353" s="48"/>
      <c r="B2353" s="48"/>
      <c r="C2353" s="48"/>
      <c r="D2353" s="47"/>
      <c r="E2353" s="48"/>
    </row>
    <row r="2354" ht="15.75" customHeight="1">
      <c r="A2354" s="48"/>
      <c r="B2354" s="48"/>
      <c r="C2354" s="48"/>
      <c r="D2354" s="47"/>
      <c r="E2354" s="48"/>
    </row>
    <row r="2355" ht="15.75" customHeight="1">
      <c r="A2355" s="48"/>
      <c r="B2355" s="48"/>
      <c r="C2355" s="48"/>
      <c r="D2355" s="47"/>
      <c r="E2355" s="48"/>
    </row>
    <row r="2356" ht="15.75" customHeight="1">
      <c r="A2356" s="48"/>
      <c r="B2356" s="48"/>
      <c r="C2356" s="48"/>
      <c r="D2356" s="47"/>
      <c r="E2356" s="48"/>
    </row>
    <row r="2357" ht="15.75" customHeight="1">
      <c r="A2357" s="48"/>
      <c r="B2357" s="48"/>
      <c r="C2357" s="48"/>
      <c r="D2357" s="47"/>
      <c r="E2357" s="48"/>
    </row>
    <row r="2358" ht="15.75" customHeight="1">
      <c r="A2358" s="48"/>
      <c r="B2358" s="48"/>
      <c r="C2358" s="48"/>
      <c r="D2358" s="47"/>
      <c r="E2358" s="48"/>
    </row>
    <row r="2359" ht="15.75" customHeight="1">
      <c r="A2359" s="48"/>
      <c r="B2359" s="48"/>
      <c r="C2359" s="48"/>
      <c r="D2359" s="47"/>
      <c r="E2359" s="48"/>
    </row>
    <row r="2360" ht="15.75" customHeight="1">
      <c r="A2360" s="48"/>
      <c r="B2360" s="48"/>
      <c r="C2360" s="48"/>
      <c r="D2360" s="47"/>
      <c r="E2360" s="48"/>
    </row>
    <row r="2361" ht="15.75" customHeight="1">
      <c r="A2361" s="48"/>
      <c r="B2361" s="48"/>
      <c r="C2361" s="48"/>
      <c r="D2361" s="47"/>
      <c r="E2361" s="48"/>
    </row>
    <row r="2362" ht="15.75" customHeight="1">
      <c r="A2362" s="48"/>
      <c r="B2362" s="48"/>
      <c r="C2362" s="48"/>
      <c r="D2362" s="47"/>
      <c r="E2362" s="48"/>
    </row>
    <row r="2363" ht="15.75" customHeight="1">
      <c r="A2363" s="48"/>
      <c r="B2363" s="48"/>
      <c r="C2363" s="48"/>
      <c r="D2363" s="47"/>
      <c r="E2363" s="48"/>
    </row>
    <row r="2364" ht="15.75" customHeight="1">
      <c r="A2364" s="48"/>
      <c r="B2364" s="48"/>
      <c r="C2364" s="48"/>
      <c r="D2364" s="47"/>
      <c r="E2364" s="48"/>
    </row>
    <row r="2365" ht="15.75" customHeight="1">
      <c r="A2365" s="48"/>
      <c r="B2365" s="48"/>
      <c r="C2365" s="48"/>
      <c r="D2365" s="47"/>
      <c r="E2365" s="48"/>
    </row>
    <row r="2366" ht="15.75" customHeight="1">
      <c r="A2366" s="48"/>
      <c r="B2366" s="48"/>
      <c r="C2366" s="48"/>
      <c r="D2366" s="47"/>
      <c r="E2366" s="48"/>
    </row>
    <row r="2367" ht="15.75" customHeight="1">
      <c r="A2367" s="48"/>
      <c r="B2367" s="48"/>
      <c r="C2367" s="48"/>
      <c r="D2367" s="47"/>
      <c r="E2367" s="48"/>
    </row>
    <row r="2368" ht="15.75" customHeight="1">
      <c r="A2368" s="48"/>
      <c r="B2368" s="48"/>
      <c r="C2368" s="48"/>
      <c r="D2368" s="47"/>
      <c r="E2368" s="48"/>
    </row>
    <row r="2369" ht="15.75" customHeight="1">
      <c r="A2369" s="48"/>
      <c r="B2369" s="48"/>
      <c r="C2369" s="48"/>
      <c r="D2369" s="47"/>
      <c r="E2369" s="48"/>
    </row>
    <row r="2370" ht="15.75" customHeight="1">
      <c r="A2370" s="48"/>
      <c r="B2370" s="48"/>
      <c r="C2370" s="48"/>
      <c r="D2370" s="47"/>
      <c r="E2370" s="48"/>
    </row>
    <row r="2371" ht="15.75" customHeight="1">
      <c r="A2371" s="48"/>
      <c r="B2371" s="48"/>
      <c r="C2371" s="48"/>
      <c r="D2371" s="47"/>
      <c r="E2371" s="48"/>
    </row>
    <row r="2372" ht="15.75" customHeight="1">
      <c r="A2372" s="48"/>
      <c r="B2372" s="48"/>
      <c r="C2372" s="48"/>
      <c r="D2372" s="47"/>
      <c r="E2372" s="48"/>
    </row>
    <row r="2373" ht="15.75" customHeight="1">
      <c r="A2373" s="48"/>
      <c r="B2373" s="48"/>
      <c r="C2373" s="48"/>
      <c r="D2373" s="47"/>
      <c r="E2373" s="48"/>
    </row>
    <row r="2374" ht="15.75" customHeight="1">
      <c r="A2374" s="48"/>
      <c r="B2374" s="48"/>
      <c r="C2374" s="48"/>
      <c r="D2374" s="47"/>
      <c r="E2374" s="48"/>
    </row>
    <row r="2375" ht="15.75" customHeight="1">
      <c r="A2375" s="48"/>
      <c r="B2375" s="48"/>
      <c r="C2375" s="48"/>
      <c r="D2375" s="47"/>
      <c r="E2375" s="48"/>
    </row>
    <row r="2376" ht="15.75" customHeight="1">
      <c r="A2376" s="48"/>
      <c r="B2376" s="48"/>
      <c r="C2376" s="48"/>
      <c r="D2376" s="47"/>
      <c r="E2376" s="48"/>
    </row>
    <row r="2377" ht="15.75" customHeight="1">
      <c r="A2377" s="48"/>
      <c r="B2377" s="48"/>
      <c r="C2377" s="48"/>
      <c r="D2377" s="47"/>
      <c r="E2377" s="48"/>
    </row>
    <row r="2378" ht="15.75" customHeight="1">
      <c r="A2378" s="48"/>
      <c r="B2378" s="48"/>
      <c r="C2378" s="48"/>
      <c r="D2378" s="47"/>
      <c r="E2378" s="48"/>
    </row>
    <row r="2379" ht="15.75" customHeight="1">
      <c r="A2379" s="48"/>
      <c r="B2379" s="48"/>
      <c r="C2379" s="48"/>
      <c r="D2379" s="47"/>
      <c r="E2379" s="48"/>
    </row>
    <row r="2380" ht="15.75" customHeight="1">
      <c r="A2380" s="48"/>
      <c r="B2380" s="48"/>
      <c r="C2380" s="48"/>
      <c r="D2380" s="47"/>
      <c r="E2380" s="48"/>
    </row>
    <row r="2381" ht="15.75" customHeight="1">
      <c r="A2381" s="48"/>
      <c r="B2381" s="48"/>
      <c r="C2381" s="48"/>
      <c r="D2381" s="47"/>
      <c r="E2381" s="48"/>
    </row>
    <row r="2382" ht="15.75" customHeight="1">
      <c r="A2382" s="48"/>
      <c r="B2382" s="48"/>
      <c r="C2382" s="48"/>
      <c r="D2382" s="47"/>
      <c r="E2382" s="48"/>
    </row>
    <row r="2383" ht="15.75" customHeight="1">
      <c r="A2383" s="48"/>
      <c r="B2383" s="48"/>
      <c r="C2383" s="48"/>
      <c r="D2383" s="47"/>
      <c r="E2383" s="48"/>
    </row>
    <row r="2384" ht="15.75" customHeight="1">
      <c r="A2384" s="48"/>
      <c r="B2384" s="48"/>
      <c r="C2384" s="48"/>
      <c r="D2384" s="47"/>
      <c r="E2384" s="48"/>
    </row>
    <row r="2385" ht="15.75" customHeight="1">
      <c r="A2385" s="48"/>
      <c r="B2385" s="48"/>
      <c r="C2385" s="48"/>
      <c r="D2385" s="47"/>
      <c r="E2385" s="48"/>
    </row>
    <row r="2386" ht="15.75" customHeight="1">
      <c r="A2386" s="48"/>
      <c r="B2386" s="48"/>
      <c r="C2386" s="48"/>
      <c r="D2386" s="47"/>
      <c r="E2386" s="48"/>
    </row>
    <row r="2387" ht="15.75" customHeight="1">
      <c r="A2387" s="48"/>
      <c r="B2387" s="48"/>
      <c r="C2387" s="48"/>
      <c r="D2387" s="47"/>
      <c r="E2387" s="48"/>
    </row>
    <row r="2388" ht="15.75" customHeight="1">
      <c r="A2388" s="48"/>
      <c r="B2388" s="48"/>
      <c r="C2388" s="48"/>
      <c r="D2388" s="47"/>
      <c r="E2388" s="48"/>
    </row>
    <row r="2389" ht="15.75" customHeight="1">
      <c r="A2389" s="48"/>
      <c r="B2389" s="48"/>
      <c r="C2389" s="48"/>
      <c r="D2389" s="47"/>
      <c r="E2389" s="48"/>
    </row>
    <row r="2390" ht="15.75" customHeight="1">
      <c r="A2390" s="48"/>
      <c r="B2390" s="48"/>
      <c r="C2390" s="48"/>
      <c r="D2390" s="47"/>
      <c r="E2390" s="48"/>
    </row>
    <row r="2391" ht="15.75" customHeight="1">
      <c r="A2391" s="48"/>
      <c r="B2391" s="48"/>
      <c r="C2391" s="48"/>
      <c r="D2391" s="47"/>
      <c r="E2391" s="48"/>
    </row>
    <row r="2392" ht="15.75" customHeight="1">
      <c r="A2392" s="48"/>
      <c r="B2392" s="48"/>
      <c r="C2392" s="48"/>
      <c r="D2392" s="47"/>
      <c r="E2392" s="48"/>
    </row>
    <row r="2393" ht="15.75" customHeight="1">
      <c r="A2393" s="48"/>
      <c r="B2393" s="48"/>
      <c r="C2393" s="48"/>
      <c r="D2393" s="47"/>
      <c r="E2393" s="48"/>
    </row>
    <row r="2394" ht="15.75" customHeight="1">
      <c r="A2394" s="48"/>
      <c r="B2394" s="48"/>
      <c r="C2394" s="48"/>
      <c r="D2394" s="47"/>
      <c r="E2394" s="48"/>
    </row>
    <row r="2395" ht="15.75" customHeight="1">
      <c r="A2395" s="48"/>
      <c r="B2395" s="48"/>
      <c r="C2395" s="48"/>
      <c r="D2395" s="47"/>
      <c r="E2395" s="48"/>
    </row>
    <row r="2396" ht="15.75" customHeight="1">
      <c r="A2396" s="48"/>
      <c r="B2396" s="48"/>
      <c r="C2396" s="48"/>
      <c r="D2396" s="47"/>
      <c r="E2396" s="48"/>
    </row>
    <row r="2397" ht="15.75" customHeight="1">
      <c r="A2397" s="48"/>
      <c r="B2397" s="48"/>
      <c r="C2397" s="48"/>
      <c r="D2397" s="47"/>
      <c r="E2397" s="48"/>
    </row>
    <row r="2398" ht="15.75" customHeight="1">
      <c r="A2398" s="48"/>
      <c r="B2398" s="48"/>
      <c r="C2398" s="48"/>
      <c r="D2398" s="47"/>
      <c r="E2398" s="48"/>
    </row>
    <row r="2399" ht="15.75" customHeight="1">
      <c r="A2399" s="48"/>
      <c r="B2399" s="48"/>
      <c r="C2399" s="48"/>
      <c r="D2399" s="47"/>
      <c r="E2399" s="48"/>
    </row>
    <row r="2400" ht="15.75" customHeight="1">
      <c r="A2400" s="48"/>
      <c r="B2400" s="48"/>
      <c r="C2400" s="48"/>
      <c r="D2400" s="47"/>
      <c r="E2400" s="48"/>
    </row>
    <row r="2401" ht="15.75" customHeight="1">
      <c r="A2401" s="48"/>
      <c r="B2401" s="48"/>
      <c r="C2401" s="48"/>
      <c r="D2401" s="47"/>
      <c r="E2401" s="48"/>
    </row>
    <row r="2402" ht="15.75" customHeight="1">
      <c r="A2402" s="48"/>
      <c r="B2402" s="48"/>
      <c r="C2402" s="48"/>
      <c r="D2402" s="47"/>
      <c r="E2402" s="48"/>
    </row>
    <row r="2403" ht="15.75" customHeight="1">
      <c r="A2403" s="48"/>
      <c r="B2403" s="48"/>
      <c r="C2403" s="48"/>
      <c r="D2403" s="47"/>
      <c r="E2403" s="48"/>
    </row>
    <row r="2404" ht="15.75" customHeight="1">
      <c r="A2404" s="48"/>
      <c r="B2404" s="48"/>
      <c r="C2404" s="48"/>
      <c r="D2404" s="47"/>
      <c r="E2404" s="48"/>
    </row>
    <row r="2405" ht="15.75" customHeight="1">
      <c r="A2405" s="48"/>
      <c r="B2405" s="48"/>
      <c r="C2405" s="48"/>
      <c r="D2405" s="47"/>
      <c r="E2405" s="48"/>
    </row>
    <row r="2406" ht="15.75" customHeight="1">
      <c r="A2406" s="48"/>
      <c r="B2406" s="48"/>
      <c r="C2406" s="48"/>
      <c r="D2406" s="47"/>
      <c r="E2406" s="48"/>
    </row>
    <row r="2407" ht="15.75" customHeight="1">
      <c r="A2407" s="48"/>
      <c r="B2407" s="48"/>
      <c r="C2407" s="48"/>
      <c r="D2407" s="47"/>
      <c r="E2407" s="48"/>
    </row>
    <row r="2408" ht="15.75" customHeight="1">
      <c r="A2408" s="48"/>
      <c r="B2408" s="48"/>
      <c r="C2408" s="48"/>
      <c r="D2408" s="47"/>
      <c r="E2408" s="48"/>
    </row>
    <row r="2409" ht="15.75" customHeight="1">
      <c r="A2409" s="48"/>
      <c r="B2409" s="48"/>
      <c r="C2409" s="48"/>
      <c r="D2409" s="47"/>
      <c r="E2409" s="48"/>
    </row>
    <row r="2410" ht="15.75" customHeight="1">
      <c r="A2410" s="48"/>
      <c r="B2410" s="48"/>
      <c r="C2410" s="48"/>
      <c r="D2410" s="47"/>
      <c r="E2410" s="48"/>
    </row>
    <row r="2411" ht="15.75" customHeight="1">
      <c r="A2411" s="48"/>
      <c r="B2411" s="48"/>
      <c r="C2411" s="48"/>
      <c r="D2411" s="47"/>
      <c r="E2411" s="48"/>
    </row>
    <row r="2412" ht="15.75" customHeight="1">
      <c r="A2412" s="48"/>
      <c r="B2412" s="48"/>
      <c r="C2412" s="48"/>
      <c r="D2412" s="47"/>
      <c r="E2412" s="48"/>
    </row>
    <row r="2413" ht="15.75" customHeight="1">
      <c r="A2413" s="48"/>
      <c r="B2413" s="48"/>
      <c r="C2413" s="48"/>
      <c r="D2413" s="47"/>
      <c r="E2413" s="48"/>
    </row>
    <row r="2414" ht="15.75" customHeight="1">
      <c r="A2414" s="48"/>
      <c r="B2414" s="48"/>
      <c r="C2414" s="48"/>
      <c r="D2414" s="47"/>
      <c r="E2414" s="48"/>
    </row>
    <row r="2415" ht="15.75" customHeight="1">
      <c r="A2415" s="48"/>
      <c r="B2415" s="48"/>
      <c r="C2415" s="48"/>
      <c r="D2415" s="47"/>
      <c r="E2415" s="48"/>
    </row>
    <row r="2416" ht="15.75" customHeight="1">
      <c r="A2416" s="48"/>
      <c r="B2416" s="48"/>
      <c r="C2416" s="48"/>
      <c r="D2416" s="47"/>
      <c r="E2416" s="48"/>
    </row>
    <row r="2417" ht="15.75" customHeight="1">
      <c r="A2417" s="48"/>
      <c r="B2417" s="48"/>
      <c r="C2417" s="48"/>
      <c r="D2417" s="47"/>
      <c r="E2417" s="48"/>
    </row>
    <row r="2418" ht="15.75" customHeight="1">
      <c r="A2418" s="48"/>
      <c r="B2418" s="48"/>
      <c r="C2418" s="48"/>
      <c r="D2418" s="47"/>
      <c r="E2418" s="48"/>
    </row>
    <row r="2419" ht="15.75" customHeight="1">
      <c r="A2419" s="48"/>
      <c r="B2419" s="48"/>
      <c r="C2419" s="48"/>
      <c r="D2419" s="47"/>
      <c r="E2419" s="48"/>
    </row>
    <row r="2420" ht="15.75" customHeight="1">
      <c r="A2420" s="48"/>
      <c r="B2420" s="48"/>
      <c r="C2420" s="48"/>
      <c r="D2420" s="47"/>
      <c r="E2420" s="48"/>
    </row>
    <row r="2421" ht="15.75" customHeight="1">
      <c r="A2421" s="48"/>
      <c r="B2421" s="48"/>
      <c r="C2421" s="48"/>
      <c r="D2421" s="47"/>
      <c r="E2421" s="48"/>
    </row>
    <row r="2422" ht="15.75" customHeight="1">
      <c r="A2422" s="48"/>
      <c r="B2422" s="48"/>
      <c r="C2422" s="48"/>
      <c r="D2422" s="47"/>
      <c r="E2422" s="48"/>
    </row>
    <row r="2423" ht="15.75" customHeight="1">
      <c r="A2423" s="48"/>
      <c r="B2423" s="48"/>
      <c r="C2423" s="48"/>
      <c r="D2423" s="47"/>
      <c r="E2423" s="48"/>
    </row>
    <row r="2424" ht="15.75" customHeight="1">
      <c r="A2424" s="48"/>
      <c r="B2424" s="48"/>
      <c r="C2424" s="48"/>
      <c r="D2424" s="47"/>
      <c r="E2424" s="48"/>
    </row>
    <row r="2425" ht="15.75" customHeight="1">
      <c r="A2425" s="48"/>
      <c r="B2425" s="48"/>
      <c r="C2425" s="48"/>
      <c r="D2425" s="47"/>
      <c r="E2425" s="48"/>
    </row>
    <row r="2426" ht="15.75" customHeight="1">
      <c r="A2426" s="48"/>
      <c r="B2426" s="48"/>
      <c r="C2426" s="48"/>
      <c r="D2426" s="47"/>
      <c r="E2426" s="48"/>
    </row>
    <row r="2427" ht="15.75" customHeight="1">
      <c r="A2427" s="48"/>
      <c r="B2427" s="48"/>
      <c r="C2427" s="48"/>
      <c r="D2427" s="47"/>
      <c r="E2427" s="48"/>
    </row>
    <row r="2428" ht="15.75" customHeight="1">
      <c r="A2428" s="48"/>
      <c r="B2428" s="48"/>
      <c r="C2428" s="48"/>
      <c r="D2428" s="47"/>
      <c r="E2428" s="48"/>
    </row>
    <row r="2429" ht="15.75" customHeight="1">
      <c r="A2429" s="48"/>
      <c r="B2429" s="48"/>
      <c r="C2429" s="48"/>
      <c r="D2429" s="47"/>
      <c r="E2429" s="48"/>
    </row>
    <row r="2430" ht="15.75" customHeight="1">
      <c r="A2430" s="48"/>
      <c r="B2430" s="48"/>
      <c r="C2430" s="48"/>
      <c r="D2430" s="47"/>
      <c r="E2430" s="48"/>
    </row>
    <row r="2431" ht="15.75" customHeight="1">
      <c r="A2431" s="48"/>
      <c r="B2431" s="48"/>
      <c r="C2431" s="48"/>
      <c r="D2431" s="47"/>
      <c r="E2431" s="48"/>
    </row>
    <row r="2432" ht="15.75" customHeight="1">
      <c r="A2432" s="48"/>
      <c r="B2432" s="48"/>
      <c r="C2432" s="48"/>
      <c r="D2432" s="47"/>
      <c r="E2432" s="48"/>
    </row>
    <row r="2433" ht="15.75" customHeight="1">
      <c r="A2433" s="48"/>
      <c r="B2433" s="48"/>
      <c r="C2433" s="48"/>
      <c r="D2433" s="47"/>
      <c r="E2433" s="48"/>
    </row>
    <row r="2434" ht="15.75" customHeight="1">
      <c r="A2434" s="48"/>
      <c r="B2434" s="48"/>
      <c r="C2434" s="48"/>
      <c r="D2434" s="47"/>
      <c r="E2434" s="48"/>
    </row>
    <row r="2435" ht="15.75" customHeight="1">
      <c r="A2435" s="48"/>
      <c r="B2435" s="48"/>
      <c r="C2435" s="48"/>
      <c r="D2435" s="47"/>
      <c r="E2435" s="48"/>
    </row>
    <row r="2436" ht="15.75" customHeight="1">
      <c r="A2436" s="48"/>
      <c r="B2436" s="48"/>
      <c r="C2436" s="48"/>
      <c r="D2436" s="47"/>
      <c r="E2436" s="48"/>
    </row>
    <row r="2437" ht="15.75" customHeight="1">
      <c r="A2437" s="48"/>
      <c r="B2437" s="48"/>
      <c r="C2437" s="48"/>
      <c r="D2437" s="47"/>
      <c r="E2437" s="48"/>
    </row>
    <row r="2438" ht="15.75" customHeight="1">
      <c r="A2438" s="48"/>
      <c r="B2438" s="48"/>
      <c r="C2438" s="48"/>
      <c r="D2438" s="47"/>
      <c r="E2438" s="48"/>
    </row>
    <row r="2439" ht="15.75" customHeight="1">
      <c r="A2439" s="48"/>
      <c r="B2439" s="48"/>
      <c r="C2439" s="48"/>
      <c r="D2439" s="47"/>
      <c r="E2439" s="48"/>
    </row>
    <row r="2440" ht="15.75" customHeight="1">
      <c r="A2440" s="48"/>
      <c r="B2440" s="48"/>
      <c r="C2440" s="48"/>
      <c r="D2440" s="47"/>
      <c r="E2440" s="48"/>
    </row>
    <row r="2441" ht="15.75" customHeight="1">
      <c r="A2441" s="48"/>
      <c r="B2441" s="48"/>
      <c r="C2441" s="48"/>
      <c r="D2441" s="47"/>
      <c r="E2441" s="48"/>
    </row>
    <row r="2442" ht="15.75" customHeight="1">
      <c r="A2442" s="48"/>
      <c r="B2442" s="48"/>
      <c r="C2442" s="48"/>
      <c r="D2442" s="47"/>
      <c r="E2442" s="48"/>
    </row>
    <row r="2443" ht="15.75" customHeight="1">
      <c r="A2443" s="48"/>
      <c r="B2443" s="48"/>
      <c r="C2443" s="48"/>
      <c r="D2443" s="47"/>
      <c r="E2443" s="48"/>
    </row>
    <row r="2444" ht="15.75" customHeight="1">
      <c r="A2444" s="48"/>
      <c r="B2444" s="48"/>
      <c r="C2444" s="48"/>
      <c r="D2444" s="47"/>
      <c r="E2444" s="48"/>
    </row>
    <row r="2445" ht="15.75" customHeight="1">
      <c r="A2445" s="48"/>
      <c r="B2445" s="48"/>
      <c r="C2445" s="48"/>
      <c r="D2445" s="47"/>
      <c r="E2445" s="48"/>
    </row>
    <row r="2446" ht="15.75" customHeight="1">
      <c r="A2446" s="48"/>
      <c r="B2446" s="48"/>
      <c r="C2446" s="48"/>
      <c r="D2446" s="47"/>
      <c r="E2446" s="48"/>
    </row>
    <row r="2447" ht="15.75" customHeight="1">
      <c r="A2447" s="48"/>
      <c r="B2447" s="48"/>
      <c r="C2447" s="48"/>
      <c r="D2447" s="47"/>
      <c r="E2447" s="48"/>
    </row>
    <row r="2448" ht="15.75" customHeight="1">
      <c r="A2448" s="48"/>
      <c r="B2448" s="48"/>
      <c r="C2448" s="48"/>
      <c r="D2448" s="47"/>
      <c r="E2448" s="48"/>
    </row>
    <row r="2449" ht="15.75" customHeight="1">
      <c r="A2449" s="48"/>
      <c r="B2449" s="48"/>
      <c r="C2449" s="48"/>
      <c r="D2449" s="47"/>
      <c r="E2449" s="48"/>
    </row>
    <row r="2450" ht="15.75" customHeight="1">
      <c r="A2450" s="48"/>
      <c r="B2450" s="48"/>
      <c r="C2450" s="48"/>
      <c r="D2450" s="47"/>
      <c r="E2450" s="48"/>
    </row>
    <row r="2451" ht="15.75" customHeight="1">
      <c r="A2451" s="48"/>
      <c r="B2451" s="48"/>
      <c r="C2451" s="48"/>
      <c r="D2451" s="47"/>
      <c r="E2451" s="48"/>
    </row>
    <row r="2452" ht="15.75" customHeight="1">
      <c r="A2452" s="48"/>
      <c r="B2452" s="48"/>
      <c r="C2452" s="48"/>
      <c r="D2452" s="47"/>
      <c r="E2452" s="48"/>
    </row>
    <row r="2453" ht="15.75" customHeight="1">
      <c r="A2453" s="48"/>
      <c r="B2453" s="48"/>
      <c r="C2453" s="48"/>
      <c r="D2453" s="47"/>
      <c r="E2453" s="48"/>
    </row>
    <row r="2454" ht="15.75" customHeight="1">
      <c r="A2454" s="48"/>
      <c r="B2454" s="48"/>
      <c r="C2454" s="48"/>
      <c r="D2454" s="47"/>
      <c r="E2454" s="48"/>
    </row>
    <row r="2455" ht="15.75" customHeight="1">
      <c r="A2455" s="48"/>
      <c r="B2455" s="48"/>
      <c r="C2455" s="48"/>
      <c r="D2455" s="47"/>
      <c r="E2455" s="48"/>
    </row>
    <row r="2456" ht="15.75" customHeight="1">
      <c r="A2456" s="48"/>
      <c r="B2456" s="48"/>
      <c r="C2456" s="48"/>
      <c r="D2456" s="47"/>
      <c r="E2456" s="48"/>
    </row>
    <row r="2457" ht="15.75" customHeight="1">
      <c r="A2457" s="48"/>
      <c r="B2457" s="48"/>
      <c r="C2457" s="48"/>
      <c r="D2457" s="47"/>
      <c r="E2457" s="48"/>
    </row>
    <row r="2458" ht="15.75" customHeight="1">
      <c r="A2458" s="48"/>
      <c r="B2458" s="48"/>
      <c r="C2458" s="48"/>
      <c r="D2458" s="47"/>
      <c r="E2458" s="48"/>
    </row>
    <row r="2459" ht="15.75" customHeight="1">
      <c r="A2459" s="48"/>
      <c r="B2459" s="48"/>
      <c r="C2459" s="48"/>
      <c r="D2459" s="47"/>
      <c r="E2459" s="48"/>
    </row>
    <row r="2460" ht="15.75" customHeight="1">
      <c r="A2460" s="48"/>
      <c r="B2460" s="48"/>
      <c r="C2460" s="48"/>
      <c r="D2460" s="47"/>
      <c r="E2460" s="48"/>
    </row>
    <row r="2461" ht="15.75" customHeight="1">
      <c r="A2461" s="48"/>
      <c r="B2461" s="48"/>
      <c r="C2461" s="48"/>
      <c r="D2461" s="47"/>
      <c r="E2461" s="48"/>
    </row>
    <row r="2462" ht="15.75" customHeight="1">
      <c r="A2462" s="48"/>
      <c r="B2462" s="48"/>
      <c r="C2462" s="48"/>
      <c r="D2462" s="47"/>
      <c r="E2462" s="48"/>
    </row>
    <row r="2463" ht="15.75" customHeight="1">
      <c r="A2463" s="48"/>
      <c r="B2463" s="48"/>
      <c r="C2463" s="48"/>
      <c r="D2463" s="47"/>
      <c r="E2463" s="48"/>
    </row>
    <row r="2464" ht="15.75" customHeight="1">
      <c r="A2464" s="48"/>
      <c r="B2464" s="48"/>
      <c r="C2464" s="48"/>
      <c r="D2464" s="47"/>
      <c r="E2464" s="48"/>
    </row>
    <row r="2465" ht="15.75" customHeight="1">
      <c r="A2465" s="48"/>
      <c r="B2465" s="48"/>
      <c r="C2465" s="48"/>
      <c r="D2465" s="47"/>
      <c r="E2465" s="48"/>
    </row>
    <row r="2466" ht="15.75" customHeight="1">
      <c r="A2466" s="48"/>
      <c r="B2466" s="48"/>
      <c r="C2466" s="48"/>
      <c r="D2466" s="47"/>
      <c r="E2466" s="48"/>
    </row>
    <row r="2467" ht="15.75" customHeight="1">
      <c r="A2467" s="48"/>
      <c r="B2467" s="48"/>
      <c r="C2467" s="48"/>
      <c r="D2467" s="47"/>
      <c r="E2467" s="48"/>
    </row>
    <row r="2468" ht="15.75" customHeight="1">
      <c r="A2468" s="48"/>
      <c r="B2468" s="48"/>
      <c r="C2468" s="48"/>
      <c r="D2468" s="47"/>
      <c r="E2468" s="48"/>
    </row>
    <row r="2469" ht="15.75" customHeight="1">
      <c r="A2469" s="48"/>
      <c r="B2469" s="48"/>
      <c r="C2469" s="48"/>
      <c r="D2469" s="47"/>
      <c r="E2469" s="48"/>
    </row>
    <row r="2470" ht="15.75" customHeight="1">
      <c r="A2470" s="48"/>
      <c r="B2470" s="48"/>
      <c r="C2470" s="48"/>
      <c r="D2470" s="47"/>
      <c r="E2470" s="48"/>
    </row>
    <row r="2471" ht="15.75" customHeight="1">
      <c r="A2471" s="48"/>
      <c r="B2471" s="48"/>
      <c r="C2471" s="48"/>
      <c r="D2471" s="47"/>
      <c r="E2471" s="48"/>
    </row>
    <row r="2472" ht="15.75" customHeight="1">
      <c r="A2472" s="48"/>
      <c r="B2472" s="48"/>
      <c r="C2472" s="48"/>
      <c r="D2472" s="47"/>
      <c r="E2472" s="48"/>
    </row>
    <row r="2473" ht="15.75" customHeight="1">
      <c r="A2473" s="48"/>
      <c r="B2473" s="48"/>
      <c r="C2473" s="48"/>
      <c r="D2473" s="47"/>
      <c r="E2473" s="48"/>
    </row>
    <row r="2474" ht="15.75" customHeight="1">
      <c r="A2474" s="48"/>
      <c r="B2474" s="48"/>
      <c r="C2474" s="48"/>
      <c r="D2474" s="47"/>
      <c r="E2474" s="48"/>
    </row>
    <row r="2475" ht="15.75" customHeight="1">
      <c r="A2475" s="48"/>
      <c r="B2475" s="48"/>
      <c r="C2475" s="48"/>
      <c r="D2475" s="47"/>
      <c r="E2475" s="48"/>
    </row>
    <row r="2476" ht="15.75" customHeight="1">
      <c r="A2476" s="48"/>
      <c r="B2476" s="48"/>
      <c r="C2476" s="48"/>
      <c r="D2476" s="47"/>
      <c r="E2476" s="48"/>
    </row>
    <row r="2477" ht="15.75" customHeight="1">
      <c r="A2477" s="48"/>
      <c r="B2477" s="48"/>
      <c r="C2477" s="48"/>
      <c r="D2477" s="47"/>
      <c r="E2477" s="48"/>
    </row>
    <row r="2478" ht="15.75" customHeight="1">
      <c r="A2478" s="48"/>
      <c r="B2478" s="48"/>
      <c r="C2478" s="48"/>
      <c r="D2478" s="47"/>
      <c r="E2478" s="48"/>
    </row>
    <row r="2479" ht="15.75" customHeight="1">
      <c r="A2479" s="48"/>
      <c r="B2479" s="48"/>
      <c r="C2479" s="48"/>
      <c r="D2479" s="47"/>
      <c r="E2479" s="48"/>
    </row>
    <row r="2480" ht="15.75" customHeight="1">
      <c r="A2480" s="48"/>
      <c r="B2480" s="48"/>
      <c r="C2480" s="48"/>
      <c r="D2480" s="47"/>
      <c r="E2480" s="48"/>
    </row>
    <row r="2481" ht="15.75" customHeight="1">
      <c r="A2481" s="48"/>
      <c r="B2481" s="48"/>
      <c r="C2481" s="48"/>
      <c r="D2481" s="47"/>
      <c r="E2481" s="48"/>
    </row>
    <row r="2482" ht="15.75" customHeight="1">
      <c r="A2482" s="48"/>
      <c r="B2482" s="48"/>
      <c r="C2482" s="48"/>
      <c r="D2482" s="47"/>
      <c r="E2482" s="48"/>
    </row>
    <row r="2483" ht="15.75" customHeight="1">
      <c r="A2483" s="48"/>
      <c r="B2483" s="48"/>
      <c r="C2483" s="48"/>
      <c r="D2483" s="47"/>
      <c r="E2483" s="48"/>
    </row>
    <row r="2484" ht="15.75" customHeight="1">
      <c r="A2484" s="48"/>
      <c r="B2484" s="48"/>
      <c r="C2484" s="48"/>
      <c r="D2484" s="47"/>
      <c r="E2484" s="48"/>
    </row>
    <row r="2485" ht="15.75" customHeight="1">
      <c r="A2485" s="48"/>
      <c r="B2485" s="48"/>
      <c r="C2485" s="48"/>
      <c r="D2485" s="47"/>
      <c r="E2485" s="48"/>
    </row>
    <row r="2486" ht="15.75" customHeight="1">
      <c r="A2486" s="48"/>
      <c r="B2486" s="48"/>
      <c r="C2486" s="48"/>
      <c r="D2486" s="47"/>
      <c r="E2486" s="48"/>
    </row>
    <row r="2487" ht="15.75" customHeight="1">
      <c r="A2487" s="48"/>
      <c r="B2487" s="48"/>
      <c r="C2487" s="48"/>
      <c r="D2487" s="47"/>
      <c r="E2487" s="48"/>
    </row>
    <row r="2488" ht="15.75" customHeight="1">
      <c r="A2488" s="48"/>
      <c r="B2488" s="48"/>
      <c r="C2488" s="48"/>
      <c r="D2488" s="47"/>
      <c r="E2488" s="48"/>
    </row>
    <row r="2489" ht="15.75" customHeight="1">
      <c r="A2489" s="48"/>
      <c r="B2489" s="48"/>
      <c r="C2489" s="48"/>
      <c r="D2489" s="47"/>
      <c r="E2489" s="48"/>
    </row>
    <row r="2490" ht="15.75" customHeight="1">
      <c r="A2490" s="48"/>
      <c r="B2490" s="48"/>
      <c r="C2490" s="48"/>
      <c r="D2490" s="47"/>
      <c r="E2490" s="48"/>
    </row>
    <row r="2491" ht="15.75" customHeight="1">
      <c r="A2491" s="48"/>
      <c r="B2491" s="48"/>
      <c r="C2491" s="48"/>
      <c r="D2491" s="47"/>
      <c r="E2491" s="48"/>
    </row>
    <row r="2492" ht="15.75" customHeight="1">
      <c r="A2492" s="48"/>
      <c r="B2492" s="48"/>
      <c r="C2492" s="48"/>
      <c r="D2492" s="47"/>
      <c r="E2492" s="48"/>
    </row>
    <row r="2493" ht="15.75" customHeight="1">
      <c r="A2493" s="48"/>
      <c r="B2493" s="48"/>
      <c r="C2493" s="48"/>
      <c r="D2493" s="47"/>
      <c r="E2493" s="48"/>
    </row>
    <row r="2494" ht="15.75" customHeight="1">
      <c r="A2494" s="48"/>
      <c r="B2494" s="48"/>
      <c r="C2494" s="48"/>
      <c r="D2494" s="47"/>
      <c r="E2494" s="48"/>
    </row>
    <row r="2495" ht="15.75" customHeight="1">
      <c r="A2495" s="48"/>
      <c r="B2495" s="48"/>
      <c r="C2495" s="48"/>
      <c r="D2495" s="47"/>
      <c r="E2495" s="48"/>
    </row>
    <row r="2496" ht="15.75" customHeight="1">
      <c r="A2496" s="48"/>
      <c r="B2496" s="48"/>
      <c r="C2496" s="48"/>
      <c r="D2496" s="47"/>
      <c r="E2496" s="48"/>
    </row>
    <row r="2497" ht="15.75" customHeight="1">
      <c r="A2497" s="48"/>
      <c r="B2497" s="48"/>
      <c r="C2497" s="48"/>
      <c r="D2497" s="47"/>
      <c r="E2497" s="48"/>
    </row>
    <row r="2498" ht="15.75" customHeight="1">
      <c r="A2498" s="48"/>
      <c r="B2498" s="48"/>
      <c r="C2498" s="48"/>
      <c r="D2498" s="47"/>
      <c r="E2498" s="48"/>
    </row>
    <row r="2499" ht="15.75" customHeight="1">
      <c r="A2499" s="48"/>
      <c r="B2499" s="48"/>
      <c r="C2499" s="48"/>
      <c r="D2499" s="47"/>
      <c r="E2499" s="48"/>
    </row>
    <row r="2500" ht="15.75" customHeight="1">
      <c r="A2500" s="48"/>
      <c r="B2500" s="48"/>
      <c r="C2500" s="48"/>
      <c r="D2500" s="47"/>
      <c r="E2500" s="48"/>
    </row>
    <row r="2501" ht="15.75" customHeight="1">
      <c r="A2501" s="48"/>
      <c r="B2501" s="48"/>
      <c r="C2501" s="48"/>
      <c r="D2501" s="47"/>
      <c r="E2501" s="48"/>
    </row>
    <row r="2502" ht="15.75" customHeight="1">
      <c r="A2502" s="48"/>
      <c r="B2502" s="48"/>
      <c r="C2502" s="48"/>
      <c r="D2502" s="47"/>
      <c r="E2502" s="48"/>
    </row>
    <row r="2503" ht="15.75" customHeight="1">
      <c r="A2503" s="48"/>
      <c r="B2503" s="48"/>
      <c r="C2503" s="48"/>
      <c r="D2503" s="47"/>
      <c r="E2503" s="48"/>
    </row>
    <row r="2504" ht="15.75" customHeight="1">
      <c r="A2504" s="48"/>
      <c r="B2504" s="48"/>
      <c r="C2504" s="48"/>
      <c r="D2504" s="47"/>
      <c r="E2504" s="48"/>
    </row>
    <row r="2505" ht="15.75" customHeight="1">
      <c r="A2505" s="48"/>
      <c r="B2505" s="48"/>
      <c r="C2505" s="48"/>
      <c r="D2505" s="47"/>
      <c r="E2505" s="48"/>
    </row>
    <row r="2506" ht="15.75" customHeight="1">
      <c r="A2506" s="48"/>
      <c r="B2506" s="48"/>
      <c r="C2506" s="48"/>
      <c r="D2506" s="47"/>
      <c r="E2506" s="48"/>
    </row>
    <row r="2507" ht="15.75" customHeight="1">
      <c r="A2507" s="48"/>
      <c r="B2507" s="48"/>
      <c r="C2507" s="48"/>
      <c r="D2507" s="47"/>
      <c r="E2507" s="48"/>
    </row>
    <row r="2508" ht="15.75" customHeight="1">
      <c r="A2508" s="48"/>
      <c r="B2508" s="48"/>
      <c r="C2508" s="48"/>
      <c r="D2508" s="47"/>
      <c r="E2508" s="48"/>
    </row>
    <row r="2509" ht="15.75" customHeight="1">
      <c r="A2509" s="48"/>
      <c r="B2509" s="48"/>
      <c r="C2509" s="48"/>
      <c r="D2509" s="47"/>
      <c r="E2509" s="48"/>
    </row>
    <row r="2510" ht="15.75" customHeight="1">
      <c r="A2510" s="48"/>
      <c r="B2510" s="48"/>
      <c r="C2510" s="48"/>
      <c r="D2510" s="47"/>
      <c r="E2510" s="48"/>
    </row>
    <row r="2511" ht="15.75" customHeight="1">
      <c r="A2511" s="48"/>
      <c r="B2511" s="48"/>
      <c r="C2511" s="48"/>
      <c r="D2511" s="47"/>
      <c r="E2511" s="48"/>
    </row>
    <row r="2512" ht="15.75" customHeight="1">
      <c r="A2512" s="48"/>
      <c r="B2512" s="48"/>
      <c r="C2512" s="48"/>
      <c r="D2512" s="47"/>
      <c r="E2512" s="48"/>
    </row>
    <row r="2513" ht="15.75" customHeight="1">
      <c r="A2513" s="48"/>
      <c r="B2513" s="48"/>
      <c r="C2513" s="48"/>
      <c r="D2513" s="47"/>
      <c r="E2513" s="48"/>
    </row>
    <row r="2514" ht="15.75" customHeight="1">
      <c r="A2514" s="48"/>
      <c r="B2514" s="48"/>
      <c r="C2514" s="48"/>
      <c r="D2514" s="47"/>
      <c r="E2514" s="48"/>
    </row>
    <row r="2515" ht="15.75" customHeight="1">
      <c r="A2515" s="48"/>
      <c r="B2515" s="48"/>
      <c r="C2515" s="48"/>
      <c r="D2515" s="47"/>
      <c r="E2515" s="48"/>
    </row>
    <row r="2516" ht="15.75" customHeight="1">
      <c r="A2516" s="48"/>
      <c r="B2516" s="48"/>
      <c r="C2516" s="48"/>
      <c r="D2516" s="47"/>
      <c r="E2516" s="48"/>
    </row>
    <row r="2517" ht="15.75" customHeight="1">
      <c r="A2517" s="48"/>
      <c r="B2517" s="48"/>
      <c r="C2517" s="48"/>
      <c r="D2517" s="47"/>
      <c r="E2517" s="48"/>
    </row>
    <row r="2518" ht="15.75" customHeight="1">
      <c r="A2518" s="48"/>
      <c r="B2518" s="48"/>
      <c r="C2518" s="48"/>
      <c r="D2518" s="47"/>
      <c r="E2518" s="48"/>
    </row>
    <row r="2519" ht="15.75" customHeight="1">
      <c r="A2519" s="48"/>
      <c r="B2519" s="48"/>
      <c r="C2519" s="48"/>
      <c r="D2519" s="47"/>
      <c r="E2519" s="48"/>
    </row>
    <row r="2520" ht="15.75" customHeight="1">
      <c r="A2520" s="48"/>
      <c r="B2520" s="48"/>
      <c r="C2520" s="48"/>
      <c r="D2520" s="47"/>
      <c r="E2520" s="48"/>
    </row>
    <row r="2521" ht="15.75" customHeight="1">
      <c r="A2521" s="48"/>
      <c r="B2521" s="48"/>
      <c r="C2521" s="48"/>
      <c r="D2521" s="47"/>
      <c r="E2521" s="48"/>
    </row>
    <row r="2522" ht="15.75" customHeight="1">
      <c r="A2522" s="48"/>
      <c r="B2522" s="48"/>
      <c r="C2522" s="48"/>
      <c r="D2522" s="47"/>
      <c r="E2522" s="48"/>
    </row>
    <row r="2523" ht="15.75" customHeight="1">
      <c r="A2523" s="48"/>
      <c r="B2523" s="48"/>
      <c r="C2523" s="48"/>
      <c r="D2523" s="47"/>
      <c r="E2523" s="48"/>
    </row>
    <row r="2524" ht="15.75" customHeight="1">
      <c r="A2524" s="48"/>
      <c r="B2524" s="48"/>
      <c r="C2524" s="48"/>
      <c r="D2524" s="47"/>
      <c r="E2524" s="48"/>
    </row>
    <row r="2525" ht="15.75" customHeight="1">
      <c r="A2525" s="48"/>
      <c r="B2525" s="48"/>
      <c r="C2525" s="48"/>
      <c r="D2525" s="47"/>
      <c r="E2525" s="48"/>
    </row>
    <row r="2526" ht="15.75" customHeight="1">
      <c r="A2526" s="48"/>
      <c r="B2526" s="48"/>
      <c r="C2526" s="48"/>
      <c r="D2526" s="47"/>
      <c r="E2526" s="48"/>
    </row>
    <row r="2527" ht="15.75" customHeight="1">
      <c r="A2527" s="48"/>
      <c r="B2527" s="48"/>
      <c r="C2527" s="48"/>
      <c r="D2527" s="47"/>
      <c r="E2527" s="48"/>
    </row>
    <row r="2528" ht="15.75" customHeight="1">
      <c r="A2528" s="48"/>
      <c r="B2528" s="48"/>
      <c r="C2528" s="48"/>
      <c r="D2528" s="47"/>
      <c r="E2528" s="48"/>
    </row>
    <row r="2529" ht="15.75" customHeight="1">
      <c r="A2529" s="48"/>
      <c r="B2529" s="48"/>
      <c r="C2529" s="48"/>
      <c r="D2529" s="47"/>
      <c r="E2529" s="48"/>
    </row>
    <row r="2530" ht="15.75" customHeight="1">
      <c r="A2530" s="48"/>
      <c r="B2530" s="48"/>
      <c r="C2530" s="48"/>
      <c r="D2530" s="47"/>
      <c r="E2530" s="48"/>
    </row>
    <row r="2531" ht="15.75" customHeight="1">
      <c r="A2531" s="48"/>
      <c r="B2531" s="48"/>
      <c r="C2531" s="48"/>
      <c r="D2531" s="47"/>
      <c r="E2531" s="48"/>
    </row>
    <row r="2532" ht="15.75" customHeight="1">
      <c r="A2532" s="48"/>
      <c r="B2532" s="48"/>
      <c r="C2532" s="48"/>
      <c r="D2532" s="47"/>
      <c r="E2532" s="48"/>
    </row>
    <row r="2533" ht="15.75" customHeight="1">
      <c r="A2533" s="48"/>
      <c r="B2533" s="48"/>
      <c r="C2533" s="48"/>
      <c r="D2533" s="47"/>
      <c r="E2533" s="48"/>
    </row>
    <row r="2534" ht="15.75" customHeight="1">
      <c r="A2534" s="48"/>
      <c r="B2534" s="48"/>
      <c r="C2534" s="48"/>
      <c r="D2534" s="47"/>
      <c r="E2534" s="48"/>
    </row>
    <row r="2535" ht="15.75" customHeight="1">
      <c r="A2535" s="48"/>
      <c r="B2535" s="48"/>
      <c r="C2535" s="48"/>
      <c r="D2535" s="47"/>
      <c r="E2535" s="48"/>
    </row>
    <row r="2536" ht="15.75" customHeight="1">
      <c r="A2536" s="48"/>
      <c r="B2536" s="48"/>
      <c r="C2536" s="48"/>
      <c r="D2536" s="47"/>
      <c r="E2536" s="48"/>
    </row>
    <row r="2537" ht="15.75" customHeight="1">
      <c r="A2537" s="48"/>
      <c r="B2537" s="48"/>
      <c r="C2537" s="48"/>
      <c r="D2537" s="47"/>
      <c r="E2537" s="48"/>
    </row>
    <row r="2538" ht="15.75" customHeight="1">
      <c r="A2538" s="48"/>
      <c r="B2538" s="48"/>
      <c r="C2538" s="48"/>
      <c r="D2538" s="47"/>
      <c r="E2538" s="48"/>
    </row>
    <row r="2539" ht="15.75" customHeight="1">
      <c r="A2539" s="48"/>
      <c r="B2539" s="48"/>
      <c r="C2539" s="48"/>
      <c r="D2539" s="47"/>
      <c r="E2539" s="48"/>
    </row>
    <row r="2540" ht="15.75" customHeight="1">
      <c r="A2540" s="48"/>
      <c r="B2540" s="48"/>
      <c r="C2540" s="48"/>
      <c r="D2540" s="47"/>
      <c r="E2540" s="48"/>
    </row>
    <row r="2541" ht="15.75" customHeight="1">
      <c r="A2541" s="48"/>
      <c r="B2541" s="48"/>
      <c r="C2541" s="48"/>
      <c r="D2541" s="47"/>
      <c r="E2541" s="48"/>
    </row>
    <row r="2542" ht="15.75" customHeight="1">
      <c r="A2542" s="48"/>
      <c r="B2542" s="48"/>
      <c r="C2542" s="48"/>
      <c r="D2542" s="47"/>
      <c r="E2542" s="48"/>
    </row>
    <row r="2543" ht="15.75" customHeight="1">
      <c r="A2543" s="48"/>
      <c r="B2543" s="48"/>
      <c r="C2543" s="48"/>
      <c r="D2543" s="47"/>
      <c r="E2543" s="48"/>
    </row>
    <row r="2544" ht="15.75" customHeight="1">
      <c r="A2544" s="48"/>
      <c r="B2544" s="48"/>
      <c r="C2544" s="48"/>
      <c r="D2544" s="47"/>
      <c r="E2544" s="48"/>
    </row>
    <row r="2545" ht="15.75" customHeight="1">
      <c r="A2545" s="48"/>
      <c r="B2545" s="48"/>
      <c r="C2545" s="48"/>
      <c r="D2545" s="47"/>
      <c r="E2545" s="48"/>
    </row>
    <row r="2546" ht="15.75" customHeight="1">
      <c r="A2546" s="48"/>
      <c r="B2546" s="48"/>
      <c r="C2546" s="48"/>
      <c r="D2546" s="47"/>
      <c r="E2546" s="48"/>
    </row>
    <row r="2547" ht="15.75" customHeight="1">
      <c r="A2547" s="48"/>
      <c r="B2547" s="48"/>
      <c r="C2547" s="48"/>
      <c r="D2547" s="47"/>
      <c r="E2547" s="48"/>
    </row>
    <row r="2548" ht="15.75" customHeight="1">
      <c r="A2548" s="48"/>
      <c r="B2548" s="48"/>
      <c r="C2548" s="48"/>
      <c r="D2548" s="47"/>
      <c r="E2548" s="48"/>
    </row>
    <row r="2549" ht="15.75" customHeight="1">
      <c r="A2549" s="48"/>
      <c r="B2549" s="48"/>
      <c r="C2549" s="48"/>
      <c r="D2549" s="47"/>
      <c r="E2549" s="48"/>
    </row>
    <row r="2550" ht="15.75" customHeight="1">
      <c r="A2550" s="48"/>
      <c r="B2550" s="48"/>
      <c r="C2550" s="48"/>
      <c r="D2550" s="47"/>
      <c r="E2550" s="48"/>
    </row>
    <row r="2551" ht="15.75" customHeight="1">
      <c r="A2551" s="48"/>
      <c r="B2551" s="48"/>
      <c r="C2551" s="48"/>
      <c r="D2551" s="47"/>
      <c r="E2551" s="48"/>
    </row>
    <row r="2552" ht="15.75" customHeight="1">
      <c r="A2552" s="48"/>
      <c r="B2552" s="48"/>
      <c r="C2552" s="48"/>
      <c r="D2552" s="47"/>
      <c r="E2552" s="48"/>
    </row>
    <row r="2553" ht="15.75" customHeight="1">
      <c r="A2553" s="48"/>
      <c r="B2553" s="48"/>
      <c r="C2553" s="48"/>
      <c r="D2553" s="47"/>
      <c r="E2553" s="48"/>
    </row>
    <row r="2554" ht="15.75" customHeight="1">
      <c r="A2554" s="48"/>
      <c r="B2554" s="48"/>
      <c r="C2554" s="48"/>
      <c r="D2554" s="47"/>
      <c r="E2554" s="48"/>
    </row>
    <row r="2555" ht="15.75" customHeight="1">
      <c r="A2555" s="48"/>
      <c r="B2555" s="48"/>
      <c r="C2555" s="48"/>
      <c r="D2555" s="47"/>
      <c r="E2555" s="48"/>
    </row>
    <row r="2556" ht="15.75" customHeight="1">
      <c r="A2556" s="48"/>
      <c r="B2556" s="48"/>
      <c r="C2556" s="48"/>
      <c r="D2556" s="47"/>
      <c r="E2556" s="48"/>
    </row>
    <row r="2557" ht="15.75" customHeight="1">
      <c r="A2557" s="48"/>
      <c r="B2557" s="48"/>
      <c r="C2557" s="48"/>
      <c r="D2557" s="47"/>
      <c r="E2557" s="48"/>
    </row>
    <row r="2558" ht="15.75" customHeight="1">
      <c r="A2558" s="48"/>
      <c r="B2558" s="48"/>
      <c r="C2558" s="48"/>
      <c r="D2558" s="47"/>
      <c r="E2558" s="48"/>
    </row>
    <row r="2559" ht="15.75" customHeight="1">
      <c r="A2559" s="48"/>
      <c r="B2559" s="48"/>
      <c r="C2559" s="48"/>
      <c r="D2559" s="47"/>
      <c r="E2559" s="48"/>
    </row>
    <row r="2560" ht="15.75" customHeight="1">
      <c r="A2560" s="48"/>
      <c r="B2560" s="48"/>
      <c r="C2560" s="48"/>
      <c r="D2560" s="47"/>
      <c r="E2560" s="48"/>
    </row>
    <row r="2561" ht="15.75" customHeight="1">
      <c r="A2561" s="48"/>
      <c r="B2561" s="48"/>
      <c r="C2561" s="48"/>
      <c r="D2561" s="47"/>
      <c r="E2561" s="48"/>
    </row>
    <row r="2562" ht="15.75" customHeight="1">
      <c r="A2562" s="48"/>
      <c r="B2562" s="48"/>
      <c r="C2562" s="48"/>
      <c r="D2562" s="47"/>
      <c r="E2562" s="48"/>
    </row>
    <row r="2563" ht="15.75" customHeight="1">
      <c r="A2563" s="48"/>
      <c r="B2563" s="48"/>
      <c r="C2563" s="48"/>
      <c r="D2563" s="47"/>
      <c r="E2563" s="48"/>
    </row>
    <row r="2564" ht="15.75" customHeight="1">
      <c r="A2564" s="48"/>
      <c r="B2564" s="48"/>
      <c r="C2564" s="48"/>
      <c r="D2564" s="47"/>
      <c r="E2564" s="48"/>
    </row>
    <row r="2565" ht="15.75" customHeight="1">
      <c r="A2565" s="48"/>
      <c r="B2565" s="48"/>
      <c r="C2565" s="48"/>
      <c r="D2565" s="47"/>
      <c r="E2565" s="48"/>
    </row>
    <row r="2566" ht="15.75" customHeight="1">
      <c r="A2566" s="48"/>
      <c r="B2566" s="48"/>
      <c r="C2566" s="48"/>
      <c r="D2566" s="47"/>
      <c r="E2566" s="48"/>
    </row>
    <row r="2567" ht="15.75" customHeight="1">
      <c r="A2567" s="48"/>
      <c r="B2567" s="48"/>
      <c r="C2567" s="48"/>
      <c r="D2567" s="47"/>
      <c r="E2567" s="48"/>
    </row>
    <row r="2568" ht="15.75" customHeight="1">
      <c r="A2568" s="48"/>
      <c r="B2568" s="48"/>
      <c r="C2568" s="48"/>
      <c r="D2568" s="47"/>
      <c r="E2568" s="48"/>
    </row>
    <row r="2569" ht="15.75" customHeight="1">
      <c r="A2569" s="48"/>
      <c r="B2569" s="48"/>
      <c r="C2569" s="48"/>
      <c r="D2569" s="47"/>
      <c r="E2569" s="48"/>
    </row>
    <row r="2570" ht="15.75" customHeight="1">
      <c r="A2570" s="48"/>
      <c r="B2570" s="48"/>
      <c r="C2570" s="48"/>
      <c r="D2570" s="47"/>
      <c r="E2570" s="48"/>
    </row>
    <row r="2571" ht="15.75" customHeight="1">
      <c r="A2571" s="48"/>
      <c r="B2571" s="48"/>
      <c r="C2571" s="48"/>
      <c r="D2571" s="47"/>
      <c r="E2571" s="48"/>
    </row>
    <row r="2572" ht="15.75" customHeight="1">
      <c r="A2572" s="48"/>
      <c r="B2572" s="48"/>
      <c r="C2572" s="48"/>
      <c r="D2572" s="47"/>
      <c r="E2572" s="48"/>
    </row>
    <row r="2573" ht="15.75" customHeight="1">
      <c r="A2573" s="48"/>
      <c r="B2573" s="48"/>
      <c r="C2573" s="48"/>
      <c r="D2573" s="47"/>
      <c r="E2573" s="48"/>
    </row>
    <row r="2574" ht="15.75" customHeight="1">
      <c r="A2574" s="48"/>
      <c r="B2574" s="48"/>
      <c r="C2574" s="48"/>
      <c r="D2574" s="47"/>
      <c r="E2574" s="48"/>
    </row>
    <row r="2575" ht="15.75" customHeight="1">
      <c r="A2575" s="48"/>
      <c r="B2575" s="48"/>
      <c r="C2575" s="48"/>
      <c r="D2575" s="47"/>
      <c r="E2575" s="48"/>
    </row>
    <row r="2576" ht="15.75" customHeight="1">
      <c r="A2576" s="48"/>
      <c r="B2576" s="48"/>
      <c r="C2576" s="48"/>
      <c r="D2576" s="47"/>
      <c r="E2576" s="48"/>
    </row>
    <row r="2577" ht="15.75" customHeight="1">
      <c r="A2577" s="48"/>
      <c r="B2577" s="48"/>
      <c r="C2577" s="48"/>
      <c r="D2577" s="47"/>
      <c r="E2577" s="48"/>
    </row>
    <row r="2578" ht="15.75" customHeight="1">
      <c r="A2578" s="48"/>
      <c r="B2578" s="48"/>
      <c r="C2578" s="48"/>
      <c r="D2578" s="47"/>
      <c r="E2578" s="48"/>
    </row>
    <row r="2579" ht="15.75" customHeight="1">
      <c r="A2579" s="48"/>
      <c r="B2579" s="48"/>
      <c r="C2579" s="48"/>
      <c r="D2579" s="47"/>
      <c r="E2579" s="48"/>
    </row>
    <row r="2580" ht="15.75" customHeight="1">
      <c r="A2580" s="48"/>
      <c r="B2580" s="48"/>
      <c r="C2580" s="48"/>
      <c r="D2580" s="47"/>
      <c r="E2580" s="48"/>
    </row>
    <row r="2581" ht="15.75" customHeight="1">
      <c r="A2581" s="48"/>
      <c r="B2581" s="48"/>
      <c r="C2581" s="48"/>
      <c r="D2581" s="47"/>
      <c r="E2581" s="48"/>
    </row>
    <row r="2582" ht="15.75" customHeight="1">
      <c r="A2582" s="48"/>
      <c r="B2582" s="48"/>
      <c r="C2582" s="48"/>
      <c r="D2582" s="47"/>
      <c r="E2582" s="48"/>
    </row>
    <row r="2583" ht="15.75" customHeight="1">
      <c r="A2583" s="48"/>
      <c r="B2583" s="48"/>
      <c r="C2583" s="48"/>
      <c r="D2583" s="47"/>
      <c r="E2583" s="48"/>
    </row>
    <row r="2584" ht="15.75" customHeight="1">
      <c r="A2584" s="48"/>
      <c r="B2584" s="48"/>
      <c r="C2584" s="48"/>
      <c r="D2584" s="47"/>
      <c r="E2584" s="48"/>
    </row>
    <row r="2585" ht="15.75" customHeight="1">
      <c r="A2585" s="48"/>
      <c r="B2585" s="48"/>
      <c r="C2585" s="48"/>
      <c r="D2585" s="47"/>
      <c r="E2585" s="48"/>
    </row>
    <row r="2586" ht="15.75" customHeight="1">
      <c r="A2586" s="48"/>
      <c r="B2586" s="48"/>
      <c r="C2586" s="48"/>
      <c r="D2586" s="47"/>
      <c r="E2586" s="48"/>
    </row>
    <row r="2587" ht="15.75" customHeight="1">
      <c r="A2587" s="48"/>
      <c r="B2587" s="48"/>
      <c r="C2587" s="48"/>
      <c r="D2587" s="47"/>
      <c r="E2587" s="48"/>
    </row>
    <row r="2588" ht="15.75" customHeight="1">
      <c r="A2588" s="48"/>
      <c r="B2588" s="48"/>
      <c r="C2588" s="48"/>
      <c r="D2588" s="47"/>
      <c r="E2588" s="48"/>
    </row>
    <row r="2589" ht="15.75" customHeight="1">
      <c r="A2589" s="48"/>
      <c r="B2589" s="48"/>
      <c r="C2589" s="48"/>
      <c r="D2589" s="47"/>
      <c r="E2589" s="48"/>
    </row>
    <row r="2590" ht="15.75" customHeight="1">
      <c r="A2590" s="48"/>
      <c r="B2590" s="48"/>
      <c r="C2590" s="48"/>
      <c r="D2590" s="47"/>
      <c r="E2590" s="48"/>
    </row>
    <row r="2591" ht="15.75" customHeight="1">
      <c r="A2591" s="48"/>
      <c r="B2591" s="48"/>
      <c r="C2591" s="48"/>
      <c r="D2591" s="47"/>
      <c r="E2591" s="48"/>
    </row>
    <row r="2592" ht="15.75" customHeight="1">
      <c r="A2592" s="48"/>
      <c r="B2592" s="48"/>
      <c r="C2592" s="48"/>
      <c r="D2592" s="47"/>
      <c r="E2592" s="48"/>
    </row>
    <row r="2593" ht="15.75" customHeight="1">
      <c r="A2593" s="48"/>
      <c r="B2593" s="48"/>
      <c r="C2593" s="48"/>
      <c r="D2593" s="47"/>
      <c r="E2593" s="48"/>
    </row>
    <row r="2594" ht="15.75" customHeight="1">
      <c r="A2594" s="48"/>
      <c r="B2594" s="48"/>
      <c r="C2594" s="48"/>
      <c r="D2594" s="47"/>
      <c r="E2594" s="48"/>
    </row>
    <row r="2595" ht="15.75" customHeight="1">
      <c r="A2595" s="48"/>
      <c r="B2595" s="48"/>
      <c r="C2595" s="48"/>
      <c r="D2595" s="47"/>
      <c r="E2595" s="48"/>
    </row>
    <row r="2596" ht="15.75" customHeight="1">
      <c r="A2596" s="48"/>
      <c r="B2596" s="48"/>
      <c r="C2596" s="48"/>
      <c r="D2596" s="47"/>
      <c r="E2596" s="48"/>
    </row>
    <row r="2597" ht="15.75" customHeight="1">
      <c r="A2597" s="48"/>
      <c r="B2597" s="48"/>
      <c r="C2597" s="48"/>
      <c r="D2597" s="47"/>
      <c r="E2597" s="48"/>
    </row>
    <row r="2598" ht="15.75" customHeight="1">
      <c r="A2598" s="48"/>
      <c r="B2598" s="48"/>
      <c r="C2598" s="48"/>
      <c r="D2598" s="47"/>
      <c r="E2598" s="48"/>
    </row>
    <row r="2599" ht="15.75" customHeight="1">
      <c r="A2599" s="48"/>
      <c r="B2599" s="48"/>
      <c r="C2599" s="48"/>
      <c r="D2599" s="47"/>
      <c r="E2599" s="48"/>
    </row>
    <row r="2600" ht="15.75" customHeight="1">
      <c r="A2600" s="48"/>
      <c r="B2600" s="48"/>
      <c r="C2600" s="48"/>
      <c r="D2600" s="47"/>
      <c r="E2600" s="48"/>
    </row>
    <row r="2601" ht="15.75" customHeight="1">
      <c r="A2601" s="48"/>
      <c r="B2601" s="48"/>
      <c r="C2601" s="48"/>
      <c r="D2601" s="47"/>
      <c r="E2601" s="48"/>
    </row>
    <row r="2602" ht="15.75" customHeight="1">
      <c r="A2602" s="48"/>
      <c r="B2602" s="48"/>
      <c r="C2602" s="48"/>
      <c r="D2602" s="47"/>
      <c r="E2602" s="48"/>
    </row>
    <row r="2603" ht="15.75" customHeight="1">
      <c r="A2603" s="48"/>
      <c r="B2603" s="48"/>
      <c r="C2603" s="48"/>
      <c r="D2603" s="47"/>
      <c r="E2603" s="48"/>
    </row>
    <row r="2604" ht="15.75" customHeight="1">
      <c r="A2604" s="48"/>
      <c r="B2604" s="48"/>
      <c r="C2604" s="48"/>
      <c r="D2604" s="47"/>
      <c r="E2604" s="48"/>
    </row>
    <row r="2605" ht="15.75" customHeight="1">
      <c r="A2605" s="48"/>
      <c r="B2605" s="48"/>
      <c r="C2605" s="48"/>
      <c r="D2605" s="47"/>
      <c r="E2605" s="48"/>
    </row>
    <row r="2606" ht="15.75" customHeight="1">
      <c r="A2606" s="48"/>
      <c r="B2606" s="48"/>
      <c r="C2606" s="48"/>
      <c r="D2606" s="47"/>
      <c r="E2606" s="48"/>
    </row>
    <row r="2607" ht="15.75" customHeight="1">
      <c r="A2607" s="48"/>
      <c r="B2607" s="48"/>
      <c r="C2607" s="48"/>
      <c r="D2607" s="47"/>
      <c r="E2607" s="48"/>
    </row>
    <row r="2608" ht="15.75" customHeight="1">
      <c r="A2608" s="48"/>
      <c r="B2608" s="48"/>
      <c r="C2608" s="48"/>
      <c r="D2608" s="47"/>
      <c r="E2608" s="48"/>
    </row>
    <row r="2609" ht="15.75" customHeight="1">
      <c r="A2609" s="48"/>
      <c r="B2609" s="48"/>
      <c r="C2609" s="48"/>
      <c r="D2609" s="47"/>
      <c r="E2609" s="48"/>
    </row>
    <row r="2610" ht="15.75" customHeight="1">
      <c r="A2610" s="48"/>
      <c r="B2610" s="48"/>
      <c r="C2610" s="48"/>
      <c r="D2610" s="47"/>
      <c r="E2610" s="48"/>
    </row>
    <row r="2611" ht="15.75" customHeight="1">
      <c r="A2611" s="48"/>
      <c r="B2611" s="48"/>
      <c r="C2611" s="48"/>
      <c r="D2611" s="47"/>
      <c r="E2611" s="48"/>
    </row>
    <row r="2612" ht="15.75" customHeight="1">
      <c r="A2612" s="48"/>
      <c r="B2612" s="48"/>
      <c r="C2612" s="48"/>
      <c r="D2612" s="47"/>
      <c r="E2612" s="48"/>
    </row>
    <row r="2613" ht="15.75" customHeight="1">
      <c r="A2613" s="48"/>
      <c r="B2613" s="48"/>
      <c r="C2613" s="48"/>
      <c r="D2613" s="47"/>
      <c r="E2613" s="48"/>
    </row>
    <row r="2614" ht="15.75" customHeight="1">
      <c r="A2614" s="48"/>
      <c r="B2614" s="48"/>
      <c r="C2614" s="48"/>
      <c r="D2614" s="47"/>
      <c r="E2614" s="48"/>
    </row>
    <row r="2615" ht="15.75" customHeight="1">
      <c r="A2615" s="48"/>
      <c r="B2615" s="48"/>
      <c r="C2615" s="48"/>
      <c r="D2615" s="47"/>
      <c r="E2615" s="48"/>
    </row>
    <row r="2616" ht="15.75" customHeight="1">
      <c r="A2616" s="48"/>
      <c r="B2616" s="48"/>
      <c r="C2616" s="48"/>
      <c r="D2616" s="47"/>
      <c r="E2616" s="48"/>
    </row>
    <row r="2617" ht="15.75" customHeight="1">
      <c r="A2617" s="48"/>
      <c r="B2617" s="48"/>
      <c r="C2617" s="48"/>
      <c r="D2617" s="47"/>
      <c r="E2617" s="48"/>
    </row>
    <row r="2618" ht="15.75" customHeight="1">
      <c r="A2618" s="48"/>
      <c r="B2618" s="48"/>
      <c r="C2618" s="48"/>
      <c r="D2618" s="47"/>
      <c r="E2618" s="48"/>
    </row>
    <row r="2619" ht="15.75" customHeight="1">
      <c r="A2619" s="48"/>
      <c r="B2619" s="48"/>
      <c r="C2619" s="48"/>
      <c r="D2619" s="47"/>
      <c r="E2619" s="48"/>
    </row>
    <row r="2620" ht="15.75" customHeight="1">
      <c r="A2620" s="48"/>
      <c r="B2620" s="48"/>
      <c r="C2620" s="48"/>
      <c r="D2620" s="47"/>
      <c r="E2620" s="48"/>
    </row>
    <row r="2621" ht="15.75" customHeight="1">
      <c r="A2621" s="48"/>
      <c r="B2621" s="48"/>
      <c r="C2621" s="48"/>
      <c r="D2621" s="47"/>
      <c r="E2621" s="48"/>
    </row>
    <row r="2622" ht="15.75" customHeight="1">
      <c r="A2622" s="48"/>
      <c r="B2622" s="48"/>
      <c r="C2622" s="48"/>
      <c r="D2622" s="47"/>
      <c r="E2622" s="48"/>
    </row>
    <row r="2623" ht="15.75" customHeight="1">
      <c r="A2623" s="48"/>
      <c r="B2623" s="48"/>
      <c r="C2623" s="48"/>
      <c r="D2623" s="47"/>
      <c r="E2623" s="48"/>
    </row>
    <row r="2624" ht="15.75" customHeight="1">
      <c r="A2624" s="48"/>
      <c r="B2624" s="48"/>
      <c r="C2624" s="48"/>
      <c r="D2624" s="47"/>
      <c r="E2624" s="48"/>
    </row>
    <row r="2625" ht="15.75" customHeight="1">
      <c r="A2625" s="48"/>
      <c r="B2625" s="48"/>
      <c r="C2625" s="48"/>
      <c r="D2625" s="47"/>
      <c r="E2625" s="48"/>
    </row>
    <row r="2626" ht="15.75" customHeight="1">
      <c r="A2626" s="48"/>
      <c r="B2626" s="48"/>
      <c r="C2626" s="48"/>
      <c r="D2626" s="47"/>
      <c r="E2626" s="48"/>
    </row>
    <row r="2627" ht="15.75" customHeight="1">
      <c r="A2627" s="48"/>
      <c r="B2627" s="48"/>
      <c r="C2627" s="48"/>
      <c r="D2627" s="47"/>
      <c r="E2627" s="48"/>
    </row>
    <row r="2628" ht="15.75" customHeight="1">
      <c r="A2628" s="48"/>
      <c r="B2628" s="48"/>
      <c r="C2628" s="48"/>
      <c r="D2628" s="47"/>
      <c r="E2628" s="48"/>
    </row>
    <row r="2629" ht="15.75" customHeight="1">
      <c r="A2629" s="48"/>
      <c r="B2629" s="48"/>
      <c r="C2629" s="48"/>
      <c r="D2629" s="47"/>
      <c r="E2629" s="48"/>
    </row>
    <row r="2630" ht="15.75" customHeight="1">
      <c r="A2630" s="48"/>
      <c r="B2630" s="48"/>
      <c r="C2630" s="48"/>
      <c r="D2630" s="47"/>
      <c r="E2630" s="48"/>
    </row>
    <row r="2631" ht="15.75" customHeight="1">
      <c r="A2631" s="48"/>
      <c r="B2631" s="48"/>
      <c r="C2631" s="48"/>
      <c r="D2631" s="47"/>
      <c r="E2631" s="48"/>
    </row>
    <row r="2632" ht="15.75" customHeight="1">
      <c r="A2632" s="48"/>
      <c r="B2632" s="48"/>
      <c r="C2632" s="48"/>
      <c r="D2632" s="47"/>
      <c r="E2632" s="48"/>
    </row>
    <row r="2633" ht="15.75" customHeight="1">
      <c r="A2633" s="48"/>
      <c r="B2633" s="48"/>
      <c r="C2633" s="48"/>
      <c r="D2633" s="47"/>
      <c r="E2633" s="48"/>
    </row>
    <row r="2634" ht="15.75" customHeight="1">
      <c r="A2634" s="48"/>
      <c r="B2634" s="48"/>
      <c r="C2634" s="48"/>
      <c r="D2634" s="47"/>
      <c r="E2634" s="48"/>
    </row>
    <row r="2635" ht="15.75" customHeight="1">
      <c r="A2635" s="48"/>
      <c r="B2635" s="48"/>
      <c r="C2635" s="48"/>
      <c r="D2635" s="47"/>
      <c r="E2635" s="48"/>
    </row>
    <row r="2636" ht="15.75" customHeight="1">
      <c r="A2636" s="48"/>
      <c r="B2636" s="48"/>
      <c r="C2636" s="48"/>
      <c r="D2636" s="47"/>
      <c r="E2636" s="48"/>
    </row>
    <row r="2637" ht="15.75" customHeight="1">
      <c r="A2637" s="48"/>
      <c r="B2637" s="48"/>
      <c r="C2637" s="48"/>
      <c r="D2637" s="47"/>
      <c r="E2637" s="48"/>
    </row>
    <row r="2638" ht="15.75" customHeight="1">
      <c r="A2638" s="48"/>
      <c r="B2638" s="48"/>
      <c r="C2638" s="48"/>
      <c r="D2638" s="47"/>
      <c r="E2638" s="48"/>
    </row>
    <row r="2639" ht="15.75" customHeight="1">
      <c r="A2639" s="48"/>
      <c r="B2639" s="48"/>
      <c r="C2639" s="48"/>
      <c r="D2639" s="47"/>
      <c r="E2639" s="48"/>
    </row>
    <row r="2640" ht="15.75" customHeight="1">
      <c r="A2640" s="48"/>
      <c r="B2640" s="48"/>
      <c r="C2640" s="48"/>
      <c r="D2640" s="47"/>
      <c r="E2640" s="48"/>
    </row>
    <row r="2641" ht="15.75" customHeight="1">
      <c r="A2641" s="48"/>
      <c r="B2641" s="48"/>
      <c r="C2641" s="48"/>
      <c r="D2641" s="47"/>
      <c r="E2641" s="48"/>
    </row>
    <row r="2642" ht="15.75" customHeight="1">
      <c r="A2642" s="48"/>
      <c r="B2642" s="48"/>
      <c r="C2642" s="48"/>
      <c r="D2642" s="47"/>
      <c r="E2642" s="48"/>
    </row>
    <row r="2643" ht="15.75" customHeight="1">
      <c r="A2643" s="48"/>
      <c r="B2643" s="48"/>
      <c r="C2643" s="48"/>
      <c r="D2643" s="47"/>
      <c r="E2643" s="48"/>
    </row>
    <row r="2644" ht="15.75" customHeight="1">
      <c r="A2644" s="48"/>
      <c r="B2644" s="48"/>
      <c r="C2644" s="48"/>
      <c r="D2644" s="47"/>
      <c r="E2644" s="48"/>
    </row>
    <row r="2645" ht="15.75" customHeight="1">
      <c r="A2645" s="48"/>
      <c r="B2645" s="48"/>
      <c r="C2645" s="48"/>
      <c r="D2645" s="47"/>
      <c r="E2645" s="48"/>
    </row>
    <row r="2646" ht="15.75" customHeight="1">
      <c r="A2646" s="48"/>
      <c r="B2646" s="48"/>
      <c r="C2646" s="48"/>
      <c r="D2646" s="47"/>
      <c r="E2646" s="48"/>
    </row>
    <row r="2647" ht="15.75" customHeight="1">
      <c r="A2647" s="48"/>
      <c r="B2647" s="48"/>
      <c r="C2647" s="48"/>
      <c r="D2647" s="47"/>
      <c r="E2647" s="48"/>
    </row>
    <row r="2648" ht="15.75" customHeight="1">
      <c r="A2648" s="48"/>
      <c r="B2648" s="48"/>
      <c r="C2648" s="48"/>
      <c r="D2648" s="47"/>
      <c r="E2648" s="48"/>
    </row>
    <row r="2649" ht="15.75" customHeight="1">
      <c r="A2649" s="48"/>
      <c r="B2649" s="48"/>
      <c r="C2649" s="48"/>
      <c r="D2649" s="47"/>
      <c r="E2649" s="48"/>
    </row>
    <row r="2650" ht="15.75" customHeight="1">
      <c r="A2650" s="48"/>
      <c r="B2650" s="48"/>
      <c r="C2650" s="48"/>
      <c r="D2650" s="47"/>
      <c r="E2650" s="48"/>
    </row>
    <row r="2651" ht="15.75" customHeight="1">
      <c r="A2651" s="48"/>
      <c r="B2651" s="48"/>
      <c r="C2651" s="48"/>
      <c r="D2651" s="47"/>
      <c r="E2651" s="48"/>
    </row>
    <row r="2652" ht="15.75" customHeight="1">
      <c r="A2652" s="48"/>
      <c r="B2652" s="48"/>
      <c r="C2652" s="48"/>
      <c r="D2652" s="47"/>
      <c r="E2652" s="48"/>
    </row>
    <row r="2653" ht="15.75" customHeight="1">
      <c r="A2653" s="48"/>
      <c r="B2653" s="48"/>
      <c r="C2653" s="48"/>
      <c r="D2653" s="47"/>
      <c r="E2653" s="48"/>
    </row>
    <row r="2654" ht="15.75" customHeight="1">
      <c r="A2654" s="48"/>
      <c r="B2654" s="48"/>
      <c r="C2654" s="48"/>
      <c r="D2654" s="47"/>
      <c r="E2654" s="48"/>
    </row>
    <row r="2655" ht="15.75" customHeight="1">
      <c r="A2655" s="48"/>
      <c r="B2655" s="48"/>
      <c r="C2655" s="48"/>
      <c r="D2655" s="47"/>
      <c r="E2655" s="48"/>
    </row>
    <row r="2656" ht="15.75" customHeight="1">
      <c r="A2656" s="48"/>
      <c r="B2656" s="48"/>
      <c r="C2656" s="48"/>
      <c r="D2656" s="47"/>
      <c r="E2656" s="48"/>
    </row>
    <row r="2657" ht="15.75" customHeight="1">
      <c r="A2657" s="48"/>
      <c r="B2657" s="48"/>
      <c r="C2657" s="48"/>
      <c r="D2657" s="47"/>
      <c r="E2657" s="48"/>
    </row>
    <row r="2658" ht="15.75" customHeight="1">
      <c r="A2658" s="48"/>
      <c r="B2658" s="48"/>
      <c r="C2658" s="48"/>
      <c r="D2658" s="47"/>
      <c r="E2658" s="48"/>
    </row>
    <row r="2659" ht="15.75" customHeight="1">
      <c r="A2659" s="48"/>
      <c r="B2659" s="48"/>
      <c r="C2659" s="48"/>
      <c r="D2659" s="47"/>
      <c r="E2659" s="48"/>
    </row>
    <row r="2660" ht="15.75" customHeight="1">
      <c r="A2660" s="48"/>
      <c r="B2660" s="48"/>
      <c r="C2660" s="48"/>
      <c r="D2660" s="47"/>
      <c r="E2660" s="48"/>
    </row>
    <row r="2661" ht="15.75" customHeight="1">
      <c r="A2661" s="48"/>
      <c r="B2661" s="48"/>
      <c r="C2661" s="48"/>
      <c r="D2661" s="47"/>
      <c r="E2661" s="48"/>
    </row>
    <row r="2662" ht="15.75" customHeight="1">
      <c r="A2662" s="48"/>
      <c r="B2662" s="48"/>
      <c r="C2662" s="48"/>
      <c r="D2662" s="47"/>
      <c r="E2662" s="48"/>
    </row>
    <row r="2663" ht="15.75" customHeight="1">
      <c r="A2663" s="48"/>
      <c r="B2663" s="48"/>
      <c r="C2663" s="48"/>
      <c r="D2663" s="47"/>
      <c r="E2663" s="48"/>
    </row>
    <row r="2664" ht="15.75" customHeight="1">
      <c r="A2664" s="48"/>
      <c r="B2664" s="48"/>
      <c r="C2664" s="48"/>
      <c r="D2664" s="47"/>
      <c r="E2664" s="48"/>
    </row>
    <row r="2665" ht="15.75" customHeight="1">
      <c r="A2665" s="48"/>
      <c r="B2665" s="48"/>
      <c r="C2665" s="48"/>
      <c r="D2665" s="47"/>
      <c r="E2665" s="48"/>
    </row>
    <row r="2666" ht="15.75" customHeight="1">
      <c r="A2666" s="48"/>
      <c r="B2666" s="48"/>
      <c r="C2666" s="48"/>
      <c r="D2666" s="47"/>
      <c r="E2666" s="48"/>
    </row>
    <row r="2667" ht="15.75" customHeight="1">
      <c r="A2667" s="48"/>
      <c r="B2667" s="48"/>
      <c r="C2667" s="48"/>
      <c r="D2667" s="47"/>
      <c r="E2667" s="48"/>
    </row>
    <row r="2668" ht="15.75" customHeight="1">
      <c r="A2668" s="48"/>
      <c r="B2668" s="48"/>
      <c r="C2668" s="48"/>
      <c r="D2668" s="47"/>
      <c r="E2668" s="48"/>
    </row>
    <row r="2669" ht="15.75" customHeight="1">
      <c r="A2669" s="48"/>
      <c r="B2669" s="48"/>
      <c r="C2669" s="48"/>
      <c r="D2669" s="47"/>
      <c r="E2669" s="48"/>
    </row>
    <row r="2670" ht="15.75" customHeight="1">
      <c r="A2670" s="48"/>
      <c r="B2670" s="48"/>
      <c r="C2670" s="48"/>
      <c r="D2670" s="47"/>
      <c r="E2670" s="48"/>
    </row>
    <row r="2671" ht="15.75" customHeight="1">
      <c r="A2671" s="48"/>
      <c r="B2671" s="48"/>
      <c r="C2671" s="48"/>
      <c r="D2671" s="47"/>
      <c r="E2671" s="48"/>
    </row>
    <row r="2672" ht="15.75" customHeight="1">
      <c r="A2672" s="48"/>
      <c r="B2672" s="48"/>
      <c r="C2672" s="48"/>
      <c r="D2672" s="47"/>
      <c r="E2672" s="48"/>
    </row>
    <row r="2673" ht="15.75" customHeight="1">
      <c r="A2673" s="48"/>
      <c r="B2673" s="48"/>
      <c r="C2673" s="48"/>
      <c r="D2673" s="47"/>
      <c r="E2673" s="48"/>
    </row>
    <row r="2674" ht="15.75" customHeight="1">
      <c r="A2674" s="48"/>
      <c r="B2674" s="48"/>
      <c r="C2674" s="48"/>
      <c r="D2674" s="47"/>
      <c r="E2674" s="48"/>
    </row>
    <row r="2675" ht="15.75" customHeight="1">
      <c r="A2675" s="48"/>
      <c r="B2675" s="48"/>
      <c r="C2675" s="48"/>
      <c r="D2675" s="47"/>
      <c r="E2675" s="48"/>
    </row>
    <row r="2676" ht="15.75" customHeight="1">
      <c r="A2676" s="48"/>
      <c r="B2676" s="48"/>
      <c r="C2676" s="48"/>
      <c r="D2676" s="47"/>
      <c r="E2676" s="48"/>
    </row>
    <row r="2677" ht="15.75" customHeight="1">
      <c r="A2677" s="48"/>
      <c r="B2677" s="48"/>
      <c r="C2677" s="48"/>
      <c r="D2677" s="47"/>
      <c r="E2677" s="48"/>
    </row>
    <row r="2678" ht="15.75" customHeight="1">
      <c r="A2678" s="48"/>
      <c r="B2678" s="48"/>
      <c r="C2678" s="48"/>
      <c r="D2678" s="47"/>
      <c r="E2678" s="48"/>
    </row>
    <row r="2679" ht="15.75" customHeight="1">
      <c r="A2679" s="48"/>
      <c r="B2679" s="48"/>
      <c r="C2679" s="48"/>
      <c r="D2679" s="47"/>
      <c r="E2679" s="48"/>
    </row>
    <row r="2680" ht="15.75" customHeight="1">
      <c r="A2680" s="48"/>
      <c r="B2680" s="48"/>
      <c r="C2680" s="48"/>
      <c r="D2680" s="47"/>
      <c r="E2680" s="48"/>
    </row>
    <row r="2681" ht="15.75" customHeight="1">
      <c r="A2681" s="48"/>
      <c r="B2681" s="48"/>
      <c r="C2681" s="48"/>
      <c r="D2681" s="47"/>
      <c r="E2681" s="48"/>
    </row>
    <row r="2682" ht="15.75" customHeight="1">
      <c r="A2682" s="48"/>
      <c r="B2682" s="48"/>
      <c r="C2682" s="48"/>
      <c r="D2682" s="47"/>
      <c r="E2682" s="48"/>
    </row>
    <row r="2683" ht="15.75" customHeight="1">
      <c r="A2683" s="48"/>
      <c r="B2683" s="48"/>
      <c r="C2683" s="48"/>
      <c r="D2683" s="47"/>
      <c r="E2683" s="48"/>
    </row>
    <row r="2684" ht="15.75" customHeight="1">
      <c r="A2684" s="48"/>
      <c r="B2684" s="48"/>
      <c r="C2684" s="48"/>
      <c r="D2684" s="47"/>
      <c r="E2684" s="48"/>
    </row>
    <row r="2685" ht="15.75" customHeight="1">
      <c r="A2685" s="48"/>
      <c r="B2685" s="48"/>
      <c r="C2685" s="48"/>
      <c r="D2685" s="47"/>
      <c r="E2685" s="48"/>
    </row>
    <row r="2686" ht="15.75" customHeight="1">
      <c r="A2686" s="48"/>
      <c r="B2686" s="48"/>
      <c r="C2686" s="48"/>
      <c r="D2686" s="47"/>
      <c r="E2686" s="48"/>
    </row>
    <row r="2687" ht="15.75" customHeight="1">
      <c r="A2687" s="48"/>
      <c r="B2687" s="48"/>
      <c r="C2687" s="48"/>
      <c r="D2687" s="47"/>
      <c r="E2687" s="48"/>
    </row>
    <row r="2688" ht="15.75" customHeight="1">
      <c r="A2688" s="48"/>
      <c r="B2688" s="48"/>
      <c r="C2688" s="48"/>
      <c r="D2688" s="47"/>
      <c r="E2688" s="48"/>
    </row>
    <row r="2689" ht="15.75" customHeight="1">
      <c r="A2689" s="48"/>
      <c r="B2689" s="48"/>
      <c r="C2689" s="48"/>
      <c r="D2689" s="47"/>
      <c r="E2689" s="48"/>
    </row>
    <row r="2690" ht="15.75" customHeight="1">
      <c r="A2690" s="48"/>
      <c r="B2690" s="48"/>
      <c r="C2690" s="48"/>
      <c r="D2690" s="47"/>
      <c r="E2690" s="48"/>
    </row>
    <row r="2691" ht="15.75" customHeight="1">
      <c r="A2691" s="48"/>
      <c r="B2691" s="48"/>
      <c r="C2691" s="48"/>
      <c r="D2691" s="47"/>
      <c r="E2691" s="48"/>
    </row>
    <row r="2692" ht="15.75" customHeight="1">
      <c r="A2692" s="48"/>
      <c r="B2692" s="48"/>
      <c r="C2692" s="48"/>
      <c r="D2692" s="47"/>
      <c r="E2692" s="48"/>
    </row>
    <row r="2693" ht="15.75" customHeight="1">
      <c r="A2693" s="48"/>
      <c r="B2693" s="48"/>
      <c r="C2693" s="48"/>
      <c r="D2693" s="47"/>
      <c r="E2693" s="48"/>
    </row>
    <row r="2694" ht="15.75" customHeight="1">
      <c r="A2694" s="48"/>
      <c r="B2694" s="48"/>
      <c r="C2694" s="48"/>
      <c r="D2694" s="47"/>
      <c r="E2694" s="48"/>
    </row>
    <row r="2695" ht="15.75" customHeight="1">
      <c r="A2695" s="48"/>
      <c r="B2695" s="48"/>
      <c r="C2695" s="48"/>
      <c r="D2695" s="47"/>
      <c r="E2695" s="48"/>
    </row>
    <row r="2696" ht="15.75" customHeight="1">
      <c r="A2696" s="48"/>
      <c r="B2696" s="48"/>
      <c r="C2696" s="48"/>
      <c r="D2696" s="47"/>
      <c r="E2696" s="48"/>
    </row>
    <row r="2697" ht="15.75" customHeight="1">
      <c r="A2697" s="48"/>
      <c r="B2697" s="48"/>
      <c r="C2697" s="48"/>
      <c r="D2697" s="47"/>
      <c r="E2697" s="48"/>
    </row>
    <row r="2698" ht="15.75" customHeight="1">
      <c r="A2698" s="48"/>
      <c r="B2698" s="48"/>
      <c r="C2698" s="48"/>
      <c r="D2698" s="47"/>
      <c r="E2698" s="48"/>
    </row>
    <row r="2699" ht="15.75" customHeight="1">
      <c r="A2699" s="48"/>
      <c r="B2699" s="48"/>
      <c r="C2699" s="48"/>
      <c r="D2699" s="47"/>
      <c r="E2699" s="48"/>
    </row>
    <row r="2700" ht="15.75" customHeight="1">
      <c r="A2700" s="48"/>
      <c r="B2700" s="48"/>
      <c r="C2700" s="48"/>
      <c r="D2700" s="47"/>
      <c r="E2700" s="48"/>
    </row>
    <row r="2701" ht="15.75" customHeight="1">
      <c r="A2701" s="48"/>
      <c r="B2701" s="48"/>
      <c r="C2701" s="48"/>
      <c r="D2701" s="47"/>
      <c r="E2701" s="48"/>
    </row>
    <row r="2702" ht="15.75" customHeight="1">
      <c r="A2702" s="48"/>
      <c r="B2702" s="48"/>
      <c r="C2702" s="48"/>
      <c r="D2702" s="47"/>
      <c r="E2702" s="48"/>
    </row>
    <row r="2703" ht="15.75" customHeight="1">
      <c r="A2703" s="48"/>
      <c r="B2703" s="48"/>
      <c r="C2703" s="48"/>
      <c r="D2703" s="47"/>
      <c r="E2703" s="48"/>
    </row>
    <row r="2704" ht="15.75" customHeight="1">
      <c r="A2704" s="48"/>
      <c r="B2704" s="48"/>
      <c r="C2704" s="48"/>
      <c r="D2704" s="47"/>
      <c r="E2704" s="48"/>
    </row>
    <row r="2705" ht="15.75" customHeight="1">
      <c r="A2705" s="48"/>
      <c r="B2705" s="48"/>
      <c r="C2705" s="48"/>
      <c r="D2705" s="47"/>
      <c r="E2705" s="48"/>
    </row>
    <row r="2706" ht="15.75" customHeight="1">
      <c r="A2706" s="48"/>
      <c r="B2706" s="48"/>
      <c r="C2706" s="48"/>
      <c r="D2706" s="47"/>
      <c r="E2706" s="48"/>
    </row>
    <row r="2707" ht="15.75" customHeight="1">
      <c r="A2707" s="48"/>
      <c r="B2707" s="48"/>
      <c r="C2707" s="48"/>
      <c r="D2707" s="47"/>
      <c r="E2707" s="48"/>
    </row>
    <row r="2708" ht="15.75" customHeight="1">
      <c r="A2708" s="48"/>
      <c r="B2708" s="48"/>
      <c r="C2708" s="48"/>
      <c r="D2708" s="47"/>
      <c r="E2708" s="48"/>
    </row>
    <row r="2709" ht="15.75" customHeight="1">
      <c r="A2709" s="48"/>
      <c r="B2709" s="48"/>
      <c r="C2709" s="48"/>
      <c r="D2709" s="47"/>
      <c r="E2709" s="48"/>
    </row>
    <row r="2710" ht="15.75" customHeight="1">
      <c r="A2710" s="48"/>
      <c r="B2710" s="48"/>
      <c r="C2710" s="48"/>
      <c r="D2710" s="47"/>
      <c r="E2710" s="48"/>
    </row>
    <row r="2711" ht="15.75" customHeight="1">
      <c r="A2711" s="48"/>
      <c r="B2711" s="48"/>
      <c r="C2711" s="48"/>
      <c r="D2711" s="47"/>
      <c r="E2711" s="48"/>
    </row>
    <row r="2712" ht="15.75" customHeight="1">
      <c r="A2712" s="48"/>
      <c r="B2712" s="48"/>
      <c r="C2712" s="48"/>
      <c r="D2712" s="47"/>
      <c r="E2712" s="48"/>
    </row>
    <row r="2713" ht="15.75" customHeight="1">
      <c r="A2713" s="48"/>
      <c r="B2713" s="48"/>
      <c r="C2713" s="48"/>
      <c r="D2713" s="47"/>
      <c r="E2713" s="48"/>
    </row>
    <row r="2714" ht="15.75" customHeight="1">
      <c r="A2714" s="48"/>
      <c r="B2714" s="48"/>
      <c r="C2714" s="48"/>
      <c r="D2714" s="47"/>
      <c r="E2714" s="48"/>
    </row>
    <row r="2715" ht="15.75" customHeight="1">
      <c r="A2715" s="48"/>
      <c r="B2715" s="48"/>
      <c r="C2715" s="48"/>
      <c r="D2715" s="47"/>
      <c r="E2715" s="48"/>
    </row>
    <row r="2716" ht="15.75" customHeight="1">
      <c r="A2716" s="48"/>
      <c r="B2716" s="48"/>
      <c r="C2716" s="48"/>
      <c r="D2716" s="47"/>
      <c r="E2716" s="48"/>
    </row>
    <row r="2717" ht="15.75" customHeight="1">
      <c r="A2717" s="48"/>
      <c r="B2717" s="48"/>
      <c r="C2717" s="48"/>
      <c r="D2717" s="47"/>
      <c r="E2717" s="48"/>
    </row>
    <row r="2718" ht="15.75" customHeight="1">
      <c r="A2718" s="48"/>
      <c r="B2718" s="48"/>
      <c r="C2718" s="48"/>
      <c r="D2718" s="47"/>
      <c r="E2718" s="48"/>
    </row>
    <row r="2719" ht="15.75" customHeight="1">
      <c r="A2719" s="48"/>
      <c r="B2719" s="48"/>
      <c r="C2719" s="48"/>
      <c r="D2719" s="47"/>
      <c r="E2719" s="48"/>
    </row>
    <row r="2720" ht="15.75" customHeight="1">
      <c r="A2720" s="48"/>
      <c r="B2720" s="48"/>
      <c r="C2720" s="48"/>
      <c r="D2720" s="47"/>
      <c r="E2720" s="48"/>
    </row>
    <row r="2721" ht="15.75" customHeight="1">
      <c r="A2721" s="48"/>
      <c r="B2721" s="48"/>
      <c r="C2721" s="48"/>
      <c r="D2721" s="47"/>
      <c r="E2721" s="48"/>
    </row>
    <row r="2722" ht="15.75" customHeight="1">
      <c r="A2722" s="48"/>
      <c r="B2722" s="48"/>
      <c r="C2722" s="48"/>
      <c r="D2722" s="47"/>
      <c r="E2722" s="48"/>
    </row>
    <row r="2723" ht="15.75" customHeight="1">
      <c r="A2723" s="48"/>
      <c r="B2723" s="48"/>
      <c r="C2723" s="48"/>
      <c r="D2723" s="47"/>
      <c r="E2723" s="48"/>
    </row>
    <row r="2724" ht="15.75" customHeight="1">
      <c r="A2724" s="48"/>
      <c r="B2724" s="48"/>
      <c r="C2724" s="48"/>
      <c r="D2724" s="47"/>
      <c r="E2724" s="48"/>
    </row>
    <row r="2725" ht="15.75" customHeight="1">
      <c r="A2725" s="48"/>
      <c r="B2725" s="48"/>
      <c r="C2725" s="48"/>
      <c r="D2725" s="47"/>
      <c r="E2725" s="48"/>
    </row>
    <row r="2726" ht="15.75" customHeight="1">
      <c r="A2726" s="48"/>
      <c r="B2726" s="48"/>
      <c r="C2726" s="48"/>
      <c r="D2726" s="47"/>
      <c r="E2726" s="48"/>
    </row>
    <row r="2727" ht="15.75" customHeight="1">
      <c r="A2727" s="48"/>
      <c r="B2727" s="48"/>
      <c r="C2727" s="48"/>
      <c r="D2727" s="47"/>
      <c r="E2727" s="48"/>
    </row>
    <row r="2728" ht="15.75" customHeight="1">
      <c r="A2728" s="48"/>
      <c r="B2728" s="48"/>
      <c r="C2728" s="48"/>
      <c r="D2728" s="47"/>
      <c r="E2728" s="48"/>
    </row>
    <row r="2729" ht="15.75" customHeight="1">
      <c r="A2729" s="48"/>
      <c r="B2729" s="48"/>
      <c r="C2729" s="48"/>
      <c r="D2729" s="47"/>
      <c r="E2729" s="48"/>
    </row>
    <row r="2730" ht="15.75" customHeight="1">
      <c r="A2730" s="48"/>
      <c r="B2730" s="48"/>
      <c r="C2730" s="48"/>
      <c r="D2730" s="47"/>
      <c r="E2730" s="48"/>
    </row>
    <row r="2731" ht="15.75" customHeight="1">
      <c r="A2731" s="48"/>
      <c r="B2731" s="48"/>
      <c r="C2731" s="48"/>
      <c r="D2731" s="47"/>
      <c r="E2731" s="48"/>
    </row>
    <row r="2732" ht="15.75" customHeight="1">
      <c r="A2732" s="48"/>
      <c r="B2732" s="48"/>
      <c r="C2732" s="48"/>
      <c r="D2732" s="47"/>
      <c r="E2732" s="48"/>
    </row>
    <row r="2733" ht="15.75" customHeight="1">
      <c r="A2733" s="48"/>
      <c r="B2733" s="48"/>
      <c r="C2733" s="48"/>
      <c r="D2733" s="47"/>
      <c r="E2733" s="48"/>
    </row>
    <row r="2734" ht="15.75" customHeight="1">
      <c r="A2734" s="48"/>
      <c r="B2734" s="48"/>
      <c r="C2734" s="48"/>
      <c r="D2734" s="47"/>
      <c r="E2734" s="48"/>
    </row>
    <row r="2735" ht="15.75" customHeight="1">
      <c r="A2735" s="48"/>
      <c r="B2735" s="48"/>
      <c r="C2735" s="48"/>
      <c r="D2735" s="47"/>
      <c r="E2735" s="48"/>
    </row>
    <row r="2736" ht="15.75" customHeight="1">
      <c r="A2736" s="48"/>
      <c r="B2736" s="48"/>
      <c r="C2736" s="48"/>
      <c r="D2736" s="47"/>
      <c r="E2736" s="48"/>
    </row>
    <row r="2737" ht="15.75" customHeight="1">
      <c r="A2737" s="48"/>
      <c r="B2737" s="48"/>
      <c r="C2737" s="48"/>
      <c r="D2737" s="47"/>
      <c r="E2737" s="48"/>
    </row>
    <row r="2738" ht="15.75" customHeight="1">
      <c r="A2738" s="48"/>
      <c r="B2738" s="48"/>
      <c r="C2738" s="48"/>
      <c r="D2738" s="47"/>
      <c r="E2738" s="48"/>
    </row>
    <row r="2739" ht="15.75" customHeight="1">
      <c r="A2739" s="48"/>
      <c r="B2739" s="48"/>
      <c r="C2739" s="48"/>
      <c r="D2739" s="47"/>
      <c r="E2739" s="48"/>
    </row>
    <row r="2740" ht="15.75" customHeight="1">
      <c r="A2740" s="48"/>
      <c r="B2740" s="48"/>
      <c r="C2740" s="48"/>
      <c r="D2740" s="47"/>
      <c r="E2740" s="48"/>
    </row>
    <row r="2741" ht="15.75" customHeight="1">
      <c r="A2741" s="48"/>
      <c r="B2741" s="48"/>
      <c r="C2741" s="48"/>
      <c r="D2741" s="47"/>
      <c r="E2741" s="48"/>
    </row>
    <row r="2742" ht="15.75" customHeight="1">
      <c r="A2742" s="48"/>
      <c r="B2742" s="48"/>
      <c r="C2742" s="48"/>
      <c r="D2742" s="47"/>
      <c r="E2742" s="48"/>
    </row>
    <row r="2743" ht="15.75" customHeight="1">
      <c r="A2743" s="48"/>
      <c r="B2743" s="48"/>
      <c r="C2743" s="48"/>
      <c r="D2743" s="47"/>
      <c r="E2743" s="48"/>
    </row>
    <row r="2744" ht="15.75" customHeight="1">
      <c r="A2744" s="48"/>
      <c r="B2744" s="48"/>
      <c r="C2744" s="48"/>
      <c r="D2744" s="47"/>
      <c r="E2744" s="48"/>
    </row>
    <row r="2745" ht="15.75" customHeight="1">
      <c r="A2745" s="48"/>
      <c r="B2745" s="48"/>
      <c r="C2745" s="48"/>
      <c r="D2745" s="47"/>
      <c r="E2745" s="48"/>
    </row>
    <row r="2746" ht="15.75" customHeight="1">
      <c r="A2746" s="48"/>
      <c r="B2746" s="48"/>
      <c r="C2746" s="48"/>
      <c r="D2746" s="47"/>
      <c r="E2746" s="48"/>
    </row>
    <row r="2747" ht="15.75" customHeight="1">
      <c r="A2747" s="48"/>
      <c r="B2747" s="48"/>
      <c r="C2747" s="48"/>
      <c r="D2747" s="47"/>
      <c r="E2747" s="48"/>
    </row>
    <row r="2748" ht="15.75" customHeight="1">
      <c r="A2748" s="48"/>
      <c r="B2748" s="48"/>
      <c r="C2748" s="48"/>
      <c r="D2748" s="47"/>
      <c r="E2748" s="48"/>
    </row>
    <row r="2749" ht="15.75" customHeight="1">
      <c r="A2749" s="48"/>
      <c r="B2749" s="48"/>
      <c r="C2749" s="48"/>
      <c r="D2749" s="47"/>
      <c r="E2749" s="48"/>
    </row>
    <row r="2750" ht="15.75" customHeight="1">
      <c r="A2750" s="48"/>
      <c r="B2750" s="48"/>
      <c r="C2750" s="48"/>
      <c r="D2750" s="47"/>
      <c r="E2750" s="48"/>
    </row>
    <row r="2751" ht="15.75" customHeight="1">
      <c r="A2751" s="48"/>
      <c r="B2751" s="48"/>
      <c r="C2751" s="48"/>
      <c r="D2751" s="47"/>
      <c r="E2751" s="48"/>
    </row>
    <row r="2752" ht="15.75" customHeight="1">
      <c r="A2752" s="48"/>
      <c r="B2752" s="48"/>
      <c r="C2752" s="48"/>
      <c r="D2752" s="47"/>
      <c r="E2752" s="48"/>
    </row>
    <row r="2753" ht="15.75" customHeight="1">
      <c r="A2753" s="48"/>
      <c r="B2753" s="48"/>
      <c r="C2753" s="48"/>
      <c r="D2753" s="47"/>
      <c r="E2753" s="48"/>
    </row>
    <row r="2754" ht="15.75" customHeight="1">
      <c r="A2754" s="48"/>
      <c r="B2754" s="48"/>
      <c r="C2754" s="48"/>
      <c r="D2754" s="47"/>
      <c r="E2754" s="48"/>
    </row>
    <row r="2755" ht="15.75" customHeight="1">
      <c r="A2755" s="48"/>
      <c r="B2755" s="48"/>
      <c r="C2755" s="48"/>
      <c r="D2755" s="47"/>
      <c r="E2755" s="48"/>
    </row>
    <row r="2756" ht="15.75" customHeight="1">
      <c r="A2756" s="48"/>
      <c r="B2756" s="48"/>
      <c r="C2756" s="48"/>
      <c r="D2756" s="47"/>
      <c r="E2756" s="48"/>
    </row>
    <row r="2757" ht="15.75" customHeight="1">
      <c r="A2757" s="48"/>
      <c r="B2757" s="48"/>
      <c r="C2757" s="48"/>
      <c r="D2757" s="47"/>
      <c r="E2757" s="48"/>
    </row>
    <row r="2758" ht="15.75" customHeight="1">
      <c r="A2758" s="48"/>
      <c r="B2758" s="48"/>
      <c r="C2758" s="48"/>
      <c r="D2758" s="47"/>
      <c r="E2758" s="48"/>
    </row>
    <row r="2759" ht="15.75" customHeight="1">
      <c r="A2759" s="48"/>
      <c r="B2759" s="48"/>
      <c r="C2759" s="48"/>
      <c r="D2759" s="47"/>
      <c r="E2759" s="48"/>
    </row>
    <row r="2760" ht="15.75" customHeight="1">
      <c r="A2760" s="48"/>
      <c r="B2760" s="48"/>
      <c r="C2760" s="48"/>
      <c r="D2760" s="47"/>
      <c r="E2760" s="48"/>
    </row>
    <row r="2761" ht="15.75" customHeight="1">
      <c r="A2761" s="48"/>
      <c r="B2761" s="48"/>
      <c r="C2761" s="48"/>
      <c r="D2761" s="47"/>
      <c r="E2761" s="48"/>
    </row>
    <row r="2762" ht="15.75" customHeight="1">
      <c r="A2762" s="48"/>
      <c r="B2762" s="48"/>
      <c r="C2762" s="48"/>
      <c r="D2762" s="47"/>
      <c r="E2762" s="48"/>
    </row>
    <row r="2763" ht="15.75" customHeight="1">
      <c r="A2763" s="48"/>
      <c r="B2763" s="48"/>
      <c r="C2763" s="48"/>
      <c r="D2763" s="47"/>
      <c r="E2763" s="48"/>
    </row>
    <row r="2764" ht="15.75" customHeight="1">
      <c r="A2764" s="48"/>
      <c r="B2764" s="48"/>
      <c r="C2764" s="48"/>
      <c r="D2764" s="47"/>
      <c r="E2764" s="48"/>
    </row>
    <row r="2765" ht="15.75" customHeight="1">
      <c r="A2765" s="48"/>
      <c r="B2765" s="48"/>
      <c r="C2765" s="48"/>
      <c r="D2765" s="47"/>
      <c r="E2765" s="48"/>
    </row>
    <row r="2766" ht="15.75" customHeight="1">
      <c r="A2766" s="48"/>
      <c r="B2766" s="48"/>
      <c r="C2766" s="48"/>
      <c r="D2766" s="47"/>
      <c r="E2766" s="48"/>
    </row>
    <row r="2767" ht="15.75" customHeight="1">
      <c r="A2767" s="48"/>
      <c r="B2767" s="48"/>
      <c r="C2767" s="48"/>
      <c r="D2767" s="47"/>
      <c r="E2767" s="48"/>
    </row>
    <row r="2768" ht="15.75" customHeight="1">
      <c r="A2768" s="48"/>
      <c r="B2768" s="48"/>
      <c r="C2768" s="48"/>
      <c r="D2768" s="47"/>
      <c r="E2768" s="48"/>
    </row>
    <row r="2769" ht="15.75" customHeight="1">
      <c r="A2769" s="48"/>
      <c r="B2769" s="48"/>
      <c r="C2769" s="48"/>
      <c r="D2769" s="47"/>
      <c r="E2769" s="48"/>
    </row>
    <row r="2770" ht="15.75" customHeight="1">
      <c r="A2770" s="48"/>
      <c r="B2770" s="48"/>
      <c r="C2770" s="48"/>
      <c r="D2770" s="47"/>
      <c r="E2770" s="48"/>
    </row>
    <row r="2771" ht="15.75" customHeight="1">
      <c r="A2771" s="48"/>
      <c r="B2771" s="48"/>
      <c r="C2771" s="48"/>
      <c r="D2771" s="47"/>
      <c r="E2771" s="48"/>
    </row>
    <row r="2772" ht="15.75" customHeight="1">
      <c r="A2772" s="48"/>
      <c r="B2772" s="48"/>
      <c r="C2772" s="48"/>
      <c r="D2772" s="47"/>
      <c r="E2772" s="48"/>
    </row>
    <row r="2773" ht="15.75" customHeight="1">
      <c r="A2773" s="48"/>
      <c r="B2773" s="48"/>
      <c r="C2773" s="48"/>
      <c r="D2773" s="47"/>
      <c r="E2773" s="48"/>
    </row>
    <row r="2774" ht="15.75" customHeight="1">
      <c r="A2774" s="48"/>
      <c r="B2774" s="48"/>
      <c r="C2774" s="48"/>
      <c r="D2774" s="47"/>
      <c r="E2774" s="48"/>
    </row>
    <row r="2775" ht="15.75" customHeight="1">
      <c r="A2775" s="48"/>
      <c r="B2775" s="48"/>
      <c r="C2775" s="48"/>
      <c r="D2775" s="47"/>
      <c r="E2775" s="48"/>
    </row>
    <row r="2776" ht="15.75" customHeight="1">
      <c r="A2776" s="48"/>
      <c r="B2776" s="48"/>
      <c r="C2776" s="48"/>
      <c r="D2776" s="47"/>
      <c r="E2776" s="48"/>
    </row>
    <row r="2777" ht="15.75" customHeight="1">
      <c r="A2777" s="48"/>
      <c r="B2777" s="48"/>
      <c r="C2777" s="48"/>
      <c r="D2777" s="47"/>
      <c r="E2777" s="48"/>
    </row>
    <row r="2778" ht="15.75" customHeight="1">
      <c r="A2778" s="48"/>
      <c r="B2778" s="48"/>
      <c r="C2778" s="48"/>
      <c r="D2778" s="47"/>
      <c r="E2778" s="48"/>
    </row>
    <row r="2779" ht="15.75" customHeight="1">
      <c r="A2779" s="48"/>
      <c r="B2779" s="48"/>
      <c r="C2779" s="48"/>
      <c r="D2779" s="47"/>
      <c r="E2779" s="48"/>
    </row>
    <row r="2780" ht="15.75" customHeight="1">
      <c r="A2780" s="48"/>
      <c r="B2780" s="48"/>
      <c r="C2780" s="48"/>
      <c r="D2780" s="47"/>
      <c r="E2780" s="48"/>
    </row>
    <row r="2781" ht="15.75" customHeight="1">
      <c r="A2781" s="48"/>
      <c r="B2781" s="48"/>
      <c r="C2781" s="48"/>
      <c r="D2781" s="47"/>
      <c r="E2781" s="48"/>
    </row>
    <row r="2782" ht="15.75" customHeight="1">
      <c r="A2782" s="48"/>
      <c r="B2782" s="48"/>
      <c r="C2782" s="48"/>
      <c r="D2782" s="47"/>
      <c r="E2782" s="48"/>
    </row>
    <row r="2783" ht="15.75" customHeight="1">
      <c r="A2783" s="48"/>
      <c r="B2783" s="48"/>
      <c r="C2783" s="48"/>
      <c r="D2783" s="47"/>
      <c r="E2783" s="48"/>
    </row>
    <row r="2784" ht="15.75" customHeight="1">
      <c r="A2784" s="48"/>
      <c r="B2784" s="48"/>
      <c r="C2784" s="48"/>
      <c r="D2784" s="47"/>
      <c r="E2784" s="48"/>
    </row>
    <row r="2785" ht="15.75" customHeight="1">
      <c r="A2785" s="48"/>
      <c r="B2785" s="48"/>
      <c r="C2785" s="48"/>
      <c r="D2785" s="47"/>
      <c r="E2785" s="48"/>
    </row>
    <row r="2786" ht="15.75" customHeight="1">
      <c r="A2786" s="48"/>
      <c r="B2786" s="48"/>
      <c r="C2786" s="48"/>
      <c r="D2786" s="47"/>
      <c r="E2786" s="48"/>
    </row>
    <row r="2787" ht="15.75" customHeight="1">
      <c r="A2787" s="48"/>
      <c r="B2787" s="48"/>
      <c r="C2787" s="48"/>
      <c r="D2787" s="47"/>
      <c r="E2787" s="48"/>
    </row>
    <row r="2788" ht="15.75" customHeight="1">
      <c r="A2788" s="48"/>
      <c r="B2788" s="48"/>
      <c r="C2788" s="48"/>
      <c r="D2788" s="47"/>
      <c r="E2788" s="48"/>
    </row>
    <row r="2789" ht="15.75" customHeight="1">
      <c r="A2789" s="48"/>
      <c r="B2789" s="48"/>
      <c r="C2789" s="48"/>
      <c r="D2789" s="47"/>
      <c r="E2789" s="48"/>
    </row>
    <row r="2790" ht="15.75" customHeight="1">
      <c r="A2790" s="48"/>
      <c r="B2790" s="48"/>
      <c r="C2790" s="48"/>
      <c r="D2790" s="47"/>
      <c r="E2790" s="48"/>
    </row>
    <row r="2791" ht="15.75" customHeight="1">
      <c r="A2791" s="48"/>
      <c r="B2791" s="48"/>
      <c r="C2791" s="48"/>
      <c r="D2791" s="47"/>
      <c r="E2791" s="48"/>
    </row>
    <row r="2792" ht="15.75" customHeight="1">
      <c r="A2792" s="48"/>
      <c r="B2792" s="48"/>
      <c r="C2792" s="48"/>
      <c r="D2792" s="47"/>
      <c r="E2792" s="48"/>
    </row>
    <row r="2793" ht="15.75" customHeight="1">
      <c r="A2793" s="48"/>
      <c r="B2793" s="48"/>
      <c r="C2793" s="48"/>
      <c r="D2793" s="47"/>
      <c r="E2793" s="48"/>
    </row>
    <row r="2794" ht="15.75" customHeight="1">
      <c r="A2794" s="48"/>
      <c r="B2794" s="48"/>
      <c r="C2794" s="48"/>
      <c r="D2794" s="47"/>
      <c r="E2794" s="48"/>
    </row>
    <row r="2795" ht="15.75" customHeight="1">
      <c r="A2795" s="48"/>
      <c r="B2795" s="48"/>
      <c r="C2795" s="48"/>
      <c r="D2795" s="47"/>
      <c r="E2795" s="48"/>
    </row>
    <row r="2796" ht="15.75" customHeight="1">
      <c r="A2796" s="48"/>
      <c r="B2796" s="48"/>
      <c r="C2796" s="48"/>
      <c r="D2796" s="47"/>
      <c r="E2796" s="48"/>
    </row>
    <row r="2797" ht="15.75" customHeight="1">
      <c r="A2797" s="48"/>
      <c r="B2797" s="48"/>
      <c r="C2797" s="48"/>
      <c r="D2797" s="47"/>
      <c r="E2797" s="48"/>
    </row>
    <row r="2798" ht="15.75" customHeight="1">
      <c r="A2798" s="48"/>
      <c r="B2798" s="48"/>
      <c r="C2798" s="48"/>
      <c r="D2798" s="47"/>
      <c r="E2798" s="48"/>
    </row>
    <row r="2799" ht="15.75" customHeight="1">
      <c r="A2799" s="48"/>
      <c r="B2799" s="48"/>
      <c r="C2799" s="48"/>
      <c r="D2799" s="47"/>
      <c r="E2799" s="48"/>
    </row>
    <row r="2800" ht="15.75" customHeight="1">
      <c r="A2800" s="48"/>
      <c r="B2800" s="48"/>
      <c r="C2800" s="48"/>
      <c r="D2800" s="47"/>
      <c r="E2800" s="48"/>
    </row>
    <row r="2801" ht="15.75" customHeight="1">
      <c r="A2801" s="48"/>
      <c r="B2801" s="48"/>
      <c r="C2801" s="48"/>
      <c r="D2801" s="47"/>
      <c r="E2801" s="48"/>
    </row>
    <row r="2802" ht="15.75" customHeight="1">
      <c r="A2802" s="48"/>
      <c r="B2802" s="48"/>
      <c r="C2802" s="48"/>
      <c r="D2802" s="47"/>
      <c r="E2802" s="48"/>
    </row>
    <row r="2803" ht="15.75" customHeight="1">
      <c r="A2803" s="48"/>
      <c r="B2803" s="48"/>
      <c r="C2803" s="48"/>
      <c r="D2803" s="47"/>
      <c r="E2803" s="48"/>
    </row>
    <row r="2804" ht="15.75" customHeight="1">
      <c r="A2804" s="48"/>
      <c r="B2804" s="48"/>
      <c r="C2804" s="48"/>
      <c r="D2804" s="47"/>
      <c r="E2804" s="48"/>
    </row>
    <row r="2805" ht="15.75" customHeight="1">
      <c r="A2805" s="48"/>
      <c r="B2805" s="48"/>
      <c r="C2805" s="48"/>
      <c r="D2805" s="47"/>
      <c r="E2805" s="48"/>
    </row>
    <row r="2806" ht="15.75" customHeight="1">
      <c r="A2806" s="48"/>
      <c r="B2806" s="48"/>
      <c r="C2806" s="48"/>
      <c r="D2806" s="47"/>
      <c r="E2806" s="48"/>
    </row>
    <row r="2807" ht="15.75" customHeight="1">
      <c r="A2807" s="48"/>
      <c r="B2807" s="48"/>
      <c r="C2807" s="48"/>
      <c r="D2807" s="47"/>
      <c r="E2807" s="48"/>
    </row>
    <row r="2808" ht="15.75" customHeight="1">
      <c r="A2808" s="48"/>
      <c r="B2808" s="48"/>
      <c r="C2808" s="48"/>
      <c r="D2808" s="47"/>
      <c r="E2808" s="48"/>
    </row>
    <row r="2809" ht="15.75" customHeight="1">
      <c r="A2809" s="48"/>
      <c r="B2809" s="48"/>
      <c r="C2809" s="48"/>
      <c r="D2809" s="47"/>
      <c r="E2809" s="48"/>
    </row>
    <row r="2810" ht="15.75" customHeight="1">
      <c r="A2810" s="48"/>
      <c r="B2810" s="48"/>
      <c r="C2810" s="48"/>
      <c r="D2810" s="47"/>
      <c r="E2810" s="48"/>
    </row>
    <row r="2811" ht="15.75" customHeight="1">
      <c r="A2811" s="48"/>
      <c r="B2811" s="48"/>
      <c r="C2811" s="48"/>
      <c r="D2811" s="47"/>
      <c r="E2811" s="48"/>
    </row>
    <row r="2812" ht="15.75" customHeight="1">
      <c r="A2812" s="48"/>
      <c r="B2812" s="48"/>
      <c r="C2812" s="48"/>
      <c r="D2812" s="47"/>
      <c r="E2812" s="48"/>
    </row>
    <row r="2813" ht="15.75" customHeight="1">
      <c r="A2813" s="48"/>
      <c r="B2813" s="48"/>
      <c r="C2813" s="48"/>
      <c r="D2813" s="47"/>
      <c r="E2813" s="48"/>
    </row>
    <row r="2814" ht="15.75" customHeight="1">
      <c r="A2814" s="48"/>
      <c r="B2814" s="48"/>
      <c r="C2814" s="48"/>
      <c r="D2814" s="47"/>
      <c r="E2814" s="48"/>
    </row>
    <row r="2815" ht="15.75" customHeight="1">
      <c r="A2815" s="48"/>
      <c r="B2815" s="48"/>
      <c r="C2815" s="48"/>
      <c r="D2815" s="47"/>
      <c r="E2815" s="48"/>
    </row>
    <row r="2816" ht="15.75" customHeight="1">
      <c r="A2816" s="48"/>
      <c r="B2816" s="48"/>
      <c r="C2816" s="48"/>
      <c r="D2816" s="47"/>
      <c r="E2816" s="48"/>
    </row>
    <row r="2817" ht="15.75" customHeight="1">
      <c r="A2817" s="48"/>
      <c r="B2817" s="48"/>
      <c r="C2817" s="48"/>
      <c r="D2817" s="47"/>
      <c r="E2817" s="48"/>
    </row>
    <row r="2818" ht="15.75" customHeight="1">
      <c r="A2818" s="48"/>
      <c r="B2818" s="48"/>
      <c r="C2818" s="48"/>
      <c r="D2818" s="47"/>
      <c r="E2818" s="48"/>
    </row>
    <row r="2819" ht="15.75" customHeight="1">
      <c r="A2819" s="48"/>
      <c r="B2819" s="48"/>
      <c r="C2819" s="48"/>
      <c r="D2819" s="47"/>
      <c r="E2819" s="48"/>
    </row>
    <row r="2820" ht="15.75" customHeight="1">
      <c r="A2820" s="48"/>
      <c r="B2820" s="48"/>
      <c r="C2820" s="48"/>
      <c r="D2820" s="47"/>
      <c r="E2820" s="48"/>
    </row>
    <row r="2821" ht="15.75" customHeight="1">
      <c r="A2821" s="48"/>
      <c r="B2821" s="48"/>
      <c r="C2821" s="48"/>
      <c r="D2821" s="47"/>
      <c r="E2821" s="48"/>
    </row>
    <row r="2822" ht="15.75" customHeight="1">
      <c r="A2822" s="48"/>
      <c r="B2822" s="48"/>
      <c r="C2822" s="48"/>
      <c r="D2822" s="47"/>
      <c r="E2822" s="48"/>
    </row>
    <row r="2823" ht="15.75" customHeight="1">
      <c r="A2823" s="48"/>
      <c r="B2823" s="48"/>
      <c r="C2823" s="48"/>
      <c r="D2823" s="47"/>
      <c r="E2823" s="48"/>
    </row>
    <row r="2824" ht="15.75" customHeight="1">
      <c r="A2824" s="48"/>
      <c r="B2824" s="48"/>
      <c r="C2824" s="48"/>
      <c r="D2824" s="47"/>
      <c r="E2824" s="48"/>
    </row>
    <row r="2825" ht="15.75" customHeight="1">
      <c r="A2825" s="48"/>
      <c r="B2825" s="48"/>
      <c r="C2825" s="48"/>
      <c r="D2825" s="47"/>
      <c r="E2825" s="48"/>
    </row>
    <row r="2826" ht="15.75" customHeight="1">
      <c r="A2826" s="48"/>
      <c r="B2826" s="48"/>
      <c r="C2826" s="48"/>
      <c r="D2826" s="47"/>
      <c r="E2826" s="48"/>
    </row>
    <row r="2827" ht="15.75" customHeight="1">
      <c r="A2827" s="48"/>
      <c r="B2827" s="48"/>
      <c r="C2827" s="48"/>
      <c r="D2827" s="47"/>
      <c r="E2827" s="48"/>
    </row>
    <row r="2828" ht="15.75" customHeight="1">
      <c r="A2828" s="48"/>
      <c r="B2828" s="48"/>
      <c r="C2828" s="48"/>
      <c r="D2828" s="47"/>
      <c r="E2828" s="48"/>
    </row>
    <row r="2829" ht="15.75" customHeight="1">
      <c r="A2829" s="48"/>
      <c r="B2829" s="48"/>
      <c r="C2829" s="48"/>
      <c r="D2829" s="47"/>
      <c r="E2829" s="48"/>
    </row>
    <row r="2830" ht="15.75" customHeight="1">
      <c r="A2830" s="48"/>
      <c r="B2830" s="48"/>
      <c r="C2830" s="48"/>
      <c r="D2830" s="47"/>
      <c r="E2830" s="48"/>
    </row>
    <row r="2831" ht="15.75" customHeight="1">
      <c r="A2831" s="48"/>
      <c r="B2831" s="48"/>
      <c r="C2831" s="48"/>
      <c r="D2831" s="47"/>
      <c r="E2831" s="48"/>
    </row>
    <row r="2832" ht="15.75" customHeight="1">
      <c r="A2832" s="48"/>
      <c r="B2832" s="48"/>
      <c r="C2832" s="48"/>
      <c r="D2832" s="47"/>
      <c r="E2832" s="48"/>
    </row>
    <row r="2833" ht="15.75" customHeight="1">
      <c r="A2833" s="48"/>
      <c r="B2833" s="48"/>
      <c r="C2833" s="48"/>
      <c r="D2833" s="47"/>
      <c r="E2833" s="48"/>
    </row>
    <row r="2834" ht="15.75" customHeight="1">
      <c r="A2834" s="48"/>
      <c r="B2834" s="48"/>
      <c r="C2834" s="48"/>
      <c r="D2834" s="47"/>
      <c r="E2834" s="48"/>
    </row>
    <row r="2835" ht="15.75" customHeight="1">
      <c r="A2835" s="48"/>
      <c r="B2835" s="48"/>
      <c r="C2835" s="48"/>
      <c r="D2835" s="47"/>
      <c r="E2835" s="48"/>
    </row>
    <row r="2836" ht="15.75" customHeight="1">
      <c r="A2836" s="48"/>
      <c r="B2836" s="48"/>
      <c r="C2836" s="48"/>
      <c r="D2836" s="47"/>
      <c r="E2836" s="48"/>
    </row>
    <row r="2837" ht="15.75" customHeight="1">
      <c r="A2837" s="48"/>
      <c r="B2837" s="48"/>
      <c r="C2837" s="48"/>
      <c r="D2837" s="47"/>
      <c r="E2837" s="48"/>
    </row>
    <row r="2838" ht="15.75" customHeight="1">
      <c r="A2838" s="48"/>
      <c r="B2838" s="48"/>
      <c r="C2838" s="48"/>
      <c r="D2838" s="47"/>
      <c r="E2838" s="48"/>
    </row>
    <row r="2839" ht="15.75" customHeight="1">
      <c r="A2839" s="48"/>
      <c r="B2839" s="48"/>
      <c r="C2839" s="48"/>
      <c r="D2839" s="47"/>
      <c r="E2839" s="48"/>
    </row>
    <row r="2840" ht="15.75" customHeight="1">
      <c r="A2840" s="48"/>
      <c r="B2840" s="48"/>
      <c r="C2840" s="48"/>
      <c r="D2840" s="47"/>
      <c r="E2840" s="48"/>
    </row>
    <row r="2841" ht="15.75" customHeight="1">
      <c r="A2841" s="48"/>
      <c r="B2841" s="48"/>
      <c r="C2841" s="48"/>
      <c r="D2841" s="47"/>
      <c r="E2841" s="48"/>
    </row>
    <row r="2842" ht="15.75" customHeight="1">
      <c r="A2842" s="48"/>
      <c r="B2842" s="48"/>
      <c r="C2842" s="48"/>
      <c r="D2842" s="47"/>
      <c r="E2842" s="48"/>
    </row>
    <row r="2843" ht="15.75" customHeight="1">
      <c r="A2843" s="48"/>
      <c r="B2843" s="48"/>
      <c r="C2843" s="48"/>
      <c r="D2843" s="47"/>
      <c r="E2843" s="48"/>
    </row>
    <row r="2844" ht="15.75" customHeight="1">
      <c r="A2844" s="48"/>
      <c r="B2844" s="48"/>
      <c r="C2844" s="48"/>
      <c r="D2844" s="47"/>
      <c r="E2844" s="48"/>
    </row>
    <row r="2845" ht="15.75" customHeight="1">
      <c r="A2845" s="48"/>
      <c r="B2845" s="48"/>
      <c r="C2845" s="48"/>
      <c r="D2845" s="47"/>
      <c r="E2845" s="48"/>
    </row>
    <row r="2846" ht="15.75" customHeight="1">
      <c r="A2846" s="48"/>
      <c r="B2846" s="48"/>
      <c r="C2846" s="48"/>
      <c r="D2846" s="47"/>
      <c r="E2846" s="48"/>
    </row>
    <row r="2847" ht="15.75" customHeight="1">
      <c r="A2847" s="48"/>
      <c r="B2847" s="48"/>
      <c r="C2847" s="48"/>
      <c r="D2847" s="47"/>
      <c r="E2847" s="48"/>
    </row>
    <row r="2848" ht="15.75" customHeight="1">
      <c r="A2848" s="48"/>
      <c r="B2848" s="48"/>
      <c r="C2848" s="48"/>
      <c r="D2848" s="47"/>
      <c r="E2848" s="48"/>
    </row>
    <row r="2849" ht="15.75" customHeight="1">
      <c r="A2849" s="48"/>
      <c r="B2849" s="48"/>
      <c r="C2849" s="48"/>
      <c r="D2849" s="47"/>
      <c r="E2849" s="48"/>
    </row>
    <row r="2850" ht="15.75" customHeight="1">
      <c r="A2850" s="48"/>
      <c r="B2850" s="48"/>
      <c r="C2850" s="48"/>
      <c r="D2850" s="47"/>
      <c r="E2850" s="48"/>
    </row>
    <row r="2851" ht="15.75" customHeight="1">
      <c r="A2851" s="48"/>
      <c r="B2851" s="48"/>
      <c r="C2851" s="48"/>
      <c r="D2851" s="47"/>
      <c r="E2851" s="48"/>
    </row>
    <row r="2852" ht="15.75" customHeight="1">
      <c r="A2852" s="48"/>
      <c r="B2852" s="48"/>
      <c r="C2852" s="48"/>
      <c r="D2852" s="47"/>
      <c r="E2852" s="48"/>
    </row>
    <row r="2853" ht="15.75" customHeight="1">
      <c r="A2853" s="48"/>
      <c r="B2853" s="48"/>
      <c r="C2853" s="48"/>
      <c r="D2853" s="47"/>
      <c r="E2853" s="48"/>
    </row>
    <row r="2854" ht="15.75" customHeight="1">
      <c r="A2854" s="48"/>
      <c r="B2854" s="48"/>
      <c r="C2854" s="48"/>
      <c r="D2854" s="47"/>
      <c r="E2854" s="48"/>
    </row>
    <row r="2855" ht="15.75" customHeight="1">
      <c r="A2855" s="48"/>
      <c r="B2855" s="48"/>
      <c r="C2855" s="48"/>
      <c r="D2855" s="47"/>
      <c r="E2855" s="48"/>
    </row>
    <row r="2856" ht="15.75" customHeight="1">
      <c r="A2856" s="48"/>
      <c r="B2856" s="48"/>
      <c r="C2856" s="48"/>
      <c r="D2856" s="47"/>
      <c r="E2856" s="48"/>
    </row>
    <row r="2857" ht="15.75" customHeight="1">
      <c r="A2857" s="48"/>
      <c r="B2857" s="48"/>
      <c r="C2857" s="48"/>
      <c r="D2857" s="47"/>
      <c r="E2857" s="48"/>
    </row>
    <row r="2858" ht="15.75" customHeight="1">
      <c r="A2858" s="48"/>
      <c r="B2858" s="48"/>
      <c r="C2858" s="48"/>
      <c r="D2858" s="47"/>
      <c r="E2858" s="48"/>
    </row>
    <row r="2859" ht="15.75" customHeight="1">
      <c r="A2859" s="48"/>
      <c r="B2859" s="48"/>
      <c r="C2859" s="48"/>
      <c r="D2859" s="47"/>
      <c r="E2859" s="48"/>
    </row>
    <row r="2860" ht="15.75" customHeight="1">
      <c r="A2860" s="48"/>
      <c r="B2860" s="48"/>
      <c r="C2860" s="48"/>
      <c r="D2860" s="47"/>
      <c r="E2860" s="48"/>
    </row>
    <row r="2861" ht="15.75" customHeight="1">
      <c r="A2861" s="48"/>
      <c r="B2861" s="48"/>
      <c r="C2861" s="48"/>
      <c r="D2861" s="47"/>
      <c r="E2861" s="48"/>
    </row>
    <row r="2862" ht="15.75" customHeight="1">
      <c r="A2862" s="48"/>
      <c r="B2862" s="48"/>
      <c r="C2862" s="48"/>
      <c r="D2862" s="47"/>
      <c r="E2862" s="48"/>
    </row>
    <row r="2863" ht="15.75" customHeight="1">
      <c r="A2863" s="48"/>
      <c r="B2863" s="48"/>
      <c r="C2863" s="48"/>
      <c r="D2863" s="47"/>
      <c r="E2863" s="48"/>
    </row>
    <row r="2864" ht="15.75" customHeight="1">
      <c r="A2864" s="48"/>
      <c r="B2864" s="48"/>
      <c r="C2864" s="48"/>
      <c r="D2864" s="47"/>
      <c r="E2864" s="48"/>
    </row>
    <row r="2865" ht="15.75" customHeight="1">
      <c r="A2865" s="48"/>
      <c r="B2865" s="48"/>
      <c r="C2865" s="48"/>
      <c r="D2865" s="47"/>
      <c r="E2865" s="48"/>
    </row>
    <row r="2866" ht="15.75" customHeight="1">
      <c r="A2866" s="48"/>
      <c r="B2866" s="48"/>
      <c r="C2866" s="48"/>
      <c r="D2866" s="47"/>
      <c r="E2866" s="48"/>
    </row>
    <row r="2867" ht="15.75" customHeight="1">
      <c r="A2867" s="48"/>
      <c r="B2867" s="48"/>
      <c r="C2867" s="48"/>
      <c r="D2867" s="47"/>
      <c r="E2867" s="48"/>
    </row>
    <row r="2868" ht="15.75" customHeight="1">
      <c r="A2868" s="48"/>
      <c r="B2868" s="48"/>
      <c r="C2868" s="48"/>
      <c r="D2868" s="47"/>
      <c r="E2868" s="48"/>
    </row>
    <row r="2869" ht="15.75" customHeight="1">
      <c r="A2869" s="48"/>
      <c r="B2869" s="48"/>
      <c r="C2869" s="48"/>
      <c r="D2869" s="47"/>
      <c r="E2869" s="48"/>
    </row>
    <row r="2870" ht="15.75" customHeight="1">
      <c r="A2870" s="48"/>
      <c r="B2870" s="48"/>
      <c r="C2870" s="48"/>
      <c r="D2870" s="47"/>
      <c r="E2870" s="48"/>
    </row>
    <row r="2871" ht="15.75" customHeight="1">
      <c r="A2871" s="48"/>
      <c r="B2871" s="48"/>
      <c r="C2871" s="48"/>
      <c r="D2871" s="47"/>
      <c r="E2871" s="48"/>
    </row>
    <row r="2872" ht="15.75" customHeight="1">
      <c r="A2872" s="48"/>
      <c r="B2872" s="48"/>
      <c r="C2872" s="48"/>
      <c r="D2872" s="47"/>
      <c r="E2872" s="48"/>
    </row>
    <row r="2873" ht="15.75" customHeight="1">
      <c r="A2873" s="48"/>
      <c r="B2873" s="48"/>
      <c r="C2873" s="48"/>
      <c r="D2873" s="47"/>
      <c r="E2873" s="48"/>
    </row>
    <row r="2874" ht="15.75" customHeight="1">
      <c r="A2874" s="48"/>
      <c r="B2874" s="48"/>
      <c r="C2874" s="48"/>
      <c r="D2874" s="47"/>
      <c r="E2874" s="48"/>
    </row>
    <row r="2875" ht="15.75" customHeight="1">
      <c r="A2875" s="48"/>
      <c r="B2875" s="48"/>
      <c r="C2875" s="48"/>
      <c r="D2875" s="47"/>
      <c r="E2875" s="48"/>
    </row>
    <row r="2876" ht="15.75" customHeight="1">
      <c r="A2876" s="48"/>
      <c r="B2876" s="48"/>
      <c r="C2876" s="48"/>
      <c r="D2876" s="47"/>
      <c r="E2876" s="48"/>
    </row>
    <row r="2877" ht="15.75" customHeight="1">
      <c r="A2877" s="48"/>
      <c r="B2877" s="48"/>
      <c r="C2877" s="48"/>
      <c r="D2877" s="47"/>
      <c r="E2877" s="48"/>
    </row>
    <row r="2878" ht="15.75" customHeight="1">
      <c r="A2878" s="48"/>
      <c r="B2878" s="48"/>
      <c r="C2878" s="48"/>
      <c r="D2878" s="47"/>
      <c r="E2878" s="48"/>
    </row>
    <row r="2879" ht="15.75" customHeight="1">
      <c r="A2879" s="48"/>
      <c r="B2879" s="48"/>
      <c r="C2879" s="48"/>
      <c r="D2879" s="47"/>
      <c r="E2879" s="48"/>
    </row>
    <row r="2880" ht="15.75" customHeight="1">
      <c r="A2880" s="48"/>
      <c r="B2880" s="48"/>
      <c r="C2880" s="48"/>
      <c r="D2880" s="47"/>
      <c r="E2880" s="48"/>
    </row>
    <row r="2881" ht="15.75" customHeight="1">
      <c r="A2881" s="48"/>
      <c r="B2881" s="48"/>
      <c r="C2881" s="48"/>
      <c r="D2881" s="47"/>
      <c r="E2881" s="48"/>
    </row>
    <row r="2882" ht="15.75" customHeight="1">
      <c r="A2882" s="48"/>
      <c r="B2882" s="48"/>
      <c r="C2882" s="48"/>
      <c r="D2882" s="47"/>
      <c r="E2882" s="48"/>
    </row>
    <row r="2883" ht="15.75" customHeight="1">
      <c r="A2883" s="48"/>
      <c r="B2883" s="48"/>
      <c r="C2883" s="48"/>
      <c r="D2883" s="47"/>
      <c r="E2883" s="48"/>
    </row>
    <row r="2884" ht="15.75" customHeight="1">
      <c r="A2884" s="48"/>
      <c r="B2884" s="48"/>
      <c r="C2884" s="48"/>
      <c r="D2884" s="47"/>
      <c r="E2884" s="48"/>
    </row>
    <row r="2885" ht="15.75" customHeight="1">
      <c r="A2885" s="48"/>
      <c r="B2885" s="48"/>
      <c r="C2885" s="48"/>
      <c r="D2885" s="47"/>
      <c r="E2885" s="48"/>
    </row>
    <row r="2886" ht="15.75" customHeight="1">
      <c r="A2886" s="48"/>
      <c r="B2886" s="48"/>
      <c r="C2886" s="48"/>
      <c r="D2886" s="47"/>
      <c r="E2886" s="48"/>
    </row>
    <row r="2887" ht="15.75" customHeight="1">
      <c r="A2887" s="48"/>
      <c r="B2887" s="48"/>
      <c r="C2887" s="48"/>
      <c r="D2887" s="47"/>
      <c r="E2887" s="48"/>
    </row>
    <row r="2888" ht="15.75" customHeight="1">
      <c r="A2888" s="48"/>
      <c r="B2888" s="48"/>
      <c r="C2888" s="48"/>
      <c r="D2888" s="47"/>
      <c r="E2888" s="48"/>
    </row>
    <row r="2889" ht="15.75" customHeight="1">
      <c r="A2889" s="48"/>
      <c r="B2889" s="48"/>
      <c r="C2889" s="48"/>
      <c r="D2889" s="47"/>
      <c r="E2889" s="48"/>
    </row>
    <row r="2890" ht="15.75" customHeight="1">
      <c r="A2890" s="48"/>
      <c r="B2890" s="48"/>
      <c r="C2890" s="48"/>
      <c r="D2890" s="47"/>
      <c r="E2890" s="48"/>
    </row>
    <row r="2891" ht="15.75" customHeight="1">
      <c r="A2891" s="48"/>
      <c r="B2891" s="48"/>
      <c r="C2891" s="48"/>
      <c r="D2891" s="47"/>
      <c r="E2891" s="48"/>
    </row>
    <row r="2892" ht="15.75" customHeight="1">
      <c r="A2892" s="48"/>
      <c r="B2892" s="48"/>
      <c r="C2892" s="48"/>
      <c r="D2892" s="47"/>
      <c r="E2892" s="48"/>
    </row>
    <row r="2893" ht="15.75" customHeight="1">
      <c r="A2893" s="48"/>
      <c r="B2893" s="48"/>
      <c r="C2893" s="48"/>
      <c r="D2893" s="47"/>
      <c r="E2893" s="48"/>
    </row>
    <row r="2894" ht="15.75" customHeight="1">
      <c r="A2894" s="48"/>
      <c r="B2894" s="48"/>
      <c r="C2894" s="48"/>
      <c r="D2894" s="47"/>
      <c r="E2894" s="48"/>
    </row>
    <row r="2895" ht="15.75" customHeight="1">
      <c r="A2895" s="48"/>
      <c r="B2895" s="48"/>
      <c r="C2895" s="48"/>
      <c r="D2895" s="47"/>
      <c r="E2895" s="48"/>
    </row>
    <row r="2896" ht="15.75" customHeight="1">
      <c r="A2896" s="48"/>
      <c r="B2896" s="48"/>
      <c r="C2896" s="48"/>
      <c r="D2896" s="47"/>
      <c r="E2896" s="48"/>
    </row>
    <row r="2897" ht="15.75" customHeight="1">
      <c r="A2897" s="48"/>
      <c r="B2897" s="48"/>
      <c r="C2897" s="48"/>
      <c r="D2897" s="47"/>
      <c r="E2897" s="48"/>
    </row>
    <row r="2898" ht="15.75" customHeight="1">
      <c r="A2898" s="48"/>
      <c r="B2898" s="48"/>
      <c r="C2898" s="48"/>
      <c r="D2898" s="47"/>
      <c r="E2898" s="48"/>
    </row>
    <row r="2899" ht="15.75" customHeight="1">
      <c r="A2899" s="48"/>
      <c r="B2899" s="48"/>
      <c r="C2899" s="48"/>
      <c r="D2899" s="47"/>
      <c r="E2899" s="48"/>
    </row>
    <row r="2900" ht="15.75" customHeight="1">
      <c r="A2900" s="48"/>
      <c r="B2900" s="48"/>
      <c r="C2900" s="48"/>
      <c r="D2900" s="47"/>
      <c r="E2900" s="48"/>
    </row>
    <row r="2901" ht="15.75" customHeight="1">
      <c r="A2901" s="48"/>
      <c r="B2901" s="48"/>
      <c r="C2901" s="48"/>
      <c r="D2901" s="47"/>
      <c r="E2901" s="48"/>
    </row>
    <row r="2902" ht="15.75" customHeight="1">
      <c r="A2902" s="48"/>
      <c r="B2902" s="48"/>
      <c r="C2902" s="48"/>
      <c r="D2902" s="47"/>
      <c r="E2902" s="48"/>
    </row>
    <row r="2903" ht="15.75" customHeight="1">
      <c r="A2903" s="48"/>
      <c r="B2903" s="48"/>
      <c r="C2903" s="48"/>
      <c r="D2903" s="47"/>
      <c r="E2903" s="48"/>
    </row>
    <row r="2904" ht="15.75" customHeight="1">
      <c r="A2904" s="48"/>
      <c r="B2904" s="48"/>
      <c r="C2904" s="48"/>
      <c r="D2904" s="47"/>
      <c r="E2904" s="48"/>
    </row>
    <row r="2905" ht="15.75" customHeight="1">
      <c r="A2905" s="48"/>
      <c r="B2905" s="48"/>
      <c r="C2905" s="48"/>
      <c r="D2905" s="47"/>
      <c r="E2905" s="48"/>
    </row>
    <row r="2906" ht="15.75" customHeight="1">
      <c r="A2906" s="48"/>
      <c r="B2906" s="48"/>
      <c r="C2906" s="48"/>
      <c r="D2906" s="47"/>
      <c r="E2906" s="48"/>
    </row>
    <row r="2907" ht="15.75" customHeight="1">
      <c r="A2907" s="48"/>
      <c r="B2907" s="48"/>
      <c r="C2907" s="48"/>
      <c r="D2907" s="47"/>
      <c r="E2907" s="48"/>
    </row>
    <row r="2908" ht="15.75" customHeight="1">
      <c r="A2908" s="48"/>
      <c r="B2908" s="48"/>
      <c r="C2908" s="48"/>
      <c r="D2908" s="47"/>
      <c r="E2908" s="48"/>
    </row>
    <row r="2909" ht="15.75" customHeight="1">
      <c r="A2909" s="48"/>
      <c r="B2909" s="48"/>
      <c r="C2909" s="48"/>
      <c r="D2909" s="47"/>
      <c r="E2909" s="48"/>
    </row>
    <row r="2910" ht="15.75" customHeight="1">
      <c r="A2910" s="48"/>
      <c r="B2910" s="48"/>
      <c r="C2910" s="48"/>
      <c r="D2910" s="47"/>
      <c r="E2910" s="48"/>
    </row>
    <row r="2911" ht="15.75" customHeight="1">
      <c r="A2911" s="48"/>
      <c r="B2911" s="48"/>
      <c r="C2911" s="48"/>
      <c r="D2911" s="47"/>
      <c r="E2911" s="48"/>
    </row>
    <row r="2912" ht="15.75" customHeight="1">
      <c r="A2912" s="48"/>
      <c r="B2912" s="48"/>
      <c r="C2912" s="48"/>
      <c r="D2912" s="47"/>
      <c r="E2912" s="48"/>
    </row>
    <row r="2913" ht="15.75" customHeight="1">
      <c r="A2913" s="48"/>
      <c r="B2913" s="48"/>
      <c r="C2913" s="48"/>
      <c r="D2913" s="47"/>
      <c r="E2913" s="48"/>
    </row>
    <row r="2914" ht="15.75" customHeight="1">
      <c r="A2914" s="48"/>
      <c r="B2914" s="48"/>
      <c r="C2914" s="48"/>
      <c r="D2914" s="47"/>
      <c r="E2914" s="48"/>
    </row>
    <row r="2915" ht="15.75" customHeight="1">
      <c r="A2915" s="48"/>
      <c r="B2915" s="48"/>
      <c r="C2915" s="48"/>
      <c r="D2915" s="47"/>
      <c r="E2915" s="48"/>
    </row>
    <row r="2916" ht="15.75" customHeight="1">
      <c r="A2916" s="48"/>
      <c r="B2916" s="48"/>
      <c r="C2916" s="48"/>
      <c r="D2916" s="47"/>
      <c r="E2916" s="48"/>
    </row>
    <row r="2917" ht="15.75" customHeight="1">
      <c r="A2917" s="48"/>
      <c r="B2917" s="48"/>
      <c r="C2917" s="48"/>
      <c r="D2917" s="47"/>
      <c r="E2917" s="48"/>
    </row>
    <row r="2918" ht="15.75" customHeight="1">
      <c r="A2918" s="48"/>
      <c r="B2918" s="48"/>
      <c r="C2918" s="48"/>
      <c r="D2918" s="47"/>
      <c r="E2918" s="48"/>
    </row>
    <row r="2919" ht="15.75" customHeight="1">
      <c r="A2919" s="48"/>
      <c r="B2919" s="48"/>
      <c r="C2919" s="48"/>
      <c r="D2919" s="47"/>
      <c r="E2919" s="48"/>
    </row>
    <row r="2920" ht="15.75" customHeight="1">
      <c r="A2920" s="48"/>
      <c r="B2920" s="48"/>
      <c r="C2920" s="48"/>
      <c r="D2920" s="47"/>
      <c r="E2920" s="48"/>
    </row>
    <row r="2921" ht="15.75" customHeight="1">
      <c r="A2921" s="48"/>
      <c r="B2921" s="48"/>
      <c r="C2921" s="48"/>
      <c r="D2921" s="47"/>
      <c r="E2921" s="48"/>
    </row>
    <row r="2922" ht="15.75" customHeight="1">
      <c r="A2922" s="48"/>
      <c r="B2922" s="48"/>
      <c r="C2922" s="48"/>
      <c r="D2922" s="47"/>
      <c r="E2922" s="48"/>
    </row>
    <row r="2923" ht="15.75" customHeight="1">
      <c r="A2923" s="48"/>
      <c r="B2923" s="48"/>
      <c r="C2923" s="48"/>
      <c r="D2923" s="47"/>
      <c r="E2923" s="48"/>
    </row>
    <row r="2924" ht="15.75" customHeight="1">
      <c r="A2924" s="48"/>
      <c r="B2924" s="48"/>
      <c r="C2924" s="48"/>
      <c r="D2924" s="47"/>
      <c r="E2924" s="48"/>
    </row>
    <row r="2925" ht="15.75" customHeight="1">
      <c r="A2925" s="48"/>
      <c r="B2925" s="48"/>
      <c r="C2925" s="48"/>
      <c r="D2925" s="47"/>
      <c r="E2925" s="48"/>
    </row>
    <row r="2926" ht="15.75" customHeight="1">
      <c r="A2926" s="48"/>
      <c r="B2926" s="48"/>
      <c r="C2926" s="48"/>
      <c r="D2926" s="47"/>
      <c r="E2926" s="48"/>
    </row>
    <row r="2927" ht="15.75" customHeight="1">
      <c r="A2927" s="48"/>
      <c r="B2927" s="48"/>
      <c r="C2927" s="48"/>
      <c r="D2927" s="47"/>
      <c r="E2927" s="48"/>
    </row>
    <row r="2928" ht="15.75" customHeight="1">
      <c r="A2928" s="48"/>
      <c r="B2928" s="48"/>
      <c r="C2928" s="48"/>
      <c r="D2928" s="47"/>
      <c r="E2928" s="48"/>
    </row>
    <row r="2929" ht="15.75" customHeight="1">
      <c r="A2929" s="48"/>
      <c r="B2929" s="48"/>
      <c r="C2929" s="48"/>
      <c r="D2929" s="47"/>
      <c r="E2929" s="48"/>
    </row>
    <row r="2930" ht="15.75" customHeight="1">
      <c r="A2930" s="48"/>
      <c r="B2930" s="48"/>
      <c r="C2930" s="48"/>
      <c r="D2930" s="47"/>
      <c r="E2930" s="48"/>
    </row>
    <row r="2931" ht="15.75" customHeight="1">
      <c r="A2931" s="48"/>
      <c r="B2931" s="48"/>
      <c r="C2931" s="48"/>
      <c r="D2931" s="47"/>
      <c r="E2931" s="48"/>
    </row>
    <row r="2932" ht="15.75" customHeight="1">
      <c r="A2932" s="48"/>
      <c r="B2932" s="48"/>
      <c r="C2932" s="48"/>
      <c r="D2932" s="47"/>
      <c r="E2932" s="48"/>
    </row>
    <row r="2933" ht="15.75" customHeight="1">
      <c r="A2933" s="48"/>
      <c r="B2933" s="48"/>
      <c r="C2933" s="48"/>
      <c r="D2933" s="47"/>
      <c r="E2933" s="48"/>
    </row>
    <row r="2934" ht="15.75" customHeight="1">
      <c r="A2934" s="48"/>
      <c r="B2934" s="48"/>
      <c r="C2934" s="48"/>
      <c r="D2934" s="47"/>
      <c r="E2934" s="48"/>
    </row>
    <row r="2935" ht="15.75" customHeight="1">
      <c r="A2935" s="48"/>
      <c r="B2935" s="48"/>
      <c r="C2935" s="48"/>
      <c r="D2935" s="47"/>
      <c r="E2935" s="48"/>
    </row>
    <row r="2936" ht="15.75" customHeight="1">
      <c r="A2936" s="48"/>
      <c r="B2936" s="48"/>
      <c r="C2936" s="48"/>
      <c r="D2936" s="47"/>
      <c r="E2936" s="48"/>
    </row>
    <row r="2937" ht="15.75" customHeight="1">
      <c r="A2937" s="48"/>
      <c r="B2937" s="48"/>
      <c r="C2937" s="48"/>
      <c r="D2937" s="47"/>
      <c r="E2937" s="48"/>
    </row>
    <row r="2938" ht="15.75" customHeight="1">
      <c r="A2938" s="48"/>
      <c r="B2938" s="48"/>
      <c r="C2938" s="48"/>
      <c r="D2938" s="47"/>
      <c r="E2938" s="48"/>
    </row>
    <row r="2939" ht="15.75" customHeight="1">
      <c r="A2939" s="48"/>
      <c r="B2939" s="48"/>
      <c r="C2939" s="48"/>
      <c r="D2939" s="47"/>
      <c r="E2939" s="48"/>
    </row>
    <row r="2940" ht="15.75" customHeight="1">
      <c r="A2940" s="48"/>
      <c r="B2940" s="48"/>
      <c r="C2940" s="48"/>
      <c r="D2940" s="47"/>
      <c r="E2940" s="48"/>
    </row>
    <row r="2941" ht="15.75" customHeight="1">
      <c r="A2941" s="48"/>
      <c r="B2941" s="48"/>
      <c r="C2941" s="48"/>
      <c r="D2941" s="47"/>
      <c r="E2941" s="48"/>
    </row>
    <row r="2942" ht="15.75" customHeight="1">
      <c r="A2942" s="48"/>
      <c r="B2942" s="48"/>
      <c r="C2942" s="48"/>
      <c r="D2942" s="47"/>
      <c r="E2942" s="48"/>
    </row>
    <row r="2943" ht="15.75" customHeight="1">
      <c r="A2943" s="48"/>
      <c r="B2943" s="48"/>
      <c r="C2943" s="48"/>
      <c r="D2943" s="47"/>
      <c r="E2943" s="48"/>
    </row>
    <row r="2944" ht="15.75" customHeight="1">
      <c r="A2944" s="48"/>
      <c r="B2944" s="48"/>
      <c r="C2944" s="48"/>
      <c r="D2944" s="47"/>
      <c r="E2944" s="48"/>
    </row>
    <row r="2945" ht="15.75" customHeight="1">
      <c r="A2945" s="48"/>
      <c r="B2945" s="48"/>
      <c r="C2945" s="48"/>
      <c r="D2945" s="47"/>
      <c r="E2945" s="48"/>
    </row>
    <row r="2946" ht="15.75" customHeight="1">
      <c r="A2946" s="48"/>
      <c r="B2946" s="48"/>
      <c r="C2946" s="48"/>
      <c r="D2946" s="47"/>
      <c r="E2946" s="48"/>
    </row>
    <row r="2947" ht="15.75" customHeight="1">
      <c r="A2947" s="48"/>
      <c r="B2947" s="48"/>
      <c r="C2947" s="48"/>
      <c r="D2947" s="47"/>
      <c r="E2947" s="48"/>
    </row>
    <row r="2948" ht="15.75" customHeight="1">
      <c r="A2948" s="48"/>
      <c r="B2948" s="48"/>
      <c r="C2948" s="48"/>
      <c r="D2948" s="47"/>
      <c r="E2948" s="48"/>
    </row>
    <row r="2949" ht="15.75" customHeight="1">
      <c r="A2949" s="48"/>
      <c r="B2949" s="48"/>
      <c r="C2949" s="48"/>
      <c r="D2949" s="47"/>
      <c r="E2949" s="48"/>
    </row>
    <row r="2950" ht="15.75" customHeight="1">
      <c r="A2950" s="48"/>
      <c r="B2950" s="48"/>
      <c r="C2950" s="48"/>
      <c r="D2950" s="47"/>
      <c r="E2950" s="48"/>
    </row>
    <row r="2951" ht="15.75" customHeight="1">
      <c r="A2951" s="48"/>
      <c r="B2951" s="48"/>
      <c r="C2951" s="48"/>
      <c r="D2951" s="47"/>
      <c r="E2951" s="48"/>
    </row>
    <row r="2952" ht="15.75" customHeight="1">
      <c r="A2952" s="48"/>
      <c r="B2952" s="48"/>
      <c r="C2952" s="48"/>
      <c r="D2952" s="47"/>
      <c r="E2952" s="48"/>
    </row>
    <row r="2953" ht="15.75" customHeight="1">
      <c r="A2953" s="48"/>
      <c r="B2953" s="48"/>
      <c r="C2953" s="48"/>
      <c r="D2953" s="47"/>
      <c r="E2953" s="48"/>
    </row>
    <row r="2954" ht="15.75" customHeight="1">
      <c r="A2954" s="48"/>
      <c r="B2954" s="48"/>
      <c r="C2954" s="48"/>
      <c r="D2954" s="47"/>
      <c r="E2954" s="48"/>
    </row>
    <row r="2955" ht="15.75" customHeight="1">
      <c r="A2955" s="48"/>
      <c r="B2955" s="48"/>
      <c r="C2955" s="48"/>
      <c r="D2955" s="47"/>
      <c r="E2955" s="48"/>
    </row>
    <row r="2956" ht="15.75" customHeight="1">
      <c r="A2956" s="48"/>
      <c r="B2956" s="48"/>
      <c r="C2956" s="48"/>
      <c r="D2956" s="47"/>
      <c r="E2956" s="48"/>
    </row>
    <row r="2957" ht="15.75" customHeight="1">
      <c r="A2957" s="48"/>
      <c r="B2957" s="48"/>
      <c r="C2957" s="48"/>
      <c r="D2957" s="47"/>
      <c r="E2957" s="48"/>
    </row>
    <row r="2958" ht="15.75" customHeight="1">
      <c r="A2958" s="48"/>
      <c r="B2958" s="48"/>
      <c r="C2958" s="48"/>
      <c r="D2958" s="47"/>
      <c r="E2958" s="48"/>
    </row>
    <row r="2959" ht="15.75" customHeight="1">
      <c r="A2959" s="48"/>
      <c r="B2959" s="48"/>
      <c r="C2959" s="48"/>
      <c r="D2959" s="47"/>
      <c r="E2959" s="48"/>
    </row>
    <row r="2960" ht="15.75" customHeight="1">
      <c r="A2960" s="48"/>
      <c r="B2960" s="48"/>
      <c r="C2960" s="48"/>
      <c r="D2960" s="47"/>
      <c r="E2960" s="48"/>
    </row>
    <row r="2961" ht="15.75" customHeight="1">
      <c r="A2961" s="48"/>
      <c r="B2961" s="48"/>
      <c r="C2961" s="48"/>
      <c r="D2961" s="47"/>
      <c r="E2961" s="48"/>
    </row>
    <row r="2962" ht="15.75" customHeight="1">
      <c r="A2962" s="48"/>
      <c r="B2962" s="48"/>
      <c r="C2962" s="48"/>
      <c r="D2962" s="47"/>
      <c r="E2962" s="48"/>
    </row>
    <row r="2963" ht="15.75" customHeight="1">
      <c r="A2963" s="48"/>
      <c r="B2963" s="48"/>
      <c r="C2963" s="48"/>
      <c r="D2963" s="47"/>
      <c r="E2963" s="48"/>
    </row>
    <row r="2964" ht="15.75" customHeight="1">
      <c r="A2964" s="48"/>
      <c r="B2964" s="48"/>
      <c r="C2964" s="48"/>
      <c r="D2964" s="47"/>
      <c r="E2964" s="48"/>
    </row>
    <row r="2965" ht="15.75" customHeight="1">
      <c r="A2965" s="48"/>
      <c r="B2965" s="48"/>
      <c r="C2965" s="48"/>
      <c r="D2965" s="47"/>
      <c r="E2965" s="48"/>
    </row>
    <row r="2966" ht="15.75" customHeight="1">
      <c r="A2966" s="48"/>
      <c r="B2966" s="48"/>
      <c r="C2966" s="48"/>
      <c r="D2966" s="47"/>
      <c r="E2966" s="48"/>
    </row>
    <row r="2967" ht="15.75" customHeight="1">
      <c r="A2967" s="48"/>
      <c r="B2967" s="48"/>
      <c r="C2967" s="48"/>
      <c r="D2967" s="47"/>
      <c r="E2967" s="48"/>
    </row>
    <row r="2968" ht="15.75" customHeight="1">
      <c r="A2968" s="48"/>
      <c r="B2968" s="48"/>
      <c r="C2968" s="48"/>
      <c r="D2968" s="47"/>
      <c r="E2968" s="48"/>
    </row>
    <row r="2969" ht="15.75" customHeight="1">
      <c r="A2969" s="48"/>
      <c r="B2969" s="48"/>
      <c r="C2969" s="48"/>
      <c r="D2969" s="47"/>
      <c r="E2969" s="48"/>
    </row>
    <row r="2970" ht="15.75" customHeight="1">
      <c r="A2970" s="48"/>
      <c r="B2970" s="48"/>
      <c r="C2970" s="48"/>
      <c r="D2970" s="47"/>
      <c r="E2970" s="48"/>
    </row>
    <row r="2971" ht="15.75" customHeight="1">
      <c r="A2971" s="48"/>
      <c r="B2971" s="48"/>
      <c r="C2971" s="48"/>
      <c r="D2971" s="47"/>
      <c r="E2971" s="48"/>
    </row>
    <row r="2972" ht="15.75" customHeight="1">
      <c r="A2972" s="48"/>
      <c r="B2972" s="48"/>
      <c r="C2972" s="48"/>
      <c r="D2972" s="47"/>
      <c r="E2972" s="48"/>
    </row>
    <row r="2973" ht="15.75" customHeight="1">
      <c r="A2973" s="48"/>
      <c r="B2973" s="48"/>
      <c r="C2973" s="48"/>
      <c r="D2973" s="47"/>
      <c r="E2973" s="48"/>
    </row>
    <row r="2974" ht="15.75" customHeight="1">
      <c r="A2974" s="48"/>
      <c r="B2974" s="48"/>
      <c r="C2974" s="48"/>
      <c r="D2974" s="47"/>
      <c r="E2974" s="48"/>
    </row>
    <row r="2975" ht="15.75" customHeight="1">
      <c r="A2975" s="48"/>
      <c r="B2975" s="48"/>
      <c r="C2975" s="48"/>
      <c r="D2975" s="47"/>
      <c r="E2975" s="48"/>
    </row>
    <row r="2976" ht="15.75" customHeight="1">
      <c r="A2976" s="48"/>
      <c r="B2976" s="48"/>
      <c r="C2976" s="48"/>
      <c r="D2976" s="47"/>
      <c r="E2976" s="48"/>
    </row>
    <row r="2977" ht="15.75" customHeight="1">
      <c r="A2977" s="48"/>
      <c r="B2977" s="48"/>
      <c r="C2977" s="48"/>
      <c r="D2977" s="47"/>
      <c r="E2977" s="48"/>
    </row>
    <row r="2978" ht="15.75" customHeight="1">
      <c r="A2978" s="48"/>
      <c r="B2978" s="48"/>
      <c r="C2978" s="48"/>
      <c r="D2978" s="47"/>
      <c r="E2978" s="48"/>
    </row>
    <row r="2979" ht="15.75" customHeight="1">
      <c r="A2979" s="48"/>
      <c r="B2979" s="48"/>
      <c r="C2979" s="48"/>
      <c r="D2979" s="47"/>
      <c r="E2979" s="48"/>
    </row>
    <row r="2980" ht="15.75" customHeight="1">
      <c r="A2980" s="48"/>
      <c r="B2980" s="48"/>
      <c r="C2980" s="48"/>
      <c r="D2980" s="47"/>
      <c r="E2980" s="48"/>
    </row>
    <row r="2981" ht="15.75" customHeight="1">
      <c r="A2981" s="48"/>
      <c r="B2981" s="48"/>
      <c r="C2981" s="48"/>
      <c r="D2981" s="47"/>
      <c r="E2981" s="48"/>
    </row>
    <row r="2982" ht="15.75" customHeight="1">
      <c r="A2982" s="48"/>
      <c r="B2982" s="48"/>
      <c r="C2982" s="48"/>
      <c r="D2982" s="47"/>
      <c r="E2982" s="48"/>
    </row>
    <row r="2983" ht="15.75" customHeight="1">
      <c r="A2983" s="48"/>
      <c r="B2983" s="48"/>
      <c r="C2983" s="48"/>
      <c r="D2983" s="47"/>
      <c r="E2983" s="48"/>
    </row>
    <row r="2984" ht="15.75" customHeight="1">
      <c r="A2984" s="48"/>
      <c r="B2984" s="48"/>
      <c r="C2984" s="48"/>
      <c r="D2984" s="47"/>
      <c r="E2984" s="48"/>
    </row>
    <row r="2985" ht="15.75" customHeight="1">
      <c r="A2985" s="48"/>
      <c r="B2985" s="48"/>
      <c r="C2985" s="48"/>
      <c r="D2985" s="47"/>
      <c r="E2985" s="48"/>
    </row>
    <row r="2986" ht="15.75" customHeight="1">
      <c r="A2986" s="48"/>
      <c r="B2986" s="48"/>
      <c r="C2986" s="48"/>
      <c r="D2986" s="47"/>
      <c r="E2986" s="48"/>
    </row>
    <row r="2987" ht="15.75" customHeight="1">
      <c r="A2987" s="48"/>
      <c r="B2987" s="48"/>
      <c r="C2987" s="48"/>
      <c r="D2987" s="47"/>
      <c r="E2987" s="48"/>
    </row>
    <row r="2988" ht="15.75" customHeight="1">
      <c r="A2988" s="48"/>
      <c r="B2988" s="48"/>
      <c r="C2988" s="48"/>
      <c r="D2988" s="47"/>
      <c r="E2988" s="48"/>
    </row>
    <row r="2989" ht="15.75" customHeight="1">
      <c r="A2989" s="48"/>
      <c r="B2989" s="48"/>
      <c r="C2989" s="48"/>
      <c r="D2989" s="47"/>
      <c r="E2989" s="48"/>
    </row>
    <row r="2990" ht="15.75" customHeight="1">
      <c r="A2990" s="48"/>
      <c r="B2990" s="48"/>
      <c r="C2990" s="48"/>
      <c r="D2990" s="47"/>
      <c r="E2990" s="48"/>
    </row>
    <row r="2991" ht="15.75" customHeight="1">
      <c r="A2991" s="48"/>
      <c r="B2991" s="48"/>
      <c r="C2991" s="48"/>
      <c r="D2991" s="47"/>
      <c r="E2991" s="48"/>
    </row>
    <row r="2992" ht="15.75" customHeight="1">
      <c r="A2992" s="48"/>
      <c r="B2992" s="48"/>
      <c r="C2992" s="48"/>
      <c r="D2992" s="47"/>
      <c r="E2992" s="48"/>
    </row>
    <row r="2993" ht="15.75" customHeight="1">
      <c r="A2993" s="48"/>
      <c r="B2993" s="48"/>
      <c r="C2993" s="48"/>
      <c r="D2993" s="47"/>
      <c r="E2993" s="48"/>
    </row>
    <row r="2994" ht="15.75" customHeight="1">
      <c r="A2994" s="48"/>
      <c r="B2994" s="48"/>
      <c r="C2994" s="48"/>
      <c r="D2994" s="47"/>
      <c r="E2994" s="48"/>
    </row>
    <row r="2995" ht="15.75" customHeight="1">
      <c r="A2995" s="48"/>
      <c r="B2995" s="48"/>
      <c r="C2995" s="48"/>
      <c r="D2995" s="47"/>
      <c r="E2995" s="48"/>
    </row>
    <row r="2996" ht="15.75" customHeight="1">
      <c r="A2996" s="48"/>
      <c r="B2996" s="48"/>
      <c r="C2996" s="48"/>
      <c r="D2996" s="47"/>
      <c r="E2996" s="48"/>
    </row>
    <row r="2997" ht="15.75" customHeight="1">
      <c r="A2997" s="48"/>
      <c r="B2997" s="48"/>
      <c r="C2997" s="48"/>
      <c r="D2997" s="47"/>
      <c r="E2997" s="48"/>
    </row>
    <row r="2998" ht="15.75" customHeight="1">
      <c r="A2998" s="48"/>
      <c r="B2998" s="48"/>
      <c r="C2998" s="48"/>
      <c r="D2998" s="47"/>
      <c r="E2998" s="48"/>
    </row>
    <row r="2999" ht="15.75" customHeight="1">
      <c r="A2999" s="48"/>
      <c r="B2999" s="48"/>
      <c r="C2999" s="48"/>
      <c r="D2999" s="47"/>
      <c r="E2999" s="48"/>
    </row>
    <row r="3000" ht="15.75" customHeight="1">
      <c r="A3000" s="48"/>
      <c r="B3000" s="48"/>
      <c r="C3000" s="48"/>
      <c r="D3000" s="47"/>
      <c r="E3000" s="48"/>
    </row>
    <row r="3001" ht="15.75" customHeight="1">
      <c r="A3001" s="48"/>
      <c r="B3001" s="48"/>
      <c r="C3001" s="48"/>
      <c r="D3001" s="47"/>
      <c r="E3001" s="48"/>
    </row>
    <row r="3002" ht="15.75" customHeight="1">
      <c r="A3002" s="48"/>
      <c r="B3002" s="48"/>
      <c r="C3002" s="48"/>
      <c r="D3002" s="47"/>
      <c r="E3002" s="48"/>
    </row>
    <row r="3003" ht="15.75" customHeight="1">
      <c r="A3003" s="48"/>
      <c r="B3003" s="48"/>
      <c r="C3003" s="48"/>
      <c r="D3003" s="47"/>
      <c r="E3003" s="48"/>
    </row>
    <row r="3004" ht="15.75" customHeight="1">
      <c r="A3004" s="48"/>
      <c r="B3004" s="48"/>
      <c r="C3004" s="48"/>
      <c r="D3004" s="47"/>
      <c r="E3004" s="48"/>
    </row>
    <row r="3005" ht="15.75" customHeight="1">
      <c r="A3005" s="48"/>
      <c r="B3005" s="48"/>
      <c r="C3005" s="48"/>
      <c r="D3005" s="47"/>
      <c r="E3005" s="48"/>
    </row>
    <row r="3006" ht="15.75" customHeight="1">
      <c r="A3006" s="48"/>
      <c r="B3006" s="48"/>
      <c r="C3006" s="48"/>
      <c r="D3006" s="47"/>
      <c r="E3006" s="48"/>
    </row>
    <row r="3007" ht="15.75" customHeight="1">
      <c r="A3007" s="48"/>
      <c r="B3007" s="48"/>
      <c r="C3007" s="48"/>
      <c r="D3007" s="47"/>
      <c r="E3007" s="48"/>
    </row>
    <row r="3008" ht="15.75" customHeight="1">
      <c r="A3008" s="48"/>
      <c r="B3008" s="48"/>
      <c r="C3008" s="48"/>
      <c r="D3008" s="47"/>
      <c r="E3008" s="48"/>
    </row>
    <row r="3009" ht="15.75" customHeight="1">
      <c r="A3009" s="48"/>
      <c r="B3009" s="48"/>
      <c r="C3009" s="48"/>
      <c r="D3009" s="47"/>
      <c r="E3009" s="48"/>
    </row>
    <row r="3010" ht="15.75" customHeight="1">
      <c r="A3010" s="48"/>
      <c r="B3010" s="48"/>
      <c r="C3010" s="48"/>
      <c r="D3010" s="47"/>
      <c r="E3010" s="48"/>
    </row>
    <row r="3011" ht="15.75" customHeight="1">
      <c r="A3011" s="48"/>
      <c r="B3011" s="48"/>
      <c r="C3011" s="48"/>
      <c r="D3011" s="47"/>
      <c r="E3011" s="48"/>
    </row>
    <row r="3012" ht="15.75" customHeight="1">
      <c r="A3012" s="48"/>
      <c r="B3012" s="48"/>
      <c r="C3012" s="48"/>
      <c r="D3012" s="47"/>
      <c r="E3012" s="48"/>
    </row>
    <row r="3013" ht="15.75" customHeight="1">
      <c r="A3013" s="48"/>
      <c r="B3013" s="48"/>
      <c r="C3013" s="48"/>
      <c r="D3013" s="47"/>
      <c r="E3013" s="48"/>
    </row>
    <row r="3014" ht="15.75" customHeight="1">
      <c r="A3014" s="48"/>
      <c r="B3014" s="48"/>
      <c r="C3014" s="48"/>
      <c r="D3014" s="47"/>
      <c r="E3014" s="48"/>
    </row>
    <row r="3015" ht="15.75" customHeight="1">
      <c r="A3015" s="48"/>
      <c r="B3015" s="48"/>
      <c r="C3015" s="48"/>
      <c r="D3015" s="47"/>
      <c r="E3015" s="48"/>
    </row>
    <row r="3016" ht="15.75" customHeight="1">
      <c r="A3016" s="48"/>
      <c r="B3016" s="48"/>
      <c r="C3016" s="48"/>
      <c r="D3016" s="47"/>
      <c r="E3016" s="48"/>
    </row>
    <row r="3017" ht="15.75" customHeight="1">
      <c r="A3017" s="48"/>
      <c r="B3017" s="48"/>
      <c r="C3017" s="48"/>
      <c r="D3017" s="47"/>
      <c r="E3017" s="48"/>
    </row>
    <row r="3018" ht="15.75" customHeight="1">
      <c r="A3018" s="48"/>
      <c r="B3018" s="48"/>
      <c r="C3018" s="48"/>
      <c r="D3018" s="47"/>
      <c r="E3018" s="48"/>
    </row>
    <row r="3019" ht="15.75" customHeight="1">
      <c r="A3019" s="48"/>
      <c r="B3019" s="48"/>
      <c r="C3019" s="48"/>
      <c r="D3019" s="47"/>
      <c r="E3019" s="48"/>
    </row>
    <row r="3020" ht="15.75" customHeight="1">
      <c r="A3020" s="48"/>
      <c r="B3020" s="48"/>
      <c r="C3020" s="48"/>
      <c r="D3020" s="47"/>
      <c r="E3020" s="48"/>
    </row>
    <row r="3021" ht="15.75" customHeight="1">
      <c r="A3021" s="48"/>
      <c r="B3021" s="48"/>
      <c r="C3021" s="48"/>
      <c r="D3021" s="47"/>
      <c r="E3021" s="48"/>
    </row>
    <row r="3022" ht="15.75" customHeight="1">
      <c r="A3022" s="48"/>
      <c r="B3022" s="48"/>
      <c r="C3022" s="48"/>
      <c r="D3022" s="47"/>
      <c r="E3022" s="48"/>
    </row>
    <row r="3023" ht="15.75" customHeight="1">
      <c r="A3023" s="48"/>
      <c r="B3023" s="48"/>
      <c r="C3023" s="48"/>
      <c r="D3023" s="47"/>
      <c r="E3023" s="48"/>
    </row>
    <row r="3024" ht="15.75" customHeight="1">
      <c r="A3024" s="48"/>
      <c r="B3024" s="48"/>
      <c r="C3024" s="48"/>
      <c r="D3024" s="47"/>
      <c r="E3024" s="48"/>
    </row>
    <row r="3025" ht="15.75" customHeight="1">
      <c r="A3025" s="48"/>
      <c r="B3025" s="48"/>
      <c r="C3025" s="48"/>
      <c r="D3025" s="47"/>
      <c r="E3025" s="48"/>
    </row>
    <row r="3026" ht="15.75" customHeight="1">
      <c r="A3026" s="48"/>
      <c r="B3026" s="48"/>
      <c r="C3026" s="48"/>
      <c r="D3026" s="47"/>
      <c r="E3026" s="48"/>
    </row>
    <row r="3027" ht="15.75" customHeight="1">
      <c r="A3027" s="48"/>
      <c r="B3027" s="48"/>
      <c r="C3027" s="48"/>
      <c r="D3027" s="47"/>
      <c r="E3027" s="48"/>
    </row>
    <row r="3028" ht="15.75" customHeight="1">
      <c r="A3028" s="48"/>
      <c r="B3028" s="48"/>
      <c r="C3028" s="48"/>
      <c r="D3028" s="47"/>
      <c r="E3028" s="48"/>
    </row>
    <row r="3029" ht="15.75" customHeight="1">
      <c r="A3029" s="48"/>
      <c r="B3029" s="48"/>
      <c r="C3029" s="48"/>
      <c r="D3029" s="47"/>
      <c r="E3029" s="48"/>
    </row>
    <row r="3030" ht="15.75" customHeight="1">
      <c r="A3030" s="48"/>
      <c r="B3030" s="48"/>
      <c r="C3030" s="48"/>
      <c r="D3030" s="47"/>
      <c r="E3030" s="48"/>
    </row>
    <row r="3031" ht="15.75" customHeight="1">
      <c r="A3031" s="48"/>
      <c r="B3031" s="48"/>
      <c r="C3031" s="48"/>
      <c r="D3031" s="47"/>
      <c r="E3031" s="48"/>
    </row>
    <row r="3032" ht="15.75" customHeight="1">
      <c r="A3032" s="48"/>
      <c r="B3032" s="48"/>
      <c r="C3032" s="48"/>
      <c r="D3032" s="47"/>
      <c r="E3032" s="48"/>
    </row>
    <row r="3033" ht="15.75" customHeight="1">
      <c r="A3033" s="48"/>
      <c r="B3033" s="48"/>
      <c r="C3033" s="48"/>
      <c r="D3033" s="47"/>
      <c r="E3033" s="48"/>
    </row>
    <row r="3034" ht="15.75" customHeight="1">
      <c r="A3034" s="48"/>
      <c r="B3034" s="48"/>
      <c r="C3034" s="48"/>
      <c r="D3034" s="47"/>
      <c r="E3034" s="48"/>
    </row>
    <row r="3035" ht="15.75" customHeight="1">
      <c r="A3035" s="48"/>
      <c r="B3035" s="48"/>
      <c r="C3035" s="48"/>
      <c r="D3035" s="47"/>
      <c r="E3035" s="48"/>
    </row>
    <row r="3036" ht="15.75" customHeight="1">
      <c r="A3036" s="48"/>
      <c r="B3036" s="48"/>
      <c r="C3036" s="48"/>
      <c r="D3036" s="47"/>
      <c r="E3036" s="48"/>
    </row>
    <row r="3037" ht="15.75" customHeight="1">
      <c r="A3037" s="48"/>
      <c r="B3037" s="48"/>
      <c r="C3037" s="48"/>
      <c r="D3037" s="47"/>
      <c r="E3037" s="48"/>
    </row>
    <row r="3038" ht="15.75" customHeight="1">
      <c r="A3038" s="48"/>
      <c r="B3038" s="48"/>
      <c r="C3038" s="48"/>
      <c r="D3038" s="47"/>
      <c r="E3038" s="48"/>
    </row>
    <row r="3039" ht="15.75" customHeight="1">
      <c r="A3039" s="48"/>
      <c r="B3039" s="48"/>
      <c r="C3039" s="48"/>
      <c r="D3039" s="47"/>
      <c r="E3039" s="48"/>
    </row>
    <row r="3040" ht="15.75" customHeight="1">
      <c r="A3040" s="48"/>
      <c r="B3040" s="48"/>
      <c r="C3040" s="48"/>
      <c r="D3040" s="47"/>
      <c r="E3040" s="48"/>
    </row>
    <row r="3041" ht="15.75" customHeight="1">
      <c r="A3041" s="48"/>
      <c r="B3041" s="48"/>
      <c r="C3041" s="48"/>
      <c r="D3041" s="47"/>
      <c r="E3041" s="48"/>
    </row>
    <row r="3042" ht="15.75" customHeight="1">
      <c r="A3042" s="48"/>
      <c r="B3042" s="48"/>
      <c r="C3042" s="48"/>
      <c r="D3042" s="47"/>
      <c r="E3042" s="48"/>
    </row>
    <row r="3043" ht="15.75" customHeight="1">
      <c r="A3043" s="48"/>
      <c r="B3043" s="48"/>
      <c r="C3043" s="48"/>
      <c r="D3043" s="47"/>
      <c r="E3043" s="48"/>
    </row>
    <row r="3044" ht="15.75" customHeight="1">
      <c r="A3044" s="48"/>
      <c r="B3044" s="48"/>
      <c r="C3044" s="48"/>
      <c r="D3044" s="47"/>
      <c r="E3044" s="48"/>
    </row>
    <row r="3045" ht="15.75" customHeight="1">
      <c r="A3045" s="48"/>
      <c r="B3045" s="48"/>
      <c r="C3045" s="48"/>
      <c r="D3045" s="47"/>
      <c r="E3045" s="48"/>
    </row>
    <row r="3046" ht="15.75" customHeight="1">
      <c r="A3046" s="48"/>
      <c r="B3046" s="48"/>
      <c r="C3046" s="48"/>
      <c r="D3046" s="47"/>
      <c r="E3046" s="48"/>
    </row>
    <row r="3047" ht="15.75" customHeight="1">
      <c r="A3047" s="48"/>
      <c r="B3047" s="48"/>
      <c r="C3047" s="48"/>
      <c r="D3047" s="47"/>
      <c r="E3047" s="48"/>
    </row>
    <row r="3048" ht="15.75" customHeight="1">
      <c r="A3048" s="48"/>
      <c r="B3048" s="48"/>
      <c r="C3048" s="48"/>
      <c r="D3048" s="47"/>
      <c r="E3048" s="48"/>
    </row>
    <row r="3049" ht="15.75" customHeight="1">
      <c r="A3049" s="48"/>
      <c r="B3049" s="48"/>
      <c r="C3049" s="48"/>
      <c r="D3049" s="47"/>
      <c r="E3049" s="48"/>
    </row>
    <row r="3050" ht="15.75" customHeight="1">
      <c r="A3050" s="48"/>
      <c r="B3050" s="48"/>
      <c r="C3050" s="48"/>
      <c r="D3050" s="47"/>
      <c r="E3050" s="48"/>
    </row>
    <row r="3051" ht="15.75" customHeight="1">
      <c r="A3051" s="48"/>
      <c r="B3051" s="48"/>
      <c r="C3051" s="48"/>
      <c r="D3051" s="47"/>
      <c r="E3051" s="48"/>
    </row>
    <row r="3052" ht="15.75" customHeight="1">
      <c r="A3052" s="48"/>
      <c r="B3052" s="48"/>
      <c r="C3052" s="48"/>
      <c r="D3052" s="47"/>
      <c r="E3052" s="48"/>
    </row>
    <row r="3053" ht="15.75" customHeight="1">
      <c r="A3053" s="48"/>
      <c r="B3053" s="48"/>
      <c r="C3053" s="48"/>
      <c r="D3053" s="47"/>
      <c r="E3053" s="48"/>
    </row>
    <row r="3054" ht="15.75" customHeight="1">
      <c r="A3054" s="48"/>
      <c r="B3054" s="48"/>
      <c r="C3054" s="48"/>
      <c r="D3054" s="47"/>
      <c r="E3054" s="48"/>
    </row>
    <row r="3055" ht="15.75" customHeight="1">
      <c r="A3055" s="48"/>
      <c r="B3055" s="48"/>
      <c r="C3055" s="48"/>
      <c r="D3055" s="47"/>
      <c r="E3055" s="48"/>
    </row>
    <row r="3056" ht="15.75" customHeight="1">
      <c r="A3056" s="48"/>
      <c r="B3056" s="48"/>
      <c r="C3056" s="48"/>
      <c r="D3056" s="47"/>
      <c r="E3056" s="48"/>
    </row>
    <row r="3057" ht="15.75" customHeight="1">
      <c r="A3057" s="48"/>
      <c r="B3057" s="48"/>
      <c r="C3057" s="48"/>
      <c r="D3057" s="47"/>
      <c r="E3057" s="48"/>
    </row>
    <row r="3058" ht="15.75" customHeight="1">
      <c r="A3058" s="48"/>
      <c r="B3058" s="48"/>
      <c r="C3058" s="48"/>
      <c r="D3058" s="47"/>
      <c r="E3058" s="48"/>
    </row>
    <row r="3059" ht="15.75" customHeight="1">
      <c r="A3059" s="48"/>
      <c r="B3059" s="48"/>
      <c r="C3059" s="48"/>
      <c r="D3059" s="47"/>
      <c r="E3059" s="48"/>
    </row>
    <row r="3060" ht="15.75" customHeight="1">
      <c r="A3060" s="48"/>
      <c r="B3060" s="48"/>
      <c r="C3060" s="48"/>
      <c r="D3060" s="47"/>
      <c r="E3060" s="48"/>
    </row>
    <row r="3061" ht="15.75" customHeight="1">
      <c r="A3061" s="48"/>
      <c r="B3061" s="48"/>
      <c r="C3061" s="48"/>
      <c r="D3061" s="47"/>
      <c r="E3061" s="48"/>
    </row>
    <row r="3062" ht="15.75" customHeight="1">
      <c r="A3062" s="48"/>
      <c r="B3062" s="48"/>
      <c r="C3062" s="48"/>
      <c r="D3062" s="47"/>
      <c r="E3062" s="48"/>
    </row>
    <row r="3063" ht="15.75" customHeight="1">
      <c r="A3063" s="48"/>
      <c r="B3063" s="48"/>
      <c r="C3063" s="48"/>
      <c r="D3063" s="47"/>
      <c r="E3063" s="48"/>
    </row>
    <row r="3064" ht="15.75" customHeight="1">
      <c r="A3064" s="48"/>
      <c r="B3064" s="48"/>
      <c r="C3064" s="48"/>
      <c r="D3064" s="47"/>
      <c r="E3064" s="48"/>
    </row>
    <row r="3065" ht="15.75" customHeight="1">
      <c r="A3065" s="48"/>
      <c r="B3065" s="48"/>
      <c r="C3065" s="48"/>
      <c r="D3065" s="47"/>
      <c r="E3065" s="48"/>
    </row>
    <row r="3066" ht="15.75" customHeight="1">
      <c r="A3066" s="48"/>
      <c r="B3066" s="48"/>
      <c r="C3066" s="48"/>
      <c r="D3066" s="47"/>
      <c r="E3066" s="48"/>
    </row>
    <row r="3067" ht="15.75" customHeight="1">
      <c r="A3067" s="48"/>
      <c r="B3067" s="48"/>
      <c r="C3067" s="48"/>
      <c r="D3067" s="47"/>
      <c r="E3067" s="48"/>
    </row>
    <row r="3068" ht="15.75" customHeight="1">
      <c r="A3068" s="48"/>
      <c r="B3068" s="48"/>
      <c r="C3068" s="48"/>
      <c r="D3068" s="47"/>
      <c r="E3068" s="48"/>
    </row>
    <row r="3069" ht="15.75" customHeight="1">
      <c r="A3069" s="48"/>
      <c r="B3069" s="48"/>
      <c r="C3069" s="48"/>
      <c r="D3069" s="47"/>
      <c r="E3069" s="48"/>
    </row>
    <row r="3070" ht="15.75" customHeight="1">
      <c r="A3070" s="48"/>
      <c r="B3070" s="48"/>
      <c r="C3070" s="48"/>
      <c r="D3070" s="47"/>
      <c r="E3070" s="48"/>
    </row>
    <row r="3071" ht="15.75" customHeight="1">
      <c r="A3071" s="48"/>
      <c r="B3071" s="48"/>
      <c r="C3071" s="48"/>
      <c r="D3071" s="47"/>
      <c r="E3071" s="48"/>
    </row>
    <row r="3072" ht="15.75" customHeight="1">
      <c r="A3072" s="48"/>
      <c r="B3072" s="48"/>
      <c r="C3072" s="48"/>
      <c r="D3072" s="47"/>
      <c r="E3072" s="48"/>
    </row>
    <row r="3073" ht="15.75" customHeight="1">
      <c r="A3073" s="48"/>
      <c r="B3073" s="48"/>
      <c r="C3073" s="48"/>
      <c r="D3073" s="47"/>
      <c r="E3073" s="48"/>
    </row>
    <row r="3074" ht="15.75" customHeight="1">
      <c r="A3074" s="48"/>
      <c r="B3074" s="48"/>
      <c r="C3074" s="48"/>
      <c r="D3074" s="47"/>
      <c r="E3074" s="48"/>
    </row>
    <row r="3075" ht="15.75" customHeight="1">
      <c r="A3075" s="48"/>
      <c r="B3075" s="48"/>
      <c r="C3075" s="48"/>
      <c r="D3075" s="47"/>
      <c r="E3075" s="48"/>
    </row>
    <row r="3076" ht="15.75" customHeight="1">
      <c r="A3076" s="48"/>
      <c r="B3076" s="48"/>
      <c r="C3076" s="48"/>
      <c r="D3076" s="47"/>
      <c r="E3076" s="48"/>
    </row>
    <row r="3077" ht="15.75" customHeight="1">
      <c r="A3077" s="48"/>
      <c r="B3077" s="48"/>
      <c r="C3077" s="48"/>
      <c r="D3077" s="47"/>
      <c r="E3077" s="48"/>
    </row>
    <row r="3078" ht="15.75" customHeight="1">
      <c r="A3078" s="48"/>
      <c r="B3078" s="48"/>
      <c r="C3078" s="48"/>
      <c r="D3078" s="47"/>
      <c r="E3078" s="48"/>
    </row>
    <row r="3079" ht="15.75" customHeight="1">
      <c r="A3079" s="48"/>
      <c r="B3079" s="48"/>
      <c r="C3079" s="48"/>
      <c r="D3079" s="47"/>
      <c r="E3079" s="48"/>
    </row>
    <row r="3080" ht="15.75" customHeight="1">
      <c r="A3080" s="48"/>
      <c r="B3080" s="48"/>
      <c r="C3080" s="48"/>
      <c r="D3080" s="47"/>
      <c r="E3080" s="48"/>
    </row>
    <row r="3081" ht="15.75" customHeight="1">
      <c r="A3081" s="48"/>
      <c r="B3081" s="48"/>
      <c r="C3081" s="48"/>
      <c r="D3081" s="47"/>
      <c r="E3081" s="48"/>
    </row>
    <row r="3082" ht="15.75" customHeight="1">
      <c r="A3082" s="48"/>
      <c r="B3082" s="48"/>
      <c r="C3082" s="48"/>
      <c r="D3082" s="47"/>
      <c r="E3082" s="48"/>
    </row>
    <row r="3083" ht="15.75" customHeight="1">
      <c r="A3083" s="48"/>
      <c r="B3083" s="48"/>
      <c r="C3083" s="48"/>
      <c r="D3083" s="47"/>
      <c r="E3083" s="48"/>
    </row>
    <row r="3084" ht="15.75" customHeight="1">
      <c r="A3084" s="48"/>
      <c r="B3084" s="48"/>
      <c r="C3084" s="48"/>
      <c r="D3084" s="47"/>
      <c r="E3084" s="48"/>
    </row>
    <row r="3085" ht="15.75" customHeight="1">
      <c r="A3085" s="48"/>
      <c r="B3085" s="48"/>
      <c r="C3085" s="48"/>
      <c r="D3085" s="47"/>
      <c r="E3085" s="48"/>
    </row>
    <row r="3086" ht="15.75" customHeight="1">
      <c r="A3086" s="48"/>
      <c r="B3086" s="48"/>
      <c r="C3086" s="48"/>
      <c r="D3086" s="47"/>
      <c r="E3086" s="48"/>
    </row>
    <row r="3087" ht="15.75" customHeight="1">
      <c r="A3087" s="48"/>
      <c r="B3087" s="48"/>
      <c r="C3087" s="48"/>
      <c r="D3087" s="47"/>
      <c r="E3087" s="48"/>
    </row>
    <row r="3088" ht="15.75" customHeight="1">
      <c r="A3088" s="48"/>
      <c r="B3088" s="48"/>
      <c r="C3088" s="48"/>
      <c r="D3088" s="47"/>
      <c r="E3088" s="48"/>
    </row>
    <row r="3089" ht="15.75" customHeight="1">
      <c r="A3089" s="48"/>
      <c r="B3089" s="48"/>
      <c r="C3089" s="48"/>
      <c r="D3089" s="47"/>
      <c r="E3089" s="48"/>
    </row>
    <row r="3090" ht="15.75" customHeight="1">
      <c r="A3090" s="48"/>
      <c r="B3090" s="48"/>
      <c r="C3090" s="48"/>
      <c r="D3090" s="47"/>
      <c r="E3090" s="48"/>
    </row>
    <row r="3091" ht="15.75" customHeight="1">
      <c r="A3091" s="48"/>
      <c r="B3091" s="48"/>
      <c r="C3091" s="48"/>
      <c r="D3091" s="47"/>
      <c r="E3091" s="48"/>
    </row>
    <row r="3092" ht="15.75" customHeight="1">
      <c r="A3092" s="48"/>
      <c r="B3092" s="48"/>
      <c r="C3092" s="48"/>
      <c r="D3092" s="47"/>
      <c r="E3092" s="48"/>
    </row>
    <row r="3093" ht="15.75" customHeight="1">
      <c r="A3093" s="48"/>
      <c r="B3093" s="48"/>
      <c r="C3093" s="48"/>
      <c r="D3093" s="47"/>
      <c r="E3093" s="48"/>
    </row>
    <row r="3094" ht="15.75" customHeight="1">
      <c r="A3094" s="48"/>
      <c r="B3094" s="48"/>
      <c r="C3094" s="48"/>
      <c r="D3094" s="47"/>
      <c r="E3094" s="48"/>
    </row>
    <row r="3095" ht="15.75" customHeight="1">
      <c r="A3095" s="48"/>
      <c r="B3095" s="48"/>
      <c r="C3095" s="48"/>
      <c r="D3095" s="47"/>
      <c r="E3095" s="48"/>
    </row>
    <row r="3096" ht="15.75" customHeight="1">
      <c r="A3096" s="48"/>
      <c r="B3096" s="48"/>
      <c r="C3096" s="48"/>
      <c r="D3096" s="47"/>
      <c r="E3096" s="48"/>
    </row>
    <row r="3097" ht="15.75" customHeight="1">
      <c r="A3097" s="48"/>
      <c r="B3097" s="48"/>
      <c r="C3097" s="48"/>
      <c r="D3097" s="47"/>
      <c r="E3097" s="48"/>
    </row>
    <row r="3098" ht="15.75" customHeight="1">
      <c r="A3098" s="48"/>
      <c r="B3098" s="48"/>
      <c r="C3098" s="48"/>
      <c r="D3098" s="47"/>
      <c r="E3098" s="48"/>
    </row>
    <row r="3099" ht="15.75" customHeight="1">
      <c r="A3099" s="48"/>
      <c r="B3099" s="48"/>
      <c r="C3099" s="48"/>
      <c r="D3099" s="47"/>
      <c r="E3099" s="48"/>
    </row>
    <row r="3100" ht="15.75" customHeight="1">
      <c r="A3100" s="48"/>
      <c r="B3100" s="48"/>
      <c r="C3100" s="48"/>
      <c r="D3100" s="47"/>
      <c r="E3100" s="48"/>
    </row>
    <row r="3101" ht="15.75" customHeight="1">
      <c r="A3101" s="48"/>
      <c r="B3101" s="48"/>
      <c r="C3101" s="48"/>
      <c r="D3101" s="47"/>
      <c r="E3101" s="48"/>
    </row>
    <row r="3102" ht="15.75" customHeight="1">
      <c r="A3102" s="48"/>
      <c r="B3102" s="48"/>
      <c r="C3102" s="48"/>
      <c r="D3102" s="47"/>
      <c r="E3102" s="48"/>
    </row>
    <row r="3103" ht="15.75" customHeight="1">
      <c r="A3103" s="48"/>
      <c r="B3103" s="48"/>
      <c r="C3103" s="48"/>
      <c r="D3103" s="47"/>
      <c r="E3103" s="48"/>
    </row>
    <row r="3104" ht="15.75" customHeight="1">
      <c r="A3104" s="48"/>
      <c r="B3104" s="48"/>
      <c r="C3104" s="48"/>
      <c r="D3104" s="47"/>
      <c r="E3104" s="48"/>
    </row>
    <row r="3105" ht="15.75" customHeight="1">
      <c r="A3105" s="48"/>
      <c r="B3105" s="48"/>
      <c r="C3105" s="48"/>
      <c r="D3105" s="47"/>
      <c r="E3105" s="48"/>
    </row>
    <row r="3106" ht="15.75" customHeight="1">
      <c r="A3106" s="48"/>
      <c r="B3106" s="48"/>
      <c r="C3106" s="48"/>
      <c r="D3106" s="47"/>
      <c r="E3106" s="48"/>
    </row>
    <row r="3107" ht="15.75" customHeight="1">
      <c r="A3107" s="48"/>
      <c r="B3107" s="48"/>
      <c r="C3107" s="48"/>
      <c r="D3107" s="47"/>
      <c r="E3107" s="48"/>
    </row>
    <row r="3108" ht="15.75" customHeight="1">
      <c r="A3108" s="48"/>
      <c r="B3108" s="48"/>
      <c r="C3108" s="48"/>
      <c r="D3108" s="47"/>
      <c r="E3108" s="48"/>
    </row>
    <row r="3109" ht="15.75" customHeight="1">
      <c r="A3109" s="48"/>
      <c r="B3109" s="48"/>
      <c r="C3109" s="48"/>
      <c r="D3109" s="47"/>
      <c r="E3109" s="48"/>
    </row>
    <row r="3110" ht="15.75" customHeight="1">
      <c r="A3110" s="48"/>
      <c r="B3110" s="48"/>
      <c r="C3110" s="48"/>
      <c r="D3110" s="47"/>
      <c r="E3110" s="48"/>
    </row>
    <row r="3111" ht="15.75" customHeight="1">
      <c r="A3111" s="48"/>
      <c r="B3111" s="48"/>
      <c r="C3111" s="48"/>
      <c r="D3111" s="47"/>
      <c r="E3111" s="48"/>
    </row>
    <row r="3112" ht="15.75" customHeight="1">
      <c r="A3112" s="48"/>
      <c r="B3112" s="48"/>
      <c r="C3112" s="48"/>
      <c r="D3112" s="47"/>
      <c r="E3112" s="48"/>
    </row>
    <row r="3113" ht="15.75" customHeight="1">
      <c r="A3113" s="48"/>
      <c r="B3113" s="48"/>
      <c r="C3113" s="48"/>
      <c r="D3113" s="47"/>
      <c r="E3113" s="48"/>
    </row>
    <row r="3114" ht="15.75" customHeight="1">
      <c r="A3114" s="48"/>
      <c r="B3114" s="48"/>
      <c r="C3114" s="48"/>
      <c r="D3114" s="47"/>
      <c r="E3114" s="48"/>
    </row>
    <row r="3115" ht="15.75" customHeight="1">
      <c r="A3115" s="48"/>
      <c r="B3115" s="48"/>
      <c r="C3115" s="48"/>
      <c r="D3115" s="47"/>
      <c r="E3115" s="48"/>
    </row>
    <row r="3116" ht="15.75" customHeight="1">
      <c r="A3116" s="48"/>
      <c r="B3116" s="48"/>
      <c r="C3116" s="48"/>
      <c r="D3116" s="47"/>
      <c r="E3116" s="48"/>
    </row>
    <row r="3117" ht="15.75" customHeight="1">
      <c r="A3117" s="48"/>
      <c r="B3117" s="48"/>
      <c r="C3117" s="48"/>
      <c r="D3117" s="47"/>
      <c r="E3117" s="48"/>
    </row>
    <row r="3118" ht="15.75" customHeight="1">
      <c r="A3118" s="48"/>
      <c r="B3118" s="48"/>
      <c r="C3118" s="48"/>
      <c r="D3118" s="47"/>
      <c r="E3118" s="48"/>
    </row>
    <row r="3119" ht="15.75" customHeight="1">
      <c r="A3119" s="48"/>
      <c r="B3119" s="48"/>
      <c r="C3119" s="48"/>
      <c r="D3119" s="47"/>
      <c r="E3119" s="48"/>
    </row>
    <row r="3120" ht="15.75" customHeight="1">
      <c r="A3120" s="48"/>
      <c r="B3120" s="48"/>
      <c r="C3120" s="48"/>
      <c r="D3120" s="47"/>
      <c r="E3120" s="48"/>
    </row>
    <row r="3121" ht="15.75" customHeight="1">
      <c r="A3121" s="48"/>
      <c r="B3121" s="48"/>
      <c r="C3121" s="48"/>
      <c r="D3121" s="47"/>
      <c r="E3121" s="48"/>
    </row>
    <row r="3122" ht="15.75" customHeight="1">
      <c r="A3122" s="48"/>
      <c r="B3122" s="48"/>
      <c r="C3122" s="48"/>
      <c r="D3122" s="47"/>
      <c r="E3122" s="48"/>
    </row>
    <row r="3123" ht="15.75" customHeight="1">
      <c r="A3123" s="48"/>
      <c r="B3123" s="48"/>
      <c r="C3123" s="48"/>
      <c r="D3123" s="47"/>
      <c r="E3123" s="48"/>
    </row>
    <row r="3124" ht="15.75" customHeight="1">
      <c r="A3124" s="48"/>
      <c r="B3124" s="48"/>
      <c r="C3124" s="48"/>
      <c r="D3124" s="47"/>
      <c r="E3124" s="48"/>
    </row>
    <row r="3125" ht="15.75" customHeight="1">
      <c r="A3125" s="48"/>
      <c r="B3125" s="48"/>
      <c r="C3125" s="48"/>
      <c r="D3125" s="47"/>
      <c r="E3125" s="48"/>
    </row>
    <row r="3126" ht="15.75" customHeight="1">
      <c r="A3126" s="48"/>
      <c r="B3126" s="48"/>
      <c r="C3126" s="48"/>
      <c r="D3126" s="47"/>
      <c r="E3126" s="48"/>
    </row>
    <row r="3127" ht="15.75" customHeight="1">
      <c r="A3127" s="48"/>
      <c r="B3127" s="48"/>
      <c r="C3127" s="48"/>
      <c r="D3127" s="47"/>
      <c r="E3127" s="48"/>
    </row>
    <row r="3128" ht="15.75" customHeight="1">
      <c r="A3128" s="48"/>
      <c r="B3128" s="48"/>
      <c r="C3128" s="48"/>
      <c r="D3128" s="47"/>
      <c r="E3128" s="48"/>
    </row>
    <row r="3129" ht="15.75" customHeight="1">
      <c r="A3129" s="48"/>
      <c r="B3129" s="48"/>
      <c r="C3129" s="48"/>
      <c r="D3129" s="47"/>
      <c r="E3129" s="48"/>
    </row>
    <row r="3130" ht="15.75" customHeight="1">
      <c r="A3130" s="48"/>
      <c r="B3130" s="48"/>
      <c r="C3130" s="48"/>
      <c r="D3130" s="47"/>
      <c r="E3130" s="48"/>
    </row>
    <row r="3131" ht="15.75" customHeight="1">
      <c r="A3131" s="48"/>
      <c r="B3131" s="48"/>
      <c r="C3131" s="48"/>
      <c r="D3131" s="47"/>
      <c r="E3131" s="48"/>
    </row>
    <row r="3132" ht="15.75" customHeight="1">
      <c r="A3132" s="48"/>
      <c r="B3132" s="48"/>
      <c r="C3132" s="48"/>
      <c r="D3132" s="47"/>
      <c r="E3132" s="48"/>
    </row>
    <row r="3133" ht="15.75" customHeight="1">
      <c r="A3133" s="48"/>
      <c r="B3133" s="48"/>
      <c r="C3133" s="48"/>
      <c r="D3133" s="47"/>
      <c r="E3133" s="48"/>
    </row>
    <row r="3134" ht="15.75" customHeight="1">
      <c r="A3134" s="48"/>
      <c r="B3134" s="48"/>
      <c r="C3134" s="48"/>
      <c r="D3134" s="47"/>
      <c r="E3134" s="48"/>
    </row>
    <row r="3135" ht="15.75" customHeight="1">
      <c r="A3135" s="48"/>
      <c r="B3135" s="48"/>
      <c r="C3135" s="48"/>
      <c r="D3135" s="47"/>
      <c r="E3135" s="48"/>
    </row>
    <row r="3136" ht="15.75" customHeight="1">
      <c r="A3136" s="48"/>
      <c r="B3136" s="48"/>
      <c r="C3136" s="48"/>
      <c r="D3136" s="47"/>
      <c r="E3136" s="48"/>
    </row>
    <row r="3137" ht="15.75" customHeight="1">
      <c r="A3137" s="48"/>
      <c r="B3137" s="48"/>
      <c r="C3137" s="48"/>
      <c r="D3137" s="47"/>
      <c r="E3137" s="48"/>
    </row>
    <row r="3138" ht="15.75" customHeight="1">
      <c r="A3138" s="48"/>
      <c r="B3138" s="48"/>
      <c r="C3138" s="48"/>
      <c r="D3138" s="47"/>
      <c r="E3138" s="48"/>
    </row>
    <row r="3139" ht="15.75" customHeight="1">
      <c r="A3139" s="48"/>
      <c r="B3139" s="48"/>
      <c r="C3139" s="48"/>
      <c r="D3139" s="47"/>
      <c r="E3139" s="48"/>
    </row>
    <row r="3140" ht="15.75" customHeight="1">
      <c r="A3140" s="48"/>
      <c r="B3140" s="48"/>
      <c r="C3140" s="48"/>
      <c r="D3140" s="47"/>
      <c r="E3140" s="48"/>
    </row>
    <row r="3141" ht="15.75" customHeight="1">
      <c r="A3141" s="48"/>
      <c r="B3141" s="48"/>
      <c r="C3141" s="48"/>
      <c r="D3141" s="47"/>
      <c r="E3141" s="48"/>
    </row>
    <row r="3142" ht="15.75" customHeight="1">
      <c r="A3142" s="48"/>
      <c r="B3142" s="48"/>
      <c r="C3142" s="48"/>
      <c r="D3142" s="47"/>
      <c r="E3142" s="48"/>
    </row>
    <row r="3143" ht="15.75" customHeight="1">
      <c r="A3143" s="48"/>
      <c r="B3143" s="48"/>
      <c r="C3143" s="48"/>
      <c r="D3143" s="47"/>
      <c r="E3143" s="48"/>
    </row>
    <row r="3144" ht="15.75" customHeight="1">
      <c r="A3144" s="48"/>
      <c r="B3144" s="48"/>
      <c r="C3144" s="48"/>
      <c r="D3144" s="47"/>
      <c r="E3144" s="48"/>
    </row>
    <row r="3145" ht="15.75" customHeight="1">
      <c r="A3145" s="48"/>
      <c r="B3145" s="48"/>
      <c r="C3145" s="48"/>
      <c r="D3145" s="47"/>
      <c r="E3145" s="48"/>
    </row>
    <row r="3146" ht="15.75" customHeight="1">
      <c r="A3146" s="48"/>
      <c r="B3146" s="48"/>
      <c r="C3146" s="48"/>
      <c r="D3146" s="47"/>
      <c r="E3146" s="48"/>
    </row>
    <row r="3147" ht="15.75" customHeight="1">
      <c r="A3147" s="48"/>
      <c r="B3147" s="48"/>
      <c r="C3147" s="48"/>
      <c r="D3147" s="47"/>
      <c r="E3147" s="48"/>
    </row>
    <row r="3148" ht="15.75" customHeight="1">
      <c r="A3148" s="48"/>
      <c r="B3148" s="48"/>
      <c r="C3148" s="48"/>
      <c r="D3148" s="47"/>
      <c r="E3148" s="48"/>
    </row>
    <row r="3149" ht="15.75" customHeight="1">
      <c r="A3149" s="48"/>
      <c r="B3149" s="48"/>
      <c r="C3149" s="48"/>
      <c r="D3149" s="47"/>
      <c r="E3149" s="48"/>
    </row>
    <row r="3150" ht="15.75" customHeight="1">
      <c r="A3150" s="48"/>
      <c r="B3150" s="48"/>
      <c r="C3150" s="48"/>
      <c r="D3150" s="47"/>
      <c r="E3150" s="48"/>
    </row>
    <row r="3151" ht="15.75" customHeight="1">
      <c r="A3151" s="48"/>
      <c r="B3151" s="48"/>
      <c r="C3151" s="48"/>
      <c r="D3151" s="47"/>
      <c r="E3151" s="48"/>
    </row>
    <row r="3152" ht="15.75" customHeight="1">
      <c r="A3152" s="48"/>
      <c r="B3152" s="48"/>
      <c r="C3152" s="48"/>
      <c r="D3152" s="47"/>
      <c r="E3152" s="48"/>
    </row>
    <row r="3153" ht="15.75" customHeight="1">
      <c r="A3153" s="48"/>
      <c r="B3153" s="48"/>
      <c r="C3153" s="48"/>
      <c r="D3153" s="47"/>
      <c r="E3153" s="48"/>
    </row>
    <row r="3154" ht="15.75" customHeight="1">
      <c r="A3154" s="48"/>
      <c r="B3154" s="48"/>
      <c r="C3154" s="48"/>
      <c r="D3154" s="47"/>
      <c r="E3154" s="48"/>
    </row>
    <row r="3155" ht="15.75" customHeight="1">
      <c r="A3155" s="48"/>
      <c r="B3155" s="48"/>
      <c r="C3155" s="48"/>
      <c r="D3155" s="47"/>
      <c r="E3155" s="48"/>
    </row>
    <row r="3156" ht="15.75" customHeight="1">
      <c r="A3156" s="48"/>
      <c r="B3156" s="48"/>
      <c r="C3156" s="48"/>
      <c r="D3156" s="47"/>
      <c r="E3156" s="48"/>
    </row>
    <row r="3157" ht="15.75" customHeight="1">
      <c r="A3157" s="48"/>
      <c r="B3157" s="48"/>
      <c r="C3157" s="48"/>
      <c r="D3157" s="47"/>
      <c r="E3157" s="48"/>
    </row>
    <row r="3158" ht="15.75" customHeight="1">
      <c r="A3158" s="48"/>
      <c r="B3158" s="48"/>
      <c r="C3158" s="48"/>
      <c r="D3158" s="47"/>
      <c r="E3158" s="48"/>
    </row>
    <row r="3159" ht="15.75" customHeight="1">
      <c r="A3159" s="48"/>
      <c r="B3159" s="48"/>
      <c r="C3159" s="48"/>
      <c r="D3159" s="47"/>
      <c r="E3159" s="48"/>
    </row>
    <row r="3160" ht="15.75" customHeight="1">
      <c r="A3160" s="48"/>
      <c r="B3160" s="48"/>
      <c r="C3160" s="48"/>
      <c r="D3160" s="47"/>
      <c r="E3160" s="48"/>
    </row>
    <row r="3161" ht="15.75" customHeight="1">
      <c r="A3161" s="48"/>
      <c r="B3161" s="48"/>
      <c r="C3161" s="48"/>
      <c r="D3161" s="47"/>
      <c r="E3161" s="48"/>
    </row>
    <row r="3162" ht="15.75" customHeight="1">
      <c r="A3162" s="48"/>
      <c r="B3162" s="48"/>
      <c r="C3162" s="48"/>
      <c r="D3162" s="47"/>
      <c r="E3162" s="48"/>
    </row>
    <row r="3163" ht="15.75" customHeight="1">
      <c r="A3163" s="48"/>
      <c r="B3163" s="48"/>
      <c r="C3163" s="48"/>
      <c r="D3163" s="47"/>
      <c r="E3163" s="48"/>
    </row>
    <row r="3164" ht="15.75" customHeight="1">
      <c r="A3164" s="48"/>
      <c r="B3164" s="48"/>
      <c r="C3164" s="48"/>
      <c r="D3164" s="47"/>
      <c r="E3164" s="48"/>
    </row>
    <row r="3165" ht="15.75" customHeight="1">
      <c r="A3165" s="48"/>
      <c r="B3165" s="48"/>
      <c r="C3165" s="48"/>
      <c r="D3165" s="47"/>
      <c r="E3165" s="48"/>
    </row>
    <row r="3166" ht="15.75" customHeight="1">
      <c r="A3166" s="48"/>
      <c r="B3166" s="48"/>
      <c r="C3166" s="48"/>
      <c r="D3166" s="47"/>
      <c r="E3166" s="48"/>
    </row>
    <row r="3167" ht="15.75" customHeight="1">
      <c r="A3167" s="48"/>
      <c r="B3167" s="48"/>
      <c r="C3167" s="48"/>
      <c r="D3167" s="47"/>
      <c r="E3167" s="48"/>
    </row>
    <row r="3168" ht="15.75" customHeight="1">
      <c r="A3168" s="48"/>
      <c r="B3168" s="48"/>
      <c r="C3168" s="48"/>
      <c r="D3168" s="47"/>
      <c r="E3168" s="48"/>
    </row>
    <row r="3169" ht="15.75" customHeight="1">
      <c r="A3169" s="48"/>
      <c r="B3169" s="48"/>
      <c r="C3169" s="48"/>
      <c r="D3169" s="47"/>
      <c r="E3169" s="48"/>
    </row>
    <row r="3170" ht="15.75" customHeight="1">
      <c r="A3170" s="48"/>
      <c r="B3170" s="48"/>
      <c r="C3170" s="48"/>
      <c r="D3170" s="47"/>
      <c r="E3170" s="48"/>
    </row>
    <row r="3171" ht="15.75" customHeight="1">
      <c r="A3171" s="48"/>
      <c r="B3171" s="48"/>
      <c r="C3171" s="48"/>
      <c r="D3171" s="47"/>
      <c r="E3171" s="48"/>
    </row>
    <row r="3172" ht="15.75" customHeight="1">
      <c r="A3172" s="48"/>
      <c r="B3172" s="48"/>
      <c r="C3172" s="48"/>
      <c r="D3172" s="47"/>
      <c r="E3172" s="48"/>
    </row>
    <row r="3173" ht="15.75" customHeight="1">
      <c r="A3173" s="48"/>
      <c r="B3173" s="48"/>
      <c r="C3173" s="48"/>
      <c r="D3173" s="47"/>
      <c r="E3173" s="48"/>
    </row>
    <row r="3174" ht="15.75" customHeight="1">
      <c r="A3174" s="48"/>
      <c r="B3174" s="48"/>
      <c r="C3174" s="48"/>
      <c r="D3174" s="47"/>
      <c r="E3174" s="48"/>
    </row>
    <row r="3175" ht="15.75" customHeight="1">
      <c r="A3175" s="48"/>
      <c r="B3175" s="48"/>
      <c r="C3175" s="48"/>
      <c r="D3175" s="47"/>
      <c r="E3175" s="48"/>
    </row>
    <row r="3176" ht="15.75" customHeight="1">
      <c r="A3176" s="48"/>
      <c r="B3176" s="48"/>
      <c r="C3176" s="48"/>
      <c r="D3176" s="47"/>
      <c r="E3176" s="48"/>
    </row>
    <row r="3177" ht="15.75" customHeight="1">
      <c r="A3177" s="48"/>
      <c r="B3177" s="48"/>
      <c r="C3177" s="48"/>
      <c r="D3177" s="47"/>
      <c r="E3177" s="48"/>
    </row>
    <row r="3178" ht="15.75" customHeight="1">
      <c r="A3178" s="48"/>
      <c r="B3178" s="48"/>
      <c r="C3178" s="48"/>
      <c r="D3178" s="47"/>
      <c r="E3178" s="48"/>
    </row>
    <row r="3179" ht="15.75" customHeight="1">
      <c r="A3179" s="48"/>
      <c r="B3179" s="48"/>
      <c r="C3179" s="48"/>
      <c r="D3179" s="47"/>
      <c r="E3179" s="48"/>
    </row>
    <row r="3180" ht="15.75" customHeight="1">
      <c r="A3180" s="48"/>
      <c r="B3180" s="48"/>
      <c r="C3180" s="48"/>
      <c r="D3180" s="47"/>
      <c r="E3180" s="48"/>
    </row>
    <row r="3181" ht="15.75" customHeight="1">
      <c r="A3181" s="48"/>
      <c r="B3181" s="48"/>
      <c r="C3181" s="48"/>
      <c r="D3181" s="47"/>
      <c r="E3181" s="48"/>
    </row>
    <row r="3182" ht="15.75" customHeight="1">
      <c r="A3182" s="48"/>
      <c r="B3182" s="48"/>
      <c r="C3182" s="48"/>
      <c r="D3182" s="47"/>
      <c r="E3182" s="48"/>
    </row>
    <row r="3183" ht="15.75" customHeight="1">
      <c r="A3183" s="48"/>
      <c r="B3183" s="48"/>
      <c r="C3183" s="48"/>
      <c r="D3183" s="47"/>
      <c r="E3183" s="48"/>
    </row>
    <row r="3184" ht="15.75" customHeight="1">
      <c r="A3184" s="48"/>
      <c r="B3184" s="48"/>
      <c r="C3184" s="48"/>
      <c r="D3184" s="47"/>
      <c r="E3184" s="48"/>
    </row>
    <row r="3185" ht="15.75" customHeight="1">
      <c r="A3185" s="48"/>
      <c r="B3185" s="48"/>
      <c r="C3185" s="48"/>
      <c r="D3185" s="47"/>
      <c r="E3185" s="48"/>
    </row>
    <row r="3186" ht="15.75" customHeight="1">
      <c r="A3186" s="48"/>
      <c r="B3186" s="48"/>
      <c r="C3186" s="48"/>
      <c r="D3186" s="47"/>
      <c r="E3186" s="48"/>
    </row>
    <row r="3187" ht="15.75" customHeight="1">
      <c r="A3187" s="48"/>
      <c r="B3187" s="48"/>
      <c r="C3187" s="48"/>
      <c r="D3187" s="47"/>
      <c r="E3187" s="48"/>
    </row>
    <row r="3188" ht="15.75" customHeight="1">
      <c r="A3188" s="48"/>
      <c r="B3188" s="48"/>
      <c r="C3188" s="48"/>
      <c r="D3188" s="47"/>
      <c r="E3188" s="48"/>
    </row>
    <row r="3189" ht="15.75" customHeight="1">
      <c r="A3189" s="48"/>
      <c r="B3189" s="48"/>
      <c r="C3189" s="48"/>
      <c r="D3189" s="47"/>
      <c r="E3189" s="48"/>
    </row>
    <row r="3190" ht="15.75" customHeight="1">
      <c r="A3190" s="48"/>
      <c r="B3190" s="48"/>
      <c r="C3190" s="48"/>
      <c r="D3190" s="47"/>
      <c r="E3190" s="48"/>
    </row>
    <row r="3191" ht="15.75" customHeight="1">
      <c r="A3191" s="48"/>
      <c r="B3191" s="48"/>
      <c r="C3191" s="48"/>
      <c r="D3191" s="47"/>
      <c r="E3191" s="48"/>
    </row>
    <row r="3192" ht="15.75" customHeight="1">
      <c r="A3192" s="48"/>
      <c r="B3192" s="48"/>
      <c r="C3192" s="48"/>
      <c r="D3192" s="47"/>
      <c r="E3192" s="48"/>
    </row>
    <row r="3193" ht="15.75" customHeight="1">
      <c r="A3193" s="48"/>
      <c r="B3193" s="48"/>
      <c r="C3193" s="48"/>
      <c r="D3193" s="47"/>
      <c r="E3193" s="48"/>
    </row>
    <row r="3194" ht="15.75" customHeight="1">
      <c r="A3194" s="48"/>
      <c r="B3194" s="48"/>
      <c r="C3194" s="48"/>
      <c r="D3194" s="47"/>
      <c r="E3194" s="48"/>
    </row>
    <row r="3195" ht="15.75" customHeight="1">
      <c r="A3195" s="48"/>
      <c r="B3195" s="48"/>
      <c r="C3195" s="48"/>
      <c r="D3195" s="47"/>
      <c r="E3195" s="48"/>
    </row>
    <row r="3196" ht="15.75" customHeight="1">
      <c r="A3196" s="48"/>
      <c r="B3196" s="48"/>
      <c r="C3196" s="48"/>
      <c r="D3196" s="47"/>
      <c r="E3196" s="48"/>
    </row>
    <row r="3197" ht="15.75" customHeight="1">
      <c r="A3197" s="48"/>
      <c r="B3197" s="48"/>
      <c r="C3197" s="48"/>
      <c r="D3197" s="47"/>
      <c r="E3197" s="48"/>
    </row>
    <row r="3198" ht="15.75" customHeight="1">
      <c r="A3198" s="48"/>
      <c r="B3198" s="48"/>
      <c r="C3198" s="48"/>
      <c r="D3198" s="47"/>
      <c r="E3198" s="48"/>
    </row>
    <row r="3199" ht="15.75" customHeight="1">
      <c r="A3199" s="48"/>
      <c r="B3199" s="48"/>
      <c r="C3199" s="48"/>
      <c r="D3199" s="47"/>
      <c r="E3199" s="48"/>
    </row>
    <row r="3200" ht="15.75" customHeight="1">
      <c r="A3200" s="48"/>
      <c r="B3200" s="48"/>
      <c r="C3200" s="48"/>
      <c r="D3200" s="47"/>
      <c r="E3200" s="48"/>
    </row>
    <row r="3201" ht="15.75" customHeight="1">
      <c r="A3201" s="48"/>
      <c r="B3201" s="48"/>
      <c r="C3201" s="48"/>
      <c r="D3201" s="47"/>
      <c r="E3201" s="48"/>
    </row>
    <row r="3202" ht="15.75" customHeight="1">
      <c r="A3202" s="48"/>
      <c r="B3202" s="48"/>
      <c r="C3202" s="48"/>
      <c r="D3202" s="47"/>
      <c r="E3202" s="48"/>
    </row>
    <row r="3203" ht="15.75" customHeight="1">
      <c r="A3203" s="48"/>
      <c r="B3203" s="48"/>
      <c r="C3203" s="48"/>
      <c r="D3203" s="47"/>
      <c r="E3203" s="48"/>
    </row>
    <row r="3204" ht="15.75" customHeight="1">
      <c r="A3204" s="48"/>
      <c r="B3204" s="48"/>
      <c r="C3204" s="48"/>
      <c r="D3204" s="47"/>
      <c r="E3204" s="48"/>
    </row>
    <row r="3205" ht="15.75" customHeight="1">
      <c r="A3205" s="48"/>
      <c r="B3205" s="48"/>
      <c r="C3205" s="48"/>
      <c r="D3205" s="47"/>
      <c r="E3205" s="48"/>
    </row>
    <row r="3206" ht="15.75" customHeight="1">
      <c r="A3206" s="48"/>
      <c r="B3206" s="48"/>
      <c r="C3206" s="48"/>
      <c r="D3206" s="47"/>
      <c r="E3206" s="48"/>
    </row>
    <row r="3207" ht="15.75" customHeight="1">
      <c r="A3207" s="48"/>
      <c r="B3207" s="48"/>
      <c r="C3207" s="48"/>
      <c r="D3207" s="47"/>
      <c r="E3207" s="48"/>
    </row>
    <row r="3208" ht="15.75" customHeight="1">
      <c r="A3208" s="48"/>
      <c r="B3208" s="48"/>
      <c r="C3208" s="48"/>
      <c r="D3208" s="47"/>
      <c r="E3208" s="48"/>
    </row>
    <row r="3209" ht="15.75" customHeight="1">
      <c r="A3209" s="48"/>
      <c r="B3209" s="48"/>
      <c r="C3209" s="48"/>
      <c r="D3209" s="47"/>
      <c r="E3209" s="48"/>
    </row>
    <row r="3210" ht="15.75" customHeight="1">
      <c r="A3210" s="48"/>
      <c r="B3210" s="48"/>
      <c r="C3210" s="48"/>
      <c r="D3210" s="47"/>
      <c r="E3210" s="48"/>
    </row>
    <row r="3211" ht="15.75" customHeight="1">
      <c r="A3211" s="48"/>
      <c r="B3211" s="48"/>
      <c r="C3211" s="48"/>
      <c r="D3211" s="47"/>
      <c r="E3211" s="48"/>
    </row>
    <row r="3212" ht="15.75" customHeight="1">
      <c r="A3212" s="48"/>
      <c r="B3212" s="48"/>
      <c r="C3212" s="48"/>
      <c r="D3212" s="47"/>
      <c r="E3212" s="48"/>
    </row>
    <row r="3213" ht="15.75" customHeight="1">
      <c r="A3213" s="48"/>
      <c r="B3213" s="48"/>
      <c r="C3213" s="48"/>
      <c r="D3213" s="47"/>
      <c r="E3213" s="48"/>
    </row>
    <row r="3214" ht="15.75" customHeight="1">
      <c r="A3214" s="48"/>
      <c r="B3214" s="48"/>
      <c r="C3214" s="48"/>
      <c r="D3214" s="47"/>
      <c r="E3214" s="48"/>
    </row>
    <row r="3215" ht="15.75" customHeight="1">
      <c r="A3215" s="48"/>
      <c r="B3215" s="48"/>
      <c r="C3215" s="48"/>
      <c r="D3215" s="47"/>
      <c r="E3215" s="48"/>
    </row>
    <row r="3216" ht="15.75" customHeight="1">
      <c r="A3216" s="48"/>
      <c r="B3216" s="48"/>
      <c r="C3216" s="48"/>
      <c r="D3216" s="47"/>
      <c r="E3216" s="48"/>
    </row>
    <row r="3217" ht="15.75" customHeight="1">
      <c r="A3217" s="48"/>
      <c r="B3217" s="48"/>
      <c r="C3217" s="48"/>
      <c r="D3217" s="47"/>
      <c r="E3217" s="48"/>
    </row>
    <row r="3218" ht="15.75" customHeight="1">
      <c r="A3218" s="48"/>
      <c r="B3218" s="48"/>
      <c r="C3218" s="48"/>
      <c r="D3218" s="47"/>
      <c r="E3218" s="48"/>
    </row>
    <row r="3219" ht="15.75" customHeight="1">
      <c r="A3219" s="48"/>
      <c r="B3219" s="48"/>
      <c r="C3219" s="48"/>
      <c r="D3219" s="47"/>
      <c r="E3219" s="48"/>
    </row>
    <row r="3220" ht="15.75" customHeight="1">
      <c r="A3220" s="48"/>
      <c r="B3220" s="48"/>
      <c r="C3220" s="48"/>
      <c r="D3220" s="47"/>
      <c r="E3220" s="48"/>
    </row>
    <row r="3221" ht="15.75" customHeight="1">
      <c r="A3221" s="48"/>
      <c r="B3221" s="48"/>
      <c r="C3221" s="48"/>
      <c r="D3221" s="47"/>
      <c r="E3221" s="48"/>
    </row>
    <row r="3222" ht="15.75" customHeight="1">
      <c r="A3222" s="48"/>
      <c r="B3222" s="48"/>
      <c r="C3222" s="48"/>
      <c r="D3222" s="47"/>
      <c r="E3222" s="48"/>
    </row>
    <row r="3223" ht="15.75" customHeight="1">
      <c r="A3223" s="48"/>
      <c r="B3223" s="48"/>
      <c r="C3223" s="48"/>
      <c r="D3223" s="47"/>
      <c r="E3223" s="48"/>
    </row>
    <row r="3224" ht="15.75" customHeight="1">
      <c r="A3224" s="48"/>
      <c r="B3224" s="48"/>
      <c r="C3224" s="48"/>
      <c r="D3224" s="47"/>
      <c r="E3224" s="48"/>
    </row>
    <row r="3225" ht="15.75" customHeight="1">
      <c r="A3225" s="48"/>
      <c r="B3225" s="48"/>
      <c r="C3225" s="48"/>
      <c r="D3225" s="47"/>
      <c r="E3225" s="48"/>
    </row>
    <row r="3226" ht="15.75" customHeight="1">
      <c r="A3226" s="48"/>
      <c r="B3226" s="48"/>
      <c r="C3226" s="48"/>
      <c r="D3226" s="47"/>
      <c r="E3226" s="48"/>
    </row>
    <row r="3227" ht="15.75" customHeight="1">
      <c r="A3227" s="48"/>
      <c r="B3227" s="48"/>
      <c r="C3227" s="48"/>
      <c r="D3227" s="47"/>
      <c r="E3227" s="48"/>
    </row>
    <row r="3228" ht="15.75" customHeight="1">
      <c r="A3228" s="48"/>
      <c r="B3228" s="48"/>
      <c r="C3228" s="48"/>
      <c r="D3228" s="47"/>
      <c r="E3228" s="48"/>
    </row>
    <row r="3229" ht="15.75" customHeight="1">
      <c r="A3229" s="48"/>
      <c r="B3229" s="48"/>
      <c r="C3229" s="48"/>
      <c r="D3229" s="47"/>
      <c r="E3229" s="48"/>
    </row>
    <row r="3230" ht="15.75" customHeight="1">
      <c r="A3230" s="48"/>
      <c r="B3230" s="48"/>
      <c r="C3230" s="48"/>
      <c r="D3230" s="47"/>
      <c r="E3230" s="48"/>
    </row>
    <row r="3231" ht="15.75" customHeight="1">
      <c r="A3231" s="48"/>
      <c r="B3231" s="48"/>
      <c r="C3231" s="48"/>
      <c r="D3231" s="47"/>
      <c r="E3231" s="48"/>
    </row>
    <row r="3232" ht="15.75" customHeight="1">
      <c r="A3232" s="48"/>
      <c r="B3232" s="48"/>
      <c r="C3232" s="48"/>
      <c r="D3232" s="47"/>
      <c r="E3232" s="48"/>
    </row>
    <row r="3233" ht="15.75" customHeight="1">
      <c r="A3233" s="48"/>
      <c r="B3233" s="48"/>
      <c r="C3233" s="48"/>
      <c r="D3233" s="47"/>
      <c r="E3233" s="48"/>
    </row>
    <row r="3234" ht="15.75" customHeight="1">
      <c r="A3234" s="48"/>
      <c r="B3234" s="48"/>
      <c r="C3234" s="48"/>
      <c r="D3234" s="47"/>
      <c r="E3234" s="48"/>
    </row>
    <row r="3235" ht="15.75" customHeight="1">
      <c r="A3235" s="48"/>
      <c r="B3235" s="48"/>
      <c r="C3235" s="48"/>
      <c r="D3235" s="47"/>
      <c r="E3235" s="48"/>
    </row>
    <row r="3236" ht="15.75" customHeight="1">
      <c r="A3236" s="48"/>
      <c r="B3236" s="48"/>
      <c r="C3236" s="48"/>
      <c r="D3236" s="47"/>
      <c r="E3236" s="48"/>
    </row>
    <row r="3237" ht="15.75" customHeight="1">
      <c r="A3237" s="48"/>
      <c r="B3237" s="48"/>
      <c r="C3237" s="48"/>
      <c r="D3237" s="47"/>
      <c r="E3237" s="48"/>
    </row>
    <row r="3238" ht="15.75" customHeight="1">
      <c r="A3238" s="48"/>
      <c r="B3238" s="48"/>
      <c r="C3238" s="48"/>
      <c r="D3238" s="47"/>
      <c r="E3238" s="48"/>
    </row>
    <row r="3239" ht="15.75" customHeight="1">
      <c r="A3239" s="48"/>
      <c r="B3239" s="48"/>
      <c r="C3239" s="48"/>
      <c r="D3239" s="47"/>
      <c r="E3239" s="48"/>
    </row>
    <row r="3240" ht="15.75" customHeight="1">
      <c r="A3240" s="48"/>
      <c r="B3240" s="48"/>
      <c r="C3240" s="48"/>
      <c r="D3240" s="47"/>
      <c r="E3240" s="48"/>
    </row>
    <row r="3241" ht="15.75" customHeight="1">
      <c r="A3241" s="48"/>
      <c r="B3241" s="48"/>
      <c r="C3241" s="48"/>
      <c r="D3241" s="47"/>
      <c r="E3241" s="48"/>
    </row>
    <row r="3242" ht="15.75" customHeight="1">
      <c r="A3242" s="48"/>
      <c r="B3242" s="48"/>
      <c r="C3242" s="48"/>
      <c r="D3242" s="47"/>
      <c r="E3242" s="48"/>
    </row>
    <row r="3243" ht="15.75" customHeight="1">
      <c r="A3243" s="48"/>
      <c r="B3243" s="48"/>
      <c r="C3243" s="48"/>
      <c r="D3243" s="47"/>
      <c r="E3243" s="48"/>
    </row>
    <row r="3244" ht="15.75" customHeight="1">
      <c r="A3244" s="48"/>
      <c r="B3244" s="48"/>
      <c r="C3244" s="48"/>
      <c r="D3244" s="47"/>
      <c r="E3244" s="48"/>
    </row>
    <row r="3245" ht="15.75" customHeight="1">
      <c r="A3245" s="48"/>
      <c r="B3245" s="48"/>
      <c r="C3245" s="48"/>
      <c r="D3245" s="47"/>
      <c r="E3245" s="48"/>
    </row>
    <row r="3246" ht="15.75" customHeight="1">
      <c r="A3246" s="48"/>
      <c r="B3246" s="48"/>
      <c r="C3246" s="48"/>
      <c r="D3246" s="47"/>
      <c r="E3246" s="48"/>
    </row>
    <row r="3247" ht="15.75" customHeight="1">
      <c r="A3247" s="48"/>
      <c r="B3247" s="48"/>
      <c r="C3247" s="48"/>
      <c r="D3247" s="47"/>
      <c r="E3247" s="48"/>
    </row>
    <row r="3248" ht="15.75" customHeight="1">
      <c r="A3248" s="48"/>
      <c r="B3248" s="48"/>
      <c r="C3248" s="48"/>
      <c r="D3248" s="47"/>
      <c r="E3248" s="48"/>
    </row>
    <row r="3249" ht="15.75" customHeight="1">
      <c r="A3249" s="48"/>
      <c r="B3249" s="48"/>
      <c r="C3249" s="48"/>
      <c r="D3249" s="47"/>
      <c r="E3249" s="48"/>
    </row>
    <row r="3250" ht="15.75" customHeight="1">
      <c r="A3250" s="48"/>
      <c r="B3250" s="48"/>
      <c r="C3250" s="48"/>
      <c r="D3250" s="47"/>
      <c r="E3250" s="48"/>
    </row>
    <row r="3251" ht="15.75" customHeight="1">
      <c r="A3251" s="48"/>
      <c r="B3251" s="48"/>
      <c r="C3251" s="48"/>
      <c r="D3251" s="47"/>
      <c r="E3251" s="48"/>
    </row>
    <row r="3252" ht="15.75" customHeight="1">
      <c r="A3252" s="48"/>
      <c r="B3252" s="48"/>
      <c r="C3252" s="48"/>
      <c r="D3252" s="47"/>
      <c r="E3252" s="48"/>
    </row>
    <row r="3253" ht="15.75" customHeight="1">
      <c r="A3253" s="48"/>
      <c r="B3253" s="48"/>
      <c r="C3253" s="48"/>
      <c r="D3253" s="47"/>
      <c r="E3253" s="48"/>
    </row>
    <row r="3254" ht="15.75" customHeight="1">
      <c r="A3254" s="48"/>
      <c r="B3254" s="48"/>
      <c r="C3254" s="48"/>
      <c r="D3254" s="47"/>
      <c r="E3254" s="48"/>
    </row>
    <row r="3255" ht="15.75" customHeight="1">
      <c r="A3255" s="48"/>
      <c r="B3255" s="48"/>
      <c r="C3255" s="48"/>
      <c r="D3255" s="47"/>
      <c r="E3255" s="48"/>
    </row>
    <row r="3256" ht="15.75" customHeight="1">
      <c r="A3256" s="48"/>
      <c r="B3256" s="48"/>
      <c r="C3256" s="48"/>
      <c r="D3256" s="47"/>
      <c r="E3256" s="48"/>
    </row>
    <row r="3257" ht="15.75" customHeight="1">
      <c r="A3257" s="48"/>
      <c r="B3257" s="48"/>
      <c r="C3257" s="48"/>
      <c r="D3257" s="47"/>
      <c r="E3257" s="48"/>
    </row>
    <row r="3258" ht="15.75" customHeight="1">
      <c r="A3258" s="48"/>
      <c r="B3258" s="48"/>
      <c r="C3258" s="48"/>
      <c r="D3258" s="47"/>
      <c r="E3258" s="48"/>
    </row>
    <row r="3259" ht="15.75" customHeight="1">
      <c r="A3259" s="48"/>
      <c r="B3259" s="48"/>
      <c r="C3259" s="48"/>
      <c r="D3259" s="47"/>
      <c r="E3259" s="48"/>
    </row>
    <row r="3260" ht="15.75" customHeight="1">
      <c r="A3260" s="48"/>
      <c r="B3260" s="48"/>
      <c r="C3260" s="48"/>
      <c r="D3260" s="47"/>
      <c r="E3260" s="48"/>
    </row>
    <row r="3261" ht="15.75" customHeight="1">
      <c r="A3261" s="48"/>
      <c r="B3261" s="48"/>
      <c r="C3261" s="48"/>
      <c r="D3261" s="47"/>
      <c r="E3261" s="48"/>
    </row>
    <row r="3262" ht="15.75" customHeight="1">
      <c r="A3262" s="48"/>
      <c r="B3262" s="48"/>
      <c r="C3262" s="48"/>
      <c r="D3262" s="47"/>
      <c r="E3262" s="48"/>
    </row>
    <row r="3263" ht="15.75" customHeight="1">
      <c r="A3263" s="48"/>
      <c r="B3263" s="48"/>
      <c r="C3263" s="48"/>
      <c r="D3263" s="47"/>
      <c r="E3263" s="48"/>
    </row>
    <row r="3264" ht="15.75" customHeight="1">
      <c r="A3264" s="48"/>
      <c r="B3264" s="48"/>
      <c r="C3264" s="48"/>
      <c r="D3264" s="47"/>
      <c r="E3264" s="48"/>
    </row>
    <row r="3265" ht="15.75" customHeight="1">
      <c r="A3265" s="48"/>
      <c r="B3265" s="48"/>
      <c r="C3265" s="48"/>
      <c r="D3265" s="47"/>
      <c r="E3265" s="48"/>
    </row>
    <row r="3266" ht="15.75" customHeight="1">
      <c r="A3266" s="48"/>
      <c r="B3266" s="48"/>
      <c r="C3266" s="48"/>
      <c r="D3266" s="47"/>
      <c r="E3266" s="48"/>
    </row>
    <row r="3267" ht="15.75" customHeight="1">
      <c r="A3267" s="48"/>
      <c r="B3267" s="48"/>
      <c r="C3267" s="48"/>
      <c r="D3267" s="47"/>
      <c r="E3267" s="48"/>
    </row>
    <row r="3268" ht="15.75" customHeight="1">
      <c r="A3268" s="48"/>
      <c r="B3268" s="48"/>
      <c r="C3268" s="48"/>
      <c r="D3268" s="47"/>
      <c r="E3268" s="48"/>
    </row>
    <row r="3269" ht="15.75" customHeight="1">
      <c r="A3269" s="48"/>
      <c r="B3269" s="48"/>
      <c r="C3269" s="48"/>
      <c r="D3269" s="47"/>
      <c r="E3269" s="48"/>
    </row>
    <row r="3270" ht="15.75" customHeight="1">
      <c r="A3270" s="48"/>
      <c r="B3270" s="48"/>
      <c r="C3270" s="48"/>
      <c r="D3270" s="47"/>
      <c r="E3270" s="48"/>
    </row>
    <row r="3271" ht="15.75" customHeight="1">
      <c r="A3271" s="48"/>
      <c r="B3271" s="48"/>
      <c r="C3271" s="48"/>
      <c r="D3271" s="47"/>
      <c r="E3271" s="48"/>
    </row>
    <row r="3272" ht="15.75" customHeight="1">
      <c r="A3272" s="48"/>
      <c r="B3272" s="48"/>
      <c r="C3272" s="48"/>
      <c r="D3272" s="47"/>
      <c r="E3272" s="48"/>
    </row>
    <row r="3273" ht="15.75" customHeight="1">
      <c r="A3273" s="48"/>
      <c r="B3273" s="48"/>
      <c r="C3273" s="48"/>
      <c r="D3273" s="47"/>
      <c r="E3273" s="48"/>
    </row>
    <row r="3274" ht="15.75" customHeight="1">
      <c r="A3274" s="48"/>
      <c r="B3274" s="48"/>
      <c r="C3274" s="48"/>
      <c r="D3274" s="47"/>
      <c r="E3274" s="48"/>
    </row>
    <row r="3275" ht="15.75" customHeight="1">
      <c r="A3275" s="48"/>
      <c r="B3275" s="48"/>
      <c r="C3275" s="48"/>
      <c r="D3275" s="47"/>
      <c r="E3275" s="48"/>
    </row>
    <row r="3276" ht="15.75" customHeight="1">
      <c r="A3276" s="48"/>
      <c r="B3276" s="48"/>
      <c r="C3276" s="48"/>
      <c r="D3276" s="47"/>
      <c r="E3276" s="48"/>
    </row>
    <row r="3277" ht="15.75" customHeight="1">
      <c r="A3277" s="48"/>
      <c r="B3277" s="48"/>
      <c r="C3277" s="48"/>
      <c r="D3277" s="47"/>
      <c r="E3277" s="48"/>
    </row>
    <row r="3278" ht="15.75" customHeight="1">
      <c r="A3278" s="48"/>
      <c r="B3278" s="48"/>
      <c r="C3278" s="48"/>
      <c r="D3278" s="47"/>
      <c r="E3278" s="48"/>
    </row>
    <row r="3279" ht="15.75" customHeight="1">
      <c r="A3279" s="48"/>
      <c r="B3279" s="48"/>
      <c r="C3279" s="48"/>
      <c r="D3279" s="47"/>
      <c r="E3279" s="48"/>
    </row>
    <row r="3280" ht="15.75" customHeight="1">
      <c r="A3280" s="48"/>
      <c r="B3280" s="48"/>
      <c r="C3280" s="48"/>
      <c r="D3280" s="47"/>
      <c r="E3280" s="48"/>
    </row>
    <row r="3281" ht="15.75" customHeight="1">
      <c r="A3281" s="48"/>
      <c r="B3281" s="48"/>
      <c r="C3281" s="48"/>
      <c r="D3281" s="47"/>
      <c r="E3281" s="48"/>
    </row>
    <row r="3282" ht="15.75" customHeight="1">
      <c r="A3282" s="48"/>
      <c r="B3282" s="48"/>
      <c r="C3282" s="48"/>
      <c r="D3282" s="47"/>
      <c r="E3282" s="48"/>
    </row>
    <row r="3283" ht="15.75" customHeight="1">
      <c r="A3283" s="48"/>
      <c r="B3283" s="48"/>
      <c r="C3283" s="48"/>
      <c r="D3283" s="47"/>
      <c r="E3283" s="48"/>
    </row>
    <row r="3284" ht="15.75" customHeight="1">
      <c r="A3284" s="48"/>
      <c r="B3284" s="48"/>
      <c r="C3284" s="48"/>
      <c r="D3284" s="47"/>
      <c r="E3284" s="48"/>
    </row>
    <row r="3285" ht="15.75" customHeight="1">
      <c r="A3285" s="48"/>
      <c r="B3285" s="48"/>
      <c r="C3285" s="48"/>
      <c r="D3285" s="47"/>
      <c r="E3285" s="48"/>
    </row>
    <row r="3286" ht="15.75" customHeight="1">
      <c r="A3286" s="48"/>
      <c r="B3286" s="48"/>
      <c r="C3286" s="48"/>
      <c r="D3286" s="47"/>
      <c r="E3286" s="48"/>
    </row>
    <row r="3287" ht="15.75" customHeight="1">
      <c r="A3287" s="48"/>
      <c r="B3287" s="48"/>
      <c r="C3287" s="48"/>
      <c r="D3287" s="47"/>
      <c r="E3287" s="48"/>
    </row>
    <row r="3288" ht="15.75" customHeight="1">
      <c r="A3288" s="48"/>
      <c r="B3288" s="48"/>
      <c r="C3288" s="48"/>
      <c r="D3288" s="47"/>
      <c r="E3288" s="48"/>
    </row>
    <row r="3289" ht="15.75" customHeight="1">
      <c r="A3289" s="48"/>
      <c r="B3289" s="48"/>
      <c r="C3289" s="48"/>
      <c r="D3289" s="47"/>
      <c r="E3289" s="48"/>
    </row>
    <row r="3290" ht="15.75" customHeight="1">
      <c r="A3290" s="48"/>
      <c r="B3290" s="48"/>
      <c r="C3290" s="48"/>
      <c r="D3290" s="47"/>
      <c r="E3290" s="48"/>
    </row>
    <row r="3291" ht="15.75" customHeight="1">
      <c r="A3291" s="48"/>
      <c r="B3291" s="48"/>
      <c r="C3291" s="48"/>
      <c r="D3291" s="47"/>
      <c r="E3291" s="48"/>
    </row>
    <row r="3292" ht="15.75" customHeight="1">
      <c r="A3292" s="48"/>
      <c r="B3292" s="48"/>
      <c r="C3292" s="48"/>
      <c r="D3292" s="47"/>
      <c r="E3292" s="48"/>
    </row>
    <row r="3293" ht="15.75" customHeight="1">
      <c r="A3293" s="48"/>
      <c r="B3293" s="48"/>
      <c r="C3293" s="48"/>
      <c r="D3293" s="47"/>
      <c r="E3293" s="48"/>
    </row>
    <row r="3294" ht="15.75" customHeight="1">
      <c r="A3294" s="48"/>
      <c r="B3294" s="48"/>
      <c r="C3294" s="48"/>
      <c r="D3294" s="47"/>
      <c r="E3294" s="48"/>
    </row>
    <row r="3295" ht="15.75" customHeight="1">
      <c r="A3295" s="48"/>
      <c r="B3295" s="48"/>
      <c r="C3295" s="48"/>
      <c r="D3295" s="47"/>
      <c r="E3295" s="48"/>
    </row>
    <row r="3296" ht="15.75" customHeight="1">
      <c r="A3296" s="48"/>
      <c r="B3296" s="48"/>
      <c r="C3296" s="48"/>
      <c r="D3296" s="47"/>
      <c r="E3296" s="48"/>
    </row>
    <row r="3297" ht="15.75" customHeight="1">
      <c r="A3297" s="48"/>
      <c r="B3297" s="48"/>
      <c r="C3297" s="48"/>
      <c r="D3297" s="47"/>
      <c r="E3297" s="48"/>
    </row>
    <row r="3298" ht="15.75" customHeight="1">
      <c r="A3298" s="48"/>
      <c r="B3298" s="48"/>
      <c r="C3298" s="48"/>
      <c r="D3298" s="47"/>
      <c r="E3298" s="48"/>
    </row>
    <row r="3299" ht="15.75" customHeight="1">
      <c r="A3299" s="48"/>
      <c r="B3299" s="48"/>
      <c r="C3299" s="48"/>
      <c r="D3299" s="47"/>
      <c r="E3299" s="48"/>
    </row>
    <row r="3300" ht="15.75" customHeight="1">
      <c r="D3300" s="47"/>
    </row>
    <row r="3301" ht="15.75" customHeight="1">
      <c r="D3301" s="47"/>
    </row>
    <row r="3302" ht="15.75" customHeight="1">
      <c r="D3302" s="47"/>
    </row>
    <row r="3303" ht="15.75" customHeight="1">
      <c r="D3303" s="47"/>
    </row>
    <row r="3304" ht="15.75" customHeight="1">
      <c r="D3304" s="47"/>
    </row>
    <row r="3305" ht="15.75" customHeight="1">
      <c r="D3305" s="47"/>
    </row>
    <row r="3306" ht="15.75" customHeight="1">
      <c r="D3306" s="47"/>
    </row>
    <row r="3307" ht="15.75" customHeight="1">
      <c r="D3307" s="47"/>
    </row>
    <row r="3308" ht="15.75" customHeight="1">
      <c r="D3308" s="47"/>
    </row>
    <row r="3309" ht="15.75" customHeight="1">
      <c r="D3309" s="47"/>
    </row>
    <row r="3310" ht="15.75" customHeight="1">
      <c r="D3310" s="47"/>
    </row>
    <row r="3311" ht="15.75" customHeight="1">
      <c r="D3311" s="47"/>
    </row>
    <row r="3312" ht="15.75" customHeight="1">
      <c r="D3312" s="47"/>
    </row>
    <row r="3313" ht="15.75" customHeight="1">
      <c r="D3313" s="47"/>
    </row>
    <row r="3314" ht="15.75" customHeight="1">
      <c r="D3314" s="47"/>
    </row>
    <row r="3315" ht="15.75" customHeight="1">
      <c r="D3315" s="47"/>
    </row>
    <row r="3316" ht="15.75" customHeight="1">
      <c r="D3316" s="47"/>
    </row>
    <row r="3317" ht="15.75" customHeight="1">
      <c r="D3317" s="47"/>
    </row>
    <row r="3318" ht="15.75" customHeight="1">
      <c r="D3318" s="47"/>
    </row>
    <row r="3319" ht="15.75" customHeight="1">
      <c r="D3319" s="47"/>
    </row>
    <row r="3320" ht="15.75" customHeight="1">
      <c r="D3320" s="47"/>
    </row>
    <row r="3321" ht="15.75" customHeight="1">
      <c r="D3321" s="47"/>
    </row>
    <row r="3322" ht="15.75" customHeight="1">
      <c r="D3322" s="47"/>
    </row>
    <row r="3323" ht="15.75" customHeight="1">
      <c r="D3323" s="47"/>
    </row>
    <row r="3324" ht="15.75" customHeight="1">
      <c r="D3324" s="47"/>
    </row>
    <row r="3325" ht="15.75" customHeight="1">
      <c r="D3325" s="47"/>
    </row>
    <row r="3326" ht="15.75" customHeight="1">
      <c r="D3326" s="47"/>
    </row>
    <row r="3327" ht="15.75" customHeight="1">
      <c r="D3327" s="47"/>
    </row>
    <row r="3328" ht="15.75" customHeight="1">
      <c r="D3328" s="47"/>
    </row>
    <row r="3329" ht="15.75" customHeight="1">
      <c r="D3329" s="47"/>
    </row>
    <row r="3330" ht="15.75" customHeight="1">
      <c r="D3330" s="47"/>
    </row>
    <row r="3331" ht="15.75" customHeight="1">
      <c r="D3331" s="47"/>
    </row>
    <row r="3332" ht="15.75" customHeight="1">
      <c r="D3332" s="47"/>
    </row>
    <row r="3333" ht="15.75" customHeight="1">
      <c r="D3333" s="47"/>
    </row>
    <row r="3334" ht="15.75" customHeight="1">
      <c r="D3334" s="47"/>
    </row>
    <row r="3335" ht="15.75" customHeight="1">
      <c r="D3335" s="47"/>
    </row>
    <row r="3336" ht="15.75" customHeight="1">
      <c r="D3336" s="47"/>
    </row>
    <row r="3337" ht="15.75" customHeight="1">
      <c r="D3337" s="47"/>
    </row>
    <row r="3338" ht="15.75" customHeight="1">
      <c r="D3338" s="47"/>
    </row>
    <row r="3339" ht="15.75" customHeight="1">
      <c r="D3339" s="47"/>
    </row>
    <row r="3340" ht="15.75" customHeight="1">
      <c r="D3340" s="47"/>
    </row>
    <row r="3341" ht="15.75" customHeight="1">
      <c r="D3341" s="47"/>
    </row>
    <row r="3342" ht="15.75" customHeight="1">
      <c r="D3342" s="47"/>
    </row>
    <row r="3343" ht="15.75" customHeight="1">
      <c r="D3343" s="47"/>
    </row>
    <row r="3344" ht="15.75" customHeight="1">
      <c r="D3344" s="47"/>
    </row>
    <row r="3345" ht="15.75" customHeight="1">
      <c r="D3345" s="47"/>
    </row>
    <row r="3346" ht="15.75" customHeight="1">
      <c r="D3346" s="47"/>
    </row>
    <row r="3347" ht="15.75" customHeight="1">
      <c r="D3347" s="47"/>
    </row>
    <row r="3348" ht="15.75" customHeight="1">
      <c r="D3348" s="47"/>
    </row>
    <row r="3349" ht="15.75" customHeight="1">
      <c r="D3349" s="47"/>
    </row>
    <row r="3350" ht="15.75" customHeight="1">
      <c r="D3350" s="47"/>
    </row>
    <row r="3351" ht="15.75" customHeight="1">
      <c r="D3351" s="47"/>
    </row>
    <row r="3352" ht="15.75" customHeight="1">
      <c r="D3352" s="47"/>
    </row>
    <row r="3353" ht="15.75" customHeight="1">
      <c r="D3353" s="47"/>
    </row>
    <row r="3354" ht="15.75" customHeight="1">
      <c r="D3354" s="47"/>
    </row>
    <row r="3355" ht="15.75" customHeight="1">
      <c r="D3355" s="47"/>
    </row>
    <row r="3356" ht="15.75" customHeight="1">
      <c r="D3356" s="47"/>
    </row>
    <row r="3357" ht="15.75" customHeight="1">
      <c r="D3357" s="47"/>
    </row>
    <row r="3358" ht="15.75" customHeight="1">
      <c r="D3358" s="47"/>
    </row>
    <row r="3359" ht="15.75" customHeight="1">
      <c r="D3359" s="47"/>
    </row>
    <row r="3360" ht="15.75" customHeight="1">
      <c r="D3360" s="47"/>
    </row>
    <row r="3361" ht="15.75" customHeight="1">
      <c r="D3361" s="47"/>
    </row>
    <row r="3362" ht="15.75" customHeight="1">
      <c r="D3362" s="47"/>
    </row>
    <row r="3363" ht="15.75" customHeight="1">
      <c r="D3363" s="47"/>
    </row>
    <row r="3364" ht="15.75" customHeight="1">
      <c r="D3364" s="47"/>
    </row>
    <row r="3365" ht="15.75" customHeight="1">
      <c r="D3365" s="47"/>
    </row>
    <row r="3366" ht="15.75" customHeight="1">
      <c r="D3366" s="47"/>
    </row>
    <row r="3367" ht="15.75" customHeight="1">
      <c r="D3367" s="47"/>
    </row>
    <row r="3368" ht="15.75" customHeight="1">
      <c r="D3368" s="47"/>
    </row>
    <row r="3369" ht="15.75" customHeight="1">
      <c r="D3369" s="47"/>
    </row>
    <row r="3370" ht="15.75" customHeight="1">
      <c r="D3370" s="47"/>
    </row>
    <row r="3371" ht="15.75" customHeight="1">
      <c r="D3371" s="47"/>
    </row>
    <row r="3372" ht="15.75" customHeight="1">
      <c r="D3372" s="47"/>
    </row>
    <row r="3373" ht="15.75" customHeight="1">
      <c r="D3373" s="47"/>
    </row>
    <row r="3374" ht="15.75" customHeight="1">
      <c r="D3374" s="47"/>
    </row>
    <row r="3375" ht="15.75" customHeight="1">
      <c r="D3375" s="47"/>
    </row>
    <row r="3376" ht="15.75" customHeight="1">
      <c r="D3376" s="47"/>
    </row>
    <row r="3377" ht="15.75" customHeight="1">
      <c r="D3377" s="47"/>
    </row>
    <row r="3378" ht="15.75" customHeight="1">
      <c r="D3378" s="47"/>
    </row>
    <row r="3379" ht="15.75" customHeight="1">
      <c r="D3379" s="47"/>
    </row>
    <row r="3380" ht="15.75" customHeight="1">
      <c r="D3380" s="47"/>
    </row>
    <row r="3381" ht="15.75" customHeight="1">
      <c r="D3381" s="47"/>
    </row>
    <row r="3382" ht="15.75" customHeight="1">
      <c r="D3382" s="47"/>
    </row>
    <row r="3383" ht="15.75" customHeight="1">
      <c r="D3383" s="47"/>
    </row>
    <row r="3384" ht="15.75" customHeight="1">
      <c r="D3384" s="47"/>
    </row>
    <row r="3385" ht="15.75" customHeight="1">
      <c r="D3385" s="47"/>
    </row>
    <row r="3386" ht="15.75" customHeight="1">
      <c r="D3386" s="47"/>
    </row>
    <row r="3387" ht="15.75" customHeight="1">
      <c r="D3387" s="47"/>
    </row>
    <row r="3388" ht="15.75" customHeight="1">
      <c r="D3388" s="47"/>
    </row>
    <row r="3389" ht="15.75" customHeight="1">
      <c r="D3389" s="47"/>
    </row>
    <row r="3390" ht="15.75" customHeight="1">
      <c r="D3390" s="47"/>
    </row>
    <row r="3391" ht="15.75" customHeight="1">
      <c r="D3391" s="47"/>
    </row>
    <row r="3392" ht="15.75" customHeight="1">
      <c r="D3392" s="47"/>
    </row>
    <row r="3393" ht="15.75" customHeight="1">
      <c r="D3393" s="47"/>
    </row>
    <row r="3394" ht="15.75" customHeight="1">
      <c r="D3394" s="47"/>
    </row>
    <row r="3395" ht="15.75" customHeight="1">
      <c r="D3395" s="47"/>
    </row>
    <row r="3396" ht="15.75" customHeight="1">
      <c r="D3396" s="47"/>
    </row>
    <row r="3397" ht="15.75" customHeight="1">
      <c r="D3397" s="47"/>
    </row>
    <row r="3398" ht="15.75" customHeight="1">
      <c r="D3398" s="47"/>
    </row>
    <row r="3399" ht="15.75" customHeight="1">
      <c r="D3399" s="47"/>
    </row>
    <row r="3400" ht="15.75" customHeight="1">
      <c r="D3400" s="47"/>
    </row>
    <row r="3401" ht="15.75" customHeight="1">
      <c r="D3401" s="47"/>
    </row>
    <row r="3402" ht="15.75" customHeight="1">
      <c r="D3402" s="47"/>
    </row>
    <row r="3403" ht="15.75" customHeight="1">
      <c r="D3403" s="47"/>
    </row>
    <row r="3404" ht="15.75" customHeight="1">
      <c r="D3404" s="47"/>
    </row>
    <row r="3405" ht="15.75" customHeight="1">
      <c r="D3405" s="47"/>
    </row>
    <row r="3406" ht="15.75" customHeight="1">
      <c r="D3406" s="47"/>
    </row>
    <row r="3407" ht="15.75" customHeight="1">
      <c r="D3407" s="47"/>
    </row>
    <row r="3408" ht="15.75" customHeight="1">
      <c r="D3408" s="47"/>
    </row>
    <row r="3409" ht="15.75" customHeight="1">
      <c r="D3409" s="47"/>
    </row>
    <row r="3410" ht="15.75" customHeight="1">
      <c r="D3410" s="47"/>
    </row>
    <row r="3411" ht="15.75" customHeight="1">
      <c r="D3411" s="47"/>
    </row>
    <row r="3412" ht="15.75" customHeight="1">
      <c r="D3412" s="47"/>
    </row>
    <row r="3413" ht="15.75" customHeight="1">
      <c r="D3413" s="47"/>
    </row>
    <row r="3414" ht="15.75" customHeight="1">
      <c r="D3414" s="47"/>
    </row>
    <row r="3415" ht="15.75" customHeight="1">
      <c r="D3415" s="47"/>
    </row>
    <row r="3416" ht="15.75" customHeight="1">
      <c r="D3416" s="47"/>
    </row>
    <row r="3417" ht="15.75" customHeight="1">
      <c r="D3417" s="47"/>
    </row>
    <row r="3418" ht="15.75" customHeight="1">
      <c r="D3418" s="47"/>
    </row>
    <row r="3419" ht="15.75" customHeight="1">
      <c r="D3419" s="47"/>
    </row>
    <row r="3420" ht="15.75" customHeight="1">
      <c r="D3420" s="47"/>
    </row>
    <row r="3421" ht="15.75" customHeight="1">
      <c r="D3421" s="47"/>
    </row>
    <row r="3422" ht="15.75" customHeight="1">
      <c r="D3422" s="47"/>
    </row>
    <row r="3423" ht="15.75" customHeight="1">
      <c r="D3423" s="47"/>
    </row>
    <row r="3424" ht="15.75" customHeight="1">
      <c r="D3424" s="47"/>
    </row>
    <row r="3425" ht="15.75" customHeight="1">
      <c r="D3425" s="47"/>
    </row>
    <row r="3426" ht="15.75" customHeight="1">
      <c r="D3426" s="47"/>
    </row>
    <row r="3427" ht="15.75" customHeight="1">
      <c r="D3427" s="47"/>
    </row>
    <row r="3428" ht="15.75" customHeight="1">
      <c r="D3428" s="47"/>
    </row>
    <row r="3429" ht="15.75" customHeight="1">
      <c r="D3429" s="47"/>
    </row>
    <row r="3430" ht="15.75" customHeight="1">
      <c r="D3430" s="47"/>
    </row>
    <row r="3431" ht="15.75" customHeight="1">
      <c r="D3431" s="47"/>
    </row>
    <row r="3432" ht="15.75" customHeight="1">
      <c r="D3432" s="47"/>
    </row>
    <row r="3433" ht="15.75" customHeight="1">
      <c r="D3433" s="47"/>
    </row>
    <row r="3434" ht="15.75" customHeight="1">
      <c r="D3434" s="47"/>
    </row>
    <row r="3435" ht="15.75" customHeight="1">
      <c r="D3435" s="47"/>
    </row>
    <row r="3436" ht="15.75" customHeight="1">
      <c r="D3436" s="47"/>
    </row>
    <row r="3437" ht="15.75" customHeight="1">
      <c r="D3437" s="47"/>
    </row>
    <row r="3438" ht="15.75" customHeight="1">
      <c r="D3438" s="47"/>
    </row>
    <row r="3439" ht="15.75" customHeight="1">
      <c r="D3439" s="47"/>
    </row>
    <row r="3440" ht="15.75" customHeight="1">
      <c r="D3440" s="47"/>
    </row>
    <row r="3441" ht="15.75" customHeight="1">
      <c r="D3441" s="47"/>
    </row>
    <row r="3442" ht="15.75" customHeight="1">
      <c r="D3442" s="47"/>
    </row>
    <row r="3443" ht="15.75" customHeight="1">
      <c r="D3443" s="47"/>
    </row>
    <row r="3444" ht="15.75" customHeight="1">
      <c r="D3444" s="47"/>
    </row>
    <row r="3445" ht="15.75" customHeight="1">
      <c r="D3445" s="47"/>
    </row>
    <row r="3446" ht="15.75" customHeight="1">
      <c r="D3446" s="47"/>
    </row>
    <row r="3447" ht="15.75" customHeight="1">
      <c r="D3447" s="47"/>
    </row>
    <row r="3448" ht="15.75" customHeight="1">
      <c r="D3448" s="47"/>
    </row>
    <row r="3449" ht="15.75" customHeight="1">
      <c r="D3449" s="47"/>
    </row>
    <row r="3450" ht="15.75" customHeight="1">
      <c r="D3450" s="47"/>
    </row>
    <row r="3451" ht="15.75" customHeight="1">
      <c r="D3451" s="47"/>
    </row>
    <row r="3452" ht="15.75" customHeight="1">
      <c r="D3452" s="47"/>
    </row>
    <row r="3453" ht="15.75" customHeight="1">
      <c r="D3453" s="47"/>
    </row>
    <row r="3454" ht="15.75" customHeight="1">
      <c r="D3454" s="47"/>
    </row>
    <row r="3455" ht="15.75" customHeight="1">
      <c r="D3455" s="47"/>
    </row>
    <row r="3456" ht="15.75" customHeight="1">
      <c r="D3456" s="47"/>
    </row>
    <row r="3457" ht="15.75" customHeight="1">
      <c r="D3457" s="47"/>
    </row>
    <row r="3458" ht="15.75" customHeight="1">
      <c r="D3458" s="47"/>
    </row>
    <row r="3459" ht="15.75" customHeight="1">
      <c r="D3459" s="47"/>
    </row>
    <row r="3460" ht="15.75" customHeight="1">
      <c r="D3460" s="47"/>
    </row>
    <row r="3461" ht="15.75" customHeight="1">
      <c r="D3461" s="47"/>
    </row>
    <row r="3462" ht="15.75" customHeight="1">
      <c r="D3462" s="47"/>
    </row>
    <row r="3463" ht="15.75" customHeight="1">
      <c r="D3463" s="47"/>
    </row>
    <row r="3464" ht="15.75" customHeight="1">
      <c r="D3464" s="47"/>
    </row>
    <row r="3465" ht="15.75" customHeight="1">
      <c r="D3465" s="47"/>
    </row>
    <row r="3466" ht="15.75" customHeight="1">
      <c r="D3466" s="47"/>
    </row>
    <row r="3467" ht="15.75" customHeight="1">
      <c r="D3467" s="47"/>
    </row>
    <row r="3468" ht="15.75" customHeight="1">
      <c r="D3468" s="47"/>
    </row>
    <row r="3469" ht="15.75" customHeight="1">
      <c r="D3469" s="47"/>
    </row>
    <row r="3470" ht="15.75" customHeight="1">
      <c r="D3470" s="47"/>
    </row>
    <row r="3471" ht="15.75" customHeight="1">
      <c r="D3471" s="47"/>
    </row>
    <row r="3472" ht="15.75" customHeight="1">
      <c r="D3472" s="47"/>
    </row>
    <row r="3473" ht="15.75" customHeight="1">
      <c r="D3473" s="47"/>
    </row>
    <row r="3474" ht="15.75" customHeight="1">
      <c r="D3474" s="47"/>
    </row>
    <row r="3475" ht="15.75" customHeight="1">
      <c r="D3475" s="47"/>
    </row>
    <row r="3476" ht="15.75" customHeight="1">
      <c r="D3476" s="47"/>
    </row>
    <row r="3477" ht="15.75" customHeight="1">
      <c r="D3477" s="47"/>
    </row>
    <row r="3478" ht="15.75" customHeight="1">
      <c r="D3478" s="47"/>
    </row>
    <row r="3479" ht="15.75" customHeight="1">
      <c r="D3479" s="47"/>
    </row>
    <row r="3480" ht="15.75" customHeight="1">
      <c r="D3480" s="47"/>
    </row>
    <row r="3481" ht="15.75" customHeight="1">
      <c r="D3481" s="47"/>
    </row>
    <row r="3482" ht="15.75" customHeight="1">
      <c r="D3482" s="47"/>
    </row>
    <row r="3483" ht="15.75" customHeight="1">
      <c r="D3483" s="47"/>
    </row>
    <row r="3484" ht="15.75" customHeight="1">
      <c r="D3484" s="47"/>
    </row>
    <row r="3485" ht="15.75" customHeight="1">
      <c r="D3485" s="47"/>
    </row>
    <row r="3486" ht="15.75" customHeight="1">
      <c r="D3486" s="47"/>
    </row>
    <row r="3487" ht="15.75" customHeight="1">
      <c r="D3487" s="47"/>
    </row>
    <row r="3488" ht="15.75" customHeight="1">
      <c r="D3488" s="47"/>
    </row>
    <row r="3489" ht="15.75" customHeight="1">
      <c r="D3489" s="47"/>
    </row>
    <row r="3490" ht="15.75" customHeight="1">
      <c r="D3490" s="47"/>
    </row>
    <row r="3491" ht="15.75" customHeight="1">
      <c r="D3491" s="47"/>
    </row>
    <row r="3492" ht="15.75" customHeight="1">
      <c r="D3492" s="47"/>
    </row>
    <row r="3493" ht="15.75" customHeight="1">
      <c r="D3493" s="47"/>
    </row>
    <row r="3494" ht="15.75" customHeight="1">
      <c r="D3494" s="47"/>
    </row>
    <row r="3495" ht="15.75" customHeight="1">
      <c r="D3495" s="47"/>
    </row>
    <row r="3496" ht="15.75" customHeight="1">
      <c r="D3496" s="47"/>
    </row>
    <row r="3497" ht="15.75" customHeight="1">
      <c r="D3497" s="47"/>
    </row>
    <row r="3498" ht="15.75" customHeight="1">
      <c r="D3498" s="47"/>
    </row>
    <row r="3499" ht="15.75" customHeight="1">
      <c r="D3499" s="47"/>
    </row>
  </sheetData>
  <drawing r:id="rId1"/>
</worksheet>
</file>